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theme/themeOverride1.xml" ContentType="application/vnd.openxmlformats-officedocument.themeOverride+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theme/themeOverride2.xml" ContentType="application/vnd.openxmlformats-officedocument.themeOverride+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drawings/drawing2.xml" ContentType="application/vnd.openxmlformats-officedocument.drawing+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chart20.xml" ContentType="application/vnd.openxmlformats-officedocument.drawingml.chart+xml"/>
  <Override PartName="/xl/theme/themeOverride3.xml" ContentType="application/vnd.openxmlformats-officedocument.themeOverride+xml"/>
  <Override PartName="/xl/charts/chart21.xml" ContentType="application/vnd.openxmlformats-officedocument.drawingml.chart+xml"/>
  <Override PartName="/xl/theme/themeOverride4.xml" ContentType="application/vnd.openxmlformats-officedocument.themeOverride+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drawings/drawing3.xml" ContentType="application/vnd.openxmlformats-officedocument.drawing+xml"/>
  <Override PartName="/xl/comments1.xml" ContentType="application/vnd.openxmlformats-officedocument.spreadsheetml.comments+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charts/chart32.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29000" yWindow="-30" windowWidth="28140" windowHeight="11020" tabRatio="871"/>
  </bookViews>
  <sheets>
    <sheet name="Navigation Menu" sheetId="22" r:id="rId1"/>
    <sheet name="Personalized Bill Menu" sheetId="19" r:id="rId2"/>
    <sheet name="Electricity Bill" sheetId="24" r:id="rId3"/>
    <sheet name="Natural Gas Bill" sheetId="25" r:id="rId4"/>
    <sheet name="Service Zone Menu" sheetId="23" r:id="rId5"/>
    <sheet name="Elec. Analysis" sheetId="9" r:id="rId6"/>
    <sheet name="ENMAX" sheetId="5" r:id="rId7"/>
    <sheet name="EPCOR" sheetId="6" r:id="rId8"/>
    <sheet name="FORTIS" sheetId="7" r:id="rId9"/>
    <sheet name="ATCO" sheetId="8" r:id="rId10"/>
    <sheet name="NG Analysis" sheetId="14" r:id="rId11"/>
    <sheet name="ATCO-N" sheetId="11" r:id="rId12"/>
    <sheet name="ATCO-S" sheetId="12" r:id="rId13"/>
    <sheet name="AltaGas" sheetId="13" r:id="rId14"/>
    <sheet name="Elec. Appendix" sheetId="1" r:id="rId15"/>
    <sheet name="NG Appendix" sheetId="18" r:id="rId16"/>
    <sheet name="Misc. Data &amp; Mechanisms" sheetId="21" r:id="rId17"/>
  </sheets>
  <externalReferences>
    <externalReference r:id="rId18"/>
  </externalReferences>
  <definedNames>
    <definedName name="_xlnm._FilterDatabase" localSheetId="16" hidden="1">'Misc. Data &amp; Mechanisms'!$A$162:$D$194</definedName>
    <definedName name="_xlnm._FilterDatabase" localSheetId="1" hidden="1">'[1]All Electricity'!$A$1:$H$396</definedName>
    <definedName name="_xlnm._FilterDatabase" localSheetId="4" hidden="1">'Service Zone Menu'!$R$1:$Z$5</definedName>
  </definedNames>
  <calcPr calcId="145621"/>
</workbook>
</file>

<file path=xl/calcChain.xml><?xml version="1.0" encoding="utf-8"?>
<calcChain xmlns="http://schemas.openxmlformats.org/spreadsheetml/2006/main">
  <c r="BQ9" i="18" l="1"/>
  <c r="BQ7" i="18"/>
  <c r="AT9" i="18"/>
  <c r="AT7" i="18"/>
  <c r="S7" i="18"/>
  <c r="R7" i="18"/>
  <c r="S9" i="18"/>
  <c r="R84" i="18"/>
  <c r="BJ96" i="18"/>
  <c r="BJ84" i="18"/>
  <c r="BI97" i="18"/>
  <c r="BI84" i="18"/>
  <c r="BN9" i="18"/>
  <c r="BF9" i="18"/>
  <c r="BG9" i="18"/>
  <c r="AI97" i="18"/>
  <c r="AH97" i="18"/>
  <c r="AH93" i="18"/>
  <c r="AR98" i="18"/>
  <c r="AS98" i="18"/>
  <c r="AR97" i="18"/>
  <c r="AS97" i="18"/>
  <c r="AR96" i="18"/>
  <c r="AS96" i="18"/>
  <c r="AU94" i="18"/>
  <c r="AO94" i="18"/>
  <c r="AN94" i="18"/>
  <c r="AM94" i="18"/>
  <c r="AL94" i="18"/>
  <c r="AK94" i="18"/>
  <c r="AJ94" i="18"/>
  <c r="T94" i="18"/>
  <c r="AG94" i="18"/>
  <c r="AF94" i="18"/>
  <c r="AE94" i="18"/>
  <c r="E94" i="18"/>
  <c r="I97" i="18"/>
  <c r="H97" i="18"/>
  <c r="BW9" i="18"/>
  <c r="BV9" i="18"/>
  <c r="BU9" i="18"/>
  <c r="BS9" i="18"/>
  <c r="AZ9" i="18"/>
  <c r="AY9" i="18"/>
  <c r="AX9" i="18"/>
  <c r="AV9" i="18"/>
  <c r="Q98" i="18"/>
  <c r="R98" i="18"/>
  <c r="Q97" i="18"/>
  <c r="R97" i="18"/>
  <c r="Q96" i="18"/>
  <c r="R96" i="18"/>
  <c r="N94" i="18" l="1"/>
  <c r="M94" i="18"/>
  <c r="L94" i="18"/>
  <c r="J94" i="18"/>
  <c r="K94" i="18"/>
  <c r="G94" i="18"/>
  <c r="F94" i="18"/>
  <c r="E9" i="18"/>
  <c r="CL98" i="1"/>
  <c r="CL97" i="1"/>
  <c r="CL96" i="1"/>
  <c r="CC98" i="1"/>
  <c r="CC96" i="1"/>
  <c r="CG96" i="1"/>
  <c r="BK98" i="1"/>
  <c r="BK97" i="1"/>
  <c r="BK96" i="1"/>
  <c r="BJ96" i="1"/>
  <c r="BH96" i="1"/>
  <c r="BF96" i="1"/>
  <c r="BE96" i="1"/>
  <c r="BC96" i="1"/>
  <c r="BD96" i="1"/>
  <c r="AY96" i="1"/>
  <c r="AK98" i="1"/>
  <c r="AK97" i="1"/>
  <c r="AK96" i="1"/>
  <c r="AG96" i="1"/>
  <c r="J96" i="1"/>
  <c r="F96" i="1"/>
  <c r="CS9" i="1"/>
  <c r="CR9" i="1"/>
  <c r="CQ9" i="1"/>
  <c r="CP9" i="1"/>
  <c r="CN9" i="1"/>
  <c r="CM9" i="1"/>
  <c r="BR9" i="1"/>
  <c r="BQ9" i="1"/>
  <c r="BP9" i="1"/>
  <c r="BO9" i="1"/>
  <c r="BM9" i="1"/>
  <c r="BL9" i="1"/>
  <c r="AR9" i="1"/>
  <c r="AQ9" i="1"/>
  <c r="AP9" i="1"/>
  <c r="AO9" i="1"/>
  <c r="AM9" i="1"/>
  <c r="AL9" i="1"/>
  <c r="BX95" i="1"/>
  <c r="BX9" i="1"/>
  <c r="AX95" i="1"/>
  <c r="AX9" i="1"/>
  <c r="AA95" i="1"/>
  <c r="AA9" i="1"/>
  <c r="E95" i="1"/>
  <c r="E9" i="1"/>
  <c r="O1157" i="21"/>
  <c r="O1158" i="21"/>
  <c r="O1159" i="21"/>
  <c r="B1157" i="21"/>
  <c r="B1158" i="21"/>
  <c r="B1159" i="21"/>
  <c r="B1070" i="21"/>
  <c r="D1263" i="21"/>
  <c r="E1263" i="21"/>
  <c r="D1264" i="21"/>
  <c r="E1264" i="21"/>
  <c r="D1265" i="21"/>
  <c r="E1265" i="21"/>
  <c r="D1177" i="21"/>
  <c r="E1177" i="21"/>
  <c r="D1178" i="21"/>
  <c r="E1178" i="21"/>
  <c r="D1179" i="21"/>
  <c r="E1179" i="21"/>
  <c r="D1180" i="21"/>
  <c r="E1180" i="21"/>
  <c r="D1181" i="21"/>
  <c r="E1181" i="21"/>
  <c r="D1182" i="21"/>
  <c r="E1182" i="21"/>
  <c r="D1183" i="21"/>
  <c r="E1183" i="21"/>
  <c r="D1184" i="21"/>
  <c r="E1184" i="21"/>
  <c r="D1185" i="21"/>
  <c r="E1185" i="21"/>
  <c r="D1186" i="21"/>
  <c r="E1186" i="21"/>
  <c r="D1187" i="21"/>
  <c r="E1187" i="21"/>
  <c r="D1188" i="21"/>
  <c r="E1188" i="21"/>
  <c r="D1189" i="21"/>
  <c r="E1189" i="21"/>
  <c r="D1190" i="21"/>
  <c r="E1190" i="21"/>
  <c r="D1191" i="21"/>
  <c r="E1191" i="21"/>
  <c r="D1192" i="21"/>
  <c r="E1192" i="21"/>
  <c r="D1193" i="21"/>
  <c r="E1193" i="21"/>
  <c r="D1194" i="21"/>
  <c r="E1194" i="21"/>
  <c r="D1195" i="21"/>
  <c r="E1195" i="21"/>
  <c r="D1196" i="21"/>
  <c r="E1196" i="21"/>
  <c r="D1197" i="21"/>
  <c r="E1197" i="21"/>
  <c r="D1198" i="21"/>
  <c r="E1198" i="21"/>
  <c r="D1199" i="21"/>
  <c r="E1199" i="21"/>
  <c r="D1200" i="21"/>
  <c r="E1200" i="21"/>
  <c r="D1201" i="21"/>
  <c r="E1201" i="21"/>
  <c r="D1202" i="21"/>
  <c r="E1202" i="21"/>
  <c r="D1203" i="21"/>
  <c r="E1203" i="21"/>
  <c r="D1204" i="21"/>
  <c r="E1204" i="21"/>
  <c r="D1205" i="21"/>
  <c r="E1205" i="21"/>
  <c r="D1206" i="21"/>
  <c r="E1206" i="21"/>
  <c r="D1207" i="21"/>
  <c r="E1207" i="21"/>
  <c r="D1208" i="21"/>
  <c r="E1208" i="21"/>
  <c r="D1209" i="21"/>
  <c r="E1209" i="21"/>
  <c r="D1210" i="21"/>
  <c r="E1210" i="21"/>
  <c r="D1211" i="21"/>
  <c r="E1211" i="21"/>
  <c r="D1212" i="21"/>
  <c r="E1212" i="21"/>
  <c r="D1213" i="21"/>
  <c r="E1213" i="21"/>
  <c r="D1214" i="21"/>
  <c r="E1214" i="21"/>
  <c r="D1215" i="21"/>
  <c r="E1215" i="21"/>
  <c r="D1216" i="21"/>
  <c r="E1216" i="21"/>
  <c r="D1217" i="21"/>
  <c r="E1217" i="21"/>
  <c r="D1218" i="21"/>
  <c r="E1218" i="21"/>
  <c r="D1219" i="21"/>
  <c r="E1219" i="21"/>
  <c r="D1220" i="21"/>
  <c r="E1220" i="21"/>
  <c r="D1221" i="21"/>
  <c r="E1221" i="21"/>
  <c r="D1222" i="21"/>
  <c r="E1222" i="21"/>
  <c r="D1223" i="21"/>
  <c r="E1223" i="21"/>
  <c r="D1224" i="21"/>
  <c r="E1224" i="21"/>
  <c r="D1225" i="21"/>
  <c r="E1225" i="21"/>
  <c r="D1226" i="21"/>
  <c r="E1226" i="21"/>
  <c r="D1227" i="21"/>
  <c r="E1227" i="21"/>
  <c r="D1228" i="21"/>
  <c r="E1228" i="21"/>
  <c r="D1229" i="21"/>
  <c r="E1229" i="21"/>
  <c r="D1230" i="21"/>
  <c r="E1230" i="21"/>
  <c r="D1231" i="21"/>
  <c r="E1231" i="21"/>
  <c r="D1232" i="21"/>
  <c r="E1232" i="21"/>
  <c r="D1233" i="21"/>
  <c r="E1233" i="21"/>
  <c r="D1234" i="21"/>
  <c r="E1234" i="21"/>
  <c r="D1235" i="21"/>
  <c r="E1235" i="21"/>
  <c r="D1236" i="21"/>
  <c r="E1236" i="21"/>
  <c r="D1237" i="21"/>
  <c r="E1237" i="21"/>
  <c r="D1238" i="21"/>
  <c r="E1238" i="21"/>
  <c r="D1239" i="21"/>
  <c r="E1239" i="21"/>
  <c r="D1240" i="21"/>
  <c r="E1240" i="21"/>
  <c r="D1241" i="21"/>
  <c r="E1241" i="21"/>
  <c r="D1242" i="21"/>
  <c r="E1242" i="21"/>
  <c r="D1243" i="21"/>
  <c r="E1243" i="21"/>
  <c r="D1244" i="21"/>
  <c r="E1244" i="21"/>
  <c r="D1245" i="21"/>
  <c r="E1245" i="21"/>
  <c r="D1246" i="21"/>
  <c r="E1246" i="21"/>
  <c r="D1247" i="21"/>
  <c r="E1247" i="21"/>
  <c r="D1248" i="21"/>
  <c r="E1248" i="21"/>
  <c r="D1249" i="21"/>
  <c r="E1249" i="21"/>
  <c r="D1250" i="21"/>
  <c r="E1250" i="21"/>
  <c r="D1251" i="21"/>
  <c r="E1251" i="21"/>
  <c r="D1252" i="21"/>
  <c r="E1252" i="21"/>
  <c r="D1253" i="21"/>
  <c r="E1253" i="21"/>
  <c r="D1254" i="21"/>
  <c r="E1254" i="21"/>
  <c r="D1255" i="21"/>
  <c r="E1255" i="21"/>
  <c r="D1256" i="21"/>
  <c r="E1256" i="21"/>
  <c r="D1257" i="21"/>
  <c r="E1257" i="21"/>
  <c r="D1258" i="21"/>
  <c r="E1258" i="21"/>
  <c r="D1259" i="21"/>
  <c r="E1259" i="21"/>
  <c r="D1260" i="21"/>
  <c r="E1260" i="21"/>
  <c r="D1261" i="21"/>
  <c r="E1261" i="21"/>
  <c r="D1262" i="21"/>
  <c r="E1262" i="21"/>
  <c r="E1176" i="21"/>
  <c r="D1176" i="21"/>
  <c r="H1183" i="21" l="1"/>
  <c r="H1197" i="21"/>
  <c r="H1198" i="21"/>
  <c r="H1182" i="21"/>
  <c r="U94" i="25"/>
  <c r="U95" i="25"/>
  <c r="U96" i="25"/>
  <c r="U8" i="25"/>
  <c r="U9" i="25"/>
  <c r="U10" i="25"/>
  <c r="U11" i="25"/>
  <c r="U12" i="25"/>
  <c r="U13" i="25"/>
  <c r="U14" i="25"/>
  <c r="U15" i="25"/>
  <c r="U16" i="25"/>
  <c r="U17" i="25"/>
  <c r="U18" i="25"/>
  <c r="U19" i="25"/>
  <c r="U20" i="25"/>
  <c r="U21" i="25"/>
  <c r="U22" i="25"/>
  <c r="U23" i="25"/>
  <c r="U24" i="25"/>
  <c r="U25" i="25"/>
  <c r="U26" i="25"/>
  <c r="U27" i="25"/>
  <c r="U28" i="25"/>
  <c r="U29" i="25"/>
  <c r="U30" i="25"/>
  <c r="U31" i="25"/>
  <c r="U32" i="25"/>
  <c r="U33" i="25"/>
  <c r="U34" i="25"/>
  <c r="U35" i="25"/>
  <c r="U36" i="25"/>
  <c r="U37" i="25"/>
  <c r="U38" i="25"/>
  <c r="U39" i="25"/>
  <c r="U40" i="25"/>
  <c r="U41" i="25"/>
  <c r="U42" i="25"/>
  <c r="U43" i="25"/>
  <c r="U44" i="25"/>
  <c r="U45" i="25"/>
  <c r="U46" i="25"/>
  <c r="U47" i="25"/>
  <c r="U48" i="25"/>
  <c r="U49" i="25"/>
  <c r="U50" i="25"/>
  <c r="U51" i="25"/>
  <c r="U52" i="25"/>
  <c r="U53" i="25"/>
  <c r="U54" i="25"/>
  <c r="U55" i="25"/>
  <c r="U56" i="25"/>
  <c r="U57" i="25"/>
  <c r="U58" i="25"/>
  <c r="U59" i="25"/>
  <c r="U60" i="25"/>
  <c r="U61" i="25"/>
  <c r="U62" i="25"/>
  <c r="U63" i="25"/>
  <c r="U64" i="25"/>
  <c r="U65" i="25"/>
  <c r="U66" i="25"/>
  <c r="U67" i="25"/>
  <c r="U68" i="25"/>
  <c r="U69" i="25"/>
  <c r="U70" i="25"/>
  <c r="U71" i="25"/>
  <c r="U72" i="25"/>
  <c r="U73" i="25"/>
  <c r="U74" i="25"/>
  <c r="U75" i="25"/>
  <c r="U76" i="25"/>
  <c r="U77" i="25"/>
  <c r="U78" i="25"/>
  <c r="U79" i="25"/>
  <c r="U80" i="25"/>
  <c r="U81" i="25"/>
  <c r="U82" i="25"/>
  <c r="U83" i="25"/>
  <c r="U84" i="25"/>
  <c r="U85" i="25"/>
  <c r="U86" i="25"/>
  <c r="U87" i="25"/>
  <c r="U88" i="25"/>
  <c r="U89" i="25"/>
  <c r="U90" i="25"/>
  <c r="U91" i="25"/>
  <c r="U92" i="25"/>
  <c r="U93" i="25"/>
  <c r="U7" i="25"/>
  <c r="T94" i="25"/>
  <c r="T95" i="25"/>
  <c r="T96" i="25"/>
  <c r="T8" i="25"/>
  <c r="T9" i="25"/>
  <c r="T10" i="25"/>
  <c r="T11" i="25"/>
  <c r="T12" i="25"/>
  <c r="T13" i="25"/>
  <c r="T14" i="25"/>
  <c r="T15" i="25"/>
  <c r="T16" i="25"/>
  <c r="T17" i="25"/>
  <c r="T18" i="25"/>
  <c r="T19" i="25"/>
  <c r="T20" i="25"/>
  <c r="T21" i="25"/>
  <c r="T22" i="25"/>
  <c r="T23" i="25"/>
  <c r="T24" i="25"/>
  <c r="T25" i="25"/>
  <c r="T26" i="25"/>
  <c r="T27" i="25"/>
  <c r="T28" i="25"/>
  <c r="T29" i="25"/>
  <c r="T30" i="25"/>
  <c r="T31" i="25"/>
  <c r="T32" i="25"/>
  <c r="T33" i="25"/>
  <c r="T34" i="25"/>
  <c r="T35" i="25"/>
  <c r="T36" i="25"/>
  <c r="T37" i="25"/>
  <c r="T38" i="25"/>
  <c r="T39" i="25"/>
  <c r="T40" i="25"/>
  <c r="T41" i="25"/>
  <c r="T42" i="25"/>
  <c r="T43" i="25"/>
  <c r="T44" i="25"/>
  <c r="T45" i="25"/>
  <c r="T46" i="25"/>
  <c r="T47" i="25"/>
  <c r="T48" i="25"/>
  <c r="T49" i="25"/>
  <c r="T50" i="25"/>
  <c r="T51" i="25"/>
  <c r="T52" i="25"/>
  <c r="T53" i="25"/>
  <c r="T54" i="25"/>
  <c r="T55" i="25"/>
  <c r="T56" i="25"/>
  <c r="T57" i="25"/>
  <c r="T58" i="25"/>
  <c r="T59" i="25"/>
  <c r="T60" i="25"/>
  <c r="T61" i="25"/>
  <c r="T62" i="25"/>
  <c r="T63" i="25"/>
  <c r="T64" i="25"/>
  <c r="T65" i="25"/>
  <c r="T66" i="25"/>
  <c r="T67" i="25"/>
  <c r="T68" i="25"/>
  <c r="T69" i="25"/>
  <c r="T70" i="25"/>
  <c r="T71" i="25"/>
  <c r="T72" i="25"/>
  <c r="T73" i="25"/>
  <c r="T74" i="25"/>
  <c r="T75" i="25"/>
  <c r="T76" i="25"/>
  <c r="T77" i="25"/>
  <c r="T78" i="25"/>
  <c r="T79" i="25"/>
  <c r="T80" i="25"/>
  <c r="T81" i="25"/>
  <c r="T82" i="25"/>
  <c r="T83" i="25"/>
  <c r="T84" i="25"/>
  <c r="T85" i="25"/>
  <c r="T86" i="25"/>
  <c r="T87" i="25"/>
  <c r="T88" i="25"/>
  <c r="T89" i="25"/>
  <c r="T90" i="25"/>
  <c r="T91" i="25"/>
  <c r="T92" i="25"/>
  <c r="T93" i="25"/>
  <c r="T7" i="25"/>
  <c r="B94" i="25"/>
  <c r="B95" i="25"/>
  <c r="B96" i="25"/>
  <c r="Y5" i="24"/>
  <c r="AO94" i="24"/>
  <c r="AO95" i="24"/>
  <c r="AO96" i="24"/>
  <c r="AN94" i="24"/>
  <c r="AN95" i="24"/>
  <c r="AN96" i="24"/>
  <c r="AM94" i="24"/>
  <c r="AM95" i="24"/>
  <c r="AM96" i="24"/>
  <c r="Y94" i="24"/>
  <c r="Y95" i="24"/>
  <c r="Y96" i="24"/>
  <c r="Y8" i="24"/>
  <c r="Y9" i="24"/>
  <c r="Y10" i="24"/>
  <c r="Y11" i="24"/>
  <c r="Y12" i="24"/>
  <c r="Y13" i="24"/>
  <c r="Y14" i="24"/>
  <c r="Y15" i="24"/>
  <c r="Y16" i="24"/>
  <c r="Y17" i="24"/>
  <c r="Y18" i="24"/>
  <c r="Y19" i="24"/>
  <c r="Y20" i="24"/>
  <c r="Y21" i="24"/>
  <c r="Y22" i="24"/>
  <c r="Y23" i="24"/>
  <c r="Y24" i="24"/>
  <c r="Y25" i="24"/>
  <c r="Y26" i="24"/>
  <c r="Y27" i="24"/>
  <c r="Y28" i="24"/>
  <c r="Y29" i="24"/>
  <c r="Y30" i="24"/>
  <c r="Y31" i="24"/>
  <c r="Y32" i="24"/>
  <c r="Y33" i="24"/>
  <c r="Y34" i="24"/>
  <c r="Y35" i="24"/>
  <c r="Y36" i="24"/>
  <c r="Y37" i="24"/>
  <c r="Y38" i="24"/>
  <c r="Y39" i="24"/>
  <c r="Y40" i="24"/>
  <c r="Y41" i="24"/>
  <c r="Y42" i="24"/>
  <c r="Y43" i="24"/>
  <c r="Y44" i="24"/>
  <c r="Y45" i="24"/>
  <c r="Y46" i="24"/>
  <c r="Y47" i="24"/>
  <c r="Y48" i="24"/>
  <c r="Y49" i="24"/>
  <c r="Y50" i="24"/>
  <c r="Y51" i="24"/>
  <c r="Y52" i="24"/>
  <c r="Y53" i="24"/>
  <c r="Y54" i="24"/>
  <c r="Y55" i="24"/>
  <c r="Y56" i="24"/>
  <c r="Y57" i="24"/>
  <c r="Y58" i="24"/>
  <c r="Y59" i="24"/>
  <c r="Y60" i="24"/>
  <c r="Y61" i="24"/>
  <c r="Y62" i="24"/>
  <c r="Y63" i="24"/>
  <c r="Y64" i="24"/>
  <c r="Y65" i="24"/>
  <c r="Y66" i="24"/>
  <c r="Y67" i="24"/>
  <c r="Y68" i="24"/>
  <c r="Y69" i="24"/>
  <c r="Y70" i="24"/>
  <c r="Y71" i="24"/>
  <c r="Y72" i="24"/>
  <c r="Y73" i="24"/>
  <c r="Y74" i="24"/>
  <c r="Y75" i="24"/>
  <c r="Y76" i="24"/>
  <c r="Y77" i="24"/>
  <c r="Y78" i="24"/>
  <c r="Y79" i="24"/>
  <c r="Y80" i="24"/>
  <c r="Y81" i="24"/>
  <c r="Y82" i="24"/>
  <c r="Y83" i="24"/>
  <c r="Y84" i="24"/>
  <c r="Y85" i="24"/>
  <c r="Y86" i="24"/>
  <c r="Y87" i="24"/>
  <c r="Y88" i="24"/>
  <c r="Y89" i="24"/>
  <c r="Y90" i="24"/>
  <c r="Y91" i="24"/>
  <c r="Y92" i="24"/>
  <c r="Y93" i="24"/>
  <c r="Y7" i="24"/>
  <c r="X94" i="24"/>
  <c r="X95" i="24"/>
  <c r="X96" i="24"/>
  <c r="X8" i="24"/>
  <c r="X9" i="24"/>
  <c r="X10" i="24"/>
  <c r="X11" i="24"/>
  <c r="X12" i="24"/>
  <c r="X13" i="24"/>
  <c r="X14" i="24"/>
  <c r="X15" i="24"/>
  <c r="X16" i="24"/>
  <c r="X17" i="24"/>
  <c r="X18" i="24"/>
  <c r="X19" i="24"/>
  <c r="X20" i="24"/>
  <c r="X21" i="24"/>
  <c r="X22" i="24"/>
  <c r="X23" i="24"/>
  <c r="X24" i="24"/>
  <c r="X25" i="24"/>
  <c r="X26" i="24"/>
  <c r="X27" i="24"/>
  <c r="X28" i="24"/>
  <c r="X29" i="24"/>
  <c r="X30" i="24"/>
  <c r="X31" i="24"/>
  <c r="X32" i="24"/>
  <c r="X33" i="24"/>
  <c r="X34" i="24"/>
  <c r="X35" i="24"/>
  <c r="X36" i="24"/>
  <c r="X37" i="24"/>
  <c r="X38" i="24"/>
  <c r="X39" i="24"/>
  <c r="X40" i="24"/>
  <c r="X41" i="24"/>
  <c r="X42" i="24"/>
  <c r="X43" i="24"/>
  <c r="X44" i="24"/>
  <c r="X45" i="24"/>
  <c r="X46" i="24"/>
  <c r="X47" i="24"/>
  <c r="X48" i="24"/>
  <c r="X49" i="24"/>
  <c r="X50" i="24"/>
  <c r="X51" i="24"/>
  <c r="X52" i="24"/>
  <c r="X53" i="24"/>
  <c r="X54" i="24"/>
  <c r="X55" i="24"/>
  <c r="X56" i="24"/>
  <c r="X57" i="24"/>
  <c r="X58" i="24"/>
  <c r="X59" i="24"/>
  <c r="X60" i="24"/>
  <c r="X61" i="24"/>
  <c r="X62" i="24"/>
  <c r="X63" i="24"/>
  <c r="X64" i="24"/>
  <c r="X65" i="24"/>
  <c r="X66" i="24"/>
  <c r="X67" i="24"/>
  <c r="X68" i="24"/>
  <c r="X69" i="24"/>
  <c r="X70" i="24"/>
  <c r="X71" i="24"/>
  <c r="X72" i="24"/>
  <c r="X73" i="24"/>
  <c r="X74" i="24"/>
  <c r="X75" i="24"/>
  <c r="X76" i="24"/>
  <c r="X77" i="24"/>
  <c r="X78" i="24"/>
  <c r="X79" i="24"/>
  <c r="X80" i="24"/>
  <c r="X81" i="24"/>
  <c r="X82" i="24"/>
  <c r="X83" i="24"/>
  <c r="X84" i="24"/>
  <c r="X85" i="24"/>
  <c r="X86" i="24"/>
  <c r="X87" i="24"/>
  <c r="X88" i="24"/>
  <c r="X89" i="24"/>
  <c r="X90" i="24"/>
  <c r="X91" i="24"/>
  <c r="X92" i="24"/>
  <c r="X93" i="24"/>
  <c r="X7" i="24"/>
  <c r="W94" i="24"/>
  <c r="W95" i="24"/>
  <c r="W96" i="24"/>
  <c r="B94" i="24"/>
  <c r="B95" i="24"/>
  <c r="B96" i="24"/>
  <c r="AG95" i="13"/>
  <c r="AQ95" i="12"/>
  <c r="AO95" i="11"/>
  <c r="T93" i="24"/>
  <c r="T96" i="24"/>
  <c r="T94" i="24"/>
  <c r="T95" i="24"/>
  <c r="AJ94" i="13" l="1"/>
  <c r="AK94" i="13"/>
  <c r="AN94" i="13"/>
  <c r="AJ95" i="13"/>
  <c r="AK95" i="13"/>
  <c r="AN95" i="13"/>
  <c r="AJ96" i="13"/>
  <c r="AK96" i="13"/>
  <c r="AN96" i="13"/>
  <c r="AE94" i="13"/>
  <c r="AF94" i="13" s="1"/>
  <c r="K94" i="13" s="1"/>
  <c r="AE95" i="13"/>
  <c r="AF95" i="13" s="1"/>
  <c r="K95" i="13" s="1"/>
  <c r="AE96" i="13"/>
  <c r="AF96" i="13" s="1"/>
  <c r="K96" i="13" s="1"/>
  <c r="AE8" i="13"/>
  <c r="AE9" i="13"/>
  <c r="AE10" i="13"/>
  <c r="AE11" i="13"/>
  <c r="AE12" i="13"/>
  <c r="AE13" i="13"/>
  <c r="AE14" i="13"/>
  <c r="AE15" i="13"/>
  <c r="AE16" i="13"/>
  <c r="AE17" i="13"/>
  <c r="AE18" i="13"/>
  <c r="AE19" i="13"/>
  <c r="AE20" i="13"/>
  <c r="AE21" i="13"/>
  <c r="AE22" i="13"/>
  <c r="AE23" i="13"/>
  <c r="AE24" i="13"/>
  <c r="AE25" i="13"/>
  <c r="AE26" i="13"/>
  <c r="AE27" i="13"/>
  <c r="AE28" i="13"/>
  <c r="AE29" i="13"/>
  <c r="AE30" i="13"/>
  <c r="AE31" i="13"/>
  <c r="AE32" i="13"/>
  <c r="AE33" i="13"/>
  <c r="AE34" i="13"/>
  <c r="AE35" i="13"/>
  <c r="AE36" i="13"/>
  <c r="AE37" i="13"/>
  <c r="AE38" i="13"/>
  <c r="AE39" i="13"/>
  <c r="AE40" i="13"/>
  <c r="AE41" i="13"/>
  <c r="AE42" i="13"/>
  <c r="AE43" i="13"/>
  <c r="AE44" i="13"/>
  <c r="AE45" i="13"/>
  <c r="AE46" i="13"/>
  <c r="AE47" i="13"/>
  <c r="AE48" i="13"/>
  <c r="AE49" i="13"/>
  <c r="AE50" i="13"/>
  <c r="AE51" i="13"/>
  <c r="AE52" i="13"/>
  <c r="AE53" i="13"/>
  <c r="AE54" i="13"/>
  <c r="AE55" i="13"/>
  <c r="AE56" i="13"/>
  <c r="AE57" i="13"/>
  <c r="AE58" i="13"/>
  <c r="AE59" i="13"/>
  <c r="AE60" i="13"/>
  <c r="AE61" i="13"/>
  <c r="AE62" i="13"/>
  <c r="AE63" i="13"/>
  <c r="AE64" i="13"/>
  <c r="AE65" i="13"/>
  <c r="AE66" i="13"/>
  <c r="AE67" i="13"/>
  <c r="AE68" i="13"/>
  <c r="AE69" i="13"/>
  <c r="AE70" i="13"/>
  <c r="AE71" i="13"/>
  <c r="AE72" i="13"/>
  <c r="AE73" i="13"/>
  <c r="AE74" i="13"/>
  <c r="AE75" i="13"/>
  <c r="AE76" i="13"/>
  <c r="AE77" i="13"/>
  <c r="AE78" i="13"/>
  <c r="AE79" i="13"/>
  <c r="AE80" i="13"/>
  <c r="AE81" i="13"/>
  <c r="AE82" i="13"/>
  <c r="AE83" i="13"/>
  <c r="AE84" i="13"/>
  <c r="AE85" i="13"/>
  <c r="AE86" i="13"/>
  <c r="AE87" i="13"/>
  <c r="AE88" i="13"/>
  <c r="AE89" i="13"/>
  <c r="AE90" i="13"/>
  <c r="AE91" i="13"/>
  <c r="AE92" i="13"/>
  <c r="AE93" i="13"/>
  <c r="AE7" i="13"/>
  <c r="AI94" i="13"/>
  <c r="AI95" i="13"/>
  <c r="AI96" i="13"/>
  <c r="T94" i="13"/>
  <c r="U94" i="13"/>
  <c r="T95" i="13"/>
  <c r="U95" i="13"/>
  <c r="T96" i="13"/>
  <c r="U96" i="13"/>
  <c r="T8" i="13"/>
  <c r="U8" i="13"/>
  <c r="T9" i="13"/>
  <c r="U9" i="13"/>
  <c r="T10" i="13"/>
  <c r="U10" i="13"/>
  <c r="T11" i="13"/>
  <c r="U11" i="13"/>
  <c r="T12" i="13"/>
  <c r="U12" i="13"/>
  <c r="T13" i="13"/>
  <c r="U13" i="13"/>
  <c r="T14" i="13"/>
  <c r="U14" i="13"/>
  <c r="T15" i="13"/>
  <c r="U15" i="13"/>
  <c r="T16" i="13"/>
  <c r="U16" i="13"/>
  <c r="T17" i="13"/>
  <c r="U17" i="13"/>
  <c r="T18" i="13"/>
  <c r="U18" i="13"/>
  <c r="T19" i="13"/>
  <c r="U19" i="13"/>
  <c r="T20" i="13"/>
  <c r="U20" i="13"/>
  <c r="T21" i="13"/>
  <c r="U21" i="13"/>
  <c r="T22" i="13"/>
  <c r="U22" i="13"/>
  <c r="T23" i="13"/>
  <c r="U23" i="13"/>
  <c r="T24" i="13"/>
  <c r="U24" i="13"/>
  <c r="T25" i="13"/>
  <c r="U25" i="13"/>
  <c r="T26" i="13"/>
  <c r="U26" i="13"/>
  <c r="T27" i="13"/>
  <c r="U27" i="13"/>
  <c r="T28" i="13"/>
  <c r="U28" i="13"/>
  <c r="T29" i="13"/>
  <c r="U29" i="13"/>
  <c r="T30" i="13"/>
  <c r="U30" i="13"/>
  <c r="T31" i="13"/>
  <c r="U31" i="13"/>
  <c r="T32" i="13"/>
  <c r="U32" i="13"/>
  <c r="T33" i="13"/>
  <c r="U33" i="13"/>
  <c r="T34" i="13"/>
  <c r="U34" i="13"/>
  <c r="T35" i="13"/>
  <c r="U35" i="13"/>
  <c r="T36" i="13"/>
  <c r="U36" i="13"/>
  <c r="T37" i="13"/>
  <c r="U37" i="13"/>
  <c r="T38" i="13"/>
  <c r="U38" i="13"/>
  <c r="T39" i="13"/>
  <c r="U39" i="13"/>
  <c r="T40" i="13"/>
  <c r="U40" i="13"/>
  <c r="T41" i="13"/>
  <c r="U41" i="13"/>
  <c r="T42" i="13"/>
  <c r="U42" i="13"/>
  <c r="T43" i="13"/>
  <c r="U43" i="13"/>
  <c r="T44" i="13"/>
  <c r="U44" i="13"/>
  <c r="T45" i="13"/>
  <c r="U45" i="13"/>
  <c r="T46" i="13"/>
  <c r="U46" i="13"/>
  <c r="T47" i="13"/>
  <c r="U47" i="13"/>
  <c r="T48" i="13"/>
  <c r="U48" i="13"/>
  <c r="T49" i="13"/>
  <c r="U49" i="13"/>
  <c r="T50" i="13"/>
  <c r="U50" i="13"/>
  <c r="T51" i="13"/>
  <c r="U51" i="13"/>
  <c r="T52" i="13"/>
  <c r="U52" i="13"/>
  <c r="T53" i="13"/>
  <c r="U53" i="13"/>
  <c r="T54" i="13"/>
  <c r="U54" i="13"/>
  <c r="T55" i="13"/>
  <c r="U55" i="13"/>
  <c r="T56" i="13"/>
  <c r="U56" i="13"/>
  <c r="T57" i="13"/>
  <c r="U57" i="13"/>
  <c r="T58" i="13"/>
  <c r="U58" i="13"/>
  <c r="T59" i="13"/>
  <c r="U59" i="13"/>
  <c r="T60" i="13"/>
  <c r="U60" i="13"/>
  <c r="T61" i="13"/>
  <c r="U61" i="13"/>
  <c r="T62" i="13"/>
  <c r="U62" i="13"/>
  <c r="T63" i="13"/>
  <c r="U63" i="13"/>
  <c r="T64" i="13"/>
  <c r="U64" i="13"/>
  <c r="T65" i="13"/>
  <c r="U65" i="13"/>
  <c r="T66" i="13"/>
  <c r="U66" i="13"/>
  <c r="T67" i="13"/>
  <c r="U67" i="13"/>
  <c r="T68" i="13"/>
  <c r="U68" i="13"/>
  <c r="T69" i="13"/>
  <c r="U69" i="13"/>
  <c r="T70" i="13"/>
  <c r="U70" i="13"/>
  <c r="T71" i="13"/>
  <c r="U71" i="13"/>
  <c r="T72" i="13"/>
  <c r="U72" i="13"/>
  <c r="T73" i="13"/>
  <c r="U73" i="13"/>
  <c r="T74" i="13"/>
  <c r="U74" i="13"/>
  <c r="T75" i="13"/>
  <c r="U75" i="13"/>
  <c r="T76" i="13"/>
  <c r="U76" i="13"/>
  <c r="T77" i="13"/>
  <c r="U77" i="13"/>
  <c r="T78" i="13"/>
  <c r="U78" i="13"/>
  <c r="T79" i="13"/>
  <c r="U79" i="13"/>
  <c r="T80" i="13"/>
  <c r="U80" i="13"/>
  <c r="T81" i="13"/>
  <c r="U81" i="13"/>
  <c r="T82" i="13"/>
  <c r="U82" i="13"/>
  <c r="T83" i="13"/>
  <c r="U83" i="13"/>
  <c r="T84" i="13"/>
  <c r="U84" i="13"/>
  <c r="T85" i="13"/>
  <c r="U85" i="13"/>
  <c r="T86" i="13"/>
  <c r="U86" i="13"/>
  <c r="T87" i="13"/>
  <c r="U87" i="13"/>
  <c r="T88" i="13"/>
  <c r="U88" i="13"/>
  <c r="T89" i="13"/>
  <c r="U89" i="13"/>
  <c r="T90" i="13"/>
  <c r="U90" i="13"/>
  <c r="T91" i="13"/>
  <c r="U91" i="13"/>
  <c r="T92" i="13"/>
  <c r="U92" i="13"/>
  <c r="T93" i="13"/>
  <c r="U93" i="13"/>
  <c r="U7" i="13"/>
  <c r="T7" i="13"/>
  <c r="S94" i="13"/>
  <c r="S95" i="13"/>
  <c r="S96" i="13"/>
  <c r="N94" i="13"/>
  <c r="E94" i="13" s="1"/>
  <c r="N95" i="13"/>
  <c r="E95" i="13" s="1"/>
  <c r="N96" i="13"/>
  <c r="E96" i="13" s="1"/>
  <c r="N8" i="13"/>
  <c r="E8" i="13" s="1"/>
  <c r="N9" i="13"/>
  <c r="E9" i="13" s="1"/>
  <c r="N10" i="13"/>
  <c r="E10" i="13" s="1"/>
  <c r="N11" i="13"/>
  <c r="E11" i="13" s="1"/>
  <c r="N12" i="13"/>
  <c r="E12" i="13" s="1"/>
  <c r="N13" i="13"/>
  <c r="E13" i="13" s="1"/>
  <c r="N14" i="13"/>
  <c r="E14" i="13" s="1"/>
  <c r="N15" i="13"/>
  <c r="E15" i="13" s="1"/>
  <c r="N16" i="13"/>
  <c r="E16" i="13" s="1"/>
  <c r="N17" i="13"/>
  <c r="E17" i="13" s="1"/>
  <c r="N18" i="13"/>
  <c r="E18" i="13" s="1"/>
  <c r="N19" i="13"/>
  <c r="E19" i="13" s="1"/>
  <c r="N20" i="13"/>
  <c r="E20" i="13" s="1"/>
  <c r="N21" i="13"/>
  <c r="E21" i="13" s="1"/>
  <c r="N22" i="13"/>
  <c r="E22" i="13" s="1"/>
  <c r="N23" i="13"/>
  <c r="E23" i="13" s="1"/>
  <c r="N24" i="13"/>
  <c r="E24" i="13" s="1"/>
  <c r="N25" i="13"/>
  <c r="E25" i="13" s="1"/>
  <c r="N26" i="13"/>
  <c r="E26" i="13" s="1"/>
  <c r="N27" i="13"/>
  <c r="E27" i="13" s="1"/>
  <c r="N28" i="13"/>
  <c r="E28" i="13" s="1"/>
  <c r="N29" i="13"/>
  <c r="E29" i="13" s="1"/>
  <c r="N30" i="13"/>
  <c r="E30" i="13" s="1"/>
  <c r="N31" i="13"/>
  <c r="E31" i="13" s="1"/>
  <c r="N32" i="13"/>
  <c r="E32" i="13" s="1"/>
  <c r="N33" i="13"/>
  <c r="E33" i="13" s="1"/>
  <c r="N34" i="13"/>
  <c r="E34" i="13" s="1"/>
  <c r="N35" i="13"/>
  <c r="E35" i="13" s="1"/>
  <c r="N36" i="13"/>
  <c r="E36" i="13" s="1"/>
  <c r="N37" i="13"/>
  <c r="E37" i="13" s="1"/>
  <c r="N38" i="13"/>
  <c r="E38" i="13" s="1"/>
  <c r="N39" i="13"/>
  <c r="E39" i="13" s="1"/>
  <c r="N40" i="13"/>
  <c r="E40" i="13" s="1"/>
  <c r="N41" i="13"/>
  <c r="E41" i="13" s="1"/>
  <c r="N42" i="13"/>
  <c r="E42" i="13" s="1"/>
  <c r="N43" i="13"/>
  <c r="E43" i="13" s="1"/>
  <c r="N44" i="13"/>
  <c r="E44" i="13" s="1"/>
  <c r="N45" i="13"/>
  <c r="E45" i="13" s="1"/>
  <c r="N46" i="13"/>
  <c r="E46" i="13" s="1"/>
  <c r="N47" i="13"/>
  <c r="E47" i="13" s="1"/>
  <c r="N48" i="13"/>
  <c r="E48" i="13" s="1"/>
  <c r="N49" i="13"/>
  <c r="E49" i="13" s="1"/>
  <c r="N50" i="13"/>
  <c r="E50" i="13" s="1"/>
  <c r="N51" i="13"/>
  <c r="E51" i="13" s="1"/>
  <c r="N52" i="13"/>
  <c r="E52" i="13" s="1"/>
  <c r="N53" i="13"/>
  <c r="E53" i="13" s="1"/>
  <c r="N54" i="13"/>
  <c r="E54" i="13" s="1"/>
  <c r="N55" i="13"/>
  <c r="E55" i="13" s="1"/>
  <c r="N56" i="13"/>
  <c r="E56" i="13" s="1"/>
  <c r="N57" i="13"/>
  <c r="E57" i="13" s="1"/>
  <c r="N58" i="13"/>
  <c r="E58" i="13" s="1"/>
  <c r="N59" i="13"/>
  <c r="E59" i="13" s="1"/>
  <c r="N60" i="13"/>
  <c r="E60" i="13" s="1"/>
  <c r="N61" i="13"/>
  <c r="E61" i="13" s="1"/>
  <c r="N62" i="13"/>
  <c r="E62" i="13" s="1"/>
  <c r="N63" i="13"/>
  <c r="E63" i="13" s="1"/>
  <c r="N64" i="13"/>
  <c r="E64" i="13" s="1"/>
  <c r="N65" i="13"/>
  <c r="E65" i="13" s="1"/>
  <c r="N66" i="13"/>
  <c r="E66" i="13" s="1"/>
  <c r="N67" i="13"/>
  <c r="E67" i="13" s="1"/>
  <c r="N68" i="13"/>
  <c r="E68" i="13" s="1"/>
  <c r="N69" i="13"/>
  <c r="E69" i="13" s="1"/>
  <c r="N70" i="13"/>
  <c r="E70" i="13" s="1"/>
  <c r="N71" i="13"/>
  <c r="E71" i="13" s="1"/>
  <c r="N72" i="13"/>
  <c r="E72" i="13" s="1"/>
  <c r="N73" i="13"/>
  <c r="E73" i="13" s="1"/>
  <c r="N74" i="13"/>
  <c r="E74" i="13" s="1"/>
  <c r="N75" i="13"/>
  <c r="E75" i="13" s="1"/>
  <c r="N76" i="13"/>
  <c r="E76" i="13" s="1"/>
  <c r="N77" i="13"/>
  <c r="E77" i="13" s="1"/>
  <c r="N78" i="13"/>
  <c r="E78" i="13" s="1"/>
  <c r="N79" i="13"/>
  <c r="E79" i="13" s="1"/>
  <c r="N80" i="13"/>
  <c r="E80" i="13" s="1"/>
  <c r="N81" i="13"/>
  <c r="E81" i="13" s="1"/>
  <c r="N82" i="13"/>
  <c r="E82" i="13" s="1"/>
  <c r="N83" i="13"/>
  <c r="E83" i="13" s="1"/>
  <c r="N84" i="13"/>
  <c r="E84" i="13" s="1"/>
  <c r="N85" i="13"/>
  <c r="E85" i="13" s="1"/>
  <c r="N86" i="13"/>
  <c r="E86" i="13" s="1"/>
  <c r="N87" i="13"/>
  <c r="E87" i="13" s="1"/>
  <c r="N88" i="13"/>
  <c r="E88" i="13" s="1"/>
  <c r="N89" i="13"/>
  <c r="E89" i="13" s="1"/>
  <c r="N90" i="13"/>
  <c r="E90" i="13" s="1"/>
  <c r="N91" i="13"/>
  <c r="E91" i="13" s="1"/>
  <c r="N92" i="13"/>
  <c r="E92" i="13" s="1"/>
  <c r="N93" i="13"/>
  <c r="E93" i="13" s="1"/>
  <c r="N7" i="13"/>
  <c r="E7" i="13" s="1"/>
  <c r="C8" i="13"/>
  <c r="C9" i="13"/>
  <c r="C10" i="13"/>
  <c r="C11" i="13"/>
  <c r="C12" i="13"/>
  <c r="C13" i="13"/>
  <c r="C14" i="13"/>
  <c r="C15" i="13"/>
  <c r="C16" i="13"/>
  <c r="C17" i="13"/>
  <c r="C18" i="13"/>
  <c r="C19" i="13"/>
  <c r="C20" i="13"/>
  <c r="C21" i="13"/>
  <c r="C22" i="13"/>
  <c r="C23" i="13"/>
  <c r="C24" i="13"/>
  <c r="C25" i="13"/>
  <c r="C26" i="13"/>
  <c r="C27" i="13"/>
  <c r="C28" i="13"/>
  <c r="C29" i="13"/>
  <c r="C30" i="13"/>
  <c r="C31" i="13"/>
  <c r="C32" i="13"/>
  <c r="C33" i="13"/>
  <c r="C34" i="13"/>
  <c r="C35" i="13"/>
  <c r="C36" i="13"/>
  <c r="C37" i="13"/>
  <c r="C38" i="13"/>
  <c r="C39" i="13"/>
  <c r="C40" i="13"/>
  <c r="C41" i="13"/>
  <c r="C42" i="13"/>
  <c r="C43" i="13"/>
  <c r="C44" i="13"/>
  <c r="C45" i="13"/>
  <c r="C46" i="13"/>
  <c r="C47" i="13"/>
  <c r="C48" i="13"/>
  <c r="C49" i="13"/>
  <c r="C50" i="13"/>
  <c r="C51" i="13"/>
  <c r="C52" i="13"/>
  <c r="C53" i="13"/>
  <c r="C54" i="13"/>
  <c r="C55" i="13"/>
  <c r="C56" i="13"/>
  <c r="C57" i="13"/>
  <c r="C58" i="13"/>
  <c r="C59" i="13"/>
  <c r="C60" i="13"/>
  <c r="C61" i="13"/>
  <c r="C62" i="13"/>
  <c r="C63" i="13"/>
  <c r="C64" i="13"/>
  <c r="C65" i="13"/>
  <c r="C66" i="13"/>
  <c r="C67" i="13"/>
  <c r="C68" i="13"/>
  <c r="C69" i="13"/>
  <c r="C70" i="13"/>
  <c r="C71" i="13"/>
  <c r="C72" i="13"/>
  <c r="C73" i="13"/>
  <c r="C74" i="13"/>
  <c r="C75" i="13"/>
  <c r="C76" i="13"/>
  <c r="C77" i="13"/>
  <c r="C78" i="13"/>
  <c r="C79" i="13"/>
  <c r="C80" i="13"/>
  <c r="C81" i="13"/>
  <c r="C82" i="13"/>
  <c r="C83" i="13"/>
  <c r="C84" i="13"/>
  <c r="C85" i="13"/>
  <c r="C86" i="13"/>
  <c r="C87" i="13"/>
  <c r="C88" i="13"/>
  <c r="C89" i="13"/>
  <c r="C90" i="13"/>
  <c r="C91" i="13"/>
  <c r="C92" i="13"/>
  <c r="C93" i="13"/>
  <c r="C7" i="13"/>
  <c r="B94" i="13"/>
  <c r="B95" i="13"/>
  <c r="B96" i="13"/>
  <c r="AT94" i="12"/>
  <c r="AU94" i="12"/>
  <c r="AX94" i="12"/>
  <c r="AT95" i="12"/>
  <c r="AU95" i="12"/>
  <c r="AX95" i="12"/>
  <c r="AT96" i="12"/>
  <c r="AU96" i="12"/>
  <c r="AX96" i="12"/>
  <c r="AS94" i="12"/>
  <c r="AS95" i="12"/>
  <c r="AS96" i="12"/>
  <c r="AO94" i="12"/>
  <c r="AP94" i="12" s="1"/>
  <c r="K94" i="12" s="1"/>
  <c r="AO95" i="12"/>
  <c r="AP95" i="12" s="1"/>
  <c r="K95" i="12" s="1"/>
  <c r="AO96" i="12"/>
  <c r="AP96" i="12" s="1"/>
  <c r="K96" i="12" s="1"/>
  <c r="AO8" i="12"/>
  <c r="AO9" i="12"/>
  <c r="AO10" i="12"/>
  <c r="AO11" i="12"/>
  <c r="AO12" i="12"/>
  <c r="AO13" i="12"/>
  <c r="AO14" i="12"/>
  <c r="AO15" i="12"/>
  <c r="AO16" i="12"/>
  <c r="AO17" i="12"/>
  <c r="AO18" i="12"/>
  <c r="AO19" i="12"/>
  <c r="AO20" i="12"/>
  <c r="AO21" i="12"/>
  <c r="AO22" i="12"/>
  <c r="AO23" i="12"/>
  <c r="AO24" i="12"/>
  <c r="AO25" i="12"/>
  <c r="AO26" i="12"/>
  <c r="AO27" i="12"/>
  <c r="AO28" i="12"/>
  <c r="AO29" i="12"/>
  <c r="AO30" i="12"/>
  <c r="AO31" i="12"/>
  <c r="AO32" i="12"/>
  <c r="AO33" i="12"/>
  <c r="AO34" i="12"/>
  <c r="AO35" i="12"/>
  <c r="AO36" i="12"/>
  <c r="AO37" i="12"/>
  <c r="AO38" i="12"/>
  <c r="AO39" i="12"/>
  <c r="AO40" i="12"/>
  <c r="AO41" i="12"/>
  <c r="AO42" i="12"/>
  <c r="AO43" i="12"/>
  <c r="AO44" i="12"/>
  <c r="AO45" i="12"/>
  <c r="AO46" i="12"/>
  <c r="AO47" i="12"/>
  <c r="AO48" i="12"/>
  <c r="AO49" i="12"/>
  <c r="AO50" i="12"/>
  <c r="AO51" i="12"/>
  <c r="AO52" i="12"/>
  <c r="AO53" i="12"/>
  <c r="AO54" i="12"/>
  <c r="AO55" i="12"/>
  <c r="AO56" i="12"/>
  <c r="AO57" i="12"/>
  <c r="AO58" i="12"/>
  <c r="AO59" i="12"/>
  <c r="AO60" i="12"/>
  <c r="AO61" i="12"/>
  <c r="AO62" i="12"/>
  <c r="AO63" i="12"/>
  <c r="AO64" i="12"/>
  <c r="AO65" i="12"/>
  <c r="AO66" i="12"/>
  <c r="AO67" i="12"/>
  <c r="AO68" i="12"/>
  <c r="AO69" i="12"/>
  <c r="AO70" i="12"/>
  <c r="AO71" i="12"/>
  <c r="AO72" i="12"/>
  <c r="AO73" i="12"/>
  <c r="AO74" i="12"/>
  <c r="AO75" i="12"/>
  <c r="AO76" i="12"/>
  <c r="AO77" i="12"/>
  <c r="AO78" i="12"/>
  <c r="AO79" i="12"/>
  <c r="AO80" i="12"/>
  <c r="AO81" i="12"/>
  <c r="AO82" i="12"/>
  <c r="AO83" i="12"/>
  <c r="AO84" i="12"/>
  <c r="AO85" i="12"/>
  <c r="AO86" i="12"/>
  <c r="AO87" i="12"/>
  <c r="AO88" i="12"/>
  <c r="AO89" i="12"/>
  <c r="AO90" i="12"/>
  <c r="AO91" i="12"/>
  <c r="AO92" i="12"/>
  <c r="AO93" i="12"/>
  <c r="AO7" i="12"/>
  <c r="AL94" i="12"/>
  <c r="AM94" i="12"/>
  <c r="AN94" i="12"/>
  <c r="AL95" i="12"/>
  <c r="AM95" i="12"/>
  <c r="AN95" i="12"/>
  <c r="AL96" i="12"/>
  <c r="AM96" i="12"/>
  <c r="AN96" i="12"/>
  <c r="T94" i="12"/>
  <c r="U94" i="12"/>
  <c r="T95" i="12"/>
  <c r="U95" i="12"/>
  <c r="T96" i="12"/>
  <c r="U96" i="12"/>
  <c r="T8" i="12"/>
  <c r="U8" i="12"/>
  <c r="T9" i="12"/>
  <c r="U9" i="12"/>
  <c r="T10" i="12"/>
  <c r="U10" i="12"/>
  <c r="T11" i="12"/>
  <c r="U11" i="12"/>
  <c r="T12" i="12"/>
  <c r="U12" i="12"/>
  <c r="T13" i="12"/>
  <c r="U13" i="12"/>
  <c r="T14" i="12"/>
  <c r="U14" i="12"/>
  <c r="T15" i="12"/>
  <c r="U15" i="12"/>
  <c r="T16" i="12"/>
  <c r="U16" i="12"/>
  <c r="T17" i="12"/>
  <c r="U17" i="12"/>
  <c r="T18" i="12"/>
  <c r="U18" i="12"/>
  <c r="T19" i="12"/>
  <c r="U19" i="12"/>
  <c r="T20" i="12"/>
  <c r="U20" i="12"/>
  <c r="T21" i="12"/>
  <c r="U21" i="12"/>
  <c r="T22" i="12"/>
  <c r="U22" i="12"/>
  <c r="T23" i="12"/>
  <c r="U23" i="12"/>
  <c r="T24" i="12"/>
  <c r="U24" i="12"/>
  <c r="T25" i="12"/>
  <c r="U25" i="12"/>
  <c r="T26" i="12"/>
  <c r="U26" i="12"/>
  <c r="T27" i="12"/>
  <c r="U27" i="12"/>
  <c r="T28" i="12"/>
  <c r="U28" i="12"/>
  <c r="T29" i="12"/>
  <c r="U29" i="12"/>
  <c r="T30" i="12"/>
  <c r="U30" i="12"/>
  <c r="T31" i="12"/>
  <c r="U31" i="12"/>
  <c r="T32" i="12"/>
  <c r="U32" i="12"/>
  <c r="T33" i="12"/>
  <c r="U33" i="12"/>
  <c r="T34" i="12"/>
  <c r="U34" i="12"/>
  <c r="T35" i="12"/>
  <c r="U35" i="12"/>
  <c r="T36" i="12"/>
  <c r="U36" i="12"/>
  <c r="T37" i="12"/>
  <c r="U37" i="12"/>
  <c r="T38" i="12"/>
  <c r="U38" i="12"/>
  <c r="T39" i="12"/>
  <c r="U39" i="12"/>
  <c r="T40" i="12"/>
  <c r="U40" i="12"/>
  <c r="T41" i="12"/>
  <c r="U41" i="12"/>
  <c r="T42" i="12"/>
  <c r="U42" i="12"/>
  <c r="T43" i="12"/>
  <c r="U43" i="12"/>
  <c r="T44" i="12"/>
  <c r="U44" i="12"/>
  <c r="T45" i="12"/>
  <c r="U45" i="12"/>
  <c r="T46" i="12"/>
  <c r="U46" i="12"/>
  <c r="T47" i="12"/>
  <c r="U47" i="12"/>
  <c r="T48" i="12"/>
  <c r="U48" i="12"/>
  <c r="T49" i="12"/>
  <c r="U49" i="12"/>
  <c r="T50" i="12"/>
  <c r="U50" i="12"/>
  <c r="T51" i="12"/>
  <c r="U51" i="12"/>
  <c r="T52" i="12"/>
  <c r="U52" i="12"/>
  <c r="T53" i="12"/>
  <c r="U53" i="12"/>
  <c r="T54" i="12"/>
  <c r="U54" i="12"/>
  <c r="T55" i="12"/>
  <c r="U55" i="12"/>
  <c r="T56" i="12"/>
  <c r="U56" i="12"/>
  <c r="T57" i="12"/>
  <c r="U57" i="12"/>
  <c r="T58" i="12"/>
  <c r="U58" i="12"/>
  <c r="T59" i="12"/>
  <c r="U59" i="12"/>
  <c r="T60" i="12"/>
  <c r="U60" i="12"/>
  <c r="T61" i="12"/>
  <c r="U61" i="12"/>
  <c r="T62" i="12"/>
  <c r="U62" i="12"/>
  <c r="T63" i="12"/>
  <c r="U63" i="12"/>
  <c r="T64" i="12"/>
  <c r="U64" i="12"/>
  <c r="T65" i="12"/>
  <c r="U65" i="12"/>
  <c r="T66" i="12"/>
  <c r="U66" i="12"/>
  <c r="T67" i="12"/>
  <c r="U67" i="12"/>
  <c r="T68" i="12"/>
  <c r="U68" i="12"/>
  <c r="T69" i="12"/>
  <c r="U69" i="12"/>
  <c r="T70" i="12"/>
  <c r="U70" i="12"/>
  <c r="T71" i="12"/>
  <c r="U71" i="12"/>
  <c r="T72" i="12"/>
  <c r="U72" i="12"/>
  <c r="T73" i="12"/>
  <c r="U73" i="12"/>
  <c r="T74" i="12"/>
  <c r="U74" i="12"/>
  <c r="T75" i="12"/>
  <c r="U75" i="12"/>
  <c r="T76" i="12"/>
  <c r="U76" i="12"/>
  <c r="T77" i="12"/>
  <c r="U77" i="12"/>
  <c r="T78" i="12"/>
  <c r="U78" i="12"/>
  <c r="T79" i="12"/>
  <c r="U79" i="12"/>
  <c r="T80" i="12"/>
  <c r="U80" i="12"/>
  <c r="T81" i="12"/>
  <c r="U81" i="12"/>
  <c r="T82" i="12"/>
  <c r="U82" i="12"/>
  <c r="T83" i="12"/>
  <c r="U83" i="12"/>
  <c r="T84" i="12"/>
  <c r="U84" i="12"/>
  <c r="T85" i="12"/>
  <c r="U85" i="12"/>
  <c r="T86" i="12"/>
  <c r="U86" i="12"/>
  <c r="T87" i="12"/>
  <c r="U87" i="12"/>
  <c r="T88" i="12"/>
  <c r="U88" i="12"/>
  <c r="T89" i="12"/>
  <c r="U89" i="12"/>
  <c r="T90" i="12"/>
  <c r="U90" i="12"/>
  <c r="T91" i="12"/>
  <c r="U91" i="12"/>
  <c r="T92" i="12"/>
  <c r="U92" i="12"/>
  <c r="T93" i="12"/>
  <c r="U93" i="12"/>
  <c r="U7" i="12"/>
  <c r="T7" i="12"/>
  <c r="N94" i="12"/>
  <c r="N95" i="12"/>
  <c r="N96" i="12"/>
  <c r="N8" i="12"/>
  <c r="E8" i="12" s="1"/>
  <c r="N9" i="12"/>
  <c r="E9" i="12" s="1"/>
  <c r="N10" i="12"/>
  <c r="E10" i="12" s="1"/>
  <c r="N11" i="12"/>
  <c r="E11" i="12" s="1"/>
  <c r="N12" i="12"/>
  <c r="E12" i="12" s="1"/>
  <c r="N13" i="12"/>
  <c r="E13" i="12" s="1"/>
  <c r="N14" i="12"/>
  <c r="E14" i="12" s="1"/>
  <c r="N15" i="12"/>
  <c r="E15" i="12" s="1"/>
  <c r="N16" i="12"/>
  <c r="E16" i="12" s="1"/>
  <c r="N17" i="12"/>
  <c r="E17" i="12" s="1"/>
  <c r="N18" i="12"/>
  <c r="E18" i="12" s="1"/>
  <c r="N19" i="12"/>
  <c r="E19" i="12" s="1"/>
  <c r="N20" i="12"/>
  <c r="E20" i="12" s="1"/>
  <c r="N21" i="12"/>
  <c r="E21" i="12" s="1"/>
  <c r="N22" i="12"/>
  <c r="E22" i="12" s="1"/>
  <c r="N23" i="12"/>
  <c r="E23" i="12" s="1"/>
  <c r="N24" i="12"/>
  <c r="E24" i="12" s="1"/>
  <c r="N25" i="12"/>
  <c r="E25" i="12" s="1"/>
  <c r="N26" i="12"/>
  <c r="E26" i="12" s="1"/>
  <c r="N27" i="12"/>
  <c r="E27" i="12" s="1"/>
  <c r="N28" i="12"/>
  <c r="E28" i="12" s="1"/>
  <c r="N29" i="12"/>
  <c r="E29" i="12" s="1"/>
  <c r="N30" i="12"/>
  <c r="E30" i="12" s="1"/>
  <c r="N31" i="12"/>
  <c r="E31" i="12" s="1"/>
  <c r="N32" i="12"/>
  <c r="E32" i="12" s="1"/>
  <c r="N33" i="12"/>
  <c r="E33" i="12" s="1"/>
  <c r="N34" i="12"/>
  <c r="E34" i="12" s="1"/>
  <c r="N35" i="12"/>
  <c r="E35" i="12" s="1"/>
  <c r="N36" i="12"/>
  <c r="E36" i="12" s="1"/>
  <c r="N37" i="12"/>
  <c r="E37" i="12" s="1"/>
  <c r="N38" i="12"/>
  <c r="E38" i="12" s="1"/>
  <c r="N39" i="12"/>
  <c r="E39" i="12" s="1"/>
  <c r="N40" i="12"/>
  <c r="E40" i="12" s="1"/>
  <c r="N41" i="12"/>
  <c r="E41" i="12" s="1"/>
  <c r="N42" i="12"/>
  <c r="E42" i="12" s="1"/>
  <c r="N43" i="12"/>
  <c r="E43" i="12" s="1"/>
  <c r="N44" i="12"/>
  <c r="E44" i="12" s="1"/>
  <c r="N45" i="12"/>
  <c r="E45" i="12" s="1"/>
  <c r="N46" i="12"/>
  <c r="E46" i="12" s="1"/>
  <c r="N47" i="12"/>
  <c r="E47" i="12" s="1"/>
  <c r="N48" i="12"/>
  <c r="E48" i="12" s="1"/>
  <c r="N49" i="12"/>
  <c r="E49" i="12" s="1"/>
  <c r="N50" i="12"/>
  <c r="E50" i="12" s="1"/>
  <c r="N51" i="12"/>
  <c r="E51" i="12" s="1"/>
  <c r="N52" i="12"/>
  <c r="E52" i="12" s="1"/>
  <c r="N53" i="12"/>
  <c r="E53" i="12" s="1"/>
  <c r="N54" i="12"/>
  <c r="E54" i="12" s="1"/>
  <c r="N55" i="12"/>
  <c r="E55" i="12" s="1"/>
  <c r="N56" i="12"/>
  <c r="E56" i="12" s="1"/>
  <c r="N57" i="12"/>
  <c r="E57" i="12" s="1"/>
  <c r="N58" i="12"/>
  <c r="E58" i="12" s="1"/>
  <c r="N59" i="12"/>
  <c r="E59" i="12" s="1"/>
  <c r="N60" i="12"/>
  <c r="E60" i="12" s="1"/>
  <c r="N61" i="12"/>
  <c r="E61" i="12" s="1"/>
  <c r="N62" i="12"/>
  <c r="E62" i="12" s="1"/>
  <c r="N63" i="12"/>
  <c r="E63" i="12" s="1"/>
  <c r="N64" i="12"/>
  <c r="E64" i="12" s="1"/>
  <c r="N65" i="12"/>
  <c r="E65" i="12" s="1"/>
  <c r="N66" i="12"/>
  <c r="E66" i="12" s="1"/>
  <c r="N67" i="12"/>
  <c r="E67" i="12" s="1"/>
  <c r="N68" i="12"/>
  <c r="E68" i="12" s="1"/>
  <c r="N69" i="12"/>
  <c r="E69" i="12" s="1"/>
  <c r="N70" i="12"/>
  <c r="E70" i="12" s="1"/>
  <c r="N71" i="12"/>
  <c r="E71" i="12" s="1"/>
  <c r="N72" i="12"/>
  <c r="E72" i="12" s="1"/>
  <c r="N73" i="12"/>
  <c r="E73" i="12" s="1"/>
  <c r="N74" i="12"/>
  <c r="E74" i="12" s="1"/>
  <c r="N75" i="12"/>
  <c r="E75" i="12" s="1"/>
  <c r="N76" i="12"/>
  <c r="E76" i="12" s="1"/>
  <c r="N77" i="12"/>
  <c r="E77" i="12" s="1"/>
  <c r="N78" i="12"/>
  <c r="E78" i="12" s="1"/>
  <c r="N79" i="12"/>
  <c r="E79" i="12" s="1"/>
  <c r="N80" i="12"/>
  <c r="E80" i="12" s="1"/>
  <c r="N81" i="12"/>
  <c r="E81" i="12" s="1"/>
  <c r="N82" i="12"/>
  <c r="E82" i="12" s="1"/>
  <c r="N83" i="12"/>
  <c r="E83" i="12" s="1"/>
  <c r="N84" i="12"/>
  <c r="E84" i="12" s="1"/>
  <c r="N85" i="12"/>
  <c r="E85" i="12" s="1"/>
  <c r="N86" i="12"/>
  <c r="E86" i="12" s="1"/>
  <c r="N87" i="12"/>
  <c r="E87" i="12" s="1"/>
  <c r="N88" i="12"/>
  <c r="E88" i="12" s="1"/>
  <c r="N89" i="12"/>
  <c r="E89" i="12" s="1"/>
  <c r="N90" i="12"/>
  <c r="E90" i="12" s="1"/>
  <c r="N91" i="12"/>
  <c r="E91" i="12" s="1"/>
  <c r="N92" i="12"/>
  <c r="E92" i="12" s="1"/>
  <c r="N93" i="12"/>
  <c r="E93" i="12" s="1"/>
  <c r="N7" i="12"/>
  <c r="E7" i="12" s="1"/>
  <c r="S94" i="12"/>
  <c r="S95" i="12"/>
  <c r="S96" i="12"/>
  <c r="C8" i="12"/>
  <c r="C9" i="12"/>
  <c r="C10" i="12"/>
  <c r="C11" i="12"/>
  <c r="C12" i="12"/>
  <c r="C13" i="12"/>
  <c r="C14" i="12"/>
  <c r="C15" i="12"/>
  <c r="C16" i="12"/>
  <c r="C17" i="12"/>
  <c r="C18" i="12"/>
  <c r="C19" i="12"/>
  <c r="C20" i="12"/>
  <c r="C21" i="12"/>
  <c r="C22" i="12"/>
  <c r="C23" i="12"/>
  <c r="C24" i="12"/>
  <c r="C25" i="12"/>
  <c r="C26" i="12"/>
  <c r="C27" i="12"/>
  <c r="C28" i="12"/>
  <c r="C29" i="12"/>
  <c r="C30" i="12"/>
  <c r="C31" i="12"/>
  <c r="C32" i="12"/>
  <c r="C33" i="12"/>
  <c r="C34" i="12"/>
  <c r="C35" i="12"/>
  <c r="C36" i="12"/>
  <c r="C37" i="12"/>
  <c r="C38" i="12"/>
  <c r="C39" i="12"/>
  <c r="C40" i="12"/>
  <c r="C41" i="12"/>
  <c r="C42" i="12"/>
  <c r="C43" i="12"/>
  <c r="C44" i="12"/>
  <c r="C45" i="12"/>
  <c r="C46" i="12"/>
  <c r="C47" i="12"/>
  <c r="C48" i="12"/>
  <c r="C49" i="12"/>
  <c r="C50" i="12"/>
  <c r="C51" i="12"/>
  <c r="C52" i="12"/>
  <c r="C53" i="12"/>
  <c r="C54" i="12"/>
  <c r="C55" i="12"/>
  <c r="C56" i="12"/>
  <c r="C57" i="12"/>
  <c r="C58" i="12"/>
  <c r="C59" i="12"/>
  <c r="C60" i="12"/>
  <c r="C61" i="12"/>
  <c r="C62" i="12"/>
  <c r="C63" i="12"/>
  <c r="C64" i="12"/>
  <c r="C65" i="12"/>
  <c r="C66" i="12"/>
  <c r="C67" i="12"/>
  <c r="C68" i="12"/>
  <c r="C69" i="12"/>
  <c r="C70" i="12"/>
  <c r="C71" i="12"/>
  <c r="C72" i="12"/>
  <c r="C73" i="12"/>
  <c r="C74" i="12"/>
  <c r="C75" i="12"/>
  <c r="C76" i="12"/>
  <c r="C77" i="12"/>
  <c r="C78" i="12"/>
  <c r="C79" i="12"/>
  <c r="C80" i="12"/>
  <c r="C81" i="12"/>
  <c r="C82" i="12"/>
  <c r="C83" i="12"/>
  <c r="C84" i="12"/>
  <c r="C85" i="12"/>
  <c r="C86" i="12"/>
  <c r="C87" i="12"/>
  <c r="C88" i="12"/>
  <c r="C89" i="12"/>
  <c r="C90" i="12"/>
  <c r="C91" i="12"/>
  <c r="C92" i="12"/>
  <c r="C93" i="12"/>
  <c r="C7" i="12"/>
  <c r="B94" i="12"/>
  <c r="B95" i="12"/>
  <c r="B96" i="12"/>
  <c r="AR94" i="11"/>
  <c r="AS94" i="11"/>
  <c r="AV94" i="11"/>
  <c r="AR95" i="11"/>
  <c r="AS95" i="11"/>
  <c r="AV95" i="11"/>
  <c r="AR96" i="11"/>
  <c r="AS96" i="11"/>
  <c r="AV96" i="11"/>
  <c r="AQ94" i="11"/>
  <c r="AQ95" i="11"/>
  <c r="AQ96" i="11"/>
  <c r="AM94" i="11"/>
  <c r="AN94" i="11" s="1"/>
  <c r="K94" i="11" s="1"/>
  <c r="AM95" i="11"/>
  <c r="AN95" i="11" s="1"/>
  <c r="K95" i="11" s="1"/>
  <c r="AM96" i="11"/>
  <c r="AN96" i="11" s="1"/>
  <c r="K96" i="11" s="1"/>
  <c r="AM8" i="11"/>
  <c r="AM9" i="11"/>
  <c r="AM10" i="11"/>
  <c r="AM11" i="11"/>
  <c r="AM12" i="11"/>
  <c r="AM13" i="11"/>
  <c r="AM14" i="11"/>
  <c r="AM15" i="11"/>
  <c r="AM16" i="11"/>
  <c r="AM17" i="11"/>
  <c r="AM18" i="11"/>
  <c r="AM19" i="11"/>
  <c r="AM20" i="11"/>
  <c r="AM21" i="11"/>
  <c r="AM22" i="11"/>
  <c r="AM23" i="11"/>
  <c r="AM24" i="11"/>
  <c r="AM25" i="11"/>
  <c r="AM26" i="11"/>
  <c r="AM27" i="11"/>
  <c r="AM28" i="11"/>
  <c r="AM29" i="11"/>
  <c r="AM30" i="11"/>
  <c r="AM31" i="11"/>
  <c r="AM32" i="11"/>
  <c r="AM33" i="11"/>
  <c r="AM34" i="11"/>
  <c r="AM35" i="11"/>
  <c r="AM36" i="11"/>
  <c r="AM37" i="11"/>
  <c r="AM38" i="11"/>
  <c r="AM39" i="11"/>
  <c r="AM40" i="11"/>
  <c r="AM41" i="11"/>
  <c r="AM42" i="11"/>
  <c r="AM43" i="11"/>
  <c r="AM44" i="11"/>
  <c r="AM45" i="11"/>
  <c r="AM46" i="11"/>
  <c r="AM47" i="11"/>
  <c r="AM48" i="11"/>
  <c r="AM49" i="11"/>
  <c r="AM50" i="11"/>
  <c r="AM51" i="11"/>
  <c r="AM52" i="11"/>
  <c r="AM53" i="11"/>
  <c r="AM54" i="11"/>
  <c r="AM55" i="11"/>
  <c r="AM56" i="11"/>
  <c r="AM57" i="11"/>
  <c r="AM58" i="11"/>
  <c r="AM59" i="11"/>
  <c r="AM60" i="11"/>
  <c r="AM61" i="11"/>
  <c r="AM62" i="11"/>
  <c r="AM63" i="11"/>
  <c r="AM64" i="11"/>
  <c r="AM65" i="11"/>
  <c r="AM66" i="11"/>
  <c r="AM67" i="11"/>
  <c r="AM68" i="11"/>
  <c r="AM69" i="11"/>
  <c r="AM70" i="11"/>
  <c r="AM71" i="11"/>
  <c r="AM72" i="11"/>
  <c r="AM73" i="11"/>
  <c r="AM74" i="11"/>
  <c r="AM75" i="11"/>
  <c r="AM76" i="11"/>
  <c r="AM77" i="11"/>
  <c r="AM78" i="11"/>
  <c r="AM79" i="11"/>
  <c r="AM80" i="11"/>
  <c r="AM81" i="11"/>
  <c r="AM82" i="11"/>
  <c r="AM83" i="11"/>
  <c r="AM84" i="11"/>
  <c r="AM85" i="11"/>
  <c r="AM86" i="11"/>
  <c r="AM87" i="11"/>
  <c r="AM88" i="11"/>
  <c r="AM89" i="11"/>
  <c r="AM90" i="11"/>
  <c r="AM91" i="11"/>
  <c r="AM92" i="11"/>
  <c r="AM93" i="11"/>
  <c r="AM7" i="11"/>
  <c r="AJ94" i="11"/>
  <c r="AK94" i="11"/>
  <c r="AL94" i="11"/>
  <c r="AJ95" i="11"/>
  <c r="AK95" i="11"/>
  <c r="AL95" i="11"/>
  <c r="AJ96" i="11"/>
  <c r="AK96" i="11"/>
  <c r="AL96" i="11"/>
  <c r="T94" i="11"/>
  <c r="U94" i="11"/>
  <c r="T95" i="11"/>
  <c r="U95" i="11"/>
  <c r="T96" i="11"/>
  <c r="U96" i="11"/>
  <c r="T8" i="11"/>
  <c r="U8" i="11"/>
  <c r="T9" i="11"/>
  <c r="U9" i="11"/>
  <c r="T10" i="11"/>
  <c r="U10" i="11"/>
  <c r="T11" i="11"/>
  <c r="U11" i="11"/>
  <c r="T12" i="11"/>
  <c r="U12" i="11"/>
  <c r="T13" i="11"/>
  <c r="U13" i="11"/>
  <c r="T14" i="11"/>
  <c r="U14" i="11"/>
  <c r="T15" i="11"/>
  <c r="U15" i="11"/>
  <c r="T16" i="11"/>
  <c r="U16" i="11"/>
  <c r="T17" i="11"/>
  <c r="U17" i="11"/>
  <c r="T18" i="11"/>
  <c r="U18" i="11"/>
  <c r="T19" i="11"/>
  <c r="U19" i="11"/>
  <c r="T20" i="11"/>
  <c r="U20" i="11"/>
  <c r="T21" i="11"/>
  <c r="U21" i="11"/>
  <c r="T22" i="11"/>
  <c r="U22" i="11"/>
  <c r="T23" i="11"/>
  <c r="U23" i="11"/>
  <c r="T24" i="11"/>
  <c r="U24" i="11"/>
  <c r="T25" i="11"/>
  <c r="U25" i="11"/>
  <c r="T26" i="11"/>
  <c r="U26" i="11"/>
  <c r="T27" i="11"/>
  <c r="U27" i="11"/>
  <c r="T28" i="11"/>
  <c r="U28" i="11"/>
  <c r="T29" i="11"/>
  <c r="U29" i="11"/>
  <c r="T30" i="11"/>
  <c r="U30" i="11"/>
  <c r="T31" i="11"/>
  <c r="U31" i="11"/>
  <c r="T32" i="11"/>
  <c r="U32" i="11"/>
  <c r="T33" i="11"/>
  <c r="U33" i="11"/>
  <c r="T34" i="11"/>
  <c r="U34" i="11"/>
  <c r="T35" i="11"/>
  <c r="U35" i="11"/>
  <c r="T36" i="11"/>
  <c r="U36" i="11"/>
  <c r="T37" i="11"/>
  <c r="U37" i="11"/>
  <c r="T38" i="11"/>
  <c r="U38" i="11"/>
  <c r="T39" i="11"/>
  <c r="U39" i="11"/>
  <c r="T40" i="11"/>
  <c r="U40" i="11"/>
  <c r="T41" i="11"/>
  <c r="U41" i="11"/>
  <c r="T42" i="11"/>
  <c r="U42" i="11"/>
  <c r="T43" i="11"/>
  <c r="U43" i="11"/>
  <c r="T44" i="11"/>
  <c r="U44" i="11"/>
  <c r="T45" i="11"/>
  <c r="U45" i="11"/>
  <c r="T46" i="11"/>
  <c r="U46" i="11"/>
  <c r="T47" i="11"/>
  <c r="U47" i="11"/>
  <c r="T48" i="11"/>
  <c r="U48" i="11"/>
  <c r="T49" i="11"/>
  <c r="U49" i="11"/>
  <c r="T50" i="11"/>
  <c r="U50" i="11"/>
  <c r="T51" i="11"/>
  <c r="U51" i="11"/>
  <c r="T52" i="11"/>
  <c r="U52" i="11"/>
  <c r="T53" i="11"/>
  <c r="U53" i="11"/>
  <c r="T54" i="11"/>
  <c r="U54" i="11"/>
  <c r="T55" i="11"/>
  <c r="U55" i="11"/>
  <c r="T56" i="11"/>
  <c r="U56" i="11"/>
  <c r="T57" i="11"/>
  <c r="U57" i="11"/>
  <c r="T58" i="11"/>
  <c r="U58" i="11"/>
  <c r="T59" i="11"/>
  <c r="U59" i="11"/>
  <c r="T60" i="11"/>
  <c r="U60" i="11"/>
  <c r="T61" i="11"/>
  <c r="U61" i="11"/>
  <c r="T62" i="11"/>
  <c r="U62" i="11"/>
  <c r="T63" i="11"/>
  <c r="U63" i="11"/>
  <c r="T64" i="11"/>
  <c r="U64" i="11"/>
  <c r="T65" i="11"/>
  <c r="U65" i="11"/>
  <c r="T66" i="11"/>
  <c r="U66" i="11"/>
  <c r="T67" i="11"/>
  <c r="U67" i="11"/>
  <c r="T68" i="11"/>
  <c r="U68" i="11"/>
  <c r="T69" i="11"/>
  <c r="U69" i="11"/>
  <c r="T70" i="11"/>
  <c r="U70" i="11"/>
  <c r="T71" i="11"/>
  <c r="U71" i="11"/>
  <c r="T72" i="11"/>
  <c r="U72" i="11"/>
  <c r="T73" i="11"/>
  <c r="U73" i="11"/>
  <c r="T74" i="11"/>
  <c r="U74" i="11"/>
  <c r="T75" i="11"/>
  <c r="U75" i="11"/>
  <c r="T76" i="11"/>
  <c r="U76" i="11"/>
  <c r="T77" i="11"/>
  <c r="U77" i="11"/>
  <c r="T78" i="11"/>
  <c r="U78" i="11"/>
  <c r="T79" i="11"/>
  <c r="U79" i="11"/>
  <c r="T80" i="11"/>
  <c r="U80" i="11"/>
  <c r="T81" i="11"/>
  <c r="U81" i="11"/>
  <c r="T82" i="11"/>
  <c r="U82" i="11"/>
  <c r="T83" i="11"/>
  <c r="U83" i="11"/>
  <c r="T84" i="11"/>
  <c r="U84" i="11"/>
  <c r="T85" i="11"/>
  <c r="U85" i="11"/>
  <c r="T86" i="11"/>
  <c r="U86" i="11"/>
  <c r="T87" i="11"/>
  <c r="U87" i="11"/>
  <c r="T88" i="11"/>
  <c r="U88" i="11"/>
  <c r="T89" i="11"/>
  <c r="U89" i="11"/>
  <c r="T90" i="11"/>
  <c r="U90" i="11"/>
  <c r="T91" i="11"/>
  <c r="U91" i="11"/>
  <c r="T92" i="11"/>
  <c r="U92" i="11"/>
  <c r="T93" i="11"/>
  <c r="U93" i="11"/>
  <c r="U7" i="11"/>
  <c r="T7" i="11"/>
  <c r="N94" i="11"/>
  <c r="E94" i="11" s="1"/>
  <c r="N95" i="11"/>
  <c r="E95" i="11" s="1"/>
  <c r="N96" i="11"/>
  <c r="E96" i="11" s="1"/>
  <c r="N8" i="11"/>
  <c r="E8" i="11" s="1"/>
  <c r="N9" i="11"/>
  <c r="E9" i="11" s="1"/>
  <c r="N10" i="11"/>
  <c r="E10" i="11" s="1"/>
  <c r="N11" i="11"/>
  <c r="E11" i="11" s="1"/>
  <c r="N12" i="11"/>
  <c r="E12" i="11" s="1"/>
  <c r="N13" i="11"/>
  <c r="E13" i="11" s="1"/>
  <c r="N14" i="11"/>
  <c r="E14" i="11" s="1"/>
  <c r="N15" i="11"/>
  <c r="E15" i="11" s="1"/>
  <c r="N16" i="11"/>
  <c r="E16" i="11" s="1"/>
  <c r="N17" i="11"/>
  <c r="E17" i="11" s="1"/>
  <c r="N18" i="11"/>
  <c r="E18" i="11" s="1"/>
  <c r="N19" i="11"/>
  <c r="E19" i="11" s="1"/>
  <c r="N20" i="11"/>
  <c r="E20" i="11" s="1"/>
  <c r="N21" i="11"/>
  <c r="E21" i="11" s="1"/>
  <c r="N22" i="11"/>
  <c r="E22" i="11" s="1"/>
  <c r="N23" i="11"/>
  <c r="E23" i="11" s="1"/>
  <c r="N24" i="11"/>
  <c r="E24" i="11" s="1"/>
  <c r="N25" i="11"/>
  <c r="E25" i="11" s="1"/>
  <c r="N26" i="11"/>
  <c r="E26" i="11" s="1"/>
  <c r="N27" i="11"/>
  <c r="E27" i="11" s="1"/>
  <c r="N28" i="11"/>
  <c r="E28" i="11" s="1"/>
  <c r="N29" i="11"/>
  <c r="E29" i="11" s="1"/>
  <c r="N30" i="11"/>
  <c r="E30" i="11" s="1"/>
  <c r="N31" i="11"/>
  <c r="E31" i="11" s="1"/>
  <c r="N32" i="11"/>
  <c r="E32" i="11" s="1"/>
  <c r="N33" i="11"/>
  <c r="E33" i="11" s="1"/>
  <c r="N34" i="11"/>
  <c r="E34" i="11" s="1"/>
  <c r="N35" i="11"/>
  <c r="E35" i="11" s="1"/>
  <c r="N36" i="11"/>
  <c r="E36" i="11" s="1"/>
  <c r="N37" i="11"/>
  <c r="E37" i="11" s="1"/>
  <c r="N38" i="11"/>
  <c r="E38" i="11" s="1"/>
  <c r="N39" i="11"/>
  <c r="E39" i="11" s="1"/>
  <c r="N40" i="11"/>
  <c r="E40" i="11" s="1"/>
  <c r="N41" i="11"/>
  <c r="E41" i="11" s="1"/>
  <c r="N42" i="11"/>
  <c r="E42" i="11" s="1"/>
  <c r="N43" i="11"/>
  <c r="E43" i="11" s="1"/>
  <c r="N44" i="11"/>
  <c r="E44" i="11" s="1"/>
  <c r="N45" i="11"/>
  <c r="E45" i="11" s="1"/>
  <c r="N46" i="11"/>
  <c r="E46" i="11" s="1"/>
  <c r="N47" i="11"/>
  <c r="E47" i="11" s="1"/>
  <c r="N48" i="11"/>
  <c r="E48" i="11" s="1"/>
  <c r="N49" i="11"/>
  <c r="E49" i="11" s="1"/>
  <c r="N50" i="11"/>
  <c r="E50" i="11" s="1"/>
  <c r="N51" i="11"/>
  <c r="E51" i="11" s="1"/>
  <c r="N52" i="11"/>
  <c r="E52" i="11" s="1"/>
  <c r="N53" i="11"/>
  <c r="E53" i="11" s="1"/>
  <c r="N54" i="11"/>
  <c r="E54" i="11" s="1"/>
  <c r="N55" i="11"/>
  <c r="E55" i="11" s="1"/>
  <c r="N56" i="11"/>
  <c r="E56" i="11" s="1"/>
  <c r="N57" i="11"/>
  <c r="E57" i="11" s="1"/>
  <c r="N58" i="11"/>
  <c r="E58" i="11" s="1"/>
  <c r="N59" i="11"/>
  <c r="E59" i="11" s="1"/>
  <c r="N60" i="11"/>
  <c r="E60" i="11" s="1"/>
  <c r="N61" i="11"/>
  <c r="E61" i="11" s="1"/>
  <c r="N62" i="11"/>
  <c r="E62" i="11" s="1"/>
  <c r="N63" i="11"/>
  <c r="E63" i="11" s="1"/>
  <c r="N64" i="11"/>
  <c r="E64" i="11" s="1"/>
  <c r="N65" i="11"/>
  <c r="E65" i="11" s="1"/>
  <c r="N66" i="11"/>
  <c r="E66" i="11" s="1"/>
  <c r="N67" i="11"/>
  <c r="E67" i="11" s="1"/>
  <c r="N68" i="11"/>
  <c r="E68" i="11" s="1"/>
  <c r="N69" i="11"/>
  <c r="E69" i="11" s="1"/>
  <c r="N70" i="11"/>
  <c r="E70" i="11" s="1"/>
  <c r="N71" i="11"/>
  <c r="E71" i="11" s="1"/>
  <c r="N72" i="11"/>
  <c r="E72" i="11" s="1"/>
  <c r="N73" i="11"/>
  <c r="E73" i="11" s="1"/>
  <c r="N74" i="11"/>
  <c r="E74" i="11" s="1"/>
  <c r="N75" i="11"/>
  <c r="E75" i="11" s="1"/>
  <c r="N76" i="11"/>
  <c r="E76" i="11" s="1"/>
  <c r="N77" i="11"/>
  <c r="E77" i="11" s="1"/>
  <c r="N78" i="11"/>
  <c r="E78" i="11" s="1"/>
  <c r="N79" i="11"/>
  <c r="E79" i="11" s="1"/>
  <c r="N80" i="11"/>
  <c r="E80" i="11" s="1"/>
  <c r="N81" i="11"/>
  <c r="E81" i="11" s="1"/>
  <c r="N82" i="11"/>
  <c r="E82" i="11" s="1"/>
  <c r="N83" i="11"/>
  <c r="E83" i="11" s="1"/>
  <c r="N84" i="11"/>
  <c r="E84" i="11" s="1"/>
  <c r="N85" i="11"/>
  <c r="E85" i="11" s="1"/>
  <c r="N86" i="11"/>
  <c r="E86" i="11" s="1"/>
  <c r="N87" i="11"/>
  <c r="E87" i="11" s="1"/>
  <c r="N88" i="11"/>
  <c r="E88" i="11" s="1"/>
  <c r="N89" i="11"/>
  <c r="E89" i="11" s="1"/>
  <c r="N90" i="11"/>
  <c r="E90" i="11" s="1"/>
  <c r="N91" i="11"/>
  <c r="E91" i="11" s="1"/>
  <c r="N92" i="11"/>
  <c r="E92" i="11" s="1"/>
  <c r="N93" i="11"/>
  <c r="E93" i="11" s="1"/>
  <c r="N7" i="11"/>
  <c r="E7" i="11" s="1"/>
  <c r="S94" i="11"/>
  <c r="S95" i="11"/>
  <c r="S96"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7" i="11"/>
  <c r="B94" i="11"/>
  <c r="B95" i="11"/>
  <c r="B96" i="11"/>
  <c r="AP94" i="8"/>
  <c r="AQ94" i="8" s="1"/>
  <c r="L94" i="8" s="1"/>
  <c r="AP95" i="8"/>
  <c r="AQ95" i="8" s="1"/>
  <c r="L95" i="8" s="1"/>
  <c r="AP96" i="8"/>
  <c r="AQ96" i="8" s="1"/>
  <c r="L96" i="8" s="1"/>
  <c r="AP8" i="8"/>
  <c r="AP9" i="8"/>
  <c r="AP10" i="8"/>
  <c r="AP11" i="8"/>
  <c r="AP12" i="8"/>
  <c r="AP13" i="8"/>
  <c r="AP14" i="8"/>
  <c r="AP15" i="8"/>
  <c r="AP16" i="8"/>
  <c r="AP17" i="8"/>
  <c r="AP18" i="8"/>
  <c r="AP19" i="8"/>
  <c r="AP20" i="8"/>
  <c r="AP21" i="8"/>
  <c r="AP22" i="8"/>
  <c r="AP23" i="8"/>
  <c r="AP24" i="8"/>
  <c r="AP25" i="8"/>
  <c r="AP26" i="8"/>
  <c r="AP27" i="8"/>
  <c r="AP28" i="8"/>
  <c r="AP29" i="8"/>
  <c r="AP30" i="8"/>
  <c r="AP31" i="8"/>
  <c r="AP32" i="8"/>
  <c r="AP33" i="8"/>
  <c r="AP34" i="8"/>
  <c r="AP35" i="8"/>
  <c r="AP36" i="8"/>
  <c r="AP37" i="8"/>
  <c r="AP38" i="8"/>
  <c r="AP39" i="8"/>
  <c r="AP40" i="8"/>
  <c r="AP41" i="8"/>
  <c r="AP42" i="8"/>
  <c r="AP43" i="8"/>
  <c r="AP44" i="8"/>
  <c r="AP45" i="8"/>
  <c r="AP46" i="8"/>
  <c r="AP47" i="8"/>
  <c r="AP48" i="8"/>
  <c r="AP49" i="8"/>
  <c r="AP50" i="8"/>
  <c r="AP51" i="8"/>
  <c r="AP52" i="8"/>
  <c r="AP53" i="8"/>
  <c r="AP54" i="8"/>
  <c r="AP55" i="8"/>
  <c r="AP56" i="8"/>
  <c r="AP57" i="8"/>
  <c r="AP58" i="8"/>
  <c r="AP59" i="8"/>
  <c r="AP60" i="8"/>
  <c r="AP61" i="8"/>
  <c r="AP62" i="8"/>
  <c r="AP63" i="8"/>
  <c r="AP64" i="8"/>
  <c r="AP65" i="8"/>
  <c r="AP66" i="8"/>
  <c r="AP67" i="8"/>
  <c r="AP68" i="8"/>
  <c r="AP69" i="8"/>
  <c r="AP70" i="8"/>
  <c r="AP71" i="8"/>
  <c r="AP72" i="8"/>
  <c r="AP73" i="8"/>
  <c r="AP74" i="8"/>
  <c r="AP75" i="8"/>
  <c r="AP76" i="8"/>
  <c r="AP77" i="8"/>
  <c r="AP78" i="8"/>
  <c r="AP79" i="8"/>
  <c r="AP80" i="8"/>
  <c r="AP81" i="8"/>
  <c r="AP82" i="8"/>
  <c r="AP83" i="8"/>
  <c r="AP84" i="8"/>
  <c r="AP85" i="8"/>
  <c r="AP86" i="8"/>
  <c r="AP87" i="8"/>
  <c r="AP88" i="8"/>
  <c r="AP89" i="8"/>
  <c r="AP90" i="8"/>
  <c r="AP91" i="8"/>
  <c r="AP92" i="8"/>
  <c r="AP93" i="8"/>
  <c r="AP7" i="8"/>
  <c r="AS94" i="8"/>
  <c r="AT94" i="8"/>
  <c r="AX94" i="8"/>
  <c r="AS95" i="8"/>
  <c r="AT95" i="8"/>
  <c r="AX95" i="8"/>
  <c r="AS96" i="8"/>
  <c r="AT96" i="8"/>
  <c r="AX96" i="8"/>
  <c r="AR94" i="8"/>
  <c r="AR95" i="8"/>
  <c r="AR96" i="8"/>
  <c r="AM94" i="8"/>
  <c r="AN94" i="8"/>
  <c r="AO94" i="8"/>
  <c r="AM95" i="8"/>
  <c r="AN95" i="8"/>
  <c r="AO95" i="8"/>
  <c r="AM96" i="8"/>
  <c r="AN96" i="8"/>
  <c r="AO96" i="8"/>
  <c r="X94" i="8"/>
  <c r="Y94" i="8"/>
  <c r="X95" i="8"/>
  <c r="Y95" i="8"/>
  <c r="X96" i="8"/>
  <c r="Y96" i="8"/>
  <c r="X8" i="8"/>
  <c r="Y8" i="8"/>
  <c r="X9" i="8"/>
  <c r="Y9" i="8"/>
  <c r="X10" i="8"/>
  <c r="Y10" i="8"/>
  <c r="X11" i="8"/>
  <c r="Y11" i="8"/>
  <c r="X12" i="8"/>
  <c r="Y12" i="8"/>
  <c r="X13" i="8"/>
  <c r="Y13" i="8"/>
  <c r="X14" i="8"/>
  <c r="Y14" i="8"/>
  <c r="X15" i="8"/>
  <c r="Y15" i="8"/>
  <c r="X16" i="8"/>
  <c r="Y16" i="8"/>
  <c r="X17" i="8"/>
  <c r="Y17" i="8"/>
  <c r="X18" i="8"/>
  <c r="Y18" i="8"/>
  <c r="X19" i="8"/>
  <c r="Y19" i="8"/>
  <c r="X20" i="8"/>
  <c r="Y20" i="8"/>
  <c r="X21" i="8"/>
  <c r="Y21" i="8"/>
  <c r="X22" i="8"/>
  <c r="Y22" i="8"/>
  <c r="X23" i="8"/>
  <c r="Y23" i="8"/>
  <c r="X24" i="8"/>
  <c r="Y24" i="8"/>
  <c r="X25" i="8"/>
  <c r="Y25" i="8"/>
  <c r="X26" i="8"/>
  <c r="Y26" i="8"/>
  <c r="X27" i="8"/>
  <c r="Y27" i="8"/>
  <c r="X28" i="8"/>
  <c r="Y28" i="8"/>
  <c r="X29" i="8"/>
  <c r="Y29" i="8"/>
  <c r="X30" i="8"/>
  <c r="Y30" i="8"/>
  <c r="X31" i="8"/>
  <c r="Y31" i="8"/>
  <c r="X32" i="8"/>
  <c r="Y32" i="8"/>
  <c r="X33" i="8"/>
  <c r="Y33" i="8"/>
  <c r="X34" i="8"/>
  <c r="Y34" i="8"/>
  <c r="X35" i="8"/>
  <c r="Y35" i="8"/>
  <c r="X36" i="8"/>
  <c r="Y36" i="8"/>
  <c r="X37" i="8"/>
  <c r="Y37" i="8"/>
  <c r="X38" i="8"/>
  <c r="Y38" i="8"/>
  <c r="X39" i="8"/>
  <c r="Y39" i="8"/>
  <c r="X40" i="8"/>
  <c r="Y40" i="8"/>
  <c r="X41" i="8"/>
  <c r="Y41" i="8"/>
  <c r="X42" i="8"/>
  <c r="Y42" i="8"/>
  <c r="X43" i="8"/>
  <c r="Y43" i="8"/>
  <c r="X44" i="8"/>
  <c r="Y44" i="8"/>
  <c r="X45" i="8"/>
  <c r="Y45" i="8"/>
  <c r="X46" i="8"/>
  <c r="Y46" i="8"/>
  <c r="X47" i="8"/>
  <c r="Y47" i="8"/>
  <c r="X48" i="8"/>
  <c r="Y48" i="8"/>
  <c r="X49" i="8"/>
  <c r="Y49" i="8"/>
  <c r="X50" i="8"/>
  <c r="Y50" i="8"/>
  <c r="X51" i="8"/>
  <c r="Y51" i="8"/>
  <c r="X52" i="8"/>
  <c r="Y52" i="8"/>
  <c r="X53" i="8"/>
  <c r="Y53" i="8"/>
  <c r="X54" i="8"/>
  <c r="Y54" i="8"/>
  <c r="X55" i="8"/>
  <c r="Y55" i="8"/>
  <c r="X56" i="8"/>
  <c r="Y56" i="8"/>
  <c r="X57" i="8"/>
  <c r="Y57" i="8"/>
  <c r="X58" i="8"/>
  <c r="Y58" i="8"/>
  <c r="X59" i="8"/>
  <c r="Y59" i="8"/>
  <c r="X60" i="8"/>
  <c r="Y60" i="8"/>
  <c r="X61" i="8"/>
  <c r="Y61" i="8"/>
  <c r="X62" i="8"/>
  <c r="Y62" i="8"/>
  <c r="X63" i="8"/>
  <c r="Y63" i="8"/>
  <c r="X64" i="8"/>
  <c r="Y64" i="8"/>
  <c r="X65" i="8"/>
  <c r="Y65" i="8"/>
  <c r="X66" i="8"/>
  <c r="Y66" i="8"/>
  <c r="X67" i="8"/>
  <c r="Y67" i="8"/>
  <c r="X68" i="8"/>
  <c r="Y68" i="8"/>
  <c r="X69" i="8"/>
  <c r="Y69" i="8"/>
  <c r="X70" i="8"/>
  <c r="Y70" i="8"/>
  <c r="X71" i="8"/>
  <c r="Y71" i="8"/>
  <c r="X72" i="8"/>
  <c r="Y72" i="8"/>
  <c r="X73" i="8"/>
  <c r="Y73" i="8"/>
  <c r="X74" i="8"/>
  <c r="Y74" i="8"/>
  <c r="X75" i="8"/>
  <c r="Y75" i="8"/>
  <c r="X76" i="8"/>
  <c r="Y76" i="8"/>
  <c r="X77" i="8"/>
  <c r="Y77" i="8"/>
  <c r="X78" i="8"/>
  <c r="Y78" i="8"/>
  <c r="X79" i="8"/>
  <c r="Y79" i="8"/>
  <c r="X80" i="8"/>
  <c r="Y80" i="8"/>
  <c r="X81" i="8"/>
  <c r="Y81" i="8"/>
  <c r="X82" i="8"/>
  <c r="Y82" i="8"/>
  <c r="X83" i="8"/>
  <c r="Y83" i="8"/>
  <c r="X84" i="8"/>
  <c r="Y84" i="8"/>
  <c r="X85" i="8"/>
  <c r="Y85" i="8"/>
  <c r="X86" i="8"/>
  <c r="Y86" i="8"/>
  <c r="X87" i="8"/>
  <c r="Y87" i="8"/>
  <c r="X88" i="8"/>
  <c r="Y88" i="8"/>
  <c r="X89" i="8"/>
  <c r="Y89" i="8"/>
  <c r="X90" i="8"/>
  <c r="Y90" i="8"/>
  <c r="X91" i="8"/>
  <c r="Y91" i="8"/>
  <c r="X92" i="8"/>
  <c r="Y92" i="8"/>
  <c r="X93" i="8"/>
  <c r="Y93" i="8"/>
  <c r="Y7" i="8"/>
  <c r="X7" i="8"/>
  <c r="N94" i="8"/>
  <c r="N95" i="8"/>
  <c r="N96" i="8"/>
  <c r="N8" i="8"/>
  <c r="N9" i="8"/>
  <c r="N10" i="8"/>
  <c r="N11" i="8"/>
  <c r="N12" i="8"/>
  <c r="N13" i="8"/>
  <c r="N14" i="8"/>
  <c r="N15" i="8"/>
  <c r="N16" i="8"/>
  <c r="N17" i="8"/>
  <c r="N18" i="8"/>
  <c r="N19" i="8"/>
  <c r="N20" i="8"/>
  <c r="N21" i="8"/>
  <c r="N22" i="8"/>
  <c r="N23" i="8"/>
  <c r="N24" i="8"/>
  <c r="N25" i="8"/>
  <c r="N26" i="8"/>
  <c r="N27" i="8"/>
  <c r="N28" i="8"/>
  <c r="N29" i="8"/>
  <c r="N30" i="8"/>
  <c r="N31" i="8"/>
  <c r="N32" i="8"/>
  <c r="N33" i="8"/>
  <c r="N34" i="8"/>
  <c r="N35" i="8"/>
  <c r="N36" i="8"/>
  <c r="N37" i="8"/>
  <c r="N38" i="8"/>
  <c r="N39" i="8"/>
  <c r="N40" i="8"/>
  <c r="N41" i="8"/>
  <c r="N42" i="8"/>
  <c r="N43" i="8"/>
  <c r="N44" i="8"/>
  <c r="N45" i="8"/>
  <c r="N46" i="8"/>
  <c r="N47" i="8"/>
  <c r="N48" i="8"/>
  <c r="N49" i="8"/>
  <c r="N50" i="8"/>
  <c r="N51" i="8"/>
  <c r="N52" i="8"/>
  <c r="N53" i="8"/>
  <c r="N54" i="8"/>
  <c r="N55" i="8"/>
  <c r="N56" i="8"/>
  <c r="N57" i="8"/>
  <c r="N58" i="8"/>
  <c r="N59" i="8"/>
  <c r="N60" i="8"/>
  <c r="N61" i="8"/>
  <c r="N62" i="8"/>
  <c r="N63" i="8"/>
  <c r="N64" i="8"/>
  <c r="N65" i="8"/>
  <c r="N66" i="8"/>
  <c r="N67" i="8"/>
  <c r="N68" i="8"/>
  <c r="N69" i="8"/>
  <c r="N70" i="8"/>
  <c r="N71" i="8"/>
  <c r="N72" i="8"/>
  <c r="N73" i="8"/>
  <c r="N74" i="8"/>
  <c r="N75" i="8"/>
  <c r="N76" i="8"/>
  <c r="N77" i="8"/>
  <c r="N78" i="8"/>
  <c r="N79" i="8"/>
  <c r="N80" i="8"/>
  <c r="N81" i="8"/>
  <c r="N82" i="8"/>
  <c r="N83" i="8"/>
  <c r="N84" i="8"/>
  <c r="N85" i="8"/>
  <c r="N86" i="8"/>
  <c r="N87" i="8"/>
  <c r="N88" i="8"/>
  <c r="N89" i="8"/>
  <c r="N90" i="8"/>
  <c r="N91" i="8"/>
  <c r="N92" i="8"/>
  <c r="N93" i="8"/>
  <c r="N7" i="8"/>
  <c r="V94" i="8"/>
  <c r="W94" i="8"/>
  <c r="V95" i="8"/>
  <c r="W95" i="8"/>
  <c r="V96" i="8"/>
  <c r="W96" i="8"/>
  <c r="C8" i="8"/>
  <c r="C9" i="8"/>
  <c r="C10" i="8"/>
  <c r="C11" i="8"/>
  <c r="C12" i="8"/>
  <c r="C13" i="8"/>
  <c r="C14" i="8"/>
  <c r="C15" i="8"/>
  <c r="C16" i="8"/>
  <c r="C17" i="8"/>
  <c r="C18" i="8"/>
  <c r="C19" i="8"/>
  <c r="C20" i="8"/>
  <c r="C21" i="8"/>
  <c r="C22" i="8"/>
  <c r="C23" i="8"/>
  <c r="C24" i="8"/>
  <c r="C25" i="8"/>
  <c r="C26" i="8"/>
  <c r="C27" i="8"/>
  <c r="C28" i="8"/>
  <c r="C29" i="8"/>
  <c r="C30" i="8"/>
  <c r="C31" i="8"/>
  <c r="C32" i="8"/>
  <c r="C33" i="8"/>
  <c r="C34" i="8"/>
  <c r="C35" i="8"/>
  <c r="C36" i="8"/>
  <c r="C37" i="8"/>
  <c r="C38" i="8"/>
  <c r="C39" i="8"/>
  <c r="C40" i="8"/>
  <c r="C41" i="8"/>
  <c r="C42" i="8"/>
  <c r="C43" i="8"/>
  <c r="C44" i="8"/>
  <c r="C45" i="8"/>
  <c r="C46" i="8"/>
  <c r="C47" i="8"/>
  <c r="C48" i="8"/>
  <c r="C49" i="8"/>
  <c r="C50" i="8"/>
  <c r="C51" i="8"/>
  <c r="C52" i="8"/>
  <c r="C53" i="8"/>
  <c r="C54" i="8"/>
  <c r="C55" i="8"/>
  <c r="C56" i="8"/>
  <c r="C57" i="8"/>
  <c r="C58" i="8"/>
  <c r="C59" i="8"/>
  <c r="C60" i="8"/>
  <c r="C61" i="8"/>
  <c r="C62" i="8"/>
  <c r="C63" i="8"/>
  <c r="C64" i="8"/>
  <c r="C65" i="8"/>
  <c r="C66" i="8"/>
  <c r="C67" i="8"/>
  <c r="C68" i="8"/>
  <c r="C69" i="8"/>
  <c r="C70" i="8"/>
  <c r="C71" i="8"/>
  <c r="C72" i="8"/>
  <c r="C73" i="8"/>
  <c r="C74" i="8"/>
  <c r="C75" i="8"/>
  <c r="C76" i="8"/>
  <c r="C77" i="8"/>
  <c r="C78" i="8"/>
  <c r="C79" i="8"/>
  <c r="C80" i="8"/>
  <c r="C81" i="8"/>
  <c r="C82" i="8"/>
  <c r="C83" i="8"/>
  <c r="C84" i="8"/>
  <c r="C85" i="8"/>
  <c r="C86" i="8"/>
  <c r="C87" i="8"/>
  <c r="C88" i="8"/>
  <c r="C89" i="8"/>
  <c r="C90" i="8"/>
  <c r="C91" i="8"/>
  <c r="C92" i="8"/>
  <c r="C93" i="8"/>
  <c r="C7" i="8"/>
  <c r="B94" i="8"/>
  <c r="B95" i="8"/>
  <c r="B96" i="8"/>
  <c r="V94" i="7"/>
  <c r="W94" i="7"/>
  <c r="V95" i="7"/>
  <c r="W95" i="7"/>
  <c r="V96" i="7"/>
  <c r="W96" i="7"/>
  <c r="V8" i="7"/>
  <c r="W8" i="7"/>
  <c r="V9" i="7"/>
  <c r="W9" i="7"/>
  <c r="V10" i="7"/>
  <c r="W10" i="7"/>
  <c r="V11" i="7"/>
  <c r="W11" i="7"/>
  <c r="V12" i="7"/>
  <c r="W12" i="7"/>
  <c r="V13" i="7"/>
  <c r="W13" i="7"/>
  <c r="V14" i="7"/>
  <c r="W14" i="7"/>
  <c r="V15" i="7"/>
  <c r="W15" i="7"/>
  <c r="V16" i="7"/>
  <c r="W16" i="7"/>
  <c r="V17" i="7"/>
  <c r="W17" i="7"/>
  <c r="V18" i="7"/>
  <c r="W18" i="7"/>
  <c r="V19" i="7"/>
  <c r="W19" i="7"/>
  <c r="V20" i="7"/>
  <c r="W20" i="7"/>
  <c r="V21" i="7"/>
  <c r="W21" i="7"/>
  <c r="V22" i="7"/>
  <c r="W22" i="7"/>
  <c r="V23" i="7"/>
  <c r="W23" i="7"/>
  <c r="V24" i="7"/>
  <c r="W24" i="7"/>
  <c r="V25" i="7"/>
  <c r="W25" i="7"/>
  <c r="V26" i="7"/>
  <c r="W26" i="7"/>
  <c r="V27" i="7"/>
  <c r="W27" i="7"/>
  <c r="V28" i="7"/>
  <c r="W28" i="7"/>
  <c r="V29" i="7"/>
  <c r="W29" i="7"/>
  <c r="V30" i="7"/>
  <c r="W30" i="7"/>
  <c r="V31" i="7"/>
  <c r="W31" i="7"/>
  <c r="V32" i="7"/>
  <c r="W32" i="7"/>
  <c r="V33" i="7"/>
  <c r="W33" i="7"/>
  <c r="V34" i="7"/>
  <c r="W34" i="7"/>
  <c r="V35" i="7"/>
  <c r="W35" i="7"/>
  <c r="V36" i="7"/>
  <c r="W36" i="7"/>
  <c r="V37" i="7"/>
  <c r="W37" i="7"/>
  <c r="V38" i="7"/>
  <c r="W38" i="7"/>
  <c r="V39" i="7"/>
  <c r="W39" i="7"/>
  <c r="V40" i="7"/>
  <c r="W40" i="7"/>
  <c r="V41" i="7"/>
  <c r="W41" i="7"/>
  <c r="V42" i="7"/>
  <c r="W42" i="7"/>
  <c r="V43" i="7"/>
  <c r="W43" i="7"/>
  <c r="V44" i="7"/>
  <c r="W44" i="7"/>
  <c r="V45" i="7"/>
  <c r="W45" i="7"/>
  <c r="V46" i="7"/>
  <c r="W46" i="7"/>
  <c r="V47" i="7"/>
  <c r="W47" i="7"/>
  <c r="V48" i="7"/>
  <c r="W48" i="7"/>
  <c r="V49" i="7"/>
  <c r="W49" i="7"/>
  <c r="V50" i="7"/>
  <c r="W50" i="7"/>
  <c r="V51" i="7"/>
  <c r="W51" i="7"/>
  <c r="V52" i="7"/>
  <c r="W52" i="7"/>
  <c r="V53" i="7"/>
  <c r="W53" i="7"/>
  <c r="V54" i="7"/>
  <c r="W54" i="7"/>
  <c r="V55" i="7"/>
  <c r="W55" i="7"/>
  <c r="V56" i="7"/>
  <c r="W56" i="7"/>
  <c r="V57" i="7"/>
  <c r="W57" i="7"/>
  <c r="V58" i="7"/>
  <c r="W58" i="7"/>
  <c r="V59" i="7"/>
  <c r="W59" i="7"/>
  <c r="V60" i="7"/>
  <c r="W60" i="7"/>
  <c r="V61" i="7"/>
  <c r="W61" i="7"/>
  <c r="V62" i="7"/>
  <c r="W62" i="7"/>
  <c r="V63" i="7"/>
  <c r="W63" i="7"/>
  <c r="V64" i="7"/>
  <c r="W64" i="7"/>
  <c r="V65" i="7"/>
  <c r="W65" i="7"/>
  <c r="V66" i="7"/>
  <c r="W66" i="7"/>
  <c r="V67" i="7"/>
  <c r="W67" i="7"/>
  <c r="V68" i="7"/>
  <c r="W68" i="7"/>
  <c r="V69" i="7"/>
  <c r="W69" i="7"/>
  <c r="V70" i="7"/>
  <c r="W70" i="7"/>
  <c r="V71" i="7"/>
  <c r="W71" i="7"/>
  <c r="V72" i="7"/>
  <c r="W72" i="7"/>
  <c r="V73" i="7"/>
  <c r="W73" i="7"/>
  <c r="V74" i="7"/>
  <c r="W74" i="7"/>
  <c r="V75" i="7"/>
  <c r="W75" i="7"/>
  <c r="V76" i="7"/>
  <c r="W76" i="7"/>
  <c r="V77" i="7"/>
  <c r="W77" i="7"/>
  <c r="V78" i="7"/>
  <c r="W78" i="7"/>
  <c r="V79" i="7"/>
  <c r="W79" i="7"/>
  <c r="V80" i="7"/>
  <c r="W80" i="7"/>
  <c r="V81" i="7"/>
  <c r="W81" i="7"/>
  <c r="V82" i="7"/>
  <c r="W82" i="7"/>
  <c r="V83" i="7"/>
  <c r="W83" i="7"/>
  <c r="V84" i="7"/>
  <c r="W84" i="7"/>
  <c r="V85" i="7"/>
  <c r="W85" i="7"/>
  <c r="V86" i="7"/>
  <c r="W86" i="7"/>
  <c r="V87" i="7"/>
  <c r="W87" i="7"/>
  <c r="V88" i="7"/>
  <c r="W88" i="7"/>
  <c r="V89" i="7"/>
  <c r="W89" i="7"/>
  <c r="V90" i="7"/>
  <c r="W90" i="7"/>
  <c r="V91" i="7"/>
  <c r="W91" i="7"/>
  <c r="V92" i="7"/>
  <c r="W92" i="7"/>
  <c r="V93" i="7"/>
  <c r="W93" i="7"/>
  <c r="W7" i="7"/>
  <c r="V7" i="7"/>
  <c r="AI94" i="7"/>
  <c r="AJ94" i="7" s="1"/>
  <c r="L94" i="7" s="1"/>
  <c r="AI95" i="7"/>
  <c r="AJ95" i="7" s="1"/>
  <c r="L95" i="7" s="1"/>
  <c r="AI96" i="7"/>
  <c r="AJ96" i="7" s="1"/>
  <c r="L96" i="7" s="1"/>
  <c r="AI8" i="7"/>
  <c r="AI9" i="7"/>
  <c r="AI10" i="7"/>
  <c r="AI11" i="7"/>
  <c r="AI12" i="7"/>
  <c r="AI13" i="7"/>
  <c r="AI14" i="7"/>
  <c r="AI15" i="7"/>
  <c r="AI16" i="7"/>
  <c r="AI17" i="7"/>
  <c r="AI18" i="7"/>
  <c r="AI19" i="7"/>
  <c r="AI20" i="7"/>
  <c r="AI21" i="7"/>
  <c r="AI22" i="7"/>
  <c r="AI23" i="7"/>
  <c r="AI24" i="7"/>
  <c r="AI25" i="7"/>
  <c r="AI26" i="7"/>
  <c r="AI27" i="7"/>
  <c r="AI28" i="7"/>
  <c r="AI29" i="7"/>
  <c r="AI30" i="7"/>
  <c r="AI31" i="7"/>
  <c r="AI32" i="7"/>
  <c r="AI33" i="7"/>
  <c r="AI34" i="7"/>
  <c r="AI35" i="7"/>
  <c r="AI36" i="7"/>
  <c r="AI37" i="7"/>
  <c r="AI38" i="7"/>
  <c r="AI39" i="7"/>
  <c r="AI40" i="7"/>
  <c r="AI41" i="7"/>
  <c r="AI42" i="7"/>
  <c r="AI43" i="7"/>
  <c r="AI44" i="7"/>
  <c r="AI45" i="7"/>
  <c r="AI46" i="7"/>
  <c r="AI47" i="7"/>
  <c r="AI48" i="7"/>
  <c r="AI49" i="7"/>
  <c r="AI50" i="7"/>
  <c r="AI51" i="7"/>
  <c r="AI52" i="7"/>
  <c r="AI53" i="7"/>
  <c r="AI54" i="7"/>
  <c r="AI55" i="7"/>
  <c r="AI56" i="7"/>
  <c r="AI57" i="7"/>
  <c r="AI58" i="7"/>
  <c r="AI59" i="7"/>
  <c r="AI60" i="7"/>
  <c r="AI61" i="7"/>
  <c r="AI62" i="7"/>
  <c r="AI63" i="7"/>
  <c r="AI64" i="7"/>
  <c r="AI65" i="7"/>
  <c r="AI66" i="7"/>
  <c r="AI67" i="7"/>
  <c r="AI68" i="7"/>
  <c r="AI69" i="7"/>
  <c r="AI70" i="7"/>
  <c r="AI71" i="7"/>
  <c r="AI72" i="7"/>
  <c r="AI73" i="7"/>
  <c r="AI74" i="7"/>
  <c r="AI75" i="7"/>
  <c r="AI76" i="7"/>
  <c r="AI77" i="7"/>
  <c r="AI78" i="7"/>
  <c r="AI79" i="7"/>
  <c r="AI80" i="7"/>
  <c r="AI81" i="7"/>
  <c r="AI82" i="7"/>
  <c r="AI83" i="7"/>
  <c r="AI84" i="7"/>
  <c r="AI85" i="7"/>
  <c r="AI86" i="7"/>
  <c r="AI87" i="7"/>
  <c r="AI88" i="7"/>
  <c r="AI89" i="7"/>
  <c r="AI90" i="7"/>
  <c r="AI91" i="7"/>
  <c r="AI92" i="7"/>
  <c r="AI93" i="7"/>
  <c r="AI7" i="7"/>
  <c r="AL94" i="7"/>
  <c r="AM94" i="7"/>
  <c r="AQ94" i="7"/>
  <c r="AL95" i="7"/>
  <c r="AM95" i="7"/>
  <c r="AQ95" i="7"/>
  <c r="AL96" i="7"/>
  <c r="AM96" i="7"/>
  <c r="AQ96" i="7"/>
  <c r="AK94" i="7"/>
  <c r="AK95" i="7"/>
  <c r="AK96" i="7"/>
  <c r="N94" i="7"/>
  <c r="N95" i="7"/>
  <c r="N96" i="7"/>
  <c r="N8" i="7"/>
  <c r="N9" i="7"/>
  <c r="N10" i="7"/>
  <c r="N11" i="7"/>
  <c r="N12" i="7"/>
  <c r="N13" i="7"/>
  <c r="N14" i="7"/>
  <c r="N15" i="7"/>
  <c r="N16" i="7"/>
  <c r="N17" i="7"/>
  <c r="N18" i="7"/>
  <c r="N19" i="7"/>
  <c r="N20" i="7"/>
  <c r="N21" i="7"/>
  <c r="N22" i="7"/>
  <c r="N23" i="7"/>
  <c r="N24" i="7"/>
  <c r="N25" i="7"/>
  <c r="N26" i="7"/>
  <c r="N27" i="7"/>
  <c r="N28" i="7"/>
  <c r="N29" i="7"/>
  <c r="N30" i="7"/>
  <c r="N31" i="7"/>
  <c r="N32" i="7"/>
  <c r="N33" i="7"/>
  <c r="N34" i="7"/>
  <c r="N35" i="7"/>
  <c r="N36" i="7"/>
  <c r="N37" i="7"/>
  <c r="N38" i="7"/>
  <c r="N39" i="7"/>
  <c r="N40" i="7"/>
  <c r="N41" i="7"/>
  <c r="N42" i="7"/>
  <c r="N43" i="7"/>
  <c r="N44" i="7"/>
  <c r="N45" i="7"/>
  <c r="N46" i="7"/>
  <c r="N47" i="7"/>
  <c r="N48" i="7"/>
  <c r="N49" i="7"/>
  <c r="N50" i="7"/>
  <c r="N51" i="7"/>
  <c r="N52" i="7"/>
  <c r="N53" i="7"/>
  <c r="N54" i="7"/>
  <c r="N55" i="7"/>
  <c r="N56" i="7"/>
  <c r="N57" i="7"/>
  <c r="N58" i="7"/>
  <c r="N59" i="7"/>
  <c r="N60" i="7"/>
  <c r="N61" i="7"/>
  <c r="N62" i="7"/>
  <c r="N63" i="7"/>
  <c r="N64" i="7"/>
  <c r="N65" i="7"/>
  <c r="N66" i="7"/>
  <c r="N67" i="7"/>
  <c r="N68" i="7"/>
  <c r="N69" i="7"/>
  <c r="N70" i="7"/>
  <c r="N71" i="7"/>
  <c r="N72" i="7"/>
  <c r="N73" i="7"/>
  <c r="N74" i="7"/>
  <c r="N75" i="7"/>
  <c r="N76" i="7"/>
  <c r="N77" i="7"/>
  <c r="N78" i="7"/>
  <c r="N79" i="7"/>
  <c r="N80" i="7"/>
  <c r="N81" i="7"/>
  <c r="N82" i="7"/>
  <c r="N83" i="7"/>
  <c r="N84" i="7"/>
  <c r="N85" i="7"/>
  <c r="N86" i="7"/>
  <c r="N87" i="7"/>
  <c r="N88" i="7"/>
  <c r="N89" i="7"/>
  <c r="N90" i="7"/>
  <c r="N91" i="7"/>
  <c r="N92" i="7"/>
  <c r="N93" i="7"/>
  <c r="N7" i="7"/>
  <c r="U94" i="7"/>
  <c r="U95" i="7"/>
  <c r="U96" i="7"/>
  <c r="C8" i="7"/>
  <c r="C9" i="7"/>
  <c r="C10" i="7"/>
  <c r="C11" i="7"/>
  <c r="C12" i="7"/>
  <c r="C13" i="7"/>
  <c r="C14" i="7"/>
  <c r="C15" i="7"/>
  <c r="C16" i="7"/>
  <c r="C17" i="7"/>
  <c r="C18" i="7"/>
  <c r="C19" i="7"/>
  <c r="C20" i="7"/>
  <c r="C21" i="7"/>
  <c r="C22" i="7"/>
  <c r="C23" i="7"/>
  <c r="C24" i="7"/>
  <c r="C25" i="7"/>
  <c r="C26" i="7"/>
  <c r="C27" i="7"/>
  <c r="C28" i="7"/>
  <c r="C29" i="7"/>
  <c r="C30" i="7"/>
  <c r="C31" i="7"/>
  <c r="C32" i="7"/>
  <c r="C33" i="7"/>
  <c r="C34" i="7"/>
  <c r="C35" i="7"/>
  <c r="C36" i="7"/>
  <c r="C37" i="7"/>
  <c r="C38" i="7"/>
  <c r="C39" i="7"/>
  <c r="C40" i="7"/>
  <c r="C41" i="7"/>
  <c r="C42" i="7"/>
  <c r="C43" i="7"/>
  <c r="C44" i="7"/>
  <c r="C45" i="7"/>
  <c r="C46" i="7"/>
  <c r="C47" i="7"/>
  <c r="C48" i="7"/>
  <c r="C49" i="7"/>
  <c r="C50" i="7"/>
  <c r="C51" i="7"/>
  <c r="C52" i="7"/>
  <c r="C53" i="7"/>
  <c r="C54" i="7"/>
  <c r="C55" i="7"/>
  <c r="C56" i="7"/>
  <c r="C57" i="7"/>
  <c r="C58" i="7"/>
  <c r="C59" i="7"/>
  <c r="C60" i="7"/>
  <c r="C61" i="7"/>
  <c r="C62" i="7"/>
  <c r="C63" i="7"/>
  <c r="C64" i="7"/>
  <c r="C65" i="7"/>
  <c r="C66" i="7"/>
  <c r="C67" i="7"/>
  <c r="C68" i="7"/>
  <c r="C69" i="7"/>
  <c r="C70" i="7"/>
  <c r="C71" i="7"/>
  <c r="C72" i="7"/>
  <c r="C73" i="7"/>
  <c r="C74" i="7"/>
  <c r="C75" i="7"/>
  <c r="C76" i="7"/>
  <c r="C77" i="7"/>
  <c r="C78" i="7"/>
  <c r="C79" i="7"/>
  <c r="C80" i="7"/>
  <c r="C81" i="7"/>
  <c r="C82" i="7"/>
  <c r="C83" i="7"/>
  <c r="C84" i="7"/>
  <c r="C85" i="7"/>
  <c r="C86" i="7"/>
  <c r="C87" i="7"/>
  <c r="C88" i="7"/>
  <c r="AG88" i="7" s="1"/>
  <c r="C89" i="7"/>
  <c r="C90" i="7"/>
  <c r="C91" i="7"/>
  <c r="C92" i="7"/>
  <c r="C93" i="7"/>
  <c r="C7" i="7"/>
  <c r="B94" i="7"/>
  <c r="B95" i="7"/>
  <c r="B96" i="7"/>
  <c r="AH94" i="6"/>
  <c r="AI94" i="6" s="1"/>
  <c r="L94" i="6" s="1"/>
  <c r="AH95" i="6"/>
  <c r="AI95" i="6" s="1"/>
  <c r="L95" i="6" s="1"/>
  <c r="AH96" i="6"/>
  <c r="AI96" i="6" s="1"/>
  <c r="L96" i="6" s="1"/>
  <c r="AH8" i="6"/>
  <c r="AH9" i="6"/>
  <c r="AH10" i="6"/>
  <c r="AH11" i="6"/>
  <c r="AH12" i="6"/>
  <c r="AH13" i="6"/>
  <c r="AH14" i="6"/>
  <c r="AH15" i="6"/>
  <c r="AH16" i="6"/>
  <c r="AH17" i="6"/>
  <c r="AH18" i="6"/>
  <c r="AH19" i="6"/>
  <c r="AH20" i="6"/>
  <c r="AH21" i="6"/>
  <c r="AH22" i="6"/>
  <c r="AH23" i="6"/>
  <c r="AH24" i="6"/>
  <c r="AH25" i="6"/>
  <c r="AH26" i="6"/>
  <c r="AH27" i="6"/>
  <c r="AH28" i="6"/>
  <c r="AH29" i="6"/>
  <c r="AH30" i="6"/>
  <c r="AH31" i="6"/>
  <c r="AH32" i="6"/>
  <c r="AH33" i="6"/>
  <c r="AH34" i="6"/>
  <c r="AH35" i="6"/>
  <c r="AH36" i="6"/>
  <c r="AH37" i="6"/>
  <c r="AH38" i="6"/>
  <c r="AH39" i="6"/>
  <c r="AH40" i="6"/>
  <c r="AH41" i="6"/>
  <c r="AH42" i="6"/>
  <c r="AH43" i="6"/>
  <c r="AH44" i="6"/>
  <c r="AH45" i="6"/>
  <c r="AH46" i="6"/>
  <c r="AH47" i="6"/>
  <c r="AH48" i="6"/>
  <c r="AH49" i="6"/>
  <c r="AH50" i="6"/>
  <c r="AH51" i="6"/>
  <c r="AH52" i="6"/>
  <c r="AH53" i="6"/>
  <c r="AH54" i="6"/>
  <c r="AH55" i="6"/>
  <c r="AH56" i="6"/>
  <c r="AH57" i="6"/>
  <c r="AH58" i="6"/>
  <c r="AH59" i="6"/>
  <c r="AH60" i="6"/>
  <c r="AH61" i="6"/>
  <c r="AH62" i="6"/>
  <c r="AH63" i="6"/>
  <c r="AH64" i="6"/>
  <c r="AH65" i="6"/>
  <c r="AH66" i="6"/>
  <c r="AH67" i="6"/>
  <c r="AH68" i="6"/>
  <c r="AH69" i="6"/>
  <c r="AH70" i="6"/>
  <c r="AH71" i="6"/>
  <c r="AH72" i="6"/>
  <c r="AH73" i="6"/>
  <c r="AH74" i="6"/>
  <c r="AH75" i="6"/>
  <c r="AH76" i="6"/>
  <c r="AH77" i="6"/>
  <c r="AH78" i="6"/>
  <c r="AH79" i="6"/>
  <c r="AH80" i="6"/>
  <c r="AH81" i="6"/>
  <c r="AH82" i="6"/>
  <c r="AH83" i="6"/>
  <c r="AH84" i="6"/>
  <c r="AH85" i="6"/>
  <c r="AH86" i="6"/>
  <c r="AH87" i="6"/>
  <c r="AH88" i="6"/>
  <c r="AH89" i="6"/>
  <c r="AH90" i="6"/>
  <c r="AH91" i="6"/>
  <c r="AH92" i="6"/>
  <c r="AH93" i="6"/>
  <c r="AH7" i="6"/>
  <c r="AK94" i="6"/>
  <c r="AL94" i="6"/>
  <c r="AP94" i="6"/>
  <c r="AK95" i="6"/>
  <c r="AL95" i="6"/>
  <c r="AP95" i="6"/>
  <c r="AK96" i="6"/>
  <c r="AL96" i="6"/>
  <c r="AP96" i="6"/>
  <c r="AJ94" i="6"/>
  <c r="AJ95" i="6"/>
  <c r="AJ96" i="6"/>
  <c r="U94" i="6"/>
  <c r="U95" i="6"/>
  <c r="U96" i="6"/>
  <c r="C8" i="6"/>
  <c r="C9" i="6"/>
  <c r="C10" i="6"/>
  <c r="C11" i="6"/>
  <c r="C12" i="6"/>
  <c r="C13" i="6"/>
  <c r="C14" i="6"/>
  <c r="C15" i="6"/>
  <c r="C16" i="6"/>
  <c r="C17" i="6"/>
  <c r="C18" i="6"/>
  <c r="C19" i="6"/>
  <c r="C20" i="6"/>
  <c r="C21" i="6"/>
  <c r="C22" i="6"/>
  <c r="C23" i="6"/>
  <c r="C24" i="6"/>
  <c r="C25" i="6"/>
  <c r="C26" i="6"/>
  <c r="C27" i="6"/>
  <c r="C28" i="6"/>
  <c r="C29" i="6"/>
  <c r="C30" i="6"/>
  <c r="C31" i="6"/>
  <c r="C32" i="6"/>
  <c r="C33" i="6"/>
  <c r="C34" i="6"/>
  <c r="C35" i="6"/>
  <c r="C36" i="6"/>
  <c r="C37" i="6"/>
  <c r="C38" i="6"/>
  <c r="C39" i="6"/>
  <c r="C40" i="6"/>
  <c r="C41" i="6"/>
  <c r="C42" i="6"/>
  <c r="C43" i="6"/>
  <c r="C44" i="6"/>
  <c r="C45" i="6"/>
  <c r="C46" i="6"/>
  <c r="C47" i="6"/>
  <c r="C48" i="6"/>
  <c r="C49" i="6"/>
  <c r="C50" i="6"/>
  <c r="C51" i="6"/>
  <c r="C52" i="6"/>
  <c r="C53" i="6"/>
  <c r="C54" i="6"/>
  <c r="C55" i="6"/>
  <c r="C56" i="6"/>
  <c r="C57" i="6"/>
  <c r="C58" i="6"/>
  <c r="C59" i="6"/>
  <c r="C60" i="6"/>
  <c r="C61" i="6"/>
  <c r="C62" i="6"/>
  <c r="C63" i="6"/>
  <c r="C64" i="6"/>
  <c r="C65" i="6"/>
  <c r="C66" i="6"/>
  <c r="C67" i="6"/>
  <c r="C68" i="6"/>
  <c r="C69" i="6"/>
  <c r="C70" i="6"/>
  <c r="C71" i="6"/>
  <c r="C72" i="6"/>
  <c r="C73" i="6"/>
  <c r="C74" i="6"/>
  <c r="C75" i="6"/>
  <c r="C76" i="6"/>
  <c r="C77" i="6"/>
  <c r="C78" i="6"/>
  <c r="C79" i="6"/>
  <c r="C80" i="6"/>
  <c r="C81" i="6"/>
  <c r="C82" i="6"/>
  <c r="C83" i="6"/>
  <c r="C84" i="6"/>
  <c r="C85" i="6"/>
  <c r="C86" i="6"/>
  <c r="C87" i="6"/>
  <c r="C88" i="6"/>
  <c r="C89" i="6"/>
  <c r="C90" i="6"/>
  <c r="C91" i="6"/>
  <c r="C92" i="6"/>
  <c r="C93" i="6"/>
  <c r="AC93" i="6" s="1"/>
  <c r="C7" i="6"/>
  <c r="B94" i="6"/>
  <c r="B95" i="6"/>
  <c r="B96" i="6"/>
  <c r="R14" i="23"/>
  <c r="E14" i="23"/>
  <c r="B1263" i="21"/>
  <c r="B1264" i="21"/>
  <c r="B1265" i="21"/>
  <c r="B1177" i="21"/>
  <c r="B1178" i="21"/>
  <c r="B1179" i="21"/>
  <c r="B1180" i="21"/>
  <c r="B1181" i="21"/>
  <c r="B1182" i="21"/>
  <c r="B1183" i="21"/>
  <c r="B1184" i="21"/>
  <c r="B1185" i="21"/>
  <c r="B1186" i="21"/>
  <c r="B1187" i="21"/>
  <c r="B1188" i="21"/>
  <c r="B1189" i="21"/>
  <c r="B1190" i="21"/>
  <c r="B1191" i="21"/>
  <c r="B1192" i="21"/>
  <c r="B1193" i="21"/>
  <c r="B1194" i="21"/>
  <c r="B1195" i="21"/>
  <c r="B1196" i="21"/>
  <c r="B1197" i="21"/>
  <c r="B1198" i="21"/>
  <c r="B1199" i="21"/>
  <c r="B1200" i="21"/>
  <c r="B1201" i="21"/>
  <c r="B1202" i="21"/>
  <c r="B1203" i="21"/>
  <c r="B1204" i="21"/>
  <c r="B1205" i="21"/>
  <c r="B1206" i="21"/>
  <c r="B1207" i="21"/>
  <c r="B1208" i="21"/>
  <c r="B1209" i="21"/>
  <c r="B1210" i="21"/>
  <c r="B1211" i="21"/>
  <c r="B1212" i="21"/>
  <c r="B1213" i="21"/>
  <c r="B1214" i="21"/>
  <c r="B1215" i="21"/>
  <c r="B1216" i="21"/>
  <c r="B1217" i="21"/>
  <c r="B1218" i="21"/>
  <c r="B1219" i="21"/>
  <c r="B1220" i="21"/>
  <c r="B1221" i="21"/>
  <c r="B1222" i="21"/>
  <c r="B1223" i="21"/>
  <c r="B1224" i="21"/>
  <c r="B1225" i="21"/>
  <c r="B1226" i="21"/>
  <c r="B1227" i="21"/>
  <c r="B1228" i="21"/>
  <c r="B1229" i="21"/>
  <c r="B1230" i="21"/>
  <c r="B1231" i="21"/>
  <c r="B1232" i="21"/>
  <c r="B1233" i="21"/>
  <c r="B1234" i="21"/>
  <c r="B1235" i="21"/>
  <c r="B1236" i="21"/>
  <c r="B1237" i="21"/>
  <c r="B1238" i="21"/>
  <c r="B1239" i="21"/>
  <c r="B1240" i="21"/>
  <c r="B1241" i="21"/>
  <c r="B1242" i="21"/>
  <c r="B1243" i="21"/>
  <c r="B1244" i="21"/>
  <c r="B1245" i="21"/>
  <c r="B1246" i="21"/>
  <c r="B1247" i="21"/>
  <c r="B1248" i="21"/>
  <c r="B1249" i="21"/>
  <c r="B1250" i="21"/>
  <c r="B1251" i="21"/>
  <c r="B1252" i="21"/>
  <c r="B1253" i="21"/>
  <c r="B1254" i="21"/>
  <c r="B1255" i="21"/>
  <c r="B1256" i="21"/>
  <c r="B1257" i="21"/>
  <c r="B1258" i="21"/>
  <c r="B1259" i="21"/>
  <c r="B1260" i="21"/>
  <c r="B1261" i="21"/>
  <c r="B1262" i="21"/>
  <c r="B1176" i="21"/>
  <c r="H1176" i="21"/>
  <c r="O93" i="19"/>
  <c r="AO94" i="5"/>
  <c r="AO95" i="5"/>
  <c r="AO96" i="5"/>
  <c r="AK94" i="5"/>
  <c r="AK95" i="5"/>
  <c r="AK96" i="5"/>
  <c r="AJ94" i="5"/>
  <c r="AJ95" i="5"/>
  <c r="AJ96" i="5"/>
  <c r="N94" i="6"/>
  <c r="E94" i="6" s="1"/>
  <c r="N95" i="6"/>
  <c r="E95" i="6" s="1"/>
  <c r="N96" i="6"/>
  <c r="N8" i="6"/>
  <c r="N9" i="6"/>
  <c r="N10" i="6"/>
  <c r="N11" i="6"/>
  <c r="N12" i="6"/>
  <c r="N13" i="6"/>
  <c r="N14" i="6"/>
  <c r="N15" i="6"/>
  <c r="N16" i="6"/>
  <c r="N17" i="6"/>
  <c r="N18" i="6"/>
  <c r="N19" i="6"/>
  <c r="N20" i="6"/>
  <c r="N21" i="6"/>
  <c r="N22" i="6"/>
  <c r="N23" i="6"/>
  <c r="N24" i="6"/>
  <c r="N25" i="6"/>
  <c r="N26" i="6"/>
  <c r="N27" i="6"/>
  <c r="N28" i="6"/>
  <c r="N29" i="6"/>
  <c r="N30" i="6"/>
  <c r="N31" i="6"/>
  <c r="N32" i="6"/>
  <c r="N33" i="6"/>
  <c r="N34" i="6"/>
  <c r="N35" i="6"/>
  <c r="N36" i="6"/>
  <c r="N37" i="6"/>
  <c r="N38" i="6"/>
  <c r="N39" i="6"/>
  <c r="N40" i="6"/>
  <c r="N41" i="6"/>
  <c r="N42" i="6"/>
  <c r="N43" i="6"/>
  <c r="N44" i="6"/>
  <c r="N45" i="6"/>
  <c r="N46" i="6"/>
  <c r="N47" i="6"/>
  <c r="N48" i="6"/>
  <c r="N49" i="6"/>
  <c r="N50" i="6"/>
  <c r="N51" i="6"/>
  <c r="N52" i="6"/>
  <c r="N53" i="6"/>
  <c r="N54" i="6"/>
  <c r="N55" i="6"/>
  <c r="N56" i="6"/>
  <c r="N57" i="6"/>
  <c r="N58" i="6"/>
  <c r="N59" i="6"/>
  <c r="N60" i="6"/>
  <c r="N61" i="6"/>
  <c r="N62" i="6"/>
  <c r="N63" i="6"/>
  <c r="N64" i="6"/>
  <c r="N65" i="6"/>
  <c r="N66" i="6"/>
  <c r="N67" i="6"/>
  <c r="N68" i="6"/>
  <c r="N69" i="6"/>
  <c r="N70" i="6"/>
  <c r="N71" i="6"/>
  <c r="N72" i="6"/>
  <c r="N73" i="6"/>
  <c r="N74" i="6"/>
  <c r="N75" i="6"/>
  <c r="N76" i="6"/>
  <c r="N77" i="6"/>
  <c r="N78" i="6"/>
  <c r="N79" i="6"/>
  <c r="N80" i="6"/>
  <c r="N81" i="6"/>
  <c r="N82" i="6"/>
  <c r="N83" i="6"/>
  <c r="N84" i="6"/>
  <c r="N85" i="6"/>
  <c r="N86" i="6"/>
  <c r="N87" i="6"/>
  <c r="N88" i="6"/>
  <c r="N89" i="6"/>
  <c r="N90" i="6"/>
  <c r="N91" i="6"/>
  <c r="N92" i="6"/>
  <c r="N93" i="6"/>
  <c r="N7" i="6"/>
  <c r="C1263" i="21"/>
  <c r="C1264" i="21"/>
  <c r="C1265" i="21"/>
  <c r="B1156" i="21"/>
  <c r="T763" i="21"/>
  <c r="T764" i="21"/>
  <c r="T765" i="21"/>
  <c r="G764" i="21"/>
  <c r="G765" i="21"/>
  <c r="G766" i="21"/>
  <c r="AI94" i="5"/>
  <c r="AI95" i="5"/>
  <c r="AI96" i="5"/>
  <c r="AF94" i="5"/>
  <c r="AF95" i="5"/>
  <c r="AF96" i="5"/>
  <c r="U94" i="5"/>
  <c r="U95" i="5"/>
  <c r="U96" i="5"/>
  <c r="B94" i="5"/>
  <c r="B95" i="5"/>
  <c r="B96" i="5"/>
  <c r="E321" i="14"/>
  <c r="E320" i="14"/>
  <c r="E322" i="14"/>
  <c r="BA96" i="12" l="1"/>
  <c r="AO96" i="25"/>
  <c r="AP96" i="25" s="1"/>
  <c r="K96" i="25" s="1"/>
  <c r="E94" i="12"/>
  <c r="E95" i="12"/>
  <c r="E96" i="12"/>
  <c r="E96" i="8"/>
  <c r="E95" i="7"/>
  <c r="E94" i="7"/>
  <c r="E95" i="8"/>
  <c r="E94" i="8"/>
  <c r="AQ96" i="13"/>
  <c r="AY96" i="11"/>
  <c r="E96" i="7"/>
  <c r="E96" i="6"/>
  <c r="AI93" i="18"/>
  <c r="P71" i="18"/>
  <c r="AP70" i="18"/>
  <c r="AQ71" i="18"/>
  <c r="AR95" i="18"/>
  <c r="AR94" i="18"/>
  <c r="AR7" i="18"/>
  <c r="AQ7" i="18"/>
  <c r="AP7" i="18"/>
  <c r="P7" i="18"/>
  <c r="O70" i="18"/>
  <c r="O7" i="18"/>
  <c r="Q7" i="18"/>
  <c r="Q94" i="18"/>
  <c r="CI70" i="1"/>
  <c r="Q95" i="18"/>
  <c r="AS93" i="18"/>
  <c r="AS94" i="18"/>
  <c r="AS95" i="18"/>
  <c r="R95" i="18"/>
  <c r="R94" i="18"/>
  <c r="R93" i="18"/>
  <c r="I93" i="18"/>
  <c r="H93" i="18"/>
  <c r="H86" i="18"/>
  <c r="CK7" i="1"/>
  <c r="CJ7" i="1"/>
  <c r="CL95" i="1"/>
  <c r="CL94" i="1"/>
  <c r="CK94" i="1"/>
  <c r="CL93" i="1"/>
  <c r="CL59" i="1"/>
  <c r="CH93" i="1"/>
  <c r="BY93" i="1"/>
  <c r="CG93" i="1"/>
  <c r="CG87" i="1"/>
  <c r="CF93" i="1"/>
  <c r="CF81" i="1"/>
  <c r="CE93" i="1"/>
  <c r="CE81" i="1"/>
  <c r="CC93" i="1"/>
  <c r="CC85" i="1"/>
  <c r="BY84" i="1"/>
  <c r="BJ93" i="1"/>
  <c r="BH93" i="1"/>
  <c r="BF93" i="1"/>
  <c r="BE93" i="1"/>
  <c r="BD93" i="1"/>
  <c r="BC93" i="1"/>
  <c r="AY93" i="1"/>
  <c r="BK95" i="1"/>
  <c r="BK94" i="1"/>
  <c r="BK93" i="1"/>
  <c r="AK95" i="1"/>
  <c r="AK94" i="1"/>
  <c r="AK93" i="1"/>
  <c r="AH93" i="1"/>
  <c r="AH84" i="1"/>
  <c r="AG93" i="1"/>
  <c r="AG90" i="1"/>
  <c r="AF93" i="1"/>
  <c r="AF81" i="1"/>
  <c r="AE93" i="1"/>
  <c r="AE81" i="1"/>
  <c r="AC93" i="1"/>
  <c r="AC92" i="1"/>
  <c r="AB93" i="1"/>
  <c r="AB81" i="1"/>
  <c r="N67" i="1"/>
  <c r="J93" i="1"/>
  <c r="F93" i="1"/>
  <c r="O707" i="21"/>
  <c r="A705" i="21"/>
  <c r="O1071" i="21" l="1"/>
  <c r="O1072" i="21"/>
  <c r="O1073" i="21"/>
  <c r="O1074" i="21"/>
  <c r="O1075" i="21"/>
  <c r="O1076" i="21"/>
  <c r="O1077" i="21"/>
  <c r="O1078" i="21"/>
  <c r="O1079" i="21"/>
  <c r="O1080" i="21"/>
  <c r="O1081" i="21"/>
  <c r="O1082" i="21"/>
  <c r="O1083" i="21"/>
  <c r="O1084" i="21"/>
  <c r="O1085" i="21"/>
  <c r="O1086" i="21"/>
  <c r="O1087" i="21"/>
  <c r="O1088" i="21"/>
  <c r="O1089" i="21"/>
  <c r="O1090" i="21"/>
  <c r="O1091" i="21"/>
  <c r="O1092" i="21"/>
  <c r="O1093" i="21"/>
  <c r="O1094" i="21"/>
  <c r="O1095" i="21"/>
  <c r="O1096" i="21"/>
  <c r="O1097" i="21"/>
  <c r="O1098" i="21"/>
  <c r="O1099" i="21"/>
  <c r="O1100" i="21"/>
  <c r="O1101" i="21"/>
  <c r="O1102" i="21"/>
  <c r="O1103" i="21"/>
  <c r="O1104" i="21"/>
  <c r="O1105" i="21"/>
  <c r="O1106" i="21"/>
  <c r="O1107" i="21"/>
  <c r="O1108" i="21"/>
  <c r="O1109" i="21"/>
  <c r="O1110" i="21"/>
  <c r="O1111" i="21"/>
  <c r="O1112" i="21"/>
  <c r="O1113" i="21"/>
  <c r="O1114" i="21"/>
  <c r="O1115" i="21"/>
  <c r="O1116" i="21"/>
  <c r="O1117" i="21"/>
  <c r="O1118" i="21"/>
  <c r="O1119" i="21"/>
  <c r="O1120" i="21"/>
  <c r="O1121" i="21"/>
  <c r="O1122" i="21"/>
  <c r="O1123" i="21"/>
  <c r="O1124" i="21"/>
  <c r="O1125" i="21"/>
  <c r="O1126" i="21"/>
  <c r="O1127" i="21"/>
  <c r="O1128" i="21"/>
  <c r="O1129" i="21"/>
  <c r="O1130" i="21"/>
  <c r="O1131" i="21"/>
  <c r="O1132" i="21"/>
  <c r="O1133" i="21"/>
  <c r="O1134" i="21"/>
  <c r="O1135" i="21"/>
  <c r="O1136" i="21"/>
  <c r="O1137" i="21"/>
  <c r="O1138" i="21"/>
  <c r="O1139" i="21"/>
  <c r="O1140" i="21"/>
  <c r="O1141" i="21"/>
  <c r="O1142" i="21"/>
  <c r="O1143" i="21"/>
  <c r="O1144" i="21"/>
  <c r="O1145" i="21"/>
  <c r="O1146" i="21"/>
  <c r="O1147" i="21"/>
  <c r="O1148" i="21"/>
  <c r="O1149" i="21"/>
  <c r="O1150" i="21"/>
  <c r="O1151" i="21"/>
  <c r="O1152" i="21"/>
  <c r="O1153" i="21"/>
  <c r="O1154" i="21"/>
  <c r="O1155" i="21"/>
  <c r="O1156" i="21"/>
  <c r="B1071" i="21"/>
  <c r="B1072" i="21"/>
  <c r="B1073" i="21"/>
  <c r="B1074" i="21"/>
  <c r="B1075" i="21"/>
  <c r="B1076" i="21"/>
  <c r="B1077" i="21"/>
  <c r="B1078" i="21"/>
  <c r="B1079" i="21"/>
  <c r="B1080" i="21"/>
  <c r="B1081" i="21"/>
  <c r="B1082" i="21"/>
  <c r="B1083" i="21"/>
  <c r="B1084" i="21"/>
  <c r="B1085" i="21"/>
  <c r="B1086" i="21"/>
  <c r="B1087" i="21"/>
  <c r="B1088" i="21"/>
  <c r="B1089" i="21"/>
  <c r="B1090" i="21"/>
  <c r="B1091" i="21"/>
  <c r="B1092" i="21"/>
  <c r="B1093" i="21"/>
  <c r="B1094" i="21"/>
  <c r="B1095" i="21"/>
  <c r="B1096" i="21"/>
  <c r="B1097" i="21"/>
  <c r="B1098" i="21"/>
  <c r="B1099" i="21"/>
  <c r="B1100" i="21"/>
  <c r="B1101" i="21"/>
  <c r="B1102" i="21"/>
  <c r="B1103" i="21"/>
  <c r="B1104" i="21"/>
  <c r="B1105" i="21"/>
  <c r="B1106" i="21"/>
  <c r="B1107" i="21"/>
  <c r="B1108" i="21"/>
  <c r="B1109" i="21"/>
  <c r="B1110" i="21"/>
  <c r="B1111" i="21"/>
  <c r="B1112" i="21"/>
  <c r="B1113" i="21"/>
  <c r="B1114" i="21"/>
  <c r="B1115" i="21"/>
  <c r="B1116" i="21"/>
  <c r="B1117" i="21"/>
  <c r="B1118" i="21"/>
  <c r="B1119" i="21"/>
  <c r="B1120" i="21"/>
  <c r="B1121" i="21"/>
  <c r="B1122" i="21"/>
  <c r="B1123" i="21"/>
  <c r="B1124" i="21"/>
  <c r="B1125" i="21"/>
  <c r="B1126" i="21"/>
  <c r="B1127" i="21"/>
  <c r="B1128" i="21"/>
  <c r="B1129" i="21"/>
  <c r="B1130" i="21"/>
  <c r="B1131" i="21"/>
  <c r="B1132" i="21"/>
  <c r="B1133" i="21"/>
  <c r="B1134" i="21"/>
  <c r="B1135" i="21"/>
  <c r="B1136" i="21"/>
  <c r="B1137" i="21"/>
  <c r="B1138" i="21"/>
  <c r="B1139" i="21"/>
  <c r="B1140" i="21"/>
  <c r="B1141" i="21"/>
  <c r="B1142" i="21"/>
  <c r="B1143" i="21"/>
  <c r="B1144" i="21"/>
  <c r="B1145" i="21"/>
  <c r="B1146" i="21"/>
  <c r="B1147" i="21"/>
  <c r="B1148" i="21"/>
  <c r="B1149" i="21"/>
  <c r="B1150" i="21"/>
  <c r="B1151" i="21"/>
  <c r="B1152" i="21"/>
  <c r="B1153" i="21"/>
  <c r="B1154" i="21"/>
  <c r="B1155" i="21"/>
  <c r="C1260" i="21"/>
  <c r="C1261" i="21"/>
  <c r="C1262" i="21"/>
  <c r="T762" i="21"/>
  <c r="T760" i="21"/>
  <c r="T761" i="21"/>
  <c r="G761" i="21"/>
  <c r="G762" i="21"/>
  <c r="G763" i="21"/>
  <c r="B681" i="21"/>
  <c r="R627" i="21"/>
  <c r="R626" i="21"/>
  <c r="R625" i="21"/>
  <c r="R624" i="21"/>
  <c r="Q626" i="21"/>
  <c r="Q625" i="21"/>
  <c r="Q624" i="21"/>
  <c r="Q623" i="21"/>
  <c r="R619" i="21"/>
  <c r="R618" i="21"/>
  <c r="R617" i="21"/>
  <c r="R616" i="21"/>
  <c r="Q618" i="21"/>
  <c r="Q617" i="21"/>
  <c r="Q616" i="21"/>
  <c r="Q615" i="21"/>
  <c r="I628" i="21"/>
  <c r="I627" i="21"/>
  <c r="I626" i="21"/>
  <c r="I625" i="21"/>
  <c r="I621" i="21"/>
  <c r="I620" i="21"/>
  <c r="I619" i="21"/>
  <c r="I618" i="21"/>
  <c r="F606" i="21"/>
  <c r="AN93" i="12"/>
  <c r="AN8" i="12"/>
  <c r="AN9" i="12"/>
  <c r="AN10" i="12"/>
  <c r="AN11" i="12"/>
  <c r="AN12" i="12"/>
  <c r="AN13" i="12"/>
  <c r="AN14" i="12"/>
  <c r="AN15" i="12"/>
  <c r="AN16" i="12"/>
  <c r="AN17" i="12"/>
  <c r="AN18" i="12"/>
  <c r="AN19" i="12"/>
  <c r="AN20" i="12"/>
  <c r="AN21" i="12"/>
  <c r="AN22" i="12"/>
  <c r="AN23" i="12"/>
  <c r="AN24" i="12"/>
  <c r="AN25" i="12"/>
  <c r="AN26" i="12"/>
  <c r="AN27" i="12"/>
  <c r="AN28" i="12"/>
  <c r="AN29" i="12"/>
  <c r="AN30" i="12"/>
  <c r="AN31" i="12"/>
  <c r="AN32" i="12"/>
  <c r="AN33" i="12"/>
  <c r="AN34" i="12"/>
  <c r="AN35" i="12"/>
  <c r="AN36" i="12"/>
  <c r="AN37" i="12"/>
  <c r="AN38" i="12"/>
  <c r="AN39" i="12"/>
  <c r="AN40" i="12"/>
  <c r="AN41" i="12"/>
  <c r="AN42" i="12"/>
  <c r="AN43" i="12"/>
  <c r="AN44" i="12"/>
  <c r="AN45" i="12"/>
  <c r="AN46" i="12"/>
  <c r="AN47" i="12"/>
  <c r="AN48" i="12"/>
  <c r="AN49" i="12"/>
  <c r="AN50" i="12"/>
  <c r="AN51" i="12"/>
  <c r="AN52" i="12"/>
  <c r="AN53" i="12"/>
  <c r="AN54" i="12"/>
  <c r="AN55" i="12"/>
  <c r="AN56" i="12"/>
  <c r="AN57" i="12"/>
  <c r="AN58" i="12"/>
  <c r="AN59" i="12"/>
  <c r="AN60" i="12"/>
  <c r="AN61" i="12"/>
  <c r="AN62" i="12"/>
  <c r="AN63" i="12"/>
  <c r="AN64" i="12"/>
  <c r="AN65" i="12"/>
  <c r="AN66" i="12"/>
  <c r="AN67" i="12"/>
  <c r="AN68" i="12"/>
  <c r="AN69" i="12"/>
  <c r="AN70" i="12"/>
  <c r="AN71" i="12"/>
  <c r="AN72" i="12"/>
  <c r="AN73" i="12"/>
  <c r="AN74" i="12"/>
  <c r="AN75" i="12"/>
  <c r="AN76" i="12"/>
  <c r="AN77" i="12"/>
  <c r="AN78" i="12"/>
  <c r="AN79" i="12"/>
  <c r="AN80" i="12"/>
  <c r="AN81" i="12"/>
  <c r="AN82" i="12"/>
  <c r="AN83" i="12"/>
  <c r="AN84" i="12"/>
  <c r="AN85" i="12"/>
  <c r="AN86" i="12"/>
  <c r="AN87" i="12"/>
  <c r="AN88" i="12"/>
  <c r="AN89" i="12"/>
  <c r="AN90" i="12"/>
  <c r="AN91" i="12"/>
  <c r="AN92" i="12"/>
  <c r="AN7" i="12"/>
  <c r="AM7" i="12"/>
  <c r="AL93" i="11"/>
  <c r="AL8" i="11"/>
  <c r="AL9" i="11"/>
  <c r="AL10" i="11"/>
  <c r="AL11" i="11"/>
  <c r="AL12" i="11"/>
  <c r="AL13" i="11"/>
  <c r="AL14" i="11"/>
  <c r="AL15" i="11"/>
  <c r="AL16" i="11"/>
  <c r="AL17" i="11"/>
  <c r="AL18" i="11"/>
  <c r="AL19" i="11"/>
  <c r="AL20" i="11"/>
  <c r="AL21" i="11"/>
  <c r="AL22" i="11"/>
  <c r="AL23" i="11"/>
  <c r="AL24" i="11"/>
  <c r="AL25" i="11"/>
  <c r="AL26" i="11"/>
  <c r="AL27" i="11"/>
  <c r="AL28" i="11"/>
  <c r="AL29" i="11"/>
  <c r="AL30" i="11"/>
  <c r="AL31" i="11"/>
  <c r="AL32" i="11"/>
  <c r="AL33" i="11"/>
  <c r="AL34" i="11"/>
  <c r="AL35" i="11"/>
  <c r="AL36" i="11"/>
  <c r="AL37" i="11"/>
  <c r="AL38" i="11"/>
  <c r="AL39" i="11"/>
  <c r="AL40" i="11"/>
  <c r="AL41" i="11"/>
  <c r="AL42" i="11"/>
  <c r="AL43" i="11"/>
  <c r="AL44" i="11"/>
  <c r="AL45" i="11"/>
  <c r="AL46" i="11"/>
  <c r="AL47" i="11"/>
  <c r="AL48" i="11"/>
  <c r="AL49" i="11"/>
  <c r="AL50" i="11"/>
  <c r="AL51" i="11"/>
  <c r="AL52" i="11"/>
  <c r="AL53" i="11"/>
  <c r="AL54" i="11"/>
  <c r="AL55" i="11"/>
  <c r="AL56" i="11"/>
  <c r="AL57" i="11"/>
  <c r="AL58" i="11"/>
  <c r="AL59" i="11"/>
  <c r="AL60" i="11"/>
  <c r="AL61" i="11"/>
  <c r="AL62" i="11"/>
  <c r="AL63" i="11"/>
  <c r="AL64" i="11"/>
  <c r="AL65" i="11"/>
  <c r="AL66" i="11"/>
  <c r="AL67" i="11"/>
  <c r="AL68" i="11"/>
  <c r="AL69" i="11"/>
  <c r="AL70" i="11"/>
  <c r="AL71" i="11"/>
  <c r="AL72" i="11"/>
  <c r="AL73" i="11"/>
  <c r="AL74" i="11"/>
  <c r="AL75" i="11"/>
  <c r="AL76" i="11"/>
  <c r="AL77" i="11"/>
  <c r="AL78" i="11"/>
  <c r="AL79" i="11"/>
  <c r="AL80" i="11"/>
  <c r="AL81" i="11"/>
  <c r="AL82" i="11"/>
  <c r="AL83" i="11"/>
  <c r="AL84" i="11"/>
  <c r="AL85" i="11"/>
  <c r="AL86" i="11"/>
  <c r="AL87" i="11"/>
  <c r="AL88" i="11"/>
  <c r="AL89" i="11"/>
  <c r="AL90" i="11"/>
  <c r="AL91" i="11"/>
  <c r="AL92" i="11"/>
  <c r="AL7" i="11"/>
  <c r="AK7" i="11"/>
  <c r="C632" i="21"/>
  <c r="C631" i="21"/>
  <c r="AO93" i="8"/>
  <c r="AO7" i="8"/>
  <c r="AO8" i="8"/>
  <c r="AO9" i="8"/>
  <c r="AO10" i="8"/>
  <c r="AO11" i="8"/>
  <c r="AO12" i="8"/>
  <c r="AO13" i="8"/>
  <c r="AO14" i="8"/>
  <c r="AO15" i="8"/>
  <c r="AO16" i="8"/>
  <c r="AO17" i="8"/>
  <c r="AO18" i="8"/>
  <c r="AO19" i="8"/>
  <c r="AO20" i="8"/>
  <c r="AO21" i="8"/>
  <c r="AO22" i="8"/>
  <c r="AO23" i="8"/>
  <c r="AO24" i="8"/>
  <c r="AO25" i="8"/>
  <c r="AO26" i="8"/>
  <c r="AO27" i="8"/>
  <c r="AO28" i="8"/>
  <c r="AO29" i="8"/>
  <c r="AO30" i="8"/>
  <c r="AO31" i="8"/>
  <c r="AO32" i="8"/>
  <c r="AO33" i="8"/>
  <c r="AO34" i="8"/>
  <c r="AO35" i="8"/>
  <c r="AO36" i="8"/>
  <c r="AO37" i="8"/>
  <c r="AO38" i="8"/>
  <c r="AO39" i="8"/>
  <c r="AO40" i="8"/>
  <c r="AO41" i="8"/>
  <c r="AO42" i="8"/>
  <c r="AO43" i="8"/>
  <c r="AO44" i="8"/>
  <c r="AO45" i="8"/>
  <c r="AO46" i="8"/>
  <c r="AO47" i="8"/>
  <c r="AO48" i="8"/>
  <c r="AO49" i="8"/>
  <c r="AO50" i="8"/>
  <c r="AO51" i="8"/>
  <c r="AO52" i="8"/>
  <c r="AO53" i="8"/>
  <c r="AO54" i="8"/>
  <c r="AO55" i="8"/>
  <c r="AO56" i="8"/>
  <c r="AO57" i="8"/>
  <c r="AO58" i="8"/>
  <c r="AO59" i="8"/>
  <c r="AO60" i="8"/>
  <c r="AO61" i="8"/>
  <c r="AO62" i="8"/>
  <c r="AO63" i="8"/>
  <c r="AO64" i="8"/>
  <c r="AO65" i="8"/>
  <c r="AO66" i="8"/>
  <c r="AO67" i="8"/>
  <c r="AO68" i="8"/>
  <c r="AO69" i="8"/>
  <c r="AO70" i="8"/>
  <c r="AO71" i="8"/>
  <c r="AO72" i="8"/>
  <c r="AO73" i="8"/>
  <c r="AO74" i="8"/>
  <c r="AO75" i="8"/>
  <c r="AO76" i="8"/>
  <c r="AO77" i="8"/>
  <c r="AO78" i="8"/>
  <c r="AO79" i="8"/>
  <c r="AO80" i="8"/>
  <c r="AO81" i="8"/>
  <c r="AO82" i="8"/>
  <c r="AO83" i="8"/>
  <c r="AO84" i="8"/>
  <c r="AO85" i="8"/>
  <c r="AO86" i="8"/>
  <c r="AO87" i="8"/>
  <c r="AO88" i="8"/>
  <c r="AO89" i="8"/>
  <c r="AO90" i="8"/>
  <c r="AO91" i="8"/>
  <c r="AO92" i="8"/>
  <c r="AN7" i="8"/>
  <c r="AK91" i="13" l="1"/>
  <c r="AK92" i="13"/>
  <c r="AK93" i="13"/>
  <c r="AJ91" i="13"/>
  <c r="AJ92" i="13"/>
  <c r="AJ93" i="13"/>
  <c r="AI91" i="13"/>
  <c r="AI92" i="13"/>
  <c r="AI93" i="13"/>
  <c r="S91" i="13"/>
  <c r="B91" i="13"/>
  <c r="B92" i="13"/>
  <c r="B93" i="13"/>
  <c r="AU91" i="12"/>
  <c r="AU92" i="12"/>
  <c r="AU93" i="12"/>
  <c r="AT91" i="12"/>
  <c r="AT92" i="12"/>
  <c r="AT93" i="12"/>
  <c r="AS91" i="12"/>
  <c r="AS92" i="12"/>
  <c r="AS93" i="12"/>
  <c r="AL91" i="12"/>
  <c r="AL92" i="12"/>
  <c r="AL93" i="12"/>
  <c r="AM93" i="12"/>
  <c r="S93" i="12"/>
  <c r="B91" i="12"/>
  <c r="B92" i="12"/>
  <c r="B93" i="12"/>
  <c r="AS91" i="11"/>
  <c r="AS92" i="11"/>
  <c r="AS93" i="11"/>
  <c r="AR91" i="11"/>
  <c r="AR92" i="11"/>
  <c r="AR93" i="11"/>
  <c r="AQ91" i="11"/>
  <c r="AQ92" i="11"/>
  <c r="AQ93" i="11"/>
  <c r="AJ91" i="11"/>
  <c r="AK91" i="11"/>
  <c r="AJ92" i="11"/>
  <c r="AJ93" i="11"/>
  <c r="B91" i="11"/>
  <c r="S91" i="11" s="1"/>
  <c r="B92" i="11"/>
  <c r="AK92" i="11" s="1"/>
  <c r="B93" i="11"/>
  <c r="AK93" i="11" s="1"/>
  <c r="AT91" i="8"/>
  <c r="AT92" i="8"/>
  <c r="AT93" i="8"/>
  <c r="AS91" i="8"/>
  <c r="AS92" i="8"/>
  <c r="AS93" i="8"/>
  <c r="AR91" i="8"/>
  <c r="AR92" i="8"/>
  <c r="AR93" i="8"/>
  <c r="AM91" i="8"/>
  <c r="AN91" i="8"/>
  <c r="AM92" i="8"/>
  <c r="AM93" i="8"/>
  <c r="W92" i="8"/>
  <c r="V93" i="8"/>
  <c r="W93" i="8"/>
  <c r="B91" i="8"/>
  <c r="V91" i="8" s="1"/>
  <c r="B92" i="8"/>
  <c r="AN92" i="8" s="1"/>
  <c r="B93" i="8"/>
  <c r="AM91" i="7"/>
  <c r="AM92" i="7"/>
  <c r="AM93" i="7"/>
  <c r="AL91" i="7"/>
  <c r="AL92" i="7"/>
  <c r="AL93" i="7"/>
  <c r="AK91" i="7"/>
  <c r="AK92" i="7"/>
  <c r="AK93" i="7"/>
  <c r="U92" i="7"/>
  <c r="U93" i="7"/>
  <c r="B91" i="7"/>
  <c r="U91" i="7" s="1"/>
  <c r="B92" i="7"/>
  <c r="B93" i="7"/>
  <c r="AL91" i="6"/>
  <c r="AL92" i="6"/>
  <c r="AL93" i="6"/>
  <c r="AK91" i="6"/>
  <c r="AK92" i="6"/>
  <c r="AK93" i="6"/>
  <c r="AK91" i="5"/>
  <c r="AK92" i="5"/>
  <c r="AK93" i="5"/>
  <c r="AJ91" i="5"/>
  <c r="AJ92" i="5"/>
  <c r="AJ93" i="5"/>
  <c r="AJ93" i="6"/>
  <c r="AJ92" i="6"/>
  <c r="AJ91" i="6"/>
  <c r="B91" i="6"/>
  <c r="U91" i="6" s="1"/>
  <c r="B92" i="6"/>
  <c r="U92" i="6" s="1"/>
  <c r="B93" i="6"/>
  <c r="U93" i="6" s="1"/>
  <c r="S93" i="13" l="1"/>
  <c r="S92" i="13"/>
  <c r="S92" i="12"/>
  <c r="S91" i="12"/>
  <c r="AM92" i="12"/>
  <c r="AM91" i="12"/>
  <c r="S93" i="11"/>
  <c r="S92" i="11"/>
  <c r="W91" i="8"/>
  <c r="AN93" i="8"/>
  <c r="V92" i="8"/>
  <c r="AI93" i="5"/>
  <c r="AI92" i="5"/>
  <c r="AI91" i="5"/>
  <c r="U91" i="5"/>
  <c r="B91" i="5"/>
  <c r="B92" i="5"/>
  <c r="U92" i="5" s="1"/>
  <c r="B93" i="5"/>
  <c r="AF93" i="5" s="1"/>
  <c r="AF92" i="5" l="1"/>
  <c r="AF91" i="5"/>
  <c r="U93" i="5"/>
  <c r="BP9" i="18"/>
  <c r="BH9" i="18"/>
  <c r="AS90" i="18"/>
  <c r="R90" i="18"/>
  <c r="CG90" i="1"/>
  <c r="CL90" i="1"/>
  <c r="CL69" i="1"/>
  <c r="BJ90" i="1"/>
  <c r="BH90" i="1"/>
  <c r="BF90" i="1"/>
  <c r="BE90" i="1"/>
  <c r="BD90" i="1"/>
  <c r="BC90" i="1"/>
  <c r="AY90" i="1"/>
  <c r="BK92" i="1"/>
  <c r="BK91" i="1"/>
  <c r="BK90" i="1"/>
  <c r="BK89" i="1"/>
  <c r="BK88" i="1"/>
  <c r="BK87" i="1"/>
  <c r="BK86" i="1"/>
  <c r="BK85" i="1"/>
  <c r="BK84" i="1"/>
  <c r="BK83" i="1"/>
  <c r="BK82" i="1"/>
  <c r="BK81" i="1"/>
  <c r="BK80" i="1"/>
  <c r="AI90" i="1"/>
  <c r="AI72" i="1"/>
  <c r="AC84" i="1"/>
  <c r="AK92" i="1"/>
  <c r="AK91" i="1"/>
  <c r="AK90" i="1"/>
  <c r="AK89" i="1"/>
  <c r="AK88" i="1"/>
  <c r="AK87" i="1"/>
  <c r="AK86" i="1"/>
  <c r="AK85" i="1"/>
  <c r="AK84" i="1"/>
  <c r="AK83" i="1"/>
  <c r="AK82" i="1"/>
  <c r="AK81" i="1"/>
  <c r="J90" i="1"/>
  <c r="F90" i="1"/>
  <c r="AK88" i="13"/>
  <c r="AK89" i="13"/>
  <c r="AK90" i="13"/>
  <c r="AK8" i="13"/>
  <c r="AK9" i="13"/>
  <c r="AK10" i="13"/>
  <c r="AK11" i="13"/>
  <c r="AK12" i="13"/>
  <c r="AK13" i="13"/>
  <c r="AK14" i="13"/>
  <c r="AK15" i="13"/>
  <c r="AK16" i="13"/>
  <c r="AK17" i="13"/>
  <c r="AK18" i="13"/>
  <c r="AK19" i="13"/>
  <c r="AK20" i="13"/>
  <c r="AK21" i="13"/>
  <c r="AK22" i="13"/>
  <c r="AK23" i="13"/>
  <c r="AK24" i="13"/>
  <c r="AK25" i="13"/>
  <c r="AK26" i="13"/>
  <c r="AK27" i="13"/>
  <c r="AK28" i="13"/>
  <c r="AK29" i="13"/>
  <c r="AK30" i="13"/>
  <c r="AK31" i="13"/>
  <c r="AK32" i="13"/>
  <c r="AK33" i="13"/>
  <c r="AK34" i="13"/>
  <c r="AK35" i="13"/>
  <c r="AK36" i="13"/>
  <c r="AK37" i="13"/>
  <c r="AK38" i="13"/>
  <c r="AK39" i="13"/>
  <c r="AK40" i="13"/>
  <c r="AK41" i="13"/>
  <c r="AK42" i="13"/>
  <c r="AK43" i="13"/>
  <c r="AK44" i="13"/>
  <c r="AK45" i="13"/>
  <c r="AK46" i="13"/>
  <c r="AK47" i="13"/>
  <c r="AK48" i="13"/>
  <c r="AK49" i="13"/>
  <c r="AK50" i="13"/>
  <c r="AK51" i="13"/>
  <c r="AK52" i="13"/>
  <c r="AK53" i="13"/>
  <c r="AK54" i="13"/>
  <c r="AK55" i="13"/>
  <c r="AK56" i="13"/>
  <c r="AK57" i="13"/>
  <c r="AK58" i="13"/>
  <c r="AK59" i="13"/>
  <c r="AK60" i="13"/>
  <c r="AK61" i="13"/>
  <c r="AK62" i="13"/>
  <c r="AK63" i="13"/>
  <c r="AK64" i="13"/>
  <c r="AK65" i="13"/>
  <c r="AK66" i="13"/>
  <c r="AK67" i="13"/>
  <c r="AK68" i="13"/>
  <c r="AK69" i="13"/>
  <c r="AK70" i="13"/>
  <c r="AK71" i="13"/>
  <c r="AK72" i="13"/>
  <c r="AK73" i="13"/>
  <c r="AK74" i="13"/>
  <c r="AK75" i="13"/>
  <c r="AK76" i="13"/>
  <c r="AK77" i="13"/>
  <c r="AK78" i="13"/>
  <c r="AK79" i="13"/>
  <c r="AK80" i="13"/>
  <c r="AK81" i="13"/>
  <c r="AK82" i="13"/>
  <c r="AK83" i="13"/>
  <c r="AK84" i="13"/>
  <c r="AK85" i="13"/>
  <c r="AK86" i="13"/>
  <c r="AK87" i="13"/>
  <c r="AK7" i="13"/>
  <c r="AU88" i="12"/>
  <c r="AU89" i="12"/>
  <c r="AU90" i="12"/>
  <c r="AU8" i="12"/>
  <c r="AU9" i="12"/>
  <c r="AU10" i="12"/>
  <c r="AU11" i="12"/>
  <c r="AU12" i="12"/>
  <c r="AU13" i="12"/>
  <c r="AU14" i="12"/>
  <c r="AU15" i="12"/>
  <c r="AU16" i="12"/>
  <c r="AU17" i="12"/>
  <c r="AU18" i="12"/>
  <c r="AU19" i="12"/>
  <c r="AU20" i="12"/>
  <c r="AU21" i="12"/>
  <c r="AU22" i="12"/>
  <c r="AU23" i="12"/>
  <c r="AU24" i="12"/>
  <c r="AU25" i="12"/>
  <c r="AU26" i="12"/>
  <c r="AU27" i="12"/>
  <c r="AU28" i="12"/>
  <c r="AU29" i="12"/>
  <c r="AU30" i="12"/>
  <c r="AU31" i="12"/>
  <c r="AU32" i="12"/>
  <c r="AU33" i="12"/>
  <c r="AU34" i="12"/>
  <c r="AU35" i="12"/>
  <c r="AU36" i="12"/>
  <c r="AU37" i="12"/>
  <c r="AU38" i="12"/>
  <c r="AU39" i="12"/>
  <c r="AU40" i="12"/>
  <c r="AU41" i="12"/>
  <c r="AU42" i="12"/>
  <c r="AU43" i="12"/>
  <c r="AU44" i="12"/>
  <c r="AU45" i="12"/>
  <c r="AU46" i="12"/>
  <c r="AU47" i="12"/>
  <c r="AU48" i="12"/>
  <c r="AU49" i="12"/>
  <c r="AU50" i="12"/>
  <c r="AU51" i="12"/>
  <c r="AU52" i="12"/>
  <c r="AU53" i="12"/>
  <c r="AU54" i="12"/>
  <c r="AU55" i="12"/>
  <c r="AU56" i="12"/>
  <c r="AU57" i="12"/>
  <c r="AU58" i="12"/>
  <c r="AU59" i="12"/>
  <c r="AU60" i="12"/>
  <c r="AU61" i="12"/>
  <c r="AU62" i="12"/>
  <c r="AU63" i="12"/>
  <c r="AU64" i="12"/>
  <c r="AU65" i="12"/>
  <c r="AU66" i="12"/>
  <c r="AU67" i="12"/>
  <c r="AU68" i="12"/>
  <c r="AU69" i="12"/>
  <c r="AU70" i="12"/>
  <c r="AU71" i="12"/>
  <c r="AU72" i="12"/>
  <c r="AU73" i="12"/>
  <c r="AU74" i="12"/>
  <c r="AU75" i="12"/>
  <c r="AU76" i="12"/>
  <c r="AU77" i="12"/>
  <c r="AU78" i="12"/>
  <c r="AU79" i="12"/>
  <c r="AU80" i="12"/>
  <c r="AU81" i="12"/>
  <c r="AU82" i="12"/>
  <c r="AU83" i="12"/>
  <c r="AU84" i="12"/>
  <c r="AU85" i="12"/>
  <c r="AU86" i="12"/>
  <c r="AU87" i="12"/>
  <c r="AU7" i="12"/>
  <c r="AS88" i="11"/>
  <c r="AS89" i="11"/>
  <c r="AS90" i="11"/>
  <c r="AS8" i="11"/>
  <c r="AS9" i="11"/>
  <c r="AS10" i="11"/>
  <c r="AS11" i="11"/>
  <c r="AS12" i="11"/>
  <c r="AS13" i="11"/>
  <c r="AS14" i="11"/>
  <c r="AS15" i="11"/>
  <c r="AS16" i="11"/>
  <c r="AS17" i="11"/>
  <c r="AS18" i="11"/>
  <c r="AS19" i="11"/>
  <c r="AS20" i="11"/>
  <c r="AS21" i="11"/>
  <c r="AS22" i="11"/>
  <c r="AS23" i="11"/>
  <c r="AS24" i="11"/>
  <c r="AS25" i="11"/>
  <c r="AS26" i="11"/>
  <c r="AS27" i="11"/>
  <c r="AS28" i="11"/>
  <c r="AS29" i="11"/>
  <c r="AS30" i="11"/>
  <c r="AS31" i="11"/>
  <c r="AS32" i="11"/>
  <c r="AS33" i="11"/>
  <c r="AS34" i="11"/>
  <c r="AS35" i="11"/>
  <c r="AS36" i="11"/>
  <c r="AS37" i="11"/>
  <c r="AS38" i="11"/>
  <c r="AS39" i="11"/>
  <c r="AS40" i="11"/>
  <c r="AS41" i="11"/>
  <c r="AS42" i="11"/>
  <c r="AS43" i="11"/>
  <c r="AS44" i="11"/>
  <c r="AS45" i="11"/>
  <c r="AS46" i="11"/>
  <c r="AS47" i="11"/>
  <c r="AS48" i="11"/>
  <c r="AS49" i="11"/>
  <c r="AS50" i="11"/>
  <c r="AS51" i="11"/>
  <c r="AS52" i="11"/>
  <c r="AS53" i="11"/>
  <c r="AS54" i="11"/>
  <c r="AS55" i="11"/>
  <c r="AS56" i="11"/>
  <c r="AS57" i="11"/>
  <c r="AS58" i="11"/>
  <c r="AS59" i="11"/>
  <c r="AS60" i="11"/>
  <c r="AS61" i="11"/>
  <c r="AS62" i="11"/>
  <c r="AS63" i="11"/>
  <c r="AS64" i="11"/>
  <c r="AS65" i="11"/>
  <c r="AS66" i="11"/>
  <c r="AS67" i="11"/>
  <c r="AS68" i="11"/>
  <c r="AS69" i="11"/>
  <c r="AS70" i="11"/>
  <c r="AS71" i="11"/>
  <c r="AS72" i="11"/>
  <c r="AS73" i="11"/>
  <c r="AS74" i="11"/>
  <c r="AS75" i="11"/>
  <c r="AS76" i="11"/>
  <c r="AS77" i="11"/>
  <c r="AS78" i="11"/>
  <c r="AS79" i="11"/>
  <c r="AS80" i="11"/>
  <c r="AS81" i="11"/>
  <c r="AS82" i="11"/>
  <c r="AS83" i="11"/>
  <c r="AS84" i="11"/>
  <c r="AS85" i="11"/>
  <c r="AS86" i="11"/>
  <c r="AS87" i="11"/>
  <c r="AS7" i="11"/>
  <c r="AT88" i="8"/>
  <c r="AT89" i="8"/>
  <c r="AT90" i="8"/>
  <c r="AT8" i="8"/>
  <c r="AT9" i="8"/>
  <c r="AT10" i="8"/>
  <c r="AT11" i="8"/>
  <c r="AT12" i="8"/>
  <c r="AT13" i="8"/>
  <c r="AT14" i="8"/>
  <c r="AT15" i="8"/>
  <c r="AT16" i="8"/>
  <c r="AT17" i="8"/>
  <c r="AT18" i="8"/>
  <c r="AT19" i="8"/>
  <c r="AT20" i="8"/>
  <c r="AT21" i="8"/>
  <c r="AT22" i="8"/>
  <c r="AT23" i="8"/>
  <c r="AT24" i="8"/>
  <c r="AT25" i="8"/>
  <c r="AT26" i="8"/>
  <c r="AT27" i="8"/>
  <c r="AT28" i="8"/>
  <c r="AT29" i="8"/>
  <c r="AT30" i="8"/>
  <c r="AT31" i="8"/>
  <c r="AT32" i="8"/>
  <c r="AT33" i="8"/>
  <c r="AT34" i="8"/>
  <c r="AT35" i="8"/>
  <c r="AT36" i="8"/>
  <c r="AT37" i="8"/>
  <c r="AT38" i="8"/>
  <c r="AT39" i="8"/>
  <c r="AT40" i="8"/>
  <c r="AT41" i="8"/>
  <c r="AT42" i="8"/>
  <c r="AT43" i="8"/>
  <c r="AT44" i="8"/>
  <c r="AT45" i="8"/>
  <c r="AT46" i="8"/>
  <c r="AT47" i="8"/>
  <c r="AT48" i="8"/>
  <c r="AT49" i="8"/>
  <c r="AT50" i="8"/>
  <c r="AT51" i="8"/>
  <c r="AT52" i="8"/>
  <c r="AT53" i="8"/>
  <c r="AT54" i="8"/>
  <c r="AT55" i="8"/>
  <c r="AT56" i="8"/>
  <c r="AT57" i="8"/>
  <c r="AT58" i="8"/>
  <c r="AT59" i="8"/>
  <c r="AT60" i="8"/>
  <c r="AT61" i="8"/>
  <c r="AT62" i="8"/>
  <c r="AT63" i="8"/>
  <c r="AT64" i="8"/>
  <c r="AT65" i="8"/>
  <c r="AT66" i="8"/>
  <c r="AT67" i="8"/>
  <c r="AT68" i="8"/>
  <c r="AT69" i="8"/>
  <c r="AT70" i="8"/>
  <c r="AT71" i="8"/>
  <c r="AT72" i="8"/>
  <c r="AT73" i="8"/>
  <c r="AT74" i="8"/>
  <c r="AT75" i="8"/>
  <c r="AT76" i="8"/>
  <c r="AT77" i="8"/>
  <c r="AT78" i="8"/>
  <c r="AT79" i="8"/>
  <c r="AT80" i="8"/>
  <c r="AT81" i="8"/>
  <c r="AT82" i="8"/>
  <c r="AT83" i="8"/>
  <c r="AT84" i="8"/>
  <c r="AT85" i="8"/>
  <c r="AT86" i="8"/>
  <c r="AT87" i="8"/>
  <c r="AT7" i="8"/>
  <c r="AM7" i="7"/>
  <c r="AM88" i="7"/>
  <c r="AM89" i="7"/>
  <c r="AM90" i="7"/>
  <c r="AM8" i="7"/>
  <c r="AM9" i="7"/>
  <c r="AM10" i="7"/>
  <c r="AM11" i="7"/>
  <c r="AM12" i="7"/>
  <c r="AM13" i="7"/>
  <c r="AM14" i="7"/>
  <c r="AM15" i="7"/>
  <c r="AM16" i="7"/>
  <c r="AM17" i="7"/>
  <c r="AM18" i="7"/>
  <c r="AM19" i="7"/>
  <c r="AM20" i="7"/>
  <c r="AM21" i="7"/>
  <c r="AM22" i="7"/>
  <c r="AM23" i="7"/>
  <c r="AM24" i="7"/>
  <c r="AM25" i="7"/>
  <c r="AM26" i="7"/>
  <c r="AM27" i="7"/>
  <c r="AM28" i="7"/>
  <c r="AM29" i="7"/>
  <c r="AM30" i="7"/>
  <c r="AM31" i="7"/>
  <c r="AM32" i="7"/>
  <c r="AM33" i="7"/>
  <c r="AM34" i="7"/>
  <c r="AM35" i="7"/>
  <c r="AM36" i="7"/>
  <c r="AM37" i="7"/>
  <c r="AM38" i="7"/>
  <c r="AM39" i="7"/>
  <c r="AM40" i="7"/>
  <c r="AM41" i="7"/>
  <c r="AM42" i="7"/>
  <c r="AM43" i="7"/>
  <c r="AM44" i="7"/>
  <c r="AM45" i="7"/>
  <c r="AM46" i="7"/>
  <c r="AM47" i="7"/>
  <c r="AM48" i="7"/>
  <c r="AM49" i="7"/>
  <c r="AM50" i="7"/>
  <c r="AM51" i="7"/>
  <c r="AM52" i="7"/>
  <c r="AM53" i="7"/>
  <c r="AM54" i="7"/>
  <c r="AM55" i="7"/>
  <c r="AM56" i="7"/>
  <c r="AM57" i="7"/>
  <c r="AM58" i="7"/>
  <c r="AM59" i="7"/>
  <c r="AM60" i="7"/>
  <c r="AM61" i="7"/>
  <c r="AM62" i="7"/>
  <c r="AM63" i="7"/>
  <c r="AM64" i="7"/>
  <c r="AM65" i="7"/>
  <c r="AM66" i="7"/>
  <c r="AM67" i="7"/>
  <c r="AM68" i="7"/>
  <c r="AM69" i="7"/>
  <c r="AM70" i="7"/>
  <c r="AM71" i="7"/>
  <c r="AM72" i="7"/>
  <c r="AM73" i="7"/>
  <c r="AM74" i="7"/>
  <c r="AM75" i="7"/>
  <c r="AM76" i="7"/>
  <c r="AM77" i="7"/>
  <c r="AM78" i="7"/>
  <c r="AM79" i="7"/>
  <c r="AM80" i="7"/>
  <c r="AM81" i="7"/>
  <c r="AM82" i="7"/>
  <c r="AM83" i="7"/>
  <c r="AM84" i="7"/>
  <c r="AM85" i="7"/>
  <c r="AM86" i="7"/>
  <c r="AM87" i="7"/>
  <c r="AL7" i="6"/>
  <c r="AL8" i="6"/>
  <c r="AL9" i="6"/>
  <c r="AL10" i="6"/>
  <c r="AL11" i="6"/>
  <c r="AL12" i="6"/>
  <c r="AL13" i="6"/>
  <c r="AL14" i="6"/>
  <c r="AL15" i="6"/>
  <c r="AL16" i="6"/>
  <c r="AL17" i="6"/>
  <c r="AL18" i="6"/>
  <c r="AL19" i="6"/>
  <c r="AL20" i="6"/>
  <c r="AL21" i="6"/>
  <c r="AL22" i="6"/>
  <c r="AL23" i="6"/>
  <c r="AL24" i="6"/>
  <c r="AL25" i="6"/>
  <c r="AL26" i="6"/>
  <c r="AL27" i="6"/>
  <c r="AL28" i="6"/>
  <c r="AL29" i="6"/>
  <c r="AL30" i="6"/>
  <c r="AL31" i="6"/>
  <c r="AL32" i="6"/>
  <c r="AL33" i="6"/>
  <c r="AL34" i="6"/>
  <c r="AL35" i="6"/>
  <c r="AL36" i="6"/>
  <c r="AL37" i="6"/>
  <c r="AL38" i="6"/>
  <c r="AL39" i="6"/>
  <c r="AL40" i="6"/>
  <c r="AL41" i="6"/>
  <c r="AL42" i="6"/>
  <c r="AL43" i="6"/>
  <c r="AL44" i="6"/>
  <c r="AL45" i="6"/>
  <c r="AL46" i="6"/>
  <c r="AL47" i="6"/>
  <c r="AL48" i="6"/>
  <c r="AL49" i="6"/>
  <c r="AL50" i="6"/>
  <c r="AL51" i="6"/>
  <c r="AL52" i="6"/>
  <c r="AL53" i="6"/>
  <c r="AL54" i="6"/>
  <c r="AL55" i="6"/>
  <c r="AL56" i="6"/>
  <c r="AL57" i="6"/>
  <c r="AL58" i="6"/>
  <c r="AL59" i="6"/>
  <c r="AL60" i="6"/>
  <c r="AL61" i="6"/>
  <c r="AL62" i="6"/>
  <c r="AL63" i="6"/>
  <c r="AL64" i="6"/>
  <c r="AL65" i="6"/>
  <c r="AL66" i="6"/>
  <c r="AL67" i="6"/>
  <c r="AL68" i="6"/>
  <c r="AL69" i="6"/>
  <c r="AL70" i="6"/>
  <c r="AL71" i="6"/>
  <c r="AL72" i="6"/>
  <c r="AL73" i="6"/>
  <c r="AL74" i="6"/>
  <c r="AL75" i="6"/>
  <c r="AL76" i="6"/>
  <c r="AL77" i="6"/>
  <c r="AL78" i="6"/>
  <c r="AL79" i="6"/>
  <c r="AL80" i="6"/>
  <c r="AL81" i="6"/>
  <c r="AL82" i="6"/>
  <c r="AL83" i="6"/>
  <c r="AL84" i="6"/>
  <c r="AL85" i="6"/>
  <c r="AL86" i="6"/>
  <c r="AL87" i="6"/>
  <c r="AL88" i="6"/>
  <c r="AL89" i="6"/>
  <c r="AL90" i="6"/>
  <c r="AK7" i="5"/>
  <c r="AK88" i="5"/>
  <c r="AK89" i="5"/>
  <c r="AK90" i="5"/>
  <c r="AK8" i="5"/>
  <c r="AK9" i="5"/>
  <c r="AK10" i="5"/>
  <c r="AK11" i="5"/>
  <c r="AK12" i="5"/>
  <c r="AK13" i="5"/>
  <c r="AK14" i="5"/>
  <c r="AK15" i="5"/>
  <c r="AK16" i="5"/>
  <c r="AK17" i="5"/>
  <c r="AK18" i="5"/>
  <c r="AK19" i="5"/>
  <c r="AK20" i="5"/>
  <c r="AK21" i="5"/>
  <c r="AK22" i="5"/>
  <c r="AK23" i="5"/>
  <c r="AK24" i="5"/>
  <c r="AK25" i="5"/>
  <c r="AK26" i="5"/>
  <c r="AK27" i="5"/>
  <c r="AK28" i="5"/>
  <c r="AK29" i="5"/>
  <c r="AK30" i="5"/>
  <c r="AK31" i="5"/>
  <c r="AK32" i="5"/>
  <c r="AK33" i="5"/>
  <c r="AK34" i="5"/>
  <c r="AK35" i="5"/>
  <c r="AK36" i="5"/>
  <c r="AK37" i="5"/>
  <c r="AK38" i="5"/>
  <c r="AK39" i="5"/>
  <c r="AK40" i="5"/>
  <c r="AK41" i="5"/>
  <c r="AK42" i="5"/>
  <c r="AK43" i="5"/>
  <c r="AK44" i="5"/>
  <c r="AK45" i="5"/>
  <c r="AK46" i="5"/>
  <c r="AK47" i="5"/>
  <c r="AK48" i="5"/>
  <c r="AK49" i="5"/>
  <c r="AK50" i="5"/>
  <c r="AK51" i="5"/>
  <c r="AK52" i="5"/>
  <c r="AK53" i="5"/>
  <c r="AK54" i="5"/>
  <c r="AK55" i="5"/>
  <c r="AK56" i="5"/>
  <c r="AK57" i="5"/>
  <c r="AK58" i="5"/>
  <c r="AK59" i="5"/>
  <c r="AK60" i="5"/>
  <c r="AK61" i="5"/>
  <c r="AK62" i="5"/>
  <c r="AK63" i="5"/>
  <c r="AK64" i="5"/>
  <c r="AK65" i="5"/>
  <c r="AK66" i="5"/>
  <c r="AK67" i="5"/>
  <c r="AK68" i="5"/>
  <c r="AK69" i="5"/>
  <c r="AK70" i="5"/>
  <c r="AK71" i="5"/>
  <c r="AK72" i="5"/>
  <c r="AK73" i="5"/>
  <c r="AK74" i="5"/>
  <c r="AK75" i="5"/>
  <c r="AK76" i="5"/>
  <c r="AK77" i="5"/>
  <c r="AK78" i="5"/>
  <c r="AK79" i="5"/>
  <c r="AK80" i="5"/>
  <c r="AK81" i="5"/>
  <c r="AK82" i="5"/>
  <c r="AK83" i="5"/>
  <c r="AK84" i="5"/>
  <c r="AK85" i="5"/>
  <c r="AK86" i="5"/>
  <c r="AK87" i="5"/>
  <c r="AJ88" i="13"/>
  <c r="AJ89" i="13"/>
  <c r="AJ90" i="13"/>
  <c r="AJ8" i="13"/>
  <c r="AJ9" i="13"/>
  <c r="AJ10" i="13"/>
  <c r="AJ11" i="13"/>
  <c r="AJ12" i="13"/>
  <c r="AJ13" i="13"/>
  <c r="AJ14" i="13"/>
  <c r="AJ15" i="13"/>
  <c r="AJ16" i="13"/>
  <c r="AJ17" i="13"/>
  <c r="AJ18" i="13"/>
  <c r="AJ19" i="13"/>
  <c r="AJ20" i="13"/>
  <c r="AJ21" i="13"/>
  <c r="AJ22" i="13"/>
  <c r="AJ23" i="13"/>
  <c r="AJ24" i="13"/>
  <c r="AJ25" i="13"/>
  <c r="AJ26" i="13"/>
  <c r="AJ27" i="13"/>
  <c r="AJ28" i="13"/>
  <c r="AJ29" i="13"/>
  <c r="AJ30" i="13"/>
  <c r="AJ31" i="13"/>
  <c r="AJ32" i="13"/>
  <c r="AJ33" i="13"/>
  <c r="AJ34" i="13"/>
  <c r="AJ35" i="13"/>
  <c r="AJ36" i="13"/>
  <c r="AJ37" i="13"/>
  <c r="AJ38" i="13"/>
  <c r="AJ39" i="13"/>
  <c r="AJ40" i="13"/>
  <c r="AJ41" i="13"/>
  <c r="AJ42" i="13"/>
  <c r="AJ43" i="13"/>
  <c r="AJ44" i="13"/>
  <c r="AJ45" i="13"/>
  <c r="AJ46" i="13"/>
  <c r="AJ47" i="13"/>
  <c r="AJ48" i="13"/>
  <c r="AJ49" i="13"/>
  <c r="AJ50" i="13"/>
  <c r="AJ51" i="13"/>
  <c r="AJ52" i="13"/>
  <c r="AJ53" i="13"/>
  <c r="AJ54" i="13"/>
  <c r="AJ55" i="13"/>
  <c r="AJ56" i="13"/>
  <c r="AJ57" i="13"/>
  <c r="AJ58" i="13"/>
  <c r="AJ59" i="13"/>
  <c r="AJ60" i="13"/>
  <c r="AJ61" i="13"/>
  <c r="AJ62" i="13"/>
  <c r="AJ63" i="13"/>
  <c r="AJ64" i="13"/>
  <c r="AJ65" i="13"/>
  <c r="AJ66" i="13"/>
  <c r="AJ67" i="13"/>
  <c r="AJ68" i="13"/>
  <c r="AJ69" i="13"/>
  <c r="AJ70" i="13"/>
  <c r="AJ71" i="13"/>
  <c r="AJ72" i="13"/>
  <c r="AJ73" i="13"/>
  <c r="AJ74" i="13"/>
  <c r="AJ75" i="13"/>
  <c r="AJ76" i="13"/>
  <c r="AJ77" i="13"/>
  <c r="AJ78" i="13"/>
  <c r="AJ79" i="13"/>
  <c r="AJ80" i="13"/>
  <c r="AJ81" i="13"/>
  <c r="AJ82" i="13"/>
  <c r="AJ83" i="13"/>
  <c r="AJ84" i="13"/>
  <c r="AJ85" i="13"/>
  <c r="AJ86" i="13"/>
  <c r="AJ87" i="13"/>
  <c r="AJ7" i="13"/>
  <c r="AT88" i="12"/>
  <c r="AT89" i="12"/>
  <c r="AT90" i="12"/>
  <c r="AT8" i="12"/>
  <c r="AT9" i="12"/>
  <c r="AT10" i="12"/>
  <c r="AT11" i="12"/>
  <c r="AT12" i="12"/>
  <c r="AT13" i="12"/>
  <c r="AT14" i="12"/>
  <c r="AT15" i="12"/>
  <c r="AT16" i="12"/>
  <c r="AT17" i="12"/>
  <c r="AT18" i="12"/>
  <c r="AT19" i="12"/>
  <c r="AT20" i="12"/>
  <c r="AT21" i="12"/>
  <c r="AT22" i="12"/>
  <c r="AT23" i="12"/>
  <c r="AT24" i="12"/>
  <c r="AT25" i="12"/>
  <c r="AT26" i="12"/>
  <c r="AT27" i="12"/>
  <c r="AT28" i="12"/>
  <c r="AT29" i="12"/>
  <c r="AT30" i="12"/>
  <c r="AT31" i="12"/>
  <c r="AT32" i="12"/>
  <c r="AT33" i="12"/>
  <c r="AT34" i="12"/>
  <c r="AT35" i="12"/>
  <c r="AT36" i="12"/>
  <c r="AT37" i="12"/>
  <c r="AT38" i="12"/>
  <c r="AT39" i="12"/>
  <c r="AT40" i="12"/>
  <c r="AT41" i="12"/>
  <c r="AT42" i="12"/>
  <c r="AT43" i="12"/>
  <c r="AT44" i="12"/>
  <c r="AT45" i="12"/>
  <c r="AT46" i="12"/>
  <c r="AT47" i="12"/>
  <c r="AT48" i="12"/>
  <c r="AT49" i="12"/>
  <c r="AT50" i="12"/>
  <c r="AT51" i="12"/>
  <c r="AT52" i="12"/>
  <c r="AT53" i="12"/>
  <c r="AT54" i="12"/>
  <c r="AT55" i="12"/>
  <c r="AT56" i="12"/>
  <c r="AT57" i="12"/>
  <c r="AT58" i="12"/>
  <c r="AT59" i="12"/>
  <c r="AT60" i="12"/>
  <c r="AT61" i="12"/>
  <c r="AT62" i="12"/>
  <c r="AT63" i="12"/>
  <c r="AT64" i="12"/>
  <c r="AT65" i="12"/>
  <c r="AT66" i="12"/>
  <c r="AT67" i="12"/>
  <c r="AT68" i="12"/>
  <c r="AT69" i="12"/>
  <c r="AT70" i="12"/>
  <c r="AT71" i="12"/>
  <c r="AT72" i="12"/>
  <c r="AT73" i="12"/>
  <c r="AT74" i="12"/>
  <c r="AT75" i="12"/>
  <c r="AT76" i="12"/>
  <c r="AT77" i="12"/>
  <c r="AT78" i="12"/>
  <c r="AT79" i="12"/>
  <c r="AT80" i="12"/>
  <c r="AT81" i="12"/>
  <c r="AT82" i="12"/>
  <c r="AT83" i="12"/>
  <c r="AT84" i="12"/>
  <c r="AT85" i="12"/>
  <c r="AT86" i="12"/>
  <c r="AT87" i="12"/>
  <c r="AT7" i="12"/>
  <c r="AR88" i="11"/>
  <c r="AR89" i="11"/>
  <c r="AR90" i="11"/>
  <c r="AR8" i="11"/>
  <c r="AR9" i="11"/>
  <c r="AR10" i="11"/>
  <c r="AR11" i="11"/>
  <c r="AR12" i="11"/>
  <c r="AR13" i="11"/>
  <c r="AR14" i="11"/>
  <c r="AR15" i="11"/>
  <c r="AR16" i="11"/>
  <c r="AR17" i="11"/>
  <c r="AR18" i="11"/>
  <c r="AR19" i="11"/>
  <c r="AR20" i="11"/>
  <c r="AR21" i="11"/>
  <c r="AR22" i="11"/>
  <c r="AR23" i="11"/>
  <c r="AR24" i="11"/>
  <c r="AR25" i="11"/>
  <c r="AR26" i="11"/>
  <c r="AR27" i="11"/>
  <c r="AR28" i="11"/>
  <c r="AR29" i="11"/>
  <c r="AR30" i="11"/>
  <c r="AR31" i="11"/>
  <c r="AR32" i="11"/>
  <c r="AR33" i="11"/>
  <c r="AR34" i="11"/>
  <c r="AR35" i="11"/>
  <c r="AR36" i="11"/>
  <c r="AR37" i="11"/>
  <c r="AR38" i="11"/>
  <c r="AR39" i="11"/>
  <c r="AR40" i="11"/>
  <c r="AR41" i="11"/>
  <c r="AR42" i="11"/>
  <c r="AR43" i="11"/>
  <c r="AR44" i="11"/>
  <c r="AR45" i="11"/>
  <c r="AR46" i="11"/>
  <c r="AR47" i="11"/>
  <c r="AR48" i="11"/>
  <c r="AR49" i="11"/>
  <c r="AR50" i="11"/>
  <c r="AR51" i="11"/>
  <c r="AR52" i="11"/>
  <c r="AR53" i="11"/>
  <c r="AR54" i="11"/>
  <c r="AR55" i="11"/>
  <c r="AR56" i="11"/>
  <c r="AR57" i="11"/>
  <c r="AR58" i="11"/>
  <c r="AR59" i="11"/>
  <c r="AR60" i="11"/>
  <c r="AR61" i="11"/>
  <c r="AR62" i="11"/>
  <c r="AR63" i="11"/>
  <c r="AR64" i="11"/>
  <c r="AR65" i="11"/>
  <c r="AR66" i="11"/>
  <c r="AR67" i="11"/>
  <c r="AR68" i="11"/>
  <c r="AR69" i="11"/>
  <c r="AR70" i="11"/>
  <c r="AR71" i="11"/>
  <c r="AR72" i="11"/>
  <c r="AR73" i="11"/>
  <c r="AR74" i="11"/>
  <c r="AR75" i="11"/>
  <c r="AR76" i="11"/>
  <c r="AR77" i="11"/>
  <c r="AR78" i="11"/>
  <c r="AR79" i="11"/>
  <c r="AR80" i="11"/>
  <c r="AR81" i="11"/>
  <c r="AR82" i="11"/>
  <c r="AR83" i="11"/>
  <c r="AR84" i="11"/>
  <c r="AR85" i="11"/>
  <c r="AR86" i="11"/>
  <c r="AR87" i="11"/>
  <c r="AR7" i="11"/>
  <c r="AS88" i="8"/>
  <c r="AS89" i="8"/>
  <c r="AS90" i="8"/>
  <c r="AS8" i="8"/>
  <c r="AS9" i="8"/>
  <c r="AS10" i="8"/>
  <c r="AS11" i="8"/>
  <c r="AS12" i="8"/>
  <c r="AS13" i="8"/>
  <c r="AS14" i="8"/>
  <c r="AS15" i="8"/>
  <c r="AS16" i="8"/>
  <c r="AS17" i="8"/>
  <c r="AS18" i="8"/>
  <c r="AS19" i="8"/>
  <c r="AS20" i="8"/>
  <c r="AS21" i="8"/>
  <c r="AS22" i="8"/>
  <c r="AS23" i="8"/>
  <c r="AS24" i="8"/>
  <c r="AS25" i="8"/>
  <c r="AS26" i="8"/>
  <c r="AS27" i="8"/>
  <c r="AS28" i="8"/>
  <c r="AS29" i="8"/>
  <c r="AS30" i="8"/>
  <c r="AS31" i="8"/>
  <c r="AS32" i="8"/>
  <c r="AS33" i="8"/>
  <c r="AS34" i="8"/>
  <c r="AS35" i="8"/>
  <c r="AS36" i="8"/>
  <c r="AS37" i="8"/>
  <c r="AS38" i="8"/>
  <c r="AS39" i="8"/>
  <c r="AS40" i="8"/>
  <c r="AS41" i="8"/>
  <c r="AS42" i="8"/>
  <c r="AS43" i="8"/>
  <c r="AS44" i="8"/>
  <c r="AS45" i="8"/>
  <c r="AS46" i="8"/>
  <c r="AS47" i="8"/>
  <c r="AS48" i="8"/>
  <c r="AS49" i="8"/>
  <c r="AS50" i="8"/>
  <c r="AS51" i="8"/>
  <c r="AS52" i="8"/>
  <c r="AS53" i="8"/>
  <c r="AS54" i="8"/>
  <c r="AS55" i="8"/>
  <c r="AS56" i="8"/>
  <c r="AS57" i="8"/>
  <c r="AS58" i="8"/>
  <c r="AS59" i="8"/>
  <c r="AS60" i="8"/>
  <c r="AS61" i="8"/>
  <c r="AS62" i="8"/>
  <c r="AS63" i="8"/>
  <c r="AS64" i="8"/>
  <c r="AS65" i="8"/>
  <c r="AS66" i="8"/>
  <c r="AS67" i="8"/>
  <c r="AS68" i="8"/>
  <c r="AS69" i="8"/>
  <c r="AS70" i="8"/>
  <c r="AS71" i="8"/>
  <c r="AS72" i="8"/>
  <c r="AS73" i="8"/>
  <c r="AS74" i="8"/>
  <c r="AS75" i="8"/>
  <c r="AS76" i="8"/>
  <c r="AS77" i="8"/>
  <c r="AS78" i="8"/>
  <c r="AS79" i="8"/>
  <c r="AS80" i="8"/>
  <c r="AS81" i="8"/>
  <c r="AS82" i="8"/>
  <c r="AS83" i="8"/>
  <c r="AS84" i="8"/>
  <c r="AS85" i="8"/>
  <c r="AS86" i="8"/>
  <c r="AS87" i="8"/>
  <c r="AS7" i="8"/>
  <c r="AL88" i="7"/>
  <c r="AL89" i="7"/>
  <c r="AL90" i="7"/>
  <c r="AL8" i="7"/>
  <c r="AL9" i="7"/>
  <c r="AL10" i="7"/>
  <c r="AL11" i="7"/>
  <c r="AL12" i="7"/>
  <c r="AL13" i="7"/>
  <c r="AL14" i="7"/>
  <c r="AL15" i="7"/>
  <c r="AL16" i="7"/>
  <c r="AL17" i="7"/>
  <c r="AL18" i="7"/>
  <c r="AL19" i="7"/>
  <c r="AL20" i="7"/>
  <c r="AL21" i="7"/>
  <c r="AL22" i="7"/>
  <c r="AL23" i="7"/>
  <c r="AL24" i="7"/>
  <c r="AL25" i="7"/>
  <c r="AL26" i="7"/>
  <c r="AL27" i="7"/>
  <c r="AL28" i="7"/>
  <c r="AL29" i="7"/>
  <c r="AL30" i="7"/>
  <c r="AL31" i="7"/>
  <c r="AL32" i="7"/>
  <c r="AL33" i="7"/>
  <c r="AL34" i="7"/>
  <c r="AL35" i="7"/>
  <c r="AL36" i="7"/>
  <c r="AL37" i="7"/>
  <c r="AL38" i="7"/>
  <c r="AL39" i="7"/>
  <c r="AL40" i="7"/>
  <c r="AL41" i="7"/>
  <c r="AL42" i="7"/>
  <c r="AL43" i="7"/>
  <c r="AL44" i="7"/>
  <c r="AL45" i="7"/>
  <c r="AL46" i="7"/>
  <c r="AL47" i="7"/>
  <c r="AL48" i="7"/>
  <c r="AL49" i="7"/>
  <c r="AL50" i="7"/>
  <c r="AL51" i="7"/>
  <c r="AL52" i="7"/>
  <c r="AL53" i="7"/>
  <c r="AL54" i="7"/>
  <c r="AL55" i="7"/>
  <c r="AL56" i="7"/>
  <c r="AL57" i="7"/>
  <c r="AL58" i="7"/>
  <c r="AL59" i="7"/>
  <c r="AL60" i="7"/>
  <c r="AL61" i="7"/>
  <c r="AL62" i="7"/>
  <c r="AL63" i="7"/>
  <c r="AL64" i="7"/>
  <c r="AL65" i="7"/>
  <c r="AL66" i="7"/>
  <c r="AL67" i="7"/>
  <c r="AL68" i="7"/>
  <c r="AL69" i="7"/>
  <c r="AL70" i="7"/>
  <c r="AL71" i="7"/>
  <c r="AL72" i="7"/>
  <c r="AL73" i="7"/>
  <c r="AL74" i="7"/>
  <c r="AL75" i="7"/>
  <c r="AL76" i="7"/>
  <c r="AL77" i="7"/>
  <c r="AL78" i="7"/>
  <c r="AL79" i="7"/>
  <c r="AL80" i="7"/>
  <c r="AL81" i="7"/>
  <c r="AL82" i="7"/>
  <c r="AL83" i="7"/>
  <c r="AL84" i="7"/>
  <c r="AL85" i="7"/>
  <c r="AL86" i="7"/>
  <c r="AL87" i="7"/>
  <c r="AL7" i="7"/>
  <c r="AK88" i="6"/>
  <c r="AK89" i="6"/>
  <c r="AK90" i="6"/>
  <c r="AK8" i="6"/>
  <c r="AK9" i="6"/>
  <c r="AK10" i="6"/>
  <c r="AK11" i="6"/>
  <c r="AK12" i="6"/>
  <c r="AK13" i="6"/>
  <c r="AK14" i="6"/>
  <c r="AK15" i="6"/>
  <c r="AK16" i="6"/>
  <c r="AK17" i="6"/>
  <c r="AK18" i="6"/>
  <c r="AK19" i="6"/>
  <c r="AK20" i="6"/>
  <c r="AK21" i="6"/>
  <c r="AK22" i="6"/>
  <c r="AK23" i="6"/>
  <c r="AK24" i="6"/>
  <c r="AK25" i="6"/>
  <c r="AK26" i="6"/>
  <c r="AK27" i="6"/>
  <c r="AK28" i="6"/>
  <c r="AK29" i="6"/>
  <c r="AK30" i="6"/>
  <c r="AK31" i="6"/>
  <c r="AK32" i="6"/>
  <c r="AK33" i="6"/>
  <c r="AK34" i="6"/>
  <c r="AK35" i="6"/>
  <c r="AK36" i="6"/>
  <c r="AK37" i="6"/>
  <c r="AK38" i="6"/>
  <c r="AK39" i="6"/>
  <c r="AK40" i="6"/>
  <c r="AK41" i="6"/>
  <c r="AK42" i="6"/>
  <c r="AK43" i="6"/>
  <c r="AK44" i="6"/>
  <c r="AK45" i="6"/>
  <c r="AK46" i="6"/>
  <c r="AK47" i="6"/>
  <c r="AK48" i="6"/>
  <c r="AK49" i="6"/>
  <c r="AK50" i="6"/>
  <c r="AK51" i="6"/>
  <c r="AK52" i="6"/>
  <c r="AK53" i="6"/>
  <c r="AK54" i="6"/>
  <c r="AK55" i="6"/>
  <c r="AK56" i="6"/>
  <c r="AK57" i="6"/>
  <c r="AK58" i="6"/>
  <c r="AK59" i="6"/>
  <c r="AK60" i="6"/>
  <c r="AK61" i="6"/>
  <c r="AK62" i="6"/>
  <c r="AK63" i="6"/>
  <c r="AK64" i="6"/>
  <c r="AK65" i="6"/>
  <c r="AK66" i="6"/>
  <c r="AK67" i="6"/>
  <c r="AK68" i="6"/>
  <c r="AK69" i="6"/>
  <c r="AK70" i="6"/>
  <c r="AK71" i="6"/>
  <c r="AK72" i="6"/>
  <c r="AK73" i="6"/>
  <c r="AK74" i="6"/>
  <c r="AK75" i="6"/>
  <c r="AK76" i="6"/>
  <c r="AK77" i="6"/>
  <c r="AK78" i="6"/>
  <c r="AK79" i="6"/>
  <c r="AK80" i="6"/>
  <c r="AK81" i="6"/>
  <c r="AK82" i="6"/>
  <c r="AK83" i="6"/>
  <c r="AK84" i="6"/>
  <c r="AK85" i="6"/>
  <c r="AK86" i="6"/>
  <c r="AK87" i="6"/>
  <c r="AK7" i="6"/>
  <c r="AJ88" i="5"/>
  <c r="AJ89" i="5"/>
  <c r="AJ90" i="5"/>
  <c r="AJ8" i="5"/>
  <c r="AJ9" i="5"/>
  <c r="AJ10" i="5"/>
  <c r="AJ11" i="5"/>
  <c r="AJ12" i="5"/>
  <c r="AJ13" i="5"/>
  <c r="AJ14" i="5"/>
  <c r="AJ15" i="5"/>
  <c r="AJ16" i="5"/>
  <c r="AJ17" i="5"/>
  <c r="AJ18" i="5"/>
  <c r="AJ19" i="5"/>
  <c r="AJ20" i="5"/>
  <c r="AJ21" i="5"/>
  <c r="AJ22" i="5"/>
  <c r="AJ23" i="5"/>
  <c r="AJ24" i="5"/>
  <c r="AJ25" i="5"/>
  <c r="AJ26" i="5"/>
  <c r="AJ27" i="5"/>
  <c r="AJ28" i="5"/>
  <c r="AJ29" i="5"/>
  <c r="AJ30" i="5"/>
  <c r="AJ31" i="5"/>
  <c r="AJ32" i="5"/>
  <c r="AJ33" i="5"/>
  <c r="AJ34" i="5"/>
  <c r="AJ35" i="5"/>
  <c r="AJ36" i="5"/>
  <c r="AJ37" i="5"/>
  <c r="AJ38" i="5"/>
  <c r="AJ39" i="5"/>
  <c r="AJ40" i="5"/>
  <c r="AJ41" i="5"/>
  <c r="AJ42" i="5"/>
  <c r="AJ43" i="5"/>
  <c r="AJ44" i="5"/>
  <c r="AJ45" i="5"/>
  <c r="AJ46" i="5"/>
  <c r="AJ47" i="5"/>
  <c r="AJ48" i="5"/>
  <c r="AJ49" i="5"/>
  <c r="AJ50" i="5"/>
  <c r="AJ51" i="5"/>
  <c r="AJ52" i="5"/>
  <c r="AJ53" i="5"/>
  <c r="AJ54" i="5"/>
  <c r="AJ55" i="5"/>
  <c r="AJ56" i="5"/>
  <c r="AJ57" i="5"/>
  <c r="AJ58" i="5"/>
  <c r="AJ59" i="5"/>
  <c r="AJ60" i="5"/>
  <c r="AJ61" i="5"/>
  <c r="AJ62" i="5"/>
  <c r="AJ63" i="5"/>
  <c r="AJ64" i="5"/>
  <c r="AJ65" i="5"/>
  <c r="AJ66" i="5"/>
  <c r="AJ67" i="5"/>
  <c r="AJ68" i="5"/>
  <c r="AJ69" i="5"/>
  <c r="AJ70" i="5"/>
  <c r="AJ71" i="5"/>
  <c r="AJ72" i="5"/>
  <c r="AJ73" i="5"/>
  <c r="AJ74" i="5"/>
  <c r="AJ75" i="5"/>
  <c r="AJ76" i="5"/>
  <c r="AJ77" i="5"/>
  <c r="AJ78" i="5"/>
  <c r="AJ79" i="5"/>
  <c r="AJ80" i="5"/>
  <c r="AJ81" i="5"/>
  <c r="AJ82" i="5"/>
  <c r="AJ83" i="5"/>
  <c r="AJ84" i="5"/>
  <c r="AJ85" i="5"/>
  <c r="AJ86" i="5"/>
  <c r="AJ87" i="5"/>
  <c r="AJ7" i="5"/>
  <c r="C1257" i="21" l="1"/>
  <c r="C1258" i="21"/>
  <c r="C1259" i="21"/>
  <c r="T757" i="21"/>
  <c r="T758" i="21"/>
  <c r="T759" i="21"/>
  <c r="G758" i="21"/>
  <c r="G759" i="21"/>
  <c r="G760" i="21"/>
  <c r="C500" i="21" l="1"/>
  <c r="C488" i="21"/>
  <c r="E488" i="21"/>
  <c r="C482" i="21"/>
  <c r="B244" i="21"/>
  <c r="O265" i="21"/>
  <c r="O264" i="21"/>
  <c r="N265" i="21"/>
  <c r="N264" i="21"/>
  <c r="D254" i="21"/>
  <c r="C254" i="21"/>
  <c r="B254" i="21"/>
  <c r="H254" i="21" s="1"/>
  <c r="B253" i="21"/>
  <c r="E244" i="21"/>
  <c r="C244" i="21"/>
  <c r="D244" i="21"/>
  <c r="B243" i="21"/>
  <c r="AC88" i="7"/>
  <c r="AA88" i="7"/>
  <c r="Z88" i="7"/>
  <c r="S88" i="7"/>
  <c r="R88" i="7"/>
  <c r="P88" i="7"/>
  <c r="C496" i="21" l="1"/>
  <c r="C489" i="21"/>
  <c r="C497" i="21"/>
  <c r="C493" i="21"/>
  <c r="C494" i="21" s="1"/>
  <c r="N244" i="21"/>
  <c r="N254" i="21"/>
  <c r="H244" i="21"/>
  <c r="AI88" i="13"/>
  <c r="AI89" i="13"/>
  <c r="AI90" i="13"/>
  <c r="S88" i="13"/>
  <c r="S89" i="13"/>
  <c r="S90" i="13"/>
  <c r="B90" i="13"/>
  <c r="B88" i="13"/>
  <c r="B89" i="13"/>
  <c r="AS88" i="12"/>
  <c r="AS89" i="12"/>
  <c r="AS90" i="12"/>
  <c r="AL88" i="12"/>
  <c r="AM88" i="12"/>
  <c r="AL89" i="12"/>
  <c r="AM89" i="12"/>
  <c r="AL90" i="12"/>
  <c r="AM90" i="12"/>
  <c r="S88" i="12"/>
  <c r="S89" i="12"/>
  <c r="S90" i="12"/>
  <c r="B88" i="12"/>
  <c r="B89" i="12"/>
  <c r="B90" i="12"/>
  <c r="AQ88" i="11"/>
  <c r="AQ89" i="11"/>
  <c r="AQ90" i="11"/>
  <c r="AJ88" i="11"/>
  <c r="AK88" i="11"/>
  <c r="AJ89" i="11"/>
  <c r="AK89" i="11"/>
  <c r="AJ90" i="11"/>
  <c r="AK90" i="11"/>
  <c r="S88" i="11"/>
  <c r="S89" i="11"/>
  <c r="S90" i="11"/>
  <c r="B88" i="11"/>
  <c r="B89" i="11"/>
  <c r="B90" i="11"/>
  <c r="AR88" i="8"/>
  <c r="AR89" i="8"/>
  <c r="AR90" i="8"/>
  <c r="AM88" i="8"/>
  <c r="AN88" i="8"/>
  <c r="AM89" i="8"/>
  <c r="AN89" i="8"/>
  <c r="AM90" i="8"/>
  <c r="AN90" i="8"/>
  <c r="V88" i="8"/>
  <c r="W88" i="8"/>
  <c r="V89" i="8"/>
  <c r="W89" i="8"/>
  <c r="V90" i="8"/>
  <c r="W90" i="8"/>
  <c r="B88" i="8"/>
  <c r="B89" i="8"/>
  <c r="B90" i="8"/>
  <c r="AK88" i="7"/>
  <c r="AK89" i="7"/>
  <c r="AK90" i="7"/>
  <c r="U88" i="7"/>
  <c r="U89" i="7"/>
  <c r="U90" i="7"/>
  <c r="B88" i="7"/>
  <c r="B89" i="7"/>
  <c r="B90" i="7"/>
  <c r="AJ88" i="6"/>
  <c r="AJ89" i="6"/>
  <c r="AJ90" i="6"/>
  <c r="U88" i="6"/>
  <c r="U89" i="6"/>
  <c r="U90" i="6"/>
  <c r="B88" i="6"/>
  <c r="B89" i="6"/>
  <c r="B90" i="6"/>
  <c r="AI88" i="5"/>
  <c r="AI89" i="5"/>
  <c r="AI90" i="5"/>
  <c r="AF88" i="5"/>
  <c r="AF89" i="5"/>
  <c r="AF90" i="5"/>
  <c r="U88" i="5"/>
  <c r="U89" i="5"/>
  <c r="U90" i="5"/>
  <c r="B88" i="5"/>
  <c r="B89" i="5"/>
  <c r="B90" i="5"/>
  <c r="BO86" i="18" l="1"/>
  <c r="BO57" i="18"/>
  <c r="BK79" i="1"/>
  <c r="BK78" i="1"/>
  <c r="BK77" i="1"/>
  <c r="BK76" i="1"/>
  <c r="BJ87" i="1"/>
  <c r="BH87" i="1"/>
  <c r="BF87" i="1"/>
  <c r="BE87" i="1"/>
  <c r="BC87" i="1"/>
  <c r="BD87" i="1"/>
  <c r="AY87" i="1"/>
  <c r="AK80" i="1"/>
  <c r="AK79" i="1"/>
  <c r="AK78" i="1"/>
  <c r="AK77" i="1"/>
  <c r="AK76" i="1"/>
  <c r="AG87" i="1"/>
  <c r="J87" i="1"/>
  <c r="F87" i="1"/>
  <c r="F84" i="1"/>
  <c r="C1254" i="21" l="1"/>
  <c r="C1255" i="21"/>
  <c r="C1256" i="21"/>
  <c r="T755" i="21"/>
  <c r="T756" i="21"/>
  <c r="T752" i="21"/>
  <c r="T754" i="21"/>
  <c r="G757" i="21"/>
  <c r="G755" i="21"/>
  <c r="G756" i="21"/>
  <c r="G754" i="21"/>
  <c r="AI85" i="13" l="1"/>
  <c r="AI86" i="13"/>
  <c r="AI87" i="13"/>
  <c r="S85" i="13"/>
  <c r="S86" i="13"/>
  <c r="S87" i="13"/>
  <c r="B85" i="13"/>
  <c r="B86" i="13"/>
  <c r="B87" i="13"/>
  <c r="AS85" i="12" l="1"/>
  <c r="AS86" i="12"/>
  <c r="AS87" i="12"/>
  <c r="AL85" i="12"/>
  <c r="AM85" i="12"/>
  <c r="AL86" i="12"/>
  <c r="AM86" i="12"/>
  <c r="AL87" i="12"/>
  <c r="AM87" i="12"/>
  <c r="S85" i="12"/>
  <c r="S86" i="12"/>
  <c r="S87" i="12"/>
  <c r="B85" i="12"/>
  <c r="B86" i="12"/>
  <c r="B87" i="12"/>
  <c r="AQ85" i="11"/>
  <c r="AQ86" i="11"/>
  <c r="AQ87" i="11"/>
  <c r="AJ85" i="11"/>
  <c r="AK85" i="11"/>
  <c r="AJ86" i="11"/>
  <c r="AK86" i="11"/>
  <c r="AJ87" i="11"/>
  <c r="AK87" i="11"/>
  <c r="S85" i="11"/>
  <c r="S86" i="11"/>
  <c r="S87" i="11"/>
  <c r="B85" i="11"/>
  <c r="B86" i="11"/>
  <c r="B87" i="11"/>
  <c r="AR85" i="8"/>
  <c r="AR86" i="8"/>
  <c r="AR87" i="8"/>
  <c r="AM85" i="8"/>
  <c r="AN85" i="8"/>
  <c r="AM86" i="8"/>
  <c r="AN86" i="8"/>
  <c r="AM87" i="8"/>
  <c r="AN87" i="8"/>
  <c r="V85" i="8"/>
  <c r="W85" i="8"/>
  <c r="V86" i="8"/>
  <c r="W86" i="8"/>
  <c r="V87" i="8"/>
  <c r="W87" i="8"/>
  <c r="B85" i="8"/>
  <c r="B86" i="8"/>
  <c r="B87" i="8"/>
  <c r="AK85" i="7"/>
  <c r="AK86" i="7"/>
  <c r="AK87" i="7"/>
  <c r="U85" i="7"/>
  <c r="U86" i="7"/>
  <c r="U87" i="7"/>
  <c r="B85" i="7"/>
  <c r="B86" i="7"/>
  <c r="B87" i="7"/>
  <c r="AJ85" i="6"/>
  <c r="AJ86" i="6"/>
  <c r="AJ87" i="6"/>
  <c r="U85" i="6"/>
  <c r="U86" i="6"/>
  <c r="U87" i="6"/>
  <c r="B85" i="6"/>
  <c r="B86" i="6"/>
  <c r="B87" i="6"/>
  <c r="AI85" i="5"/>
  <c r="AI86" i="5"/>
  <c r="AI87" i="5"/>
  <c r="AF85" i="5"/>
  <c r="AF86" i="5"/>
  <c r="AF87" i="5"/>
  <c r="U85" i="5"/>
  <c r="U86" i="5"/>
  <c r="U87" i="5"/>
  <c r="B85" i="5"/>
  <c r="B86" i="5"/>
  <c r="B87" i="5"/>
  <c r="B16" i="19" l="1"/>
  <c r="BJ72" i="18" l="1"/>
  <c r="H84" i="18"/>
  <c r="AI82" i="18"/>
  <c r="I84" i="18"/>
  <c r="AS84" i="18"/>
  <c r="R60" i="18"/>
  <c r="CH84" i="1"/>
  <c r="CH72" i="1"/>
  <c r="CG84" i="1"/>
  <c r="CC84" i="1"/>
  <c r="CC81" i="1"/>
  <c r="BY72" i="1"/>
  <c r="BJ84" i="1"/>
  <c r="BH84" i="1"/>
  <c r="BF84" i="1"/>
  <c r="BE84" i="1"/>
  <c r="BF81" i="1"/>
  <c r="BD81" i="1"/>
  <c r="BD84" i="1"/>
  <c r="BC84" i="1"/>
  <c r="AY84" i="1"/>
  <c r="AY81" i="1"/>
  <c r="AK75" i="1"/>
  <c r="AH72" i="1"/>
  <c r="AG84" i="1"/>
  <c r="AG81" i="1"/>
  <c r="AC75" i="1"/>
  <c r="J84" i="1"/>
  <c r="J81" i="1"/>
  <c r="F81" i="1"/>
  <c r="C1251" i="21"/>
  <c r="C1252" i="21"/>
  <c r="C1253" i="21"/>
  <c r="T751" i="21"/>
  <c r="T753" i="21"/>
  <c r="G752" i="21"/>
  <c r="G753" i="21"/>
  <c r="AJ82" i="6"/>
  <c r="AJ83" i="6"/>
  <c r="AJ84" i="6"/>
  <c r="AI82" i="13" l="1"/>
  <c r="AI83" i="13"/>
  <c r="AI84" i="13"/>
  <c r="S82" i="13"/>
  <c r="S83" i="13"/>
  <c r="S84" i="13"/>
  <c r="B82" i="13"/>
  <c r="B83" i="13"/>
  <c r="B84" i="13"/>
  <c r="AS82" i="12"/>
  <c r="AS83" i="12"/>
  <c r="AS84" i="12"/>
  <c r="AL82" i="12"/>
  <c r="AM82" i="12"/>
  <c r="AL83" i="12"/>
  <c r="AM83" i="12"/>
  <c r="AL84" i="12"/>
  <c r="AM84" i="12"/>
  <c r="S82" i="12"/>
  <c r="S83" i="12"/>
  <c r="S84" i="12"/>
  <c r="B82" i="12"/>
  <c r="B83" i="12"/>
  <c r="B84" i="12"/>
  <c r="AQ82" i="11"/>
  <c r="AQ83" i="11"/>
  <c r="AQ84" i="11"/>
  <c r="AJ82" i="11"/>
  <c r="AK82" i="11"/>
  <c r="AJ83" i="11"/>
  <c r="AK83" i="11"/>
  <c r="AJ84" i="11"/>
  <c r="AK84" i="11"/>
  <c r="S82" i="11"/>
  <c r="S83" i="11"/>
  <c r="S84" i="11"/>
  <c r="B82" i="11"/>
  <c r="B83" i="11"/>
  <c r="B84" i="11"/>
  <c r="AR82" i="8"/>
  <c r="AR83" i="8"/>
  <c r="AR84" i="8"/>
  <c r="AM82" i="8"/>
  <c r="AN82" i="8"/>
  <c r="AM83" i="8"/>
  <c r="AN83" i="8"/>
  <c r="AM84" i="8"/>
  <c r="AN84" i="8"/>
  <c r="V82" i="8"/>
  <c r="W82" i="8"/>
  <c r="V83" i="8"/>
  <c r="W83" i="8"/>
  <c r="V84" i="8"/>
  <c r="W84" i="8"/>
  <c r="B82" i="8"/>
  <c r="B83" i="8"/>
  <c r="B84" i="8"/>
  <c r="AK82" i="7"/>
  <c r="AK83" i="7"/>
  <c r="AK84" i="7"/>
  <c r="U82" i="7"/>
  <c r="U83" i="7"/>
  <c r="U84" i="7"/>
  <c r="B82" i="7"/>
  <c r="B83" i="7"/>
  <c r="B84" i="7"/>
  <c r="U82" i="6"/>
  <c r="U83" i="6"/>
  <c r="U84" i="6"/>
  <c r="B82" i="6"/>
  <c r="B83" i="6"/>
  <c r="B84" i="6"/>
  <c r="AI82" i="5"/>
  <c r="AI83" i="5"/>
  <c r="AI84" i="5"/>
  <c r="AF82" i="5"/>
  <c r="AF83" i="5"/>
  <c r="AF84" i="5"/>
  <c r="U82" i="5"/>
  <c r="U83" i="5"/>
  <c r="U84" i="5"/>
  <c r="B82" i="5"/>
  <c r="B83" i="5"/>
  <c r="B84" i="5"/>
  <c r="Y763" i="21" l="1"/>
  <c r="O690" i="21" s="1"/>
  <c r="L763" i="21"/>
  <c r="A693" i="21" s="1"/>
  <c r="C232" i="14"/>
  <c r="C233" i="9"/>
  <c r="Y759" i="21"/>
  <c r="Y758" i="21"/>
  <c r="L759" i="21"/>
  <c r="L758" i="21"/>
  <c r="AY6" i="11"/>
  <c r="AQ6" i="13"/>
  <c r="BA6" i="12"/>
  <c r="A18" i="14"/>
  <c r="A19" i="9"/>
  <c r="U9" i="18" l="1"/>
  <c r="P9" i="1"/>
  <c r="A27" i="19" l="1"/>
  <c r="BI77" i="18" l="1"/>
  <c r="BI76" i="18"/>
  <c r="BI74" i="18"/>
  <c r="BI69" i="18"/>
  <c r="BJ60" i="18"/>
  <c r="BI60" i="18"/>
  <c r="BI57" i="18"/>
  <c r="BI52" i="18"/>
  <c r="BI45" i="18"/>
  <c r="BJ48" i="18"/>
  <c r="BI21" i="18"/>
  <c r="BJ36" i="18"/>
  <c r="H22" i="18"/>
  <c r="BJ21" i="18"/>
  <c r="BJ9" i="18"/>
  <c r="BI9" i="18"/>
  <c r="AH72" i="18"/>
  <c r="AH61" i="18"/>
  <c r="AI58" i="18"/>
  <c r="AI70" i="18"/>
  <c r="AH45" i="18"/>
  <c r="AI46" i="18"/>
  <c r="AI34" i="18"/>
  <c r="AH33" i="18"/>
  <c r="AI22" i="18"/>
  <c r="AI10" i="18"/>
  <c r="AH10" i="18"/>
  <c r="AH9" i="18"/>
  <c r="AI9" i="18"/>
  <c r="AH81" i="18"/>
  <c r="I82" i="18"/>
  <c r="H83" i="18"/>
  <c r="H82" i="18"/>
  <c r="H81" i="18"/>
  <c r="H80" i="18"/>
  <c r="H69" i="18"/>
  <c r="I70" i="18"/>
  <c r="I61" i="18"/>
  <c r="H59" i="18"/>
  <c r="I60" i="18"/>
  <c r="I59" i="18"/>
  <c r="I56" i="18"/>
  <c r="H58" i="18"/>
  <c r="H57" i="18"/>
  <c r="H54" i="18"/>
  <c r="H51" i="18"/>
  <c r="H46" i="18"/>
  <c r="I46" i="18"/>
  <c r="H34" i="18"/>
  <c r="H17" i="18"/>
  <c r="H11" i="18"/>
  <c r="H10" i="18"/>
  <c r="H9" i="18" l="1"/>
  <c r="BK66" i="18" l="1"/>
  <c r="BK54" i="18"/>
  <c r="BR9" i="18"/>
  <c r="K9" i="18"/>
  <c r="Y9" i="18"/>
  <c r="X9" i="18"/>
  <c r="W9" i="18"/>
  <c r="CI7" i="1"/>
  <c r="CL60" i="1"/>
  <c r="CJ71" i="1"/>
  <c r="CL58" i="1"/>
  <c r="CH69" i="1"/>
  <c r="BY69" i="1"/>
  <c r="CG81" i="1"/>
  <c r="CG78" i="1"/>
  <c r="CG75" i="1"/>
  <c r="CG72" i="1"/>
  <c r="CG69" i="1"/>
  <c r="CG66" i="1"/>
  <c r="CG63" i="1"/>
  <c r="CF69" i="1"/>
  <c r="CE69" i="1"/>
  <c r="CC74" i="1"/>
  <c r="CC72" i="1"/>
  <c r="CC69" i="1"/>
  <c r="CC60" i="1"/>
  <c r="BK68" i="1"/>
  <c r="BK67" i="1"/>
  <c r="BK66" i="1"/>
  <c r="BK65" i="1"/>
  <c r="BK64" i="1"/>
  <c r="BK63" i="1"/>
  <c r="BK69" i="1"/>
  <c r="BK70" i="1"/>
  <c r="BK71" i="1"/>
  <c r="BK72" i="1"/>
  <c r="BK75" i="1"/>
  <c r="BK74" i="1"/>
  <c r="BK73" i="1"/>
  <c r="AK69" i="1"/>
  <c r="BJ81" i="1"/>
  <c r="BH81" i="1"/>
  <c r="BJ79" i="1"/>
  <c r="BH79" i="1"/>
  <c r="BJ78" i="1"/>
  <c r="BH78" i="1"/>
  <c r="BJ75" i="1"/>
  <c r="BH75" i="1"/>
  <c r="BJ72" i="1"/>
  <c r="BH72" i="1"/>
  <c r="BJ69" i="1"/>
  <c r="BH69" i="1"/>
  <c r="BJ66" i="1"/>
  <c r="BH66" i="1"/>
  <c r="BJ63" i="1"/>
  <c r="BH63" i="1"/>
  <c r="BE81" i="1"/>
  <c r="BF79" i="1"/>
  <c r="BE79" i="1"/>
  <c r="BF78" i="1"/>
  <c r="BE78" i="1"/>
  <c r="BF75" i="1"/>
  <c r="BE75" i="1"/>
  <c r="BF72" i="1"/>
  <c r="BE72" i="1"/>
  <c r="BF69" i="1"/>
  <c r="BF66" i="1"/>
  <c r="BE66" i="1"/>
  <c r="BF63" i="1"/>
  <c r="BE69" i="1"/>
  <c r="BE63" i="1"/>
  <c r="BD12" i="1"/>
  <c r="BD15" i="1"/>
  <c r="BD18" i="1"/>
  <c r="BD21" i="1"/>
  <c r="BD24" i="1"/>
  <c r="BD27" i="1"/>
  <c r="BD30" i="1"/>
  <c r="BD33" i="1"/>
  <c r="BD36" i="1"/>
  <c r="BD39" i="1"/>
  <c r="BD42" i="1"/>
  <c r="BD45" i="1"/>
  <c r="BD48" i="1"/>
  <c r="BD51" i="1"/>
  <c r="BD54" i="1"/>
  <c r="BD57" i="1"/>
  <c r="BC12" i="1"/>
  <c r="BC15" i="1"/>
  <c r="BC18" i="1"/>
  <c r="BC21" i="1"/>
  <c r="BC24" i="1"/>
  <c r="BC27" i="1"/>
  <c r="BC30" i="1"/>
  <c r="BC33" i="1"/>
  <c r="BC36" i="1"/>
  <c r="BC39" i="1"/>
  <c r="BC42" i="1"/>
  <c r="BC45" i="1"/>
  <c r="BC48" i="1"/>
  <c r="BC51" i="1"/>
  <c r="BC54" i="1"/>
  <c r="BC57" i="1"/>
  <c r="BD9" i="1"/>
  <c r="BC9" i="1"/>
  <c r="BC81" i="1"/>
  <c r="BD79" i="1"/>
  <c r="BC79" i="1"/>
  <c r="AY79" i="1"/>
  <c r="BD78" i="1"/>
  <c r="BC78" i="1"/>
  <c r="AY78" i="1"/>
  <c r="BD75" i="1"/>
  <c r="BC75" i="1"/>
  <c r="AY75" i="1"/>
  <c r="BD72" i="1"/>
  <c r="BC72" i="1"/>
  <c r="AY72" i="1"/>
  <c r="BD69" i="1"/>
  <c r="BC69" i="1"/>
  <c r="AY69" i="1"/>
  <c r="BD66" i="1"/>
  <c r="BC66" i="1"/>
  <c r="AY66" i="1"/>
  <c r="BD60" i="1"/>
  <c r="BD63" i="1"/>
  <c r="BC63" i="1"/>
  <c r="AY63" i="1"/>
  <c r="BC60" i="1"/>
  <c r="AJ75" i="1"/>
  <c r="AJ69" i="1"/>
  <c r="AC69" i="1"/>
  <c r="AI69" i="1"/>
  <c r="AE69" i="1"/>
  <c r="AJ57" i="1"/>
  <c r="AC57" i="1"/>
  <c r="AJ45" i="1"/>
  <c r="AC45" i="1"/>
  <c r="AJ40" i="1"/>
  <c r="AC40" i="1"/>
  <c r="AJ33" i="1"/>
  <c r="AC33" i="1"/>
  <c r="AJ30" i="1"/>
  <c r="AC30" i="1"/>
  <c r="AJ21" i="1"/>
  <c r="AC21" i="1"/>
  <c r="AJ27" i="1"/>
  <c r="AC27" i="1"/>
  <c r="AJ24" i="1"/>
  <c r="AC24" i="1"/>
  <c r="AB21" i="1"/>
  <c r="AJ9" i="1"/>
  <c r="AC9" i="1"/>
  <c r="AI75" i="1"/>
  <c r="AI57" i="1"/>
  <c r="AI60" i="1"/>
  <c r="AI45" i="1"/>
  <c r="AI41" i="1"/>
  <c r="AI40" i="1"/>
  <c r="AI33" i="1"/>
  <c r="AI30" i="1"/>
  <c r="AI27" i="1"/>
  <c r="AI24" i="1"/>
  <c r="AI21" i="1"/>
  <c r="AI9" i="1"/>
  <c r="AH69" i="1"/>
  <c r="AH67" i="1"/>
  <c r="AH63" i="1"/>
  <c r="AH57" i="1" l="1"/>
  <c r="AH45" i="1"/>
  <c r="AH43" i="1"/>
  <c r="AH42" i="1"/>
  <c r="AH36" i="1"/>
  <c r="AH33" i="1"/>
  <c r="AH29" i="1"/>
  <c r="AH24" i="1"/>
  <c r="AH9" i="1"/>
  <c r="AG78" i="1"/>
  <c r="AG75" i="1"/>
  <c r="AG72" i="1"/>
  <c r="AG69" i="1"/>
  <c r="AG63" i="1"/>
  <c r="AG66" i="1"/>
  <c r="AG60" i="1"/>
  <c r="AG57" i="1"/>
  <c r="AG54" i="1"/>
  <c r="AG51" i="1"/>
  <c r="AG48" i="1"/>
  <c r="AG45" i="1"/>
  <c r="AG42" i="1"/>
  <c r="AG39" i="1"/>
  <c r="AG36" i="1"/>
  <c r="AG33" i="1"/>
  <c r="AG30" i="1"/>
  <c r="AG27" i="1"/>
  <c r="AG24" i="1"/>
  <c r="AG9" i="1"/>
  <c r="AB9" i="1"/>
  <c r="AE57" i="1"/>
  <c r="AE45" i="1"/>
  <c r="AE33" i="1"/>
  <c r="AE21" i="1"/>
  <c r="AE9" i="1"/>
  <c r="AF69" i="1"/>
  <c r="AF57" i="1"/>
  <c r="AF45" i="1"/>
  <c r="AF43" i="1"/>
  <c r="AF42" i="1"/>
  <c r="AF36" i="1"/>
  <c r="AF33" i="1"/>
  <c r="AF29" i="1"/>
  <c r="AF24" i="1"/>
  <c r="AF21" i="1"/>
  <c r="AF9" i="1"/>
  <c r="AB75" i="1"/>
  <c r="AB69" i="1"/>
  <c r="AB57" i="1"/>
  <c r="AB45" i="1"/>
  <c r="AB43" i="1"/>
  <c r="AB42" i="1"/>
  <c r="AB36" i="1"/>
  <c r="AB33" i="1"/>
  <c r="AB29" i="1"/>
  <c r="AB24" i="1"/>
  <c r="AK74" i="1"/>
  <c r="AK73" i="1"/>
  <c r="AK72" i="1"/>
  <c r="AK71" i="1"/>
  <c r="AK70" i="1"/>
  <c r="AK68" i="1"/>
  <c r="AK67" i="1"/>
  <c r="AK66" i="1"/>
  <c r="AK65" i="1"/>
  <c r="AK64" i="1"/>
  <c r="AK63" i="1"/>
  <c r="AK62" i="1"/>
  <c r="AK61" i="1"/>
  <c r="AK60" i="1"/>
  <c r="AK59" i="1"/>
  <c r="AK58" i="1"/>
  <c r="AK57" i="1"/>
  <c r="AK56" i="1"/>
  <c r="AK55" i="1"/>
  <c r="AK54" i="1"/>
  <c r="AK53" i="1"/>
  <c r="AK52" i="1"/>
  <c r="AK51" i="1"/>
  <c r="AK50" i="1"/>
  <c r="AK49" i="1"/>
  <c r="AK48" i="1"/>
  <c r="AK47" i="1"/>
  <c r="AK46" i="1"/>
  <c r="AK45" i="1"/>
  <c r="AK44" i="1"/>
  <c r="AK43" i="1"/>
  <c r="AK42" i="1"/>
  <c r="AK41" i="1"/>
  <c r="AK40" i="1"/>
  <c r="AK39" i="1"/>
  <c r="AK38" i="1"/>
  <c r="AK37" i="1"/>
  <c r="AK36" i="1"/>
  <c r="AK35" i="1"/>
  <c r="AK34" i="1"/>
  <c r="AK33" i="1"/>
  <c r="AK32" i="1"/>
  <c r="AK31" i="1"/>
  <c r="AK30" i="1"/>
  <c r="AK29" i="1"/>
  <c r="AK28" i="1"/>
  <c r="AK27" i="1"/>
  <c r="AK26" i="1"/>
  <c r="AK25" i="1"/>
  <c r="AK24" i="1"/>
  <c r="AK23" i="1"/>
  <c r="AK22" i="1"/>
  <c r="AK21" i="1"/>
  <c r="AK20" i="1"/>
  <c r="AK19" i="1"/>
  <c r="AK18" i="1"/>
  <c r="AK17" i="1"/>
  <c r="AK16" i="1"/>
  <c r="AK15" i="1"/>
  <c r="AK14" i="1"/>
  <c r="AK13" i="1"/>
  <c r="AK12" i="1"/>
  <c r="AK11" i="1"/>
  <c r="AK10" i="1"/>
  <c r="AK9" i="1"/>
  <c r="M67" i="1"/>
  <c r="N48" i="1"/>
  <c r="O9" i="1"/>
  <c r="U9" i="1"/>
  <c r="G11" i="14"/>
  <c r="G12" i="14"/>
  <c r="G10" i="14"/>
  <c r="G11" i="9"/>
  <c r="G12" i="9"/>
  <c r="G13" i="9"/>
  <c r="G10" i="9"/>
  <c r="T9" i="1"/>
  <c r="S9" i="1"/>
  <c r="R9" i="1"/>
  <c r="F78" i="1"/>
  <c r="J78" i="1"/>
  <c r="J75" i="1"/>
  <c r="J72" i="1"/>
  <c r="J69" i="1"/>
  <c r="J66" i="1"/>
  <c r="J63" i="1"/>
  <c r="F75" i="1"/>
  <c r="F72" i="1"/>
  <c r="F69" i="1"/>
  <c r="F66" i="1"/>
  <c r="F60" i="1"/>
  <c r="F63" i="1"/>
  <c r="F18" i="1"/>
  <c r="F12" i="1"/>
  <c r="F9" i="1"/>
  <c r="H1" i="19"/>
  <c r="J3" i="19" l="1"/>
  <c r="Y3" i="19" l="1"/>
  <c r="M3" i="19" l="1"/>
  <c r="N3" i="19"/>
  <c r="I2" i="25"/>
  <c r="I2" i="24"/>
  <c r="AK69" i="11"/>
  <c r="AA3" i="19" l="1"/>
  <c r="I3" i="19"/>
  <c r="X4" i="19"/>
  <c r="V3" i="19"/>
  <c r="E37" i="19"/>
  <c r="E36" i="19"/>
  <c r="B264" i="21"/>
  <c r="H264" i="21" s="1"/>
  <c r="D270" i="21"/>
  <c r="D269" i="21"/>
  <c r="C270" i="21"/>
  <c r="C269" i="21"/>
  <c r="B270" i="21"/>
  <c r="B269" i="21"/>
  <c r="B259" i="21" s="1"/>
  <c r="AQ91" i="7" l="1"/>
  <c r="AQ92" i="7"/>
  <c r="AX92" i="8"/>
  <c r="AP91" i="6"/>
  <c r="AX91" i="8"/>
  <c r="AP92" i="6"/>
  <c r="AX93" i="8"/>
  <c r="AQ93" i="7"/>
  <c r="AP93" i="6"/>
  <c r="AO91" i="5"/>
  <c r="AO92" i="5"/>
  <c r="AO93" i="5"/>
  <c r="AX88" i="8"/>
  <c r="AP90" i="6"/>
  <c r="AX89" i="8"/>
  <c r="AP88" i="6"/>
  <c r="AO88" i="5"/>
  <c r="AO89" i="5"/>
  <c r="AX90" i="8"/>
  <c r="AP89" i="6"/>
  <c r="AQ88" i="7"/>
  <c r="AQ89" i="7"/>
  <c r="AQ90" i="7"/>
  <c r="AO90" i="5"/>
  <c r="AP85" i="6"/>
  <c r="AP87" i="6"/>
  <c r="AQ85" i="7"/>
  <c r="AO85" i="5"/>
  <c r="AO87" i="5"/>
  <c r="AQ86" i="7"/>
  <c r="AO86" i="5"/>
  <c r="AQ87" i="7"/>
  <c r="AX87" i="8"/>
  <c r="AX85" i="8"/>
  <c r="AX86" i="8"/>
  <c r="AP86" i="6"/>
  <c r="AP82" i="6"/>
  <c r="AP84" i="6"/>
  <c r="AO82" i="5"/>
  <c r="AO84" i="5"/>
  <c r="AX82" i="8"/>
  <c r="AQ82" i="7"/>
  <c r="AX84" i="8"/>
  <c r="AQ84" i="7"/>
  <c r="AX83" i="8"/>
  <c r="AQ83" i="7"/>
  <c r="AP83" i="6"/>
  <c r="AO83" i="5"/>
  <c r="C260" i="21"/>
  <c r="D260" i="21"/>
  <c r="B260" i="21"/>
  <c r="C259" i="21"/>
  <c r="D259" i="21"/>
  <c r="AN92" i="13" l="1"/>
  <c r="AX91" i="12"/>
  <c r="AV91" i="11"/>
  <c r="AX92" i="12"/>
  <c r="AV92" i="11"/>
  <c r="AN93" i="13"/>
  <c r="AX93" i="12"/>
  <c r="AV93" i="11"/>
  <c r="AN91" i="13"/>
  <c r="AX89" i="12"/>
  <c r="AV88" i="11"/>
  <c r="AV90" i="11"/>
  <c r="AX88" i="12"/>
  <c r="AX90" i="12"/>
  <c r="AN89" i="13"/>
  <c r="AN88" i="13"/>
  <c r="AN90" i="13"/>
  <c r="AV89" i="11"/>
  <c r="AN85" i="13"/>
  <c r="AN87" i="13"/>
  <c r="AN86" i="13"/>
  <c r="AX85" i="12"/>
  <c r="AX86" i="12"/>
  <c r="AV86" i="11"/>
  <c r="AX87" i="12"/>
  <c r="AV85" i="11"/>
  <c r="AV87" i="11"/>
  <c r="AV83" i="11"/>
  <c r="AV84" i="11"/>
  <c r="AN83" i="13"/>
  <c r="AN84" i="13"/>
  <c r="AX82" i="12"/>
  <c r="AX83" i="12"/>
  <c r="AX84" i="12"/>
  <c r="AN82" i="13"/>
  <c r="AV82" i="11"/>
  <c r="CL65" i="21"/>
  <c r="B67" i="6" l="1"/>
  <c r="B68" i="6"/>
  <c r="B69" i="6"/>
  <c r="B70" i="6"/>
  <c r="B71" i="6"/>
  <c r="B72" i="6"/>
  <c r="B73" i="6"/>
  <c r="B74" i="6"/>
  <c r="B75" i="6"/>
  <c r="B76" i="6"/>
  <c r="B77" i="6"/>
  <c r="B78" i="6"/>
  <c r="B79" i="6"/>
  <c r="B80" i="6"/>
  <c r="B81" i="6"/>
  <c r="R681" i="21" l="1"/>
  <c r="R680" i="21"/>
  <c r="Q681" i="21"/>
  <c r="Q680" i="21"/>
  <c r="P681" i="21"/>
  <c r="P680" i="21"/>
  <c r="T750" i="21"/>
  <c r="T738" i="21"/>
  <c r="T739" i="21"/>
  <c r="T740" i="21"/>
  <c r="T741" i="21"/>
  <c r="T742" i="21"/>
  <c r="T743" i="21"/>
  <c r="T744" i="21"/>
  <c r="T745" i="21"/>
  <c r="T746" i="21"/>
  <c r="T747" i="21"/>
  <c r="T748" i="21"/>
  <c r="T749" i="21"/>
  <c r="T736" i="21"/>
  <c r="T728" i="21"/>
  <c r="T729" i="21"/>
  <c r="T730" i="21"/>
  <c r="T731" i="21"/>
  <c r="T732" i="21"/>
  <c r="T733" i="21"/>
  <c r="T734" i="21"/>
  <c r="T735" i="21"/>
  <c r="T737" i="21"/>
  <c r="B679" i="21"/>
  <c r="G750" i="21"/>
  <c r="G751" i="21"/>
  <c r="G742" i="21"/>
  <c r="G743" i="21"/>
  <c r="G744" i="21"/>
  <c r="G745" i="21"/>
  <c r="G746" i="21"/>
  <c r="G747" i="21"/>
  <c r="G748" i="21"/>
  <c r="G749" i="21"/>
  <c r="G737" i="21"/>
  <c r="G729" i="21"/>
  <c r="G730" i="21"/>
  <c r="G731" i="21"/>
  <c r="G732" i="21"/>
  <c r="G733" i="21"/>
  <c r="G734" i="21"/>
  <c r="G735" i="21"/>
  <c r="G736" i="21"/>
  <c r="G738" i="21"/>
  <c r="G739" i="21"/>
  <c r="G740" i="21"/>
  <c r="G741" i="21"/>
  <c r="G728" i="21"/>
  <c r="R697" i="21"/>
  <c r="P698" i="21"/>
  <c r="B689" i="21"/>
  <c r="Q697" i="21"/>
  <c r="Q698" i="21"/>
  <c r="R698" i="21"/>
  <c r="V674" i="21"/>
  <c r="P697" i="21"/>
  <c r="C84" i="14" l="1"/>
  <c r="C1228" i="21"/>
  <c r="C1229" i="21"/>
  <c r="C1230" i="21"/>
  <c r="C1231" i="21"/>
  <c r="C1232" i="21"/>
  <c r="C1233" i="21"/>
  <c r="C1234" i="21"/>
  <c r="C1235" i="21"/>
  <c r="C1236" i="21"/>
  <c r="C1237" i="21"/>
  <c r="C1238" i="21"/>
  <c r="C1239" i="21"/>
  <c r="C1240" i="21"/>
  <c r="C1241" i="21"/>
  <c r="C1242" i="21"/>
  <c r="C1243" i="21"/>
  <c r="C1244" i="21"/>
  <c r="C1245" i="21"/>
  <c r="C1246" i="21"/>
  <c r="C1247" i="21"/>
  <c r="C1248" i="21"/>
  <c r="C1249" i="21"/>
  <c r="C1250" i="21"/>
  <c r="C82" i="9"/>
  <c r="AB1038" i="21"/>
  <c r="AB1037" i="21"/>
  <c r="AA1038" i="21"/>
  <c r="AA1037" i="21"/>
  <c r="Z1038" i="21"/>
  <c r="Z1037" i="21"/>
  <c r="B1041" i="21"/>
  <c r="AN59" i="13"/>
  <c r="AN60" i="13"/>
  <c r="AN61" i="13"/>
  <c r="AN62" i="13"/>
  <c r="AN63" i="13"/>
  <c r="AN64" i="13"/>
  <c r="AN65" i="13"/>
  <c r="AN66" i="13"/>
  <c r="AN67" i="13"/>
  <c r="AN68" i="13"/>
  <c r="AN69" i="13"/>
  <c r="AN70" i="13"/>
  <c r="AN71" i="13"/>
  <c r="AN72" i="13"/>
  <c r="AN73" i="13"/>
  <c r="AN74" i="13"/>
  <c r="AN75" i="13"/>
  <c r="AN76" i="13"/>
  <c r="AN77" i="13"/>
  <c r="AN78" i="13"/>
  <c r="AN79" i="13"/>
  <c r="AN80" i="13"/>
  <c r="AN81" i="13"/>
  <c r="O263" i="21"/>
  <c r="O262" i="21"/>
  <c r="N263" i="21"/>
  <c r="D253" i="21"/>
  <c r="C253" i="21"/>
  <c r="B252" i="21"/>
  <c r="C252" i="21"/>
  <c r="D252" i="21"/>
  <c r="B251" i="21"/>
  <c r="C243" i="21"/>
  <c r="D243" i="21"/>
  <c r="E243" i="21"/>
  <c r="E242" i="21"/>
  <c r="C242" i="21"/>
  <c r="D242" i="21"/>
  <c r="B242" i="21"/>
  <c r="B241" i="21"/>
  <c r="AJ59" i="6"/>
  <c r="AJ60" i="6"/>
  <c r="AJ61" i="6"/>
  <c r="AJ62" i="6"/>
  <c r="AJ63" i="6"/>
  <c r="AJ64" i="6"/>
  <c r="AJ65" i="6"/>
  <c r="AJ66" i="6"/>
  <c r="AJ67" i="6"/>
  <c r="AJ68" i="6"/>
  <c r="AJ69" i="6"/>
  <c r="AJ70" i="6"/>
  <c r="AJ71" i="6"/>
  <c r="AJ72" i="6"/>
  <c r="AJ73" i="6"/>
  <c r="AJ74" i="6"/>
  <c r="AJ75" i="6"/>
  <c r="AJ76" i="6"/>
  <c r="AJ77" i="6"/>
  <c r="AJ78" i="6"/>
  <c r="AJ79" i="6"/>
  <c r="AJ80" i="6"/>
  <c r="AJ81" i="6"/>
  <c r="B238" i="21"/>
  <c r="N262" i="21"/>
  <c r="AI59" i="13"/>
  <c r="AI60" i="13"/>
  <c r="AI61" i="13"/>
  <c r="AI62" i="13"/>
  <c r="AI63" i="13"/>
  <c r="AI64" i="13"/>
  <c r="AI65" i="13"/>
  <c r="AI66" i="13"/>
  <c r="AI67" i="13"/>
  <c r="AI68" i="13"/>
  <c r="AI69" i="13"/>
  <c r="AI70" i="13"/>
  <c r="AI71" i="13"/>
  <c r="AI72" i="13"/>
  <c r="AI73" i="13"/>
  <c r="AI74" i="13"/>
  <c r="AI75" i="13"/>
  <c r="AI76" i="13"/>
  <c r="AI77" i="13"/>
  <c r="AI78" i="13"/>
  <c r="AI79" i="13"/>
  <c r="AI80" i="13"/>
  <c r="AI81" i="13"/>
  <c r="S59" i="13"/>
  <c r="S61" i="13"/>
  <c r="S62" i="13"/>
  <c r="S63" i="13"/>
  <c r="S68" i="13"/>
  <c r="S70" i="13"/>
  <c r="S71" i="13"/>
  <c r="S72" i="13"/>
  <c r="S76" i="13"/>
  <c r="S78" i="13"/>
  <c r="S79" i="13"/>
  <c r="B59" i="13"/>
  <c r="B60" i="13"/>
  <c r="S60" i="13" s="1"/>
  <c r="B61" i="13"/>
  <c r="B62" i="13"/>
  <c r="B63" i="13"/>
  <c r="B64" i="13"/>
  <c r="S64" i="13" s="1"/>
  <c r="B65" i="13"/>
  <c r="S65" i="13" s="1"/>
  <c r="B66" i="13"/>
  <c r="S66" i="13" s="1"/>
  <c r="B67" i="13"/>
  <c r="S67" i="13" s="1"/>
  <c r="B68" i="13"/>
  <c r="B69" i="13"/>
  <c r="B70" i="13"/>
  <c r="B71" i="13"/>
  <c r="B72" i="13"/>
  <c r="B73" i="13"/>
  <c r="S73" i="13" s="1"/>
  <c r="B74" i="13"/>
  <c r="S74" i="13" s="1"/>
  <c r="B75" i="13"/>
  <c r="S75" i="13" s="1"/>
  <c r="B76" i="13"/>
  <c r="B77" i="13"/>
  <c r="B78" i="13"/>
  <c r="B79" i="13"/>
  <c r="B80" i="13"/>
  <c r="S80" i="13" s="1"/>
  <c r="B81" i="13"/>
  <c r="S81" i="13" s="1"/>
  <c r="AM8" i="12"/>
  <c r="AM9" i="12"/>
  <c r="AM10" i="12"/>
  <c r="AM11" i="12"/>
  <c r="AM12" i="12"/>
  <c r="AM13" i="12"/>
  <c r="AM14" i="12"/>
  <c r="AM15" i="12"/>
  <c r="AM16" i="12"/>
  <c r="AM17" i="12"/>
  <c r="AM18" i="12"/>
  <c r="AM19" i="12"/>
  <c r="AM20" i="12"/>
  <c r="AM21" i="12"/>
  <c r="AM22" i="12"/>
  <c r="AM23" i="12"/>
  <c r="AM24" i="12"/>
  <c r="AM25" i="12"/>
  <c r="AM26" i="12"/>
  <c r="AM27" i="12"/>
  <c r="AM28" i="12"/>
  <c r="AM29" i="12"/>
  <c r="AM30" i="12"/>
  <c r="AM62" i="12"/>
  <c r="AM70" i="12"/>
  <c r="AM71" i="12"/>
  <c r="AM72" i="12"/>
  <c r="AM73" i="12"/>
  <c r="AM79" i="12"/>
  <c r="AM80" i="12"/>
  <c r="AM81" i="12"/>
  <c r="AL8" i="12"/>
  <c r="AL9" i="12"/>
  <c r="AL10" i="12"/>
  <c r="AL11" i="12"/>
  <c r="AL12" i="12"/>
  <c r="AL13" i="12"/>
  <c r="AL14" i="12"/>
  <c r="AL15" i="12"/>
  <c r="AL16" i="12"/>
  <c r="AL17" i="12"/>
  <c r="AL18" i="12"/>
  <c r="AL19" i="12"/>
  <c r="AL20" i="12"/>
  <c r="AL21" i="12"/>
  <c r="AL22" i="12"/>
  <c r="AL23" i="12"/>
  <c r="AL24" i="12"/>
  <c r="AL25" i="12"/>
  <c r="AL26" i="12"/>
  <c r="AL27" i="12"/>
  <c r="AL28" i="12"/>
  <c r="AL29" i="12"/>
  <c r="AL30" i="12"/>
  <c r="AL31" i="12"/>
  <c r="AL32" i="12"/>
  <c r="AL33" i="12"/>
  <c r="AL34" i="12"/>
  <c r="AL35" i="12"/>
  <c r="AL36" i="12"/>
  <c r="AL37" i="12"/>
  <c r="AL38" i="12"/>
  <c r="AL39" i="12"/>
  <c r="AL40" i="12"/>
  <c r="AL41" i="12"/>
  <c r="AL42" i="12"/>
  <c r="AL43" i="12"/>
  <c r="AL44" i="12"/>
  <c r="AL45" i="12"/>
  <c r="AL46" i="12"/>
  <c r="AL47" i="12"/>
  <c r="AL48" i="12"/>
  <c r="AL49" i="12"/>
  <c r="AL50" i="12"/>
  <c r="AL51" i="12"/>
  <c r="AL52" i="12"/>
  <c r="AL53" i="12"/>
  <c r="AL54" i="12"/>
  <c r="AL55" i="12"/>
  <c r="AL56" i="12"/>
  <c r="AL57" i="12"/>
  <c r="AL58" i="12"/>
  <c r="AL59" i="12"/>
  <c r="AL60" i="12"/>
  <c r="AL61" i="12"/>
  <c r="AL62" i="12"/>
  <c r="AL63" i="12"/>
  <c r="AL64" i="12"/>
  <c r="AL65" i="12"/>
  <c r="AL66" i="12"/>
  <c r="AL67" i="12"/>
  <c r="AL68" i="12"/>
  <c r="AL69" i="12"/>
  <c r="AL70" i="12"/>
  <c r="AL71" i="12"/>
  <c r="AL72" i="12"/>
  <c r="AL73" i="12"/>
  <c r="AL74" i="12"/>
  <c r="AL75" i="12"/>
  <c r="AL76" i="12"/>
  <c r="AL77" i="12"/>
  <c r="AL78" i="12"/>
  <c r="AL79" i="12"/>
  <c r="AL80" i="12"/>
  <c r="AL81" i="12"/>
  <c r="AL7" i="12"/>
  <c r="AX59" i="12"/>
  <c r="AX60" i="12"/>
  <c r="AX61" i="12"/>
  <c r="AX62" i="12"/>
  <c r="AX63" i="12"/>
  <c r="AX64" i="12"/>
  <c r="AX65" i="12"/>
  <c r="AX66" i="12"/>
  <c r="AX67" i="12"/>
  <c r="AX68" i="12"/>
  <c r="AX69" i="12"/>
  <c r="AX70" i="12"/>
  <c r="AX71" i="12"/>
  <c r="AX72" i="12"/>
  <c r="AX73" i="12"/>
  <c r="AX74" i="12"/>
  <c r="AX75" i="12"/>
  <c r="AX76" i="12"/>
  <c r="AX77" i="12"/>
  <c r="AX78" i="12"/>
  <c r="AX79" i="12"/>
  <c r="AX80" i="12"/>
  <c r="AX81" i="12"/>
  <c r="AS59" i="12"/>
  <c r="AS60" i="12"/>
  <c r="AS61" i="12"/>
  <c r="AS62" i="12"/>
  <c r="AS63" i="12"/>
  <c r="AS64" i="12"/>
  <c r="AS65" i="12"/>
  <c r="AS66" i="12"/>
  <c r="AS67" i="12"/>
  <c r="AS68" i="12"/>
  <c r="AS69" i="12"/>
  <c r="AS70" i="12"/>
  <c r="AS71" i="12"/>
  <c r="AS72" i="12"/>
  <c r="AS73" i="12"/>
  <c r="AS74" i="12"/>
  <c r="AS75" i="12"/>
  <c r="AS76" i="12"/>
  <c r="AS77" i="12"/>
  <c r="AS78" i="12"/>
  <c r="AS79" i="12"/>
  <c r="AS80" i="12"/>
  <c r="AS81" i="12"/>
  <c r="S62" i="12"/>
  <c r="S70" i="12"/>
  <c r="S71" i="12"/>
  <c r="S76" i="12"/>
  <c r="S77" i="12"/>
  <c r="S79" i="12"/>
  <c r="B59" i="12"/>
  <c r="AM59" i="12" s="1"/>
  <c r="B60" i="12"/>
  <c r="S60" i="12" s="1"/>
  <c r="B61" i="12"/>
  <c r="AM61" i="12" s="1"/>
  <c r="B62" i="12"/>
  <c r="B63" i="12"/>
  <c r="AM63" i="12" s="1"/>
  <c r="B64" i="12"/>
  <c r="AM64" i="12" s="1"/>
  <c r="B65" i="12"/>
  <c r="AM65" i="12" s="1"/>
  <c r="B66" i="12"/>
  <c r="AM66" i="12" s="1"/>
  <c r="B67" i="12"/>
  <c r="AM67" i="12" s="1"/>
  <c r="B68" i="12"/>
  <c r="B69" i="12"/>
  <c r="S69" i="12" s="1"/>
  <c r="B70" i="12"/>
  <c r="B71" i="12"/>
  <c r="B72" i="12"/>
  <c r="B73" i="12"/>
  <c r="B74" i="12"/>
  <c r="AM74" i="12" s="1"/>
  <c r="B75" i="12"/>
  <c r="AM75" i="12" s="1"/>
  <c r="B76" i="12"/>
  <c r="AM76" i="12" s="1"/>
  <c r="B77" i="12"/>
  <c r="AM77" i="12" s="1"/>
  <c r="B78" i="12"/>
  <c r="AM78" i="12" s="1"/>
  <c r="B79" i="12"/>
  <c r="B80" i="12"/>
  <c r="B81" i="12"/>
  <c r="AK63" i="11"/>
  <c r="AK79" i="11"/>
  <c r="AJ8" i="11"/>
  <c r="AJ9" i="11"/>
  <c r="AJ10" i="11"/>
  <c r="AJ11" i="11"/>
  <c r="AJ12" i="11"/>
  <c r="AJ13" i="11"/>
  <c r="AJ14" i="11"/>
  <c r="AJ15" i="11"/>
  <c r="AJ16" i="11"/>
  <c r="AJ17" i="11"/>
  <c r="AJ18" i="11"/>
  <c r="AJ19" i="11"/>
  <c r="AJ20" i="11"/>
  <c r="AJ21" i="11"/>
  <c r="AJ22" i="11"/>
  <c r="AJ23" i="11"/>
  <c r="AJ24" i="11"/>
  <c r="AJ25" i="11"/>
  <c r="AJ26" i="11"/>
  <c r="AJ27" i="11"/>
  <c r="AJ28" i="11"/>
  <c r="AJ29" i="11"/>
  <c r="AJ30" i="11"/>
  <c r="AJ31" i="11"/>
  <c r="AJ32" i="11"/>
  <c r="AJ33" i="11"/>
  <c r="AJ34" i="11"/>
  <c r="AJ35" i="11"/>
  <c r="AJ36" i="11"/>
  <c r="AJ37" i="11"/>
  <c r="AJ38" i="11"/>
  <c r="AJ39" i="11"/>
  <c r="AJ40" i="11"/>
  <c r="AJ41" i="11"/>
  <c r="AJ42" i="11"/>
  <c r="AJ43" i="11"/>
  <c r="AJ44" i="11"/>
  <c r="AJ45" i="11"/>
  <c r="AJ46" i="11"/>
  <c r="AJ47" i="11"/>
  <c r="AJ48" i="11"/>
  <c r="AJ49" i="11"/>
  <c r="AJ50" i="11"/>
  <c r="AJ51" i="11"/>
  <c r="AJ52" i="11"/>
  <c r="AJ53" i="11"/>
  <c r="AJ54" i="11"/>
  <c r="AJ55" i="11"/>
  <c r="AJ56" i="11"/>
  <c r="AJ57" i="11"/>
  <c r="AJ58" i="11"/>
  <c r="AJ59" i="11"/>
  <c r="AJ60" i="11"/>
  <c r="AJ61" i="11"/>
  <c r="AJ62" i="11"/>
  <c r="AJ63" i="11"/>
  <c r="AJ64" i="11"/>
  <c r="AJ65" i="11"/>
  <c r="AJ66" i="11"/>
  <c r="AJ67" i="11"/>
  <c r="AJ68" i="11"/>
  <c r="AJ69" i="11"/>
  <c r="AJ70" i="11"/>
  <c r="AJ71" i="11"/>
  <c r="AJ72" i="11"/>
  <c r="AJ73" i="11"/>
  <c r="AJ74" i="11"/>
  <c r="AJ75" i="11"/>
  <c r="AJ76" i="11"/>
  <c r="AJ77" i="11"/>
  <c r="AJ78" i="11"/>
  <c r="AJ79" i="11"/>
  <c r="AJ80" i="11"/>
  <c r="AJ81" i="11"/>
  <c r="AJ7" i="11"/>
  <c r="AV59" i="11"/>
  <c r="AV60" i="11"/>
  <c r="AV61" i="11"/>
  <c r="AV62" i="11"/>
  <c r="AV63" i="11"/>
  <c r="AV64" i="11"/>
  <c r="AV65" i="11"/>
  <c r="AV66" i="11"/>
  <c r="AV67" i="11"/>
  <c r="AV68" i="11"/>
  <c r="AV69" i="11"/>
  <c r="AV70" i="11"/>
  <c r="AV71" i="11"/>
  <c r="AV72" i="11"/>
  <c r="AV73" i="11"/>
  <c r="AV74" i="11"/>
  <c r="AV75" i="11"/>
  <c r="AV76" i="11"/>
  <c r="AV77" i="11"/>
  <c r="AV78" i="11"/>
  <c r="AV79" i="11"/>
  <c r="AV80" i="11"/>
  <c r="AV81" i="11"/>
  <c r="AQ59" i="11"/>
  <c r="AQ60" i="11"/>
  <c r="AQ61" i="11"/>
  <c r="AQ62" i="11"/>
  <c r="AQ63" i="11"/>
  <c r="AQ64" i="11"/>
  <c r="AQ65" i="11"/>
  <c r="AQ66" i="11"/>
  <c r="AQ67" i="11"/>
  <c r="AQ68" i="11"/>
  <c r="AQ69" i="11"/>
  <c r="AQ70" i="11"/>
  <c r="AQ71" i="11"/>
  <c r="AQ72" i="11"/>
  <c r="AQ73" i="11"/>
  <c r="AQ74" i="11"/>
  <c r="AQ75" i="11"/>
  <c r="AQ76" i="11"/>
  <c r="AQ77" i="11"/>
  <c r="AQ78" i="11"/>
  <c r="AQ79" i="11"/>
  <c r="AQ80" i="11"/>
  <c r="AQ81" i="11"/>
  <c r="B59" i="11"/>
  <c r="AK59" i="11" s="1"/>
  <c r="B60" i="11"/>
  <c r="AK60" i="11" s="1"/>
  <c r="B61" i="11"/>
  <c r="AK61" i="11" s="1"/>
  <c r="B62" i="11"/>
  <c r="B63" i="11"/>
  <c r="S63" i="11" s="1"/>
  <c r="B64" i="11"/>
  <c r="AK64" i="11" s="1"/>
  <c r="B65" i="11"/>
  <c r="AK65" i="11" s="1"/>
  <c r="B66" i="11"/>
  <c r="S66" i="11" s="1"/>
  <c r="B67" i="11"/>
  <c r="S67" i="11" s="1"/>
  <c r="B68" i="11"/>
  <c r="S68" i="11" s="1"/>
  <c r="B69" i="11"/>
  <c r="B70" i="11"/>
  <c r="B71" i="11"/>
  <c r="S71" i="11" s="1"/>
  <c r="B72" i="11"/>
  <c r="AK72" i="11" s="1"/>
  <c r="B73" i="11"/>
  <c r="AK73" i="11" s="1"/>
  <c r="B74" i="11"/>
  <c r="S74" i="11" s="1"/>
  <c r="B75" i="11"/>
  <c r="AK75" i="11" s="1"/>
  <c r="B76" i="11"/>
  <c r="AK76" i="11" s="1"/>
  <c r="B77" i="11"/>
  <c r="S77" i="11" s="1"/>
  <c r="B78" i="11"/>
  <c r="B79" i="11"/>
  <c r="S79" i="11" s="1"/>
  <c r="B80" i="11"/>
  <c r="AK80" i="11" s="1"/>
  <c r="B81" i="11"/>
  <c r="AK81" i="11" s="1"/>
  <c r="I2" i="13"/>
  <c r="I1" i="13"/>
  <c r="I1" i="12"/>
  <c r="I2" i="12"/>
  <c r="I2" i="11"/>
  <c r="AC5" i="23"/>
  <c r="AC4" i="23"/>
  <c r="AC3" i="23"/>
  <c r="D232" i="14"/>
  <c r="D82" i="9" l="1"/>
  <c r="E82" i="9" s="1"/>
  <c r="F82" i="9" s="1"/>
  <c r="G82" i="9" s="1"/>
  <c r="H82" i="9" s="1"/>
  <c r="I82" i="9" s="1"/>
  <c r="J82" i="9" s="1"/>
  <c r="K82" i="9" s="1"/>
  <c r="L82" i="9" s="1"/>
  <c r="M82" i="9" s="1"/>
  <c r="N82" i="9" s="1"/>
  <c r="K367" i="21"/>
  <c r="AL94" i="5" s="1"/>
  <c r="S367" i="21"/>
  <c r="AP94" i="7" s="1"/>
  <c r="O368" i="21"/>
  <c r="AN95" i="6" s="1"/>
  <c r="K369" i="21"/>
  <c r="AL96" i="5" s="1"/>
  <c r="S369" i="21"/>
  <c r="AP96" i="7" s="1"/>
  <c r="Q367" i="21"/>
  <c r="AN94" i="7" s="1"/>
  <c r="C94" i="7" s="1"/>
  <c r="N368" i="21"/>
  <c r="AM95" i="6" s="1"/>
  <c r="C95" i="6" s="1"/>
  <c r="U369" i="21"/>
  <c r="AV96" i="8" s="1"/>
  <c r="P368" i="21"/>
  <c r="AO95" i="6" s="1"/>
  <c r="V369" i="21"/>
  <c r="AW96" i="8" s="1"/>
  <c r="V367" i="21"/>
  <c r="AW94" i="8" s="1"/>
  <c r="Q369" i="21"/>
  <c r="AN96" i="7" s="1"/>
  <c r="C96" i="7" s="1"/>
  <c r="L368" i="21"/>
  <c r="AM95" i="5" s="1"/>
  <c r="M369" i="21"/>
  <c r="AN96" i="5" s="1"/>
  <c r="T367" i="21"/>
  <c r="AU94" i="8" s="1"/>
  <c r="C94" i="8" s="1"/>
  <c r="L367" i="21"/>
  <c r="AM94" i="5" s="1"/>
  <c r="P369" i="21"/>
  <c r="AO96" i="6" s="1"/>
  <c r="T368" i="21"/>
  <c r="AU95" i="8" s="1"/>
  <c r="C95" i="8" s="1"/>
  <c r="R368" i="21"/>
  <c r="AO95" i="7" s="1"/>
  <c r="M367" i="21"/>
  <c r="AN94" i="5" s="1"/>
  <c r="N367" i="21"/>
  <c r="AM94" i="6" s="1"/>
  <c r="C94" i="6" s="1"/>
  <c r="O367" i="21"/>
  <c r="AN94" i="6" s="1"/>
  <c r="P367" i="21"/>
  <c r="AO94" i="6" s="1"/>
  <c r="M368" i="21"/>
  <c r="AN95" i="5" s="1"/>
  <c r="V368" i="21"/>
  <c r="AW95" i="8" s="1"/>
  <c r="T369" i="21"/>
  <c r="AU96" i="8" s="1"/>
  <c r="C96" i="8" s="1"/>
  <c r="L369" i="21"/>
  <c r="AM96" i="5" s="1"/>
  <c r="R367" i="21"/>
  <c r="AO94" i="7" s="1"/>
  <c r="Q368" i="21"/>
  <c r="AN95" i="7" s="1"/>
  <c r="C95" i="7" s="1"/>
  <c r="N369" i="21"/>
  <c r="AM96" i="6" s="1"/>
  <c r="C96" i="6" s="1"/>
  <c r="U367" i="21"/>
  <c r="AV94" i="8" s="1"/>
  <c r="O369" i="21"/>
  <c r="AN96" i="6" s="1"/>
  <c r="S368" i="21"/>
  <c r="AP95" i="7" s="1"/>
  <c r="K368" i="21"/>
  <c r="AL95" i="5" s="1"/>
  <c r="U368" i="21"/>
  <c r="AV95" i="8" s="1"/>
  <c r="R369" i="21"/>
  <c r="AO96" i="7" s="1"/>
  <c r="Y367" i="21"/>
  <c r="Y368" i="21"/>
  <c r="X369" i="21"/>
  <c r="AU96" i="11" s="1"/>
  <c r="AC367" i="21"/>
  <c r="AL94" i="13" s="1"/>
  <c r="C94" i="13" s="1"/>
  <c r="AC368" i="21"/>
  <c r="AL95" i="13" s="1"/>
  <c r="C95" i="13" s="1"/>
  <c r="AC369" i="21"/>
  <c r="AL96" i="13" s="1"/>
  <c r="C96" i="13" s="1"/>
  <c r="AD369" i="21"/>
  <c r="AM96" i="13" s="1"/>
  <c r="AA368" i="21"/>
  <c r="AW95" i="12" s="1"/>
  <c r="AD367" i="21"/>
  <c r="AM94" i="13" s="1"/>
  <c r="W368" i="21"/>
  <c r="AT95" i="11" s="1"/>
  <c r="C95" i="11" s="1"/>
  <c r="Y369" i="21"/>
  <c r="Z368" i="21"/>
  <c r="AV95" i="12" s="1"/>
  <c r="C95" i="12" s="1"/>
  <c r="AE368" i="21"/>
  <c r="AB367" i="21"/>
  <c r="X367" i="21"/>
  <c r="AU94" i="11" s="1"/>
  <c r="Z367" i="21"/>
  <c r="AV94" i="12" s="1"/>
  <c r="C94" i="12" s="1"/>
  <c r="AA367" i="21"/>
  <c r="AW94" i="12" s="1"/>
  <c r="AB368" i="21"/>
  <c r="AB369" i="21"/>
  <c r="AD368" i="21"/>
  <c r="AM95" i="13" s="1"/>
  <c r="AE367" i="21"/>
  <c r="AE369" i="21"/>
  <c r="W369" i="21"/>
  <c r="AT96" i="11" s="1"/>
  <c r="C96" i="11" s="1"/>
  <c r="W367" i="21"/>
  <c r="AT94" i="11" s="1"/>
  <c r="C94" i="11" s="1"/>
  <c r="X368" i="21"/>
  <c r="AU95" i="11" s="1"/>
  <c r="Z369" i="21"/>
  <c r="AV96" i="12" s="1"/>
  <c r="C96" i="12" s="1"/>
  <c r="AA369" i="21"/>
  <c r="AW96" i="12" s="1"/>
  <c r="U364" i="21"/>
  <c r="AV91" i="8" s="1"/>
  <c r="S366" i="21"/>
  <c r="AP93" i="7" s="1"/>
  <c r="P365" i="21"/>
  <c r="AO92" i="6" s="1"/>
  <c r="M364" i="21"/>
  <c r="AN91" i="5" s="1"/>
  <c r="K366" i="21"/>
  <c r="AL93" i="5" s="1"/>
  <c r="U365" i="21"/>
  <c r="AV92" i="8" s="1"/>
  <c r="R364" i="21"/>
  <c r="AO91" i="7" s="1"/>
  <c r="P366" i="21"/>
  <c r="AO93" i="6" s="1"/>
  <c r="M365" i="21"/>
  <c r="AN92" i="5" s="1"/>
  <c r="K363" i="21"/>
  <c r="U366" i="21"/>
  <c r="AV93" i="8" s="1"/>
  <c r="R365" i="21"/>
  <c r="AO92" i="7" s="1"/>
  <c r="O364" i="21"/>
  <c r="AN91" i="6" s="1"/>
  <c r="M366" i="21"/>
  <c r="AN93" i="5" s="1"/>
  <c r="T364" i="21"/>
  <c r="AU91" i="8" s="1"/>
  <c r="R366" i="21"/>
  <c r="AO93" i="7" s="1"/>
  <c r="O365" i="21"/>
  <c r="AN92" i="6" s="1"/>
  <c r="L364" i="21"/>
  <c r="AM91" i="5" s="1"/>
  <c r="T365" i="21"/>
  <c r="AU92" i="8" s="1"/>
  <c r="O366" i="21"/>
  <c r="AN93" i="6" s="1"/>
  <c r="T366" i="21"/>
  <c r="AU93" i="8" s="1"/>
  <c r="N364" i="21"/>
  <c r="AM91" i="6" s="1"/>
  <c r="S364" i="21"/>
  <c r="AP91" i="7" s="1"/>
  <c r="N365" i="21"/>
  <c r="AM92" i="6" s="1"/>
  <c r="N366" i="21"/>
  <c r="AM93" i="6" s="1"/>
  <c r="S365" i="21"/>
  <c r="AP92" i="7" s="1"/>
  <c r="V365" i="21"/>
  <c r="AW92" i="8" s="1"/>
  <c r="Q366" i="21"/>
  <c r="AN93" i="7" s="1"/>
  <c r="Q364" i="21"/>
  <c r="AN91" i="7" s="1"/>
  <c r="L365" i="21"/>
  <c r="AM92" i="5" s="1"/>
  <c r="V364" i="21"/>
  <c r="AW91" i="8" s="1"/>
  <c r="Q365" i="21"/>
  <c r="AN92" i="7" s="1"/>
  <c r="L366" i="21"/>
  <c r="AM93" i="5" s="1"/>
  <c r="K364" i="21"/>
  <c r="AL91" i="5" s="1"/>
  <c r="V366" i="21"/>
  <c r="AW93" i="8" s="1"/>
  <c r="P364" i="21"/>
  <c r="AO91" i="6" s="1"/>
  <c r="K365" i="21"/>
  <c r="AL92" i="5" s="1"/>
  <c r="AC364" i="21"/>
  <c r="AL91" i="13" s="1"/>
  <c r="AA366" i="21"/>
  <c r="AW93" i="12" s="1"/>
  <c r="X365" i="21"/>
  <c r="AU92" i="11" s="1"/>
  <c r="AC365" i="21"/>
  <c r="AL92" i="13" s="1"/>
  <c r="Z364" i="21"/>
  <c r="AV91" i="12" s="1"/>
  <c r="X366" i="21"/>
  <c r="AU93" i="11" s="1"/>
  <c r="AE366" i="21"/>
  <c r="AC366" i="21"/>
  <c r="AL93" i="13" s="1"/>
  <c r="Z365" i="21"/>
  <c r="AV92" i="12" s="1"/>
  <c r="W364" i="21"/>
  <c r="AT91" i="11" s="1"/>
  <c r="AE364" i="21"/>
  <c r="AB364" i="21"/>
  <c r="Z366" i="21"/>
  <c r="AV93" i="12" s="1"/>
  <c r="W365" i="21"/>
  <c r="AT92" i="11" s="1"/>
  <c r="AE365" i="21"/>
  <c r="Y364" i="21"/>
  <c r="AD364" i="21"/>
  <c r="AM91" i="13" s="1"/>
  <c r="Y365" i="21"/>
  <c r="AD365" i="21"/>
  <c r="AM92" i="13" s="1"/>
  <c r="Y366" i="21"/>
  <c r="AD366" i="21"/>
  <c r="AM93" i="13" s="1"/>
  <c r="X364" i="21"/>
  <c r="AU91" i="11" s="1"/>
  <c r="AA364" i="21"/>
  <c r="AW91" i="12" s="1"/>
  <c r="AB365" i="21"/>
  <c r="W366" i="21"/>
  <c r="AT93" i="11" s="1"/>
  <c r="AB366" i="21"/>
  <c r="AA365" i="21"/>
  <c r="AW92" i="12" s="1"/>
  <c r="I244" i="21"/>
  <c r="O244" i="21"/>
  <c r="K244" i="21"/>
  <c r="Q244" i="21"/>
  <c r="N243" i="21"/>
  <c r="H243" i="21"/>
  <c r="O254" i="21"/>
  <c r="I254" i="21"/>
  <c r="P254" i="21"/>
  <c r="J254" i="21"/>
  <c r="J244" i="21"/>
  <c r="P244" i="21"/>
  <c r="N253" i="21"/>
  <c r="H253" i="21"/>
  <c r="W361" i="21"/>
  <c r="AT88" i="11" s="1"/>
  <c r="AE361" i="21"/>
  <c r="AD362" i="21"/>
  <c r="AM89" i="13" s="1"/>
  <c r="AC363" i="21"/>
  <c r="AL90" i="13" s="1"/>
  <c r="X361" i="21"/>
  <c r="AU88" i="11" s="1"/>
  <c r="W362" i="21"/>
  <c r="AT89" i="11" s="1"/>
  <c r="AE362" i="21"/>
  <c r="AD363" i="21"/>
  <c r="AM90" i="13" s="1"/>
  <c r="Y361" i="21"/>
  <c r="X362" i="21"/>
  <c r="AU89" i="11" s="1"/>
  <c r="W363" i="21"/>
  <c r="AT90" i="11" s="1"/>
  <c r="AE363" i="21"/>
  <c r="AC361" i="21"/>
  <c r="AL88" i="13" s="1"/>
  <c r="AB362" i="21"/>
  <c r="AA363" i="21"/>
  <c r="AW90" i="12" s="1"/>
  <c r="AD361" i="21"/>
  <c r="AM88" i="13" s="1"/>
  <c r="AB363" i="21"/>
  <c r="Y362" i="21"/>
  <c r="Z362" i="21"/>
  <c r="AV89" i="12" s="1"/>
  <c r="AA362" i="21"/>
  <c r="AW89" i="12" s="1"/>
  <c r="AC362" i="21"/>
  <c r="AL89" i="13" s="1"/>
  <c r="Z361" i="21"/>
  <c r="AV88" i="12" s="1"/>
  <c r="X363" i="21"/>
  <c r="AU90" i="11" s="1"/>
  <c r="Y363" i="21"/>
  <c r="Z363" i="21"/>
  <c r="AV90" i="12" s="1"/>
  <c r="AA361" i="21"/>
  <c r="AW88" i="12" s="1"/>
  <c r="AB361" i="21"/>
  <c r="P361" i="21"/>
  <c r="AO88" i="6" s="1"/>
  <c r="L362" i="21"/>
  <c r="AM89" i="5" s="1"/>
  <c r="T362" i="21"/>
  <c r="AU89" i="8" s="1"/>
  <c r="P363" i="21"/>
  <c r="AO90" i="6" s="1"/>
  <c r="Q361" i="21"/>
  <c r="AN88" i="7" s="1"/>
  <c r="M362" i="21"/>
  <c r="AN89" i="5" s="1"/>
  <c r="U362" i="21"/>
  <c r="AV89" i="8" s="1"/>
  <c r="Q363" i="21"/>
  <c r="AN90" i="7" s="1"/>
  <c r="R361" i="21"/>
  <c r="AO88" i="7" s="1"/>
  <c r="N362" i="21"/>
  <c r="AM89" i="6" s="1"/>
  <c r="V362" i="21"/>
  <c r="AW89" i="8" s="1"/>
  <c r="R363" i="21"/>
  <c r="AO90" i="7" s="1"/>
  <c r="N361" i="21"/>
  <c r="AM88" i="6" s="1"/>
  <c r="V361" i="21"/>
  <c r="AW88" i="8" s="1"/>
  <c r="R362" i="21"/>
  <c r="AO89" i="7" s="1"/>
  <c r="N363" i="21"/>
  <c r="AM90" i="6" s="1"/>
  <c r="V363" i="21"/>
  <c r="AW90" i="8" s="1"/>
  <c r="K362" i="21"/>
  <c r="AL89" i="5" s="1"/>
  <c r="O363" i="21"/>
  <c r="AN90" i="6" s="1"/>
  <c r="M361" i="21"/>
  <c r="AN88" i="5" s="1"/>
  <c r="O361" i="21"/>
  <c r="AN88" i="6" s="1"/>
  <c r="K361" i="21"/>
  <c r="AL88" i="5" s="1"/>
  <c r="O362" i="21"/>
  <c r="AN89" i="6" s="1"/>
  <c r="S363" i="21"/>
  <c r="AP90" i="7" s="1"/>
  <c r="U363" i="21"/>
  <c r="AV90" i="8" s="1"/>
  <c r="L361" i="21"/>
  <c r="AM88" i="5" s="1"/>
  <c r="P362" i="21"/>
  <c r="AO89" i="6" s="1"/>
  <c r="T363" i="21"/>
  <c r="AU90" i="8" s="1"/>
  <c r="Q362" i="21"/>
  <c r="AN89" i="7" s="1"/>
  <c r="S362" i="21"/>
  <c r="AP89" i="7" s="1"/>
  <c r="K360" i="21"/>
  <c r="AL87" i="5" s="1"/>
  <c r="S361" i="21"/>
  <c r="AP88" i="7" s="1"/>
  <c r="AL90" i="5"/>
  <c r="U361" i="21"/>
  <c r="AV88" i="8" s="1"/>
  <c r="L363" i="21"/>
  <c r="AM90" i="5" s="1"/>
  <c r="T361" i="21"/>
  <c r="AU88" i="8" s="1"/>
  <c r="M363" i="21"/>
  <c r="AN90" i="5" s="1"/>
  <c r="AD358" i="21"/>
  <c r="AM85" i="13" s="1"/>
  <c r="Y359" i="21"/>
  <c r="AD360" i="21"/>
  <c r="AM87" i="13" s="1"/>
  <c r="W358" i="21"/>
  <c r="AT85" i="11" s="1"/>
  <c r="AE358" i="21"/>
  <c r="Z359" i="21"/>
  <c r="AV86" i="12" s="1"/>
  <c r="W360" i="21"/>
  <c r="AT87" i="11" s="1"/>
  <c r="AA358" i="21"/>
  <c r="AW85" i="12" s="1"/>
  <c r="AD359" i="21"/>
  <c r="AM86" i="13" s="1"/>
  <c r="AA360" i="21"/>
  <c r="AW87" i="12" s="1"/>
  <c r="AB358" i="21"/>
  <c r="Z360" i="21"/>
  <c r="AV87" i="12" s="1"/>
  <c r="AC358" i="21"/>
  <c r="AL85" i="13" s="1"/>
  <c r="AB360" i="21"/>
  <c r="AE359" i="21"/>
  <c r="X359" i="21"/>
  <c r="AU86" i="11" s="1"/>
  <c r="AA359" i="21"/>
  <c r="AW86" i="12" s="1"/>
  <c r="W359" i="21"/>
  <c r="AT86" i="11" s="1"/>
  <c r="AE360" i="21"/>
  <c r="AC360" i="21"/>
  <c r="AL87" i="13" s="1"/>
  <c r="X358" i="21"/>
  <c r="AU85" i="11" s="1"/>
  <c r="AB359" i="21"/>
  <c r="Y358" i="21"/>
  <c r="AC359" i="21"/>
  <c r="AL86" i="13" s="1"/>
  <c r="X360" i="21"/>
  <c r="AU87" i="11" s="1"/>
  <c r="Z358" i="21"/>
  <c r="AV85" i="12" s="1"/>
  <c r="Y360" i="21"/>
  <c r="N358" i="21"/>
  <c r="AM85" i="6" s="1"/>
  <c r="V358" i="21"/>
  <c r="AW85" i="8" s="1"/>
  <c r="Q359" i="21"/>
  <c r="AN86" i="7" s="1"/>
  <c r="N360" i="21"/>
  <c r="AM87" i="6" s="1"/>
  <c r="V360" i="21"/>
  <c r="AW87" i="8" s="1"/>
  <c r="R359" i="21"/>
  <c r="AO86" i="7" s="1"/>
  <c r="O358" i="21"/>
  <c r="AN85" i="6" s="1"/>
  <c r="O360" i="21"/>
  <c r="AN87" i="6" s="1"/>
  <c r="K358" i="21"/>
  <c r="AL85" i="5" s="1"/>
  <c r="S358" i="21"/>
  <c r="AP85" i="7" s="1"/>
  <c r="N359" i="21"/>
  <c r="AM86" i="6" s="1"/>
  <c r="V359" i="21"/>
  <c r="AW86" i="8" s="1"/>
  <c r="S360" i="21"/>
  <c r="AP87" i="7" s="1"/>
  <c r="P358" i="21"/>
  <c r="AO85" i="6" s="1"/>
  <c r="T359" i="21"/>
  <c r="AU86" i="8" s="1"/>
  <c r="M360" i="21"/>
  <c r="AN87" i="5" s="1"/>
  <c r="Q358" i="21"/>
  <c r="AN85" i="7" s="1"/>
  <c r="U359" i="21"/>
  <c r="AV86" i="8" s="1"/>
  <c r="U358" i="21"/>
  <c r="AV85" i="8" s="1"/>
  <c r="P360" i="21"/>
  <c r="AO87" i="6" s="1"/>
  <c r="K359" i="21"/>
  <c r="AL86" i="5" s="1"/>
  <c r="Q360" i="21"/>
  <c r="AN87" i="7" s="1"/>
  <c r="L359" i="21"/>
  <c r="AM86" i="5" s="1"/>
  <c r="T360" i="21"/>
  <c r="AU87" i="8" s="1"/>
  <c r="R358" i="21"/>
  <c r="AO85" i="7" s="1"/>
  <c r="T358" i="21"/>
  <c r="AU85" i="8" s="1"/>
  <c r="R360" i="21"/>
  <c r="AO87" i="7" s="1"/>
  <c r="M359" i="21"/>
  <c r="AN86" i="5" s="1"/>
  <c r="K280" i="21"/>
  <c r="O359" i="21"/>
  <c r="AN86" i="6" s="1"/>
  <c r="U360" i="21"/>
  <c r="AV87" i="8" s="1"/>
  <c r="L358" i="21"/>
  <c r="AM85" i="5" s="1"/>
  <c r="P359" i="21"/>
  <c r="AO86" i="6" s="1"/>
  <c r="M358" i="21"/>
  <c r="AN85" i="5" s="1"/>
  <c r="S359" i="21"/>
  <c r="AP86" i="7" s="1"/>
  <c r="L360" i="21"/>
  <c r="AM87" i="5" s="1"/>
  <c r="N252" i="21"/>
  <c r="K243" i="21"/>
  <c r="AB355" i="21"/>
  <c r="AA356" i="21"/>
  <c r="AW83" i="12" s="1"/>
  <c r="Z357" i="21"/>
  <c r="AV84" i="12" s="1"/>
  <c r="Z355" i="21"/>
  <c r="AV82" i="12" s="1"/>
  <c r="X357" i="21"/>
  <c r="AU84" i="11" s="1"/>
  <c r="Z356" i="21"/>
  <c r="AV83" i="12" s="1"/>
  <c r="AC355" i="21"/>
  <c r="AL82" i="13" s="1"/>
  <c r="AB356" i="21"/>
  <c r="AA357" i="21"/>
  <c r="AW84" i="12" s="1"/>
  <c r="Y356" i="21"/>
  <c r="AD355" i="21"/>
  <c r="AM82" i="13" s="1"/>
  <c r="AC356" i="21"/>
  <c r="AL83" i="13" s="1"/>
  <c r="AB357" i="21"/>
  <c r="W355" i="21"/>
  <c r="AT82" i="11" s="1"/>
  <c r="AE355" i="21"/>
  <c r="AD356" i="21"/>
  <c r="AM83" i="13" s="1"/>
  <c r="AC357" i="21"/>
  <c r="AL84" i="13" s="1"/>
  <c r="Y357" i="21"/>
  <c r="X355" i="21"/>
  <c r="AU82" i="11" s="1"/>
  <c r="W356" i="21"/>
  <c r="AT83" i="11" s="1"/>
  <c r="AE356" i="21"/>
  <c r="AD357" i="21"/>
  <c r="AM84" i="13" s="1"/>
  <c r="Y355" i="21"/>
  <c r="X356" i="21"/>
  <c r="AU83" i="11" s="1"/>
  <c r="W357" i="21"/>
  <c r="AT84" i="11" s="1"/>
  <c r="AE357" i="21"/>
  <c r="AA355" i="21"/>
  <c r="AW82" i="12" s="1"/>
  <c r="K355" i="21"/>
  <c r="AL82" i="5" s="1"/>
  <c r="S355" i="21"/>
  <c r="AP82" i="7" s="1"/>
  <c r="O356" i="21"/>
  <c r="AN83" i="6" s="1"/>
  <c r="K357" i="21"/>
  <c r="AL84" i="5" s="1"/>
  <c r="S357" i="21"/>
  <c r="AP84" i="7" s="1"/>
  <c r="V355" i="21"/>
  <c r="AW82" i="8" s="1"/>
  <c r="Q355" i="21"/>
  <c r="AN82" i="7" s="1"/>
  <c r="N356" i="21"/>
  <c r="AM83" i="6" s="1"/>
  <c r="L355" i="21"/>
  <c r="AM82" i="5" s="1"/>
  <c r="T355" i="21"/>
  <c r="AU82" i="8" s="1"/>
  <c r="P356" i="21"/>
  <c r="AO83" i="6" s="1"/>
  <c r="L357" i="21"/>
  <c r="AM84" i="5" s="1"/>
  <c r="T357" i="21"/>
  <c r="AU84" i="8" s="1"/>
  <c r="R356" i="21"/>
  <c r="AO83" i="7" s="1"/>
  <c r="M356" i="21"/>
  <c r="AN83" i="5" s="1"/>
  <c r="R357" i="21"/>
  <c r="AO84" i="7" s="1"/>
  <c r="M355" i="21"/>
  <c r="AN82" i="5" s="1"/>
  <c r="U355" i="21"/>
  <c r="AV82" i="8" s="1"/>
  <c r="Q356" i="21"/>
  <c r="AN83" i="7" s="1"/>
  <c r="M357" i="21"/>
  <c r="AN84" i="5" s="1"/>
  <c r="U357" i="21"/>
  <c r="AV84" i="8" s="1"/>
  <c r="N355" i="21"/>
  <c r="AM82" i="6" s="1"/>
  <c r="N357" i="21"/>
  <c r="AM84" i="6" s="1"/>
  <c r="V357" i="21"/>
  <c r="AW84" i="8" s="1"/>
  <c r="Q357" i="21"/>
  <c r="AN84" i="7" s="1"/>
  <c r="V356" i="21"/>
  <c r="AW83" i="8" s="1"/>
  <c r="O355" i="21"/>
  <c r="AN82" i="6" s="1"/>
  <c r="K356" i="21"/>
  <c r="AL83" i="5" s="1"/>
  <c r="S356" i="21"/>
  <c r="AP83" i="7" s="1"/>
  <c r="O357" i="21"/>
  <c r="AN84" i="6" s="1"/>
  <c r="P355" i="21"/>
  <c r="AO82" i="6" s="1"/>
  <c r="L356" i="21"/>
  <c r="AM83" i="5" s="1"/>
  <c r="T356" i="21"/>
  <c r="AU83" i="8" s="1"/>
  <c r="P357" i="21"/>
  <c r="AO84" i="6" s="1"/>
  <c r="U356" i="21"/>
  <c r="AV83" i="8" s="1"/>
  <c r="R355" i="21"/>
  <c r="AO82" i="7" s="1"/>
  <c r="N5" i="13"/>
  <c r="AE6" i="13"/>
  <c r="AE5" i="13"/>
  <c r="AO5" i="12"/>
  <c r="N5" i="12"/>
  <c r="AO6" i="12"/>
  <c r="AM5" i="11"/>
  <c r="AM6" i="11"/>
  <c r="N5" i="11"/>
  <c r="U288" i="21"/>
  <c r="Q280" i="21"/>
  <c r="AE288" i="21"/>
  <c r="AE296" i="21"/>
  <c r="AE304" i="21"/>
  <c r="AE312" i="21"/>
  <c r="AE320" i="21"/>
  <c r="AE328" i="21"/>
  <c r="AE336" i="21"/>
  <c r="AE344" i="21"/>
  <c r="AE352" i="21"/>
  <c r="AD285" i="21"/>
  <c r="AD293" i="21"/>
  <c r="AD301" i="21"/>
  <c r="AD309" i="21"/>
  <c r="AD317" i="21"/>
  <c r="AD325" i="21"/>
  <c r="AD333" i="21"/>
  <c r="AD341" i="21"/>
  <c r="AD349" i="21"/>
  <c r="AC282" i="21"/>
  <c r="AC290" i="21"/>
  <c r="AC298" i="21"/>
  <c r="AC306" i="21"/>
  <c r="AC314" i="21"/>
  <c r="AC322" i="21"/>
  <c r="AC330" i="21"/>
  <c r="AC338" i="21"/>
  <c r="AC346" i="21"/>
  <c r="AC354" i="21"/>
  <c r="AL81" i="13" s="1"/>
  <c r="AB287" i="21"/>
  <c r="AB295" i="21"/>
  <c r="AB303" i="21"/>
  <c r="AB311" i="21"/>
  <c r="AB319" i="21"/>
  <c r="AB327" i="21"/>
  <c r="AB335" i="21"/>
  <c r="AB343" i="21"/>
  <c r="AB351" i="21"/>
  <c r="AA284" i="21"/>
  <c r="AA292" i="21"/>
  <c r="AA300" i="21"/>
  <c r="AA308" i="21"/>
  <c r="AA316" i="21"/>
  <c r="AA324" i="21"/>
  <c r="AA332" i="21"/>
  <c r="AA340" i="21"/>
  <c r="AA348" i="21"/>
  <c r="Z281" i="21"/>
  <c r="Z289" i="21"/>
  <c r="Z297" i="21"/>
  <c r="Z305" i="21"/>
  <c r="Z313" i="21"/>
  <c r="Z321" i="21"/>
  <c r="Z329" i="21"/>
  <c r="Z337" i="21"/>
  <c r="Z345" i="21"/>
  <c r="Z353" i="21"/>
  <c r="AV80" i="12" s="1"/>
  <c r="Y286" i="21"/>
  <c r="Y294" i="21"/>
  <c r="Y302" i="21"/>
  <c r="Y310" i="21"/>
  <c r="Y318" i="21"/>
  <c r="Y326" i="21"/>
  <c r="Y334" i="21"/>
  <c r="Y342" i="21"/>
  <c r="Y350" i="21"/>
  <c r="X283" i="21"/>
  <c r="AU10" i="11" s="1"/>
  <c r="X291" i="21"/>
  <c r="X299" i="21"/>
  <c r="X307" i="21"/>
  <c r="X315" i="21"/>
  <c r="X323" i="21"/>
  <c r="X331" i="21"/>
  <c r="X339" i="21"/>
  <c r="X347" i="21"/>
  <c r="X280" i="21"/>
  <c r="W288" i="21"/>
  <c r="W296" i="21"/>
  <c r="W304" i="21"/>
  <c r="W312" i="21"/>
  <c r="W320" i="21"/>
  <c r="W328" i="21"/>
  <c r="W336" i="21"/>
  <c r="W344" i="21"/>
  <c r="W352" i="21"/>
  <c r="AE289" i="21"/>
  <c r="AE298" i="21"/>
  <c r="AE307" i="21"/>
  <c r="AE316" i="21"/>
  <c r="AE325" i="21"/>
  <c r="AE334" i="21"/>
  <c r="AE343" i="21"/>
  <c r="AE353" i="21"/>
  <c r="AD287" i="21"/>
  <c r="AD296" i="21"/>
  <c r="AD305" i="21"/>
  <c r="AD314" i="21"/>
  <c r="AD323" i="21"/>
  <c r="AD332" i="21"/>
  <c r="AD342" i="21"/>
  <c r="AD351" i="21"/>
  <c r="AC285" i="21"/>
  <c r="AC294" i="21"/>
  <c r="AC303" i="21"/>
  <c r="AC312" i="21"/>
  <c r="AC321" i="21"/>
  <c r="AC331" i="21"/>
  <c r="AC340" i="21"/>
  <c r="AC349" i="21"/>
  <c r="AB283" i="21"/>
  <c r="AB292" i="21"/>
  <c r="AB301" i="21"/>
  <c r="AB310" i="21"/>
  <c r="AB320" i="21"/>
  <c r="AB329" i="21"/>
  <c r="AB338" i="21"/>
  <c r="AB347" i="21"/>
  <c r="AA281" i="21"/>
  <c r="AA290" i="21"/>
  <c r="AA299" i="21"/>
  <c r="AA309" i="21"/>
  <c r="AA318" i="21"/>
  <c r="AA327" i="21"/>
  <c r="AA336" i="21"/>
  <c r="AA345" i="21"/>
  <c r="AA354" i="21"/>
  <c r="AW81" i="12" s="1"/>
  <c r="Z288" i="21"/>
  <c r="Z298" i="21"/>
  <c r="Z307" i="21"/>
  <c r="Z316" i="21"/>
  <c r="Z325" i="21"/>
  <c r="Z334" i="21"/>
  <c r="Z343" i="21"/>
  <c r="Z352" i="21"/>
  <c r="Y287" i="21"/>
  <c r="Y296" i="21"/>
  <c r="Y305" i="21"/>
  <c r="Y314" i="21"/>
  <c r="Y323" i="21"/>
  <c r="Y332" i="21"/>
  <c r="Y341" i="21"/>
  <c r="Y351" i="21"/>
  <c r="X285" i="21"/>
  <c r="X294" i="21"/>
  <c r="X303" i="21"/>
  <c r="X312" i="21"/>
  <c r="X321" i="21"/>
  <c r="X330" i="21"/>
  <c r="X340" i="21"/>
  <c r="X349" i="21"/>
  <c r="W283" i="21"/>
  <c r="W292" i="21"/>
  <c r="W301" i="21"/>
  <c r="W310" i="21"/>
  <c r="W319" i="21"/>
  <c r="W329" i="21"/>
  <c r="W338" i="21"/>
  <c r="W347" i="21"/>
  <c r="AE281" i="21"/>
  <c r="AE290" i="21"/>
  <c r="AE299" i="21"/>
  <c r="AE308" i="21"/>
  <c r="AE317" i="21"/>
  <c r="AE326" i="21"/>
  <c r="AE335" i="21"/>
  <c r="AE345" i="21"/>
  <c r="AE354" i="21"/>
  <c r="AD288" i="21"/>
  <c r="AD297" i="21"/>
  <c r="AD306" i="21"/>
  <c r="AD315" i="21"/>
  <c r="AD324" i="21"/>
  <c r="AD334" i="21"/>
  <c r="AD343" i="21"/>
  <c r="AD352" i="21"/>
  <c r="AC286" i="21"/>
  <c r="AC295" i="21"/>
  <c r="AC304" i="21"/>
  <c r="AC313" i="21"/>
  <c r="AC323" i="21"/>
  <c r="AC332" i="21"/>
  <c r="AC341" i="21"/>
  <c r="AC350" i="21"/>
  <c r="AB284" i="21"/>
  <c r="AB293" i="21"/>
  <c r="AB302" i="21"/>
  <c r="AB312" i="21"/>
  <c r="AB321" i="21"/>
  <c r="AB330" i="21"/>
  <c r="AB339" i="21"/>
  <c r="AB348" i="21"/>
  <c r="AA282" i="21"/>
  <c r="AA291" i="21"/>
  <c r="AA301" i="21"/>
  <c r="AA310" i="21"/>
  <c r="AA319" i="21"/>
  <c r="AA328" i="21"/>
  <c r="AA337" i="21"/>
  <c r="AA346" i="21"/>
  <c r="AA280" i="21"/>
  <c r="Z290" i="21"/>
  <c r="Z299" i="21"/>
  <c r="Z308" i="21"/>
  <c r="Z317" i="21"/>
  <c r="Z326" i="21"/>
  <c r="Z335" i="21"/>
  <c r="Z344" i="21"/>
  <c r="Z354" i="21"/>
  <c r="AV81" i="12" s="1"/>
  <c r="Y288" i="21"/>
  <c r="Y297" i="21"/>
  <c r="Y306" i="21"/>
  <c r="Y315" i="21"/>
  <c r="Y324" i="21"/>
  <c r="Y333" i="21"/>
  <c r="Y343" i="21"/>
  <c r="Y352" i="21"/>
  <c r="X286" i="21"/>
  <c r="X295" i="21"/>
  <c r="X304" i="21"/>
  <c r="X313" i="21"/>
  <c r="X322" i="21"/>
  <c r="X332" i="21"/>
  <c r="X341" i="21"/>
  <c r="X350" i="21"/>
  <c r="W284" i="21"/>
  <c r="W293" i="21"/>
  <c r="W302" i="21"/>
  <c r="W311" i="21"/>
  <c r="W321" i="21"/>
  <c r="W330" i="21"/>
  <c r="W339" i="21"/>
  <c r="W348" i="21"/>
  <c r="AE284" i="21"/>
  <c r="AE293" i="21"/>
  <c r="AE302" i="21"/>
  <c r="AE311" i="21"/>
  <c r="AE321" i="21"/>
  <c r="AE330" i="21"/>
  <c r="AE339" i="21"/>
  <c r="AE348" i="21"/>
  <c r="AD282" i="21"/>
  <c r="AD291" i="21"/>
  <c r="AD300" i="21"/>
  <c r="AD310" i="21"/>
  <c r="AD319" i="21"/>
  <c r="AD328" i="21"/>
  <c r="AD337" i="21"/>
  <c r="AD346" i="21"/>
  <c r="AD280" i="21"/>
  <c r="AC289" i="21"/>
  <c r="AC299" i="21"/>
  <c r="AC308" i="21"/>
  <c r="AC317" i="21"/>
  <c r="AC326" i="21"/>
  <c r="AC335" i="21"/>
  <c r="AC344" i="21"/>
  <c r="AC353" i="21"/>
  <c r="AL80" i="13" s="1"/>
  <c r="AB288" i="21"/>
  <c r="AB297" i="21"/>
  <c r="AB306" i="21"/>
  <c r="AB315" i="21"/>
  <c r="AB324" i="21"/>
  <c r="AB333" i="21"/>
  <c r="AB342" i="21"/>
  <c r="AB352" i="21"/>
  <c r="AA286" i="21"/>
  <c r="AA295" i="21"/>
  <c r="AA304" i="21"/>
  <c r="AA313" i="21"/>
  <c r="AA322" i="21"/>
  <c r="AA331" i="21"/>
  <c r="AA341" i="21"/>
  <c r="AA350" i="21"/>
  <c r="Z284" i="21"/>
  <c r="Z293" i="21"/>
  <c r="Z302" i="21"/>
  <c r="Z311" i="21"/>
  <c r="Z320" i="21"/>
  <c r="Z330" i="21"/>
  <c r="Z339" i="21"/>
  <c r="Z348" i="21"/>
  <c r="Y282" i="21"/>
  <c r="Y291" i="21"/>
  <c r="Y300" i="21"/>
  <c r="Y309" i="21"/>
  <c r="Y319" i="21"/>
  <c r="Y328" i="21"/>
  <c r="Y337" i="21"/>
  <c r="Y346" i="21"/>
  <c r="Y280" i="21"/>
  <c r="X289" i="21"/>
  <c r="X298" i="21"/>
  <c r="X308" i="21"/>
  <c r="X317" i="21"/>
  <c r="X326" i="21"/>
  <c r="X335" i="21"/>
  <c r="X344" i="21"/>
  <c r="X353" i="21"/>
  <c r="AU80" i="11" s="1"/>
  <c r="W287" i="21"/>
  <c r="W297" i="21"/>
  <c r="W306" i="21"/>
  <c r="W315" i="21"/>
  <c r="W324" i="21"/>
  <c r="W333" i="21"/>
  <c r="W342" i="21"/>
  <c r="W351" i="21"/>
  <c r="AE286" i="21"/>
  <c r="AE295" i="21"/>
  <c r="AE305" i="21"/>
  <c r="AE314" i="21"/>
  <c r="AE323" i="21"/>
  <c r="AE332" i="21"/>
  <c r="AE341" i="21"/>
  <c r="AE350" i="21"/>
  <c r="AD284" i="21"/>
  <c r="AD294" i="21"/>
  <c r="AD303" i="21"/>
  <c r="AD312" i="21"/>
  <c r="AD321" i="21"/>
  <c r="AD330" i="21"/>
  <c r="AD339" i="21"/>
  <c r="AD348" i="21"/>
  <c r="AC283" i="21"/>
  <c r="AC292" i="21"/>
  <c r="AC301" i="21"/>
  <c r="AC310" i="21"/>
  <c r="AC319" i="21"/>
  <c r="AC328" i="21"/>
  <c r="AC337" i="21"/>
  <c r="AC347" i="21"/>
  <c r="AB281" i="21"/>
  <c r="AB290" i="21"/>
  <c r="AB299" i="21"/>
  <c r="AB308" i="21"/>
  <c r="AB317" i="21"/>
  <c r="AB326" i="21"/>
  <c r="AB336" i="21"/>
  <c r="AB345" i="21"/>
  <c r="AB354" i="21"/>
  <c r="AA288" i="21"/>
  <c r="AA297" i="21"/>
  <c r="AA306" i="21"/>
  <c r="AA315" i="21"/>
  <c r="AA325" i="21"/>
  <c r="AA334" i="21"/>
  <c r="AA343" i="21"/>
  <c r="AA352" i="21"/>
  <c r="Z286" i="21"/>
  <c r="Z295" i="21"/>
  <c r="Z304" i="21"/>
  <c r="Z314" i="21"/>
  <c r="Z323" i="21"/>
  <c r="Z332" i="21"/>
  <c r="Z341" i="21"/>
  <c r="Z350" i="21"/>
  <c r="Y284" i="21"/>
  <c r="Y293" i="21"/>
  <c r="Y303" i="21"/>
  <c r="Y312" i="21"/>
  <c r="Y321" i="21"/>
  <c r="Y330" i="21"/>
  <c r="Y339" i="21"/>
  <c r="Y348" i="21"/>
  <c r="X282" i="21"/>
  <c r="X292" i="21"/>
  <c r="X301" i="21"/>
  <c r="X310" i="21"/>
  <c r="X319" i="21"/>
  <c r="X328" i="21"/>
  <c r="X337" i="21"/>
  <c r="X346" i="21"/>
  <c r="W281" i="21"/>
  <c r="W290" i="21"/>
  <c r="W299" i="21"/>
  <c r="W308" i="21"/>
  <c r="W317" i="21"/>
  <c r="W326" i="21"/>
  <c r="W335" i="21"/>
  <c r="W345" i="21"/>
  <c r="W354" i="21"/>
  <c r="AT81" i="11" s="1"/>
  <c r="AE297" i="21"/>
  <c r="AE315" i="21"/>
  <c r="AE333" i="21"/>
  <c r="AE351" i="21"/>
  <c r="AD295" i="21"/>
  <c r="AD313" i="21"/>
  <c r="AD331" i="21"/>
  <c r="AD350" i="21"/>
  <c r="AC293" i="21"/>
  <c r="AC311" i="21"/>
  <c r="AC329" i="21"/>
  <c r="AC348" i="21"/>
  <c r="AB291" i="21"/>
  <c r="AB309" i="21"/>
  <c r="AB328" i="21"/>
  <c r="AB346" i="21"/>
  <c r="AA289" i="21"/>
  <c r="AA307" i="21"/>
  <c r="AA326" i="21"/>
  <c r="AA344" i="21"/>
  <c r="Z287" i="21"/>
  <c r="Z306" i="21"/>
  <c r="Z324" i="21"/>
  <c r="Z342" i="21"/>
  <c r="Y285" i="21"/>
  <c r="Y304" i="21"/>
  <c r="Y322" i="21"/>
  <c r="Y340" i="21"/>
  <c r="X284" i="21"/>
  <c r="X302" i="21"/>
  <c r="X320" i="21"/>
  <c r="X338" i="21"/>
  <c r="W282" i="21"/>
  <c r="W300" i="21"/>
  <c r="W318" i="21"/>
  <c r="W337" i="21"/>
  <c r="W280" i="21"/>
  <c r="AE282" i="21"/>
  <c r="AE300" i="21"/>
  <c r="AE318" i="21"/>
  <c r="AE337" i="21"/>
  <c r="AE280" i="21"/>
  <c r="AD298" i="21"/>
  <c r="AD316" i="21"/>
  <c r="AD335" i="21"/>
  <c r="AD353" i="21"/>
  <c r="AM80" i="13" s="1"/>
  <c r="AC296" i="21"/>
  <c r="AC315" i="21"/>
  <c r="AC333" i="21"/>
  <c r="AC351" i="21"/>
  <c r="AB294" i="21"/>
  <c r="AB313" i="21"/>
  <c r="AB331" i="21"/>
  <c r="AB349" i="21"/>
  <c r="AA293" i="21"/>
  <c r="AA311" i="21"/>
  <c r="AA329" i="21"/>
  <c r="AA347" i="21"/>
  <c r="Z291" i="21"/>
  <c r="Z309" i="21"/>
  <c r="Z327" i="21"/>
  <c r="Z346" i="21"/>
  <c r="Y289" i="21"/>
  <c r="Y307" i="21"/>
  <c r="Y325" i="21"/>
  <c r="Y344" i="21"/>
  <c r="X287" i="21"/>
  <c r="X305" i="21"/>
  <c r="X324" i="21"/>
  <c r="X342" i="21"/>
  <c r="W285" i="21"/>
  <c r="W303" i="21"/>
  <c r="W322" i="21"/>
  <c r="W340" i="21"/>
  <c r="AE283" i="21"/>
  <c r="AE301" i="21"/>
  <c r="AE319" i="21"/>
  <c r="AE338" i="21"/>
  <c r="AD281" i="21"/>
  <c r="AD299" i="21"/>
  <c r="AD318" i="21"/>
  <c r="AD336" i="21"/>
  <c r="AD354" i="21"/>
  <c r="AM81" i="13" s="1"/>
  <c r="AC297" i="21"/>
  <c r="AC316" i="21"/>
  <c r="AC334" i="21"/>
  <c r="AC352" i="21"/>
  <c r="AB296" i="21"/>
  <c r="AB314" i="21"/>
  <c r="AB332" i="21"/>
  <c r="AB350" i="21"/>
  <c r="AA294" i="21"/>
  <c r="AA312" i="21"/>
  <c r="AA330" i="21"/>
  <c r="AA349" i="21"/>
  <c r="Z292" i="21"/>
  <c r="Z310" i="21"/>
  <c r="Z328" i="21"/>
  <c r="Z347" i="21"/>
  <c r="Y290" i="21"/>
  <c r="Y308" i="21"/>
  <c r="Y327" i="21"/>
  <c r="Y345" i="21"/>
  <c r="X288" i="21"/>
  <c r="X306" i="21"/>
  <c r="X325" i="21"/>
  <c r="X343" i="21"/>
  <c r="W286" i="21"/>
  <c r="W305" i="21"/>
  <c r="W323" i="21"/>
  <c r="W341" i="21"/>
  <c r="AE287" i="21"/>
  <c r="AE306" i="21"/>
  <c r="AE324" i="21"/>
  <c r="AE342" i="21"/>
  <c r="AD286" i="21"/>
  <c r="AD304" i="21"/>
  <c r="AD322" i="21"/>
  <c r="AD340" i="21"/>
  <c r="AC284" i="21"/>
  <c r="AC302" i="21"/>
  <c r="AC320" i="21"/>
  <c r="AC339" i="21"/>
  <c r="AB282" i="21"/>
  <c r="AB300" i="21"/>
  <c r="AB318" i="21"/>
  <c r="AB337" i="21"/>
  <c r="AB280" i="21"/>
  <c r="AA298" i="21"/>
  <c r="AA317" i="21"/>
  <c r="AA335" i="21"/>
  <c r="AE313" i="21"/>
  <c r="AE349" i="21"/>
  <c r="AD311" i="21"/>
  <c r="AD347" i="21"/>
  <c r="AC309" i="21"/>
  <c r="AC345" i="21"/>
  <c r="AB307" i="21"/>
  <c r="AB344" i="21"/>
  <c r="AA305" i="21"/>
  <c r="AA342" i="21"/>
  <c r="Z300" i="21"/>
  <c r="Z331" i="21"/>
  <c r="Y281" i="21"/>
  <c r="Y313" i="21"/>
  <c r="Y338" i="21"/>
  <c r="X296" i="21"/>
  <c r="X327" i="21"/>
  <c r="X352" i="21"/>
  <c r="W309" i="21"/>
  <c r="W334" i="21"/>
  <c r="AE285" i="21"/>
  <c r="AE322" i="21"/>
  <c r="AD283" i="21"/>
  <c r="AD320" i="21"/>
  <c r="AC281" i="21"/>
  <c r="AC318" i="21"/>
  <c r="AC280" i="21"/>
  <c r="AB316" i="21"/>
  <c r="AB353" i="21"/>
  <c r="AA314" i="21"/>
  <c r="AA351" i="21"/>
  <c r="Z301" i="21"/>
  <c r="Z333" i="21"/>
  <c r="Y283" i="21"/>
  <c r="Y316" i="21"/>
  <c r="Y347" i="21"/>
  <c r="X297" i="21"/>
  <c r="X329" i="21"/>
  <c r="X354" i="21"/>
  <c r="AU81" i="11" s="1"/>
  <c r="W313" i="21"/>
  <c r="W343" i="21"/>
  <c r="AE294" i="21"/>
  <c r="AE331" i="21"/>
  <c r="AD292" i="21"/>
  <c r="AD329" i="21"/>
  <c r="AC291" i="21"/>
  <c r="AC327" i="21"/>
  <c r="AB289" i="21"/>
  <c r="AB325" i="21"/>
  <c r="AA287" i="21"/>
  <c r="AA323" i="21"/>
  <c r="Z283" i="21"/>
  <c r="Z315" i="21"/>
  <c r="Z340" i="21"/>
  <c r="Y298" i="21"/>
  <c r="Y329" i="21"/>
  <c r="Y354" i="21"/>
  <c r="X311" i="21"/>
  <c r="X336" i="21"/>
  <c r="W294" i="21"/>
  <c r="W325" i="21"/>
  <c r="W350" i="21"/>
  <c r="AE340" i="21"/>
  <c r="AD326" i="21"/>
  <c r="AC305" i="21"/>
  <c r="AB286" i="21"/>
  <c r="AB341" i="21"/>
  <c r="AA333" i="21"/>
  <c r="Z303" i="21"/>
  <c r="Z351" i="21"/>
  <c r="Y320" i="21"/>
  <c r="X293" i="21"/>
  <c r="X345" i="21"/>
  <c r="W314" i="21"/>
  <c r="AD345" i="21"/>
  <c r="AE310" i="21"/>
  <c r="AB323" i="21"/>
  <c r="Z336" i="21"/>
  <c r="X318" i="21"/>
  <c r="AE291" i="21"/>
  <c r="AE346" i="21"/>
  <c r="AD327" i="21"/>
  <c r="AC307" i="21"/>
  <c r="AB298" i="21"/>
  <c r="AA283" i="21"/>
  <c r="AA338" i="21"/>
  <c r="Z312" i="21"/>
  <c r="Z280" i="21"/>
  <c r="Y331" i="21"/>
  <c r="X300" i="21"/>
  <c r="X348" i="21"/>
  <c r="W316" i="21"/>
  <c r="AE309" i="21"/>
  <c r="AC336" i="21"/>
  <c r="AB322" i="21"/>
  <c r="Z282" i="21"/>
  <c r="Y299" i="21"/>
  <c r="X316" i="21"/>
  <c r="W291" i="21"/>
  <c r="AD302" i="21"/>
  <c r="AC342" i="21"/>
  <c r="Z285" i="21"/>
  <c r="Y353" i="21"/>
  <c r="W346" i="21"/>
  <c r="AE292" i="21"/>
  <c r="AE347" i="21"/>
  <c r="AD338" i="21"/>
  <c r="AC324" i="21"/>
  <c r="AB304" i="21"/>
  <c r="AA285" i="21"/>
  <c r="AA339" i="21"/>
  <c r="Z318" i="21"/>
  <c r="Y292" i="21"/>
  <c r="Y335" i="21"/>
  <c r="X309" i="21"/>
  <c r="X351" i="21"/>
  <c r="W327" i="21"/>
  <c r="AE303" i="21"/>
  <c r="AD289" i="21"/>
  <c r="AD344" i="21"/>
  <c r="AC325" i="21"/>
  <c r="AB305" i="21"/>
  <c r="AA296" i="21"/>
  <c r="AA353" i="21"/>
  <c r="AW80" i="12" s="1"/>
  <c r="Z319" i="21"/>
  <c r="Y295" i="21"/>
  <c r="Y336" i="21"/>
  <c r="X314" i="21"/>
  <c r="W289" i="21"/>
  <c r="W331" i="21"/>
  <c r="AD290" i="21"/>
  <c r="AA302" i="21"/>
  <c r="Z322" i="21"/>
  <c r="Y349" i="21"/>
  <c r="W332" i="21"/>
  <c r="AC287" i="21"/>
  <c r="AA303" i="21"/>
  <c r="Y301" i="21"/>
  <c r="W295" i="21"/>
  <c r="AB285" i="21"/>
  <c r="Z349" i="21"/>
  <c r="W307" i="21"/>
  <c r="AE327" i="21"/>
  <c r="AB334" i="21"/>
  <c r="Y311" i="21"/>
  <c r="W349" i="21"/>
  <c r="AE329" i="21"/>
  <c r="AB340" i="21"/>
  <c r="Y317" i="21"/>
  <c r="W353" i="21"/>
  <c r="AT80" i="11" s="1"/>
  <c r="AD307" i="21"/>
  <c r="AA320" i="21"/>
  <c r="X281" i="21"/>
  <c r="AD308" i="21"/>
  <c r="AA321" i="21"/>
  <c r="X290" i="21"/>
  <c r="AC288" i="21"/>
  <c r="Z294" i="21"/>
  <c r="X333" i="21"/>
  <c r="AC300" i="21"/>
  <c r="Z296" i="21"/>
  <c r="X334" i="21"/>
  <c r="AC343" i="21"/>
  <c r="Z338" i="21"/>
  <c r="W298" i="21"/>
  <c r="V284" i="21"/>
  <c r="V280" i="21"/>
  <c r="V289" i="21"/>
  <c r="V297" i="21"/>
  <c r="V305" i="21"/>
  <c r="V313" i="21"/>
  <c r="V321" i="21"/>
  <c r="V329" i="21"/>
  <c r="V337" i="21"/>
  <c r="V345" i="21"/>
  <c r="V353" i="21"/>
  <c r="AW80" i="8" s="1"/>
  <c r="U287" i="21"/>
  <c r="U295" i="21"/>
  <c r="V281" i="21"/>
  <c r="V285" i="21"/>
  <c r="V293" i="21"/>
  <c r="V301" i="21"/>
  <c r="V309" i="21"/>
  <c r="V317" i="21"/>
  <c r="V325" i="21"/>
  <c r="V333" i="21"/>
  <c r="V341" i="21"/>
  <c r="V349" i="21"/>
  <c r="U283" i="21"/>
  <c r="U291" i="21"/>
  <c r="V287" i="21"/>
  <c r="V295" i="21"/>
  <c r="V303" i="21"/>
  <c r="V311" i="21"/>
  <c r="V319" i="21"/>
  <c r="V327" i="21"/>
  <c r="V335" i="21"/>
  <c r="V343" i="21"/>
  <c r="V351" i="21"/>
  <c r="U285" i="21"/>
  <c r="U293" i="21"/>
  <c r="V294" i="21"/>
  <c r="V307" i="21"/>
  <c r="V320" i="21"/>
  <c r="V332" i="21"/>
  <c r="V346" i="21"/>
  <c r="U284" i="21"/>
  <c r="U297" i="21"/>
  <c r="U305" i="21"/>
  <c r="U313" i="21"/>
  <c r="U321" i="21"/>
  <c r="U329" i="21"/>
  <c r="U337" i="21"/>
  <c r="U345" i="21"/>
  <c r="U353" i="21"/>
  <c r="AV80" i="8" s="1"/>
  <c r="T286" i="21"/>
  <c r="T294" i="21"/>
  <c r="T302" i="21"/>
  <c r="T310" i="21"/>
  <c r="T318" i="21"/>
  <c r="T326" i="21"/>
  <c r="T334" i="21"/>
  <c r="T342" i="21"/>
  <c r="T350" i="21"/>
  <c r="S283" i="21"/>
  <c r="S291" i="21"/>
  <c r="V282" i="21"/>
  <c r="V296" i="21"/>
  <c r="V308" i="21"/>
  <c r="V322" i="21"/>
  <c r="V334" i="21"/>
  <c r="V347" i="21"/>
  <c r="U286" i="21"/>
  <c r="U298" i="21"/>
  <c r="U306" i="21"/>
  <c r="U314" i="21"/>
  <c r="U322" i="21"/>
  <c r="U330" i="21"/>
  <c r="U338" i="21"/>
  <c r="U346" i="21"/>
  <c r="U354" i="21"/>
  <c r="AV81" i="8" s="1"/>
  <c r="T287" i="21"/>
  <c r="T295" i="21"/>
  <c r="T303" i="21"/>
  <c r="T311" i="21"/>
  <c r="T319" i="21"/>
  <c r="T327" i="21"/>
  <c r="T335" i="21"/>
  <c r="T343" i="21"/>
  <c r="T351" i="21"/>
  <c r="S284" i="21"/>
  <c r="S292" i="21"/>
  <c r="V283" i="21"/>
  <c r="V298" i="21"/>
  <c r="V310" i="21"/>
  <c r="V323" i="21"/>
  <c r="V336" i="21"/>
  <c r="V348" i="21"/>
  <c r="U299" i="21"/>
  <c r="U307" i="21"/>
  <c r="U315" i="21"/>
  <c r="U323" i="21"/>
  <c r="U331" i="21"/>
  <c r="U339" i="21"/>
  <c r="U347" i="21"/>
  <c r="U280" i="21"/>
  <c r="T288" i="21"/>
  <c r="T296" i="21"/>
  <c r="T304" i="21"/>
  <c r="T312" i="21"/>
  <c r="T320" i="21"/>
  <c r="T328" i="21"/>
  <c r="T336" i="21"/>
  <c r="T344" i="21"/>
  <c r="T352" i="21"/>
  <c r="S285" i="21"/>
  <c r="S293" i="21"/>
  <c r="S301" i="21"/>
  <c r="S309" i="21"/>
  <c r="S317" i="21"/>
  <c r="S325" i="21"/>
  <c r="S333" i="21"/>
  <c r="S341" i="21"/>
  <c r="S349" i="21"/>
  <c r="R282" i="21"/>
  <c r="R290" i="21"/>
  <c r="R298" i="21"/>
  <c r="R306" i="21"/>
  <c r="R314" i="21"/>
  <c r="R322" i="21"/>
  <c r="R330" i="21"/>
  <c r="R338" i="21"/>
  <c r="R346" i="21"/>
  <c r="R354" i="21"/>
  <c r="AO81" i="7" s="1"/>
  <c r="Q287" i="21"/>
  <c r="Q295" i="21"/>
  <c r="Q303" i="21"/>
  <c r="Q311" i="21"/>
  <c r="Q319" i="21"/>
  <c r="V290" i="21"/>
  <c r="V312" i="21"/>
  <c r="V330" i="21"/>
  <c r="V352" i="21"/>
  <c r="U296" i="21"/>
  <c r="U310" i="21"/>
  <c r="U324" i="21"/>
  <c r="U335" i="21"/>
  <c r="U349" i="21"/>
  <c r="T285" i="21"/>
  <c r="T299" i="21"/>
  <c r="T313" i="21"/>
  <c r="T324" i="21"/>
  <c r="T338" i="21"/>
  <c r="T349" i="21"/>
  <c r="S288" i="21"/>
  <c r="S299" i="21"/>
  <c r="S308" i="21"/>
  <c r="S318" i="21"/>
  <c r="S327" i="21"/>
  <c r="S336" i="21"/>
  <c r="S345" i="21"/>
  <c r="S354" i="21"/>
  <c r="AP81" i="7" s="1"/>
  <c r="R288" i="21"/>
  <c r="R297" i="21"/>
  <c r="R307" i="21"/>
  <c r="R316" i="21"/>
  <c r="R325" i="21"/>
  <c r="R334" i="21"/>
  <c r="R343" i="21"/>
  <c r="R352" i="21"/>
  <c r="Q286" i="21"/>
  <c r="Q296" i="21"/>
  <c r="Q305" i="21"/>
  <c r="Q314" i="21"/>
  <c r="Q323" i="21"/>
  <c r="Q331" i="21"/>
  <c r="Q339" i="21"/>
  <c r="Q347" i="21"/>
  <c r="P288" i="21"/>
  <c r="P296" i="21"/>
  <c r="P304" i="21"/>
  <c r="P312" i="21"/>
  <c r="P320" i="21"/>
  <c r="P328" i="21"/>
  <c r="P336" i="21"/>
  <c r="P344" i="21"/>
  <c r="P352" i="21"/>
  <c r="O285" i="21"/>
  <c r="O293" i="21"/>
  <c r="O301" i="21"/>
  <c r="O309" i="21"/>
  <c r="O317" i="21"/>
  <c r="O325" i="21"/>
  <c r="O333" i="21"/>
  <c r="O341" i="21"/>
  <c r="O349" i="21"/>
  <c r="N282" i="21"/>
  <c r="N290" i="21"/>
  <c r="N298" i="21"/>
  <c r="N306" i="21"/>
  <c r="N314" i="21"/>
  <c r="N322" i="21"/>
  <c r="N330" i="21"/>
  <c r="V291" i="21"/>
  <c r="V314" i="21"/>
  <c r="V331" i="21"/>
  <c r="V354" i="21"/>
  <c r="AW81" i="8" s="1"/>
  <c r="U300" i="21"/>
  <c r="U311" i="21"/>
  <c r="U325" i="21"/>
  <c r="U336" i="21"/>
  <c r="U350" i="21"/>
  <c r="T289" i="21"/>
  <c r="T300" i="21"/>
  <c r="T314" i="21"/>
  <c r="T325" i="21"/>
  <c r="T339" i="21"/>
  <c r="T353" i="21"/>
  <c r="AU80" i="8" s="1"/>
  <c r="S289" i="21"/>
  <c r="S300" i="21"/>
  <c r="S310" i="21"/>
  <c r="S319" i="21"/>
  <c r="S328" i="21"/>
  <c r="S337" i="21"/>
  <c r="S346" i="21"/>
  <c r="S280" i="21"/>
  <c r="R289" i="21"/>
  <c r="R299" i="21"/>
  <c r="R308" i="21"/>
  <c r="R317" i="21"/>
  <c r="R326" i="21"/>
  <c r="R335" i="21"/>
  <c r="R344" i="21"/>
  <c r="R353" i="21"/>
  <c r="AO80" i="7" s="1"/>
  <c r="Q288" i="21"/>
  <c r="Q297" i="21"/>
  <c r="Q306" i="21"/>
  <c r="Q315" i="21"/>
  <c r="Q324" i="21"/>
  <c r="Q332" i="21"/>
  <c r="Q340" i="21"/>
  <c r="Q348" i="21"/>
  <c r="P281" i="21"/>
  <c r="P289" i="21"/>
  <c r="P297" i="21"/>
  <c r="P305" i="21"/>
  <c r="P313" i="21"/>
  <c r="P321" i="21"/>
  <c r="P329" i="21"/>
  <c r="P337" i="21"/>
  <c r="P345" i="21"/>
  <c r="P353" i="21"/>
  <c r="AO80" i="6" s="1"/>
  <c r="O286" i="21"/>
  <c r="O294" i="21"/>
  <c r="O302" i="21"/>
  <c r="O310" i="21"/>
  <c r="O318" i="21"/>
  <c r="O326" i="21"/>
  <c r="O334" i="21"/>
  <c r="O342" i="21"/>
  <c r="O350" i="21"/>
  <c r="N283" i="21"/>
  <c r="N291" i="21"/>
  <c r="N299" i="21"/>
  <c r="N307" i="21"/>
  <c r="N315" i="21"/>
  <c r="N323" i="21"/>
  <c r="V300" i="21"/>
  <c r="V318" i="21"/>
  <c r="V340" i="21"/>
  <c r="U289" i="21"/>
  <c r="U303" i="21"/>
  <c r="U317" i="21"/>
  <c r="U328" i="21"/>
  <c r="U342" i="21"/>
  <c r="T281" i="21"/>
  <c r="T292" i="21"/>
  <c r="T306" i="21"/>
  <c r="T317" i="21"/>
  <c r="T331" i="21"/>
  <c r="T345" i="21"/>
  <c r="S281" i="21"/>
  <c r="S295" i="21"/>
  <c r="S304" i="21"/>
  <c r="S313" i="21"/>
  <c r="S322" i="21"/>
  <c r="S331" i="21"/>
  <c r="S340" i="21"/>
  <c r="S350" i="21"/>
  <c r="R284" i="21"/>
  <c r="R293" i="21"/>
  <c r="R302" i="21"/>
  <c r="R311" i="21"/>
  <c r="R320" i="21"/>
  <c r="R329" i="21"/>
  <c r="R339" i="21"/>
  <c r="R348" i="21"/>
  <c r="Q282" i="21"/>
  <c r="Q291" i="21"/>
  <c r="Q300" i="21"/>
  <c r="Q309" i="21"/>
  <c r="Q318" i="21"/>
  <c r="Q327" i="21"/>
  <c r="Q335" i="21"/>
  <c r="Q343" i="21"/>
  <c r="Q351" i="21"/>
  <c r="P284" i="21"/>
  <c r="P292" i="21"/>
  <c r="P300" i="21"/>
  <c r="P308" i="21"/>
  <c r="P316" i="21"/>
  <c r="P324" i="21"/>
  <c r="P332" i="21"/>
  <c r="P340" i="21"/>
  <c r="P348" i="21"/>
  <c r="O281" i="21"/>
  <c r="O289" i="21"/>
  <c r="O297" i="21"/>
  <c r="O305" i="21"/>
  <c r="O313" i="21"/>
  <c r="O321" i="21"/>
  <c r="O329" i="21"/>
  <c r="O337" i="21"/>
  <c r="O345" i="21"/>
  <c r="O353" i="21"/>
  <c r="AN80" i="6" s="1"/>
  <c r="N286" i="21"/>
  <c r="N294" i="21"/>
  <c r="N302" i="21"/>
  <c r="N310" i="21"/>
  <c r="N318" i="21"/>
  <c r="N326" i="21"/>
  <c r="V286" i="21"/>
  <c r="V316" i="21"/>
  <c r="V350" i="21"/>
  <c r="U304" i="21"/>
  <c r="U326" i="21"/>
  <c r="U344" i="21"/>
  <c r="T291" i="21"/>
  <c r="T309" i="21"/>
  <c r="T332" i="21"/>
  <c r="T354" i="21"/>
  <c r="AU81" i="8" s="1"/>
  <c r="S297" i="21"/>
  <c r="S312" i="21"/>
  <c r="S326" i="21"/>
  <c r="S342" i="21"/>
  <c r="R281" i="21"/>
  <c r="R295" i="21"/>
  <c r="R310" i="21"/>
  <c r="R324" i="21"/>
  <c r="R340" i="21"/>
  <c r="R280" i="21"/>
  <c r="Q293" i="21"/>
  <c r="Q308" i="21"/>
  <c r="Q322" i="21"/>
  <c r="Q336" i="21"/>
  <c r="Q349" i="21"/>
  <c r="P286" i="21"/>
  <c r="P299" i="21"/>
  <c r="P311" i="21"/>
  <c r="P325" i="21"/>
  <c r="P338" i="21"/>
  <c r="P350" i="21"/>
  <c r="O288" i="21"/>
  <c r="O300" i="21"/>
  <c r="O314" i="21"/>
  <c r="O327" i="21"/>
  <c r="O339" i="21"/>
  <c r="O352" i="21"/>
  <c r="N289" i="21"/>
  <c r="N303" i="21"/>
  <c r="N316" i="21"/>
  <c r="N328" i="21"/>
  <c r="N337" i="21"/>
  <c r="N345" i="21"/>
  <c r="N353" i="21"/>
  <c r="AM80" i="6" s="1"/>
  <c r="M285" i="21"/>
  <c r="M293" i="21"/>
  <c r="M302" i="21"/>
  <c r="M310" i="21"/>
  <c r="M318" i="21"/>
  <c r="M326" i="21"/>
  <c r="M334" i="21"/>
  <c r="M342" i="21"/>
  <c r="M350" i="21"/>
  <c r="L283" i="21"/>
  <c r="L291" i="21"/>
  <c r="L299" i="21"/>
  <c r="L307" i="21"/>
  <c r="L315" i="21"/>
  <c r="L323" i="21"/>
  <c r="L331" i="21"/>
  <c r="L339" i="21"/>
  <c r="L347" i="21"/>
  <c r="L280" i="21"/>
  <c r="K287" i="21"/>
  <c r="K295" i="21"/>
  <c r="K303" i="21"/>
  <c r="K311" i="21"/>
  <c r="K319" i="21"/>
  <c r="K327" i="21"/>
  <c r="K335" i="21"/>
  <c r="K343" i="21"/>
  <c r="K282" i="21"/>
  <c r="T298" i="21"/>
  <c r="Q328" i="21"/>
  <c r="P330" i="21"/>
  <c r="O292" i="21"/>
  <c r="O331" i="21"/>
  <c r="N281" i="21"/>
  <c r="N320" i="21"/>
  <c r="N332" i="21"/>
  <c r="M295" i="21"/>
  <c r="M337" i="21"/>
  <c r="M353" i="21"/>
  <c r="L294" i="21"/>
  <c r="L318" i="21"/>
  <c r="L342" i="21"/>
  <c r="K290" i="21"/>
  <c r="K306" i="21"/>
  <c r="K330" i="21"/>
  <c r="K281" i="21"/>
  <c r="T282" i="21"/>
  <c r="S287" i="21"/>
  <c r="S334" i="21"/>
  <c r="R287" i="21"/>
  <c r="R332" i="21"/>
  <c r="Q301" i="21"/>
  <c r="Q329" i="21"/>
  <c r="P293" i="21"/>
  <c r="P331" i="21"/>
  <c r="O295" i="21"/>
  <c r="O332" i="21"/>
  <c r="N309" i="21"/>
  <c r="M298" i="21"/>
  <c r="M322" i="21"/>
  <c r="M346" i="21"/>
  <c r="L295" i="21"/>
  <c r="L311" i="21"/>
  <c r="L327" i="21"/>
  <c r="L343" i="21"/>
  <c r="K291" i="21"/>
  <c r="K299" i="21"/>
  <c r="K307" i="21"/>
  <c r="K331" i="21"/>
  <c r="K347" i="21"/>
  <c r="V304" i="21"/>
  <c r="V288" i="21"/>
  <c r="V324" i="21"/>
  <c r="U281" i="21"/>
  <c r="U308" i="21"/>
  <c r="U327" i="21"/>
  <c r="U348" i="21"/>
  <c r="T293" i="21"/>
  <c r="T315" i="21"/>
  <c r="T333" i="21"/>
  <c r="T280" i="21"/>
  <c r="S298" i="21"/>
  <c r="S314" i="21"/>
  <c r="S329" i="21"/>
  <c r="S343" i="21"/>
  <c r="R283" i="21"/>
  <c r="R296" i="21"/>
  <c r="R312" i="21"/>
  <c r="R327" i="21"/>
  <c r="R341" i="21"/>
  <c r="Q281" i="21"/>
  <c r="Q294" i="21"/>
  <c r="Q310" i="21"/>
  <c r="Q325" i="21"/>
  <c r="Q337" i="21"/>
  <c r="Q350" i="21"/>
  <c r="P287" i="21"/>
  <c r="P301" i="21"/>
  <c r="P314" i="21"/>
  <c r="P326" i="21"/>
  <c r="P339" i="21"/>
  <c r="P351" i="21"/>
  <c r="O290" i="21"/>
  <c r="O303" i="21"/>
  <c r="O315" i="21"/>
  <c r="O328" i="21"/>
  <c r="O340" i="21"/>
  <c r="O354" i="21"/>
  <c r="AN81" i="6" s="1"/>
  <c r="N292" i="21"/>
  <c r="N304" i="21"/>
  <c r="N317" i="21"/>
  <c r="N329" i="21"/>
  <c r="N338" i="21"/>
  <c r="N346" i="21"/>
  <c r="N354" i="21"/>
  <c r="AM81" i="6" s="1"/>
  <c r="M286" i="21"/>
  <c r="M294" i="21"/>
  <c r="M303" i="21"/>
  <c r="M311" i="21"/>
  <c r="M319" i="21"/>
  <c r="M327" i="21"/>
  <c r="M335" i="21"/>
  <c r="M343" i="21"/>
  <c r="M351" i="21"/>
  <c r="L284" i="21"/>
  <c r="L292" i="21"/>
  <c r="L300" i="21"/>
  <c r="L308" i="21"/>
  <c r="L316" i="21"/>
  <c r="L324" i="21"/>
  <c r="L332" i="21"/>
  <c r="L340" i="21"/>
  <c r="L348" i="21"/>
  <c r="K352" i="21"/>
  <c r="K288" i="21"/>
  <c r="K296" i="21"/>
  <c r="K304" i="21"/>
  <c r="K312" i="21"/>
  <c r="K320" i="21"/>
  <c r="K328" i="21"/>
  <c r="K336" i="21"/>
  <c r="K344" i="21"/>
  <c r="K283" i="21"/>
  <c r="T321" i="21"/>
  <c r="Q299" i="21"/>
  <c r="Q353" i="21"/>
  <c r="AN80" i="7" s="1"/>
  <c r="P291" i="21"/>
  <c r="P317" i="21"/>
  <c r="P280" i="21"/>
  <c r="O319" i="21"/>
  <c r="N295" i="21"/>
  <c r="N340" i="21"/>
  <c r="M288" i="21"/>
  <c r="M305" i="21"/>
  <c r="M321" i="21"/>
  <c r="L302" i="21"/>
  <c r="L334" i="21"/>
  <c r="K354" i="21"/>
  <c r="K314" i="21"/>
  <c r="K338" i="21"/>
  <c r="V302" i="21"/>
  <c r="U292" i="21"/>
  <c r="U334" i="21"/>
  <c r="T322" i="21"/>
  <c r="S320" i="21"/>
  <c r="R303" i="21"/>
  <c r="Q285" i="21"/>
  <c r="Q342" i="21"/>
  <c r="P306" i="21"/>
  <c r="O282" i="21"/>
  <c r="O320" i="21"/>
  <c r="N284" i="21"/>
  <c r="N321" i="21"/>
  <c r="N341" i="21"/>
  <c r="M281" i="21"/>
  <c r="M306" i="21"/>
  <c r="M330" i="21"/>
  <c r="L287" i="21"/>
  <c r="L319" i="21"/>
  <c r="L351" i="21"/>
  <c r="K323" i="21"/>
  <c r="V292" i="21"/>
  <c r="V326" i="21"/>
  <c r="U282" i="21"/>
  <c r="U309" i="21"/>
  <c r="U332" i="21"/>
  <c r="U351" i="21"/>
  <c r="T297" i="21"/>
  <c r="T316" i="21"/>
  <c r="T337" i="21"/>
  <c r="S282" i="21"/>
  <c r="S302" i="21"/>
  <c r="S315" i="21"/>
  <c r="S330" i="21"/>
  <c r="S344" i="21"/>
  <c r="R285" i="21"/>
  <c r="R300" i="21"/>
  <c r="R313" i="21"/>
  <c r="R328" i="21"/>
  <c r="R342" i="21"/>
  <c r="Q283" i="21"/>
  <c r="Q298" i="21"/>
  <c r="Q312" i="21"/>
  <c r="Q326" i="21"/>
  <c r="Q338" i="21"/>
  <c r="Q352" i="21"/>
  <c r="P290" i="21"/>
  <c r="P302" i="21"/>
  <c r="P315" i="21"/>
  <c r="P327" i="21"/>
  <c r="P341" i="21"/>
  <c r="P354" i="21"/>
  <c r="AO81" i="6" s="1"/>
  <c r="O291" i="21"/>
  <c r="O304" i="21"/>
  <c r="O316" i="21"/>
  <c r="O330" i="21"/>
  <c r="O343" i="21"/>
  <c r="O280" i="21"/>
  <c r="N293" i="21"/>
  <c r="N305" i="21"/>
  <c r="N319" i="21"/>
  <c r="N331" i="21"/>
  <c r="N339" i="21"/>
  <c r="N347" i="21"/>
  <c r="N280" i="21"/>
  <c r="M287" i="21"/>
  <c r="M296" i="21"/>
  <c r="M304" i="21"/>
  <c r="M312" i="21"/>
  <c r="M320" i="21"/>
  <c r="M328" i="21"/>
  <c r="M336" i="21"/>
  <c r="M344" i="21"/>
  <c r="M352" i="21"/>
  <c r="L285" i="21"/>
  <c r="L293" i="21"/>
  <c r="L301" i="21"/>
  <c r="L309" i="21"/>
  <c r="L317" i="21"/>
  <c r="L325" i="21"/>
  <c r="L333" i="21"/>
  <c r="L341" i="21"/>
  <c r="L349" i="21"/>
  <c r="K353" i="21"/>
  <c r="K289" i="21"/>
  <c r="K297" i="21"/>
  <c r="K305" i="21"/>
  <c r="K313" i="21"/>
  <c r="K321" i="21"/>
  <c r="K329" i="21"/>
  <c r="K337" i="21"/>
  <c r="K345" i="21"/>
  <c r="K284" i="21"/>
  <c r="V299" i="21"/>
  <c r="V328" i="21"/>
  <c r="U290" i="21"/>
  <c r="U312" i="21"/>
  <c r="U333" i="21"/>
  <c r="U352" i="21"/>
  <c r="T340" i="21"/>
  <c r="S286" i="21"/>
  <c r="S303" i="21"/>
  <c r="S316" i="21"/>
  <c r="S332" i="21"/>
  <c r="S347" i="21"/>
  <c r="R286" i="21"/>
  <c r="R301" i="21"/>
  <c r="R315" i="21"/>
  <c r="R331" i="21"/>
  <c r="R345" i="21"/>
  <c r="Q284" i="21"/>
  <c r="Q313" i="21"/>
  <c r="Q341" i="21"/>
  <c r="P303" i="21"/>
  <c r="P342" i="21"/>
  <c r="O306" i="21"/>
  <c r="O344" i="21"/>
  <c r="N308" i="21"/>
  <c r="N348" i="21"/>
  <c r="M297" i="21"/>
  <c r="M313" i="21"/>
  <c r="M329" i="21"/>
  <c r="M345" i="21"/>
  <c r="L286" i="21"/>
  <c r="L310" i="21"/>
  <c r="L326" i="21"/>
  <c r="L350" i="21"/>
  <c r="K298" i="21"/>
  <c r="K322" i="21"/>
  <c r="K346" i="21"/>
  <c r="V338" i="21"/>
  <c r="U316" i="21"/>
  <c r="T301" i="21"/>
  <c r="T341" i="21"/>
  <c r="S305" i="21"/>
  <c r="S348" i="21"/>
  <c r="R318" i="21"/>
  <c r="R347" i="21"/>
  <c r="Q316" i="21"/>
  <c r="Q354" i="21"/>
  <c r="AN81" i="7" s="1"/>
  <c r="P318" i="21"/>
  <c r="P343" i="21"/>
  <c r="O307" i="21"/>
  <c r="O346" i="21"/>
  <c r="N296" i="21"/>
  <c r="N333" i="21"/>
  <c r="N349" i="21"/>
  <c r="M289" i="21"/>
  <c r="M314" i="21"/>
  <c r="M338" i="21"/>
  <c r="M354" i="21"/>
  <c r="L303" i="21"/>
  <c r="L335" i="21"/>
  <c r="K351" i="21"/>
  <c r="K315" i="21"/>
  <c r="K339" i="21"/>
  <c r="U294" i="21"/>
  <c r="U343" i="21"/>
  <c r="T329" i="21"/>
  <c r="S306" i="21"/>
  <c r="S339" i="21"/>
  <c r="R305" i="21"/>
  <c r="R349" i="21"/>
  <c r="Q307" i="21"/>
  <c r="Q345" i="21"/>
  <c r="P307" i="21"/>
  <c r="P335" i="21"/>
  <c r="O298" i="21"/>
  <c r="O335" i="21"/>
  <c r="N288" i="21"/>
  <c r="N325" i="21"/>
  <c r="N350" i="21"/>
  <c r="M292" i="21"/>
  <c r="M316" i="21"/>
  <c r="M339" i="21"/>
  <c r="L282" i="21"/>
  <c r="L305" i="21"/>
  <c r="L328" i="21"/>
  <c r="L346" i="21"/>
  <c r="K293" i="21"/>
  <c r="K316" i="21"/>
  <c r="U301" i="21"/>
  <c r="T283" i="21"/>
  <c r="T330" i="21"/>
  <c r="S307" i="21"/>
  <c r="S351" i="21"/>
  <c r="R309" i="21"/>
  <c r="R350" i="21"/>
  <c r="Q317" i="21"/>
  <c r="Q346" i="21"/>
  <c r="P309" i="21"/>
  <c r="P346" i="21"/>
  <c r="O299" i="21"/>
  <c r="O336" i="21"/>
  <c r="N297" i="21"/>
  <c r="N327" i="21"/>
  <c r="N351" i="21"/>
  <c r="M299" i="21"/>
  <c r="M317" i="21"/>
  <c r="M340" i="21"/>
  <c r="L288" i="21"/>
  <c r="L306" i="21"/>
  <c r="L329" i="21"/>
  <c r="L352" i="21"/>
  <c r="K294" i="21"/>
  <c r="K317" i="21"/>
  <c r="K340" i="21"/>
  <c r="U302" i="21"/>
  <c r="T284" i="21"/>
  <c r="T346" i="21"/>
  <c r="S311" i="21"/>
  <c r="S352" i="21"/>
  <c r="R319" i="21"/>
  <c r="R351" i="21"/>
  <c r="Q320" i="21"/>
  <c r="P282" i="21"/>
  <c r="P310" i="21"/>
  <c r="P347" i="21"/>
  <c r="O308" i="21"/>
  <c r="O338" i="21"/>
  <c r="N300" i="21"/>
  <c r="N334" i="21"/>
  <c r="N352" i="21"/>
  <c r="M300" i="21"/>
  <c r="M323" i="21"/>
  <c r="M341" i="21"/>
  <c r="L289" i="21"/>
  <c r="L312" i="21"/>
  <c r="L330" i="21"/>
  <c r="L353" i="21"/>
  <c r="K300" i="21"/>
  <c r="K318" i="21"/>
  <c r="K341" i="21"/>
  <c r="V306" i="21"/>
  <c r="U318" i="21"/>
  <c r="T290" i="21"/>
  <c r="T347" i="21"/>
  <c r="S321" i="21"/>
  <c r="S353" i="21"/>
  <c r="AP80" i="7" s="1"/>
  <c r="R321" i="21"/>
  <c r="Q289" i="21"/>
  <c r="Q321" i="21"/>
  <c r="P283" i="21"/>
  <c r="P319" i="21"/>
  <c r="P349" i="21"/>
  <c r="O311" i="21"/>
  <c r="O347" i="21"/>
  <c r="N301" i="21"/>
  <c r="N335" i="21"/>
  <c r="M282" i="21"/>
  <c r="M301" i="21"/>
  <c r="M324" i="21"/>
  <c r="M347" i="21"/>
  <c r="L290" i="21"/>
  <c r="L313" i="21"/>
  <c r="L336" i="21"/>
  <c r="L354" i="21"/>
  <c r="K301" i="21"/>
  <c r="K324" i="21"/>
  <c r="K342" i="21"/>
  <c r="V315" i="21"/>
  <c r="U319" i="21"/>
  <c r="T305" i="21"/>
  <c r="T348" i="21"/>
  <c r="S323" i="21"/>
  <c r="R291" i="21"/>
  <c r="R323" i="21"/>
  <c r="Q290" i="21"/>
  <c r="Q330" i="21"/>
  <c r="P285" i="21"/>
  <c r="P322" i="21"/>
  <c r="O283" i="21"/>
  <c r="O312" i="21"/>
  <c r="O348" i="21"/>
  <c r="N311" i="21"/>
  <c r="N336" i="21"/>
  <c r="M283" i="21"/>
  <c r="M307" i="21"/>
  <c r="M325" i="21"/>
  <c r="M348" i="21"/>
  <c r="L296" i="21"/>
  <c r="L314" i="21"/>
  <c r="L337" i="21"/>
  <c r="K302" i="21"/>
  <c r="K325" i="21"/>
  <c r="K348" i="21"/>
  <c r="V339" i="21"/>
  <c r="U320" i="21"/>
  <c r="T307" i="21"/>
  <c r="S290" i="21"/>
  <c r="S324" i="21"/>
  <c r="R292" i="21"/>
  <c r="R333" i="21"/>
  <c r="Q292" i="21"/>
  <c r="Q333" i="21"/>
  <c r="P294" i="21"/>
  <c r="P323" i="21"/>
  <c r="O284" i="21"/>
  <c r="O322" i="21"/>
  <c r="O351" i="21"/>
  <c r="N312" i="21"/>
  <c r="N342" i="21"/>
  <c r="M284" i="21"/>
  <c r="M308" i="21"/>
  <c r="M331" i="21"/>
  <c r="M349" i="21"/>
  <c r="L297" i="21"/>
  <c r="L320" i="21"/>
  <c r="L338" i="21"/>
  <c r="K285" i="21"/>
  <c r="K308" i="21"/>
  <c r="K326" i="21"/>
  <c r="K349" i="21"/>
  <c r="V342" i="21"/>
  <c r="U340" i="21"/>
  <c r="T308" i="21"/>
  <c r="S294" i="21"/>
  <c r="S335" i="21"/>
  <c r="R294" i="21"/>
  <c r="R336" i="21"/>
  <c r="Q302" i="21"/>
  <c r="Q334" i="21"/>
  <c r="P295" i="21"/>
  <c r="P333" i="21"/>
  <c r="O287" i="21"/>
  <c r="O323" i="21"/>
  <c r="N285" i="21"/>
  <c r="N313" i="21"/>
  <c r="N343" i="21"/>
  <c r="M290" i="21"/>
  <c r="M309" i="21"/>
  <c r="M332" i="21"/>
  <c r="M280" i="21"/>
  <c r="L298" i="21"/>
  <c r="L321" i="21"/>
  <c r="L344" i="21"/>
  <c r="K286" i="21"/>
  <c r="K309" i="21"/>
  <c r="K332" i="21"/>
  <c r="K350" i="21"/>
  <c r="V344" i="21"/>
  <c r="U341" i="21"/>
  <c r="T323" i="21"/>
  <c r="S296" i="21"/>
  <c r="S338" i="21"/>
  <c r="R304" i="21"/>
  <c r="R337" i="21"/>
  <c r="Q304" i="21"/>
  <c r="Q344" i="21"/>
  <c r="P298" i="21"/>
  <c r="P334" i="21"/>
  <c r="O296" i="21"/>
  <c r="O324" i="21"/>
  <c r="N287" i="21"/>
  <c r="N324" i="21"/>
  <c r="N344" i="21"/>
  <c r="M291" i="21"/>
  <c r="M315" i="21"/>
  <c r="M333" i="21"/>
  <c r="L281" i="21"/>
  <c r="L304" i="21"/>
  <c r="L322" i="21"/>
  <c r="L345" i="21"/>
  <c r="K292" i="21"/>
  <c r="K310" i="21"/>
  <c r="K333" i="21"/>
  <c r="K334" i="21"/>
  <c r="P243" i="21"/>
  <c r="P253" i="21"/>
  <c r="I243" i="21"/>
  <c r="S77" i="13"/>
  <c r="S69" i="13"/>
  <c r="S81" i="12"/>
  <c r="S80" i="12"/>
  <c r="S75" i="12"/>
  <c r="S67" i="12"/>
  <c r="AM69" i="12"/>
  <c r="S68" i="12"/>
  <c r="S74" i="12"/>
  <c r="AM68" i="12"/>
  <c r="S78" i="12"/>
  <c r="S73" i="12"/>
  <c r="S72" i="12"/>
  <c r="S66" i="12"/>
  <c r="S61" i="12"/>
  <c r="AM60" i="12"/>
  <c r="S65" i="12"/>
  <c r="S59" i="12"/>
  <c r="S64" i="12"/>
  <c r="S63" i="12"/>
  <c r="AK71" i="11"/>
  <c r="H252" i="21"/>
  <c r="J243" i="21"/>
  <c r="N242" i="21"/>
  <c r="O243" i="21"/>
  <c r="O253" i="21"/>
  <c r="I253" i="21"/>
  <c r="H242" i="21"/>
  <c r="Q243" i="21"/>
  <c r="J253" i="21"/>
  <c r="D84" i="14"/>
  <c r="S70" i="11"/>
  <c r="S69" i="11"/>
  <c r="S61" i="11"/>
  <c r="S76" i="11"/>
  <c r="S60" i="11"/>
  <c r="AK77" i="11"/>
  <c r="S75" i="11"/>
  <c r="AK68" i="11"/>
  <c r="AK67" i="11"/>
  <c r="S81" i="11"/>
  <c r="S73" i="11"/>
  <c r="S65" i="11"/>
  <c r="AK74" i="11"/>
  <c r="AK66" i="11"/>
  <c r="S80" i="11"/>
  <c r="S72" i="11"/>
  <c r="S64" i="11"/>
  <c r="S78" i="11"/>
  <c r="S62" i="11"/>
  <c r="AK78" i="11"/>
  <c r="AK70" i="11"/>
  <c r="AK62" i="11"/>
  <c r="S59" i="11"/>
  <c r="AN8" i="8"/>
  <c r="AN9" i="8"/>
  <c r="AN10" i="8"/>
  <c r="AN11" i="8"/>
  <c r="AN12" i="8"/>
  <c r="AN13" i="8"/>
  <c r="AN14" i="8"/>
  <c r="AN15" i="8"/>
  <c r="AN16" i="8"/>
  <c r="AN17" i="8"/>
  <c r="AN18" i="8"/>
  <c r="AN19" i="8"/>
  <c r="AN20" i="8"/>
  <c r="AN21" i="8"/>
  <c r="AN22" i="8"/>
  <c r="AN23" i="8"/>
  <c r="AN24" i="8"/>
  <c r="AN25" i="8"/>
  <c r="AN26" i="8"/>
  <c r="AN27" i="8"/>
  <c r="AN28" i="8"/>
  <c r="AN29" i="8"/>
  <c r="AN30" i="8"/>
  <c r="AM8" i="8"/>
  <c r="AM9" i="8"/>
  <c r="AM10" i="8"/>
  <c r="AM11" i="8"/>
  <c r="AM12" i="8"/>
  <c r="AM13" i="8"/>
  <c r="AM14" i="8"/>
  <c r="AM15" i="8"/>
  <c r="AM16" i="8"/>
  <c r="AM17" i="8"/>
  <c r="AM18" i="8"/>
  <c r="AM19" i="8"/>
  <c r="AM20" i="8"/>
  <c r="AM21" i="8"/>
  <c r="AM22" i="8"/>
  <c r="AM23" i="8"/>
  <c r="AM24" i="8"/>
  <c r="AM25" i="8"/>
  <c r="AM26" i="8"/>
  <c r="AM27" i="8"/>
  <c r="AM28" i="8"/>
  <c r="AM29" i="8"/>
  <c r="AM30" i="8"/>
  <c r="AM31" i="8"/>
  <c r="AM32" i="8"/>
  <c r="AM33" i="8"/>
  <c r="AM34" i="8"/>
  <c r="AM35" i="8"/>
  <c r="AM36" i="8"/>
  <c r="AM37" i="8"/>
  <c r="AM38" i="8"/>
  <c r="AM39" i="8"/>
  <c r="AM40" i="8"/>
  <c r="AM41" i="8"/>
  <c r="AM42" i="8"/>
  <c r="AM43" i="8"/>
  <c r="AM44" i="8"/>
  <c r="AM45" i="8"/>
  <c r="AM46" i="8"/>
  <c r="AM47" i="8"/>
  <c r="AM48" i="8"/>
  <c r="AM49" i="8"/>
  <c r="AM50" i="8"/>
  <c r="AM51" i="8"/>
  <c r="AM52" i="8"/>
  <c r="AM53" i="8"/>
  <c r="AM54" i="8"/>
  <c r="AM55" i="8"/>
  <c r="AM56" i="8"/>
  <c r="AM57" i="8"/>
  <c r="AM58" i="8"/>
  <c r="AM59" i="8"/>
  <c r="AM60" i="8"/>
  <c r="AM61" i="8"/>
  <c r="AM62" i="8"/>
  <c r="AM63" i="8"/>
  <c r="AM64" i="8"/>
  <c r="AM65" i="8"/>
  <c r="AM66" i="8"/>
  <c r="AM67" i="8"/>
  <c r="AM68" i="8"/>
  <c r="AM69" i="8"/>
  <c r="AM70" i="8"/>
  <c r="AM71" i="8"/>
  <c r="AM72" i="8"/>
  <c r="AM73" i="8"/>
  <c r="AM74" i="8"/>
  <c r="AM75" i="8"/>
  <c r="AM76" i="8"/>
  <c r="AM77" i="8"/>
  <c r="AM78" i="8"/>
  <c r="AM79" i="8"/>
  <c r="AM80" i="8"/>
  <c r="AM81" i="8"/>
  <c r="AM7" i="8"/>
  <c r="D321" i="14"/>
  <c r="E314" i="14"/>
  <c r="E232" i="14"/>
  <c r="D322" i="14"/>
  <c r="E315" i="14"/>
  <c r="E316" i="14"/>
  <c r="D320" i="14"/>
  <c r="E318" i="14"/>
  <c r="E319" i="14"/>
  <c r="E317" i="14"/>
  <c r="R94" i="11" l="1"/>
  <c r="H94" i="11" s="1"/>
  <c r="AP94" i="11"/>
  <c r="L94" i="11" s="1"/>
  <c r="AF94" i="11"/>
  <c r="AH94" i="11"/>
  <c r="AG94" i="11"/>
  <c r="O94" i="11"/>
  <c r="G94" i="11" s="1"/>
  <c r="AI94" i="11"/>
  <c r="O94" i="12"/>
  <c r="G94" i="12" s="1"/>
  <c r="AJ94" i="12"/>
  <c r="AH94" i="12"/>
  <c r="AG94" i="12"/>
  <c r="AR94" i="12"/>
  <c r="L94" i="12" s="1"/>
  <c r="AI94" i="12"/>
  <c r="AK94" i="12"/>
  <c r="R94" i="12"/>
  <c r="H94" i="12" s="1"/>
  <c r="AC96" i="13"/>
  <c r="O96" i="13"/>
  <c r="G96" i="13" s="1"/>
  <c r="AH96" i="13"/>
  <c r="L96" i="13" s="1"/>
  <c r="AD96" i="13"/>
  <c r="R96" i="13"/>
  <c r="H96" i="13" s="1"/>
  <c r="AG96" i="12"/>
  <c r="J96" i="12" s="1"/>
  <c r="V96" i="12" s="1"/>
  <c r="AR96" i="12"/>
  <c r="L96" i="12" s="1"/>
  <c r="AI96" i="12"/>
  <c r="O96" i="12"/>
  <c r="G96" i="12" s="1"/>
  <c r="AK96" i="12"/>
  <c r="AH96" i="12"/>
  <c r="R96" i="12"/>
  <c r="H96" i="12" s="1"/>
  <c r="AJ96" i="12"/>
  <c r="O95" i="13"/>
  <c r="G95" i="13" s="1"/>
  <c r="W95" i="13" s="1"/>
  <c r="I95" i="13" s="1"/>
  <c r="M95" i="13" s="1"/>
  <c r="F95" i="13" s="1"/>
  <c r="D95" i="13" s="1"/>
  <c r="AC95" i="13"/>
  <c r="AD95" i="13"/>
  <c r="AH95" i="13"/>
  <c r="L95" i="13" s="1"/>
  <c r="R95" i="13"/>
  <c r="H95" i="13" s="1"/>
  <c r="AB95" i="13" s="1"/>
  <c r="J95" i="13" s="1"/>
  <c r="V95" i="13" s="1"/>
  <c r="AP95" i="11"/>
  <c r="L95" i="11" s="1"/>
  <c r="AH95" i="11"/>
  <c r="O95" i="11"/>
  <c r="G95" i="11" s="1"/>
  <c r="AI95" i="11"/>
  <c r="AF95" i="11"/>
  <c r="AG95" i="11"/>
  <c r="R95" i="11"/>
  <c r="H95" i="11" s="1"/>
  <c r="AI96" i="11"/>
  <c r="O96" i="11"/>
  <c r="G96" i="11" s="1"/>
  <c r="R96" i="11"/>
  <c r="H96" i="11" s="1"/>
  <c r="AP96" i="11"/>
  <c r="L96" i="11" s="1"/>
  <c r="AG96" i="11"/>
  <c r="AH96" i="11"/>
  <c r="AF96" i="11"/>
  <c r="AK95" i="12"/>
  <c r="AH95" i="12"/>
  <c r="AJ95" i="12"/>
  <c r="O95" i="12"/>
  <c r="G95" i="12" s="1"/>
  <c r="AG95" i="12"/>
  <c r="J95" i="12" s="1"/>
  <c r="V95" i="12" s="1"/>
  <c r="AR95" i="12"/>
  <c r="L95" i="12" s="1"/>
  <c r="AI95" i="12"/>
  <c r="R95" i="12"/>
  <c r="H95" i="12" s="1"/>
  <c r="AC94" i="13"/>
  <c r="O94" i="13"/>
  <c r="G94" i="13" s="1"/>
  <c r="AH94" i="13"/>
  <c r="L94" i="13" s="1"/>
  <c r="AD94" i="13"/>
  <c r="R94" i="13"/>
  <c r="H94" i="13" s="1"/>
  <c r="AB94" i="13" s="1"/>
  <c r="J94" i="13" s="1"/>
  <c r="V94" i="13" s="1"/>
  <c r="AG94" i="7"/>
  <c r="O94" i="7"/>
  <c r="G94" i="7" s="1"/>
  <c r="Q94" i="7"/>
  <c r="H94" i="7" s="1"/>
  <c r="AE94" i="7"/>
  <c r="T94" i="7"/>
  <c r="I94" i="7" s="1"/>
  <c r="AH94" i="7" s="1"/>
  <c r="Q95" i="7"/>
  <c r="H95" i="7" s="1"/>
  <c r="AE95" i="7"/>
  <c r="O95" i="7"/>
  <c r="G95" i="7" s="1"/>
  <c r="T95" i="7"/>
  <c r="I95" i="7" s="1"/>
  <c r="AH95" i="7" s="1"/>
  <c r="AG95" i="7"/>
  <c r="AD94" i="6"/>
  <c r="Q94" i="6"/>
  <c r="H94" i="6" s="1"/>
  <c r="AE94" i="6"/>
  <c r="AF94" i="6"/>
  <c r="T94" i="6"/>
  <c r="I94" i="6" s="1"/>
  <c r="AG94" i="6"/>
  <c r="AC94" i="6"/>
  <c r="W94" i="6"/>
  <c r="J94" i="6" s="1"/>
  <c r="O94" i="6"/>
  <c r="G94" i="6" s="1"/>
  <c r="AE96" i="7"/>
  <c r="T96" i="7"/>
  <c r="I96" i="7" s="1"/>
  <c r="AH96" i="7" s="1"/>
  <c r="AG96" i="7"/>
  <c r="Q96" i="7"/>
  <c r="H96" i="7" s="1"/>
  <c r="O96" i="7"/>
  <c r="G96" i="7" s="1"/>
  <c r="AD96" i="6"/>
  <c r="AF96" i="6"/>
  <c r="W96" i="6"/>
  <c r="J96" i="6" s="1"/>
  <c r="Q96" i="6"/>
  <c r="H96" i="6" s="1"/>
  <c r="O96" i="6"/>
  <c r="G96" i="6" s="1"/>
  <c r="AG96" i="6"/>
  <c r="T96" i="6"/>
  <c r="I96" i="6" s="1"/>
  <c r="AE96" i="6"/>
  <c r="AC96" i="6"/>
  <c r="O96" i="8"/>
  <c r="G96" i="8" s="1"/>
  <c r="Q96" i="8"/>
  <c r="H96" i="8" s="1"/>
  <c r="AI96" i="8"/>
  <c r="AK96" i="8"/>
  <c r="AJ96" i="8"/>
  <c r="U96" i="8"/>
  <c r="I96" i="8" s="1"/>
  <c r="U95" i="8"/>
  <c r="I95" i="8" s="1"/>
  <c r="AK95" i="8"/>
  <c r="AJ95" i="8"/>
  <c r="O95" i="8"/>
  <c r="G95" i="8" s="1"/>
  <c r="Q95" i="8"/>
  <c r="H95" i="8" s="1"/>
  <c r="AI95" i="8"/>
  <c r="AK94" i="8"/>
  <c r="U94" i="8"/>
  <c r="I94" i="8" s="1"/>
  <c r="AI94" i="8"/>
  <c r="AJ94" i="8"/>
  <c r="O94" i="8"/>
  <c r="G94" i="8" s="1"/>
  <c r="Q94" i="8"/>
  <c r="H94" i="8" s="1"/>
  <c r="T95" i="6"/>
  <c r="I95" i="6" s="1"/>
  <c r="AG95" i="6"/>
  <c r="AE95" i="6"/>
  <c r="O95" i="6"/>
  <c r="G95" i="6" s="1"/>
  <c r="AC95" i="6"/>
  <c r="AF95" i="6"/>
  <c r="Q95" i="6"/>
  <c r="H95" i="6" s="1"/>
  <c r="W95" i="6"/>
  <c r="J95" i="6" s="1"/>
  <c r="AD95" i="6"/>
  <c r="AN91" i="11"/>
  <c r="K91" i="11" s="1"/>
  <c r="AF91" i="13"/>
  <c r="K91" i="13" s="1"/>
  <c r="AF93" i="13"/>
  <c r="K93" i="13" s="1"/>
  <c r="AF92" i="13"/>
  <c r="K92" i="13" s="1"/>
  <c r="AF89" i="13"/>
  <c r="K89" i="13" s="1"/>
  <c r="AF90" i="13"/>
  <c r="K90" i="13" s="1"/>
  <c r="AF88" i="13"/>
  <c r="K88" i="13" s="1"/>
  <c r="AP91" i="12"/>
  <c r="K91" i="12" s="1"/>
  <c r="AP92" i="12"/>
  <c r="K92" i="12" s="1"/>
  <c r="AP89" i="12"/>
  <c r="K89" i="12" s="1"/>
  <c r="AP90" i="12"/>
  <c r="K90" i="12" s="1"/>
  <c r="AP88" i="12"/>
  <c r="K88" i="12" s="1"/>
  <c r="AP93" i="12"/>
  <c r="K93" i="12" s="1"/>
  <c r="AN93" i="11"/>
  <c r="K93" i="11" s="1"/>
  <c r="AN92" i="11"/>
  <c r="K92" i="11" s="1"/>
  <c r="AN90" i="11"/>
  <c r="K90" i="11" s="1"/>
  <c r="AN88" i="11"/>
  <c r="K88" i="11" s="1"/>
  <c r="AN89" i="11"/>
  <c r="K89" i="11" s="1"/>
  <c r="E84" i="14"/>
  <c r="V95" i="11" l="1"/>
  <c r="I95" i="11" s="1"/>
  <c r="M95" i="11" s="1"/>
  <c r="F95" i="11" s="1"/>
  <c r="D95" i="11" s="1"/>
  <c r="W95" i="12"/>
  <c r="I95" i="12" s="1"/>
  <c r="M95" i="12" s="1"/>
  <c r="F95" i="12" s="1"/>
  <c r="J96" i="11"/>
  <c r="V96" i="11" s="1"/>
  <c r="W94" i="12"/>
  <c r="J95" i="11"/>
  <c r="W95" i="11" s="1"/>
  <c r="W96" i="12"/>
  <c r="I96" i="12" s="1"/>
  <c r="M96" i="12" s="1"/>
  <c r="F96" i="12" s="1"/>
  <c r="J94" i="12"/>
  <c r="V94" i="12" s="1"/>
  <c r="J94" i="11"/>
  <c r="V94" i="11" s="1"/>
  <c r="AB96" i="13"/>
  <c r="J96" i="13" s="1"/>
  <c r="W96" i="13" s="1"/>
  <c r="V96" i="13"/>
  <c r="I96" i="13" s="1"/>
  <c r="M96" i="13" s="1"/>
  <c r="F96" i="13" s="1"/>
  <c r="D96" i="13" s="1"/>
  <c r="W94" i="13"/>
  <c r="I94" i="13" s="1"/>
  <c r="M94" i="13" s="1"/>
  <c r="F94" i="13" s="1"/>
  <c r="D94" i="13" s="1"/>
  <c r="K95" i="6"/>
  <c r="M95" i="6" s="1"/>
  <c r="F95" i="6"/>
  <c r="D95" i="6" s="1"/>
  <c r="AF96" i="7"/>
  <c r="K96" i="7" s="1"/>
  <c r="Y96" i="7"/>
  <c r="X96" i="7"/>
  <c r="AF95" i="7"/>
  <c r="K95" i="7" s="1"/>
  <c r="Y95" i="7"/>
  <c r="X95" i="7"/>
  <c r="AA94" i="8"/>
  <c r="Z94" i="8"/>
  <c r="J94" i="8" s="1"/>
  <c r="AL94" i="8"/>
  <c r="K94" i="8" s="1"/>
  <c r="M94" i="8" s="1"/>
  <c r="F94" i="8" s="1"/>
  <c r="D94" i="8" s="1"/>
  <c r="AA96" i="8"/>
  <c r="Z96" i="8"/>
  <c r="AF94" i="7"/>
  <c r="K94" i="7" s="1"/>
  <c r="X94" i="7"/>
  <c r="Y94" i="7"/>
  <c r="AA95" i="8"/>
  <c r="Z95" i="8"/>
  <c r="J95" i="8" s="1"/>
  <c r="AL95" i="8" s="1"/>
  <c r="K95" i="8" s="1"/>
  <c r="M95" i="8" s="1"/>
  <c r="F95" i="8" s="1"/>
  <c r="D95" i="8" s="1"/>
  <c r="K96" i="6"/>
  <c r="M96" i="6" s="1"/>
  <c r="F96" i="6" s="1"/>
  <c r="D96" i="6" s="1"/>
  <c r="K94" i="6"/>
  <c r="M94" i="6" s="1"/>
  <c r="F94" i="6" s="1"/>
  <c r="D94" i="6" s="1"/>
  <c r="F84" i="14"/>
  <c r="C321" i="14"/>
  <c r="C322" i="14"/>
  <c r="D96" i="12" l="1"/>
  <c r="W96" i="11"/>
  <c r="I96" i="11" s="1"/>
  <c r="M96" i="11" s="1"/>
  <c r="F96" i="11" s="1"/>
  <c r="D96" i="11" s="1"/>
  <c r="J95" i="7"/>
  <c r="M95" i="7" s="1"/>
  <c r="F95" i="7" s="1"/>
  <c r="D95" i="7" s="1"/>
  <c r="W94" i="11"/>
  <c r="I94" i="11" s="1"/>
  <c r="M94" i="11" s="1"/>
  <c r="F94" i="11" s="1"/>
  <c r="D94" i="11" s="1"/>
  <c r="I94" i="12"/>
  <c r="M94" i="12" s="1"/>
  <c r="F94" i="12" s="1"/>
  <c r="J96" i="7"/>
  <c r="D95" i="12"/>
  <c r="J96" i="8"/>
  <c r="AL96" i="8" s="1"/>
  <c r="K96" i="8" s="1"/>
  <c r="M96" i="8" s="1"/>
  <c r="F96" i="8" s="1"/>
  <c r="D96" i="8" s="1"/>
  <c r="J94" i="7"/>
  <c r="M96" i="7"/>
  <c r="F96" i="7" s="1"/>
  <c r="D96" i="7" s="1"/>
  <c r="M94" i="7"/>
  <c r="F94" i="7" s="1"/>
  <c r="D94" i="7" s="1"/>
  <c r="G84" i="14"/>
  <c r="I2" i="8"/>
  <c r="I2" i="7"/>
  <c r="AX59" i="8"/>
  <c r="AX60" i="8"/>
  <c r="AX61" i="8"/>
  <c r="AX62" i="8"/>
  <c r="AX63" i="8"/>
  <c r="AX64" i="8"/>
  <c r="AX65" i="8"/>
  <c r="AX66" i="8"/>
  <c r="AX67" i="8"/>
  <c r="AX68" i="8"/>
  <c r="AX69" i="8"/>
  <c r="AX70" i="8"/>
  <c r="AX71" i="8"/>
  <c r="AX72" i="8"/>
  <c r="AX73" i="8"/>
  <c r="AX74" i="8"/>
  <c r="AX75" i="8"/>
  <c r="AX76" i="8"/>
  <c r="AX77" i="8"/>
  <c r="AX78" i="8"/>
  <c r="AX79" i="8"/>
  <c r="AX80" i="8"/>
  <c r="AX81" i="8"/>
  <c r="AR59" i="8"/>
  <c r="AR60" i="8"/>
  <c r="AR61" i="8"/>
  <c r="AR62" i="8"/>
  <c r="AR63" i="8"/>
  <c r="AR64" i="8"/>
  <c r="AR65" i="8"/>
  <c r="AR66" i="8"/>
  <c r="AR67" i="8"/>
  <c r="AR68" i="8"/>
  <c r="AR69" i="8"/>
  <c r="AR70" i="8"/>
  <c r="AR71" i="8"/>
  <c r="AR72" i="8"/>
  <c r="AR73" i="8"/>
  <c r="AR74" i="8"/>
  <c r="AR75" i="8"/>
  <c r="AR76" i="8"/>
  <c r="AR77" i="8"/>
  <c r="AR78" i="8"/>
  <c r="AR79" i="8"/>
  <c r="AR80" i="8"/>
  <c r="AR81" i="8"/>
  <c r="V59" i="8"/>
  <c r="V62" i="8"/>
  <c r="W62" i="8"/>
  <c r="V63" i="8"/>
  <c r="W63" i="8"/>
  <c r="V64" i="8"/>
  <c r="V66" i="8"/>
  <c r="W66" i="8"/>
  <c r="V67" i="8"/>
  <c r="W67" i="8"/>
  <c r="W70" i="8"/>
  <c r="V71" i="8"/>
  <c r="W71" i="8"/>
  <c r="B59" i="8"/>
  <c r="AN59" i="8" s="1"/>
  <c r="B60" i="8"/>
  <c r="AN60" i="8" s="1"/>
  <c r="B61" i="8"/>
  <c r="AN61" i="8" s="1"/>
  <c r="B62" i="8"/>
  <c r="AN62" i="8" s="1"/>
  <c r="B63" i="8"/>
  <c r="AN63" i="8" s="1"/>
  <c r="B64" i="8"/>
  <c r="AN64" i="8" s="1"/>
  <c r="B65" i="8"/>
  <c r="AN65" i="8" s="1"/>
  <c r="B66" i="8"/>
  <c r="AN66" i="8" s="1"/>
  <c r="B67" i="8"/>
  <c r="AN67" i="8" s="1"/>
  <c r="B68" i="8"/>
  <c r="AN68" i="8" s="1"/>
  <c r="B69" i="8"/>
  <c r="AN69" i="8" s="1"/>
  <c r="B70" i="8"/>
  <c r="AN70" i="8" s="1"/>
  <c r="B71" i="8"/>
  <c r="AN71" i="8" s="1"/>
  <c r="B72" i="8"/>
  <c r="AN72" i="8" s="1"/>
  <c r="B73" i="8"/>
  <c r="AN73" i="8" s="1"/>
  <c r="B74" i="8"/>
  <c r="AN74" i="8" s="1"/>
  <c r="B75" i="8"/>
  <c r="AN75" i="8" s="1"/>
  <c r="B76" i="8"/>
  <c r="AN76" i="8" s="1"/>
  <c r="B77" i="8"/>
  <c r="AN77" i="8" s="1"/>
  <c r="B78" i="8"/>
  <c r="AN78" i="8" s="1"/>
  <c r="B79" i="8"/>
  <c r="AN79" i="8" s="1"/>
  <c r="B80" i="8"/>
  <c r="AN80" i="8" s="1"/>
  <c r="B81" i="8"/>
  <c r="AN81" i="8" s="1"/>
  <c r="AQ59" i="7"/>
  <c r="AQ60" i="7"/>
  <c r="AQ61" i="7"/>
  <c r="AQ62" i="7"/>
  <c r="AQ63" i="7"/>
  <c r="AQ64" i="7"/>
  <c r="AQ65" i="7"/>
  <c r="AQ66" i="7"/>
  <c r="AQ67" i="7"/>
  <c r="AQ68" i="7"/>
  <c r="AQ69" i="7"/>
  <c r="AQ70" i="7"/>
  <c r="AQ71" i="7"/>
  <c r="AQ72" i="7"/>
  <c r="AQ73" i="7"/>
  <c r="AQ74" i="7"/>
  <c r="AQ75" i="7"/>
  <c r="AQ76" i="7"/>
  <c r="AQ77" i="7"/>
  <c r="AQ78" i="7"/>
  <c r="AQ79" i="7"/>
  <c r="AQ80" i="7"/>
  <c r="AQ81" i="7"/>
  <c r="AK81" i="7"/>
  <c r="AK59" i="7"/>
  <c r="AK60" i="7"/>
  <c r="AK61" i="7"/>
  <c r="AK62" i="7"/>
  <c r="AK63" i="7"/>
  <c r="AK64" i="7"/>
  <c r="AK65" i="7"/>
  <c r="AK66" i="7"/>
  <c r="AK67" i="7"/>
  <c r="AK68" i="7"/>
  <c r="AK69" i="7"/>
  <c r="AK70" i="7"/>
  <c r="AK71" i="7"/>
  <c r="AK72" i="7"/>
  <c r="AK73" i="7"/>
  <c r="AK74" i="7"/>
  <c r="AK75" i="7"/>
  <c r="AK76" i="7"/>
  <c r="AK77" i="7"/>
  <c r="AK78" i="7"/>
  <c r="AK79" i="7"/>
  <c r="AK80" i="7"/>
  <c r="U61" i="7"/>
  <c r="U63" i="7"/>
  <c r="U67" i="7"/>
  <c r="B59" i="7"/>
  <c r="U59" i="7" s="1"/>
  <c r="B60" i="7"/>
  <c r="U60" i="7" s="1"/>
  <c r="B61" i="7"/>
  <c r="B62" i="7"/>
  <c r="U62" i="7" s="1"/>
  <c r="B63" i="7"/>
  <c r="B64" i="7"/>
  <c r="U64" i="7" s="1"/>
  <c r="B65" i="7"/>
  <c r="U65" i="7" s="1"/>
  <c r="B66" i="7"/>
  <c r="U66" i="7" s="1"/>
  <c r="B67" i="7"/>
  <c r="B68" i="7"/>
  <c r="U68" i="7" s="1"/>
  <c r="B69" i="7"/>
  <c r="U69" i="7" s="1"/>
  <c r="B70" i="7"/>
  <c r="U70" i="7" s="1"/>
  <c r="B71" i="7"/>
  <c r="U71" i="7" s="1"/>
  <c r="B72" i="7"/>
  <c r="U72" i="7" s="1"/>
  <c r="B73" i="7"/>
  <c r="U73" i="7" s="1"/>
  <c r="B74" i="7"/>
  <c r="U74" i="7" s="1"/>
  <c r="B75" i="7"/>
  <c r="U75" i="7" s="1"/>
  <c r="B76" i="7"/>
  <c r="U76" i="7" s="1"/>
  <c r="B77" i="7"/>
  <c r="U77" i="7" s="1"/>
  <c r="B78" i="7"/>
  <c r="U78" i="7" s="1"/>
  <c r="B79" i="7"/>
  <c r="U79" i="7" s="1"/>
  <c r="B80" i="7"/>
  <c r="U80" i="7" s="1"/>
  <c r="B81" i="7"/>
  <c r="U81" i="7" s="1"/>
  <c r="C320" i="14"/>
  <c r="D94" i="12" l="1"/>
  <c r="AP5" i="8"/>
  <c r="N5" i="8"/>
  <c r="AI5" i="7"/>
  <c r="N5" i="7"/>
  <c r="W81" i="8"/>
  <c r="V81" i="8"/>
  <c r="W80" i="8"/>
  <c r="W79" i="8"/>
  <c r="V79" i="8"/>
  <c r="V80" i="8"/>
  <c r="V78" i="8"/>
  <c r="V74" i="8"/>
  <c r="V70" i="8"/>
  <c r="V75" i="8"/>
  <c r="W78" i="8"/>
  <c r="W73" i="8"/>
  <c r="V77" i="8"/>
  <c r="V73" i="8"/>
  <c r="V69" i="8"/>
  <c r="W77" i="8"/>
  <c r="W76" i="8"/>
  <c r="W72" i="8"/>
  <c r="W68" i="8"/>
  <c r="W75" i="8"/>
  <c r="W74" i="8"/>
  <c r="W69" i="8"/>
  <c r="V76" i="8"/>
  <c r="V72" i="8"/>
  <c r="V68" i="8"/>
  <c r="V60" i="8"/>
  <c r="W59" i="8"/>
  <c r="W65" i="8"/>
  <c r="W61" i="8"/>
  <c r="V65" i="8"/>
  <c r="V61" i="8"/>
  <c r="W64" i="8"/>
  <c r="W60" i="8"/>
  <c r="H84" i="14"/>
  <c r="I2" i="6"/>
  <c r="B59" i="6"/>
  <c r="U59" i="6" s="1"/>
  <c r="B60" i="6"/>
  <c r="U60" i="6" s="1"/>
  <c r="B61" i="6"/>
  <c r="U61" i="6" s="1"/>
  <c r="B62" i="6"/>
  <c r="U62" i="6" s="1"/>
  <c r="B63" i="6"/>
  <c r="U63" i="6" s="1"/>
  <c r="B64" i="6"/>
  <c r="U64" i="6" s="1"/>
  <c r="B65" i="6"/>
  <c r="B66" i="6"/>
  <c r="U72" i="6"/>
  <c r="U74" i="6"/>
  <c r="U78" i="6"/>
  <c r="U79" i="6"/>
  <c r="U80" i="6"/>
  <c r="AP59" i="6"/>
  <c r="AP60" i="6"/>
  <c r="AP61" i="6"/>
  <c r="AP62" i="6"/>
  <c r="AP63" i="6"/>
  <c r="AP64" i="6"/>
  <c r="AP65" i="6"/>
  <c r="AP66" i="6"/>
  <c r="AP67" i="6"/>
  <c r="AP68" i="6"/>
  <c r="AP69" i="6"/>
  <c r="AP70" i="6"/>
  <c r="AP71" i="6"/>
  <c r="AP72" i="6"/>
  <c r="AP73" i="6"/>
  <c r="AP74" i="6"/>
  <c r="AP75" i="6"/>
  <c r="AP76" i="6"/>
  <c r="AP77" i="6"/>
  <c r="AP78" i="6"/>
  <c r="AP79" i="6"/>
  <c r="AP80" i="6"/>
  <c r="AP81" i="6"/>
  <c r="U65" i="6"/>
  <c r="U66" i="6"/>
  <c r="U67" i="6"/>
  <c r="U68" i="6"/>
  <c r="U69" i="6"/>
  <c r="U70" i="6"/>
  <c r="U71" i="6"/>
  <c r="U73" i="6"/>
  <c r="U75" i="6"/>
  <c r="U76" i="6"/>
  <c r="U77" i="6"/>
  <c r="U81" i="6"/>
  <c r="E89" i="6" l="1"/>
  <c r="E90" i="6"/>
  <c r="E88" i="6"/>
  <c r="E93" i="6"/>
  <c r="E91" i="6"/>
  <c r="E92" i="6"/>
  <c r="AH5" i="6"/>
  <c r="N5" i="6"/>
  <c r="I84" i="14"/>
  <c r="AO81" i="5"/>
  <c r="AO59" i="5"/>
  <c r="AO60" i="5"/>
  <c r="AO61" i="5"/>
  <c r="AO62" i="5"/>
  <c r="AO63" i="5"/>
  <c r="AO64" i="5"/>
  <c r="AO65" i="5"/>
  <c r="AO66" i="5"/>
  <c r="AO67" i="5"/>
  <c r="AO68" i="5"/>
  <c r="AO69" i="5"/>
  <c r="AO70" i="5"/>
  <c r="AO71" i="5"/>
  <c r="AO72" i="5"/>
  <c r="AO73" i="5"/>
  <c r="AO74" i="5"/>
  <c r="AO75" i="5"/>
  <c r="AO76" i="5"/>
  <c r="AO77" i="5"/>
  <c r="AO78" i="5"/>
  <c r="AO79" i="5"/>
  <c r="AO80" i="5"/>
  <c r="AI81" i="5"/>
  <c r="AI80" i="5"/>
  <c r="AI79" i="5"/>
  <c r="AI78" i="5"/>
  <c r="AI77" i="5"/>
  <c r="AI76" i="5"/>
  <c r="AI75" i="5"/>
  <c r="AI74" i="5"/>
  <c r="AI73" i="5"/>
  <c r="AI72" i="5"/>
  <c r="AI71" i="5"/>
  <c r="AI70" i="5"/>
  <c r="AI69" i="5"/>
  <c r="AI68" i="5"/>
  <c r="AI67" i="5"/>
  <c r="AI66" i="5"/>
  <c r="AI65" i="5"/>
  <c r="AI64" i="5"/>
  <c r="AI63" i="5"/>
  <c r="AI62" i="5"/>
  <c r="AI61" i="5"/>
  <c r="AI60" i="5"/>
  <c r="AI59" i="5"/>
  <c r="AF61" i="5"/>
  <c r="AF62" i="5"/>
  <c r="AF65" i="5"/>
  <c r="AF68" i="5"/>
  <c r="AF71" i="5"/>
  <c r="AF73" i="5"/>
  <c r="AF74" i="5"/>
  <c r="AF76" i="5"/>
  <c r="AF80" i="5"/>
  <c r="AF81" i="5"/>
  <c r="U61" i="5"/>
  <c r="U62" i="5"/>
  <c r="U63" i="5"/>
  <c r="U66" i="5"/>
  <c r="U68" i="5"/>
  <c r="U71" i="5"/>
  <c r="U73" i="5"/>
  <c r="U76" i="5"/>
  <c r="U79" i="5"/>
  <c r="U80" i="5"/>
  <c r="U81" i="5"/>
  <c r="I2" i="5"/>
  <c r="P4" i="23"/>
  <c r="P3" i="23"/>
  <c r="P6" i="23"/>
  <c r="P5" i="23"/>
  <c r="B59" i="5"/>
  <c r="U59" i="5" s="1"/>
  <c r="B60" i="5"/>
  <c r="U60" i="5" s="1"/>
  <c r="B61" i="5"/>
  <c r="B62" i="5"/>
  <c r="B63" i="5"/>
  <c r="AF63" i="5" s="1"/>
  <c r="B64" i="5"/>
  <c r="U64" i="5" s="1"/>
  <c r="B65" i="5"/>
  <c r="B66" i="5"/>
  <c r="AF66" i="5" s="1"/>
  <c r="B67" i="5"/>
  <c r="U67" i="5" s="1"/>
  <c r="B68" i="5"/>
  <c r="B69" i="5"/>
  <c r="AF69" i="5" s="1"/>
  <c r="B70" i="5"/>
  <c r="AF70" i="5" s="1"/>
  <c r="B71" i="5"/>
  <c r="B72" i="5"/>
  <c r="B73" i="5"/>
  <c r="B74" i="5"/>
  <c r="U74" i="5" s="1"/>
  <c r="B75" i="5"/>
  <c r="U75" i="5" s="1"/>
  <c r="B76" i="5"/>
  <c r="B77" i="5"/>
  <c r="AF77" i="5" s="1"/>
  <c r="B78" i="5"/>
  <c r="U78" i="5" s="1"/>
  <c r="B79" i="5"/>
  <c r="AF79" i="5" s="1"/>
  <c r="B80" i="5"/>
  <c r="B81" i="5"/>
  <c r="B58" i="5"/>
  <c r="AG8" i="5" l="1"/>
  <c r="AG16" i="5"/>
  <c r="AG24" i="5"/>
  <c r="AG32" i="5"/>
  <c r="AG40" i="5"/>
  <c r="AG48" i="5"/>
  <c r="AG56" i="5"/>
  <c r="AG64" i="5"/>
  <c r="AG72" i="5"/>
  <c r="AG80" i="5"/>
  <c r="AG88" i="5"/>
  <c r="N12" i="5"/>
  <c r="N20" i="5"/>
  <c r="N28" i="5"/>
  <c r="N36" i="5"/>
  <c r="N44" i="5"/>
  <c r="N52" i="5"/>
  <c r="N60" i="5"/>
  <c r="N68" i="5"/>
  <c r="N76" i="5"/>
  <c r="N84" i="5"/>
  <c r="N92" i="5"/>
  <c r="AG9" i="5"/>
  <c r="AG17" i="5"/>
  <c r="AG25" i="5"/>
  <c r="AG33" i="5"/>
  <c r="AG41" i="5"/>
  <c r="AG49" i="5"/>
  <c r="AG57" i="5"/>
  <c r="AG65" i="5"/>
  <c r="AG73" i="5"/>
  <c r="AG81" i="5"/>
  <c r="AG89" i="5"/>
  <c r="N94" i="5"/>
  <c r="N13" i="5"/>
  <c r="N21" i="5"/>
  <c r="N29" i="5"/>
  <c r="N37" i="5"/>
  <c r="N45" i="5"/>
  <c r="N53" i="5"/>
  <c r="N61" i="5"/>
  <c r="N69" i="5"/>
  <c r="N77" i="5"/>
  <c r="N85" i="5"/>
  <c r="N93" i="5"/>
  <c r="AG10" i="5"/>
  <c r="AG18" i="5"/>
  <c r="AG26" i="5"/>
  <c r="AG34" i="5"/>
  <c r="AG42" i="5"/>
  <c r="AG50" i="5"/>
  <c r="AG58" i="5"/>
  <c r="AG66" i="5"/>
  <c r="AG74" i="5"/>
  <c r="AG82" i="5"/>
  <c r="AG90" i="5"/>
  <c r="N95" i="5"/>
  <c r="N14" i="5"/>
  <c r="N22" i="5"/>
  <c r="N30" i="5"/>
  <c r="N38" i="5"/>
  <c r="N46" i="5"/>
  <c r="N54" i="5"/>
  <c r="N62" i="5"/>
  <c r="N70" i="5"/>
  <c r="N78" i="5"/>
  <c r="N86" i="5"/>
  <c r="N7" i="5"/>
  <c r="AG11" i="5"/>
  <c r="AG19" i="5"/>
  <c r="AG27" i="5"/>
  <c r="AG35" i="5"/>
  <c r="AG43" i="5"/>
  <c r="AG51" i="5"/>
  <c r="AG59" i="5"/>
  <c r="AG67" i="5"/>
  <c r="AG75" i="5"/>
  <c r="AG83" i="5"/>
  <c r="AG91" i="5"/>
  <c r="N96" i="5"/>
  <c r="N15" i="5"/>
  <c r="N23" i="5"/>
  <c r="N31" i="5"/>
  <c r="N39" i="5"/>
  <c r="N47" i="5"/>
  <c r="N55" i="5"/>
  <c r="N63" i="5"/>
  <c r="N71" i="5"/>
  <c r="N79" i="5"/>
  <c r="N87" i="5"/>
  <c r="AG12" i="5"/>
  <c r="AG20" i="5"/>
  <c r="AG28" i="5"/>
  <c r="AG36" i="5"/>
  <c r="AG44" i="5"/>
  <c r="AG52" i="5"/>
  <c r="AG60" i="5"/>
  <c r="AG68" i="5"/>
  <c r="AG76" i="5"/>
  <c r="AG84" i="5"/>
  <c r="AG92" i="5"/>
  <c r="N8" i="5"/>
  <c r="N16" i="5"/>
  <c r="N24" i="5"/>
  <c r="N32" i="5"/>
  <c r="N40" i="5"/>
  <c r="N48" i="5"/>
  <c r="AG13" i="5"/>
  <c r="AG31" i="5"/>
  <c r="AG54" i="5"/>
  <c r="AG77" i="5"/>
  <c r="N25" i="5"/>
  <c r="N43" i="5"/>
  <c r="N64" i="5"/>
  <c r="N80" i="5"/>
  <c r="AG14" i="5"/>
  <c r="AG37" i="5"/>
  <c r="AG55" i="5"/>
  <c r="AG78" i="5"/>
  <c r="N26" i="5"/>
  <c r="N49" i="5"/>
  <c r="N65" i="5"/>
  <c r="N81" i="5"/>
  <c r="AG39" i="5"/>
  <c r="AG85" i="5"/>
  <c r="N10" i="5"/>
  <c r="N51" i="5"/>
  <c r="N83" i="5"/>
  <c r="AG22" i="5"/>
  <c r="AG63" i="5"/>
  <c r="AG86" i="5"/>
  <c r="N34" i="5"/>
  <c r="N72" i="5"/>
  <c r="AG15" i="5"/>
  <c r="AG38" i="5"/>
  <c r="AG61" i="5"/>
  <c r="AG79" i="5"/>
  <c r="N9" i="5"/>
  <c r="N27" i="5"/>
  <c r="N50" i="5"/>
  <c r="N66" i="5"/>
  <c r="N82" i="5"/>
  <c r="AG21" i="5"/>
  <c r="AG62" i="5"/>
  <c r="N33" i="5"/>
  <c r="N67" i="5"/>
  <c r="AG45" i="5"/>
  <c r="N11" i="5"/>
  <c r="N56" i="5"/>
  <c r="N88" i="5"/>
  <c r="AG94" i="5"/>
  <c r="AG23" i="5"/>
  <c r="AG46" i="5"/>
  <c r="AG69" i="5"/>
  <c r="AG87" i="5"/>
  <c r="N17" i="5"/>
  <c r="N35" i="5"/>
  <c r="N57" i="5"/>
  <c r="N73" i="5"/>
  <c r="N89" i="5"/>
  <c r="AG95" i="5"/>
  <c r="AG29" i="5"/>
  <c r="AG47" i="5"/>
  <c r="AG70" i="5"/>
  <c r="AG93" i="5"/>
  <c r="N18" i="5"/>
  <c r="N41" i="5"/>
  <c r="N58" i="5"/>
  <c r="N74" i="5"/>
  <c r="N90" i="5"/>
  <c r="AG96" i="5"/>
  <c r="AG30" i="5"/>
  <c r="AG53" i="5"/>
  <c r="AG71" i="5"/>
  <c r="AG7" i="5"/>
  <c r="N19" i="5"/>
  <c r="N42" i="5"/>
  <c r="N59" i="5"/>
  <c r="N75" i="5"/>
  <c r="N91" i="5"/>
  <c r="E79" i="5"/>
  <c r="N5" i="5"/>
  <c r="AG5" i="5"/>
  <c r="U72" i="5"/>
  <c r="AF75" i="5"/>
  <c r="AF67" i="5"/>
  <c r="U77" i="5"/>
  <c r="U69" i="5"/>
  <c r="AF72" i="5"/>
  <c r="U70" i="5"/>
  <c r="AF78" i="5"/>
  <c r="U65" i="5"/>
  <c r="AF64" i="5"/>
  <c r="AF60" i="5"/>
  <c r="AF59" i="5"/>
  <c r="J84" i="14"/>
  <c r="D195" i="14"/>
  <c r="D194" i="9"/>
  <c r="D157" i="14"/>
  <c r="D156" i="9"/>
  <c r="I675" i="21"/>
  <c r="E316" i="9"/>
  <c r="E320" i="9"/>
  <c r="E315" i="9"/>
  <c r="E322" i="9"/>
  <c r="E233" i="9"/>
  <c r="E321" i="9"/>
  <c r="E319" i="9"/>
  <c r="E317" i="9"/>
  <c r="E318" i="9"/>
  <c r="E323" i="9"/>
  <c r="E96" i="5" l="1"/>
  <c r="E94" i="5"/>
  <c r="E95" i="5"/>
  <c r="E92" i="5"/>
  <c r="E93" i="5"/>
  <c r="E91" i="5"/>
  <c r="E89" i="5"/>
  <c r="E90" i="5"/>
  <c r="E88" i="5"/>
  <c r="K84" i="14"/>
  <c r="C238" i="21"/>
  <c r="L84" i="14" l="1"/>
  <c r="G674" i="21"/>
  <c r="AA7" i="1"/>
  <c r="AB7" i="1"/>
  <c r="AC7" i="1"/>
  <c r="AD7" i="1"/>
  <c r="AE7" i="1"/>
  <c r="AF7" i="1"/>
  <c r="AG7" i="1"/>
  <c r="AH7" i="1"/>
  <c r="AI7" i="1"/>
  <c r="AJ7" i="1"/>
  <c r="AK7" i="1"/>
  <c r="AL7" i="1"/>
  <c r="AX7" i="1"/>
  <c r="AY7" i="1"/>
  <c r="AZ7" i="1"/>
  <c r="BA7" i="1"/>
  <c r="BB7" i="1"/>
  <c r="BC7" i="1"/>
  <c r="BE7" i="1"/>
  <c r="BF7" i="1"/>
  <c r="BG7" i="1"/>
  <c r="BH7" i="1"/>
  <c r="BI7" i="1"/>
  <c r="BJ7" i="1"/>
  <c r="BK7" i="1"/>
  <c r="BL7" i="1"/>
  <c r="AY9" i="1"/>
  <c r="BE9" i="1"/>
  <c r="BF9" i="1"/>
  <c r="BH9" i="1"/>
  <c r="BJ9" i="1"/>
  <c r="BK9" i="1"/>
  <c r="AY12" i="1"/>
  <c r="BE12" i="1"/>
  <c r="BF12" i="1"/>
  <c r="BJ12" i="1"/>
  <c r="BK12" i="1"/>
  <c r="AY15" i="1"/>
  <c r="BE15" i="1"/>
  <c r="BF15" i="1"/>
  <c r="BJ15" i="1"/>
  <c r="BK15" i="1"/>
  <c r="AY18" i="1"/>
  <c r="BE18" i="1"/>
  <c r="BF18" i="1"/>
  <c r="BJ18" i="1"/>
  <c r="BK18" i="1"/>
  <c r="AY21" i="1"/>
  <c r="BE21" i="1"/>
  <c r="BF21" i="1"/>
  <c r="BH21" i="1"/>
  <c r="BJ21" i="1"/>
  <c r="BK21" i="1"/>
  <c r="AY24" i="1"/>
  <c r="BE24" i="1"/>
  <c r="BF24" i="1"/>
  <c r="BH24" i="1"/>
  <c r="BJ24" i="1"/>
  <c r="BK24" i="1"/>
  <c r="AY27" i="1"/>
  <c r="BE27" i="1"/>
  <c r="BF27" i="1"/>
  <c r="BH27" i="1"/>
  <c r="BJ27" i="1"/>
  <c r="BK27" i="1"/>
  <c r="BK28" i="1"/>
  <c r="AY30" i="1"/>
  <c r="BE30" i="1"/>
  <c r="BF30" i="1"/>
  <c r="BH30" i="1"/>
  <c r="BJ30" i="1"/>
  <c r="BK30" i="1"/>
  <c r="AY33" i="1"/>
  <c r="BE33" i="1"/>
  <c r="BF33" i="1"/>
  <c r="BH33" i="1"/>
  <c r="BJ33" i="1"/>
  <c r="BK33" i="1"/>
  <c r="AY36" i="1"/>
  <c r="BE36" i="1"/>
  <c r="BF36" i="1"/>
  <c r="BH36" i="1"/>
  <c r="BJ36" i="1"/>
  <c r="BK36" i="1"/>
  <c r="AY39" i="1"/>
  <c r="BE39" i="1"/>
  <c r="BF39" i="1"/>
  <c r="BH39" i="1"/>
  <c r="BJ39" i="1"/>
  <c r="BK39" i="1"/>
  <c r="AY42" i="1"/>
  <c r="BE42" i="1"/>
  <c r="BF42" i="1"/>
  <c r="BH42" i="1"/>
  <c r="BJ42" i="1"/>
  <c r="BK42" i="1"/>
  <c r="AY45" i="1"/>
  <c r="BE45" i="1"/>
  <c r="BF45" i="1"/>
  <c r="BH45" i="1"/>
  <c r="BJ45" i="1"/>
  <c r="BK45" i="1"/>
  <c r="BK46" i="1"/>
  <c r="AY48" i="1"/>
  <c r="BE48" i="1"/>
  <c r="BF48" i="1"/>
  <c r="BH48" i="1"/>
  <c r="BJ48" i="1"/>
  <c r="BK48" i="1"/>
  <c r="AY51" i="1"/>
  <c r="BE51" i="1"/>
  <c r="BF51" i="1"/>
  <c r="BJ51" i="1"/>
  <c r="BK51" i="1"/>
  <c r="AY54" i="1"/>
  <c r="BE54" i="1"/>
  <c r="BF54" i="1"/>
  <c r="BH51" i="1"/>
  <c r="BJ54" i="1"/>
  <c r="BK54" i="1"/>
  <c r="AY57" i="1"/>
  <c r="BE57" i="1"/>
  <c r="BF57" i="1"/>
  <c r="BH57" i="1"/>
  <c r="BJ57" i="1"/>
  <c r="BK57" i="1"/>
  <c r="AY60" i="1"/>
  <c r="BE60" i="1"/>
  <c r="BF60" i="1"/>
  <c r="BH60" i="1"/>
  <c r="BJ60" i="1"/>
  <c r="BK60" i="1"/>
  <c r="M84" i="14" l="1"/>
  <c r="AN58" i="13"/>
  <c r="AN57" i="13"/>
  <c r="AN56" i="13"/>
  <c r="AN55" i="13"/>
  <c r="AN54" i="13"/>
  <c r="AN53" i="13"/>
  <c r="AN52" i="13"/>
  <c r="AN51" i="13"/>
  <c r="AN50" i="13"/>
  <c r="AN49" i="13"/>
  <c r="AN48" i="13"/>
  <c r="AN47" i="13"/>
  <c r="AN46" i="13"/>
  <c r="AN45" i="13"/>
  <c r="AN44" i="13"/>
  <c r="AN43" i="13"/>
  <c r="AN42" i="13"/>
  <c r="AN41" i="13"/>
  <c r="AN40" i="13"/>
  <c r="AN39" i="13"/>
  <c r="AN38" i="13"/>
  <c r="AN37" i="13"/>
  <c r="AN36" i="13"/>
  <c r="AN35" i="13"/>
  <c r="AN34" i="13"/>
  <c r="AN33" i="13"/>
  <c r="AN32" i="13"/>
  <c r="AN31" i="13"/>
  <c r="AN30" i="13"/>
  <c r="AN29" i="13"/>
  <c r="AN28" i="13"/>
  <c r="AN27" i="13"/>
  <c r="AN26" i="13"/>
  <c r="AN25" i="13"/>
  <c r="AN24" i="13"/>
  <c r="AN23" i="13"/>
  <c r="AN22" i="13"/>
  <c r="AN21" i="13"/>
  <c r="AN20" i="13"/>
  <c r="AN19" i="13"/>
  <c r="AN18" i="13"/>
  <c r="AN17" i="13"/>
  <c r="AN16" i="13"/>
  <c r="AN15" i="13"/>
  <c r="AN14" i="13"/>
  <c r="AN13" i="13"/>
  <c r="AN12" i="13"/>
  <c r="AN11" i="13"/>
  <c r="AN10" i="13"/>
  <c r="AN9" i="13"/>
  <c r="AN8" i="13"/>
  <c r="AN7" i="13"/>
  <c r="AX58" i="12"/>
  <c r="AX57" i="12"/>
  <c r="AX56" i="12"/>
  <c r="AX55" i="12"/>
  <c r="AX54" i="12"/>
  <c r="AX53" i="12"/>
  <c r="AX52" i="12"/>
  <c r="AX51" i="12"/>
  <c r="AX50" i="12"/>
  <c r="AX49" i="12"/>
  <c r="AX48" i="12"/>
  <c r="AX47" i="12"/>
  <c r="AX46" i="12"/>
  <c r="AX45" i="12"/>
  <c r="AX44" i="12"/>
  <c r="AX43" i="12"/>
  <c r="AX42" i="12"/>
  <c r="AX41" i="12"/>
  <c r="AX40" i="12"/>
  <c r="AX39" i="12"/>
  <c r="AX38" i="12"/>
  <c r="AX37" i="12"/>
  <c r="AX36" i="12"/>
  <c r="AX35" i="12"/>
  <c r="AX34" i="12"/>
  <c r="AX33" i="12"/>
  <c r="AX32" i="12"/>
  <c r="AX31" i="12"/>
  <c r="AX30" i="12"/>
  <c r="AX29" i="12"/>
  <c r="AX28" i="12"/>
  <c r="AX27" i="12"/>
  <c r="AX26" i="12"/>
  <c r="AX25" i="12"/>
  <c r="AX24" i="12"/>
  <c r="AX23" i="12"/>
  <c r="AX22" i="12"/>
  <c r="AX21" i="12"/>
  <c r="AX20" i="12"/>
  <c r="AX19" i="12"/>
  <c r="AX18" i="12"/>
  <c r="AX17" i="12"/>
  <c r="AX16" i="12"/>
  <c r="AX15" i="12"/>
  <c r="AX14" i="12"/>
  <c r="AX13" i="12"/>
  <c r="AX12" i="12"/>
  <c r="AX11" i="12"/>
  <c r="AX10" i="12"/>
  <c r="AX9" i="12"/>
  <c r="AX8" i="12"/>
  <c r="AX7" i="12"/>
  <c r="AV8" i="11"/>
  <c r="AV9" i="11"/>
  <c r="AV10" i="11"/>
  <c r="AV11" i="11"/>
  <c r="AV12" i="11"/>
  <c r="AV13" i="11"/>
  <c r="AV14" i="11"/>
  <c r="AV15" i="11"/>
  <c r="AV16" i="11"/>
  <c r="AV17" i="11"/>
  <c r="AV18" i="11"/>
  <c r="AV19" i="11"/>
  <c r="AV20" i="11"/>
  <c r="AV21" i="11"/>
  <c r="AV22" i="11"/>
  <c r="AV23" i="11"/>
  <c r="AV24" i="11"/>
  <c r="AV25" i="11"/>
  <c r="AV26" i="11"/>
  <c r="AV27" i="11"/>
  <c r="AV28" i="11"/>
  <c r="AV29" i="11"/>
  <c r="AV30" i="11"/>
  <c r="AV31" i="11"/>
  <c r="AV32" i="11"/>
  <c r="AV33" i="11"/>
  <c r="AV34" i="11"/>
  <c r="AV35" i="11"/>
  <c r="AV36" i="11"/>
  <c r="AV37" i="11"/>
  <c r="AV38" i="11"/>
  <c r="AV39" i="11"/>
  <c r="AV40" i="11"/>
  <c r="AV41" i="11"/>
  <c r="AV42" i="11"/>
  <c r="AV43" i="11"/>
  <c r="AV44" i="11"/>
  <c r="AV45" i="11"/>
  <c r="AV46" i="11"/>
  <c r="AV47" i="11"/>
  <c r="AV48" i="11"/>
  <c r="AV49" i="11"/>
  <c r="AV50" i="11"/>
  <c r="AV51" i="11"/>
  <c r="AV52" i="11"/>
  <c r="AV53" i="11"/>
  <c r="AV54" i="11"/>
  <c r="AV55" i="11"/>
  <c r="AV56" i="11"/>
  <c r="AV57" i="11"/>
  <c r="AV58" i="11"/>
  <c r="AV7" i="11"/>
  <c r="AX58" i="8"/>
  <c r="AX57" i="8"/>
  <c r="AX56" i="8"/>
  <c r="AX55" i="8"/>
  <c r="AX54" i="8"/>
  <c r="AX53" i="8"/>
  <c r="AX52" i="8"/>
  <c r="AX51" i="8"/>
  <c r="AX50" i="8"/>
  <c r="AX49" i="8"/>
  <c r="AX48" i="8"/>
  <c r="AX47" i="8"/>
  <c r="AX46" i="8"/>
  <c r="AX45" i="8"/>
  <c r="AX44" i="8"/>
  <c r="AX43" i="8"/>
  <c r="AX42" i="8"/>
  <c r="AX41" i="8"/>
  <c r="AX40" i="8"/>
  <c r="AX39" i="8"/>
  <c r="AX38" i="8"/>
  <c r="AX37" i="8"/>
  <c r="AX36" i="8"/>
  <c r="AX35" i="8"/>
  <c r="AX34" i="8"/>
  <c r="AX33" i="8"/>
  <c r="AX32" i="8"/>
  <c r="AX31" i="8"/>
  <c r="AX30" i="8"/>
  <c r="AX29" i="8"/>
  <c r="AX28" i="8"/>
  <c r="AX27" i="8"/>
  <c r="AX26" i="8"/>
  <c r="AX25" i="8"/>
  <c r="AX24" i="8"/>
  <c r="AX23" i="8"/>
  <c r="AX22" i="8"/>
  <c r="AX21" i="8"/>
  <c r="AX20" i="8"/>
  <c r="AX19" i="8"/>
  <c r="AX18" i="8"/>
  <c r="AX17" i="8"/>
  <c r="AX16" i="8"/>
  <c r="AX15" i="8"/>
  <c r="AX14" i="8"/>
  <c r="AX13" i="8"/>
  <c r="AX12" i="8"/>
  <c r="AX11" i="8"/>
  <c r="AX10" i="8"/>
  <c r="AX9" i="8"/>
  <c r="AX8" i="8"/>
  <c r="AX7" i="8"/>
  <c r="AQ58" i="7"/>
  <c r="AQ57" i="7"/>
  <c r="AQ56" i="7"/>
  <c r="AQ55" i="7"/>
  <c r="AQ54" i="7"/>
  <c r="AQ53" i="7"/>
  <c r="AQ52" i="7"/>
  <c r="AQ51" i="7"/>
  <c r="AQ50" i="7"/>
  <c r="AQ49" i="7"/>
  <c r="AQ48" i="7"/>
  <c r="AQ47" i="7"/>
  <c r="AQ46" i="7"/>
  <c r="AQ45" i="7"/>
  <c r="AQ44" i="7"/>
  <c r="AQ43" i="7"/>
  <c r="AQ42" i="7"/>
  <c r="AQ41" i="7"/>
  <c r="AQ40" i="7"/>
  <c r="AQ39" i="7"/>
  <c r="AQ38" i="7"/>
  <c r="AQ37" i="7"/>
  <c r="AQ36" i="7"/>
  <c r="AQ35" i="7"/>
  <c r="AQ34" i="7"/>
  <c r="AQ33" i="7"/>
  <c r="AQ32" i="7"/>
  <c r="AQ31" i="7"/>
  <c r="AQ30" i="7"/>
  <c r="AQ29" i="7"/>
  <c r="AQ28" i="7"/>
  <c r="AQ27" i="7"/>
  <c r="AQ26" i="7"/>
  <c r="AQ25" i="7"/>
  <c r="AQ24" i="7"/>
  <c r="AQ23" i="7"/>
  <c r="AQ22" i="7"/>
  <c r="AQ21" i="7"/>
  <c r="AQ20" i="7"/>
  <c r="AQ19" i="7"/>
  <c r="AQ18" i="7"/>
  <c r="AQ17" i="7"/>
  <c r="AQ16" i="7"/>
  <c r="AQ15" i="7"/>
  <c r="AQ14" i="7"/>
  <c r="AQ13" i="7"/>
  <c r="AQ12" i="7"/>
  <c r="AQ11" i="7"/>
  <c r="AQ10" i="7"/>
  <c r="AQ9" i="7"/>
  <c r="AQ8" i="7"/>
  <c r="AQ7" i="7"/>
  <c r="AP58" i="6"/>
  <c r="AP57" i="6"/>
  <c r="AP56" i="6"/>
  <c r="AP55" i="6"/>
  <c r="AP54" i="6"/>
  <c r="AP53" i="6"/>
  <c r="AP52" i="6"/>
  <c r="AP51" i="6"/>
  <c r="AP50" i="6"/>
  <c r="AP49" i="6"/>
  <c r="AP48" i="6"/>
  <c r="AP47" i="6"/>
  <c r="AP46" i="6"/>
  <c r="AP45" i="6"/>
  <c r="AP44" i="6"/>
  <c r="AP43" i="6"/>
  <c r="AP42" i="6"/>
  <c r="AP41" i="6"/>
  <c r="AP40" i="6"/>
  <c r="AP39" i="6"/>
  <c r="AP38" i="6"/>
  <c r="AP37" i="6"/>
  <c r="AP36" i="6"/>
  <c r="AP35" i="6"/>
  <c r="AP34" i="6"/>
  <c r="AP33" i="6"/>
  <c r="AP32" i="6"/>
  <c r="AP31" i="6"/>
  <c r="AP30" i="6"/>
  <c r="AP29" i="6"/>
  <c r="AP28" i="6"/>
  <c r="AP27" i="6"/>
  <c r="AP26" i="6"/>
  <c r="AP25" i="6"/>
  <c r="AP24" i="6"/>
  <c r="AP23" i="6"/>
  <c r="AP22" i="6"/>
  <c r="AP21" i="6"/>
  <c r="AP20" i="6"/>
  <c r="AP19" i="6"/>
  <c r="AP18" i="6"/>
  <c r="AP17" i="6"/>
  <c r="AP16" i="6"/>
  <c r="AP15" i="6"/>
  <c r="AP14" i="6"/>
  <c r="AP13" i="6"/>
  <c r="AP12" i="6"/>
  <c r="AP11" i="6"/>
  <c r="AP10" i="6"/>
  <c r="AP9" i="6"/>
  <c r="AP8" i="6"/>
  <c r="AP7" i="6"/>
  <c r="AO8" i="5"/>
  <c r="AO9" i="5"/>
  <c r="AO10" i="5"/>
  <c r="AO11" i="5"/>
  <c r="AO12" i="5"/>
  <c r="AO13" i="5"/>
  <c r="AO14" i="5"/>
  <c r="AO15" i="5"/>
  <c r="AO16" i="5"/>
  <c r="AO17" i="5"/>
  <c r="AO18" i="5"/>
  <c r="AO19" i="5"/>
  <c r="AO20" i="5"/>
  <c r="AO21" i="5"/>
  <c r="AO22" i="5"/>
  <c r="AO23" i="5"/>
  <c r="AO24" i="5"/>
  <c r="AO25" i="5"/>
  <c r="AO26" i="5"/>
  <c r="AO27" i="5"/>
  <c r="AO28" i="5"/>
  <c r="AO29" i="5"/>
  <c r="AO30" i="5"/>
  <c r="AO31" i="5"/>
  <c r="AO32" i="5"/>
  <c r="AO33" i="5"/>
  <c r="AO34" i="5"/>
  <c r="AO35" i="5"/>
  <c r="AO36" i="5"/>
  <c r="AO37" i="5"/>
  <c r="AO38" i="5"/>
  <c r="AO39" i="5"/>
  <c r="AO40" i="5"/>
  <c r="AO41" i="5"/>
  <c r="AO42" i="5"/>
  <c r="AO43" i="5"/>
  <c r="AO44" i="5"/>
  <c r="AO45" i="5"/>
  <c r="AO46" i="5"/>
  <c r="AO47" i="5"/>
  <c r="AO48" i="5"/>
  <c r="AO49" i="5"/>
  <c r="AO50" i="5"/>
  <c r="AO51" i="5"/>
  <c r="AO52" i="5"/>
  <c r="AO53" i="5"/>
  <c r="AO54" i="5"/>
  <c r="AO55" i="5"/>
  <c r="AO56" i="5"/>
  <c r="AO57" i="5"/>
  <c r="AO58" i="5"/>
  <c r="AO7" i="5"/>
  <c r="N84" i="14" l="1"/>
  <c r="O261" i="21" l="1"/>
  <c r="O260" i="21"/>
  <c r="O259" i="21"/>
  <c r="N261" i="21"/>
  <c r="N260" i="21"/>
  <c r="N259" i="21"/>
  <c r="R580" i="21"/>
  <c r="AW60" i="8" l="1"/>
  <c r="AW68" i="8"/>
  <c r="AW76" i="8"/>
  <c r="AV61" i="8"/>
  <c r="AV69" i="8"/>
  <c r="AV77" i="8"/>
  <c r="AU62" i="8"/>
  <c r="AU70" i="8"/>
  <c r="AU78" i="8"/>
  <c r="AP64" i="7"/>
  <c r="AP72" i="7"/>
  <c r="AO65" i="7"/>
  <c r="AO73" i="7"/>
  <c r="AN66" i="7"/>
  <c r="AN74" i="7"/>
  <c r="AO59" i="6"/>
  <c r="AO67" i="6"/>
  <c r="AO75" i="6"/>
  <c r="AN60" i="6"/>
  <c r="AN68" i="6"/>
  <c r="AN76" i="6"/>
  <c r="AM61" i="6"/>
  <c r="AM69" i="6"/>
  <c r="AM77" i="6"/>
  <c r="AN62" i="5"/>
  <c r="AN70" i="5"/>
  <c r="AN78" i="5"/>
  <c r="AM63" i="5"/>
  <c r="AM71" i="5"/>
  <c r="AW61" i="8"/>
  <c r="AW69" i="8"/>
  <c r="AW77" i="8"/>
  <c r="AV62" i="8"/>
  <c r="AV70" i="8"/>
  <c r="AV78" i="8"/>
  <c r="AU63" i="8"/>
  <c r="AU71" i="8"/>
  <c r="AU79" i="8"/>
  <c r="AP65" i="7"/>
  <c r="AP73" i="7"/>
  <c r="AO66" i="7"/>
  <c r="AO74" i="7"/>
  <c r="AN59" i="7"/>
  <c r="AN67" i="7"/>
  <c r="AN75" i="7"/>
  <c r="AO60" i="6"/>
  <c r="AO68" i="6"/>
  <c r="AO76" i="6"/>
  <c r="AW59" i="8"/>
  <c r="AW71" i="8"/>
  <c r="AV68" i="8"/>
  <c r="AU67" i="8"/>
  <c r="AU77" i="8"/>
  <c r="AP63" i="7"/>
  <c r="AP75" i="7"/>
  <c r="AO62" i="7"/>
  <c r="AO72" i="7"/>
  <c r="AN61" i="7"/>
  <c r="AN71" i="7"/>
  <c r="AO70" i="6"/>
  <c r="AN66" i="6"/>
  <c r="AN75" i="6"/>
  <c r="AM62" i="6"/>
  <c r="AM71" i="6"/>
  <c r="AN66" i="5"/>
  <c r="AN75" i="5"/>
  <c r="AM61" i="5"/>
  <c r="AM70" i="5"/>
  <c r="AM79" i="5"/>
  <c r="AL64" i="5"/>
  <c r="AL80" i="5"/>
  <c r="AW62" i="8"/>
  <c r="AW72" i="8"/>
  <c r="AV59" i="8"/>
  <c r="AV71" i="8"/>
  <c r="AU68" i="8"/>
  <c r="AP66" i="7"/>
  <c r="AP76" i="7"/>
  <c r="AO63" i="7"/>
  <c r="AO75" i="7"/>
  <c r="AN62" i="7"/>
  <c r="AN72" i="7"/>
  <c r="AO61" i="6"/>
  <c r="AO71" i="6"/>
  <c r="AN67" i="6"/>
  <c r="AN77" i="6"/>
  <c r="AM63" i="6"/>
  <c r="AM72" i="6"/>
  <c r="AN67" i="5"/>
  <c r="AN76" i="5"/>
  <c r="AM62" i="5"/>
  <c r="AM72" i="5"/>
  <c r="AM80" i="5"/>
  <c r="AL65" i="5"/>
  <c r="AL73" i="5"/>
  <c r="AW64" i="8"/>
  <c r="AW74" i="8"/>
  <c r="AV63" i="8"/>
  <c r="AV73" i="8"/>
  <c r="AU60" i="8"/>
  <c r="AU72" i="8"/>
  <c r="AP68" i="7"/>
  <c r="AP78" i="7"/>
  <c r="AO67" i="7"/>
  <c r="AO77" i="7"/>
  <c r="AN64" i="7"/>
  <c r="AN76" i="7"/>
  <c r="AO63" i="6"/>
  <c r="AO73" i="6"/>
  <c r="AN61" i="6"/>
  <c r="AN70" i="6"/>
  <c r="AN79" i="6"/>
  <c r="AM65" i="6"/>
  <c r="AM74" i="6"/>
  <c r="AN60" i="5"/>
  <c r="AN69" i="5"/>
  <c r="AN79" i="5"/>
  <c r="AM65" i="5"/>
  <c r="AM74" i="5"/>
  <c r="AL59" i="5"/>
  <c r="AL67" i="5"/>
  <c r="AL75" i="5"/>
  <c r="AW65" i="8"/>
  <c r="AW75" i="8"/>
  <c r="AV64" i="8"/>
  <c r="AV74" i="8"/>
  <c r="AU61" i="8"/>
  <c r="AU73" i="8"/>
  <c r="AP59" i="7"/>
  <c r="AP69" i="7"/>
  <c r="AP79" i="7"/>
  <c r="AO68" i="7"/>
  <c r="AO78" i="7"/>
  <c r="AN65" i="7"/>
  <c r="AN77" i="7"/>
  <c r="AO64" i="6"/>
  <c r="AO74" i="6"/>
  <c r="AN62" i="6"/>
  <c r="AN71" i="6"/>
  <c r="AM66" i="6"/>
  <c r="AM75" i="6"/>
  <c r="AN61" i="5"/>
  <c r="AN71" i="5"/>
  <c r="AN80" i="5"/>
  <c r="AM66" i="5"/>
  <c r="AM75" i="5"/>
  <c r="AL60" i="5"/>
  <c r="AL68" i="5"/>
  <c r="AL76" i="5"/>
  <c r="AW70" i="8"/>
  <c r="AV67" i="8"/>
  <c r="AU66" i="8"/>
  <c r="AP62" i="7"/>
  <c r="AO61" i="7"/>
  <c r="AN60" i="7"/>
  <c r="AO79" i="6"/>
  <c r="AN74" i="6"/>
  <c r="AM70" i="6"/>
  <c r="AN65" i="5"/>
  <c r="AM60" i="5"/>
  <c r="AM78" i="5"/>
  <c r="AL71" i="5"/>
  <c r="AV75" i="8"/>
  <c r="AO69" i="7"/>
  <c r="AO65" i="6"/>
  <c r="AN72" i="5"/>
  <c r="AL61" i="5"/>
  <c r="AV66" i="8"/>
  <c r="AO60" i="7"/>
  <c r="AO78" i="6"/>
  <c r="AN64" i="5"/>
  <c r="AW73" i="8"/>
  <c r="AV72" i="8"/>
  <c r="AU69" i="8"/>
  <c r="AP67" i="7"/>
  <c r="AO64" i="7"/>
  <c r="AN63" i="7"/>
  <c r="AO62" i="6"/>
  <c r="AN59" i="6"/>
  <c r="AN78" i="6"/>
  <c r="AM73" i="6"/>
  <c r="AN68" i="5"/>
  <c r="AM64" i="5"/>
  <c r="AM81" i="5"/>
  <c r="AL74" i="5"/>
  <c r="AW78" i="8"/>
  <c r="AU74" i="8"/>
  <c r="AP70" i="7"/>
  <c r="AN68" i="7"/>
  <c r="AN63" i="6"/>
  <c r="AM76" i="6"/>
  <c r="AM67" i="5"/>
  <c r="AL77" i="5"/>
  <c r="AW67" i="8"/>
  <c r="AN79" i="7"/>
  <c r="AM77" i="5"/>
  <c r="AW79" i="8"/>
  <c r="AV76" i="8"/>
  <c r="AU75" i="8"/>
  <c r="AP71" i="7"/>
  <c r="AO70" i="7"/>
  <c r="AN69" i="7"/>
  <c r="AO66" i="6"/>
  <c r="AN64" i="6"/>
  <c r="AM59" i="6"/>
  <c r="AM78" i="6"/>
  <c r="AN73" i="5"/>
  <c r="AM68" i="5"/>
  <c r="AL62" i="5"/>
  <c r="AV65" i="8"/>
  <c r="AP60" i="7"/>
  <c r="AN78" i="7"/>
  <c r="AN72" i="6"/>
  <c r="AN63" i="5"/>
  <c r="AM76" i="5"/>
  <c r="AL7" i="5"/>
  <c r="AN73" i="6"/>
  <c r="AV79" i="8"/>
  <c r="AU76" i="8"/>
  <c r="AP74" i="7"/>
  <c r="AO71" i="7"/>
  <c r="AN70" i="7"/>
  <c r="AO69" i="6"/>
  <c r="AN65" i="6"/>
  <c r="AM60" i="6"/>
  <c r="AM79" i="6"/>
  <c r="AN74" i="5"/>
  <c r="AM69" i="5"/>
  <c r="AL63" i="5"/>
  <c r="AL79" i="5"/>
  <c r="AW63" i="8"/>
  <c r="AV60" i="8"/>
  <c r="AU59" i="8"/>
  <c r="AP77" i="7"/>
  <c r="AO76" i="7"/>
  <c r="AN73" i="7"/>
  <c r="AO72" i="6"/>
  <c r="AN69" i="6"/>
  <c r="AM64" i="6"/>
  <c r="AN59" i="5"/>
  <c r="AN77" i="5"/>
  <c r="AM73" i="5"/>
  <c r="AL66" i="5"/>
  <c r="AW66" i="8"/>
  <c r="AU64" i="8"/>
  <c r="AO59" i="7"/>
  <c r="AO79" i="7"/>
  <c r="AO77" i="6"/>
  <c r="AM67" i="6"/>
  <c r="AN81" i="5"/>
  <c r="AL69" i="5"/>
  <c r="AU65" i="8"/>
  <c r="AP61" i="7"/>
  <c r="AM68" i="6"/>
  <c r="AM59" i="5"/>
  <c r="AM7" i="13"/>
  <c r="AM62" i="13"/>
  <c r="AM70" i="13"/>
  <c r="AM78" i="13"/>
  <c r="AL63" i="13"/>
  <c r="AL71" i="13"/>
  <c r="AL79" i="13"/>
  <c r="AW65" i="12"/>
  <c r="AW73" i="12"/>
  <c r="AV66" i="12"/>
  <c r="AV74" i="12"/>
  <c r="AM63" i="13"/>
  <c r="AM71" i="13"/>
  <c r="AM79" i="13"/>
  <c r="AL64" i="13"/>
  <c r="AL72" i="13"/>
  <c r="AW66" i="12"/>
  <c r="AW74" i="12"/>
  <c r="AV59" i="12"/>
  <c r="AV67" i="12"/>
  <c r="AV75" i="12"/>
  <c r="AM64" i="13"/>
  <c r="AM72" i="13"/>
  <c r="AL65" i="13"/>
  <c r="AL73" i="13"/>
  <c r="AW59" i="12"/>
  <c r="AW67" i="12"/>
  <c r="AW75" i="12"/>
  <c r="AV60" i="12"/>
  <c r="AV68" i="12"/>
  <c r="AV76" i="12"/>
  <c r="AM60" i="13"/>
  <c r="AM68" i="13"/>
  <c r="AM76" i="13"/>
  <c r="AL61" i="13"/>
  <c r="AL69" i="13"/>
  <c r="AL77" i="13"/>
  <c r="AW63" i="12"/>
  <c r="AW71" i="12"/>
  <c r="AW79" i="12"/>
  <c r="AV64" i="12"/>
  <c r="AV72" i="12"/>
  <c r="AM61" i="13"/>
  <c r="AM77" i="13"/>
  <c r="AL70" i="13"/>
  <c r="AW72" i="12"/>
  <c r="AV65" i="12"/>
  <c r="AU66" i="11"/>
  <c r="AU74" i="11"/>
  <c r="AT59" i="11"/>
  <c r="AT67" i="11"/>
  <c r="AT75" i="11"/>
  <c r="AM65" i="13"/>
  <c r="AL74" i="13"/>
  <c r="AW60" i="12"/>
  <c r="AW76" i="12"/>
  <c r="AV69" i="12"/>
  <c r="AU59" i="11"/>
  <c r="AU67" i="11"/>
  <c r="AU75" i="11"/>
  <c r="AT60" i="11"/>
  <c r="AT68" i="11"/>
  <c r="AT76" i="11"/>
  <c r="AM75" i="13"/>
  <c r="AL76" i="13"/>
  <c r="AW70" i="12"/>
  <c r="AV71" i="12"/>
  <c r="AU63" i="11"/>
  <c r="AU73" i="11"/>
  <c r="AT62" i="11"/>
  <c r="AT72" i="11"/>
  <c r="AL59" i="13"/>
  <c r="AL78" i="13"/>
  <c r="AW77" i="12"/>
  <c r="AV73" i="12"/>
  <c r="AU64" i="11"/>
  <c r="AU76" i="11"/>
  <c r="AT63" i="11"/>
  <c r="AT73" i="11"/>
  <c r="AM66" i="13"/>
  <c r="AL62" i="13"/>
  <c r="AW61" i="12"/>
  <c r="AV78" i="12"/>
  <c r="AU68" i="11"/>
  <c r="AU78" i="11"/>
  <c r="AT65" i="11"/>
  <c r="AT77" i="11"/>
  <c r="AL67" i="13"/>
  <c r="AW64" i="12"/>
  <c r="AM67" i="13"/>
  <c r="AL66" i="13"/>
  <c r="AW62" i="12"/>
  <c r="AV61" i="12"/>
  <c r="AV79" i="12"/>
  <c r="AU69" i="11"/>
  <c r="AU79" i="11"/>
  <c r="AT66" i="11"/>
  <c r="AT78" i="11"/>
  <c r="AM69" i="13"/>
  <c r="AV70" i="12"/>
  <c r="AU72" i="11"/>
  <c r="AT71" i="11"/>
  <c r="AM73" i="13"/>
  <c r="AU60" i="11"/>
  <c r="AT79" i="11"/>
  <c r="AM59" i="13"/>
  <c r="AV77" i="12"/>
  <c r="AU77" i="11"/>
  <c r="AT74" i="11"/>
  <c r="AM74" i="13"/>
  <c r="AW68" i="12"/>
  <c r="AU61" i="11"/>
  <c r="AV62" i="12"/>
  <c r="AT69" i="11"/>
  <c r="AU71" i="11"/>
  <c r="AL60" i="13"/>
  <c r="AW69" i="12"/>
  <c r="AU62" i="11"/>
  <c r="AT61" i="11"/>
  <c r="AL68" i="13"/>
  <c r="AW78" i="12"/>
  <c r="AU65" i="11"/>
  <c r="AT64" i="11"/>
  <c r="AL75" i="13"/>
  <c r="AU70" i="11"/>
  <c r="AV63" i="12"/>
  <c r="AT70" i="11"/>
  <c r="AN31" i="7"/>
  <c r="AT44" i="11"/>
  <c r="AT50" i="11"/>
  <c r="AT35" i="11"/>
  <c r="AT28" i="11"/>
  <c r="AT14" i="11"/>
  <c r="AT58" i="11"/>
  <c r="AU32" i="11"/>
  <c r="AU14" i="11"/>
  <c r="AT7" i="11"/>
  <c r="AV49" i="12"/>
  <c r="AV34" i="12"/>
  <c r="AV27" i="12"/>
  <c r="AV13" i="12"/>
  <c r="AV57" i="12"/>
  <c r="AW48" i="12"/>
  <c r="AW45" i="12"/>
  <c r="AW34" i="12"/>
  <c r="AW27" i="12"/>
  <c r="AW16" i="12"/>
  <c r="AW13" i="12"/>
  <c r="AL54" i="13"/>
  <c r="AL26" i="13"/>
  <c r="AT48" i="11"/>
  <c r="AT40" i="11"/>
  <c r="AT34" i="11"/>
  <c r="AT27" i="11"/>
  <c r="AT19" i="11"/>
  <c r="AT12" i="11"/>
  <c r="AT55" i="11"/>
  <c r="AU56" i="11"/>
  <c r="AU52" i="11"/>
  <c r="AU38" i="11"/>
  <c r="AU24" i="11"/>
  <c r="AU20" i="11"/>
  <c r="AU9" i="11"/>
  <c r="AV54" i="12"/>
  <c r="AV47" i="12"/>
  <c r="AV39" i="12"/>
  <c r="AV33" i="12"/>
  <c r="AV26" i="12"/>
  <c r="AV18" i="12"/>
  <c r="AV11" i="12"/>
  <c r="AW58" i="12"/>
  <c r="AW54" i="12"/>
  <c r="AW51" i="12"/>
  <c r="AW40" i="12"/>
  <c r="AW37" i="12"/>
  <c r="AW33" i="12"/>
  <c r="AW26" i="12"/>
  <c r="AW22" i="12"/>
  <c r="AW19" i="12"/>
  <c r="AW8" i="12"/>
  <c r="AL53" i="13"/>
  <c r="AL45" i="13"/>
  <c r="AL38" i="13"/>
  <c r="AL31" i="13"/>
  <c r="AL23" i="13"/>
  <c r="AL17" i="13"/>
  <c r="AT54" i="11"/>
  <c r="AT46" i="11"/>
  <c r="AT39" i="11"/>
  <c r="AT32" i="11"/>
  <c r="AT24" i="11"/>
  <c r="AT18" i="11"/>
  <c r="AT11" i="11"/>
  <c r="AU48" i="11"/>
  <c r="AU44" i="11"/>
  <c r="AU30" i="11"/>
  <c r="AU16" i="11"/>
  <c r="AU12" i="11"/>
  <c r="AU8" i="11"/>
  <c r="AV53" i="12"/>
  <c r="AV45" i="12"/>
  <c r="AV38" i="12"/>
  <c r="AV31" i="12"/>
  <c r="AV23" i="12"/>
  <c r="AV17" i="12"/>
  <c r="AV10" i="12"/>
  <c r="AW57" i="12"/>
  <c r="AW50" i="12"/>
  <c r="AW46" i="12"/>
  <c r="AW43" i="12"/>
  <c r="AW32" i="12"/>
  <c r="AW29" i="12"/>
  <c r="AW25" i="12"/>
  <c r="AW18" i="12"/>
  <c r="AW14" i="12"/>
  <c r="AW11" i="12"/>
  <c r="AL50" i="13"/>
  <c r="AL43" i="13"/>
  <c r="AL37" i="13"/>
  <c r="AL29" i="13"/>
  <c r="AL22" i="13"/>
  <c r="AL15" i="13"/>
  <c r="AT51" i="11"/>
  <c r="AT38" i="11"/>
  <c r="AT30" i="11"/>
  <c r="AT23" i="11"/>
  <c r="AT16" i="11"/>
  <c r="AT8" i="11"/>
  <c r="AU54" i="11"/>
  <c r="AU40" i="11"/>
  <c r="AU36" i="11"/>
  <c r="AU22" i="11"/>
  <c r="AV50" i="12"/>
  <c r="AV43" i="12"/>
  <c r="AV37" i="12"/>
  <c r="AV29" i="12"/>
  <c r="AV22" i="12"/>
  <c r="AV15" i="12"/>
  <c r="AV58" i="12"/>
  <c r="AW56" i="12"/>
  <c r="AW53" i="12"/>
  <c r="AW49" i="12"/>
  <c r="AW42" i="12"/>
  <c r="AW38" i="12"/>
  <c r="AW35" i="12"/>
  <c r="AW24" i="12"/>
  <c r="AW21" i="12"/>
  <c r="AW17" i="12"/>
  <c r="AW10" i="12"/>
  <c r="AL7" i="13"/>
  <c r="AL49" i="13"/>
  <c r="AL42" i="13"/>
  <c r="AL34" i="13"/>
  <c r="AL27" i="13"/>
  <c r="AL21" i="13"/>
  <c r="AL11" i="13"/>
  <c r="AT43" i="11"/>
  <c r="AT22" i="11"/>
  <c r="AU46" i="11"/>
  <c r="AU28" i="11"/>
  <c r="AV42" i="12"/>
  <c r="AV21" i="12"/>
  <c r="AW41" i="12"/>
  <c r="AW30" i="12"/>
  <c r="AW9" i="12"/>
  <c r="AL47" i="13"/>
  <c r="AL39" i="13"/>
  <c r="AL33" i="13"/>
  <c r="AL18" i="13"/>
  <c r="AL55" i="13"/>
  <c r="AT52" i="11"/>
  <c r="AT47" i="11"/>
  <c r="AT42" i="11"/>
  <c r="AT36" i="11"/>
  <c r="AT31" i="11"/>
  <c r="AT26" i="11"/>
  <c r="AT20" i="11"/>
  <c r="AT15" i="11"/>
  <c r="AT10" i="11"/>
  <c r="AT56" i="11"/>
  <c r="AU58" i="11"/>
  <c r="AU50" i="11"/>
  <c r="AU42" i="11"/>
  <c r="AU34" i="11"/>
  <c r="AU26" i="11"/>
  <c r="AU18" i="11"/>
  <c r="AU7" i="11"/>
  <c r="AV51" i="12"/>
  <c r="AV46" i="12"/>
  <c r="AV41" i="12"/>
  <c r="AV35" i="12"/>
  <c r="AV30" i="12"/>
  <c r="AV25" i="12"/>
  <c r="AV19" i="12"/>
  <c r="AV14" i="12"/>
  <c r="AV9" i="12"/>
  <c r="AV55" i="12"/>
  <c r="AW55" i="12"/>
  <c r="AW52" i="12"/>
  <c r="AW47" i="12"/>
  <c r="AW44" i="12"/>
  <c r="AW39" i="12"/>
  <c r="AW36" i="12"/>
  <c r="AW31" i="12"/>
  <c r="AW28" i="12"/>
  <c r="AW23" i="12"/>
  <c r="AW20" i="12"/>
  <c r="AW15" i="12"/>
  <c r="AW12" i="12"/>
  <c r="AW7" i="12"/>
  <c r="AL51" i="13"/>
  <c r="AL46" i="13"/>
  <c r="AL41" i="13"/>
  <c r="AL35" i="13"/>
  <c r="AL30" i="13"/>
  <c r="AL25" i="13"/>
  <c r="AL19" i="13"/>
  <c r="AL14" i="13"/>
  <c r="AT53" i="11"/>
  <c r="AT49" i="11"/>
  <c r="AT45" i="11"/>
  <c r="AT41" i="11"/>
  <c r="AT37" i="11"/>
  <c r="AT33" i="11"/>
  <c r="AT29" i="11"/>
  <c r="AT25" i="11"/>
  <c r="AT21" i="11"/>
  <c r="AT17" i="11"/>
  <c r="AT13" i="11"/>
  <c r="AT9" i="11"/>
  <c r="AT57" i="11"/>
  <c r="AU57" i="11"/>
  <c r="AU55" i="11"/>
  <c r="AU53" i="11"/>
  <c r="AU51" i="11"/>
  <c r="AU49" i="11"/>
  <c r="AU47" i="11"/>
  <c r="AU45" i="11"/>
  <c r="AU43" i="11"/>
  <c r="AU41" i="11"/>
  <c r="AU39" i="11"/>
  <c r="AU37" i="11"/>
  <c r="AU35" i="11"/>
  <c r="AU33" i="11"/>
  <c r="AU31" i="11"/>
  <c r="AU29" i="11"/>
  <c r="AU27" i="11"/>
  <c r="AU25" i="11"/>
  <c r="AU23" i="11"/>
  <c r="AU21" i="11"/>
  <c r="AU19" i="11"/>
  <c r="AU17" i="11"/>
  <c r="AU15" i="11"/>
  <c r="AU13" i="11"/>
  <c r="AU11" i="11"/>
  <c r="AV52" i="12"/>
  <c r="AV48" i="12"/>
  <c r="AV44" i="12"/>
  <c r="AV40" i="12"/>
  <c r="AV36" i="12"/>
  <c r="AV32" i="12"/>
  <c r="AV28" i="12"/>
  <c r="AV24" i="12"/>
  <c r="AV20" i="12"/>
  <c r="AV16" i="12"/>
  <c r="AV12" i="12"/>
  <c r="AV8" i="12"/>
  <c r="AV56" i="12"/>
  <c r="AV7" i="12"/>
  <c r="AL52" i="13"/>
  <c r="AL48" i="13"/>
  <c r="AL44" i="13"/>
  <c r="AL40" i="13"/>
  <c r="AL36" i="13"/>
  <c r="AL32" i="13"/>
  <c r="AL28" i="13"/>
  <c r="AL24" i="13"/>
  <c r="AL20" i="13"/>
  <c r="AL16" i="13"/>
  <c r="AL12" i="13"/>
  <c r="AL8" i="13"/>
  <c r="AL56" i="13"/>
  <c r="AM58" i="13"/>
  <c r="AM56" i="13"/>
  <c r="AM54" i="13"/>
  <c r="AM52" i="13"/>
  <c r="AM50" i="13"/>
  <c r="AM48" i="13"/>
  <c r="AM46" i="13"/>
  <c r="AM44" i="13"/>
  <c r="AM42" i="13"/>
  <c r="AM40" i="13"/>
  <c r="AM38" i="13"/>
  <c r="AM36" i="13"/>
  <c r="AM34" i="13"/>
  <c r="AM32" i="13"/>
  <c r="AM30" i="13"/>
  <c r="AM28" i="13"/>
  <c r="AM26" i="13"/>
  <c r="AM24" i="13"/>
  <c r="AM22" i="13"/>
  <c r="AM20" i="13"/>
  <c r="AM18" i="13"/>
  <c r="AM16" i="13"/>
  <c r="AM14" i="13"/>
  <c r="AM12" i="13"/>
  <c r="AM10" i="13"/>
  <c r="AM8" i="13"/>
  <c r="AL10" i="13"/>
  <c r="AL58" i="13"/>
  <c r="AL13" i="13"/>
  <c r="AL9" i="13"/>
  <c r="AL57" i="13"/>
  <c r="AM57" i="13"/>
  <c r="AM55" i="13"/>
  <c r="AM53" i="13"/>
  <c r="AM51" i="13"/>
  <c r="AM49" i="13"/>
  <c r="AM47" i="13"/>
  <c r="AM45" i="13"/>
  <c r="AM43" i="13"/>
  <c r="AM41" i="13"/>
  <c r="AM39" i="13"/>
  <c r="AM37" i="13"/>
  <c r="AM35" i="13"/>
  <c r="AM33" i="13"/>
  <c r="AM31" i="13"/>
  <c r="AM29" i="13"/>
  <c r="AM27" i="13"/>
  <c r="AM25" i="13"/>
  <c r="AM23" i="13"/>
  <c r="AM21" i="13"/>
  <c r="AM19" i="13"/>
  <c r="AM17" i="13"/>
  <c r="AM15" i="13"/>
  <c r="AM13" i="13"/>
  <c r="AM11" i="13"/>
  <c r="AM9" i="13"/>
  <c r="AL48" i="5"/>
  <c r="AL32" i="5"/>
  <c r="AL20" i="5"/>
  <c r="AN53" i="5"/>
  <c r="AN48" i="5"/>
  <c r="AN40" i="5"/>
  <c r="AM35" i="5"/>
  <c r="AM27" i="5"/>
  <c r="AN21" i="5"/>
  <c r="AN16" i="5"/>
  <c r="AM57" i="5"/>
  <c r="AL47" i="5"/>
  <c r="AL24" i="5"/>
  <c r="AL14" i="5"/>
  <c r="AN50" i="5"/>
  <c r="AM45" i="5"/>
  <c r="AM37" i="5"/>
  <c r="AM29" i="5"/>
  <c r="AN23" i="5"/>
  <c r="AN15" i="5"/>
  <c r="AM13" i="5"/>
  <c r="AN7" i="5"/>
  <c r="AL56" i="5"/>
  <c r="AM51" i="6"/>
  <c r="AM46" i="6"/>
  <c r="AM35" i="6"/>
  <c r="AM30" i="6"/>
  <c r="AM19" i="6"/>
  <c r="AM8" i="6"/>
  <c r="AO57" i="6"/>
  <c r="AN52" i="6"/>
  <c r="AO49" i="6"/>
  <c r="AN44" i="6"/>
  <c r="AO38" i="6"/>
  <c r="AO30" i="6"/>
  <c r="AO26" i="6"/>
  <c r="AO18" i="6"/>
  <c r="AO10" i="6"/>
  <c r="AN47" i="7"/>
  <c r="AL51" i="5"/>
  <c r="AL45" i="5"/>
  <c r="AL40" i="5"/>
  <c r="AL35" i="5"/>
  <c r="AL28" i="5"/>
  <c r="AL23" i="5"/>
  <c r="AL18" i="5"/>
  <c r="AL12" i="5"/>
  <c r="AL54" i="5"/>
  <c r="AN52" i="5"/>
  <c r="AN49" i="5"/>
  <c r="AM47" i="5"/>
  <c r="AN44" i="5"/>
  <c r="AN41" i="5"/>
  <c r="AM39" i="5"/>
  <c r="AN36" i="5"/>
  <c r="AN33" i="5"/>
  <c r="AM31" i="5"/>
  <c r="AN28" i="5"/>
  <c r="AN25" i="5"/>
  <c r="AM23" i="5"/>
  <c r="AN20" i="5"/>
  <c r="AN17" i="5"/>
  <c r="AM15" i="5"/>
  <c r="AN12" i="5"/>
  <c r="AN9" i="5"/>
  <c r="AM7" i="5"/>
  <c r="AM55" i="5"/>
  <c r="AM50" i="6"/>
  <c r="AM44" i="6"/>
  <c r="AM39" i="6"/>
  <c r="AM34" i="6"/>
  <c r="AM28" i="6"/>
  <c r="AM23" i="6"/>
  <c r="AM18" i="6"/>
  <c r="AM12" i="6"/>
  <c r="AO56" i="6"/>
  <c r="AO51" i="6"/>
  <c r="AO48" i="6"/>
  <c r="AN46" i="6"/>
  <c r="AO43" i="6"/>
  <c r="AO40" i="6"/>
  <c r="AN38" i="6"/>
  <c r="AN34" i="6"/>
  <c r="AN30" i="6"/>
  <c r="AN26" i="6"/>
  <c r="AN22" i="6"/>
  <c r="AN18" i="6"/>
  <c r="AN14" i="6"/>
  <c r="AN10" i="6"/>
  <c r="AN54" i="7"/>
  <c r="AN43" i="7"/>
  <c r="AL49" i="5"/>
  <c r="AL44" i="5"/>
  <c r="AL39" i="5"/>
  <c r="AL33" i="5"/>
  <c r="AL27" i="5"/>
  <c r="AL22" i="5"/>
  <c r="AL16" i="5"/>
  <c r="AL11" i="5"/>
  <c r="AN54" i="5"/>
  <c r="AN51" i="5"/>
  <c r="AM49" i="5"/>
  <c r="AN46" i="5"/>
  <c r="AN43" i="5"/>
  <c r="AM41" i="5"/>
  <c r="AN38" i="5"/>
  <c r="AN35" i="5"/>
  <c r="AM33" i="5"/>
  <c r="AN30" i="5"/>
  <c r="AN27" i="5"/>
  <c r="AM25" i="5"/>
  <c r="AN22" i="5"/>
  <c r="AN19" i="5"/>
  <c r="AM17" i="5"/>
  <c r="AN14" i="5"/>
  <c r="AN11" i="5"/>
  <c r="AM9" i="5"/>
  <c r="AL58" i="5"/>
  <c r="AN58" i="5"/>
  <c r="AM54" i="6"/>
  <c r="AM48" i="6"/>
  <c r="AM43" i="6"/>
  <c r="AM38" i="6"/>
  <c r="AM32" i="6"/>
  <c r="AM27" i="6"/>
  <c r="AM22" i="6"/>
  <c r="AM16" i="6"/>
  <c r="AM11" i="6"/>
  <c r="AM58" i="6"/>
  <c r="AO58" i="6"/>
  <c r="AN56" i="6"/>
  <c r="AO53" i="6"/>
  <c r="AO50" i="6"/>
  <c r="AN48" i="6"/>
  <c r="AO45" i="6"/>
  <c r="AO42" i="6"/>
  <c r="AN40" i="6"/>
  <c r="AO36" i="6"/>
  <c r="AO32" i="6"/>
  <c r="AO28" i="6"/>
  <c r="AO24" i="6"/>
  <c r="AO20" i="6"/>
  <c r="AO16" i="6"/>
  <c r="AO12" i="6"/>
  <c r="AO8" i="6"/>
  <c r="AN51" i="7"/>
  <c r="AN39" i="7"/>
  <c r="AL37" i="5"/>
  <c r="AL10" i="5"/>
  <c r="AM43" i="5"/>
  <c r="AN29" i="5"/>
  <c r="AM19" i="5"/>
  <c r="AN13" i="5"/>
  <c r="AN8" i="5"/>
  <c r="AL57" i="5"/>
  <c r="AN57" i="5"/>
  <c r="AM52" i="6"/>
  <c r="AM47" i="6"/>
  <c r="AM42" i="6"/>
  <c r="AM36" i="6"/>
  <c r="AM31" i="6"/>
  <c r="AM26" i="6"/>
  <c r="AM20" i="6"/>
  <c r="AM15" i="6"/>
  <c r="AM10" i="6"/>
  <c r="AM56" i="6"/>
  <c r="AN58" i="6"/>
  <c r="AO55" i="6"/>
  <c r="AO52" i="6"/>
  <c r="AN50" i="6"/>
  <c r="AO47" i="6"/>
  <c r="AO44" i="6"/>
  <c r="AN42" i="6"/>
  <c r="AO39" i="6"/>
  <c r="AN36" i="6"/>
  <c r="AN32" i="6"/>
  <c r="AN28" i="6"/>
  <c r="AN24" i="6"/>
  <c r="AN20" i="6"/>
  <c r="AN16" i="6"/>
  <c r="AN12" i="6"/>
  <c r="AN8" i="6"/>
  <c r="AN50" i="7"/>
  <c r="AN35" i="7"/>
  <c r="AL53" i="5"/>
  <c r="AL43" i="5"/>
  <c r="AL26" i="5"/>
  <c r="AL15" i="5"/>
  <c r="AM51" i="5"/>
  <c r="AN45" i="5"/>
  <c r="AN37" i="5"/>
  <c r="AN32" i="5"/>
  <c r="AN24" i="5"/>
  <c r="AM11" i="5"/>
  <c r="AL36" i="5"/>
  <c r="AL29" i="5"/>
  <c r="AN42" i="5"/>
  <c r="AN34" i="5"/>
  <c r="AN26" i="5"/>
  <c r="AN18" i="5"/>
  <c r="AN10" i="5"/>
  <c r="AM56" i="5"/>
  <c r="AN56" i="5"/>
  <c r="AM40" i="6"/>
  <c r="AM24" i="6"/>
  <c r="AM14" i="6"/>
  <c r="AM55" i="6"/>
  <c r="AO54" i="6"/>
  <c r="AO46" i="6"/>
  <c r="AO41" i="6"/>
  <c r="AO34" i="6"/>
  <c r="AO22" i="6"/>
  <c r="AO14" i="6"/>
  <c r="AM7" i="6"/>
  <c r="AV57" i="8"/>
  <c r="AW7" i="8"/>
  <c r="AW9" i="8"/>
  <c r="AW11" i="8"/>
  <c r="AW13" i="8"/>
  <c r="AW15" i="8"/>
  <c r="AW17" i="8"/>
  <c r="AW19" i="8"/>
  <c r="AW21" i="8"/>
  <c r="AW23" i="8"/>
  <c r="AW25" i="8"/>
  <c r="AW27" i="8"/>
  <c r="AW29" i="8"/>
  <c r="AW31" i="8"/>
  <c r="AW33" i="8"/>
  <c r="AW35" i="8"/>
  <c r="AW37" i="8"/>
  <c r="AW39" i="8"/>
  <c r="AW41" i="8"/>
  <c r="AW43" i="8"/>
  <c r="AW45" i="8"/>
  <c r="AW47" i="8"/>
  <c r="AV50" i="8"/>
  <c r="AV52" i="8"/>
  <c r="AV54" i="8"/>
  <c r="AV56" i="8"/>
  <c r="AW58" i="8"/>
  <c r="AU56" i="8"/>
  <c r="AU8" i="8"/>
  <c r="AU12" i="8"/>
  <c r="AU16" i="8"/>
  <c r="AU20" i="8"/>
  <c r="AU24" i="8"/>
  <c r="AU28" i="8"/>
  <c r="AU32" i="8"/>
  <c r="AU36" i="8"/>
  <c r="AU40" i="8"/>
  <c r="AU44" i="8"/>
  <c r="AU48" i="8"/>
  <c r="AU52" i="8"/>
  <c r="AO11" i="7"/>
  <c r="AP8" i="7"/>
  <c r="AP10" i="7"/>
  <c r="AO13" i="7"/>
  <c r="AO15" i="7"/>
  <c r="AO17" i="7"/>
  <c r="AO19" i="7"/>
  <c r="AO21" i="7"/>
  <c r="AO23" i="7"/>
  <c r="AO25" i="7"/>
  <c r="AO27" i="7"/>
  <c r="AO29" i="7"/>
  <c r="AO31" i="7"/>
  <c r="AO33" i="7"/>
  <c r="AO35" i="7"/>
  <c r="AO37" i="7"/>
  <c r="AO39" i="7"/>
  <c r="AO41" i="7"/>
  <c r="AO43" i="7"/>
  <c r="AO45" i="7"/>
  <c r="AO47" i="7"/>
  <c r="AO49" i="7"/>
  <c r="AO51" i="7"/>
  <c r="AO53" i="7"/>
  <c r="AO55" i="7"/>
  <c r="AO57" i="7"/>
  <c r="AN57" i="7"/>
  <c r="AN9" i="7"/>
  <c r="AN13" i="7"/>
  <c r="AN21" i="7"/>
  <c r="AN25" i="7"/>
  <c r="AN29" i="7"/>
  <c r="AN33" i="7"/>
  <c r="AN37" i="7"/>
  <c r="AN41" i="7"/>
  <c r="AN49" i="7"/>
  <c r="AN53" i="7"/>
  <c r="AO9" i="6"/>
  <c r="AO15" i="6"/>
  <c r="AO19" i="6"/>
  <c r="AO23" i="6"/>
  <c r="AO29" i="6"/>
  <c r="AO33" i="6"/>
  <c r="AO37" i="6"/>
  <c r="AU7" i="8"/>
  <c r="AV8" i="8"/>
  <c r="AV10" i="8"/>
  <c r="AV12" i="8"/>
  <c r="AV14" i="8"/>
  <c r="AV16" i="8"/>
  <c r="AV18" i="8"/>
  <c r="AV20" i="8"/>
  <c r="AV22" i="8"/>
  <c r="AV24" i="8"/>
  <c r="AV26" i="8"/>
  <c r="AV28" i="8"/>
  <c r="AV30" i="8"/>
  <c r="AV32" i="8"/>
  <c r="AV34" i="8"/>
  <c r="AV36" i="8"/>
  <c r="AV38" i="8"/>
  <c r="AV40" i="8"/>
  <c r="AV42" i="8"/>
  <c r="AV44" i="8"/>
  <c r="AV46" i="8"/>
  <c r="AV48" i="8"/>
  <c r="AW50" i="8"/>
  <c r="AW52" i="8"/>
  <c r="AW54" i="8"/>
  <c r="AW56" i="8"/>
  <c r="AU57" i="8"/>
  <c r="AU9" i="8"/>
  <c r="AU13" i="8"/>
  <c r="AU17" i="8"/>
  <c r="AU21" i="8"/>
  <c r="AU25" i="8"/>
  <c r="AU29" i="8"/>
  <c r="AU33" i="8"/>
  <c r="AU37" i="8"/>
  <c r="AU41" i="8"/>
  <c r="AU45" i="8"/>
  <c r="AU49" i="8"/>
  <c r="AU53" i="8"/>
  <c r="AO7" i="7"/>
  <c r="AO9" i="7"/>
  <c r="AP11" i="7"/>
  <c r="AP13" i="7"/>
  <c r="AP15" i="7"/>
  <c r="AP17" i="7"/>
  <c r="AP19" i="7"/>
  <c r="AP21" i="7"/>
  <c r="AP23" i="7"/>
  <c r="AP25" i="7"/>
  <c r="AP27" i="7"/>
  <c r="AP29" i="7"/>
  <c r="AP31" i="7"/>
  <c r="AP33" i="7"/>
  <c r="AP35" i="7"/>
  <c r="AP37" i="7"/>
  <c r="AP39" i="7"/>
  <c r="AP41" i="7"/>
  <c r="AP43" i="7"/>
  <c r="AP45" i="7"/>
  <c r="AP47" i="7"/>
  <c r="AP49" i="7"/>
  <c r="AP51" i="7"/>
  <c r="AP53" i="7"/>
  <c r="AP55" i="7"/>
  <c r="AP57" i="7"/>
  <c r="AN58" i="7"/>
  <c r="AN10" i="7"/>
  <c r="AN14" i="7"/>
  <c r="AN18" i="7"/>
  <c r="AN22" i="7"/>
  <c r="AN26" i="7"/>
  <c r="AN30" i="7"/>
  <c r="AN34" i="7"/>
  <c r="AN38" i="7"/>
  <c r="AN42" i="7"/>
  <c r="AN46" i="7"/>
  <c r="AW49" i="8"/>
  <c r="AW8" i="8"/>
  <c r="AW10" i="8"/>
  <c r="AW12" i="8"/>
  <c r="AW14" i="8"/>
  <c r="AW16" i="8"/>
  <c r="AW18" i="8"/>
  <c r="AW20" i="8"/>
  <c r="AW22" i="8"/>
  <c r="AW24" i="8"/>
  <c r="AW26" i="8"/>
  <c r="AW28" i="8"/>
  <c r="AW30" i="8"/>
  <c r="AW32" i="8"/>
  <c r="AW34" i="8"/>
  <c r="AW36" i="8"/>
  <c r="AW38" i="8"/>
  <c r="AW40" i="8"/>
  <c r="AW42" i="8"/>
  <c r="AW44" i="8"/>
  <c r="AW46" i="8"/>
  <c r="AW48" i="8"/>
  <c r="AV51" i="8"/>
  <c r="AV53" i="8"/>
  <c r="AV55" i="8"/>
  <c r="AW57" i="8"/>
  <c r="AU58" i="8"/>
  <c r="AU10" i="8"/>
  <c r="AU14" i="8"/>
  <c r="AU18" i="8"/>
  <c r="AU22" i="8"/>
  <c r="AU26" i="8"/>
  <c r="AU30" i="8"/>
  <c r="AU34" i="8"/>
  <c r="AU38" i="8"/>
  <c r="AU42" i="8"/>
  <c r="AU46" i="8"/>
  <c r="AU50" i="8"/>
  <c r="AU54" i="8"/>
  <c r="AP7" i="7"/>
  <c r="AP9" i="7"/>
  <c r="AO12" i="7"/>
  <c r="AO14" i="7"/>
  <c r="AO16" i="7"/>
  <c r="AO18" i="7"/>
  <c r="AO20" i="7"/>
  <c r="AO22" i="7"/>
  <c r="AO24" i="7"/>
  <c r="AO26" i="7"/>
  <c r="AO28" i="7"/>
  <c r="AO30" i="7"/>
  <c r="AO32" i="7"/>
  <c r="AO34" i="7"/>
  <c r="AO36" i="7"/>
  <c r="AO38" i="7"/>
  <c r="AO40" i="7"/>
  <c r="AO42" i="7"/>
  <c r="AO44" i="7"/>
  <c r="AO46" i="7"/>
  <c r="AO48" i="7"/>
  <c r="AO50" i="7"/>
  <c r="AO52" i="7"/>
  <c r="AO54" i="7"/>
  <c r="AO56" i="7"/>
  <c r="AO58" i="7"/>
  <c r="AN55" i="7"/>
  <c r="AN11" i="7"/>
  <c r="AN15" i="7"/>
  <c r="AN19" i="7"/>
  <c r="AN23" i="7"/>
  <c r="AN27" i="7"/>
  <c r="AV7" i="8"/>
  <c r="AV9" i="8"/>
  <c r="AV11" i="8"/>
  <c r="AV13" i="8"/>
  <c r="AV15" i="8"/>
  <c r="AV17" i="8"/>
  <c r="AV19" i="8"/>
  <c r="AV21" i="8"/>
  <c r="AV23" i="8"/>
  <c r="AV25" i="8"/>
  <c r="AV27" i="8"/>
  <c r="AV29" i="8"/>
  <c r="AV31" i="8"/>
  <c r="AV33" i="8"/>
  <c r="AV35" i="8"/>
  <c r="AV37" i="8"/>
  <c r="AV39" i="8"/>
  <c r="AV41" i="8"/>
  <c r="AV43" i="8"/>
  <c r="AV45" i="8"/>
  <c r="AV47" i="8"/>
  <c r="AV49" i="8"/>
  <c r="AW51" i="8"/>
  <c r="AW53" i="8"/>
  <c r="AW55" i="8"/>
  <c r="AV58" i="8"/>
  <c r="AU55" i="8"/>
  <c r="AU11" i="8"/>
  <c r="AU15" i="8"/>
  <c r="AU19" i="8"/>
  <c r="AU23" i="8"/>
  <c r="AU27" i="8"/>
  <c r="AU31" i="8"/>
  <c r="AU35" i="8"/>
  <c r="AU39" i="8"/>
  <c r="AU43" i="8"/>
  <c r="AU47" i="8"/>
  <c r="AU51" i="8"/>
  <c r="AN7" i="7"/>
  <c r="AO8" i="7"/>
  <c r="AO10" i="7"/>
  <c r="AP12" i="7"/>
  <c r="AP14" i="7"/>
  <c r="AP16" i="7"/>
  <c r="AP18" i="7"/>
  <c r="AP20" i="7"/>
  <c r="AP22" i="7"/>
  <c r="AP24" i="7"/>
  <c r="AP26" i="7"/>
  <c r="AP28" i="7"/>
  <c r="AP30" i="7"/>
  <c r="AP32" i="7"/>
  <c r="AP34" i="7"/>
  <c r="AP36" i="7"/>
  <c r="AP38" i="7"/>
  <c r="AP40" i="7"/>
  <c r="AP42" i="7"/>
  <c r="AP44" i="7"/>
  <c r="AP46" i="7"/>
  <c r="AP48" i="7"/>
  <c r="AP50" i="7"/>
  <c r="AP52" i="7"/>
  <c r="AP54" i="7"/>
  <c r="AP56" i="7"/>
  <c r="AP58" i="7"/>
  <c r="AN56" i="7"/>
  <c r="AN8" i="7"/>
  <c r="AN12" i="7"/>
  <c r="AN16" i="7"/>
  <c r="AN20" i="7"/>
  <c r="AN24" i="7"/>
  <c r="AN28" i="7"/>
  <c r="AN32" i="7"/>
  <c r="AN36" i="7"/>
  <c r="AN40" i="7"/>
  <c r="AN44" i="7"/>
  <c r="AN48" i="7"/>
  <c r="AN52" i="7"/>
  <c r="AO7" i="6"/>
  <c r="AN9" i="6"/>
  <c r="AN11" i="6"/>
  <c r="AN13" i="6"/>
  <c r="AN15" i="6"/>
  <c r="AN17" i="6"/>
  <c r="AN19" i="6"/>
  <c r="AN21" i="6"/>
  <c r="AN23" i="6"/>
  <c r="AN25" i="6"/>
  <c r="AN27" i="6"/>
  <c r="AN29" i="6"/>
  <c r="AN31" i="6"/>
  <c r="AN33" i="6"/>
  <c r="AN35" i="6"/>
  <c r="AN37" i="6"/>
  <c r="AN39" i="6"/>
  <c r="AN41" i="6"/>
  <c r="AN43" i="6"/>
  <c r="AN45" i="6"/>
  <c r="AN47" i="6"/>
  <c r="AN49" i="6"/>
  <c r="AN51" i="6"/>
  <c r="AN53" i="6"/>
  <c r="AN55" i="6"/>
  <c r="AN57" i="6"/>
  <c r="AM57" i="6"/>
  <c r="AM9" i="6"/>
  <c r="AM13" i="6"/>
  <c r="AM17" i="6"/>
  <c r="AM21" i="6"/>
  <c r="AM25" i="6"/>
  <c r="AM29" i="6"/>
  <c r="AM33" i="6"/>
  <c r="AM37" i="6"/>
  <c r="AM41" i="6"/>
  <c r="AM45" i="6"/>
  <c r="AM49" i="6"/>
  <c r="AM53" i="6"/>
  <c r="AN55" i="5"/>
  <c r="AL55" i="5"/>
  <c r="AM58" i="5"/>
  <c r="AM8" i="5"/>
  <c r="AM10" i="5"/>
  <c r="AM12" i="5"/>
  <c r="AM14" i="5"/>
  <c r="AM16" i="5"/>
  <c r="AM18" i="5"/>
  <c r="AM20" i="5"/>
  <c r="AM22" i="5"/>
  <c r="AM24" i="5"/>
  <c r="AM26" i="5"/>
  <c r="AM28" i="5"/>
  <c r="AM30" i="5"/>
  <c r="AM32" i="5"/>
  <c r="AM34" i="5"/>
  <c r="AM36" i="5"/>
  <c r="AM38" i="5"/>
  <c r="AM40" i="5"/>
  <c r="AM42" i="5"/>
  <c r="AM44" i="5"/>
  <c r="AM46" i="5"/>
  <c r="AM48" i="5"/>
  <c r="AM50" i="5"/>
  <c r="AM52" i="5"/>
  <c r="AM54" i="5"/>
  <c r="AL9" i="5"/>
  <c r="AL13" i="5"/>
  <c r="AL17" i="5"/>
  <c r="AL21" i="5"/>
  <c r="AL25" i="5"/>
  <c r="AL30" i="5"/>
  <c r="AL34" i="5"/>
  <c r="AL38" i="5"/>
  <c r="AL42" i="5"/>
  <c r="AL46" i="5"/>
  <c r="AL50" i="5"/>
  <c r="AL8" i="5"/>
  <c r="AN17" i="7"/>
  <c r="AN45" i="7"/>
  <c r="AN7" i="6"/>
  <c r="AO11" i="6"/>
  <c r="AO13" i="6"/>
  <c r="AO17" i="6"/>
  <c r="AO21" i="6"/>
  <c r="AO25" i="6"/>
  <c r="AO27" i="6"/>
  <c r="AO31" i="6"/>
  <c r="AO35" i="6"/>
  <c r="AL52" i="5"/>
  <c r="AL41" i="5"/>
  <c r="AL31" i="5"/>
  <c r="AL19" i="5"/>
  <c r="AM53" i="5"/>
  <c r="AN47" i="5"/>
  <c r="AN39" i="5"/>
  <c r="AN31" i="5"/>
  <c r="AM21" i="5"/>
  <c r="AN54" i="6"/>
  <c r="Q607" i="21"/>
  <c r="B676" i="21"/>
  <c r="B62" i="21"/>
  <c r="AD487" i="21" l="1"/>
  <c r="AD486" i="21"/>
  <c r="AA485" i="21"/>
  <c r="AA481" i="21"/>
  <c r="AD484" i="21"/>
  <c r="AD485" i="21"/>
  <c r="AA484" i="21"/>
  <c r="AL70" i="5"/>
  <c r="AL78" i="5"/>
  <c r="AL72" i="5"/>
  <c r="AL81" i="5"/>
  <c r="AA483" i="21"/>
  <c r="AD483" i="21"/>
  <c r="AA482" i="21"/>
  <c r="AD482" i="21"/>
  <c r="AD481" i="21"/>
  <c r="D500" i="21"/>
  <c r="E500" i="21"/>
  <c r="F500" i="21"/>
  <c r="AA486" i="21" l="1"/>
  <c r="AB486" i="21" s="1"/>
  <c r="AE487" i="21"/>
  <c r="AA487" i="21"/>
  <c r="AB485" i="21"/>
  <c r="AE484" i="21"/>
  <c r="AE486" i="21"/>
  <c r="AE482" i="21"/>
  <c r="AB482" i="21"/>
  <c r="AE485" i="21"/>
  <c r="AE483" i="21"/>
  <c r="AB484" i="21"/>
  <c r="AB483" i="21"/>
  <c r="AB487" i="21" l="1"/>
  <c r="A2" i="13"/>
  <c r="A2" i="12"/>
  <c r="A2" i="11"/>
  <c r="Y757" i="21"/>
  <c r="A231" i="14"/>
  <c r="L757" i="21"/>
  <c r="A232" i="9"/>
  <c r="A2" i="8"/>
  <c r="A2" i="7"/>
  <c r="A2" i="6"/>
  <c r="A2" i="5"/>
  <c r="A23" i="19"/>
  <c r="A22" i="19"/>
  <c r="A29" i="14"/>
  <c r="O1070" i="21" l="1"/>
  <c r="A80" i="9" l="1"/>
  <c r="G725" i="21"/>
  <c r="G726" i="21" l="1"/>
  <c r="G727" i="21"/>
  <c r="Q1042" i="21" l="1"/>
  <c r="AB1034" i="21"/>
  <c r="AA1034" i="21"/>
  <c r="Z1034" i="21"/>
  <c r="AB1039" i="21"/>
  <c r="AA1039" i="21"/>
  <c r="Z1039" i="21"/>
  <c r="AB1033" i="21"/>
  <c r="AA1033" i="21"/>
  <c r="Z1033" i="21"/>
  <c r="AB1036" i="21"/>
  <c r="AA1036" i="21"/>
  <c r="Z1036" i="21"/>
  <c r="AB1035" i="21"/>
  <c r="AA1035" i="21"/>
  <c r="Z1035" i="21"/>
  <c r="Q1031" i="21"/>
  <c r="P1029" i="21" s="1"/>
  <c r="B47" i="14"/>
  <c r="B1042" i="21"/>
  <c r="C1041" i="21" s="1"/>
  <c r="C1042" i="21" s="1"/>
  <c r="D1041" i="21" s="1"/>
  <c r="D1042" i="21" s="1"/>
  <c r="E1041" i="21" s="1"/>
  <c r="E1042" i="21" s="1"/>
  <c r="F1041" i="21" s="1"/>
  <c r="F1042" i="21" s="1"/>
  <c r="G1041" i="21" s="1"/>
  <c r="G1042" i="21" s="1"/>
  <c r="H1041" i="21" s="1"/>
  <c r="H1042" i="21" s="1"/>
  <c r="N1039" i="21"/>
  <c r="M1039" i="21"/>
  <c r="L1039" i="21"/>
  <c r="K1039" i="21"/>
  <c r="N1038" i="21"/>
  <c r="M1038" i="21"/>
  <c r="L1038" i="21"/>
  <c r="K1038" i="21"/>
  <c r="N1033" i="21"/>
  <c r="M1033" i="21"/>
  <c r="L1033" i="21"/>
  <c r="K1033" i="21"/>
  <c r="N1037" i="21"/>
  <c r="M1037" i="21"/>
  <c r="L1037" i="21"/>
  <c r="K1037" i="21"/>
  <c r="N1036" i="21"/>
  <c r="M1036" i="21"/>
  <c r="L1036" i="21"/>
  <c r="K1036" i="21"/>
  <c r="N1035" i="21"/>
  <c r="M1035" i="21"/>
  <c r="L1035" i="21"/>
  <c r="K1035" i="21"/>
  <c r="N1034" i="21"/>
  <c r="M1034" i="21"/>
  <c r="L1034" i="21"/>
  <c r="K1034" i="21"/>
  <c r="B1031" i="21"/>
  <c r="A1029" i="21" s="1"/>
  <c r="B45" i="9"/>
  <c r="P1032" i="21" l="1"/>
  <c r="A1032" i="21"/>
  <c r="AH24" i="18" l="1"/>
  <c r="T673" i="21" l="1"/>
  <c r="B232" i="14"/>
  <c r="X195" i="14"/>
  <c r="X194" i="14"/>
  <c r="B195" i="14"/>
  <c r="B194" i="14"/>
  <c r="B157" i="14"/>
  <c r="B122" i="14"/>
  <c r="B84" i="14"/>
  <c r="B83" i="14"/>
  <c r="B19" i="14"/>
  <c r="X194" i="9"/>
  <c r="X193" i="9"/>
  <c r="B194" i="9"/>
  <c r="B193" i="9"/>
  <c r="B156" i="9"/>
  <c r="B121" i="9" l="1"/>
  <c r="B233" i="9" l="1"/>
  <c r="B82" i="9"/>
  <c r="B81" i="9"/>
  <c r="B20" i="9"/>
  <c r="W3" i="23"/>
  <c r="AA3" i="23"/>
  <c r="W4" i="23"/>
  <c r="AA4" i="23"/>
  <c r="W5" i="23"/>
  <c r="AA5" i="23"/>
  <c r="N6" i="23"/>
  <c r="N5" i="23"/>
  <c r="J6" i="23"/>
  <c r="J5" i="23"/>
  <c r="J4" i="23"/>
  <c r="J3" i="23"/>
  <c r="C25" i="19"/>
  <c r="E32" i="19"/>
  <c r="E28" i="19"/>
  <c r="E27" i="19"/>
  <c r="C34" i="19"/>
  <c r="C30" i="19"/>
  <c r="C21" i="19"/>
  <c r="C1176" i="21" l="1"/>
  <c r="C1177" i="21"/>
  <c r="C1178" i="21"/>
  <c r="C1179" i="21"/>
  <c r="C1181" i="21"/>
  <c r="C1182" i="21"/>
  <c r="C1183" i="21"/>
  <c r="C1184" i="21"/>
  <c r="C1185" i="21"/>
  <c r="C1186" i="21"/>
  <c r="C1187" i="21"/>
  <c r="C1188" i="21"/>
  <c r="C1189" i="21"/>
  <c r="C1190" i="21"/>
  <c r="C1191" i="21"/>
  <c r="C1192" i="21"/>
  <c r="C1193" i="21"/>
  <c r="C1194" i="21"/>
  <c r="C1195" i="21"/>
  <c r="C1196" i="21"/>
  <c r="C1197" i="21"/>
  <c r="C1198" i="21"/>
  <c r="C1199" i="21"/>
  <c r="C1200" i="21"/>
  <c r="C1201" i="21"/>
  <c r="C1202" i="21"/>
  <c r="C1203" i="21"/>
  <c r="C1204" i="21"/>
  <c r="C1205" i="21"/>
  <c r="C1206" i="21"/>
  <c r="C1207" i="21"/>
  <c r="C1208" i="21"/>
  <c r="C1209" i="21"/>
  <c r="C1210" i="21"/>
  <c r="C1211" i="21"/>
  <c r="C1212" i="21"/>
  <c r="C1213" i="21"/>
  <c r="C1214" i="21"/>
  <c r="C1215" i="21"/>
  <c r="C1216" i="21"/>
  <c r="C1217" i="21"/>
  <c r="C1218" i="21"/>
  <c r="C1219" i="21"/>
  <c r="C1220" i="21"/>
  <c r="C1221" i="21"/>
  <c r="C1222" i="21"/>
  <c r="C1223" i="21"/>
  <c r="C1224" i="21"/>
  <c r="C1225" i="21"/>
  <c r="C1226" i="21"/>
  <c r="C1227" i="21"/>
  <c r="C1180" i="21"/>
  <c r="B1175" i="21"/>
  <c r="AS7" i="12"/>
  <c r="B240" i="21" l="1"/>
  <c r="B239" i="21"/>
  <c r="N239" i="21" s="1"/>
  <c r="P919" i="21"/>
  <c r="B919" i="21"/>
  <c r="B812" i="21"/>
  <c r="B909" i="21" l="1"/>
  <c r="B908" i="21"/>
  <c r="N241" i="21"/>
  <c r="H241" i="21"/>
  <c r="N240" i="21"/>
  <c r="P812" i="21"/>
  <c r="H4" i="19"/>
  <c r="I1" i="25"/>
  <c r="I1" i="24"/>
  <c r="L3" i="19"/>
  <c r="T904" i="21"/>
  <c r="V904" i="21"/>
  <c r="P904" i="21"/>
  <c r="U1010" i="21"/>
  <c r="Q1010" i="21"/>
  <c r="Q1009" i="21"/>
  <c r="R902" i="21"/>
  <c r="P1009" i="21"/>
  <c r="R1011" i="21"/>
  <c r="T1009" i="21"/>
  <c r="Q902" i="21"/>
  <c r="P1011" i="21"/>
  <c r="P1010" i="21"/>
  <c r="S904" i="21"/>
  <c r="U1009" i="21"/>
  <c r="P903" i="21"/>
  <c r="U904" i="21"/>
  <c r="Q1011" i="21"/>
  <c r="T902" i="21"/>
  <c r="S1010" i="21"/>
  <c r="T1010" i="21"/>
  <c r="R904" i="21"/>
  <c r="U902" i="21"/>
  <c r="V902" i="21"/>
  <c r="S1009" i="21"/>
  <c r="P902" i="21"/>
  <c r="S902" i="21"/>
  <c r="U903" i="21"/>
  <c r="Q903" i="21"/>
  <c r="U1011" i="21"/>
  <c r="R1010" i="21"/>
  <c r="Q904" i="21"/>
  <c r="R1009" i="21"/>
  <c r="T903" i="21"/>
  <c r="S903" i="21"/>
  <c r="S1011" i="21"/>
  <c r="R903" i="21"/>
  <c r="T1011" i="21"/>
  <c r="V903" i="21"/>
  <c r="W1009" i="21" l="1"/>
  <c r="V1009" i="21"/>
  <c r="W1011" i="21"/>
  <c r="W1010" i="21"/>
  <c r="V1011" i="21"/>
  <c r="V1010" i="21"/>
  <c r="X902" i="21"/>
  <c r="W904" i="21"/>
  <c r="Y904" i="21"/>
  <c r="Z904" i="21"/>
  <c r="Y902" i="21"/>
  <c r="Z902" i="21"/>
  <c r="W903" i="21"/>
  <c r="W902" i="21"/>
  <c r="Z903" i="21"/>
  <c r="Y903" i="21"/>
  <c r="X904" i="21"/>
  <c r="X903" i="21"/>
  <c r="O4" i="19"/>
  <c r="N4" i="19"/>
  <c r="J4" i="19"/>
  <c r="K4" i="19"/>
  <c r="P913" i="21"/>
  <c r="P914" i="21"/>
  <c r="X5" i="19"/>
  <c r="AI7" i="13"/>
  <c r="X673" i="21"/>
  <c r="P675" i="21"/>
  <c r="Q675" i="21"/>
  <c r="R675" i="21"/>
  <c r="U675" i="21"/>
  <c r="P676" i="21"/>
  <c r="Q676" i="21"/>
  <c r="R676" i="21"/>
  <c r="T676" i="21"/>
  <c r="Z676" i="21"/>
  <c r="P677" i="21"/>
  <c r="Q677" i="21"/>
  <c r="R677" i="21"/>
  <c r="T677" i="21"/>
  <c r="Z677" i="21"/>
  <c r="P678" i="21"/>
  <c r="Q678" i="21"/>
  <c r="R678" i="21"/>
  <c r="T678" i="21"/>
  <c r="Z678" i="21"/>
  <c r="P679" i="21"/>
  <c r="Q679" i="21"/>
  <c r="R679" i="21"/>
  <c r="T679" i="21"/>
  <c r="Z679" i="21"/>
  <c r="T680" i="21"/>
  <c r="Z680" i="21"/>
  <c r="P682" i="21"/>
  <c r="Q682" i="21"/>
  <c r="R682" i="21"/>
  <c r="T681" i="21"/>
  <c r="Z681" i="21"/>
  <c r="T682" i="21"/>
  <c r="Z682" i="21"/>
  <c r="T683" i="21"/>
  <c r="Z683" i="21"/>
  <c r="T684" i="21"/>
  <c r="Z684" i="21"/>
  <c r="T685" i="21"/>
  <c r="Z685" i="21"/>
  <c r="X682" i="21"/>
  <c r="B691" i="21"/>
  <c r="C20" i="14"/>
  <c r="X684" i="21"/>
  <c r="Q688" i="21"/>
  <c r="B690" i="21"/>
  <c r="X677" i="21"/>
  <c r="X683" i="21"/>
  <c r="X681" i="21"/>
  <c r="R686" i="21"/>
  <c r="D20" i="14"/>
  <c r="Q686" i="21"/>
  <c r="X678" i="21"/>
  <c r="R688" i="21"/>
  <c r="X679" i="21"/>
  <c r="X676" i="21"/>
  <c r="E20" i="14"/>
  <c r="E691" i="21"/>
  <c r="P688" i="21"/>
  <c r="X685" i="21"/>
  <c r="U764" i="21"/>
  <c r="C691" i="21"/>
  <c r="D691" i="21"/>
  <c r="P686" i="21"/>
  <c r="X680" i="21"/>
  <c r="U765" i="21"/>
  <c r="U763" i="21"/>
  <c r="BA7" i="12" l="1"/>
  <c r="AY7" i="11"/>
  <c r="AQ7" i="13"/>
  <c r="AT7" i="7"/>
  <c r="BA7" i="8"/>
  <c r="AR7" i="5"/>
  <c r="AS7" i="6"/>
  <c r="AP7" i="13"/>
  <c r="AZ7" i="12"/>
  <c r="AX7" i="11"/>
  <c r="AZ7" i="8"/>
  <c r="AQ7" i="5"/>
  <c r="AR7" i="6"/>
  <c r="AS7" i="7"/>
  <c r="T686" i="21"/>
  <c r="Z686" i="21"/>
  <c r="T687" i="21"/>
  <c r="Z687" i="21"/>
  <c r="T688" i="21"/>
  <c r="Z688" i="21"/>
  <c r="T689" i="21"/>
  <c r="Z689" i="21"/>
  <c r="T690" i="21"/>
  <c r="Z690" i="21"/>
  <c r="T691" i="21"/>
  <c r="Z691" i="21"/>
  <c r="T692" i="21"/>
  <c r="Z692" i="21"/>
  <c r="T693" i="21"/>
  <c r="Z693" i="21"/>
  <c r="T694" i="21"/>
  <c r="Z694" i="21"/>
  <c r="T695" i="21"/>
  <c r="Z695" i="21"/>
  <c r="T696" i="21"/>
  <c r="Z696" i="21"/>
  <c r="T697" i="21"/>
  <c r="Z697" i="21"/>
  <c r="T698" i="21"/>
  <c r="Z698" i="21"/>
  <c r="T699" i="21"/>
  <c r="Z699" i="21"/>
  <c r="T700" i="21"/>
  <c r="Z700" i="21"/>
  <c r="T701" i="21"/>
  <c r="Z701" i="21"/>
  <c r="P709" i="21"/>
  <c r="Q709" i="21"/>
  <c r="R709" i="21"/>
  <c r="T702" i="21"/>
  <c r="Z702" i="21"/>
  <c r="T703" i="21"/>
  <c r="Z703" i="21"/>
  <c r="T704" i="21"/>
  <c r="Z704" i="21"/>
  <c r="T705" i="21"/>
  <c r="Z705" i="21"/>
  <c r="T706" i="21"/>
  <c r="Z706" i="21"/>
  <c r="T707" i="21"/>
  <c r="Z707" i="21"/>
  <c r="T708" i="21"/>
  <c r="Z708" i="21"/>
  <c r="T709" i="21"/>
  <c r="Z709" i="21"/>
  <c r="T710" i="21"/>
  <c r="Z710" i="21"/>
  <c r="T711" i="21"/>
  <c r="Z711" i="21"/>
  <c r="T712" i="21"/>
  <c r="Z712" i="21"/>
  <c r="T713" i="21"/>
  <c r="Z713" i="21"/>
  <c r="T714" i="21"/>
  <c r="Z714" i="21"/>
  <c r="T715" i="21"/>
  <c r="Z715" i="21"/>
  <c r="T716" i="21"/>
  <c r="Z716" i="21"/>
  <c r="T717" i="21"/>
  <c r="Z717" i="21"/>
  <c r="T718" i="21"/>
  <c r="Z718" i="21"/>
  <c r="T719" i="21"/>
  <c r="Z719" i="21"/>
  <c r="T720" i="21"/>
  <c r="Z720" i="21"/>
  <c r="T721" i="21"/>
  <c r="Z721" i="21"/>
  <c r="T722" i="21"/>
  <c r="Z722" i="21"/>
  <c r="T723" i="21"/>
  <c r="Z723" i="21"/>
  <c r="T724" i="21"/>
  <c r="Z724" i="21"/>
  <c r="T725" i="21"/>
  <c r="Z725" i="21"/>
  <c r="T726" i="21"/>
  <c r="Z726" i="21"/>
  <c r="T727" i="21"/>
  <c r="Z727" i="21"/>
  <c r="Z728" i="21"/>
  <c r="Z729" i="21"/>
  <c r="Z730" i="21"/>
  <c r="Z731" i="21"/>
  <c r="Z732" i="21"/>
  <c r="Z733" i="21"/>
  <c r="Z734" i="21"/>
  <c r="Z735" i="21"/>
  <c r="K674" i="21"/>
  <c r="C676" i="21"/>
  <c r="D676" i="21"/>
  <c r="E676" i="21"/>
  <c r="H676" i="21"/>
  <c r="B677" i="21"/>
  <c r="C677" i="21"/>
  <c r="D677" i="21"/>
  <c r="E677" i="21"/>
  <c r="G677" i="21"/>
  <c r="M677" i="21"/>
  <c r="B678" i="21"/>
  <c r="C678" i="21"/>
  <c r="D678" i="21"/>
  <c r="E678" i="21"/>
  <c r="G678" i="21"/>
  <c r="M678" i="21"/>
  <c r="C679" i="21"/>
  <c r="D679" i="21"/>
  <c r="E679" i="21"/>
  <c r="G679" i="21"/>
  <c r="M679" i="21"/>
  <c r="B680" i="21"/>
  <c r="C680" i="21"/>
  <c r="D680" i="21"/>
  <c r="E680" i="21"/>
  <c r="G680" i="21"/>
  <c r="M680" i="21"/>
  <c r="C681" i="21"/>
  <c r="D681" i="21"/>
  <c r="E681" i="21"/>
  <c r="G681" i="21"/>
  <c r="M681" i="21"/>
  <c r="B682" i="21"/>
  <c r="C682" i="21"/>
  <c r="D682" i="21"/>
  <c r="E682" i="21"/>
  <c r="G682" i="21"/>
  <c r="M682" i="21"/>
  <c r="B683" i="21"/>
  <c r="C683" i="21"/>
  <c r="D683" i="21"/>
  <c r="E683" i="21"/>
  <c r="G683" i="21"/>
  <c r="M683" i="21"/>
  <c r="B684" i="21"/>
  <c r="C684" i="21"/>
  <c r="D684" i="21"/>
  <c r="E684" i="21"/>
  <c r="G684" i="21"/>
  <c r="M684" i="21"/>
  <c r="G685" i="21"/>
  <c r="M685" i="21"/>
  <c r="G686" i="21"/>
  <c r="M686" i="21"/>
  <c r="G687" i="21"/>
  <c r="M687" i="21"/>
  <c r="G688" i="21"/>
  <c r="M688" i="21"/>
  <c r="X688" i="21"/>
  <c r="X714" i="21"/>
  <c r="X718" i="21"/>
  <c r="Q687" i="21"/>
  <c r="X709" i="21"/>
  <c r="Q695" i="21"/>
  <c r="P689" i="21"/>
  <c r="X722" i="21"/>
  <c r="X707" i="21"/>
  <c r="X731" i="21"/>
  <c r="X702" i="21"/>
  <c r="X728" i="21"/>
  <c r="X727" i="21"/>
  <c r="X689" i="21"/>
  <c r="K682" i="21"/>
  <c r="X701" i="21"/>
  <c r="K683" i="21"/>
  <c r="R695" i="21"/>
  <c r="X719" i="21"/>
  <c r="K686" i="21"/>
  <c r="X734" i="21"/>
  <c r="R693" i="21"/>
  <c r="X717" i="21"/>
  <c r="P695" i="21"/>
  <c r="K681" i="21"/>
  <c r="P690" i="21"/>
  <c r="X712" i="21"/>
  <c r="X696" i="21"/>
  <c r="R689" i="21"/>
  <c r="K685" i="21"/>
  <c r="X720" i="21"/>
  <c r="K688" i="21"/>
  <c r="X733" i="21"/>
  <c r="P797" i="21"/>
  <c r="X730" i="21"/>
  <c r="X700" i="21"/>
  <c r="X694" i="21"/>
  <c r="X735" i="21"/>
  <c r="X721" i="21"/>
  <c r="X686" i="21"/>
  <c r="X695" i="21"/>
  <c r="R690" i="21"/>
  <c r="X699" i="21"/>
  <c r="X704" i="21"/>
  <c r="X706" i="21"/>
  <c r="P694" i="21"/>
  <c r="X690" i="21"/>
  <c r="X710" i="21"/>
  <c r="X725" i="21"/>
  <c r="P792" i="21"/>
  <c r="X713" i="21"/>
  <c r="P798" i="21"/>
  <c r="X723" i="21"/>
  <c r="K684" i="21"/>
  <c r="P699" i="21"/>
  <c r="X687" i="21"/>
  <c r="Q689" i="21"/>
  <c r="P791" i="21"/>
  <c r="P693" i="21"/>
  <c r="P799" i="21"/>
  <c r="X705" i="21"/>
  <c r="R699" i="21"/>
  <c r="R797" i="21"/>
  <c r="X726" i="21"/>
  <c r="X697" i="21"/>
  <c r="X708" i="21"/>
  <c r="P691" i="21"/>
  <c r="P710" i="21"/>
  <c r="X691" i="21"/>
  <c r="R696" i="21"/>
  <c r="P687" i="21"/>
  <c r="R692" i="21"/>
  <c r="Q696" i="21"/>
  <c r="X692" i="21"/>
  <c r="P794" i="21"/>
  <c r="Q691" i="21"/>
  <c r="K680" i="21"/>
  <c r="X703" i="21"/>
  <c r="P793" i="21"/>
  <c r="R691" i="21"/>
  <c r="D689" i="21"/>
  <c r="K677" i="21"/>
  <c r="K679" i="21"/>
  <c r="X693" i="21"/>
  <c r="R794" i="21"/>
  <c r="K678" i="21"/>
  <c r="X724" i="21"/>
  <c r="X711" i="21"/>
  <c r="Q699" i="21"/>
  <c r="R687" i="21"/>
  <c r="X729" i="21"/>
  <c r="E689" i="21"/>
  <c r="X715" i="21"/>
  <c r="X732" i="21"/>
  <c r="C689" i="21"/>
  <c r="R694" i="21"/>
  <c r="Q690" i="21"/>
  <c r="R793" i="21"/>
  <c r="Q693" i="21"/>
  <c r="P696" i="21"/>
  <c r="X716" i="21"/>
  <c r="X698" i="21"/>
  <c r="K687" i="21"/>
  <c r="Q692" i="21"/>
  <c r="Q694" i="21"/>
  <c r="P796" i="21"/>
  <c r="P692" i="21"/>
  <c r="R792" i="21"/>
  <c r="R798" i="21"/>
  <c r="R795" i="21"/>
  <c r="R799" i="21"/>
  <c r="Q792" i="21"/>
  <c r="Q795" i="21"/>
  <c r="Q797" i="21"/>
  <c r="Q794" i="21"/>
  <c r="Q796" i="21"/>
  <c r="Q798" i="21"/>
  <c r="Q799" i="21"/>
  <c r="G689" i="21" l="1"/>
  <c r="M689" i="21"/>
  <c r="G690" i="21"/>
  <c r="M690" i="21"/>
  <c r="G691" i="21"/>
  <c r="M691" i="21"/>
  <c r="G692" i="21"/>
  <c r="M692" i="21"/>
  <c r="G693" i="21"/>
  <c r="M693" i="21"/>
  <c r="G694" i="21"/>
  <c r="M694" i="21"/>
  <c r="G695" i="21"/>
  <c r="M695" i="21"/>
  <c r="G696" i="21"/>
  <c r="M696" i="21"/>
  <c r="G697" i="21"/>
  <c r="M697" i="21"/>
  <c r="G698" i="21"/>
  <c r="M698" i="21"/>
  <c r="E695" i="21"/>
  <c r="E698" i="21"/>
  <c r="K696" i="21"/>
  <c r="E694" i="21"/>
  <c r="B692" i="21"/>
  <c r="P795" i="21"/>
  <c r="B693" i="21"/>
  <c r="E693" i="21"/>
  <c r="C693" i="21"/>
  <c r="C797" i="21" s="1"/>
  <c r="C694" i="21"/>
  <c r="B700" i="21"/>
  <c r="R796" i="21"/>
  <c r="B795" i="21"/>
  <c r="C692" i="21"/>
  <c r="P790" i="21"/>
  <c r="Q793" i="21"/>
  <c r="C796" i="21"/>
  <c r="K693" i="21"/>
  <c r="C700" i="21"/>
  <c r="C695" i="21"/>
  <c r="C698" i="21"/>
  <c r="E690" i="21"/>
  <c r="B796" i="21"/>
  <c r="K694" i="21"/>
  <c r="D695" i="21"/>
  <c r="D698" i="21"/>
  <c r="K689" i="21"/>
  <c r="C708" i="21"/>
  <c r="K697" i="21"/>
  <c r="E795" i="21"/>
  <c r="D694" i="21"/>
  <c r="C690" i="21"/>
  <c r="E692" i="21"/>
  <c r="B695" i="21"/>
  <c r="K695" i="21"/>
  <c r="B697" i="21"/>
  <c r="K698" i="21"/>
  <c r="D692" i="21"/>
  <c r="K691" i="21"/>
  <c r="D697" i="21"/>
  <c r="C795" i="21"/>
  <c r="K692" i="21"/>
  <c r="B694" i="21"/>
  <c r="Q791" i="21"/>
  <c r="K690" i="21"/>
  <c r="E697" i="21"/>
  <c r="E700" i="21"/>
  <c r="C697" i="21"/>
  <c r="D690" i="21"/>
  <c r="D693" i="21"/>
  <c r="B698" i="21"/>
  <c r="R791" i="21"/>
  <c r="E797" i="21"/>
  <c r="D700" i="21"/>
  <c r="B708" i="21"/>
  <c r="B797" i="21"/>
  <c r="E796" i="21"/>
  <c r="E708" i="21"/>
  <c r="D797" i="21"/>
  <c r="D708" i="21"/>
  <c r="D796" i="21"/>
  <c r="D795" i="21"/>
  <c r="B699" i="21" l="1"/>
  <c r="C696" i="21"/>
  <c r="B696" i="21"/>
  <c r="E696" i="21"/>
  <c r="D696" i="21"/>
  <c r="E699" i="21"/>
  <c r="D699" i="21"/>
  <c r="C699" i="21"/>
  <c r="G699" i="21"/>
  <c r="M699" i="21"/>
  <c r="G700" i="21"/>
  <c r="M700" i="21"/>
  <c r="G701" i="21"/>
  <c r="M701" i="21"/>
  <c r="G702" i="21"/>
  <c r="M702" i="21"/>
  <c r="G703" i="21"/>
  <c r="M703" i="21"/>
  <c r="G704" i="21"/>
  <c r="M704" i="21"/>
  <c r="G705" i="21"/>
  <c r="M705" i="21"/>
  <c r="G706" i="21"/>
  <c r="M706" i="21"/>
  <c r="B707" i="21"/>
  <c r="C707" i="21"/>
  <c r="D707" i="21"/>
  <c r="E707" i="21"/>
  <c r="G707" i="21"/>
  <c r="M707" i="21"/>
  <c r="G708" i="21"/>
  <c r="M708" i="21"/>
  <c r="G709" i="21"/>
  <c r="M709" i="21"/>
  <c r="G710" i="21"/>
  <c r="M710" i="21"/>
  <c r="G711" i="21"/>
  <c r="M711" i="21"/>
  <c r="G712" i="21"/>
  <c r="M712" i="21"/>
  <c r="G713" i="21"/>
  <c r="M713" i="21"/>
  <c r="G714" i="21"/>
  <c r="M714" i="21"/>
  <c r="G715" i="21"/>
  <c r="M715" i="21"/>
  <c r="G716" i="21"/>
  <c r="M716" i="21"/>
  <c r="G717" i="21"/>
  <c r="M717" i="21"/>
  <c r="G718" i="21"/>
  <c r="M718" i="21"/>
  <c r="G719" i="21"/>
  <c r="M719" i="21"/>
  <c r="G720" i="21"/>
  <c r="M720" i="21"/>
  <c r="G721" i="21"/>
  <c r="M721" i="21"/>
  <c r="G722" i="21"/>
  <c r="M722" i="21"/>
  <c r="G723" i="21"/>
  <c r="M723" i="21"/>
  <c r="G724" i="21"/>
  <c r="M724" i="21"/>
  <c r="M725" i="21"/>
  <c r="M726" i="21"/>
  <c r="M727" i="21"/>
  <c r="M728" i="21"/>
  <c r="M729" i="21"/>
  <c r="M730" i="21"/>
  <c r="M731" i="21"/>
  <c r="M732" i="21"/>
  <c r="M733" i="21"/>
  <c r="M734" i="21"/>
  <c r="M735" i="21"/>
  <c r="M736" i="21"/>
  <c r="G800" i="21"/>
  <c r="F12" i="14"/>
  <c r="F11" i="14"/>
  <c r="F10" i="14"/>
  <c r="B277" i="21"/>
  <c r="E238" i="21"/>
  <c r="B265" i="21"/>
  <c r="H265" i="21" s="1"/>
  <c r="C265" i="21"/>
  <c r="I265" i="21" s="1"/>
  <c r="D265" i="21"/>
  <c r="J265" i="21" s="1"/>
  <c r="C264" i="21"/>
  <c r="I264" i="21" s="1"/>
  <c r="D264" i="21"/>
  <c r="J264" i="21" s="1"/>
  <c r="C248" i="21"/>
  <c r="B248" i="21"/>
  <c r="D249" i="21"/>
  <c r="C249" i="21"/>
  <c r="B249" i="21"/>
  <c r="C251" i="21"/>
  <c r="D251" i="21"/>
  <c r="C250" i="21"/>
  <c r="D250" i="21"/>
  <c r="B250" i="21"/>
  <c r="D248" i="21"/>
  <c r="C241" i="21"/>
  <c r="D241" i="21"/>
  <c r="E241" i="21"/>
  <c r="C240" i="21"/>
  <c r="D240" i="21"/>
  <c r="E240" i="21"/>
  <c r="E239" i="21"/>
  <c r="C239" i="21"/>
  <c r="O239" i="21" s="1"/>
  <c r="D239" i="21"/>
  <c r="D238" i="21"/>
  <c r="E793" i="21"/>
  <c r="K725" i="21"/>
  <c r="K705" i="21"/>
  <c r="K713" i="21"/>
  <c r="K716" i="21"/>
  <c r="E791" i="21"/>
  <c r="K722" i="21"/>
  <c r="K701" i="21"/>
  <c r="K715" i="21"/>
  <c r="E792" i="21"/>
  <c r="D790" i="21"/>
  <c r="K723" i="21"/>
  <c r="K706" i="21"/>
  <c r="K735" i="21"/>
  <c r="E790" i="21"/>
  <c r="D701" i="21"/>
  <c r="K736" i="21"/>
  <c r="K734" i="21"/>
  <c r="C702" i="21"/>
  <c r="C791" i="21"/>
  <c r="B701" i="21"/>
  <c r="K727" i="21"/>
  <c r="K729" i="21"/>
  <c r="B703" i="21"/>
  <c r="K728" i="21"/>
  <c r="K699" i="21"/>
  <c r="B790" i="21"/>
  <c r="D702" i="21"/>
  <c r="B791" i="21"/>
  <c r="B788" i="21"/>
  <c r="C790" i="21"/>
  <c r="K731" i="21"/>
  <c r="C792" i="21"/>
  <c r="K730" i="21"/>
  <c r="D793" i="21"/>
  <c r="D789" i="21"/>
  <c r="C794" i="21"/>
  <c r="E702" i="21"/>
  <c r="D791" i="21"/>
  <c r="D703" i="21"/>
  <c r="K733" i="21"/>
  <c r="K724" i="21"/>
  <c r="K714" i="21"/>
  <c r="B792" i="21"/>
  <c r="K712" i="21"/>
  <c r="E703" i="21"/>
  <c r="K703" i="21"/>
  <c r="C701" i="21"/>
  <c r="K732" i="21"/>
  <c r="E701" i="21"/>
  <c r="B789" i="21"/>
  <c r="C793" i="21"/>
  <c r="E794" i="21"/>
  <c r="K709" i="21"/>
  <c r="B793" i="21"/>
  <c r="C789" i="21"/>
  <c r="B794" i="21"/>
  <c r="E789" i="21"/>
  <c r="K710" i="21"/>
  <c r="K717" i="21"/>
  <c r="K707" i="21"/>
  <c r="K720" i="21"/>
  <c r="B702" i="21"/>
  <c r="K711" i="21"/>
  <c r="K708" i="21"/>
  <c r="K721" i="21"/>
  <c r="K704" i="21"/>
  <c r="K702" i="21"/>
  <c r="K726" i="21"/>
  <c r="K719" i="21"/>
  <c r="K718" i="21"/>
  <c r="K700" i="21"/>
  <c r="D792" i="21"/>
  <c r="D794" i="21"/>
  <c r="C703" i="21"/>
  <c r="J252" i="21" l="1"/>
  <c r="P252" i="21"/>
  <c r="K242" i="21"/>
  <c r="Q242" i="21"/>
  <c r="O252" i="21"/>
  <c r="I252" i="21"/>
  <c r="Q239" i="21"/>
  <c r="N251" i="21"/>
  <c r="H251" i="21"/>
  <c r="O241" i="21"/>
  <c r="I241" i="21"/>
  <c r="O242" i="21"/>
  <c r="I242" i="21"/>
  <c r="J242" i="21"/>
  <c r="P242" i="21"/>
  <c r="P241" i="21"/>
  <c r="Q241" i="21"/>
  <c r="Q240" i="21"/>
  <c r="P239" i="21"/>
  <c r="P240" i="21"/>
  <c r="O240" i="21"/>
  <c r="O249" i="21"/>
  <c r="N249" i="21"/>
  <c r="P249" i="21"/>
  <c r="J249" i="21"/>
  <c r="P250" i="21"/>
  <c r="I251" i="21"/>
  <c r="K241" i="21"/>
  <c r="I249" i="21"/>
  <c r="N250" i="21"/>
  <c r="I239" i="21"/>
  <c r="I250" i="21"/>
  <c r="J250" i="21"/>
  <c r="I240" i="21"/>
  <c r="K239" i="21"/>
  <c r="H250" i="21"/>
  <c r="J251" i="21"/>
  <c r="H249" i="21"/>
  <c r="P251" i="21"/>
  <c r="O250" i="21"/>
  <c r="H240" i="21"/>
  <c r="K240" i="21"/>
  <c r="J239" i="21"/>
  <c r="O251" i="21"/>
  <c r="J240" i="21"/>
  <c r="J241" i="21"/>
  <c r="H239" i="21"/>
  <c r="F13" i="9"/>
  <c r="F12" i="9"/>
  <c r="F11" i="9"/>
  <c r="F10" i="9"/>
  <c r="S632" i="21" l="1"/>
  <c r="S629" i="21"/>
  <c r="R632" i="21"/>
  <c r="R629" i="21"/>
  <c r="Q632" i="21"/>
  <c r="Q629" i="21"/>
  <c r="S628" i="21"/>
  <c r="S622" i="21"/>
  <c r="R628" i="21"/>
  <c r="Q628" i="21"/>
  <c r="Q622" i="21"/>
  <c r="Q621" i="21"/>
  <c r="R623" i="21"/>
  <c r="R622" i="21"/>
  <c r="R621" i="21"/>
  <c r="S621" i="21"/>
  <c r="R620" i="21"/>
  <c r="Q620" i="21"/>
  <c r="R615" i="21"/>
  <c r="S620" i="21"/>
  <c r="S614" i="21"/>
  <c r="R614" i="21"/>
  <c r="Q614" i="21"/>
  <c r="S613" i="21"/>
  <c r="R613" i="21"/>
  <c r="Q613" i="21"/>
  <c r="S612" i="21"/>
  <c r="R612" i="21"/>
  <c r="Q612" i="21"/>
  <c r="S611" i="21"/>
  <c r="R611" i="21"/>
  <c r="Q611" i="21"/>
  <c r="S610" i="21"/>
  <c r="R610" i="21"/>
  <c r="Q610" i="21"/>
  <c r="S609" i="21"/>
  <c r="R609" i="21"/>
  <c r="Q609" i="21"/>
  <c r="S608" i="21"/>
  <c r="R608" i="21"/>
  <c r="Q608" i="21"/>
  <c r="S607" i="21"/>
  <c r="R607" i="21"/>
  <c r="S606" i="21"/>
  <c r="S605" i="21"/>
  <c r="S604" i="21"/>
  <c r="S603" i="21"/>
  <c r="S602" i="21"/>
  <c r="S601" i="21"/>
  <c r="R606" i="21"/>
  <c r="R605" i="21"/>
  <c r="R604" i="21"/>
  <c r="R603" i="21"/>
  <c r="R602" i="21"/>
  <c r="R601" i="21"/>
  <c r="Q606" i="21"/>
  <c r="Q605" i="21"/>
  <c r="Q604" i="21"/>
  <c r="Q603" i="21"/>
  <c r="Q602" i="21"/>
  <c r="Q601" i="21"/>
  <c r="N601" i="21"/>
  <c r="N602" i="21"/>
  <c r="N603" i="21"/>
  <c r="N604" i="21"/>
  <c r="N605" i="21"/>
  <c r="N606" i="21"/>
  <c r="N607" i="21"/>
  <c r="N608" i="21"/>
  <c r="N609" i="21"/>
  <c r="N610" i="21"/>
  <c r="N611" i="21"/>
  <c r="N612" i="21"/>
  <c r="N613" i="21"/>
  <c r="N614" i="21"/>
  <c r="N615" i="21"/>
  <c r="N616" i="21"/>
  <c r="N617" i="21"/>
  <c r="N618" i="21"/>
  <c r="N619" i="21"/>
  <c r="N620" i="21"/>
  <c r="N621" i="21"/>
  <c r="N622" i="21"/>
  <c r="N623" i="21"/>
  <c r="N624" i="21"/>
  <c r="N625" i="21"/>
  <c r="N626" i="21"/>
  <c r="N627" i="21"/>
  <c r="N628" i="21"/>
  <c r="N629" i="21"/>
  <c r="N630" i="21"/>
  <c r="N631" i="21"/>
  <c r="N632" i="21"/>
  <c r="N633" i="21"/>
  <c r="N634" i="21"/>
  <c r="N635" i="21"/>
  <c r="N636" i="21"/>
  <c r="N637" i="21"/>
  <c r="N638" i="21"/>
  <c r="N639" i="21"/>
  <c r="N640" i="21"/>
  <c r="N641" i="21"/>
  <c r="N642" i="21"/>
  <c r="N643" i="21"/>
  <c r="N644" i="21"/>
  <c r="N645" i="21"/>
  <c r="N646" i="21"/>
  <c r="N647" i="21"/>
  <c r="N648" i="21"/>
  <c r="N649" i="21"/>
  <c r="N650" i="21"/>
  <c r="N651" i="21"/>
  <c r="N652" i="21"/>
  <c r="N653" i="21"/>
  <c r="N654" i="21"/>
  <c r="N655" i="21"/>
  <c r="N656" i="21"/>
  <c r="N657" i="21"/>
  <c r="N658" i="21"/>
  <c r="N659" i="21"/>
  <c r="N600" i="21"/>
  <c r="I624" i="21"/>
  <c r="I623" i="21"/>
  <c r="I622" i="21"/>
  <c r="I617" i="21"/>
  <c r="I616" i="21"/>
  <c r="I615" i="21"/>
  <c r="H625" i="21"/>
  <c r="H624" i="21"/>
  <c r="H623" i="21"/>
  <c r="H622" i="21"/>
  <c r="H619" i="21"/>
  <c r="H618" i="21"/>
  <c r="H617" i="21"/>
  <c r="H616" i="21"/>
  <c r="H615" i="21"/>
  <c r="G626" i="21"/>
  <c r="G625" i="21"/>
  <c r="G624" i="21"/>
  <c r="G623" i="21"/>
  <c r="G622" i="21"/>
  <c r="G619" i="21"/>
  <c r="G618" i="21"/>
  <c r="G617" i="21"/>
  <c r="G616" i="21"/>
  <c r="G615" i="21"/>
  <c r="G613" i="21"/>
  <c r="G611" i="21"/>
  <c r="F625" i="21"/>
  <c r="F624" i="21"/>
  <c r="F623" i="21"/>
  <c r="F622" i="21"/>
  <c r="F618" i="21"/>
  <c r="F617" i="21"/>
  <c r="F616" i="21"/>
  <c r="F615" i="21"/>
  <c r="F614" i="21"/>
  <c r="F613" i="21"/>
  <c r="F611" i="21"/>
  <c r="I629" i="21"/>
  <c r="H629" i="21"/>
  <c r="G629" i="21"/>
  <c r="F629" i="21"/>
  <c r="I630" i="21"/>
  <c r="H630" i="21"/>
  <c r="G630" i="21"/>
  <c r="F630" i="21"/>
  <c r="I631" i="21"/>
  <c r="H631" i="21"/>
  <c r="F631" i="21"/>
  <c r="G631" i="21"/>
  <c r="I610" i="21"/>
  <c r="H609" i="21"/>
  <c r="G609" i="21"/>
  <c r="H608" i="21"/>
  <c r="G608" i="21"/>
  <c r="F609" i="21"/>
  <c r="F608" i="21"/>
  <c r="I609" i="21"/>
  <c r="I608" i="21"/>
  <c r="I607" i="21"/>
  <c r="I606" i="21"/>
  <c r="H606" i="21"/>
  <c r="G606" i="21"/>
  <c r="I605" i="21"/>
  <c r="H605" i="21"/>
  <c r="G605" i="21"/>
  <c r="F605" i="21"/>
  <c r="I604" i="21"/>
  <c r="H604" i="21"/>
  <c r="G604" i="21"/>
  <c r="F604" i="21"/>
  <c r="F603" i="21"/>
  <c r="I603" i="21"/>
  <c r="H603" i="21"/>
  <c r="G603" i="21"/>
  <c r="I602" i="21"/>
  <c r="H602" i="21"/>
  <c r="G602" i="21"/>
  <c r="F602" i="21"/>
  <c r="I601" i="21"/>
  <c r="H601" i="21"/>
  <c r="F601" i="21"/>
  <c r="G601" i="21"/>
  <c r="C601" i="21"/>
  <c r="C602" i="21"/>
  <c r="C603" i="21"/>
  <c r="C604" i="21"/>
  <c r="C605" i="21"/>
  <c r="C606" i="21"/>
  <c r="C607" i="21"/>
  <c r="C608" i="21"/>
  <c r="C609" i="21"/>
  <c r="C610" i="21"/>
  <c r="C611" i="21"/>
  <c r="C612" i="21"/>
  <c r="C613" i="21"/>
  <c r="C614" i="21"/>
  <c r="C615" i="21"/>
  <c r="C616" i="21"/>
  <c r="C617" i="21"/>
  <c r="C618" i="21"/>
  <c r="C619" i="21"/>
  <c r="C620" i="21"/>
  <c r="C621" i="21"/>
  <c r="C622" i="21"/>
  <c r="C623" i="21"/>
  <c r="C624" i="21"/>
  <c r="C625" i="21"/>
  <c r="C626" i="21"/>
  <c r="C627" i="21"/>
  <c r="C628" i="21"/>
  <c r="C629" i="21"/>
  <c r="C630" i="21"/>
  <c r="C633" i="21"/>
  <c r="C634" i="21"/>
  <c r="C635" i="21"/>
  <c r="C636" i="21"/>
  <c r="C637" i="21"/>
  <c r="C638" i="21"/>
  <c r="C639" i="21"/>
  <c r="C640" i="21"/>
  <c r="C641" i="21"/>
  <c r="C642" i="21"/>
  <c r="C643" i="21"/>
  <c r="C644" i="21"/>
  <c r="C645" i="21"/>
  <c r="C646" i="21"/>
  <c r="C647" i="21"/>
  <c r="C648" i="21"/>
  <c r="C649" i="21"/>
  <c r="C650" i="21"/>
  <c r="C651" i="21"/>
  <c r="C652" i="21"/>
  <c r="C653" i="21"/>
  <c r="C654" i="21"/>
  <c r="C655" i="21"/>
  <c r="C656" i="21"/>
  <c r="C657" i="21"/>
  <c r="C658" i="21"/>
  <c r="C659" i="21"/>
  <c r="C600" i="21"/>
  <c r="F279" i="21" l="1"/>
  <c r="G279" i="21"/>
  <c r="H279" i="21"/>
  <c r="C279" i="21"/>
  <c r="D279" i="21"/>
  <c r="B279" i="21"/>
  <c r="H277" i="21"/>
  <c r="G277" i="21"/>
  <c r="F277" i="21"/>
  <c r="D277" i="21"/>
  <c r="C277" i="21"/>
  <c r="U3" i="19"/>
  <c r="T4" i="19"/>
  <c r="A7" i="24" l="1"/>
  <c r="A7" i="25"/>
  <c r="H5" i="19"/>
  <c r="T5" i="19"/>
  <c r="J62" i="21"/>
  <c r="K55" i="21"/>
  <c r="J55" i="21"/>
  <c r="C62" i="21"/>
  <c r="D62" i="21"/>
  <c r="E62" i="21"/>
  <c r="F62" i="21"/>
  <c r="G62" i="21"/>
  <c r="H62" i="21"/>
  <c r="I62" i="21"/>
  <c r="K62" i="21"/>
  <c r="L62" i="21"/>
  <c r="M62" i="21"/>
  <c r="N62" i="21"/>
  <c r="O62" i="21"/>
  <c r="P62" i="21"/>
  <c r="Q62" i="21"/>
  <c r="R62" i="21"/>
  <c r="S62" i="21"/>
  <c r="T62" i="21"/>
  <c r="U62" i="21"/>
  <c r="V62" i="21"/>
  <c r="W62" i="21"/>
  <c r="X62" i="21"/>
  <c r="Y62" i="21"/>
  <c r="Z62" i="21"/>
  <c r="AA62" i="21"/>
  <c r="AB62" i="21"/>
  <c r="AC62" i="21"/>
  <c r="AD62" i="21"/>
  <c r="AE62" i="21"/>
  <c r="AF62" i="21"/>
  <c r="AG62" i="21"/>
  <c r="AH62" i="21"/>
  <c r="AI62" i="21"/>
  <c r="AJ62" i="21"/>
  <c r="AK62" i="21"/>
  <c r="AL62" i="21"/>
  <c r="AM62" i="21"/>
  <c r="AN62" i="21"/>
  <c r="AO62" i="21"/>
  <c r="AP62" i="21"/>
  <c r="AQ62" i="21"/>
  <c r="AR62" i="21"/>
  <c r="AS62" i="21"/>
  <c r="AT62" i="21"/>
  <c r="AU62" i="21"/>
  <c r="AV62" i="21"/>
  <c r="AW62" i="21"/>
  <c r="AX62" i="21"/>
  <c r="AY62" i="21"/>
  <c r="AZ62" i="21"/>
  <c r="BA62" i="21"/>
  <c r="BB62" i="21"/>
  <c r="BC62" i="21"/>
  <c r="BD62" i="21"/>
  <c r="BE62" i="21"/>
  <c r="BF62" i="21"/>
  <c r="BG62" i="21"/>
  <c r="BH62" i="21"/>
  <c r="BI62" i="21"/>
  <c r="BJ62" i="21"/>
  <c r="BK62" i="21"/>
  <c r="BL62" i="21"/>
  <c r="BM62" i="21"/>
  <c r="BN62" i="21"/>
  <c r="BO62" i="21"/>
  <c r="BP62" i="21"/>
  <c r="BQ62" i="21"/>
  <c r="BR62" i="21"/>
  <c r="BS62" i="21"/>
  <c r="BT62" i="21"/>
  <c r="BU62" i="21"/>
  <c r="BV62" i="21"/>
  <c r="BW62" i="21"/>
  <c r="BX62" i="21"/>
  <c r="BY62" i="21"/>
  <c r="BZ62" i="21"/>
  <c r="CA62" i="21"/>
  <c r="CB62" i="21"/>
  <c r="CC62" i="21"/>
  <c r="CD62" i="21"/>
  <c r="CE62" i="21"/>
  <c r="CF62" i="21"/>
  <c r="CG62" i="21"/>
  <c r="CH62" i="21"/>
  <c r="CI62" i="21"/>
  <c r="CJ62" i="21"/>
  <c r="CK62" i="21"/>
  <c r="CL62" i="21"/>
  <c r="CM62" i="21"/>
  <c r="CN62" i="21"/>
  <c r="CO62" i="21"/>
  <c r="CP62" i="21"/>
  <c r="CQ62" i="21"/>
  <c r="CR62" i="21"/>
  <c r="CS62" i="21"/>
  <c r="CT62" i="21"/>
  <c r="CU62" i="21"/>
  <c r="CV62" i="21"/>
  <c r="CW62" i="21"/>
  <c r="CX62" i="21"/>
  <c r="CY62" i="21"/>
  <c r="CZ62" i="21"/>
  <c r="DA62" i="21"/>
  <c r="DB62" i="21"/>
  <c r="DC62" i="21"/>
  <c r="DD62" i="21"/>
  <c r="DE62" i="21"/>
  <c r="DF62" i="21"/>
  <c r="DG62" i="21"/>
  <c r="DH62" i="21"/>
  <c r="DI62" i="21"/>
  <c r="DJ62" i="21"/>
  <c r="DK62" i="21"/>
  <c r="DL62" i="21"/>
  <c r="DM62" i="21"/>
  <c r="DN62" i="21"/>
  <c r="DO62" i="21"/>
  <c r="DP62" i="21"/>
  <c r="DQ62" i="21"/>
  <c r="DR62" i="21"/>
  <c r="DS62" i="21"/>
  <c r="DT62" i="21"/>
  <c r="DU62" i="21"/>
  <c r="DV62" i="21"/>
  <c r="DW62" i="21"/>
  <c r="DX62" i="21"/>
  <c r="DY62" i="21"/>
  <c r="C55" i="21"/>
  <c r="D55" i="21"/>
  <c r="E55" i="21"/>
  <c r="F55" i="21"/>
  <c r="G55" i="21"/>
  <c r="H55" i="21"/>
  <c r="I55" i="21"/>
  <c r="L55" i="21"/>
  <c r="M55" i="21"/>
  <c r="N55" i="21"/>
  <c r="O55" i="21"/>
  <c r="P55" i="21"/>
  <c r="Q55" i="21"/>
  <c r="R55" i="21"/>
  <c r="S55" i="21"/>
  <c r="T55" i="21"/>
  <c r="U55" i="21"/>
  <c r="V55" i="21"/>
  <c r="W55" i="21"/>
  <c r="X55" i="21"/>
  <c r="Y55" i="21"/>
  <c r="Z55" i="21"/>
  <c r="AA55" i="21"/>
  <c r="AB55" i="21"/>
  <c r="AC55" i="21"/>
  <c r="AD55" i="21"/>
  <c r="AE55" i="21"/>
  <c r="AF55" i="21"/>
  <c r="AG55" i="21"/>
  <c r="AH55" i="21"/>
  <c r="AI55" i="21"/>
  <c r="AJ55" i="21"/>
  <c r="AK55" i="21"/>
  <c r="AL55" i="21"/>
  <c r="AM55" i="21"/>
  <c r="AN55" i="21"/>
  <c r="AO55" i="21"/>
  <c r="AP55" i="21"/>
  <c r="AQ55" i="21"/>
  <c r="AR55" i="21"/>
  <c r="AS55" i="21"/>
  <c r="AT55" i="21"/>
  <c r="AU55" i="21"/>
  <c r="AV55" i="21"/>
  <c r="AW55" i="21"/>
  <c r="AX55" i="21"/>
  <c r="AY55" i="21"/>
  <c r="AZ55" i="21"/>
  <c r="BA55" i="21"/>
  <c r="BB55" i="21"/>
  <c r="BC55" i="21"/>
  <c r="BD55" i="21"/>
  <c r="BE55" i="21"/>
  <c r="BF55" i="21"/>
  <c r="BG55" i="21"/>
  <c r="BH55" i="21"/>
  <c r="BI55" i="21"/>
  <c r="BJ55" i="21"/>
  <c r="BK55" i="21"/>
  <c r="BL55" i="21"/>
  <c r="BM55" i="21"/>
  <c r="BN55" i="21"/>
  <c r="BO55" i="21"/>
  <c r="BP55" i="21"/>
  <c r="BQ55" i="21"/>
  <c r="BR55" i="21"/>
  <c r="BS55" i="21"/>
  <c r="BT55" i="21"/>
  <c r="BU55" i="21"/>
  <c r="BV55" i="21"/>
  <c r="BW55" i="21"/>
  <c r="BX55" i="21"/>
  <c r="BY55" i="21"/>
  <c r="BZ55" i="21"/>
  <c r="CA55" i="21"/>
  <c r="CB55" i="21"/>
  <c r="CC55" i="21"/>
  <c r="CD55" i="21"/>
  <c r="CE55" i="21"/>
  <c r="CF55" i="21"/>
  <c r="CG55" i="21"/>
  <c r="CH55" i="21"/>
  <c r="CI55" i="21"/>
  <c r="CJ55" i="21"/>
  <c r="CK55" i="21"/>
  <c r="CL55" i="21"/>
  <c r="CM55" i="21"/>
  <c r="CN55" i="21"/>
  <c r="CO55" i="21"/>
  <c r="CP55" i="21"/>
  <c r="CQ55" i="21"/>
  <c r="CR55" i="21"/>
  <c r="CS55" i="21"/>
  <c r="CT55" i="21"/>
  <c r="CU55" i="21"/>
  <c r="CV55" i="21"/>
  <c r="CW55" i="21"/>
  <c r="CX55" i="21"/>
  <c r="CY55" i="21"/>
  <c r="CZ55" i="21"/>
  <c r="DA55" i="21"/>
  <c r="DB55" i="21"/>
  <c r="DC55" i="21"/>
  <c r="DD55" i="21"/>
  <c r="DE55" i="21"/>
  <c r="DF55" i="21"/>
  <c r="DG55" i="21"/>
  <c r="DH55" i="21"/>
  <c r="DI55" i="21"/>
  <c r="DJ55" i="21"/>
  <c r="DK55" i="21"/>
  <c r="DL55" i="21"/>
  <c r="DM55" i="21"/>
  <c r="DN55" i="21"/>
  <c r="DO55" i="21"/>
  <c r="DP55" i="21"/>
  <c r="DQ55" i="21"/>
  <c r="DR55" i="21"/>
  <c r="DS55" i="21"/>
  <c r="DT55" i="21"/>
  <c r="DU55" i="21"/>
  <c r="DV55" i="21"/>
  <c r="DW55" i="21"/>
  <c r="DX55" i="21"/>
  <c r="DY55" i="21"/>
  <c r="B55" i="21"/>
  <c r="AW7" i="11" l="1"/>
  <c r="AO7" i="13"/>
  <c r="AY7" i="12"/>
  <c r="AY7" i="8"/>
  <c r="AR7" i="7"/>
  <c r="AQ7" i="6"/>
  <c r="AP7" i="5"/>
  <c r="O5" i="19"/>
  <c r="N5" i="19"/>
  <c r="K5" i="19"/>
  <c r="J5" i="19"/>
  <c r="E89" i="8"/>
  <c r="E91" i="8"/>
  <c r="B7" i="24"/>
  <c r="X6" i="19"/>
  <c r="A8" i="24"/>
  <c r="A8" i="25"/>
  <c r="B7" i="25"/>
  <c r="H6" i="19"/>
  <c r="T6" i="19"/>
  <c r="B7" i="5"/>
  <c r="B23" i="19"/>
  <c r="B22" i="19"/>
  <c r="I1" i="11"/>
  <c r="AQ7" i="11"/>
  <c r="B7" i="11"/>
  <c r="AQ8" i="6" l="1"/>
  <c r="AR8" i="7"/>
  <c r="AP8" i="5"/>
  <c r="AY8" i="8"/>
  <c r="AW8" i="11"/>
  <c r="AO8" i="13"/>
  <c r="AY8" i="12"/>
  <c r="BA8" i="8"/>
  <c r="AT8" i="7"/>
  <c r="AS8" i="6"/>
  <c r="AR8" i="5"/>
  <c r="AY8" i="11"/>
  <c r="AQ8" i="13"/>
  <c r="BA8" i="12"/>
  <c r="AX8" i="11"/>
  <c r="AZ8" i="12"/>
  <c r="AP8" i="13"/>
  <c r="AR8" i="6"/>
  <c r="AS8" i="7"/>
  <c r="AQ8" i="5"/>
  <c r="AZ8" i="8"/>
  <c r="J6" i="19"/>
  <c r="O6" i="19"/>
  <c r="K6" i="19"/>
  <c r="N6" i="19"/>
  <c r="D283" i="21"/>
  <c r="D291" i="21"/>
  <c r="D299" i="21"/>
  <c r="D307" i="21"/>
  <c r="D315" i="21"/>
  <c r="D323" i="21"/>
  <c r="D331" i="21"/>
  <c r="D339" i="21"/>
  <c r="D347" i="21"/>
  <c r="D355" i="21"/>
  <c r="D363" i="21"/>
  <c r="C281" i="21"/>
  <c r="C289" i="21"/>
  <c r="C297" i="21"/>
  <c r="C305" i="21"/>
  <c r="C313" i="21"/>
  <c r="C321" i="21"/>
  <c r="C329" i="21"/>
  <c r="C337" i="21"/>
  <c r="C345" i="21"/>
  <c r="C353" i="21"/>
  <c r="C361" i="21"/>
  <c r="B368" i="21"/>
  <c r="B287" i="21"/>
  <c r="B295" i="21"/>
  <c r="B303" i="21"/>
  <c r="D285" i="21"/>
  <c r="D293" i="21"/>
  <c r="D301" i="21"/>
  <c r="D309" i="21"/>
  <c r="D317" i="21"/>
  <c r="D325" i="21"/>
  <c r="D333" i="21"/>
  <c r="D341" i="21"/>
  <c r="D349" i="21"/>
  <c r="D367" i="21"/>
  <c r="D286" i="21"/>
  <c r="D294" i="21"/>
  <c r="D302" i="21"/>
  <c r="D310" i="21"/>
  <c r="D318" i="21"/>
  <c r="D326" i="21"/>
  <c r="D334" i="21"/>
  <c r="D342" i="21"/>
  <c r="D350" i="21"/>
  <c r="D358" i="21"/>
  <c r="D366" i="21"/>
  <c r="C284" i="21"/>
  <c r="C292" i="21"/>
  <c r="C300" i="21"/>
  <c r="C308" i="21"/>
  <c r="C316" i="21"/>
  <c r="C324" i="21"/>
  <c r="C332" i="21"/>
  <c r="C340" i="21"/>
  <c r="C348" i="21"/>
  <c r="C356" i="21"/>
  <c r="C364" i="21"/>
  <c r="B282" i="21"/>
  <c r="I6" i="19" s="1"/>
  <c r="B290" i="21"/>
  <c r="B298" i="21"/>
  <c r="B306" i="21"/>
  <c r="B314" i="21"/>
  <c r="D368" i="21"/>
  <c r="D287" i="21"/>
  <c r="D295" i="21"/>
  <c r="D303" i="21"/>
  <c r="D311" i="21"/>
  <c r="D319" i="21"/>
  <c r="D327" i="21"/>
  <c r="D335" i="21"/>
  <c r="D343" i="21"/>
  <c r="D351" i="21"/>
  <c r="D359" i="21"/>
  <c r="D280" i="21"/>
  <c r="C285" i="21"/>
  <c r="C293" i="21"/>
  <c r="C301" i="21"/>
  <c r="C309" i="21"/>
  <c r="C317" i="21"/>
  <c r="C325" i="21"/>
  <c r="C333" i="21"/>
  <c r="C341" i="21"/>
  <c r="C349" i="21"/>
  <c r="C357" i="21"/>
  <c r="C365" i="21"/>
  <c r="B283" i="21"/>
  <c r="B291" i="21"/>
  <c r="B299" i="21"/>
  <c r="B307" i="21"/>
  <c r="B315" i="21"/>
  <c r="B323" i="21"/>
  <c r="B331" i="21"/>
  <c r="B339" i="21"/>
  <c r="B347" i="21"/>
  <c r="B355" i="21"/>
  <c r="B363" i="21"/>
  <c r="D282" i="21"/>
  <c r="D298" i="21"/>
  <c r="D314" i="21"/>
  <c r="D330" i="21"/>
  <c r="D346" i="21"/>
  <c r="D361" i="21"/>
  <c r="C283" i="21"/>
  <c r="C296" i="21"/>
  <c r="C310" i="21"/>
  <c r="C322" i="21"/>
  <c r="C335" i="21"/>
  <c r="C347" i="21"/>
  <c r="C360" i="21"/>
  <c r="B284" i="21"/>
  <c r="B296" i="21"/>
  <c r="B309" i="21"/>
  <c r="B319" i="21"/>
  <c r="B328" i="21"/>
  <c r="B337" i="21"/>
  <c r="B346" i="21"/>
  <c r="B356" i="21"/>
  <c r="B365" i="21"/>
  <c r="B310" i="21"/>
  <c r="B338" i="21"/>
  <c r="B366" i="21"/>
  <c r="D322" i="21"/>
  <c r="C290" i="21"/>
  <c r="C354" i="21"/>
  <c r="B313" i="21"/>
  <c r="B351" i="21"/>
  <c r="D324" i="21"/>
  <c r="C304" i="21"/>
  <c r="C355" i="21"/>
  <c r="B325" i="21"/>
  <c r="B361" i="21"/>
  <c r="D296" i="21"/>
  <c r="D344" i="21"/>
  <c r="C294" i="21"/>
  <c r="C331" i="21"/>
  <c r="B369" i="21"/>
  <c r="B317" i="21"/>
  <c r="B353" i="21"/>
  <c r="D284" i="21"/>
  <c r="D300" i="21"/>
  <c r="D316" i="21"/>
  <c r="D332" i="21"/>
  <c r="D348" i="21"/>
  <c r="D362" i="21"/>
  <c r="C286" i="21"/>
  <c r="C298" i="21"/>
  <c r="C311" i="21"/>
  <c r="C323" i="21"/>
  <c r="C336" i="21"/>
  <c r="C350" i="21"/>
  <c r="C362" i="21"/>
  <c r="B285" i="21"/>
  <c r="B297" i="21"/>
  <c r="B329" i="21"/>
  <c r="B348" i="21"/>
  <c r="D289" i="21"/>
  <c r="D337" i="21"/>
  <c r="C288" i="21"/>
  <c r="C314" i="21"/>
  <c r="B288" i="21"/>
  <c r="B322" i="21"/>
  <c r="B350" i="21"/>
  <c r="D290" i="21"/>
  <c r="D354" i="21"/>
  <c r="C315" i="21"/>
  <c r="B289" i="21"/>
  <c r="B342" i="21"/>
  <c r="D308" i="21"/>
  <c r="C291" i="21"/>
  <c r="C343" i="21"/>
  <c r="B304" i="21"/>
  <c r="B334" i="21"/>
  <c r="D288" i="21"/>
  <c r="D304" i="21"/>
  <c r="D320" i="21"/>
  <c r="D336" i="21"/>
  <c r="D352" i="21"/>
  <c r="D364" i="21"/>
  <c r="C287" i="21"/>
  <c r="C299" i="21"/>
  <c r="C312" i="21"/>
  <c r="C326" i="21"/>
  <c r="C338" i="21"/>
  <c r="C351" i="21"/>
  <c r="C363" i="21"/>
  <c r="B286" i="21"/>
  <c r="B300" i="21"/>
  <c r="B311" i="21"/>
  <c r="B321" i="21"/>
  <c r="B330" i="21"/>
  <c r="B340" i="21"/>
  <c r="B349" i="21"/>
  <c r="B358" i="21"/>
  <c r="B280" i="21"/>
  <c r="I4" i="19" s="1"/>
  <c r="D321" i="21"/>
  <c r="D365" i="21"/>
  <c r="C327" i="21"/>
  <c r="C366" i="21"/>
  <c r="B312" i="21"/>
  <c r="B341" i="21"/>
  <c r="D306" i="21"/>
  <c r="C367" i="21"/>
  <c r="C328" i="21"/>
  <c r="C280" i="21"/>
  <c r="B324" i="21"/>
  <c r="B360" i="21"/>
  <c r="D292" i="21"/>
  <c r="D356" i="21"/>
  <c r="C318" i="21"/>
  <c r="B292" i="21"/>
  <c r="B343" i="21"/>
  <c r="D369" i="21"/>
  <c r="D357" i="21"/>
  <c r="C306" i="21"/>
  <c r="C358" i="21"/>
  <c r="B305" i="21"/>
  <c r="B335" i="21"/>
  <c r="D281" i="21"/>
  <c r="D297" i="21"/>
  <c r="D313" i="21"/>
  <c r="D329" i="21"/>
  <c r="D345" i="21"/>
  <c r="D360" i="21"/>
  <c r="C282" i="21"/>
  <c r="C295" i="21"/>
  <c r="C307" i="21"/>
  <c r="C320" i="21"/>
  <c r="C334" i="21"/>
  <c r="C346" i="21"/>
  <c r="C359" i="21"/>
  <c r="B281" i="21"/>
  <c r="I5" i="19" s="1"/>
  <c r="B294" i="21"/>
  <c r="B308" i="21"/>
  <c r="B318" i="21"/>
  <c r="B327" i="21"/>
  <c r="B336" i="21"/>
  <c r="B345" i="21"/>
  <c r="B354" i="21"/>
  <c r="B364" i="21"/>
  <c r="B320" i="21"/>
  <c r="B357" i="21"/>
  <c r="D305" i="21"/>
  <c r="D353" i="21"/>
  <c r="C302" i="21"/>
  <c r="C339" i="21"/>
  <c r="C352" i="21"/>
  <c r="B301" i="21"/>
  <c r="B332" i="21"/>
  <c r="B359" i="21"/>
  <c r="D338" i="21"/>
  <c r="C303" i="21"/>
  <c r="C342" i="21"/>
  <c r="B302" i="21"/>
  <c r="B333" i="21"/>
  <c r="D340" i="21"/>
  <c r="C368" i="21"/>
  <c r="C330" i="21"/>
  <c r="B367" i="21"/>
  <c r="B316" i="21"/>
  <c r="B352" i="21"/>
  <c r="D312" i="21"/>
  <c r="D328" i="21"/>
  <c r="C369" i="21"/>
  <c r="C319" i="21"/>
  <c r="C344" i="21"/>
  <c r="B293" i="21"/>
  <c r="B326" i="21"/>
  <c r="B344" i="21"/>
  <c r="B362" i="21"/>
  <c r="F368" i="21"/>
  <c r="H281" i="21"/>
  <c r="G284" i="21"/>
  <c r="F287" i="21"/>
  <c r="H289" i="21"/>
  <c r="G292" i="21"/>
  <c r="F295" i="21"/>
  <c r="H297" i="21"/>
  <c r="G300" i="21"/>
  <c r="F303" i="21"/>
  <c r="H305" i="21"/>
  <c r="G308" i="21"/>
  <c r="F311" i="21"/>
  <c r="H313" i="21"/>
  <c r="G316" i="21"/>
  <c r="F319" i="21"/>
  <c r="H321" i="21"/>
  <c r="G324" i="21"/>
  <c r="F327" i="21"/>
  <c r="H329" i="21"/>
  <c r="G332" i="21"/>
  <c r="F335" i="21"/>
  <c r="H337" i="21"/>
  <c r="G340" i="21"/>
  <c r="F343" i="21"/>
  <c r="H345" i="21"/>
  <c r="G348" i="21"/>
  <c r="F351" i="21"/>
  <c r="H353" i="21"/>
  <c r="G356" i="21"/>
  <c r="F359" i="21"/>
  <c r="H361" i="21"/>
  <c r="G364" i="21"/>
  <c r="H280" i="21"/>
  <c r="H368" i="21"/>
  <c r="G282" i="21"/>
  <c r="F285" i="21"/>
  <c r="H287" i="21"/>
  <c r="G290" i="21"/>
  <c r="F293" i="21"/>
  <c r="H295" i="21"/>
  <c r="G298" i="21"/>
  <c r="F301" i="21"/>
  <c r="H303" i="21"/>
  <c r="G306" i="21"/>
  <c r="F309" i="21"/>
  <c r="H311" i="21"/>
  <c r="G314" i="21"/>
  <c r="F317" i="21"/>
  <c r="H319" i="21"/>
  <c r="G322" i="21"/>
  <c r="F325" i="21"/>
  <c r="H327" i="21"/>
  <c r="G330" i="21"/>
  <c r="F333" i="21"/>
  <c r="H335" i="21"/>
  <c r="G338" i="21"/>
  <c r="F341" i="21"/>
  <c r="H343" i="21"/>
  <c r="G346" i="21"/>
  <c r="F349" i="21"/>
  <c r="H351" i="21"/>
  <c r="G354" i="21"/>
  <c r="F357" i="21"/>
  <c r="H359" i="21"/>
  <c r="G362" i="21"/>
  <c r="F365" i="21"/>
  <c r="F280" i="21"/>
  <c r="M4" i="19" s="1"/>
  <c r="F369" i="21"/>
  <c r="H282" i="21"/>
  <c r="G285" i="21"/>
  <c r="F288" i="21"/>
  <c r="H290" i="21"/>
  <c r="G293" i="21"/>
  <c r="F296" i="21"/>
  <c r="H298" i="21"/>
  <c r="G301" i="21"/>
  <c r="F304" i="21"/>
  <c r="H306" i="21"/>
  <c r="G309" i="21"/>
  <c r="F312" i="21"/>
  <c r="H314" i="21"/>
  <c r="G317" i="21"/>
  <c r="F320" i="21"/>
  <c r="H322" i="21"/>
  <c r="G325" i="21"/>
  <c r="F328" i="21"/>
  <c r="H330" i="21"/>
  <c r="G333" i="21"/>
  <c r="F336" i="21"/>
  <c r="H338" i="21"/>
  <c r="G341" i="21"/>
  <c r="F344" i="21"/>
  <c r="H346" i="21"/>
  <c r="G349" i="21"/>
  <c r="F352" i="21"/>
  <c r="H354" i="21"/>
  <c r="G357" i="21"/>
  <c r="F360" i="21"/>
  <c r="H362" i="21"/>
  <c r="G365" i="21"/>
  <c r="G369" i="21"/>
  <c r="F283" i="21"/>
  <c r="H285" i="21"/>
  <c r="G288" i="21"/>
  <c r="F291" i="21"/>
  <c r="H293" i="21"/>
  <c r="G296" i="21"/>
  <c r="F299" i="21"/>
  <c r="H301" i="21"/>
  <c r="G304" i="21"/>
  <c r="F307" i="21"/>
  <c r="H309" i="21"/>
  <c r="G312" i="21"/>
  <c r="F315" i="21"/>
  <c r="H317" i="21"/>
  <c r="G320" i="21"/>
  <c r="F323" i="21"/>
  <c r="H325" i="21"/>
  <c r="G328" i="21"/>
  <c r="F331" i="21"/>
  <c r="H333" i="21"/>
  <c r="G336" i="21"/>
  <c r="F339" i="21"/>
  <c r="H341" i="21"/>
  <c r="G344" i="21"/>
  <c r="F347" i="21"/>
  <c r="H349" i="21"/>
  <c r="G352" i="21"/>
  <c r="F355" i="21"/>
  <c r="H357" i="21"/>
  <c r="G360" i="21"/>
  <c r="F363" i="21"/>
  <c r="H365" i="21"/>
  <c r="F367" i="21"/>
  <c r="H369" i="21"/>
  <c r="G283" i="21"/>
  <c r="F286" i="21"/>
  <c r="H288" i="21"/>
  <c r="G291" i="21"/>
  <c r="F294" i="21"/>
  <c r="H296" i="21"/>
  <c r="G299" i="21"/>
  <c r="F302" i="21"/>
  <c r="G367" i="21"/>
  <c r="H284" i="21"/>
  <c r="F292" i="21"/>
  <c r="H299" i="21"/>
  <c r="G305" i="21"/>
  <c r="H310" i="21"/>
  <c r="F316" i="21"/>
  <c r="G321" i="21"/>
  <c r="H326" i="21"/>
  <c r="F332" i="21"/>
  <c r="G337" i="21"/>
  <c r="H342" i="21"/>
  <c r="F348" i="21"/>
  <c r="G353" i="21"/>
  <c r="H358" i="21"/>
  <c r="F364" i="21"/>
  <c r="G295" i="21"/>
  <c r="H350" i="21"/>
  <c r="G289" i="21"/>
  <c r="G319" i="21"/>
  <c r="H340" i="21"/>
  <c r="F362" i="21"/>
  <c r="F290" i="21"/>
  <c r="H304" i="21"/>
  <c r="G315" i="21"/>
  <c r="G331" i="21"/>
  <c r="F342" i="21"/>
  <c r="H352" i="21"/>
  <c r="G363" i="21"/>
  <c r="H367" i="21"/>
  <c r="G286" i="21"/>
  <c r="H292" i="21"/>
  <c r="F300" i="21"/>
  <c r="F306" i="21"/>
  <c r="G311" i="21"/>
  <c r="H316" i="21"/>
  <c r="F322" i="21"/>
  <c r="G327" i="21"/>
  <c r="H332" i="21"/>
  <c r="F338" i="21"/>
  <c r="G343" i="21"/>
  <c r="H348" i="21"/>
  <c r="F354" i="21"/>
  <c r="G359" i="21"/>
  <c r="H364" i="21"/>
  <c r="H294" i="21"/>
  <c r="G334" i="21"/>
  <c r="G350" i="21"/>
  <c r="H302" i="21"/>
  <c r="G329" i="21"/>
  <c r="G345" i="21"/>
  <c r="F297" i="21"/>
  <c r="F314" i="21"/>
  <c r="G335" i="21"/>
  <c r="H356" i="21"/>
  <c r="G368" i="21"/>
  <c r="H286" i="21"/>
  <c r="G294" i="21"/>
  <c r="H300" i="21"/>
  <c r="G307" i="21"/>
  <c r="H312" i="21"/>
  <c r="F318" i="21"/>
  <c r="G323" i="21"/>
  <c r="H328" i="21"/>
  <c r="F334" i="21"/>
  <c r="G339" i="21"/>
  <c r="H344" i="21"/>
  <c r="F350" i="21"/>
  <c r="G355" i="21"/>
  <c r="H360" i="21"/>
  <c r="F366" i="21"/>
  <c r="G287" i="21"/>
  <c r="G302" i="21"/>
  <c r="F313" i="21"/>
  <c r="H323" i="21"/>
  <c r="H339" i="21"/>
  <c r="F361" i="21"/>
  <c r="G281" i="21"/>
  <c r="G313" i="21"/>
  <c r="F324" i="21"/>
  <c r="F340" i="21"/>
  <c r="F356" i="21"/>
  <c r="F282" i="21"/>
  <c r="M6" i="19" s="1"/>
  <c r="H308" i="21"/>
  <c r="F330" i="21"/>
  <c r="G351" i="21"/>
  <c r="H320" i="21"/>
  <c r="F284" i="21"/>
  <c r="H291" i="21"/>
  <c r="F298" i="21"/>
  <c r="F305" i="21"/>
  <c r="G310" i="21"/>
  <c r="H315" i="21"/>
  <c r="F321" i="21"/>
  <c r="G326" i="21"/>
  <c r="H331" i="21"/>
  <c r="F337" i="21"/>
  <c r="G342" i="21"/>
  <c r="H347" i="21"/>
  <c r="F353" i="21"/>
  <c r="G358" i="21"/>
  <c r="H363" i="21"/>
  <c r="F281" i="21"/>
  <c r="M5" i="19" s="1"/>
  <c r="H307" i="21"/>
  <c r="G318" i="21"/>
  <c r="F329" i="21"/>
  <c r="F345" i="21"/>
  <c r="H355" i="21"/>
  <c r="G366" i="21"/>
  <c r="F289" i="21"/>
  <c r="F308" i="21"/>
  <c r="H318" i="21"/>
  <c r="H334" i="21"/>
  <c r="G361" i="21"/>
  <c r="H366" i="21"/>
  <c r="G303" i="21"/>
  <c r="H324" i="21"/>
  <c r="F346" i="21"/>
  <c r="G280" i="21"/>
  <c r="H283" i="21"/>
  <c r="G297" i="21"/>
  <c r="F310" i="21"/>
  <c r="F326" i="21"/>
  <c r="H336" i="21"/>
  <c r="G347" i="21"/>
  <c r="F358" i="21"/>
  <c r="AM5" i="25"/>
  <c r="AE6" i="25"/>
  <c r="AE5" i="25"/>
  <c r="AF5" i="25"/>
  <c r="AF6" i="25"/>
  <c r="AN5" i="25"/>
  <c r="AH6" i="24"/>
  <c r="AG6" i="24"/>
  <c r="AN5" i="24"/>
  <c r="AH5" i="24"/>
  <c r="AO5" i="24"/>
  <c r="AG5" i="24"/>
  <c r="E90" i="7"/>
  <c r="E88" i="7"/>
  <c r="E91" i="7"/>
  <c r="E90" i="8"/>
  <c r="E89" i="7"/>
  <c r="E93" i="7"/>
  <c r="E93" i="8"/>
  <c r="E88" i="8"/>
  <c r="E92" i="8"/>
  <c r="E92" i="7"/>
  <c r="B8" i="24"/>
  <c r="X7" i="19"/>
  <c r="AD6" i="25"/>
  <c r="AL5" i="25"/>
  <c r="AC6" i="25"/>
  <c r="AK5" i="25"/>
  <c r="AD5" i="25"/>
  <c r="AC5" i="25"/>
  <c r="AP6" i="24"/>
  <c r="L1494" i="21"/>
  <c r="K3" i="19" s="1"/>
  <c r="AF6" i="24"/>
  <c r="AF5" i="24"/>
  <c r="L1495" i="21"/>
  <c r="S7" i="11"/>
  <c r="A2" i="24"/>
  <c r="A2" i="25"/>
  <c r="AB6" i="25"/>
  <c r="AJ5" i="25"/>
  <c r="T5" i="25"/>
  <c r="Z6" i="25"/>
  <c r="AI5" i="25"/>
  <c r="AA5" i="25"/>
  <c r="W5" i="25"/>
  <c r="Y6" i="25"/>
  <c r="AH5" i="25"/>
  <c r="Z5" i="25"/>
  <c r="V5" i="25"/>
  <c r="X6" i="25"/>
  <c r="AG5" i="25"/>
  <c r="Y5" i="25"/>
  <c r="U5" i="25"/>
  <c r="AB5" i="25"/>
  <c r="X5" i="25"/>
  <c r="L597" i="21"/>
  <c r="A9" i="24"/>
  <c r="A9" i="25"/>
  <c r="B8" i="25"/>
  <c r="AC6" i="24"/>
  <c r="AE6" i="24"/>
  <c r="AD6" i="24"/>
  <c r="Y6" i="24"/>
  <c r="T6" i="24"/>
  <c r="W5" i="24"/>
  <c r="T5" i="24"/>
  <c r="S6" i="24"/>
  <c r="AE5" i="24"/>
  <c r="AM5" i="24"/>
  <c r="AI5" i="24"/>
  <c r="AL5" i="24"/>
  <c r="AB5" i="24"/>
  <c r="AK5" i="24"/>
  <c r="A597" i="21"/>
  <c r="AJ5" i="24"/>
  <c r="AD5" i="24"/>
  <c r="AC5" i="24"/>
  <c r="X6" i="24"/>
  <c r="H7" i="19"/>
  <c r="T7" i="19"/>
  <c r="I611" i="21"/>
  <c r="I613" i="21"/>
  <c r="I612" i="21"/>
  <c r="I614" i="21"/>
  <c r="H611" i="21"/>
  <c r="H614" i="21"/>
  <c r="H612" i="21"/>
  <c r="H613" i="21"/>
  <c r="Z5" i="24" s="1"/>
  <c r="AS60" i="18"/>
  <c r="R59" i="18"/>
  <c r="R58" i="18"/>
  <c r="AS57" i="18"/>
  <c r="R57" i="18"/>
  <c r="AS49" i="18"/>
  <c r="BO45" i="18"/>
  <c r="R45" i="18"/>
  <c r="BK39" i="18"/>
  <c r="AS34" i="18"/>
  <c r="R34" i="18"/>
  <c r="BO33" i="18"/>
  <c r="BK31" i="18"/>
  <c r="BM25" i="18"/>
  <c r="BL25" i="18"/>
  <c r="BK25" i="18"/>
  <c r="BK24" i="18"/>
  <c r="BK21" i="18"/>
  <c r="AS21" i="18"/>
  <c r="R21" i="18"/>
  <c r="BO9" i="18"/>
  <c r="BK9" i="18"/>
  <c r="AU9" i="18"/>
  <c r="AS9" i="18"/>
  <c r="AO9" i="18"/>
  <c r="AN9" i="18"/>
  <c r="AM9" i="18"/>
  <c r="AL9" i="18"/>
  <c r="AK9" i="18"/>
  <c r="AJ9" i="18"/>
  <c r="AG9" i="18"/>
  <c r="AF9" i="18"/>
  <c r="AE9" i="18"/>
  <c r="T9" i="18"/>
  <c r="R9" i="18"/>
  <c r="N9" i="18"/>
  <c r="M9" i="18"/>
  <c r="L9" i="18"/>
  <c r="J9" i="18"/>
  <c r="G9" i="18"/>
  <c r="F9" i="18"/>
  <c r="BO8" i="18"/>
  <c r="BN8" i="18"/>
  <c r="BL8" i="18"/>
  <c r="BK8" i="18"/>
  <c r="BG8" i="18"/>
  <c r="BF8" i="18"/>
  <c r="AN8" i="18"/>
  <c r="AM8" i="18"/>
  <c r="AL8" i="18"/>
  <c r="AJ8" i="18"/>
  <c r="M8" i="18"/>
  <c r="K8" i="18"/>
  <c r="J8" i="18"/>
  <c r="BR7" i="18"/>
  <c r="BP7" i="18"/>
  <c r="BO7" i="18"/>
  <c r="BN7" i="18"/>
  <c r="BK7" i="18"/>
  <c r="BI7" i="18"/>
  <c r="BG7" i="18"/>
  <c r="BF7" i="18"/>
  <c r="AU7" i="18"/>
  <c r="AS7" i="18"/>
  <c r="AO7" i="18"/>
  <c r="AN7" i="18"/>
  <c r="AM7" i="18"/>
  <c r="AL7" i="18"/>
  <c r="AK7" i="18"/>
  <c r="AJ7" i="18"/>
  <c r="AH7" i="18"/>
  <c r="AF7" i="18"/>
  <c r="AE7" i="18"/>
  <c r="T7" i="18"/>
  <c r="N7" i="18"/>
  <c r="M7" i="18"/>
  <c r="L7" i="18"/>
  <c r="K7" i="18"/>
  <c r="J7" i="18"/>
  <c r="I7" i="18"/>
  <c r="H7" i="18"/>
  <c r="F7" i="18"/>
  <c r="E7" i="18"/>
  <c r="AI58" i="13"/>
  <c r="B58" i="13"/>
  <c r="S58" i="13" s="1"/>
  <c r="AI57" i="13"/>
  <c r="B57" i="13"/>
  <c r="AI56" i="13"/>
  <c r="B56" i="13"/>
  <c r="AI55" i="13"/>
  <c r="B55" i="13"/>
  <c r="AI54" i="13"/>
  <c r="B54" i="13"/>
  <c r="S54" i="13" s="1"/>
  <c r="AI53" i="13"/>
  <c r="B53" i="13"/>
  <c r="AI52" i="13"/>
  <c r="B52" i="13"/>
  <c r="S52" i="13" s="1"/>
  <c r="AI51" i="13"/>
  <c r="B51" i="13"/>
  <c r="AI50" i="13"/>
  <c r="B50" i="13"/>
  <c r="S50" i="13" s="1"/>
  <c r="AI49" i="13"/>
  <c r="B49" i="13"/>
  <c r="AI48" i="13"/>
  <c r="B48" i="13"/>
  <c r="AI47" i="13"/>
  <c r="B47" i="13"/>
  <c r="AI46" i="13"/>
  <c r="B46" i="13"/>
  <c r="S46" i="13" s="1"/>
  <c r="AI45" i="13"/>
  <c r="B45" i="13"/>
  <c r="AI44" i="13"/>
  <c r="S44" i="13"/>
  <c r="B44" i="13"/>
  <c r="AI43" i="13"/>
  <c r="B43" i="13"/>
  <c r="AI42" i="13"/>
  <c r="B42" i="13"/>
  <c r="S42" i="13" s="1"/>
  <c r="AI41" i="13"/>
  <c r="B41" i="13"/>
  <c r="AI40" i="13"/>
  <c r="B40" i="13"/>
  <c r="S40" i="13" s="1"/>
  <c r="AI39" i="13"/>
  <c r="B39" i="13"/>
  <c r="AI38" i="13"/>
  <c r="B38" i="13"/>
  <c r="S38" i="13" s="1"/>
  <c r="AI37" i="13"/>
  <c r="B37" i="13"/>
  <c r="S37" i="13" s="1"/>
  <c r="AI36" i="13"/>
  <c r="B36" i="13"/>
  <c r="S36" i="13" s="1"/>
  <c r="AI35" i="13"/>
  <c r="B35" i="13"/>
  <c r="AI34" i="13"/>
  <c r="B34" i="13"/>
  <c r="S34" i="13" s="1"/>
  <c r="AI33" i="13"/>
  <c r="B33" i="13"/>
  <c r="AI32" i="13"/>
  <c r="B32" i="13"/>
  <c r="AI31" i="13"/>
  <c r="B31" i="13"/>
  <c r="AI30" i="13"/>
  <c r="B30" i="13"/>
  <c r="S30" i="13" s="1"/>
  <c r="AI29" i="13"/>
  <c r="B29" i="13"/>
  <c r="AI28" i="13"/>
  <c r="B28" i="13"/>
  <c r="AI27" i="13"/>
  <c r="B27" i="13"/>
  <c r="AI26" i="13"/>
  <c r="B26" i="13"/>
  <c r="S26" i="13" s="1"/>
  <c r="AI25" i="13"/>
  <c r="B25" i="13"/>
  <c r="S25" i="13" s="1"/>
  <c r="AI24" i="13"/>
  <c r="B24" i="13"/>
  <c r="AI23" i="13"/>
  <c r="B23" i="13"/>
  <c r="AI22" i="13"/>
  <c r="B22" i="13"/>
  <c r="S22" i="13" s="1"/>
  <c r="AI21" i="13"/>
  <c r="B21" i="13"/>
  <c r="AI20" i="13"/>
  <c r="B20" i="13"/>
  <c r="S20" i="13" s="1"/>
  <c r="AI19" i="13"/>
  <c r="B19" i="13"/>
  <c r="AI18" i="13"/>
  <c r="B18" i="13"/>
  <c r="S18" i="13" s="1"/>
  <c r="AI17" i="13"/>
  <c r="B17" i="13"/>
  <c r="AI16" i="13"/>
  <c r="B16" i="13"/>
  <c r="AI15" i="13"/>
  <c r="B15" i="13"/>
  <c r="AI14" i="13"/>
  <c r="B14" i="13"/>
  <c r="S14" i="13" s="1"/>
  <c r="AI13" i="13"/>
  <c r="B13" i="13"/>
  <c r="AI12" i="13"/>
  <c r="B12" i="13"/>
  <c r="AI11" i="13"/>
  <c r="B11" i="13"/>
  <c r="AI10" i="13"/>
  <c r="B10" i="13"/>
  <c r="S10" i="13" s="1"/>
  <c r="AI9" i="13"/>
  <c r="B9" i="13"/>
  <c r="AI8" i="13"/>
  <c r="B8" i="13"/>
  <c r="B7" i="13"/>
  <c r="AS58" i="12"/>
  <c r="B58" i="12"/>
  <c r="AS57" i="12"/>
  <c r="B57" i="12"/>
  <c r="AS56" i="12"/>
  <c r="B56" i="12"/>
  <c r="AS55" i="12"/>
  <c r="B55" i="12"/>
  <c r="AS54" i="12"/>
  <c r="B54" i="12"/>
  <c r="AS53" i="12"/>
  <c r="B53" i="12"/>
  <c r="AS52" i="12"/>
  <c r="B52" i="12"/>
  <c r="AS51" i="12"/>
  <c r="B51" i="12"/>
  <c r="AS50" i="12"/>
  <c r="B50" i="12"/>
  <c r="AS49" i="12"/>
  <c r="B49" i="12"/>
  <c r="AS48" i="12"/>
  <c r="B48" i="12"/>
  <c r="AS47" i="12"/>
  <c r="B47" i="12"/>
  <c r="AS46" i="12"/>
  <c r="B46" i="12"/>
  <c r="AS45" i="12"/>
  <c r="B45" i="12"/>
  <c r="AS44" i="12"/>
  <c r="B44" i="12"/>
  <c r="AS43" i="12"/>
  <c r="B43" i="12"/>
  <c r="AS42" i="12"/>
  <c r="B42" i="12"/>
  <c r="AS41" i="12"/>
  <c r="B41" i="12"/>
  <c r="AS40" i="12"/>
  <c r="B40" i="12"/>
  <c r="AS39" i="12"/>
  <c r="B39" i="12"/>
  <c r="AS38" i="12"/>
  <c r="B38" i="12"/>
  <c r="AS37" i="12"/>
  <c r="B37" i="12"/>
  <c r="AS36" i="12"/>
  <c r="B36" i="12"/>
  <c r="AS35" i="12"/>
  <c r="B35" i="12"/>
  <c r="AS34" i="12"/>
  <c r="B34" i="12"/>
  <c r="AS33" i="12"/>
  <c r="B33" i="12"/>
  <c r="AS32" i="12"/>
  <c r="B32" i="12"/>
  <c r="AS31" i="12"/>
  <c r="B31" i="12"/>
  <c r="AS30" i="12"/>
  <c r="B30" i="12"/>
  <c r="S30" i="12" s="1"/>
  <c r="AS29" i="12"/>
  <c r="B29" i="12"/>
  <c r="S29" i="12" s="1"/>
  <c r="AS28" i="12"/>
  <c r="B28" i="12"/>
  <c r="S28" i="12" s="1"/>
  <c r="AS27" i="12"/>
  <c r="B27" i="12"/>
  <c r="AS26" i="12"/>
  <c r="B26" i="12"/>
  <c r="S26" i="12" s="1"/>
  <c r="AS25" i="12"/>
  <c r="B25" i="12"/>
  <c r="S25" i="12" s="1"/>
  <c r="AS24" i="12"/>
  <c r="B24" i="12"/>
  <c r="S24" i="12" s="1"/>
  <c r="AS23" i="12"/>
  <c r="B23" i="12"/>
  <c r="AS22" i="12"/>
  <c r="B22" i="12"/>
  <c r="S22" i="12" s="1"/>
  <c r="AS21" i="12"/>
  <c r="B21" i="12"/>
  <c r="S21" i="12" s="1"/>
  <c r="AS20" i="12"/>
  <c r="B20" i="12"/>
  <c r="S20" i="12" s="1"/>
  <c r="AS19" i="12"/>
  <c r="B19" i="12"/>
  <c r="AS18" i="12"/>
  <c r="B18" i="12"/>
  <c r="S18" i="12" s="1"/>
  <c r="AS17" i="12"/>
  <c r="B17" i="12"/>
  <c r="S17" i="12" s="1"/>
  <c r="AS16" i="12"/>
  <c r="B16" i="12"/>
  <c r="S16" i="12" s="1"/>
  <c r="AS15" i="12"/>
  <c r="B15" i="12"/>
  <c r="AS14" i="12"/>
  <c r="B14" i="12"/>
  <c r="S14" i="12" s="1"/>
  <c r="AS13" i="12"/>
  <c r="B13" i="12"/>
  <c r="S13" i="12" s="1"/>
  <c r="AS12" i="12"/>
  <c r="B12" i="12"/>
  <c r="AS11" i="12"/>
  <c r="B11" i="12"/>
  <c r="S11" i="12" s="1"/>
  <c r="AS10" i="12"/>
  <c r="B10" i="12"/>
  <c r="S10" i="12" s="1"/>
  <c r="AS9" i="12"/>
  <c r="B9" i="12"/>
  <c r="S9" i="12" s="1"/>
  <c r="AS8" i="12"/>
  <c r="B8" i="12"/>
  <c r="S8" i="12" s="1"/>
  <c r="B7" i="12"/>
  <c r="AQ58" i="11"/>
  <c r="B58" i="11"/>
  <c r="AQ57" i="11"/>
  <c r="B57" i="11"/>
  <c r="AQ56" i="11"/>
  <c r="B56" i="11"/>
  <c r="AQ55" i="11"/>
  <c r="B55" i="11"/>
  <c r="AQ54" i="11"/>
  <c r="B54" i="11"/>
  <c r="AQ53" i="11"/>
  <c r="B53" i="11"/>
  <c r="AQ52" i="11"/>
  <c r="B52" i="11"/>
  <c r="AQ51" i="11"/>
  <c r="B51" i="11"/>
  <c r="AQ50" i="11"/>
  <c r="B50" i="11"/>
  <c r="AQ49" i="11"/>
  <c r="B49" i="11"/>
  <c r="AQ48" i="11"/>
  <c r="B48" i="11"/>
  <c r="AQ47" i="11"/>
  <c r="B47" i="11"/>
  <c r="AQ46" i="11"/>
  <c r="B46" i="11"/>
  <c r="AQ45" i="11"/>
  <c r="B45" i="11"/>
  <c r="AQ44" i="11"/>
  <c r="B44" i="11"/>
  <c r="AQ43" i="11"/>
  <c r="B43" i="11"/>
  <c r="AQ42" i="11"/>
  <c r="B42" i="11"/>
  <c r="AQ41" i="11"/>
  <c r="B41" i="11"/>
  <c r="AQ40" i="11"/>
  <c r="B40" i="11"/>
  <c r="AQ39" i="11"/>
  <c r="B39" i="11"/>
  <c r="AQ38" i="11"/>
  <c r="B38" i="11"/>
  <c r="AQ37" i="11"/>
  <c r="B37" i="11"/>
  <c r="AQ36" i="11"/>
  <c r="B36" i="11"/>
  <c r="AQ35" i="11"/>
  <c r="B35" i="11"/>
  <c r="AQ34" i="11"/>
  <c r="B34" i="11"/>
  <c r="AQ33" i="11"/>
  <c r="B33" i="11"/>
  <c r="AQ32" i="11"/>
  <c r="B32" i="11"/>
  <c r="AQ31" i="11"/>
  <c r="B31" i="11"/>
  <c r="AQ30" i="11"/>
  <c r="B30" i="11"/>
  <c r="AQ29" i="11"/>
  <c r="B29" i="11"/>
  <c r="AQ28" i="11"/>
  <c r="B28" i="11"/>
  <c r="AQ27" i="11"/>
  <c r="B27" i="11"/>
  <c r="AQ26" i="11"/>
  <c r="B26" i="11"/>
  <c r="AQ25" i="11"/>
  <c r="B25" i="11"/>
  <c r="AQ24" i="11"/>
  <c r="B24" i="11"/>
  <c r="AQ23" i="11"/>
  <c r="B23" i="11"/>
  <c r="AQ22" i="11"/>
  <c r="B22" i="11"/>
  <c r="AQ21" i="11"/>
  <c r="B21" i="11"/>
  <c r="AQ20" i="11"/>
  <c r="B20" i="11"/>
  <c r="AQ19" i="11"/>
  <c r="B19" i="11"/>
  <c r="AQ18" i="11"/>
  <c r="B18" i="11"/>
  <c r="AQ17" i="11"/>
  <c r="B17" i="11"/>
  <c r="AQ16" i="11"/>
  <c r="B16" i="11"/>
  <c r="AQ15" i="11"/>
  <c r="B15" i="11"/>
  <c r="AQ14" i="11"/>
  <c r="B14" i="11"/>
  <c r="AQ13" i="11"/>
  <c r="B13" i="11"/>
  <c r="AQ12" i="11"/>
  <c r="B12" i="11"/>
  <c r="AQ11" i="11"/>
  <c r="B11" i="11"/>
  <c r="AQ10" i="11"/>
  <c r="B10" i="11"/>
  <c r="AQ9" i="11"/>
  <c r="B9" i="11"/>
  <c r="AQ8" i="11"/>
  <c r="B8" i="11"/>
  <c r="A82" i="14"/>
  <c r="A34" i="14"/>
  <c r="A33" i="14"/>
  <c r="A32" i="14"/>
  <c r="A31" i="14"/>
  <c r="C12" i="14"/>
  <c r="C11" i="14"/>
  <c r="C10" i="14"/>
  <c r="CG60" i="1"/>
  <c r="J60" i="1"/>
  <c r="CC58" i="1"/>
  <c r="CL57" i="1"/>
  <c r="CH57" i="1"/>
  <c r="CG57" i="1"/>
  <c r="CF57" i="1"/>
  <c r="CE57" i="1"/>
  <c r="CC57" i="1"/>
  <c r="BY57" i="1"/>
  <c r="J57" i="1"/>
  <c r="F57" i="1"/>
  <c r="CL56" i="1"/>
  <c r="CL55" i="1"/>
  <c r="CL54" i="1"/>
  <c r="CG54" i="1"/>
  <c r="CF54" i="1"/>
  <c r="J54" i="1"/>
  <c r="F54" i="1"/>
  <c r="CL53" i="1"/>
  <c r="CH53" i="1"/>
  <c r="CF53" i="1"/>
  <c r="CE53" i="1"/>
  <c r="CC53" i="1"/>
  <c r="BY53" i="1"/>
  <c r="J53" i="1"/>
  <c r="F53" i="1"/>
  <c r="CL52" i="1"/>
  <c r="CC52" i="1"/>
  <c r="CL51" i="1"/>
  <c r="CG51" i="1"/>
  <c r="J51" i="1"/>
  <c r="F51" i="1"/>
  <c r="CC50" i="1"/>
  <c r="CL49" i="1"/>
  <c r="CC49" i="1"/>
  <c r="CL48" i="1"/>
  <c r="CG48" i="1"/>
  <c r="CC48" i="1"/>
  <c r="M48" i="1"/>
  <c r="J48" i="1"/>
  <c r="I48" i="1"/>
  <c r="F48" i="1"/>
  <c r="I47" i="1"/>
  <c r="J46" i="1"/>
  <c r="I46" i="1"/>
  <c r="F46" i="1"/>
  <c r="CL45" i="1"/>
  <c r="CH45" i="1"/>
  <c r="CG45" i="1"/>
  <c r="CF45" i="1"/>
  <c r="CE45" i="1"/>
  <c r="CC45" i="1"/>
  <c r="BY45" i="1"/>
  <c r="N45" i="1"/>
  <c r="M45" i="1"/>
  <c r="J45" i="1"/>
  <c r="I45" i="1"/>
  <c r="F45" i="1"/>
  <c r="I44" i="1"/>
  <c r="CH43" i="1"/>
  <c r="CF43" i="1"/>
  <c r="CE43" i="1"/>
  <c r="BY43" i="1"/>
  <c r="J43" i="1"/>
  <c r="I43" i="1"/>
  <c r="F43" i="1"/>
  <c r="CL42" i="1"/>
  <c r="CG42" i="1"/>
  <c r="CF42" i="1"/>
  <c r="J42" i="1"/>
  <c r="F42" i="1"/>
  <c r="CC41" i="1"/>
  <c r="I41" i="1"/>
  <c r="I40" i="1"/>
  <c r="CL39" i="1"/>
  <c r="CG39" i="1"/>
  <c r="CC39" i="1"/>
  <c r="J39" i="1"/>
  <c r="I39" i="1"/>
  <c r="F39" i="1"/>
  <c r="J38" i="1"/>
  <c r="I38" i="1"/>
  <c r="F38" i="1"/>
  <c r="CL37" i="1"/>
  <c r="I37" i="1"/>
  <c r="CL36" i="1"/>
  <c r="CG36" i="1"/>
  <c r="J36" i="1"/>
  <c r="I36" i="1"/>
  <c r="F36" i="1"/>
  <c r="CC35" i="1"/>
  <c r="J35" i="1"/>
  <c r="F35" i="1"/>
  <c r="I34" i="1"/>
  <c r="CH33" i="1"/>
  <c r="CG33" i="1"/>
  <c r="CF33" i="1"/>
  <c r="CE33" i="1"/>
  <c r="BY33" i="1"/>
  <c r="N33" i="1"/>
  <c r="M33" i="1"/>
  <c r="J33" i="1"/>
  <c r="I33" i="1"/>
  <c r="F33" i="1"/>
  <c r="J32" i="1"/>
  <c r="F32" i="1"/>
  <c r="CG30" i="1"/>
  <c r="J30" i="1"/>
  <c r="F30" i="1"/>
  <c r="CG27" i="1"/>
  <c r="M27" i="1"/>
  <c r="J27" i="1"/>
  <c r="F27" i="1"/>
  <c r="N26" i="1"/>
  <c r="M26" i="1"/>
  <c r="CF25" i="1"/>
  <c r="CH24" i="1"/>
  <c r="CG24" i="1"/>
  <c r="CF24" i="1"/>
  <c r="CE24" i="1"/>
  <c r="BY24" i="1"/>
  <c r="J24" i="1"/>
  <c r="F24" i="1"/>
  <c r="CC23" i="1"/>
  <c r="CL21" i="1"/>
  <c r="J21" i="1"/>
  <c r="F21" i="1"/>
  <c r="J18" i="1"/>
  <c r="CC15" i="1"/>
  <c r="CL13" i="1"/>
  <c r="CH12" i="1"/>
  <c r="CG12" i="1"/>
  <c r="CF12" i="1"/>
  <c r="CE12" i="1"/>
  <c r="CC12" i="1"/>
  <c r="BY12" i="1"/>
  <c r="J12" i="1"/>
  <c r="CL9" i="1"/>
  <c r="CH9" i="1"/>
  <c r="CG9" i="1"/>
  <c r="CF9" i="1"/>
  <c r="CE9" i="1"/>
  <c r="CC9" i="1"/>
  <c r="BY9" i="1"/>
  <c r="N9" i="1"/>
  <c r="M9" i="1"/>
  <c r="J9" i="1"/>
  <c r="I9" i="1"/>
  <c r="BZ8" i="1"/>
  <c r="BY8" i="1"/>
  <c r="CM7" i="1"/>
  <c r="CL7" i="1"/>
  <c r="CE7" i="1"/>
  <c r="CD7" i="1"/>
  <c r="CC7" i="1"/>
  <c r="BZ7" i="1"/>
  <c r="BY7" i="1"/>
  <c r="BX7" i="1"/>
  <c r="O7" i="1"/>
  <c r="N7" i="1"/>
  <c r="M7" i="1"/>
  <c r="L7" i="1"/>
  <c r="K7" i="1"/>
  <c r="J7" i="1"/>
  <c r="I7" i="1"/>
  <c r="H7" i="1"/>
  <c r="G7" i="1"/>
  <c r="F7" i="1"/>
  <c r="E7" i="1"/>
  <c r="AR58" i="8"/>
  <c r="B58" i="8"/>
  <c r="AR57" i="8"/>
  <c r="B57" i="8"/>
  <c r="AR56" i="8"/>
  <c r="B56" i="8"/>
  <c r="AR55" i="8"/>
  <c r="B55" i="8"/>
  <c r="AR54" i="8"/>
  <c r="B54" i="8"/>
  <c r="AR53" i="8"/>
  <c r="B53" i="8"/>
  <c r="AR52" i="8"/>
  <c r="B52" i="8"/>
  <c r="AR51" i="8"/>
  <c r="V51" i="8"/>
  <c r="B51" i="8"/>
  <c r="AR50" i="8"/>
  <c r="B50" i="8"/>
  <c r="AR49" i="8"/>
  <c r="B49" i="8"/>
  <c r="AR48" i="8"/>
  <c r="B48" i="8"/>
  <c r="AR47" i="8"/>
  <c r="B47" i="8"/>
  <c r="AR46" i="8"/>
  <c r="B46" i="8"/>
  <c r="AR45" i="8"/>
  <c r="B45" i="8"/>
  <c r="AR44" i="8"/>
  <c r="B44" i="8"/>
  <c r="AR43" i="8"/>
  <c r="B43" i="8"/>
  <c r="AR42" i="8"/>
  <c r="B42" i="8"/>
  <c r="AR41" i="8"/>
  <c r="B41" i="8"/>
  <c r="AR40" i="8"/>
  <c r="B40" i="8"/>
  <c r="AR39" i="8"/>
  <c r="B39" i="8"/>
  <c r="AR38" i="8"/>
  <c r="B38" i="8"/>
  <c r="AR37" i="8"/>
  <c r="B37" i="8"/>
  <c r="AR36" i="8"/>
  <c r="B36" i="8"/>
  <c r="AR35" i="8"/>
  <c r="B35" i="8"/>
  <c r="AR34" i="8"/>
  <c r="B34" i="8"/>
  <c r="AR33" i="8"/>
  <c r="B33" i="8"/>
  <c r="AR32" i="8"/>
  <c r="B32" i="8"/>
  <c r="AR31" i="8"/>
  <c r="B31" i="8"/>
  <c r="AR30" i="8"/>
  <c r="B30" i="8"/>
  <c r="W30" i="8" s="1"/>
  <c r="AR29" i="8"/>
  <c r="B29" i="8"/>
  <c r="W29" i="8" s="1"/>
  <c r="AR28" i="8"/>
  <c r="B28" i="8"/>
  <c r="W28" i="8" s="1"/>
  <c r="AR27" i="8"/>
  <c r="B27" i="8"/>
  <c r="W27" i="8" s="1"/>
  <c r="AR26" i="8"/>
  <c r="B26" i="8"/>
  <c r="AR25" i="8"/>
  <c r="B25" i="8"/>
  <c r="W25" i="8" s="1"/>
  <c r="AR24" i="8"/>
  <c r="B24" i="8"/>
  <c r="W24" i="8" s="1"/>
  <c r="AR23" i="8"/>
  <c r="B23" i="8"/>
  <c r="W23" i="8" s="1"/>
  <c r="AR22" i="8"/>
  <c r="B22" i="8"/>
  <c r="AR21" i="8"/>
  <c r="B21" i="8"/>
  <c r="W21" i="8" s="1"/>
  <c r="AR20" i="8"/>
  <c r="B20" i="8"/>
  <c r="W20" i="8" s="1"/>
  <c r="AR19" i="8"/>
  <c r="V19" i="8"/>
  <c r="B19" i="8"/>
  <c r="W19" i="8" s="1"/>
  <c r="AR18" i="8"/>
  <c r="B18" i="8"/>
  <c r="AR17" i="8"/>
  <c r="B17" i="8"/>
  <c r="W17" i="8" s="1"/>
  <c r="AR16" i="8"/>
  <c r="B16" i="8"/>
  <c r="AR15" i="8"/>
  <c r="B15" i="8"/>
  <c r="W15" i="8" s="1"/>
  <c r="AR14" i="8"/>
  <c r="B14" i="8"/>
  <c r="AR13" i="8"/>
  <c r="B13" i="8"/>
  <c r="W13" i="8" s="1"/>
  <c r="AR12" i="8"/>
  <c r="B12" i="8"/>
  <c r="AR11" i="8"/>
  <c r="B11" i="8"/>
  <c r="W11" i="8" s="1"/>
  <c r="AR10" i="8"/>
  <c r="B10" i="8"/>
  <c r="W10" i="8" s="1"/>
  <c r="AR9" i="8"/>
  <c r="B9" i="8"/>
  <c r="W9" i="8" s="1"/>
  <c r="AR8" i="8"/>
  <c r="B8" i="8"/>
  <c r="AR7" i="8"/>
  <c r="B7" i="8"/>
  <c r="I1" i="8"/>
  <c r="AK58" i="7"/>
  <c r="B58" i="7"/>
  <c r="U58" i="7" s="1"/>
  <c r="AK57" i="7"/>
  <c r="B57" i="7"/>
  <c r="U57" i="7" s="1"/>
  <c r="AK56" i="7"/>
  <c r="B56" i="7"/>
  <c r="U56" i="7" s="1"/>
  <c r="AK55" i="7"/>
  <c r="B55" i="7"/>
  <c r="U55" i="7" s="1"/>
  <c r="AK54" i="7"/>
  <c r="B54" i="7"/>
  <c r="U54" i="7" s="1"/>
  <c r="AK53" i="7"/>
  <c r="B53" i="7"/>
  <c r="U53" i="7" s="1"/>
  <c r="AK52" i="7"/>
  <c r="B52" i="7"/>
  <c r="U52" i="7" s="1"/>
  <c r="AK51" i="7"/>
  <c r="B51" i="7"/>
  <c r="U51" i="7" s="1"/>
  <c r="AK50" i="7"/>
  <c r="B50" i="7"/>
  <c r="U50" i="7" s="1"/>
  <c r="AK49" i="7"/>
  <c r="B49" i="7"/>
  <c r="U49" i="7" s="1"/>
  <c r="AK48" i="7"/>
  <c r="B48" i="7"/>
  <c r="U48" i="7" s="1"/>
  <c r="AK47" i="7"/>
  <c r="B47" i="7"/>
  <c r="U47" i="7" s="1"/>
  <c r="AK46" i="7"/>
  <c r="B46" i="7"/>
  <c r="U46" i="7" s="1"/>
  <c r="AK45" i="7"/>
  <c r="B45" i="7"/>
  <c r="U45" i="7" s="1"/>
  <c r="AK44" i="7"/>
  <c r="B44" i="7"/>
  <c r="U44" i="7" s="1"/>
  <c r="AK43" i="7"/>
  <c r="B43" i="7"/>
  <c r="U43" i="7" s="1"/>
  <c r="AK42" i="7"/>
  <c r="B42" i="7"/>
  <c r="U42" i="7" s="1"/>
  <c r="AK41" i="7"/>
  <c r="B41" i="7"/>
  <c r="U41" i="7" s="1"/>
  <c r="AK40" i="7"/>
  <c r="B40" i="7"/>
  <c r="U40" i="7" s="1"/>
  <c r="AK39" i="7"/>
  <c r="B39" i="7"/>
  <c r="U39" i="7" s="1"/>
  <c r="AK38" i="7"/>
  <c r="B38" i="7"/>
  <c r="U38" i="7" s="1"/>
  <c r="AK37" i="7"/>
  <c r="B37" i="7"/>
  <c r="U37" i="7" s="1"/>
  <c r="AK36" i="7"/>
  <c r="B36" i="7"/>
  <c r="U36" i="7" s="1"/>
  <c r="AK35" i="7"/>
  <c r="B35" i="7"/>
  <c r="U35" i="7" s="1"/>
  <c r="AK34" i="7"/>
  <c r="B34" i="7"/>
  <c r="U34" i="7" s="1"/>
  <c r="AK33" i="7"/>
  <c r="B33" i="7"/>
  <c r="U33" i="7" s="1"/>
  <c r="AK32" i="7"/>
  <c r="B32" i="7"/>
  <c r="U32" i="7" s="1"/>
  <c r="AK31" i="7"/>
  <c r="B31" i="7"/>
  <c r="U31" i="7" s="1"/>
  <c r="AK30" i="7"/>
  <c r="B30" i="7"/>
  <c r="U30" i="7" s="1"/>
  <c r="AK29" i="7"/>
  <c r="B29" i="7"/>
  <c r="U29" i="7" s="1"/>
  <c r="AK28" i="7"/>
  <c r="B28" i="7"/>
  <c r="U28" i="7" s="1"/>
  <c r="AK27" i="7"/>
  <c r="B27" i="7"/>
  <c r="U27" i="7" s="1"/>
  <c r="AK26" i="7"/>
  <c r="B26" i="7"/>
  <c r="U26" i="7" s="1"/>
  <c r="AK25" i="7"/>
  <c r="B25" i="7"/>
  <c r="U25" i="7" s="1"/>
  <c r="AK24" i="7"/>
  <c r="B24" i="7"/>
  <c r="U24" i="7" s="1"/>
  <c r="AK23" i="7"/>
  <c r="B23" i="7"/>
  <c r="U23" i="7" s="1"/>
  <c r="AK22" i="7"/>
  <c r="B22" i="7"/>
  <c r="U22" i="7" s="1"/>
  <c r="AK21" i="7"/>
  <c r="B21" i="7"/>
  <c r="U21" i="7" s="1"/>
  <c r="AK20" i="7"/>
  <c r="B20" i="7"/>
  <c r="U20" i="7" s="1"/>
  <c r="AK19" i="7"/>
  <c r="B19" i="7"/>
  <c r="U19" i="7" s="1"/>
  <c r="AK18" i="7"/>
  <c r="B18" i="7"/>
  <c r="U18" i="7" s="1"/>
  <c r="AK17" i="7"/>
  <c r="B17" i="7"/>
  <c r="U17" i="7" s="1"/>
  <c r="AK16" i="7"/>
  <c r="B16" i="7"/>
  <c r="U16" i="7" s="1"/>
  <c r="AK15" i="7"/>
  <c r="B15" i="7"/>
  <c r="U15" i="7" s="1"/>
  <c r="AK14" i="7"/>
  <c r="B14" i="7"/>
  <c r="U14" i="7" s="1"/>
  <c r="AK13" i="7"/>
  <c r="B13" i="7"/>
  <c r="U13" i="7" s="1"/>
  <c r="AK12" i="7"/>
  <c r="B12" i="7"/>
  <c r="U12" i="7" s="1"/>
  <c r="AK11" i="7"/>
  <c r="B11" i="7"/>
  <c r="U11" i="7" s="1"/>
  <c r="AK10" i="7"/>
  <c r="B10" i="7"/>
  <c r="U10" i="7" s="1"/>
  <c r="AK9" i="7"/>
  <c r="B9" i="7"/>
  <c r="U9" i="7" s="1"/>
  <c r="AK8" i="7"/>
  <c r="B8" i="7"/>
  <c r="U8" i="7" s="1"/>
  <c r="AK7" i="7"/>
  <c r="B7" i="7"/>
  <c r="U7" i="7" s="1"/>
  <c r="I1" i="7"/>
  <c r="AJ58" i="6"/>
  <c r="B58" i="6"/>
  <c r="U58" i="6" s="1"/>
  <c r="AJ57" i="6"/>
  <c r="B57" i="6"/>
  <c r="U57" i="6" s="1"/>
  <c r="AJ56" i="6"/>
  <c r="B56" i="6"/>
  <c r="U56" i="6" s="1"/>
  <c r="AJ55" i="6"/>
  <c r="B55" i="6"/>
  <c r="U55" i="6" s="1"/>
  <c r="AJ54" i="6"/>
  <c r="B54" i="6"/>
  <c r="U54" i="6" s="1"/>
  <c r="AJ53" i="6"/>
  <c r="B53" i="6"/>
  <c r="U53" i="6" s="1"/>
  <c r="AJ52" i="6"/>
  <c r="B52" i="6"/>
  <c r="U52" i="6" s="1"/>
  <c r="AJ51" i="6"/>
  <c r="B51" i="6"/>
  <c r="U51" i="6" s="1"/>
  <c r="AJ50" i="6"/>
  <c r="B50" i="6"/>
  <c r="U50" i="6" s="1"/>
  <c r="AJ49" i="6"/>
  <c r="B49" i="6"/>
  <c r="U49" i="6" s="1"/>
  <c r="AJ48" i="6"/>
  <c r="B48" i="6"/>
  <c r="U48" i="6" s="1"/>
  <c r="AJ47" i="6"/>
  <c r="B47" i="6"/>
  <c r="U47" i="6" s="1"/>
  <c r="AJ46" i="6"/>
  <c r="B46" i="6"/>
  <c r="U46" i="6" s="1"/>
  <c r="AJ45" i="6"/>
  <c r="B45" i="6"/>
  <c r="U45" i="6" s="1"/>
  <c r="AJ44" i="6"/>
  <c r="B44" i="6"/>
  <c r="U44" i="6" s="1"/>
  <c r="AJ43" i="6"/>
  <c r="B43" i="6"/>
  <c r="U43" i="6" s="1"/>
  <c r="AJ42" i="6"/>
  <c r="B42" i="6"/>
  <c r="U42" i="6" s="1"/>
  <c r="AJ41" i="6"/>
  <c r="B41" i="6"/>
  <c r="U41" i="6" s="1"/>
  <c r="AJ40" i="6"/>
  <c r="B40" i="6"/>
  <c r="U40" i="6" s="1"/>
  <c r="AJ39" i="6"/>
  <c r="B39" i="6"/>
  <c r="U39" i="6" s="1"/>
  <c r="AJ38" i="6"/>
  <c r="B38" i="6"/>
  <c r="U38" i="6" s="1"/>
  <c r="AJ37" i="6"/>
  <c r="B37" i="6"/>
  <c r="U37" i="6" s="1"/>
  <c r="AJ36" i="6"/>
  <c r="B36" i="6"/>
  <c r="U36" i="6" s="1"/>
  <c r="AJ35" i="6"/>
  <c r="B35" i="6"/>
  <c r="U35" i="6" s="1"/>
  <c r="AJ34" i="6"/>
  <c r="B34" i="6"/>
  <c r="U34" i="6" s="1"/>
  <c r="AJ33" i="6"/>
  <c r="B33" i="6"/>
  <c r="U33" i="6" s="1"/>
  <c r="AJ32" i="6"/>
  <c r="B32" i="6"/>
  <c r="U32" i="6" s="1"/>
  <c r="AJ31" i="6"/>
  <c r="B31" i="6"/>
  <c r="U31" i="6" s="1"/>
  <c r="AJ30" i="6"/>
  <c r="B30" i="6"/>
  <c r="U30" i="6" s="1"/>
  <c r="AJ29" i="6"/>
  <c r="B29" i="6"/>
  <c r="U29" i="6" s="1"/>
  <c r="AJ28" i="6"/>
  <c r="B28" i="6"/>
  <c r="U28" i="6" s="1"/>
  <c r="AJ27" i="6"/>
  <c r="B27" i="6"/>
  <c r="U27" i="6" s="1"/>
  <c r="AJ26" i="6"/>
  <c r="B26" i="6"/>
  <c r="U26" i="6" s="1"/>
  <c r="AJ25" i="6"/>
  <c r="B25" i="6"/>
  <c r="U25" i="6" s="1"/>
  <c r="AJ24" i="6"/>
  <c r="B24" i="6"/>
  <c r="U24" i="6" s="1"/>
  <c r="AJ23" i="6"/>
  <c r="B23" i="6"/>
  <c r="U23" i="6" s="1"/>
  <c r="AJ22" i="6"/>
  <c r="B22" i="6"/>
  <c r="U22" i="6" s="1"/>
  <c r="AJ21" i="6"/>
  <c r="B21" i="6"/>
  <c r="U21" i="6" s="1"/>
  <c r="AJ20" i="6"/>
  <c r="B20" i="6"/>
  <c r="U20" i="6" s="1"/>
  <c r="AJ19" i="6"/>
  <c r="B19" i="6"/>
  <c r="U19" i="6" s="1"/>
  <c r="AJ18" i="6"/>
  <c r="B18" i="6"/>
  <c r="U18" i="6" s="1"/>
  <c r="AJ17" i="6"/>
  <c r="B17" i="6"/>
  <c r="U17" i="6" s="1"/>
  <c r="AJ16" i="6"/>
  <c r="B16" i="6"/>
  <c r="U16" i="6" s="1"/>
  <c r="AJ15" i="6"/>
  <c r="B15" i="6"/>
  <c r="U15" i="6" s="1"/>
  <c r="AJ14" i="6"/>
  <c r="B14" i="6"/>
  <c r="U14" i="6" s="1"/>
  <c r="AJ13" i="6"/>
  <c r="B13" i="6"/>
  <c r="U13" i="6" s="1"/>
  <c r="AJ12" i="6"/>
  <c r="B12" i="6"/>
  <c r="U12" i="6" s="1"/>
  <c r="AJ11" i="6"/>
  <c r="B11" i="6"/>
  <c r="U11" i="6" s="1"/>
  <c r="AJ10" i="6"/>
  <c r="B10" i="6"/>
  <c r="U10" i="6" s="1"/>
  <c r="AJ9" i="6"/>
  <c r="B9" i="6"/>
  <c r="U9" i="6" s="1"/>
  <c r="AJ8" i="6"/>
  <c r="B8" i="6"/>
  <c r="U8" i="6" s="1"/>
  <c r="AJ7" i="6"/>
  <c r="B7" i="6"/>
  <c r="U7" i="6" s="1"/>
  <c r="I1" i="6"/>
  <c r="AI58" i="5"/>
  <c r="U58" i="5"/>
  <c r="AI57" i="5"/>
  <c r="B57" i="5"/>
  <c r="AI56" i="5"/>
  <c r="B56" i="5"/>
  <c r="U56" i="5" s="1"/>
  <c r="AI55" i="5"/>
  <c r="B55" i="5"/>
  <c r="AI54" i="5"/>
  <c r="B54" i="5"/>
  <c r="U54" i="5" s="1"/>
  <c r="AI53" i="5"/>
  <c r="B53" i="5"/>
  <c r="AI52" i="5"/>
  <c r="B52" i="5"/>
  <c r="U52" i="5" s="1"/>
  <c r="AI51" i="5"/>
  <c r="B51" i="5"/>
  <c r="AI50" i="5"/>
  <c r="B50" i="5"/>
  <c r="U50" i="5" s="1"/>
  <c r="AI49" i="5"/>
  <c r="B49" i="5"/>
  <c r="AI48" i="5"/>
  <c r="B48" i="5"/>
  <c r="U48" i="5" s="1"/>
  <c r="AI47" i="5"/>
  <c r="B47" i="5"/>
  <c r="AI46" i="5"/>
  <c r="B46" i="5"/>
  <c r="U46" i="5" s="1"/>
  <c r="AI45" i="5"/>
  <c r="B45" i="5"/>
  <c r="AI44" i="5"/>
  <c r="B44" i="5"/>
  <c r="U44" i="5" s="1"/>
  <c r="AI43" i="5"/>
  <c r="B43" i="5"/>
  <c r="AI42" i="5"/>
  <c r="B42" i="5"/>
  <c r="U42" i="5" s="1"/>
  <c r="AI41" i="5"/>
  <c r="B41" i="5"/>
  <c r="AI40" i="5"/>
  <c r="B40" i="5"/>
  <c r="U40" i="5" s="1"/>
  <c r="AI39" i="5"/>
  <c r="B39" i="5"/>
  <c r="AI38" i="5"/>
  <c r="B38" i="5"/>
  <c r="U38" i="5" s="1"/>
  <c r="AI37" i="5"/>
  <c r="B37" i="5"/>
  <c r="AI36" i="5"/>
  <c r="B36" i="5"/>
  <c r="U36" i="5" s="1"/>
  <c r="AI35" i="5"/>
  <c r="B35" i="5"/>
  <c r="AI34" i="5"/>
  <c r="B34" i="5"/>
  <c r="U34" i="5" s="1"/>
  <c r="AI33" i="5"/>
  <c r="B33" i="5"/>
  <c r="AI32" i="5"/>
  <c r="B32" i="5"/>
  <c r="U32" i="5" s="1"/>
  <c r="AI31" i="5"/>
  <c r="B31" i="5"/>
  <c r="AI30" i="5"/>
  <c r="B30" i="5"/>
  <c r="U30" i="5" s="1"/>
  <c r="AI29" i="5"/>
  <c r="B29" i="5"/>
  <c r="AI28" i="5"/>
  <c r="B28" i="5"/>
  <c r="U28" i="5" s="1"/>
  <c r="AI27" i="5"/>
  <c r="B27" i="5"/>
  <c r="AI26" i="5"/>
  <c r="B26" i="5"/>
  <c r="U26" i="5" s="1"/>
  <c r="AI25" i="5"/>
  <c r="B25" i="5"/>
  <c r="AI24" i="5"/>
  <c r="B24" i="5"/>
  <c r="AI23" i="5"/>
  <c r="B23" i="5"/>
  <c r="AI22" i="5"/>
  <c r="B22" i="5"/>
  <c r="U22" i="5" s="1"/>
  <c r="AI21" i="5"/>
  <c r="B21" i="5"/>
  <c r="AI20" i="5"/>
  <c r="B20" i="5"/>
  <c r="U20" i="5" s="1"/>
  <c r="AI19" i="5"/>
  <c r="B19" i="5"/>
  <c r="AI18" i="5"/>
  <c r="B18" i="5"/>
  <c r="AI17" i="5"/>
  <c r="B17" i="5"/>
  <c r="AI16" i="5"/>
  <c r="B16" i="5"/>
  <c r="U16" i="5" s="1"/>
  <c r="AI15" i="5"/>
  <c r="B15" i="5"/>
  <c r="AI14" i="5"/>
  <c r="B14" i="5"/>
  <c r="AI13" i="5"/>
  <c r="B13" i="5"/>
  <c r="AF13" i="5" s="1"/>
  <c r="AI12" i="5"/>
  <c r="B12" i="5"/>
  <c r="AI11" i="5"/>
  <c r="B11" i="5"/>
  <c r="AF11" i="5" s="1"/>
  <c r="AI10" i="5"/>
  <c r="B10" i="5"/>
  <c r="U10" i="5" s="1"/>
  <c r="AI9" i="5"/>
  <c r="B9" i="5"/>
  <c r="AI8" i="5"/>
  <c r="B8" i="5"/>
  <c r="U8" i="5" s="1"/>
  <c r="AI7" i="5"/>
  <c r="E7" i="5" s="1"/>
  <c r="AF7" i="5"/>
  <c r="U7" i="5"/>
  <c r="I1" i="5"/>
  <c r="BC281" i="9"/>
  <c r="BC280" i="9"/>
  <c r="BC279" i="9"/>
  <c r="BC278" i="9"/>
  <c r="BC277" i="9"/>
  <c r="BC276" i="9"/>
  <c r="BC275" i="9"/>
  <c r="BC274" i="9"/>
  <c r="BC273" i="9"/>
  <c r="BC272" i="9"/>
  <c r="BC271" i="9"/>
  <c r="BC270" i="9"/>
  <c r="BC269" i="9"/>
  <c r="BC268" i="9"/>
  <c r="BC267" i="9"/>
  <c r="BC266" i="9"/>
  <c r="BC265" i="9"/>
  <c r="BC264" i="9"/>
  <c r="BC263" i="9"/>
  <c r="BC262" i="9"/>
  <c r="BC261" i="9"/>
  <c r="BC260" i="9"/>
  <c r="BC259" i="9"/>
  <c r="BC258" i="9"/>
  <c r="BC257" i="9"/>
  <c r="BC256" i="9"/>
  <c r="BC255" i="9"/>
  <c r="BC254" i="9"/>
  <c r="BC253" i="9"/>
  <c r="BC252" i="9"/>
  <c r="BC251" i="9"/>
  <c r="BC250" i="9"/>
  <c r="BC249" i="9"/>
  <c r="BC248" i="9"/>
  <c r="BC247" i="9"/>
  <c r="BC246" i="9"/>
  <c r="A36" i="9"/>
  <c r="A35" i="9"/>
  <c r="A34" i="9"/>
  <c r="A33" i="9"/>
  <c r="A31" i="9"/>
  <c r="A653" i="21"/>
  <c r="A647" i="21"/>
  <c r="A624" i="21"/>
  <c r="L91" i="14"/>
  <c r="L621" i="21"/>
  <c r="A645" i="21"/>
  <c r="L625" i="21"/>
  <c r="A621" i="21"/>
  <c r="L609" i="21"/>
  <c r="A635" i="21"/>
  <c r="L627" i="21"/>
  <c r="L629" i="21"/>
  <c r="L622" i="21"/>
  <c r="L605" i="21"/>
  <c r="L611" i="21"/>
  <c r="L614" i="21"/>
  <c r="A614" i="21"/>
  <c r="L649" i="21"/>
  <c r="A634" i="21"/>
  <c r="L653" i="21"/>
  <c r="H91" i="14"/>
  <c r="A627" i="21"/>
  <c r="A658" i="21"/>
  <c r="A643" i="21"/>
  <c r="L647" i="21"/>
  <c r="L645" i="21"/>
  <c r="A610" i="21"/>
  <c r="N91" i="14"/>
  <c r="L603" i="21"/>
  <c r="A612" i="21"/>
  <c r="A620" i="21"/>
  <c r="L652" i="21"/>
  <c r="L612" i="21"/>
  <c r="A629" i="21"/>
  <c r="A640" i="21"/>
  <c r="A617" i="21"/>
  <c r="A631" i="21"/>
  <c r="A651" i="21"/>
  <c r="A641" i="21"/>
  <c r="A607" i="21"/>
  <c r="L626" i="21"/>
  <c r="L610" i="21"/>
  <c r="L642" i="21"/>
  <c r="A603" i="21"/>
  <c r="A626" i="21"/>
  <c r="A659" i="21"/>
  <c r="L633" i="21"/>
  <c r="A618" i="21"/>
  <c r="A609" i="21"/>
  <c r="A604" i="21"/>
  <c r="L651" i="21"/>
  <c r="A625" i="21"/>
  <c r="A619" i="21"/>
  <c r="L623" i="21"/>
  <c r="A633" i="21"/>
  <c r="L628" i="21"/>
  <c r="A622" i="21"/>
  <c r="L650" i="21"/>
  <c r="L602" i="21"/>
  <c r="I91" i="14"/>
  <c r="L658" i="21"/>
  <c r="A615" i="21"/>
  <c r="L657" i="21"/>
  <c r="L632" i="21"/>
  <c r="L638" i="21"/>
  <c r="L608" i="21"/>
  <c r="A606" i="21"/>
  <c r="L631" i="21"/>
  <c r="L601" i="21"/>
  <c r="L624" i="21"/>
  <c r="L644" i="21"/>
  <c r="A654" i="21"/>
  <c r="A602" i="21"/>
  <c r="A636" i="21"/>
  <c r="A600" i="21"/>
  <c r="M91" i="14"/>
  <c r="L648" i="21"/>
  <c r="A613" i="21"/>
  <c r="L654" i="21"/>
  <c r="L634" i="21"/>
  <c r="A616" i="21"/>
  <c r="L617" i="21"/>
  <c r="D233" i="9"/>
  <c r="A637" i="21"/>
  <c r="G91" i="14"/>
  <c r="L659" i="21"/>
  <c r="A611" i="21"/>
  <c r="L643" i="21"/>
  <c r="L616" i="21"/>
  <c r="A648" i="21"/>
  <c r="A638" i="21"/>
  <c r="L615" i="21"/>
  <c r="L636" i="21"/>
  <c r="A623" i="21"/>
  <c r="K91" i="14"/>
  <c r="L607" i="21"/>
  <c r="A644" i="21"/>
  <c r="L619" i="21"/>
  <c r="A652" i="21"/>
  <c r="A656" i="21"/>
  <c r="L620" i="21"/>
  <c r="A642" i="21"/>
  <c r="A630" i="21"/>
  <c r="A639" i="21"/>
  <c r="L655" i="21"/>
  <c r="L600" i="21"/>
  <c r="L637" i="21"/>
  <c r="A650" i="21"/>
  <c r="J91" i="14"/>
  <c r="A657" i="21"/>
  <c r="L630" i="21"/>
  <c r="A628" i="21"/>
  <c r="A601" i="21"/>
  <c r="A608" i="21"/>
  <c r="L613" i="21"/>
  <c r="L656" i="21"/>
  <c r="L604" i="21"/>
  <c r="A632" i="21"/>
  <c r="L606" i="21"/>
  <c r="L640" i="21"/>
  <c r="A649" i="21"/>
  <c r="L639" i="21"/>
  <c r="Q8" i="25"/>
  <c r="L646" i="21"/>
  <c r="L635" i="21"/>
  <c r="A655" i="21"/>
  <c r="P7" i="25"/>
  <c r="A646" i="21"/>
  <c r="L618" i="21"/>
  <c r="L641" i="21"/>
  <c r="A605" i="21"/>
  <c r="P82" i="24"/>
  <c r="AC94" i="25"/>
  <c r="P29" i="24"/>
  <c r="P65" i="24"/>
  <c r="P89" i="24"/>
  <c r="Z9" i="25"/>
  <c r="AQ94" i="25"/>
  <c r="AF95" i="25"/>
  <c r="P78" i="24"/>
  <c r="P56" i="24"/>
  <c r="P36" i="24"/>
  <c r="P40" i="24"/>
  <c r="P73" i="24"/>
  <c r="P67" i="24"/>
  <c r="P59" i="24"/>
  <c r="P42" i="24"/>
  <c r="P63" i="24"/>
  <c r="AH96" i="24"/>
  <c r="P30" i="24"/>
  <c r="P37" i="24"/>
  <c r="AB95" i="24"/>
  <c r="S94" i="24"/>
  <c r="AC8" i="24"/>
  <c r="R95" i="24"/>
  <c r="P13" i="24"/>
  <c r="P88" i="24"/>
  <c r="AE94" i="24"/>
  <c r="AR8" i="24"/>
  <c r="AB93" i="24"/>
  <c r="P10" i="24"/>
  <c r="P43" i="24"/>
  <c r="P16" i="24"/>
  <c r="AB94" i="24"/>
  <c r="P52" i="24"/>
  <c r="P83" i="24"/>
  <c r="P90" i="24"/>
  <c r="P81" i="24"/>
  <c r="P44" i="24"/>
  <c r="AG96" i="24"/>
  <c r="AH9" i="24"/>
  <c r="R8" i="24"/>
  <c r="P32" i="24"/>
  <c r="P80" i="24"/>
  <c r="AG7" i="24"/>
  <c r="P58" i="24"/>
  <c r="P39" i="24"/>
  <c r="P72" i="24"/>
  <c r="P79" i="24"/>
  <c r="S96" i="24"/>
  <c r="AF95" i="24"/>
  <c r="AB8" i="24"/>
  <c r="P94" i="24"/>
  <c r="AD7" i="24"/>
  <c r="P25" i="24"/>
  <c r="P34" i="24"/>
  <c r="P28" i="24"/>
  <c r="P9" i="24"/>
  <c r="AG94" i="24"/>
  <c r="P14" i="24"/>
  <c r="P91" i="24"/>
  <c r="P93" i="24"/>
  <c r="AE95" i="24"/>
  <c r="AH95" i="24"/>
  <c r="P69" i="24"/>
  <c r="P48" i="24"/>
  <c r="P7" i="24"/>
  <c r="P64" i="24"/>
  <c r="P76" i="24"/>
  <c r="P8" i="24"/>
  <c r="S8" i="24"/>
  <c r="P87" i="24"/>
  <c r="AH7" i="24"/>
  <c r="P70" i="24"/>
  <c r="AR9" i="24"/>
  <c r="S7" i="24"/>
  <c r="AR95" i="24"/>
  <c r="AR96" i="24"/>
  <c r="AD96" i="24"/>
  <c r="P84" i="24"/>
  <c r="AR7" i="24"/>
  <c r="P11" i="24"/>
  <c r="P17" i="24"/>
  <c r="AF96" i="24"/>
  <c r="P74" i="24"/>
  <c r="P47" i="24"/>
  <c r="AR94" i="24"/>
  <c r="S95" i="24"/>
  <c r="P46" i="24"/>
  <c r="AE8" i="24"/>
  <c r="AB7" i="24"/>
  <c r="AA8" i="25"/>
  <c r="Q9" i="25"/>
  <c r="Y9" i="25"/>
  <c r="AQ9" i="25"/>
  <c r="AF9" i="25"/>
  <c r="Y95" i="25"/>
  <c r="Z7" i="25"/>
  <c r="Y96" i="25"/>
  <c r="Q94" i="25"/>
  <c r="AF8" i="25"/>
  <c r="AC8" i="25"/>
  <c r="Z96" i="25"/>
  <c r="Y8" i="25"/>
  <c r="AC96" i="25"/>
  <c r="AB94" i="25"/>
  <c r="P8" i="25"/>
  <c r="Q7" i="25"/>
  <c r="AC7" i="25"/>
  <c r="AF7" i="25"/>
  <c r="AD94" i="25"/>
  <c r="P95" i="25"/>
  <c r="X9" i="25"/>
  <c r="AQ8" i="25"/>
  <c r="AB96" i="25"/>
  <c r="X8" i="25"/>
  <c r="Z8" i="25"/>
  <c r="AE94" i="25"/>
  <c r="Q96" i="25"/>
  <c r="AD96" i="25"/>
  <c r="P9" i="25"/>
  <c r="X94" i="25"/>
  <c r="AA94" i="25"/>
  <c r="P93" i="25"/>
  <c r="AQ96" i="25"/>
  <c r="AD9" i="25"/>
  <c r="X96" i="25"/>
  <c r="AF96" i="25"/>
  <c r="AE9" i="25"/>
  <c r="X7" i="25"/>
  <c r="AE96" i="25"/>
  <c r="AQ95" i="25"/>
  <c r="P96" i="25"/>
  <c r="AB7" i="25"/>
  <c r="AD8" i="25"/>
  <c r="P94" i="25"/>
  <c r="Z94" i="25"/>
  <c r="AS9" i="25"/>
  <c r="X93" i="25"/>
  <c r="Q95" i="25"/>
  <c r="Y94" i="25"/>
  <c r="Y7" i="25"/>
  <c r="AF94" i="25"/>
  <c r="AA95" i="25"/>
  <c r="AA96" i="25"/>
  <c r="AS96" i="25"/>
  <c r="AS7" i="25"/>
  <c r="AC95" i="25"/>
  <c r="P19" i="24"/>
  <c r="P49" i="24"/>
  <c r="P55" i="24"/>
  <c r="P75" i="24"/>
  <c r="P62" i="24"/>
  <c r="AD9" i="24"/>
  <c r="P86" i="24"/>
  <c r="AC9" i="24"/>
  <c r="AC7" i="24"/>
  <c r="AC95" i="24"/>
  <c r="P22" i="24"/>
  <c r="AD94" i="24"/>
  <c r="P57" i="24"/>
  <c r="P68" i="24"/>
  <c r="P18" i="24"/>
  <c r="AG9" i="24"/>
  <c r="R96" i="24"/>
  <c r="P21" i="24"/>
  <c r="AF9" i="24"/>
  <c r="P12" i="24"/>
  <c r="AF94" i="24"/>
  <c r="AC94" i="24"/>
  <c r="P51" i="24"/>
  <c r="P31" i="24"/>
  <c r="S93" i="24"/>
  <c r="AB96" i="24"/>
  <c r="AH8" i="24"/>
  <c r="P95" i="24"/>
  <c r="P85" i="24"/>
  <c r="AG95" i="24"/>
  <c r="P66" i="24"/>
  <c r="P50" i="24"/>
  <c r="P41" i="24"/>
  <c r="P26" i="24"/>
  <c r="R94" i="24"/>
  <c r="R9" i="24"/>
  <c r="AS8" i="25"/>
  <c r="Z95" i="25"/>
  <c r="X95" i="25"/>
  <c r="AE95" i="25"/>
  <c r="AS93" i="25"/>
  <c r="AS94" i="25"/>
  <c r="AS95" i="25"/>
  <c r="AQ93" i="25"/>
  <c r="AE8" i="25"/>
  <c r="AB95" i="25"/>
  <c r="AD95" i="25"/>
  <c r="AA9" i="25"/>
  <c r="AC9" i="25"/>
  <c r="AE7" i="25"/>
  <c r="P24" i="24"/>
  <c r="AE9" i="24"/>
  <c r="S9" i="24"/>
  <c r="P96" i="24"/>
  <c r="P35" i="24"/>
  <c r="AH94" i="24"/>
  <c r="P77" i="24"/>
  <c r="AD8" i="24"/>
  <c r="P61" i="24"/>
  <c r="P45" i="24"/>
  <c r="P38" i="24"/>
  <c r="P92" i="24"/>
  <c r="P27" i="24"/>
  <c r="P20" i="24"/>
  <c r="P53" i="24"/>
  <c r="P15" i="24"/>
  <c r="R93" i="24"/>
  <c r="P54" i="24"/>
  <c r="AD95" i="24"/>
  <c r="AE96" i="24"/>
  <c r="AC96" i="24"/>
  <c r="P23" i="24"/>
  <c r="P71" i="24"/>
  <c r="P60" i="24"/>
  <c r="P33" i="24"/>
  <c r="AQ9" i="6" l="1"/>
  <c r="AR9" i="7"/>
  <c r="AP9" i="5"/>
  <c r="AY9" i="8"/>
  <c r="AW9" i="11"/>
  <c r="AO9" i="13"/>
  <c r="AY9" i="12"/>
  <c r="C69" i="5"/>
  <c r="C46" i="5"/>
  <c r="C23" i="5"/>
  <c r="C87" i="5"/>
  <c r="C56" i="5"/>
  <c r="C41" i="5"/>
  <c r="C74" i="5"/>
  <c r="C11" i="5"/>
  <c r="C76" i="5"/>
  <c r="C82" i="5"/>
  <c r="C52" i="5"/>
  <c r="C84" i="5"/>
  <c r="C29" i="5"/>
  <c r="C47" i="5"/>
  <c r="C80" i="5"/>
  <c r="C59" i="5"/>
  <c r="C37" i="5"/>
  <c r="C55" i="5"/>
  <c r="C10" i="5"/>
  <c r="C18" i="5"/>
  <c r="C71" i="5"/>
  <c r="C12" i="5"/>
  <c r="C38" i="5"/>
  <c r="C58" i="5"/>
  <c r="C36" i="5"/>
  <c r="C13" i="5"/>
  <c r="C77" i="5"/>
  <c r="C54" i="5"/>
  <c r="C31" i="5"/>
  <c r="C95" i="5"/>
  <c r="C64" i="5"/>
  <c r="C57" i="5"/>
  <c r="C90" i="5"/>
  <c r="C27" i="5"/>
  <c r="C33" i="5"/>
  <c r="C19" i="5"/>
  <c r="C68" i="5"/>
  <c r="C93" i="5"/>
  <c r="C16" i="5"/>
  <c r="C89" i="5"/>
  <c r="C7" i="5"/>
  <c r="C86" i="5"/>
  <c r="C88" i="5"/>
  <c r="C75" i="5"/>
  <c r="C42" i="5"/>
  <c r="C50" i="5"/>
  <c r="C15" i="5"/>
  <c r="C44" i="5"/>
  <c r="C21" i="5"/>
  <c r="C85" i="5"/>
  <c r="C62" i="5"/>
  <c r="C39" i="5"/>
  <c r="C8" i="5"/>
  <c r="C72" i="5"/>
  <c r="C73" i="5"/>
  <c r="C28" i="5"/>
  <c r="C43" i="5"/>
  <c r="C65" i="5"/>
  <c r="C35" i="5"/>
  <c r="C78" i="5"/>
  <c r="C60" i="5"/>
  <c r="C51" i="5"/>
  <c r="C14" i="5"/>
  <c r="C24" i="5"/>
  <c r="C92" i="5"/>
  <c r="C67" i="5"/>
  <c r="C9" i="5"/>
  <c r="C20" i="5"/>
  <c r="C79" i="5"/>
  <c r="C81" i="5"/>
  <c r="C45" i="5"/>
  <c r="C22" i="5"/>
  <c r="C94" i="5"/>
  <c r="C63" i="5"/>
  <c r="C32" i="5"/>
  <c r="C96" i="5"/>
  <c r="C26" i="5"/>
  <c r="C17" i="5"/>
  <c r="C91" i="5"/>
  <c r="C34" i="5"/>
  <c r="C83" i="5"/>
  <c r="C53" i="5"/>
  <c r="C30" i="5"/>
  <c r="C70" i="5"/>
  <c r="C40" i="5"/>
  <c r="C49" i="5"/>
  <c r="C61" i="5"/>
  <c r="C48" i="5"/>
  <c r="C25" i="5"/>
  <c r="C66" i="5"/>
  <c r="V1158" i="21"/>
  <c r="V1159" i="21"/>
  <c r="AN94" i="25"/>
  <c r="AN95" i="25"/>
  <c r="AN96" i="25"/>
  <c r="AM95" i="25"/>
  <c r="AM96" i="25"/>
  <c r="AM94" i="25"/>
  <c r="AL96" i="25"/>
  <c r="AL94" i="25"/>
  <c r="AL95" i="25"/>
  <c r="S94" i="25"/>
  <c r="S95" i="25"/>
  <c r="S96" i="25"/>
  <c r="AL94" i="24"/>
  <c r="AL95" i="24"/>
  <c r="AL96" i="24"/>
  <c r="V94" i="24"/>
  <c r="V96" i="24"/>
  <c r="V95" i="24"/>
  <c r="AQ9" i="13"/>
  <c r="AY9" i="11"/>
  <c r="BA9" i="12"/>
  <c r="BA9" i="8"/>
  <c r="AT9" i="7"/>
  <c r="AS9" i="6"/>
  <c r="AR9" i="5"/>
  <c r="AX9" i="11"/>
  <c r="AP9" i="13"/>
  <c r="AZ9" i="12"/>
  <c r="AQ9" i="5"/>
  <c r="AR9" i="6"/>
  <c r="AZ9" i="8"/>
  <c r="AS9" i="7"/>
  <c r="M7" i="19"/>
  <c r="I7" i="19"/>
  <c r="K7" i="19"/>
  <c r="J7" i="19"/>
  <c r="O7" i="19"/>
  <c r="N7" i="19"/>
  <c r="AN8" i="25"/>
  <c r="AN7" i="25"/>
  <c r="AM7" i="25"/>
  <c r="AM8" i="25"/>
  <c r="AO8" i="24"/>
  <c r="AO9" i="24"/>
  <c r="AO7" i="24"/>
  <c r="AN7" i="24"/>
  <c r="AA5" i="24"/>
  <c r="X5" i="24"/>
  <c r="N7" i="24"/>
  <c r="V1152" i="21"/>
  <c r="V1151" i="21"/>
  <c r="V1153" i="21"/>
  <c r="N8" i="24"/>
  <c r="C7" i="25"/>
  <c r="V1150" i="21"/>
  <c r="V1148" i="21"/>
  <c r="V1149" i="21"/>
  <c r="V1146" i="21"/>
  <c r="V1147" i="21"/>
  <c r="AR6" i="5"/>
  <c r="AG6" i="5" s="1"/>
  <c r="BA6" i="8"/>
  <c r="AP6" i="8" s="1"/>
  <c r="AT6" i="7"/>
  <c r="AI6" i="7" s="1"/>
  <c r="AS6" i="6"/>
  <c r="AH6" i="6" s="1"/>
  <c r="AL8" i="25"/>
  <c r="S7" i="25"/>
  <c r="S8" i="25"/>
  <c r="V8" i="24"/>
  <c r="V7" i="24"/>
  <c r="N7" i="25"/>
  <c r="N8" i="25"/>
  <c r="X8" i="19"/>
  <c r="AP9" i="24"/>
  <c r="N9" i="24"/>
  <c r="AP8" i="24"/>
  <c r="Z3" i="19"/>
  <c r="AB3" i="19"/>
  <c r="O3" i="19"/>
  <c r="N9" i="25"/>
  <c r="AO9" i="25"/>
  <c r="AP7" i="24"/>
  <c r="AO7" i="25"/>
  <c r="AO8" i="25"/>
  <c r="AM55" i="12"/>
  <c r="S57" i="12"/>
  <c r="AM57" i="12"/>
  <c r="AM56" i="12"/>
  <c r="S58" i="12"/>
  <c r="AM58" i="12"/>
  <c r="AM47" i="12"/>
  <c r="S44" i="12"/>
  <c r="AM44" i="12"/>
  <c r="AM48" i="12"/>
  <c r="S52" i="12"/>
  <c r="AM52" i="12"/>
  <c r="AM43" i="12"/>
  <c r="S47" i="12"/>
  <c r="S45" i="12"/>
  <c r="AM45" i="12"/>
  <c r="S49" i="12"/>
  <c r="AM49" i="12"/>
  <c r="S53" i="12"/>
  <c r="AM53" i="12"/>
  <c r="S46" i="12"/>
  <c r="AM46" i="12"/>
  <c r="AM51" i="12"/>
  <c r="S50" i="12"/>
  <c r="AM50" i="12"/>
  <c r="S54" i="12"/>
  <c r="AM54" i="12"/>
  <c r="AM39" i="12"/>
  <c r="S32" i="12"/>
  <c r="AM32" i="12"/>
  <c r="S36" i="12"/>
  <c r="AM36" i="12"/>
  <c r="AM40" i="12"/>
  <c r="S33" i="12"/>
  <c r="AM33" i="12"/>
  <c r="AM31" i="12"/>
  <c r="S37" i="12"/>
  <c r="AM37" i="12"/>
  <c r="S34" i="12"/>
  <c r="AM34" i="12"/>
  <c r="S38" i="12"/>
  <c r="AM38" i="12"/>
  <c r="S42" i="12"/>
  <c r="AM42" i="12"/>
  <c r="AM35" i="12"/>
  <c r="S41" i="12"/>
  <c r="AM41" i="12"/>
  <c r="W56" i="8"/>
  <c r="AN56" i="8"/>
  <c r="W57" i="8"/>
  <c r="AN57" i="8"/>
  <c r="W58" i="8"/>
  <c r="AN58" i="8"/>
  <c r="W55" i="8"/>
  <c r="AN55" i="8"/>
  <c r="W44" i="8"/>
  <c r="AN44" i="8"/>
  <c r="W48" i="8"/>
  <c r="AN48" i="8"/>
  <c r="W52" i="8"/>
  <c r="AN52" i="8"/>
  <c r="W45" i="8"/>
  <c r="AN45" i="8"/>
  <c r="W49" i="8"/>
  <c r="AN49" i="8"/>
  <c r="W53" i="8"/>
  <c r="AN53" i="8"/>
  <c r="W50" i="8"/>
  <c r="AN50" i="8"/>
  <c r="W54" i="8"/>
  <c r="AN54" i="8"/>
  <c r="W46" i="8"/>
  <c r="AN46" i="8"/>
  <c r="W43" i="8"/>
  <c r="AN43" i="8"/>
  <c r="W47" i="8"/>
  <c r="AN47" i="8"/>
  <c r="W51" i="8"/>
  <c r="AN51" i="8"/>
  <c r="W32" i="8"/>
  <c r="AN32" i="8"/>
  <c r="AN36" i="8"/>
  <c r="W40" i="8"/>
  <c r="AN40" i="8"/>
  <c r="W37" i="8"/>
  <c r="AN37" i="8"/>
  <c r="AN34" i="8"/>
  <c r="W38" i="8"/>
  <c r="AN38" i="8"/>
  <c r="W42" i="8"/>
  <c r="AN42" i="8"/>
  <c r="W41" i="8"/>
  <c r="AN41" i="8"/>
  <c r="W33" i="8"/>
  <c r="AN33" i="8"/>
  <c r="W31" i="8"/>
  <c r="AN31" i="8"/>
  <c r="W35" i="8"/>
  <c r="AN35" i="8"/>
  <c r="W39" i="8"/>
  <c r="AN39" i="8"/>
  <c r="V1079" i="21"/>
  <c r="V1091" i="21"/>
  <c r="V1103" i="21"/>
  <c r="V1115" i="21"/>
  <c r="V1127" i="21"/>
  <c r="V1139" i="21"/>
  <c r="V1081" i="21"/>
  <c r="V1129" i="21"/>
  <c r="V1141" i="21"/>
  <c r="V1093" i="21"/>
  <c r="V1117" i="21"/>
  <c r="V1105" i="21"/>
  <c r="V1104" i="21"/>
  <c r="V1128" i="21"/>
  <c r="V1092" i="21"/>
  <c r="V1116" i="21"/>
  <c r="V1140" i="21"/>
  <c r="V1080" i="21"/>
  <c r="V1137" i="21"/>
  <c r="V1113" i="21"/>
  <c r="V1077" i="21"/>
  <c r="V1101" i="21"/>
  <c r="V1125" i="21"/>
  <c r="V1089" i="21"/>
  <c r="V1114" i="21"/>
  <c r="V1090" i="21"/>
  <c r="V1126" i="21"/>
  <c r="V1138" i="21"/>
  <c r="V1078" i="21"/>
  <c r="V1102" i="21"/>
  <c r="V1122" i="21"/>
  <c r="V1098" i="21"/>
  <c r="V1086" i="21"/>
  <c r="V1110" i="21"/>
  <c r="V1134" i="21"/>
  <c r="V1074" i="21"/>
  <c r="V1112" i="21"/>
  <c r="V1100" i="21"/>
  <c r="V1136" i="21"/>
  <c r="V1124" i="21"/>
  <c r="V1088" i="21"/>
  <c r="V1076" i="21"/>
  <c r="V1099" i="21"/>
  <c r="V1123" i="21"/>
  <c r="V1087" i="21"/>
  <c r="V1135" i="21"/>
  <c r="V1111" i="21"/>
  <c r="V1075" i="21"/>
  <c r="S19" i="11"/>
  <c r="AK19" i="11"/>
  <c r="S31" i="11"/>
  <c r="AK31" i="11"/>
  <c r="S39" i="11"/>
  <c r="AK39" i="11"/>
  <c r="S51" i="11"/>
  <c r="AK51" i="11"/>
  <c r="S12" i="11"/>
  <c r="AK12" i="11"/>
  <c r="S24" i="11"/>
  <c r="AK24" i="11"/>
  <c r="S44" i="11"/>
  <c r="AK44" i="11"/>
  <c r="S56" i="11"/>
  <c r="AK56" i="11"/>
  <c r="S11" i="11"/>
  <c r="AK11" i="11"/>
  <c r="S23" i="11"/>
  <c r="AK23" i="11"/>
  <c r="S35" i="11"/>
  <c r="AK35" i="11"/>
  <c r="S47" i="11"/>
  <c r="AK47" i="11"/>
  <c r="S55" i="11"/>
  <c r="AK55" i="11"/>
  <c r="S16" i="11"/>
  <c r="AK16" i="11"/>
  <c r="S28" i="11"/>
  <c r="AK28" i="11"/>
  <c r="S36" i="11"/>
  <c r="AK36" i="11"/>
  <c r="S48" i="11"/>
  <c r="AK48" i="11"/>
  <c r="AK13" i="11"/>
  <c r="AK21" i="11"/>
  <c r="AK29" i="11"/>
  <c r="AK37" i="11"/>
  <c r="AK45" i="11"/>
  <c r="AK57" i="11"/>
  <c r="S15" i="11"/>
  <c r="AK15" i="11"/>
  <c r="S27" i="11"/>
  <c r="AK27" i="11"/>
  <c r="S43" i="11"/>
  <c r="AK43" i="11"/>
  <c r="S8" i="11"/>
  <c r="AK8" i="11"/>
  <c r="S20" i="11"/>
  <c r="AK20" i="11"/>
  <c r="S32" i="11"/>
  <c r="AK32" i="11"/>
  <c r="S40" i="11"/>
  <c r="AK40" i="11"/>
  <c r="S52" i="11"/>
  <c r="AK52" i="11"/>
  <c r="AK9" i="11"/>
  <c r="AK17" i="11"/>
  <c r="AK25" i="11"/>
  <c r="AK33" i="11"/>
  <c r="AK41" i="11"/>
  <c r="AK49" i="11"/>
  <c r="AK53" i="11"/>
  <c r="AK10" i="11"/>
  <c r="AK14" i="11"/>
  <c r="AK18" i="11"/>
  <c r="AK22" i="11"/>
  <c r="AK26" i="11"/>
  <c r="AK30" i="11"/>
  <c r="AK34" i="11"/>
  <c r="AK38" i="11"/>
  <c r="AK42" i="11"/>
  <c r="AK46" i="11"/>
  <c r="AK50" i="11"/>
  <c r="AK54" i="11"/>
  <c r="S58" i="11"/>
  <c r="AK58" i="11"/>
  <c r="C13" i="9"/>
  <c r="C11" i="9"/>
  <c r="S53" i="13"/>
  <c r="S56" i="13"/>
  <c r="S57" i="13"/>
  <c r="S12" i="12"/>
  <c r="S15" i="12"/>
  <c r="V43" i="8"/>
  <c r="U24" i="5"/>
  <c r="AF24" i="5"/>
  <c r="S41" i="13"/>
  <c r="S8" i="13"/>
  <c r="S9" i="13"/>
  <c r="S12" i="13"/>
  <c r="S21" i="13"/>
  <c r="S24" i="13"/>
  <c r="S28" i="13"/>
  <c r="S39" i="12"/>
  <c r="S55" i="12"/>
  <c r="S23" i="12"/>
  <c r="S40" i="12"/>
  <c r="S48" i="12"/>
  <c r="S56" i="12"/>
  <c r="S31" i="12"/>
  <c r="V35" i="8"/>
  <c r="V27" i="8"/>
  <c r="V11" i="8"/>
  <c r="V55" i="8"/>
  <c r="V39" i="8"/>
  <c r="V31" i="8"/>
  <c r="V9" i="8"/>
  <c r="V17" i="8"/>
  <c r="V25" i="8"/>
  <c r="V33" i="8"/>
  <c r="V41" i="8"/>
  <c r="V49" i="8"/>
  <c r="V57" i="8"/>
  <c r="V13" i="8"/>
  <c r="V21" i="8"/>
  <c r="V29" i="8"/>
  <c r="V37" i="8"/>
  <c r="V45" i="8"/>
  <c r="V53" i="8"/>
  <c r="W7" i="8"/>
  <c r="V15" i="8"/>
  <c r="V23" i="8"/>
  <c r="V47" i="8"/>
  <c r="V10" i="8"/>
  <c r="V14" i="8"/>
  <c r="V20" i="8"/>
  <c r="V22" i="8"/>
  <c r="V24" i="8"/>
  <c r="V26" i="8"/>
  <c r="V28" i="8"/>
  <c r="V30" i="8"/>
  <c r="V32" i="8"/>
  <c r="V34" i="8"/>
  <c r="V36" i="8"/>
  <c r="V38" i="8"/>
  <c r="V40" i="8"/>
  <c r="V42" i="8"/>
  <c r="V44" i="8"/>
  <c r="V46" i="8"/>
  <c r="V48" i="8"/>
  <c r="V50" i="8"/>
  <c r="V52" i="8"/>
  <c r="V54" i="8"/>
  <c r="V56" i="8"/>
  <c r="V58" i="8"/>
  <c r="V8" i="8"/>
  <c r="V12" i="8"/>
  <c r="V16" i="8"/>
  <c r="V18" i="8"/>
  <c r="W8" i="8"/>
  <c r="W12" i="8"/>
  <c r="W14" i="8"/>
  <c r="W16" i="8"/>
  <c r="W18" i="8"/>
  <c r="W22" i="8"/>
  <c r="W26" i="8"/>
  <c r="W34" i="8"/>
  <c r="W36" i="8"/>
  <c r="V7" i="8"/>
  <c r="S13" i="13"/>
  <c r="S16" i="13"/>
  <c r="S29" i="13"/>
  <c r="S32" i="13"/>
  <c r="S45" i="13"/>
  <c r="S48" i="13"/>
  <c r="S17" i="13"/>
  <c r="S33" i="13"/>
  <c r="S49" i="13"/>
  <c r="S7" i="12"/>
  <c r="S19" i="12"/>
  <c r="S27" i="12"/>
  <c r="S35" i="12"/>
  <c r="S43" i="12"/>
  <c r="S51" i="12"/>
  <c r="S9" i="11"/>
  <c r="S10" i="11"/>
  <c r="S13" i="11"/>
  <c r="S14" i="11"/>
  <c r="S17" i="11"/>
  <c r="S18" i="11"/>
  <c r="S21" i="11"/>
  <c r="S22" i="11"/>
  <c r="S25" i="11"/>
  <c r="S26" i="11"/>
  <c r="S29" i="11"/>
  <c r="S30" i="11"/>
  <c r="S33" i="11"/>
  <c r="S34" i="11"/>
  <c r="S37" i="11"/>
  <c r="S38" i="11"/>
  <c r="S41" i="11"/>
  <c r="S42" i="11"/>
  <c r="S45" i="11"/>
  <c r="S46" i="11"/>
  <c r="S49" i="11"/>
  <c r="S50" i="11"/>
  <c r="S53" i="11"/>
  <c r="S54" i="11"/>
  <c r="S57" i="11"/>
  <c r="S7" i="13"/>
  <c r="S11" i="13"/>
  <c r="S15" i="13"/>
  <c r="S19" i="13"/>
  <c r="S23" i="13"/>
  <c r="S27" i="13"/>
  <c r="S31" i="13"/>
  <c r="S35" i="13"/>
  <c r="S39" i="13"/>
  <c r="S43" i="13"/>
  <c r="S47" i="13"/>
  <c r="S51" i="13"/>
  <c r="S55" i="13"/>
  <c r="U12" i="5"/>
  <c r="U14" i="5"/>
  <c r="U18" i="5"/>
  <c r="AF8" i="5"/>
  <c r="AF10" i="5"/>
  <c r="AF12" i="5"/>
  <c r="AF14" i="5"/>
  <c r="AF16" i="5"/>
  <c r="AF18" i="5"/>
  <c r="AF20" i="5"/>
  <c r="AF22" i="5"/>
  <c r="AF26" i="5"/>
  <c r="AF28" i="5"/>
  <c r="AF30" i="5"/>
  <c r="AF32" i="5"/>
  <c r="AF34" i="5"/>
  <c r="AF36" i="5"/>
  <c r="AF38" i="5"/>
  <c r="AF40" i="5"/>
  <c r="AF42" i="5"/>
  <c r="AF44" i="5"/>
  <c r="AF46" i="5"/>
  <c r="AF48" i="5"/>
  <c r="AF50" i="5"/>
  <c r="AF52" i="5"/>
  <c r="AF54" i="5"/>
  <c r="AF56" i="5"/>
  <c r="AF58" i="5"/>
  <c r="U11" i="5"/>
  <c r="U15" i="5"/>
  <c r="U19" i="5"/>
  <c r="U23" i="5"/>
  <c r="U25" i="5"/>
  <c r="U29" i="5"/>
  <c r="U31" i="5"/>
  <c r="U33" i="5"/>
  <c r="U35" i="5"/>
  <c r="U37" i="5"/>
  <c r="U39" i="5"/>
  <c r="U41" i="5"/>
  <c r="U43" i="5"/>
  <c r="U45" i="5"/>
  <c r="U47" i="5"/>
  <c r="U49" i="5"/>
  <c r="U51" i="5"/>
  <c r="U53" i="5"/>
  <c r="U55" i="5"/>
  <c r="U57" i="5"/>
  <c r="U9" i="5"/>
  <c r="U13" i="5"/>
  <c r="U17" i="5"/>
  <c r="U21" i="5"/>
  <c r="U27" i="5"/>
  <c r="AF9" i="5"/>
  <c r="AF15" i="5"/>
  <c r="AF17" i="5"/>
  <c r="AF19" i="5"/>
  <c r="AF21" i="5"/>
  <c r="AF23" i="5"/>
  <c r="AF25" i="5"/>
  <c r="AF27" i="5"/>
  <c r="AF29" i="5"/>
  <c r="AF31" i="5"/>
  <c r="AF33" i="5"/>
  <c r="AF35" i="5"/>
  <c r="AF37" i="5"/>
  <c r="AF39" i="5"/>
  <c r="AF41" i="5"/>
  <c r="AF43" i="5"/>
  <c r="AF45" i="5"/>
  <c r="AF47" i="5"/>
  <c r="AF49" i="5"/>
  <c r="AF51" i="5"/>
  <c r="AF53" i="5"/>
  <c r="AF55" i="5"/>
  <c r="AF57" i="5"/>
  <c r="B9" i="24"/>
  <c r="AN9" i="24" s="1"/>
  <c r="A10" i="24"/>
  <c r="A10" i="25"/>
  <c r="B9" i="25"/>
  <c r="AN9" i="25" s="1"/>
  <c r="H8" i="19"/>
  <c r="T8" i="19"/>
  <c r="C12" i="9"/>
  <c r="C10" i="9"/>
  <c r="T10" i="24"/>
  <c r="AB10" i="25"/>
  <c r="AG8" i="24"/>
  <c r="E85" i="14"/>
  <c r="AD10" i="24"/>
  <c r="Q10" i="25"/>
  <c r="AG10" i="24"/>
  <c r="AF10" i="24"/>
  <c r="N85" i="14"/>
  <c r="R10" i="24"/>
  <c r="G85" i="14"/>
  <c r="AD10" i="25"/>
  <c r="S10" i="24"/>
  <c r="T7" i="24"/>
  <c r="F85" i="14"/>
  <c r="AE10" i="24"/>
  <c r="AB9" i="25"/>
  <c r="AR10" i="24"/>
  <c r="AF8" i="24"/>
  <c r="AC10" i="24"/>
  <c r="L85" i="14"/>
  <c r="T8" i="24"/>
  <c r="AA7" i="25"/>
  <c r="AQ10" i="25"/>
  <c r="AH10" i="24"/>
  <c r="I85" i="14"/>
  <c r="K85" i="14"/>
  <c r="AB9" i="24"/>
  <c r="D322" i="9"/>
  <c r="Y10" i="25"/>
  <c r="R7" i="24"/>
  <c r="AB8" i="25"/>
  <c r="D85" i="14"/>
  <c r="AD7" i="25"/>
  <c r="AF10" i="25"/>
  <c r="AS10" i="25"/>
  <c r="X10" i="25"/>
  <c r="AE10" i="25"/>
  <c r="D323" i="9"/>
  <c r="Z10" i="25"/>
  <c r="AA10" i="25"/>
  <c r="T9" i="24"/>
  <c r="H85" i="14"/>
  <c r="AE7" i="24"/>
  <c r="AR93" i="24"/>
  <c r="P10" i="25"/>
  <c r="D321" i="9"/>
  <c r="AC10" i="25"/>
  <c r="AB10" i="24"/>
  <c r="J85" i="14"/>
  <c r="AQ7" i="25"/>
  <c r="AF7" i="24"/>
  <c r="C85" i="14"/>
  <c r="M85" i="14"/>
  <c r="AY10" i="12" l="1"/>
  <c r="AO10" i="13"/>
  <c r="AW10" i="11"/>
  <c r="AQ10" i="6"/>
  <c r="AY10" i="8"/>
  <c r="AP10" i="5"/>
  <c r="AR10" i="7"/>
  <c r="O95" i="5"/>
  <c r="G95" i="5" s="1"/>
  <c r="Q95" i="5"/>
  <c r="H95" i="5" s="1"/>
  <c r="AD95" i="5"/>
  <c r="AC95" i="5"/>
  <c r="T95" i="5"/>
  <c r="I95" i="5" s="1"/>
  <c r="AD96" i="5"/>
  <c r="O96" i="5"/>
  <c r="G96" i="5" s="1"/>
  <c r="T96" i="5"/>
  <c r="I96" i="5" s="1"/>
  <c r="AC96" i="5"/>
  <c r="Q96" i="5"/>
  <c r="H96" i="5" s="1"/>
  <c r="O94" i="5"/>
  <c r="G94" i="5" s="1"/>
  <c r="Q94" i="5"/>
  <c r="H94" i="5" s="1"/>
  <c r="T94" i="5"/>
  <c r="I94" i="5" s="1"/>
  <c r="AD94" i="5"/>
  <c r="AC94" i="5"/>
  <c r="P1158" i="21"/>
  <c r="P1157" i="21"/>
  <c r="P1159" i="21"/>
  <c r="E7" i="25"/>
  <c r="BA10" i="12"/>
  <c r="AQ10" i="13"/>
  <c r="AY10" i="11"/>
  <c r="AR10" i="5"/>
  <c r="BA10" i="8"/>
  <c r="AT10" i="7"/>
  <c r="AS10" i="6"/>
  <c r="AP10" i="13"/>
  <c r="AZ10" i="12"/>
  <c r="AX10" i="11"/>
  <c r="AS10" i="7"/>
  <c r="AQ10" i="5"/>
  <c r="AZ10" i="8"/>
  <c r="AR10" i="6"/>
  <c r="N8" i="19"/>
  <c r="K8" i="19"/>
  <c r="J8" i="19"/>
  <c r="O8" i="19"/>
  <c r="M8" i="19"/>
  <c r="I8" i="19"/>
  <c r="AH96" i="5"/>
  <c r="L96" i="5" s="1"/>
  <c r="AH94" i="5"/>
  <c r="L94" i="5" s="1"/>
  <c r="AH95" i="5"/>
  <c r="L95" i="5" s="1"/>
  <c r="AM9" i="25"/>
  <c r="AO10" i="24"/>
  <c r="AL7" i="25"/>
  <c r="P1156" i="21"/>
  <c r="P1154" i="21"/>
  <c r="P1155" i="21"/>
  <c r="AL9" i="25"/>
  <c r="AJ91" i="7"/>
  <c r="L91" i="7" s="1"/>
  <c r="AJ92" i="7"/>
  <c r="L92" i="7" s="1"/>
  <c r="AJ93" i="7"/>
  <c r="L93" i="7" s="1"/>
  <c r="AQ93" i="8"/>
  <c r="L93" i="8" s="1"/>
  <c r="AQ91" i="8"/>
  <c r="L91" i="8" s="1"/>
  <c r="AQ92" i="8"/>
  <c r="L92" i="8" s="1"/>
  <c r="AI93" i="6"/>
  <c r="L93" i="6" s="1"/>
  <c r="AI91" i="6"/>
  <c r="L91" i="6" s="1"/>
  <c r="AI92" i="6"/>
  <c r="L92" i="6" s="1"/>
  <c r="AH93" i="5"/>
  <c r="L93" i="5" s="1"/>
  <c r="AH92" i="5"/>
  <c r="L92" i="5" s="1"/>
  <c r="AH91" i="5"/>
  <c r="L91" i="5" s="1"/>
  <c r="P1152" i="21"/>
  <c r="P1153" i="21"/>
  <c r="P1151" i="21"/>
  <c r="AH90" i="5"/>
  <c r="L90" i="5" s="1"/>
  <c r="AH88" i="5"/>
  <c r="L88" i="5" s="1"/>
  <c r="AH89" i="5"/>
  <c r="L89" i="5" s="1"/>
  <c r="AI89" i="6"/>
  <c r="L89" i="6" s="1"/>
  <c r="AI90" i="6"/>
  <c r="L90" i="6" s="1"/>
  <c r="AI88" i="6"/>
  <c r="L88" i="6" s="1"/>
  <c r="AJ88" i="7"/>
  <c r="L88" i="7" s="1"/>
  <c r="AJ89" i="7"/>
  <c r="L89" i="7" s="1"/>
  <c r="AJ90" i="7"/>
  <c r="L90" i="7" s="1"/>
  <c r="AQ89" i="8"/>
  <c r="L89" i="8" s="1"/>
  <c r="AQ88" i="8"/>
  <c r="L88" i="8" s="1"/>
  <c r="AQ90" i="8"/>
  <c r="L90" i="8" s="1"/>
  <c r="P1149" i="21"/>
  <c r="P1148" i="21"/>
  <c r="P1150" i="21"/>
  <c r="AN8" i="24"/>
  <c r="P1147" i="21"/>
  <c r="P1146" i="21"/>
  <c r="P1145" i="21"/>
  <c r="W7" i="24"/>
  <c r="W9" i="24"/>
  <c r="W8" i="24"/>
  <c r="E7" i="24"/>
  <c r="AP9" i="25"/>
  <c r="K9" i="25" s="1"/>
  <c r="V9" i="24"/>
  <c r="S9" i="25"/>
  <c r="AP8" i="25"/>
  <c r="K8" i="25" s="1"/>
  <c r="X9" i="19"/>
  <c r="AP7" i="25"/>
  <c r="K7" i="25" s="1"/>
  <c r="AQ9" i="24"/>
  <c r="L9" i="24" s="1"/>
  <c r="AQ8" i="24"/>
  <c r="L8" i="24" s="1"/>
  <c r="AQ7" i="24"/>
  <c r="L7" i="24" s="1"/>
  <c r="AR7" i="25"/>
  <c r="AP10" i="24"/>
  <c r="N10" i="24"/>
  <c r="C7" i="24"/>
  <c r="C9" i="24"/>
  <c r="AM9" i="24" s="1"/>
  <c r="C8" i="24"/>
  <c r="C8" i="25"/>
  <c r="E8" i="25" s="1"/>
  <c r="N10" i="25"/>
  <c r="AO10" i="25"/>
  <c r="C9" i="25"/>
  <c r="AJ9" i="25" s="1"/>
  <c r="C10" i="25"/>
  <c r="AK10" i="25" s="1"/>
  <c r="P1109" i="21"/>
  <c r="P1142" i="21"/>
  <c r="P1144" i="21"/>
  <c r="P1143" i="21"/>
  <c r="P1140" i="21"/>
  <c r="P1130" i="21"/>
  <c r="P1141" i="21"/>
  <c r="P1132" i="21"/>
  <c r="P1131" i="21"/>
  <c r="P1135" i="21"/>
  <c r="P1139" i="21"/>
  <c r="P1138" i="21"/>
  <c r="P1137" i="21"/>
  <c r="P1133" i="21"/>
  <c r="P1136" i="21"/>
  <c r="P1134" i="21"/>
  <c r="P1128" i="21"/>
  <c r="P1129" i="21"/>
  <c r="P1123" i="21"/>
  <c r="P1127" i="21"/>
  <c r="P1126" i="21"/>
  <c r="P1125" i="21"/>
  <c r="P1124" i="21"/>
  <c r="P1122" i="21"/>
  <c r="E8" i="24"/>
  <c r="P1117" i="21"/>
  <c r="P1081" i="21"/>
  <c r="P1093" i="21"/>
  <c r="P1105" i="21"/>
  <c r="P1089" i="21"/>
  <c r="P1101" i="21"/>
  <c r="P1113" i="21"/>
  <c r="P1077" i="21"/>
  <c r="P1112" i="21"/>
  <c r="P1076" i="21"/>
  <c r="P1088" i="21"/>
  <c r="P1100" i="21"/>
  <c r="P1078" i="21"/>
  <c r="P1090" i="21"/>
  <c r="P1102" i="21"/>
  <c r="P1114" i="21"/>
  <c r="P1094" i="21"/>
  <c r="P1106" i="21"/>
  <c r="P1118" i="21"/>
  <c r="P1082" i="21"/>
  <c r="P1070" i="21"/>
  <c r="P1080" i="21"/>
  <c r="P1092" i="21"/>
  <c r="P1104" i="21"/>
  <c r="P1116" i="21"/>
  <c r="P1079" i="21"/>
  <c r="P1091" i="21"/>
  <c r="P1103" i="21"/>
  <c r="P1115" i="21"/>
  <c r="E9" i="24"/>
  <c r="B10" i="24"/>
  <c r="V10" i="24" s="1"/>
  <c r="A11" i="24"/>
  <c r="A11" i="25"/>
  <c r="B10" i="25"/>
  <c r="S10" i="25" s="1"/>
  <c r="C10" i="24"/>
  <c r="U10" i="24" s="1"/>
  <c r="H9" i="19"/>
  <c r="T9" i="19"/>
  <c r="AH11" i="24"/>
  <c r="AF11" i="25"/>
  <c r="E10" i="25" l="1"/>
  <c r="E9" i="25"/>
  <c r="AY11" i="8"/>
  <c r="AR11" i="7"/>
  <c r="AP11" i="5"/>
  <c r="AQ11" i="6"/>
  <c r="AY11" i="12"/>
  <c r="AO11" i="13"/>
  <c r="AW11" i="11"/>
  <c r="X96" i="5"/>
  <c r="AE95" i="5"/>
  <c r="K95" i="5" s="1"/>
  <c r="W95" i="5" s="1"/>
  <c r="X94" i="5"/>
  <c r="AE96" i="5"/>
  <c r="K96" i="5" s="1"/>
  <c r="W96" i="5" s="1"/>
  <c r="AE94" i="5"/>
  <c r="K94" i="5" s="1"/>
  <c r="W94" i="5" s="1"/>
  <c r="X95" i="5"/>
  <c r="AT11" i="7"/>
  <c r="BA11" i="8"/>
  <c r="AS11" i="6"/>
  <c r="AR11" i="5"/>
  <c r="BA11" i="12"/>
  <c r="AY11" i="11"/>
  <c r="AQ11" i="13"/>
  <c r="AZ11" i="12"/>
  <c r="AP11" i="13"/>
  <c r="AX11" i="11"/>
  <c r="AZ11" i="8"/>
  <c r="AQ11" i="5"/>
  <c r="AR11" i="6"/>
  <c r="AS11" i="7"/>
  <c r="N9" i="19"/>
  <c r="J9" i="19"/>
  <c r="K9" i="19"/>
  <c r="O9" i="19"/>
  <c r="M9" i="19"/>
  <c r="I9" i="19"/>
  <c r="AM10" i="25"/>
  <c r="AO11" i="24"/>
  <c r="AN10" i="25"/>
  <c r="AE11" i="25"/>
  <c r="AG11" i="24"/>
  <c r="AQ11" i="25"/>
  <c r="AD11" i="25"/>
  <c r="AY12" i="8" l="1"/>
  <c r="AR12" i="7"/>
  <c r="AP12" i="5"/>
  <c r="AQ12" i="6"/>
  <c r="AY12" i="12"/>
  <c r="AO12" i="13"/>
  <c r="AW12" i="11"/>
  <c r="J94" i="5"/>
  <c r="M94" i="5" s="1"/>
  <c r="F94" i="5" s="1"/>
  <c r="J95" i="5"/>
  <c r="M95" i="5" s="1"/>
  <c r="F95" i="5" s="1"/>
  <c r="J96" i="5"/>
  <c r="AQ12" i="13"/>
  <c r="BA12" i="12"/>
  <c r="AY12" i="11"/>
  <c r="BA12" i="8"/>
  <c r="AT12" i="7"/>
  <c r="AR12" i="5"/>
  <c r="AS12" i="6"/>
  <c r="AZ12" i="12"/>
  <c r="AX12" i="11"/>
  <c r="AP12" i="13"/>
  <c r="AS12" i="7"/>
  <c r="AZ12" i="8"/>
  <c r="AR12" i="6"/>
  <c r="AQ12" i="5"/>
  <c r="AN10" i="24"/>
  <c r="AL10" i="25"/>
  <c r="W10" i="24"/>
  <c r="AM10" i="24"/>
  <c r="AM8" i="24"/>
  <c r="AM7" i="24"/>
  <c r="AP10" i="25"/>
  <c r="AI10" i="25"/>
  <c r="AH10" i="25"/>
  <c r="O10" i="25"/>
  <c r="AH8" i="25"/>
  <c r="R8" i="25"/>
  <c r="AR8" i="25"/>
  <c r="L8" i="25" s="1"/>
  <c r="AK8" i="25"/>
  <c r="AI8" i="25"/>
  <c r="AJ8" i="25"/>
  <c r="AR10" i="25"/>
  <c r="L10" i="25" s="1"/>
  <c r="AJ10" i="25"/>
  <c r="R10" i="25"/>
  <c r="O8" i="25"/>
  <c r="L7" i="25"/>
  <c r="R7" i="25"/>
  <c r="AI7" i="25"/>
  <c r="AH7" i="25"/>
  <c r="AK7" i="25"/>
  <c r="AJ7" i="25"/>
  <c r="AH9" i="25"/>
  <c r="AI9" i="25"/>
  <c r="AK9" i="25"/>
  <c r="R9" i="25"/>
  <c r="AR9" i="25"/>
  <c r="L9" i="25" s="1"/>
  <c r="O7" i="25"/>
  <c r="O9" i="25"/>
  <c r="G9" i="25" s="1"/>
  <c r="AQ10" i="24"/>
  <c r="O10" i="24"/>
  <c r="U9" i="24"/>
  <c r="AI9" i="24"/>
  <c r="Q9" i="24"/>
  <c r="H9" i="24" s="1"/>
  <c r="AJ9" i="24" s="1"/>
  <c r="U7" i="24"/>
  <c r="I7" i="24" s="1"/>
  <c r="Q7" i="24"/>
  <c r="H7" i="24" s="1"/>
  <c r="AJ7" i="24" s="1"/>
  <c r="O7" i="24"/>
  <c r="G7" i="24" s="1"/>
  <c r="AI7" i="24"/>
  <c r="AI10" i="24"/>
  <c r="Q10" i="24"/>
  <c r="O8" i="24"/>
  <c r="G8" i="24" s="1"/>
  <c r="AI8" i="24"/>
  <c r="Q8" i="24"/>
  <c r="H8" i="24" s="1"/>
  <c r="AJ8" i="24" s="1"/>
  <c r="U8" i="24"/>
  <c r="O9" i="24"/>
  <c r="G9" i="24" s="1"/>
  <c r="X10" i="19"/>
  <c r="AP11" i="24"/>
  <c r="N11" i="24"/>
  <c r="C11" i="25"/>
  <c r="AR11" i="25" s="1"/>
  <c r="AO11" i="25"/>
  <c r="N11" i="25"/>
  <c r="B903" i="21"/>
  <c r="D902" i="21"/>
  <c r="G1010" i="21"/>
  <c r="E902" i="21"/>
  <c r="D1009" i="21"/>
  <c r="F903" i="21"/>
  <c r="AS11" i="25"/>
  <c r="AF11" i="24"/>
  <c r="H902" i="21"/>
  <c r="AE11" i="24"/>
  <c r="H764" i="21"/>
  <c r="C1010" i="21"/>
  <c r="AB11" i="24"/>
  <c r="T11" i="24"/>
  <c r="G903" i="21"/>
  <c r="F1009" i="21"/>
  <c r="F902" i="21"/>
  <c r="E1010" i="21"/>
  <c r="E903" i="21"/>
  <c r="Y11" i="25"/>
  <c r="D903" i="21"/>
  <c r="AD11" i="24"/>
  <c r="G902" i="21"/>
  <c r="B1009" i="21"/>
  <c r="AA11" i="25"/>
  <c r="S11" i="24"/>
  <c r="F1010" i="21"/>
  <c r="X11" i="25"/>
  <c r="B1010" i="21"/>
  <c r="D1010" i="21"/>
  <c r="E1009" i="21"/>
  <c r="AB11" i="25"/>
  <c r="H765" i="21"/>
  <c r="C902" i="21"/>
  <c r="H903" i="21"/>
  <c r="AC11" i="24"/>
  <c r="Q11" i="25"/>
  <c r="B902" i="21"/>
  <c r="AC11" i="25"/>
  <c r="R11" i="24"/>
  <c r="C321" i="9"/>
  <c r="AR11" i="24"/>
  <c r="C1009" i="21"/>
  <c r="C322" i="9"/>
  <c r="P11" i="25"/>
  <c r="Z11" i="25"/>
  <c r="C903" i="21"/>
  <c r="G1009" i="21"/>
  <c r="I1009" i="21" l="1"/>
  <c r="J902" i="21"/>
  <c r="I1010" i="21"/>
  <c r="J903" i="21"/>
  <c r="D95" i="5"/>
  <c r="H1009" i="21"/>
  <c r="I902" i="21"/>
  <c r="K902" i="21"/>
  <c r="L902" i="21"/>
  <c r="H1010" i="21"/>
  <c r="I903" i="21"/>
  <c r="K903" i="21"/>
  <c r="L903" i="21"/>
  <c r="M96" i="5"/>
  <c r="F96" i="5" s="1"/>
  <c r="D94" i="5"/>
  <c r="E11" i="25"/>
  <c r="AK7" i="24"/>
  <c r="AA7" i="24"/>
  <c r="O11" i="25"/>
  <c r="AK11" i="25"/>
  <c r="AJ11" i="25"/>
  <c r="AH11" i="25"/>
  <c r="R11" i="25"/>
  <c r="AP12" i="24"/>
  <c r="N12" i="24"/>
  <c r="AO12" i="25"/>
  <c r="N12" i="25"/>
  <c r="C12" i="25"/>
  <c r="H7" i="25"/>
  <c r="G7" i="25"/>
  <c r="H8" i="25"/>
  <c r="G8" i="25"/>
  <c r="I8" i="24"/>
  <c r="AA8" i="24" s="1"/>
  <c r="E10" i="24"/>
  <c r="H9" i="25"/>
  <c r="L10" i="24"/>
  <c r="I9" i="24"/>
  <c r="G10" i="25"/>
  <c r="H10" i="24"/>
  <c r="AJ10" i="24" s="1"/>
  <c r="G10" i="24"/>
  <c r="B11" i="24"/>
  <c r="K10" i="25"/>
  <c r="A12" i="24"/>
  <c r="A12" i="25"/>
  <c r="B11" i="25"/>
  <c r="C11" i="24"/>
  <c r="Q11" i="24" s="1"/>
  <c r="H10" i="19"/>
  <c r="O10" i="19" s="1"/>
  <c r="T10" i="19"/>
  <c r="C904" i="21"/>
  <c r="AC12" i="24"/>
  <c r="Z12" i="25"/>
  <c r="R12" i="24"/>
  <c r="AF12" i="24"/>
  <c r="E904" i="21"/>
  <c r="AB12" i="25"/>
  <c r="AA12" i="25"/>
  <c r="Y12" i="25"/>
  <c r="D904" i="21"/>
  <c r="AB12" i="24"/>
  <c r="AE12" i="24"/>
  <c r="C1011" i="21"/>
  <c r="S12" i="24"/>
  <c r="P12" i="25"/>
  <c r="C323" i="9"/>
  <c r="AD12" i="25"/>
  <c r="AQ12" i="25"/>
  <c r="AG12" i="24"/>
  <c r="Q12" i="25"/>
  <c r="T12" i="24"/>
  <c r="AE12" i="25"/>
  <c r="H904" i="21"/>
  <c r="B904" i="21"/>
  <c r="D1011" i="21"/>
  <c r="AD12" i="24"/>
  <c r="AH12" i="24"/>
  <c r="X12" i="25"/>
  <c r="B1011" i="21"/>
  <c r="E1011" i="21"/>
  <c r="AS12" i="25"/>
  <c r="AR12" i="24"/>
  <c r="F1011" i="21"/>
  <c r="F904" i="21"/>
  <c r="G1011" i="21"/>
  <c r="AF12" i="25"/>
  <c r="AC12" i="25"/>
  <c r="G904" i="21"/>
  <c r="H766" i="21"/>
  <c r="I1011" i="21" l="1"/>
  <c r="J904" i="21"/>
  <c r="L904" i="21"/>
  <c r="K904" i="21"/>
  <c r="I904" i="21"/>
  <c r="H1011" i="21"/>
  <c r="D96" i="5"/>
  <c r="E12" i="25"/>
  <c r="AQ13" i="13"/>
  <c r="BA13" i="12"/>
  <c r="AY13" i="11"/>
  <c r="M10" i="19"/>
  <c r="I10" i="19"/>
  <c r="J10" i="19"/>
  <c r="K10" i="19"/>
  <c r="N10" i="19"/>
  <c r="AO12" i="24"/>
  <c r="AN11" i="25"/>
  <c r="AM11" i="25"/>
  <c r="AG8" i="25"/>
  <c r="J8" i="25" s="1"/>
  <c r="V8" i="25" s="1"/>
  <c r="AG9" i="25"/>
  <c r="J9" i="25" s="1"/>
  <c r="V9" i="25" s="1"/>
  <c r="AL11" i="25"/>
  <c r="AQ11" i="24"/>
  <c r="L11" i="24" s="1"/>
  <c r="AN11" i="24"/>
  <c r="W11" i="24"/>
  <c r="AG7" i="25"/>
  <c r="AK9" i="24"/>
  <c r="AK8" i="24"/>
  <c r="AA9" i="24"/>
  <c r="AM11" i="24"/>
  <c r="S11" i="25"/>
  <c r="AI11" i="25"/>
  <c r="O12" i="25"/>
  <c r="AP11" i="25"/>
  <c r="K11" i="25" s="1"/>
  <c r="AR12" i="25"/>
  <c r="AK12" i="25"/>
  <c r="AJ12" i="25"/>
  <c r="AH12" i="25"/>
  <c r="R12" i="25"/>
  <c r="O11" i="24"/>
  <c r="G11" i="24" s="1"/>
  <c r="AI11" i="24"/>
  <c r="U11" i="24"/>
  <c r="V11" i="24"/>
  <c r="L11" i="25"/>
  <c r="X11" i="19"/>
  <c r="E11" i="24"/>
  <c r="H10" i="25"/>
  <c r="G11" i="25"/>
  <c r="I10" i="24"/>
  <c r="AA10" i="24" s="1"/>
  <c r="H11" i="24"/>
  <c r="AJ11" i="24" s="1"/>
  <c r="B12" i="24"/>
  <c r="AQ12" i="24" s="1"/>
  <c r="A13" i="24"/>
  <c r="A13" i="25"/>
  <c r="B12" i="25"/>
  <c r="AP12" i="25" s="1"/>
  <c r="C12" i="24"/>
  <c r="Q12" i="24" s="1"/>
  <c r="H11" i="19"/>
  <c r="T11" i="19"/>
  <c r="AG13" i="24"/>
  <c r="AF13" i="25"/>
  <c r="AQ13" i="25"/>
  <c r="AE13" i="25"/>
  <c r="AH13" i="24"/>
  <c r="AD13" i="25"/>
  <c r="AY13" i="8" l="1"/>
  <c r="AR13" i="7"/>
  <c r="AP13" i="5"/>
  <c r="AQ13" i="6"/>
  <c r="AO13" i="13"/>
  <c r="AY13" i="12"/>
  <c r="AW13" i="11"/>
  <c r="BA13" i="8"/>
  <c r="AT13" i="7"/>
  <c r="AR13" i="5"/>
  <c r="AS13" i="6"/>
  <c r="AX13" i="11"/>
  <c r="AP13" i="13"/>
  <c r="AZ13" i="12"/>
  <c r="AQ13" i="5"/>
  <c r="AS13" i="7"/>
  <c r="AZ13" i="8"/>
  <c r="AR13" i="6"/>
  <c r="I11" i="19"/>
  <c r="M11" i="19"/>
  <c r="O11" i="19"/>
  <c r="K11" i="19"/>
  <c r="N11" i="19"/>
  <c r="J11" i="19"/>
  <c r="AN12" i="25"/>
  <c r="AO13" i="24"/>
  <c r="AM12" i="25"/>
  <c r="W9" i="25"/>
  <c r="W8" i="25"/>
  <c r="AG10" i="25"/>
  <c r="J10" i="25" s="1"/>
  <c r="W10" i="25" s="1"/>
  <c r="J7" i="25"/>
  <c r="V7" i="25" s="1"/>
  <c r="AN12" i="24"/>
  <c r="W12" i="24"/>
  <c r="AL12" i="25"/>
  <c r="AK10" i="24"/>
  <c r="AM12" i="24"/>
  <c r="S12" i="25"/>
  <c r="AI12" i="25"/>
  <c r="U12" i="24"/>
  <c r="V12" i="24"/>
  <c r="AI12" i="24"/>
  <c r="O12" i="24"/>
  <c r="G12" i="24" s="1"/>
  <c r="C13" i="25"/>
  <c r="AR13" i="25" s="1"/>
  <c r="N13" i="24"/>
  <c r="AP13" i="24"/>
  <c r="N13" i="25"/>
  <c r="AO13" i="25"/>
  <c r="X12" i="19"/>
  <c r="H11" i="25"/>
  <c r="L12" i="25"/>
  <c r="E12" i="24"/>
  <c r="I11" i="24"/>
  <c r="L12" i="24"/>
  <c r="H12" i="24"/>
  <c r="AJ12" i="24" s="1"/>
  <c r="K12" i="25"/>
  <c r="G12" i="25"/>
  <c r="B13" i="24"/>
  <c r="AN13" i="24" s="1"/>
  <c r="A14" i="24"/>
  <c r="A14" i="25"/>
  <c r="B13" i="25"/>
  <c r="AN13" i="25" s="1"/>
  <c r="C13" i="24"/>
  <c r="H12" i="19"/>
  <c r="T12" i="19"/>
  <c r="AE14" i="25"/>
  <c r="AG14" i="24"/>
  <c r="AH14" i="24"/>
  <c r="AF14" i="25"/>
  <c r="AQ14" i="25"/>
  <c r="AD14" i="25"/>
  <c r="AW14" i="11" l="1"/>
  <c r="AO14" i="13"/>
  <c r="AY14" i="12"/>
  <c r="AY14" i="8"/>
  <c r="AR14" i="7"/>
  <c r="AP14" i="5"/>
  <c r="AQ14" i="6"/>
  <c r="V10" i="25"/>
  <c r="AT14" i="7"/>
  <c r="BA14" i="8"/>
  <c r="AR14" i="5"/>
  <c r="AS14" i="6"/>
  <c r="BA14" i="12"/>
  <c r="AQ14" i="13"/>
  <c r="AY14" i="11"/>
  <c r="AP14" i="13"/>
  <c r="AZ14" i="12"/>
  <c r="AX14" i="11"/>
  <c r="AZ14" i="8"/>
  <c r="AR14" i="6"/>
  <c r="AQ14" i="5"/>
  <c r="AS14" i="7"/>
  <c r="O12" i="19"/>
  <c r="N12" i="19"/>
  <c r="K12" i="19"/>
  <c r="J12" i="19"/>
  <c r="I12" i="19"/>
  <c r="M12" i="19"/>
  <c r="AM13" i="25"/>
  <c r="AO14" i="24"/>
  <c r="AG11" i="25"/>
  <c r="J11" i="25" s="1"/>
  <c r="V11" i="25" s="1"/>
  <c r="W7" i="25"/>
  <c r="I7" i="25" s="1"/>
  <c r="AL13" i="25"/>
  <c r="AK11" i="24"/>
  <c r="AA11" i="24"/>
  <c r="O13" i="25"/>
  <c r="AQ13" i="24"/>
  <c r="O13" i="24"/>
  <c r="AP13" i="25"/>
  <c r="L13" i="25"/>
  <c r="N14" i="24"/>
  <c r="AP14" i="24"/>
  <c r="C14" i="25"/>
  <c r="AR14" i="25" s="1"/>
  <c r="AO14" i="25"/>
  <c r="N14" i="25"/>
  <c r="X13" i="19"/>
  <c r="F488" i="21"/>
  <c r="F489" i="21" s="1"/>
  <c r="E489" i="21"/>
  <c r="B14" i="24"/>
  <c r="AN14" i="24" s="1"/>
  <c r="I12" i="24"/>
  <c r="H12" i="25"/>
  <c r="B14" i="25"/>
  <c r="AM14" i="25" s="1"/>
  <c r="A15" i="24"/>
  <c r="A15" i="25"/>
  <c r="C14" i="24"/>
  <c r="H13" i="19"/>
  <c r="T13" i="19"/>
  <c r="AG15" i="24"/>
  <c r="AD15" i="25"/>
  <c r="AH15" i="24"/>
  <c r="AQ15" i="25"/>
  <c r="Q14" i="25"/>
  <c r="AF15" i="25"/>
  <c r="AE15" i="25"/>
  <c r="AW15" i="11" l="1"/>
  <c r="AO15" i="13"/>
  <c r="AY15" i="12"/>
  <c r="AY15" i="8"/>
  <c r="AQ15" i="6"/>
  <c r="AR15" i="7"/>
  <c r="AP15" i="5"/>
  <c r="BA15" i="12"/>
  <c r="AY15" i="11"/>
  <c r="AQ15" i="13"/>
  <c r="AT15" i="7"/>
  <c r="AS15" i="6"/>
  <c r="AR15" i="5"/>
  <c r="BA15" i="8"/>
  <c r="AP15" i="13"/>
  <c r="AZ15" i="12"/>
  <c r="AX15" i="11"/>
  <c r="AS15" i="7"/>
  <c r="AZ15" i="8"/>
  <c r="AQ15" i="5"/>
  <c r="AR15" i="6"/>
  <c r="I13" i="19"/>
  <c r="M13" i="19"/>
  <c r="J13" i="19"/>
  <c r="O13" i="19"/>
  <c r="N13" i="19"/>
  <c r="K13" i="19"/>
  <c r="AN14" i="25"/>
  <c r="AO15" i="24"/>
  <c r="W11" i="25"/>
  <c r="AG12" i="25"/>
  <c r="J12" i="25" s="1"/>
  <c r="V12" i="25" s="1"/>
  <c r="AL14" i="25"/>
  <c r="M7" i="25"/>
  <c r="F7" i="25" s="1"/>
  <c r="P4" i="19" s="1"/>
  <c r="AP14" i="25"/>
  <c r="AA12" i="24"/>
  <c r="O14" i="24"/>
  <c r="O14" i="25"/>
  <c r="S14" i="25"/>
  <c r="L14" i="25"/>
  <c r="AQ14" i="24"/>
  <c r="AK12" i="24"/>
  <c r="X14" i="19"/>
  <c r="N15" i="24"/>
  <c r="AP15" i="24"/>
  <c r="AO15" i="25"/>
  <c r="C15" i="25"/>
  <c r="AR15" i="25" s="1"/>
  <c r="N15" i="25"/>
  <c r="E482" i="21"/>
  <c r="F482" i="21"/>
  <c r="E496" i="21"/>
  <c r="F496" i="21"/>
  <c r="B15" i="24"/>
  <c r="AN15" i="24" s="1"/>
  <c r="A16" i="24"/>
  <c r="A16" i="25"/>
  <c r="B15" i="25"/>
  <c r="AM15" i="25" s="1"/>
  <c r="C15" i="24"/>
  <c r="H14" i="19"/>
  <c r="T14" i="19"/>
  <c r="Z16" i="25"/>
  <c r="AC15" i="25"/>
  <c r="AB14" i="25"/>
  <c r="Y15" i="25"/>
  <c r="AS13" i="25"/>
  <c r="AA14" i="25"/>
  <c r="AC14" i="24"/>
  <c r="R13" i="24"/>
  <c r="AH16" i="24"/>
  <c r="AR16" i="24"/>
  <c r="Y14" i="25"/>
  <c r="X15" i="25"/>
  <c r="AC13" i="24"/>
  <c r="Y13" i="25"/>
  <c r="P15" i="25"/>
  <c r="AA16" i="25"/>
  <c r="AS15" i="25"/>
  <c r="AS16" i="25"/>
  <c r="AF13" i="24"/>
  <c r="S13" i="24"/>
  <c r="Q15" i="25"/>
  <c r="AR13" i="24"/>
  <c r="AE16" i="25"/>
  <c r="Q13" i="25"/>
  <c r="AE13" i="24"/>
  <c r="AB13" i="25"/>
  <c r="Y16" i="25"/>
  <c r="AC15" i="24"/>
  <c r="P14" i="25"/>
  <c r="T13" i="24"/>
  <c r="S14" i="24"/>
  <c r="P13" i="25"/>
  <c r="T16" i="24"/>
  <c r="AD16" i="25"/>
  <c r="P16" i="25"/>
  <c r="AB15" i="24"/>
  <c r="AE14" i="24"/>
  <c r="AD13" i="24"/>
  <c r="AC14" i="25"/>
  <c r="AF16" i="25"/>
  <c r="AD16" i="24"/>
  <c r="AC16" i="25"/>
  <c r="X16" i="25"/>
  <c r="AB15" i="25"/>
  <c r="AB16" i="25"/>
  <c r="AF16" i="24"/>
  <c r="AB13" i="24"/>
  <c r="AG16" i="24"/>
  <c r="AQ16" i="25"/>
  <c r="AF14" i="24"/>
  <c r="T14" i="24"/>
  <c r="AD15" i="24"/>
  <c r="S15" i="24"/>
  <c r="AD14" i="24"/>
  <c r="Z13" i="25"/>
  <c r="AA13" i="25"/>
  <c r="AE15" i="24"/>
  <c r="AE16" i="24"/>
  <c r="S16" i="24"/>
  <c r="AA15" i="25"/>
  <c r="AS14" i="25"/>
  <c r="AR14" i="24"/>
  <c r="R14" i="24"/>
  <c r="AR15" i="24"/>
  <c r="AB14" i="24"/>
  <c r="AB16" i="24"/>
  <c r="Q16" i="25"/>
  <c r="AC13" i="25"/>
  <c r="Z14" i="25"/>
  <c r="T15" i="24"/>
  <c r="AF15" i="24"/>
  <c r="X13" i="25"/>
  <c r="X14" i="25"/>
  <c r="R15" i="24"/>
  <c r="Z15" i="25"/>
  <c r="AW16" i="11" l="1"/>
  <c r="AO16" i="13"/>
  <c r="AY16" i="12"/>
  <c r="AQ16" i="6"/>
  <c r="AP16" i="5"/>
  <c r="AY16" i="8"/>
  <c r="AR16" i="7"/>
  <c r="E15" i="25"/>
  <c r="E14" i="25"/>
  <c r="E13" i="25"/>
  <c r="BA16" i="8"/>
  <c r="AT16" i="7"/>
  <c r="AS16" i="6"/>
  <c r="AR16" i="5"/>
  <c r="AY16" i="11"/>
  <c r="AQ16" i="13"/>
  <c r="BA16" i="12"/>
  <c r="AP16" i="13"/>
  <c r="AX16" i="11"/>
  <c r="AZ16" i="12"/>
  <c r="AR16" i="6"/>
  <c r="AS16" i="7"/>
  <c r="AZ16" i="8"/>
  <c r="AQ16" i="5"/>
  <c r="M14" i="19"/>
  <c r="I14" i="19"/>
  <c r="O14" i="19"/>
  <c r="J14" i="19"/>
  <c r="K14" i="19"/>
  <c r="N14" i="19"/>
  <c r="AN15" i="25"/>
  <c r="AO16" i="24"/>
  <c r="W12" i="25"/>
  <c r="AL15" i="25"/>
  <c r="E497" i="21"/>
  <c r="F483" i="21"/>
  <c r="F493" i="21"/>
  <c r="F494" i="21" s="1"/>
  <c r="E483" i="21"/>
  <c r="E493" i="21"/>
  <c r="E494" i="21" s="1"/>
  <c r="W14" i="24"/>
  <c r="W13" i="24"/>
  <c r="W15" i="24"/>
  <c r="AM13" i="24"/>
  <c r="AM15" i="24"/>
  <c r="AM14" i="24"/>
  <c r="AP15" i="25"/>
  <c r="K15" i="25" s="1"/>
  <c r="O15" i="25"/>
  <c r="G15" i="25" s="1"/>
  <c r="O15" i="24"/>
  <c r="G15" i="24" s="1"/>
  <c r="AI14" i="25"/>
  <c r="AJ14" i="25"/>
  <c r="AK13" i="25"/>
  <c r="AH15" i="25"/>
  <c r="R13" i="25"/>
  <c r="S15" i="25"/>
  <c r="S13" i="25"/>
  <c r="R15" i="25"/>
  <c r="AK15" i="25"/>
  <c r="AK14" i="25"/>
  <c r="AJ13" i="25"/>
  <c r="AH13" i="25"/>
  <c r="R14" i="25"/>
  <c r="AI15" i="25"/>
  <c r="AH14" i="25"/>
  <c r="AI13" i="25"/>
  <c r="AJ15" i="25"/>
  <c r="L15" i="25"/>
  <c r="AQ15" i="24"/>
  <c r="L15" i="24" s="1"/>
  <c r="U13" i="24"/>
  <c r="AI14" i="24"/>
  <c r="U15" i="24"/>
  <c r="Q15" i="24"/>
  <c r="H15" i="24" s="1"/>
  <c r="AJ15" i="24" s="1"/>
  <c r="AI13" i="24"/>
  <c r="V14" i="24"/>
  <c r="AI15" i="24"/>
  <c r="V13" i="24"/>
  <c r="Q13" i="24"/>
  <c r="H13" i="24" s="1"/>
  <c r="AJ13" i="24" s="1"/>
  <c r="Q14" i="24"/>
  <c r="H14" i="24" s="1"/>
  <c r="AJ14" i="24" s="1"/>
  <c r="V15" i="24"/>
  <c r="U14" i="24"/>
  <c r="X15" i="19"/>
  <c r="N16" i="24"/>
  <c r="AP16" i="24"/>
  <c r="N16" i="25"/>
  <c r="C16" i="25"/>
  <c r="AJ16" i="25" s="1"/>
  <c r="AO16" i="25"/>
  <c r="C483" i="21"/>
  <c r="F497" i="21"/>
  <c r="P1072" i="21"/>
  <c r="P1084" i="21"/>
  <c r="P1096" i="21"/>
  <c r="P1108" i="21"/>
  <c r="P1120" i="21"/>
  <c r="P1071" i="21"/>
  <c r="P1083" i="21"/>
  <c r="P1095" i="21"/>
  <c r="P1107" i="21"/>
  <c r="P1119" i="21"/>
  <c r="P1075" i="21"/>
  <c r="P1087" i="21"/>
  <c r="P1099" i="21"/>
  <c r="P1111" i="21"/>
  <c r="P1074" i="21"/>
  <c r="P1086" i="21"/>
  <c r="P1098" i="21"/>
  <c r="P1110" i="21"/>
  <c r="P1073" i="21"/>
  <c r="P1085" i="21"/>
  <c r="P1097" i="21"/>
  <c r="P1121" i="21"/>
  <c r="E15" i="24"/>
  <c r="E13" i="24"/>
  <c r="E14" i="24"/>
  <c r="D7" i="25"/>
  <c r="I11" i="25"/>
  <c r="L14" i="24"/>
  <c r="G14" i="24"/>
  <c r="K13" i="25"/>
  <c r="G14" i="25"/>
  <c r="K14" i="25"/>
  <c r="G13" i="24"/>
  <c r="L13" i="24"/>
  <c r="G13" i="25"/>
  <c r="B16" i="24"/>
  <c r="W16" i="24" s="1"/>
  <c r="B16" i="25"/>
  <c r="AN16" i="25" s="1"/>
  <c r="A17" i="24"/>
  <c r="A17" i="25"/>
  <c r="C16" i="24"/>
  <c r="AI16" i="24" s="1"/>
  <c r="H15" i="19"/>
  <c r="T15" i="19"/>
  <c r="Z17" i="25"/>
  <c r="Q17" i="25"/>
  <c r="AE17" i="25"/>
  <c r="S17" i="24"/>
  <c r="AB17" i="24"/>
  <c r="AC16" i="24"/>
  <c r="AC17" i="24"/>
  <c r="AQ17" i="25"/>
  <c r="AS17" i="25"/>
  <c r="P17" i="25"/>
  <c r="AD17" i="24"/>
  <c r="R16" i="24"/>
  <c r="R17" i="24"/>
  <c r="X17" i="25"/>
  <c r="AR17" i="24"/>
  <c r="AF17" i="25"/>
  <c r="AD17" i="25"/>
  <c r="AC17" i="25"/>
  <c r="Y17" i="25"/>
  <c r="AE17" i="24"/>
  <c r="AA17" i="25"/>
  <c r="AF17" i="24"/>
  <c r="AG17" i="24"/>
  <c r="T17" i="24"/>
  <c r="AH17" i="24"/>
  <c r="E16" i="25" l="1"/>
  <c r="AQ17" i="6"/>
  <c r="AP17" i="5"/>
  <c r="AY17" i="8"/>
  <c r="AR17" i="7"/>
  <c r="AW17" i="11"/>
  <c r="AO17" i="13"/>
  <c r="AY17" i="12"/>
  <c r="BA17" i="8"/>
  <c r="AS17" i="6"/>
  <c r="AT17" i="7"/>
  <c r="AR17" i="5"/>
  <c r="AQ17" i="13"/>
  <c r="AY17" i="11"/>
  <c r="BA17" i="12"/>
  <c r="AX17" i="11"/>
  <c r="AP17" i="13"/>
  <c r="AZ17" i="12"/>
  <c r="AQ17" i="5"/>
  <c r="AZ17" i="8"/>
  <c r="AR17" i="6"/>
  <c r="AS17" i="7"/>
  <c r="K15" i="19"/>
  <c r="J15" i="19"/>
  <c r="N15" i="19"/>
  <c r="O15" i="19"/>
  <c r="M15" i="19"/>
  <c r="I15" i="19"/>
  <c r="AO17" i="24"/>
  <c r="AM16" i="25"/>
  <c r="AN16" i="24"/>
  <c r="AL16" i="25"/>
  <c r="AP16" i="25"/>
  <c r="K16" i="25" s="1"/>
  <c r="AM16" i="24"/>
  <c r="O16" i="25"/>
  <c r="G16" i="25" s="1"/>
  <c r="AQ16" i="24"/>
  <c r="L16" i="24" s="1"/>
  <c r="O16" i="24"/>
  <c r="G16" i="24" s="1"/>
  <c r="S16" i="25"/>
  <c r="AK16" i="25"/>
  <c r="AH16" i="25"/>
  <c r="AI16" i="25"/>
  <c r="AR16" i="25"/>
  <c r="L16" i="25" s="1"/>
  <c r="R16" i="25"/>
  <c r="U16" i="24"/>
  <c r="V16" i="24"/>
  <c r="Q16" i="24"/>
  <c r="H16" i="24" s="1"/>
  <c r="AJ16" i="24" s="1"/>
  <c r="X16" i="19"/>
  <c r="N17" i="24"/>
  <c r="AP17" i="24"/>
  <c r="C17" i="25"/>
  <c r="AO17" i="25"/>
  <c r="N17" i="25"/>
  <c r="M11" i="25"/>
  <c r="F11" i="25" s="1"/>
  <c r="P8" i="19" s="1"/>
  <c r="E16" i="24"/>
  <c r="I13" i="24"/>
  <c r="AA13" i="24" s="1"/>
  <c r="I14" i="24"/>
  <c r="H14" i="25"/>
  <c r="H13" i="25"/>
  <c r="I15" i="24"/>
  <c r="H15" i="25"/>
  <c r="B17" i="24"/>
  <c r="V17" i="24" s="1"/>
  <c r="A18" i="24"/>
  <c r="A18" i="25"/>
  <c r="B17" i="25"/>
  <c r="S17" i="25" s="1"/>
  <c r="C17" i="24"/>
  <c r="AM17" i="24" s="1"/>
  <c r="H16" i="19"/>
  <c r="T16" i="19"/>
  <c r="AB17" i="25"/>
  <c r="Y18" i="25"/>
  <c r="R18" i="24"/>
  <c r="AH18" i="24"/>
  <c r="S18" i="24"/>
  <c r="AF18" i="25"/>
  <c r="AD18" i="24"/>
  <c r="AQ18" i="25"/>
  <c r="AD18" i="25"/>
  <c r="AB18" i="24"/>
  <c r="AE18" i="25"/>
  <c r="AE18" i="24"/>
  <c r="AR18" i="24"/>
  <c r="AG18" i="24"/>
  <c r="AQ18" i="6" l="1"/>
  <c r="AY18" i="8"/>
  <c r="AR18" i="7"/>
  <c r="AP18" i="5"/>
  <c r="AY18" i="12"/>
  <c r="AW18" i="11"/>
  <c r="AO18" i="13"/>
  <c r="E17" i="25"/>
  <c r="AT18" i="7"/>
  <c r="AR18" i="5"/>
  <c r="BA18" i="8"/>
  <c r="AS18" i="6"/>
  <c r="BA18" i="12"/>
  <c r="AQ18" i="13"/>
  <c r="AY18" i="11"/>
  <c r="AP18" i="13"/>
  <c r="AZ18" i="12"/>
  <c r="AX18" i="11"/>
  <c r="AS18" i="7"/>
  <c r="AQ18" i="5"/>
  <c r="AZ18" i="8"/>
  <c r="AR18" i="6"/>
  <c r="N16" i="19"/>
  <c r="K16" i="19"/>
  <c r="J16" i="19"/>
  <c r="O16" i="19"/>
  <c r="M16" i="19"/>
  <c r="I16" i="19"/>
  <c r="AM17" i="25"/>
  <c r="AN17" i="25"/>
  <c r="AO18" i="24"/>
  <c r="AG13" i="25"/>
  <c r="J13" i="25" s="1"/>
  <c r="W13" i="25" s="1"/>
  <c r="AG14" i="25"/>
  <c r="J14" i="25" s="1"/>
  <c r="W14" i="25" s="1"/>
  <c r="AG15" i="25"/>
  <c r="J15" i="25" s="1"/>
  <c r="V15" i="25" s="1"/>
  <c r="AN17" i="24"/>
  <c r="AL17" i="25"/>
  <c r="W17" i="24"/>
  <c r="AK14" i="24"/>
  <c r="AK15" i="24"/>
  <c r="AA14" i="24"/>
  <c r="AK13" i="24"/>
  <c r="AA15" i="24"/>
  <c r="O17" i="24"/>
  <c r="G17" i="24" s="1"/>
  <c r="AP17" i="25"/>
  <c r="K17" i="25" s="1"/>
  <c r="R17" i="25"/>
  <c r="O17" i="25"/>
  <c r="G17" i="25" s="1"/>
  <c r="Q17" i="24"/>
  <c r="H17" i="24" s="1"/>
  <c r="AJ17" i="24" s="1"/>
  <c r="U17" i="24"/>
  <c r="AJ17" i="25"/>
  <c r="AI17" i="24"/>
  <c r="AK17" i="25"/>
  <c r="AH17" i="25"/>
  <c r="AI17" i="25"/>
  <c r="AQ17" i="24"/>
  <c r="L17" i="24" s="1"/>
  <c r="AR17" i="25"/>
  <c r="L17" i="25" s="1"/>
  <c r="X17" i="19"/>
  <c r="N18" i="24"/>
  <c r="AP18" i="24"/>
  <c r="N18" i="25"/>
  <c r="AO18" i="25"/>
  <c r="C18" i="25"/>
  <c r="AR18" i="25" s="1"/>
  <c r="D11" i="25"/>
  <c r="E17" i="24"/>
  <c r="I16" i="24"/>
  <c r="AA16" i="24" s="1"/>
  <c r="B18" i="24"/>
  <c r="V18" i="24" s="1"/>
  <c r="H16" i="25"/>
  <c r="B18" i="25"/>
  <c r="AM18" i="25" s="1"/>
  <c r="A19" i="24"/>
  <c r="A19" i="25"/>
  <c r="C18" i="24"/>
  <c r="U18" i="24" s="1"/>
  <c r="H17" i="19"/>
  <c r="T17" i="19"/>
  <c r="AH19" i="24"/>
  <c r="AD19" i="25"/>
  <c r="X18" i="25"/>
  <c r="T18" i="24"/>
  <c r="Z18" i="25"/>
  <c r="AE19" i="25"/>
  <c r="R19" i="24"/>
  <c r="Q18" i="25"/>
  <c r="AS18" i="25"/>
  <c r="AE19" i="24"/>
  <c r="AA18" i="25"/>
  <c r="AS19" i="25"/>
  <c r="AB18" i="25"/>
  <c r="AQ19" i="25"/>
  <c r="AC18" i="25"/>
  <c r="AF19" i="25"/>
  <c r="P18" i="25"/>
  <c r="P19" i="25"/>
  <c r="AG19" i="24"/>
  <c r="T19" i="24"/>
  <c r="AC18" i="24"/>
  <c r="AD19" i="24"/>
  <c r="AF18" i="24"/>
  <c r="AY19" i="8" l="1"/>
  <c r="AR19" i="7"/>
  <c r="AP19" i="5"/>
  <c r="AQ19" i="6"/>
  <c r="AY19" i="12"/>
  <c r="AW19" i="11"/>
  <c r="AO19" i="13"/>
  <c r="E18" i="25"/>
  <c r="V14" i="25"/>
  <c r="V13" i="25"/>
  <c r="AT19" i="7"/>
  <c r="AS19" i="6"/>
  <c r="AR19" i="5"/>
  <c r="BA19" i="8"/>
  <c r="BA19" i="12"/>
  <c r="AY19" i="11"/>
  <c r="AQ19" i="13"/>
  <c r="AP19" i="13"/>
  <c r="AZ19" i="12"/>
  <c r="AX19" i="11"/>
  <c r="AZ19" i="8"/>
  <c r="AR19" i="6"/>
  <c r="AQ19" i="5"/>
  <c r="AS19" i="7"/>
  <c r="M17" i="19"/>
  <c r="I17" i="19"/>
  <c r="N17" i="19"/>
  <c r="K17" i="19"/>
  <c r="J17" i="19"/>
  <c r="O17" i="19"/>
  <c r="AN18" i="25"/>
  <c r="AO19" i="24"/>
  <c r="W15" i="25"/>
  <c r="AG16" i="25"/>
  <c r="J16" i="25" s="1"/>
  <c r="W16" i="25" s="1"/>
  <c r="AL18" i="25"/>
  <c r="AN18" i="24"/>
  <c r="W18" i="24"/>
  <c r="AK16" i="24"/>
  <c r="AM18" i="24"/>
  <c r="O18" i="25"/>
  <c r="G18" i="25" s="1"/>
  <c r="AH18" i="25"/>
  <c r="O18" i="24"/>
  <c r="G18" i="24" s="1"/>
  <c r="AI18" i="24"/>
  <c r="AP18" i="25"/>
  <c r="K18" i="25" s="1"/>
  <c r="AK18" i="25"/>
  <c r="S18" i="25"/>
  <c r="AI18" i="25"/>
  <c r="R18" i="25"/>
  <c r="AJ18" i="25"/>
  <c r="Q18" i="24"/>
  <c r="H18" i="24" s="1"/>
  <c r="AJ18" i="24" s="1"/>
  <c r="L18" i="25"/>
  <c r="AQ18" i="24"/>
  <c r="L18" i="24" s="1"/>
  <c r="X18" i="19"/>
  <c r="N19" i="24"/>
  <c r="AP19" i="24"/>
  <c r="N19" i="25"/>
  <c r="C19" i="25"/>
  <c r="R19" i="25" s="1"/>
  <c r="AO19" i="25"/>
  <c r="E18" i="24"/>
  <c r="I17" i="24"/>
  <c r="H17" i="25"/>
  <c r="B19" i="24"/>
  <c r="AN19" i="24" s="1"/>
  <c r="A20" i="24"/>
  <c r="A20" i="25"/>
  <c r="B19" i="25"/>
  <c r="AM19" i="25" s="1"/>
  <c r="C19" i="24"/>
  <c r="U19" i="24" s="1"/>
  <c r="H18" i="19"/>
  <c r="T18" i="19"/>
  <c r="AC19" i="25"/>
  <c r="AC19" i="24"/>
  <c r="Q19" i="25"/>
  <c r="AB19" i="25"/>
  <c r="AA19" i="25"/>
  <c r="R20" i="24"/>
  <c r="AC20" i="25"/>
  <c r="AD20" i="25"/>
  <c r="X19" i="25"/>
  <c r="AC20" i="24"/>
  <c r="AQ20" i="25"/>
  <c r="AB20" i="24"/>
  <c r="AE20" i="25"/>
  <c r="AG20" i="24"/>
  <c r="S19" i="24"/>
  <c r="AF20" i="25"/>
  <c r="AB20" i="25"/>
  <c r="X20" i="25"/>
  <c r="AB19" i="24"/>
  <c r="AR19" i="24"/>
  <c r="AH20" i="24"/>
  <c r="Y19" i="25"/>
  <c r="AF19" i="24"/>
  <c r="Z19" i="25"/>
  <c r="AY20" i="8" l="1"/>
  <c r="AR20" i="7"/>
  <c r="AP20" i="5"/>
  <c r="AQ20" i="6"/>
  <c r="AY20" i="12"/>
  <c r="AW20" i="11"/>
  <c r="AO20" i="13"/>
  <c r="E19" i="25"/>
  <c r="V16" i="25"/>
  <c r="BA20" i="8"/>
  <c r="AT20" i="7"/>
  <c r="AS20" i="6"/>
  <c r="AR20" i="5"/>
  <c r="AY20" i="11"/>
  <c r="AQ20" i="13"/>
  <c r="BA20" i="12"/>
  <c r="AX20" i="11"/>
  <c r="AP20" i="13"/>
  <c r="AZ20" i="12"/>
  <c r="AS20" i="7"/>
  <c r="AZ20" i="8"/>
  <c r="AR20" i="6"/>
  <c r="AQ20" i="5"/>
  <c r="O18" i="19"/>
  <c r="N18" i="19"/>
  <c r="K18" i="19"/>
  <c r="J18" i="19"/>
  <c r="M18" i="19"/>
  <c r="I18" i="19"/>
  <c r="AN19" i="25"/>
  <c r="AO20" i="24"/>
  <c r="AG17" i="25"/>
  <c r="J17" i="25" s="1"/>
  <c r="W17" i="25" s="1"/>
  <c r="W19" i="24"/>
  <c r="AL19" i="25"/>
  <c r="AK17" i="24"/>
  <c r="AA17" i="24"/>
  <c r="AM19" i="24"/>
  <c r="O19" i="25"/>
  <c r="G19" i="25" s="1"/>
  <c r="AP19" i="25"/>
  <c r="K19" i="25" s="1"/>
  <c r="AJ19" i="25"/>
  <c r="S19" i="25"/>
  <c r="AH19" i="25"/>
  <c r="AK19" i="25"/>
  <c r="AI19" i="25"/>
  <c r="AQ19" i="24"/>
  <c r="L19" i="24" s="1"/>
  <c r="O19" i="24"/>
  <c r="G19" i="24" s="1"/>
  <c r="AR19" i="25"/>
  <c r="L19" i="25" s="1"/>
  <c r="AI19" i="24"/>
  <c r="Q19" i="24"/>
  <c r="H19" i="24" s="1"/>
  <c r="AJ19" i="24" s="1"/>
  <c r="V19" i="24"/>
  <c r="X19" i="19"/>
  <c r="AP20" i="24"/>
  <c r="N20" i="24"/>
  <c r="AO20" i="25"/>
  <c r="C20" i="25"/>
  <c r="AR20" i="25" s="1"/>
  <c r="N20" i="25"/>
  <c r="H18" i="25"/>
  <c r="E19" i="24"/>
  <c r="B20" i="24"/>
  <c r="AN20" i="24" s="1"/>
  <c r="I18" i="24"/>
  <c r="B20" i="25"/>
  <c r="AN20" i="25" s="1"/>
  <c r="A21" i="24"/>
  <c r="A21" i="25"/>
  <c r="C20" i="24"/>
  <c r="AI20" i="24" s="1"/>
  <c r="H19" i="19"/>
  <c r="T19" i="19"/>
  <c r="Q21" i="25"/>
  <c r="Z20" i="25"/>
  <c r="AG21" i="24"/>
  <c r="AE21" i="25"/>
  <c r="AQ21" i="25"/>
  <c r="T20" i="24"/>
  <c r="AH21" i="24"/>
  <c r="Z21" i="25"/>
  <c r="P21" i="25"/>
  <c r="AE20" i="24"/>
  <c r="S20" i="24"/>
  <c r="P20" i="25"/>
  <c r="AR20" i="24"/>
  <c r="Y20" i="25"/>
  <c r="AS20" i="25"/>
  <c r="Q20" i="25"/>
  <c r="AF21" i="24"/>
  <c r="AF20" i="24"/>
  <c r="AD20" i="24"/>
  <c r="AC21" i="25"/>
  <c r="AA20" i="25"/>
  <c r="X21" i="25"/>
  <c r="AD21" i="25"/>
  <c r="AA21" i="25"/>
  <c r="AF21" i="25"/>
  <c r="AC21" i="24"/>
  <c r="AY21" i="8" l="1"/>
  <c r="AR21" i="7"/>
  <c r="AP21" i="5"/>
  <c r="AQ21" i="6"/>
  <c r="AO21" i="13"/>
  <c r="AY21" i="12"/>
  <c r="AW21" i="11"/>
  <c r="E20" i="25"/>
  <c r="V17" i="25"/>
  <c r="AQ21" i="13"/>
  <c r="BA21" i="12"/>
  <c r="AY21" i="11"/>
  <c r="BA21" i="8"/>
  <c r="AR21" i="5"/>
  <c r="AS21" i="6"/>
  <c r="AT21" i="7"/>
  <c r="AX21" i="11"/>
  <c r="AP21" i="13"/>
  <c r="AZ21" i="12"/>
  <c r="AQ21" i="5"/>
  <c r="AS21" i="7"/>
  <c r="AZ21" i="8"/>
  <c r="AR21" i="6"/>
  <c r="O19" i="19"/>
  <c r="N19" i="19"/>
  <c r="K19" i="19"/>
  <c r="J19" i="19"/>
  <c r="I19" i="19"/>
  <c r="M19" i="19"/>
  <c r="AM20" i="25"/>
  <c r="AO21" i="24"/>
  <c r="AG18" i="25"/>
  <c r="J18" i="25" s="1"/>
  <c r="W18" i="25" s="1"/>
  <c r="AL20" i="25"/>
  <c r="W20" i="24"/>
  <c r="AK18" i="24"/>
  <c r="AA18" i="24"/>
  <c r="AM20" i="24"/>
  <c r="AP20" i="25"/>
  <c r="K20" i="25" s="1"/>
  <c r="AJ20" i="25"/>
  <c r="O20" i="24"/>
  <c r="G20" i="24" s="1"/>
  <c r="O20" i="25"/>
  <c r="G20" i="25" s="1"/>
  <c r="S20" i="25"/>
  <c r="AI20" i="25"/>
  <c r="AH20" i="25"/>
  <c r="R20" i="25"/>
  <c r="L20" i="25"/>
  <c r="AK20" i="25"/>
  <c r="AQ20" i="24"/>
  <c r="L20" i="24" s="1"/>
  <c r="V20" i="24"/>
  <c r="Q20" i="24"/>
  <c r="H20" i="24" s="1"/>
  <c r="AJ20" i="24" s="1"/>
  <c r="U20" i="24"/>
  <c r="X20" i="19"/>
  <c r="N21" i="24"/>
  <c r="AP21" i="24"/>
  <c r="AO21" i="25"/>
  <c r="N21" i="25"/>
  <c r="C21" i="25"/>
  <c r="AR21" i="25" s="1"/>
  <c r="I19" i="24"/>
  <c r="AA19" i="24" s="1"/>
  <c r="E20" i="24"/>
  <c r="H19" i="25"/>
  <c r="A22" i="24"/>
  <c r="A22" i="25"/>
  <c r="B21" i="24"/>
  <c r="AN21" i="24" s="1"/>
  <c r="B21" i="25"/>
  <c r="AL21" i="25" s="1"/>
  <c r="C21" i="24"/>
  <c r="AM21" i="24" s="1"/>
  <c r="H20" i="19"/>
  <c r="T20" i="19"/>
  <c r="S21" i="24"/>
  <c r="Q22" i="25"/>
  <c r="AD22" i="25"/>
  <c r="Y21" i="25"/>
  <c r="AE21" i="24"/>
  <c r="AE22" i="25"/>
  <c r="Z22" i="25"/>
  <c r="AQ22" i="25"/>
  <c r="AF22" i="25"/>
  <c r="AB22" i="25"/>
  <c r="T21" i="24"/>
  <c r="P22" i="25"/>
  <c r="AD22" i="24"/>
  <c r="AS21" i="25"/>
  <c r="AD21" i="24"/>
  <c r="AH22" i="24"/>
  <c r="AG22" i="24"/>
  <c r="AB21" i="25"/>
  <c r="AR21" i="24"/>
  <c r="R21" i="24"/>
  <c r="AA22" i="25"/>
  <c r="AB21" i="24"/>
  <c r="AW22" i="11" l="1"/>
  <c r="AO22" i="13"/>
  <c r="AY22" i="12"/>
  <c r="AY22" i="8"/>
  <c r="AR22" i="7"/>
  <c r="AP22" i="5"/>
  <c r="AQ22" i="6"/>
  <c r="E21" i="25"/>
  <c r="V18" i="25"/>
  <c r="BA22" i="12"/>
  <c r="AQ22" i="13"/>
  <c r="AY22" i="11"/>
  <c r="BA22" i="8"/>
  <c r="AT22" i="7"/>
  <c r="AS22" i="6"/>
  <c r="AR22" i="5"/>
  <c r="AP22" i="13"/>
  <c r="AZ22" i="12"/>
  <c r="AX22" i="11"/>
  <c r="AZ22" i="8"/>
  <c r="AR22" i="6"/>
  <c r="AQ22" i="5"/>
  <c r="AS22" i="7"/>
  <c r="O20" i="19"/>
  <c r="N20" i="19"/>
  <c r="K20" i="19"/>
  <c r="J20" i="19"/>
  <c r="I20" i="19"/>
  <c r="M20" i="19"/>
  <c r="AM21" i="25"/>
  <c r="AO22" i="24"/>
  <c r="AN21" i="25"/>
  <c r="AG19" i="25"/>
  <c r="J19" i="25" s="1"/>
  <c r="V19" i="25" s="1"/>
  <c r="W21" i="24"/>
  <c r="AK19" i="24"/>
  <c r="O21" i="25"/>
  <c r="G21" i="25" s="1"/>
  <c r="AQ21" i="24"/>
  <c r="L21" i="24" s="1"/>
  <c r="AP21" i="25"/>
  <c r="K21" i="25" s="1"/>
  <c r="O21" i="24"/>
  <c r="G21" i="24" s="1"/>
  <c r="AK21" i="25"/>
  <c r="AH21" i="25"/>
  <c r="AJ21" i="25"/>
  <c r="R21" i="25"/>
  <c r="S21" i="25"/>
  <c r="AI21" i="25"/>
  <c r="AI21" i="24"/>
  <c r="V21" i="24"/>
  <c r="U21" i="24"/>
  <c r="Q21" i="24"/>
  <c r="H21" i="24" s="1"/>
  <c r="AJ21" i="24" s="1"/>
  <c r="X21" i="19"/>
  <c r="N22" i="24"/>
  <c r="AP22" i="24"/>
  <c r="N22" i="25"/>
  <c r="C22" i="25"/>
  <c r="AO22" i="25"/>
  <c r="L21" i="25"/>
  <c r="I20" i="24"/>
  <c r="AA20" i="24" s="1"/>
  <c r="E21" i="24"/>
  <c r="I17" i="25"/>
  <c r="H20" i="25"/>
  <c r="B22" i="24"/>
  <c r="AN22" i="24" s="1"/>
  <c r="B22" i="25"/>
  <c r="AM22" i="25" s="1"/>
  <c r="A23" i="24"/>
  <c r="A23" i="25"/>
  <c r="C22" i="24"/>
  <c r="H21" i="19"/>
  <c r="T21" i="19"/>
  <c r="AE23" i="24"/>
  <c r="AC22" i="24"/>
  <c r="R22" i="24"/>
  <c r="AG23" i="24"/>
  <c r="X22" i="25"/>
  <c r="AD23" i="25"/>
  <c r="Z23" i="25"/>
  <c r="AB22" i="24"/>
  <c r="T22" i="24"/>
  <c r="AE23" i="25"/>
  <c r="AF22" i="24"/>
  <c r="AR22" i="24"/>
  <c r="AB23" i="25"/>
  <c r="AE22" i="24"/>
  <c r="Y22" i="25"/>
  <c r="AH23" i="24"/>
  <c r="S22" i="24"/>
  <c r="AC22" i="25"/>
  <c r="AQ23" i="25"/>
  <c r="AC23" i="24"/>
  <c r="T23" i="24"/>
  <c r="AS23" i="25"/>
  <c r="AS22" i="25"/>
  <c r="AF23" i="25"/>
  <c r="AW23" i="11" l="1"/>
  <c r="AO23" i="13"/>
  <c r="AY23" i="12"/>
  <c r="AQ23" i="6"/>
  <c r="AY23" i="8"/>
  <c r="AP23" i="5"/>
  <c r="AR23" i="7"/>
  <c r="E22" i="25"/>
  <c r="BA23" i="12"/>
  <c r="AQ23" i="13"/>
  <c r="AY23" i="11"/>
  <c r="AT23" i="7"/>
  <c r="AS23" i="6"/>
  <c r="BA23" i="8"/>
  <c r="AR23" i="5"/>
  <c r="AP23" i="13"/>
  <c r="AZ23" i="12"/>
  <c r="AX23" i="11"/>
  <c r="AS23" i="7"/>
  <c r="AZ23" i="8"/>
  <c r="AQ23" i="5"/>
  <c r="AR23" i="6"/>
  <c r="J21" i="19"/>
  <c r="O21" i="19"/>
  <c r="K21" i="19"/>
  <c r="N21" i="19"/>
  <c r="I21" i="19"/>
  <c r="M21" i="19"/>
  <c r="AN22" i="25"/>
  <c r="AO23" i="24"/>
  <c r="W19" i="25"/>
  <c r="AG20" i="25"/>
  <c r="J20" i="25" s="1"/>
  <c r="W20" i="25" s="1"/>
  <c r="AL22" i="25"/>
  <c r="W22" i="24"/>
  <c r="AK20" i="24"/>
  <c r="AM22" i="24"/>
  <c r="AP22" i="25"/>
  <c r="K22" i="25" s="1"/>
  <c r="AQ22" i="24"/>
  <c r="L22" i="24" s="1"/>
  <c r="O22" i="25"/>
  <c r="G22" i="25" s="1"/>
  <c r="H21" i="25"/>
  <c r="S22" i="25"/>
  <c r="AH22" i="25"/>
  <c r="AK22" i="25"/>
  <c r="AI22" i="25"/>
  <c r="AR22" i="25"/>
  <c r="L22" i="25" s="1"/>
  <c r="R22" i="25"/>
  <c r="AJ22" i="25"/>
  <c r="O22" i="24"/>
  <c r="G22" i="24" s="1"/>
  <c r="U22" i="24"/>
  <c r="Q22" i="24"/>
  <c r="H22" i="24" s="1"/>
  <c r="AJ22" i="24" s="1"/>
  <c r="V22" i="24"/>
  <c r="AI22" i="24"/>
  <c r="X22" i="19"/>
  <c r="AP23" i="24"/>
  <c r="N23" i="24"/>
  <c r="C23" i="25"/>
  <c r="AR23" i="25" s="1"/>
  <c r="AO23" i="25"/>
  <c r="N23" i="25"/>
  <c r="M17" i="25"/>
  <c r="F17" i="25" s="1"/>
  <c r="P14" i="19" s="1"/>
  <c r="E22" i="24"/>
  <c r="B23" i="24"/>
  <c r="AN23" i="24" s="1"/>
  <c r="I21" i="24"/>
  <c r="B23" i="25"/>
  <c r="AL23" i="25" s="1"/>
  <c r="A24" i="24"/>
  <c r="A24" i="25"/>
  <c r="C23" i="24"/>
  <c r="H22" i="19"/>
  <c r="T22" i="19"/>
  <c r="AS24" i="25"/>
  <c r="AQ24" i="25"/>
  <c r="AF24" i="25"/>
  <c r="AD23" i="24"/>
  <c r="X24" i="25"/>
  <c r="AG24" i="24"/>
  <c r="AE24" i="25"/>
  <c r="X23" i="25"/>
  <c r="R24" i="24"/>
  <c r="AC23" i="25"/>
  <c r="S24" i="24"/>
  <c r="Y23" i="25"/>
  <c r="AH24" i="24"/>
  <c r="AC24" i="25"/>
  <c r="AD24" i="25"/>
  <c r="P23" i="25"/>
  <c r="AB23" i="24"/>
  <c r="Q23" i="25"/>
  <c r="AF24" i="24"/>
  <c r="AA23" i="25"/>
  <c r="Z24" i="25"/>
  <c r="R23" i="24"/>
  <c r="AF23" i="24"/>
  <c r="AR23" i="24"/>
  <c r="S23" i="24"/>
  <c r="AA24" i="25"/>
  <c r="AB24" i="25"/>
  <c r="AW24" i="11" l="1"/>
  <c r="AO24" i="13"/>
  <c r="AY24" i="12"/>
  <c r="AQ24" i="6"/>
  <c r="AR24" i="7"/>
  <c r="AP24" i="5"/>
  <c r="AY24" i="8"/>
  <c r="E23" i="25"/>
  <c r="V20" i="25"/>
  <c r="AY24" i="11"/>
  <c r="AQ24" i="13"/>
  <c r="BA24" i="12"/>
  <c r="BA24" i="8"/>
  <c r="AT24" i="7"/>
  <c r="AS24" i="6"/>
  <c r="AR24" i="5"/>
  <c r="AX24" i="11"/>
  <c r="AP24" i="13"/>
  <c r="AZ24" i="12"/>
  <c r="AR24" i="6"/>
  <c r="AS24" i="7"/>
  <c r="AZ24" i="8"/>
  <c r="AQ24" i="5"/>
  <c r="J22" i="19"/>
  <c r="O22" i="19"/>
  <c r="N22" i="19"/>
  <c r="K22" i="19"/>
  <c r="M22" i="19"/>
  <c r="I22" i="19"/>
  <c r="AM23" i="25"/>
  <c r="AN23" i="25"/>
  <c r="AO24" i="24"/>
  <c r="AG21" i="25"/>
  <c r="J21" i="25" s="1"/>
  <c r="V21" i="25" s="1"/>
  <c r="W23" i="24"/>
  <c r="AK21" i="24"/>
  <c r="AA21" i="24"/>
  <c r="AM23" i="24"/>
  <c r="O23" i="25"/>
  <c r="G23" i="25" s="1"/>
  <c r="AP23" i="25"/>
  <c r="K23" i="25" s="1"/>
  <c r="AH23" i="25"/>
  <c r="AI23" i="25"/>
  <c r="S23" i="25"/>
  <c r="AK23" i="25"/>
  <c r="R23" i="25"/>
  <c r="L23" i="25"/>
  <c r="AJ23" i="25"/>
  <c r="AQ23" i="24"/>
  <c r="L23" i="24" s="1"/>
  <c r="U23" i="24"/>
  <c r="Q23" i="24"/>
  <c r="H23" i="24" s="1"/>
  <c r="AJ23" i="24" s="1"/>
  <c r="V23" i="24"/>
  <c r="AI23" i="24"/>
  <c r="O23" i="24"/>
  <c r="G23" i="24" s="1"/>
  <c r="X23" i="19"/>
  <c r="N24" i="24"/>
  <c r="AP24" i="24"/>
  <c r="N24" i="25"/>
  <c r="AO24" i="25"/>
  <c r="C24" i="25"/>
  <c r="AK24" i="25" s="1"/>
  <c r="D17" i="25"/>
  <c r="E23" i="24"/>
  <c r="I22" i="24"/>
  <c r="AA22" i="24" s="1"/>
  <c r="H22" i="25"/>
  <c r="B24" i="24"/>
  <c r="AN24" i="24" s="1"/>
  <c r="B24" i="25"/>
  <c r="AN24" i="25" s="1"/>
  <c r="A25" i="24"/>
  <c r="A25" i="25"/>
  <c r="C24" i="24"/>
  <c r="U24" i="24" s="1"/>
  <c r="H23" i="19"/>
  <c r="T23" i="19"/>
  <c r="AB24" i="24"/>
  <c r="Y25" i="25"/>
  <c r="AA25" i="25"/>
  <c r="AS25" i="25"/>
  <c r="X25" i="25"/>
  <c r="AE24" i="24"/>
  <c r="AE25" i="25"/>
  <c r="AC25" i="24"/>
  <c r="T24" i="24"/>
  <c r="Q25" i="25"/>
  <c r="AR24" i="24"/>
  <c r="AQ25" i="25"/>
  <c r="AF25" i="25"/>
  <c r="AB25" i="25"/>
  <c r="AG25" i="24"/>
  <c r="AD24" i="24"/>
  <c r="Y24" i="25"/>
  <c r="P24" i="25"/>
  <c r="AC25" i="25"/>
  <c r="AC24" i="24"/>
  <c r="AH25" i="24"/>
  <c r="Z25" i="25"/>
  <c r="Q24" i="25"/>
  <c r="AD25" i="25"/>
  <c r="AW25" i="11" l="1"/>
  <c r="AO25" i="13"/>
  <c r="AY25" i="12"/>
  <c r="AQ25" i="6"/>
  <c r="AR25" i="7"/>
  <c r="AP25" i="5"/>
  <c r="AY25" i="8"/>
  <c r="E24" i="25"/>
  <c r="AQ25" i="13"/>
  <c r="AY25" i="11"/>
  <c r="BA25" i="12"/>
  <c r="BA25" i="8"/>
  <c r="AT25" i="7"/>
  <c r="AS25" i="6"/>
  <c r="AR25" i="5"/>
  <c r="AX25" i="11"/>
  <c r="AP25" i="13"/>
  <c r="AZ25" i="12"/>
  <c r="AQ25" i="5"/>
  <c r="AZ25" i="8"/>
  <c r="AR25" i="6"/>
  <c r="AS25" i="7"/>
  <c r="K23" i="19"/>
  <c r="J23" i="19"/>
  <c r="O23" i="19"/>
  <c r="N23" i="19"/>
  <c r="M23" i="19"/>
  <c r="I23" i="19"/>
  <c r="AM24" i="25"/>
  <c r="AO25" i="24"/>
  <c r="W21" i="25"/>
  <c r="AG22" i="25"/>
  <c r="J22" i="25" s="1"/>
  <c r="V22" i="25" s="1"/>
  <c r="AL24" i="25"/>
  <c r="W24" i="24"/>
  <c r="AK22" i="24"/>
  <c r="AM24" i="24"/>
  <c r="AP24" i="25"/>
  <c r="K24" i="25" s="1"/>
  <c r="O24" i="25"/>
  <c r="G24" i="25" s="1"/>
  <c r="AJ24" i="25"/>
  <c r="AQ24" i="24"/>
  <c r="L24" i="24" s="1"/>
  <c r="O24" i="24"/>
  <c r="G24" i="24" s="1"/>
  <c r="AI24" i="25"/>
  <c r="S24" i="25"/>
  <c r="AH24" i="25"/>
  <c r="R24" i="25"/>
  <c r="AR24" i="25"/>
  <c r="L24" i="25" s="1"/>
  <c r="V24" i="24"/>
  <c r="AI24" i="24"/>
  <c r="Q24" i="24"/>
  <c r="H24" i="24" s="1"/>
  <c r="AJ24" i="24" s="1"/>
  <c r="X24" i="19"/>
  <c r="N25" i="24"/>
  <c r="AP25" i="24"/>
  <c r="N25" i="25"/>
  <c r="C25" i="25"/>
  <c r="AO25" i="25"/>
  <c r="E24" i="24"/>
  <c r="H23" i="25"/>
  <c r="I23" i="24"/>
  <c r="B25" i="24"/>
  <c r="AN25" i="24" s="1"/>
  <c r="A26" i="24"/>
  <c r="A26" i="25"/>
  <c r="B25" i="25"/>
  <c r="S25" i="25" s="1"/>
  <c r="C25" i="24"/>
  <c r="H24" i="19"/>
  <c r="T24" i="19"/>
  <c r="AE26" i="24"/>
  <c r="AQ26" i="25"/>
  <c r="AC26" i="24"/>
  <c r="AE26" i="25"/>
  <c r="AD25" i="24"/>
  <c r="AA26" i="25"/>
  <c r="S26" i="24"/>
  <c r="T25" i="24"/>
  <c r="AG26" i="24"/>
  <c r="S25" i="24"/>
  <c r="AH26" i="24"/>
  <c r="AF26" i="25"/>
  <c r="AD26" i="25"/>
  <c r="AB26" i="25"/>
  <c r="R25" i="24"/>
  <c r="T26" i="24"/>
  <c r="AB25" i="24"/>
  <c r="AF25" i="24"/>
  <c r="AE25" i="24"/>
  <c r="AR25" i="24"/>
  <c r="P25" i="25"/>
  <c r="AF26" i="24"/>
  <c r="R26" i="24"/>
  <c r="AR26" i="24"/>
  <c r="AQ26" i="6" l="1"/>
  <c r="AY26" i="8"/>
  <c r="AP26" i="5"/>
  <c r="AR26" i="7"/>
  <c r="AY26" i="12"/>
  <c r="AO26" i="13"/>
  <c r="AW26" i="11"/>
  <c r="E25" i="25"/>
  <c r="AR26" i="5"/>
  <c r="BA26" i="8"/>
  <c r="AT26" i="7"/>
  <c r="AS26" i="6"/>
  <c r="BA26" i="12"/>
  <c r="AQ26" i="13"/>
  <c r="AY26" i="11"/>
  <c r="AP26" i="13"/>
  <c r="AZ26" i="12"/>
  <c r="AX26" i="11"/>
  <c r="AS26" i="7"/>
  <c r="AQ26" i="5"/>
  <c r="AZ26" i="8"/>
  <c r="AR26" i="6"/>
  <c r="M24" i="19"/>
  <c r="I24" i="19"/>
  <c r="N24" i="19"/>
  <c r="K24" i="19"/>
  <c r="J24" i="19"/>
  <c r="O24" i="19"/>
  <c r="AM25" i="25"/>
  <c r="AN25" i="25"/>
  <c r="AO26" i="24"/>
  <c r="W22" i="25"/>
  <c r="AG23" i="25"/>
  <c r="J23" i="25" s="1"/>
  <c r="W23" i="25" s="1"/>
  <c r="AL25" i="25"/>
  <c r="W25" i="24"/>
  <c r="AK23" i="24"/>
  <c r="AA23" i="24"/>
  <c r="AM25" i="24"/>
  <c r="O25" i="25"/>
  <c r="G25" i="25" s="1"/>
  <c r="AP25" i="25"/>
  <c r="K25" i="25" s="1"/>
  <c r="AJ25" i="25"/>
  <c r="AQ25" i="24"/>
  <c r="L25" i="24" s="1"/>
  <c r="AI25" i="25"/>
  <c r="R25" i="25"/>
  <c r="AH25" i="25"/>
  <c r="AK25" i="25"/>
  <c r="O25" i="24"/>
  <c r="G25" i="24" s="1"/>
  <c r="AR25" i="25"/>
  <c r="L25" i="25" s="1"/>
  <c r="V25" i="24"/>
  <c r="U25" i="24"/>
  <c r="AI25" i="24"/>
  <c r="Q25" i="24"/>
  <c r="H25" i="24" s="1"/>
  <c r="AJ25" i="24" s="1"/>
  <c r="X25" i="19"/>
  <c r="AP26" i="24"/>
  <c r="N26" i="24"/>
  <c r="N26" i="25"/>
  <c r="C26" i="25"/>
  <c r="AR26" i="25" s="1"/>
  <c r="AO26" i="25"/>
  <c r="E25" i="24"/>
  <c r="B26" i="24"/>
  <c r="V26" i="24" s="1"/>
  <c r="H24" i="25"/>
  <c r="I24" i="24"/>
  <c r="A27" i="24"/>
  <c r="A27" i="25"/>
  <c r="B26" i="25"/>
  <c r="AM26" i="25" s="1"/>
  <c r="C26" i="24"/>
  <c r="H25" i="19"/>
  <c r="T25" i="19"/>
  <c r="AE27" i="25"/>
  <c r="X27" i="25"/>
  <c r="AE27" i="24"/>
  <c r="P26" i="25"/>
  <c r="T27" i="24"/>
  <c r="AB26" i="24"/>
  <c r="AD26" i="24"/>
  <c r="P27" i="25"/>
  <c r="AH27" i="24"/>
  <c r="AS26" i="25"/>
  <c r="Z26" i="25"/>
  <c r="AD27" i="25"/>
  <c r="AQ27" i="25"/>
  <c r="AC26" i="25"/>
  <c r="AG27" i="24"/>
  <c r="Q26" i="25"/>
  <c r="X26" i="25"/>
  <c r="AF27" i="25"/>
  <c r="Y26" i="25"/>
  <c r="AY27" i="8" l="1"/>
  <c r="AR27" i="7"/>
  <c r="AP27" i="5"/>
  <c r="AQ27" i="6"/>
  <c r="AY27" i="12"/>
  <c r="AO27" i="13"/>
  <c r="AW27" i="11"/>
  <c r="E26" i="25"/>
  <c r="V23" i="25"/>
  <c r="BA27" i="12"/>
  <c r="AY27" i="11"/>
  <c r="AQ27" i="13"/>
  <c r="AT27" i="7"/>
  <c r="BA27" i="8"/>
  <c r="AS27" i="6"/>
  <c r="AR27" i="5"/>
  <c r="AP27" i="13"/>
  <c r="AZ27" i="12"/>
  <c r="AX27" i="11"/>
  <c r="AZ27" i="8"/>
  <c r="AQ27" i="5"/>
  <c r="AR27" i="6"/>
  <c r="AS27" i="7"/>
  <c r="N25" i="19"/>
  <c r="K25" i="19"/>
  <c r="J25" i="19"/>
  <c r="O25" i="19"/>
  <c r="M25" i="19"/>
  <c r="I25" i="19"/>
  <c r="AN26" i="25"/>
  <c r="AO27" i="24"/>
  <c r="AG24" i="25"/>
  <c r="J24" i="25" s="1"/>
  <c r="V24" i="25" s="1"/>
  <c r="AN26" i="24"/>
  <c r="AL26" i="25"/>
  <c r="W26" i="24"/>
  <c r="AK27" i="12"/>
  <c r="AK24" i="24"/>
  <c r="AA24" i="24"/>
  <c r="AM26" i="24"/>
  <c r="O26" i="25"/>
  <c r="G26" i="25" s="1"/>
  <c r="AP26" i="25"/>
  <c r="K26" i="25" s="1"/>
  <c r="Q26" i="24"/>
  <c r="H26" i="24" s="1"/>
  <c r="AJ26" i="24" s="1"/>
  <c r="AQ26" i="24"/>
  <c r="L26" i="24" s="1"/>
  <c r="AK26" i="25"/>
  <c r="S26" i="25"/>
  <c r="AH26" i="25"/>
  <c r="R26" i="25"/>
  <c r="AI26" i="25"/>
  <c r="AJ26" i="25"/>
  <c r="L26" i="25"/>
  <c r="AI26" i="24"/>
  <c r="O26" i="24"/>
  <c r="G26" i="24" s="1"/>
  <c r="U26" i="24"/>
  <c r="X26" i="19"/>
  <c r="AP27" i="24"/>
  <c r="N27" i="24"/>
  <c r="AO27" i="25"/>
  <c r="N27" i="25"/>
  <c r="C27" i="25"/>
  <c r="E26" i="24"/>
  <c r="H25" i="25"/>
  <c r="I25" i="24"/>
  <c r="B27" i="24"/>
  <c r="AN27" i="24" s="1"/>
  <c r="B27" i="25"/>
  <c r="AM27" i="25" s="1"/>
  <c r="A28" i="24"/>
  <c r="A28" i="25"/>
  <c r="C27" i="24"/>
  <c r="H26" i="19"/>
  <c r="T26" i="19"/>
  <c r="AR27" i="24"/>
  <c r="AF28" i="25"/>
  <c r="Z27" i="25"/>
  <c r="AD27" i="24"/>
  <c r="AB27" i="24"/>
  <c r="S27" i="24"/>
  <c r="Q27" i="25"/>
  <c r="Z28" i="25"/>
  <c r="X28" i="25"/>
  <c r="AH28" i="24"/>
  <c r="AC27" i="25"/>
  <c r="AD28" i="25"/>
  <c r="Y28" i="25"/>
  <c r="AQ28" i="25"/>
  <c r="Y27" i="25"/>
  <c r="AD28" i="24"/>
  <c r="R27" i="24"/>
  <c r="P28" i="25"/>
  <c r="AE28" i="24"/>
  <c r="AA27" i="25"/>
  <c r="AB27" i="25"/>
  <c r="AE28" i="25"/>
  <c r="AF27" i="24"/>
  <c r="AC27" i="24"/>
  <c r="AS27" i="25"/>
  <c r="AG28" i="24"/>
  <c r="S28" i="24"/>
  <c r="AY28" i="12" l="1"/>
  <c r="AO28" i="13"/>
  <c r="AW28" i="11"/>
  <c r="AY28" i="8"/>
  <c r="AR28" i="7"/>
  <c r="AP28" i="5"/>
  <c r="AQ28" i="6"/>
  <c r="E27" i="25"/>
  <c r="BA28" i="8"/>
  <c r="AT28" i="7"/>
  <c r="AS28" i="6"/>
  <c r="AR28" i="5"/>
  <c r="AY28" i="11"/>
  <c r="AQ28" i="13"/>
  <c r="BA28" i="12"/>
  <c r="AX28" i="11"/>
  <c r="AP28" i="13"/>
  <c r="AZ28" i="12"/>
  <c r="AS28" i="7"/>
  <c r="AZ28" i="8"/>
  <c r="AR28" i="6"/>
  <c r="AQ28" i="5"/>
  <c r="O26" i="19"/>
  <c r="N26" i="19"/>
  <c r="K26" i="19"/>
  <c r="J26" i="19"/>
  <c r="M26" i="19"/>
  <c r="I26" i="19"/>
  <c r="AN27" i="25"/>
  <c r="AO28" i="24"/>
  <c r="W24" i="25"/>
  <c r="I24" i="25" s="1"/>
  <c r="M24" i="25" s="1"/>
  <c r="AG25" i="25"/>
  <c r="J25" i="25" s="1"/>
  <c r="W25" i="25" s="1"/>
  <c r="W27" i="24"/>
  <c r="AL27" i="25"/>
  <c r="AQ27" i="24"/>
  <c r="L27" i="24" s="1"/>
  <c r="AK25" i="24"/>
  <c r="AA25" i="24"/>
  <c r="AM27" i="24"/>
  <c r="O27" i="24"/>
  <c r="G27" i="24" s="1"/>
  <c r="O27" i="25"/>
  <c r="G27" i="25" s="1"/>
  <c r="AP27" i="25"/>
  <c r="K27" i="25" s="1"/>
  <c r="R27" i="25"/>
  <c r="AR27" i="25"/>
  <c r="L27" i="25" s="1"/>
  <c r="S27" i="25"/>
  <c r="AK27" i="25"/>
  <c r="AI27" i="25"/>
  <c r="AJ27" i="25"/>
  <c r="AH27" i="25"/>
  <c r="V27" i="24"/>
  <c r="U27" i="24"/>
  <c r="AI27" i="24"/>
  <c r="Q27" i="24"/>
  <c r="H27" i="24" s="1"/>
  <c r="AJ27" i="24" s="1"/>
  <c r="X27" i="19"/>
  <c r="AP28" i="24"/>
  <c r="N28" i="24"/>
  <c r="N28" i="25"/>
  <c r="C28" i="25"/>
  <c r="R28" i="25" s="1"/>
  <c r="AO28" i="25"/>
  <c r="E27" i="24"/>
  <c r="I26" i="24"/>
  <c r="AA26" i="24" s="1"/>
  <c r="B28" i="24"/>
  <c r="V28" i="24" s="1"/>
  <c r="H26" i="25"/>
  <c r="B28" i="25"/>
  <c r="AN28" i="25" s="1"/>
  <c r="A29" i="24"/>
  <c r="A29" i="25"/>
  <c r="C28" i="24"/>
  <c r="H27" i="19"/>
  <c r="T27" i="19"/>
  <c r="AB29" i="25"/>
  <c r="AC29" i="25"/>
  <c r="AQ29" i="25"/>
  <c r="AS28" i="25"/>
  <c r="AC28" i="25"/>
  <c r="Q28" i="25"/>
  <c r="AR28" i="24"/>
  <c r="AF28" i="24"/>
  <c r="AB28" i="24"/>
  <c r="AG29" i="24"/>
  <c r="AS29" i="25"/>
  <c r="AA28" i="25"/>
  <c r="R28" i="24"/>
  <c r="T28" i="24"/>
  <c r="AF29" i="25"/>
  <c r="AD29" i="25"/>
  <c r="AE29" i="25"/>
  <c r="AH29" i="24"/>
  <c r="AB28" i="25"/>
  <c r="AC28" i="24"/>
  <c r="AY29" i="8" l="1"/>
  <c r="AR29" i="7"/>
  <c r="AP29" i="5"/>
  <c r="AQ29" i="6"/>
  <c r="AO29" i="13"/>
  <c r="AY29" i="12"/>
  <c r="AW29" i="11"/>
  <c r="E28" i="25"/>
  <c r="V25" i="25"/>
  <c r="AQ29" i="13"/>
  <c r="AY29" i="11"/>
  <c r="BA29" i="12"/>
  <c r="BA29" i="8"/>
  <c r="AT29" i="7"/>
  <c r="AR29" i="5"/>
  <c r="AS29" i="6"/>
  <c r="AX29" i="11"/>
  <c r="AP29" i="13"/>
  <c r="AZ29" i="12"/>
  <c r="AQ29" i="5"/>
  <c r="AS29" i="7"/>
  <c r="AZ29" i="8"/>
  <c r="AR29" i="6"/>
  <c r="O27" i="19"/>
  <c r="K27" i="19"/>
  <c r="N27" i="19"/>
  <c r="J27" i="19"/>
  <c r="I27" i="19"/>
  <c r="M27" i="19"/>
  <c r="AM28" i="25"/>
  <c r="AO29" i="24"/>
  <c r="AG26" i="25"/>
  <c r="J26" i="25" s="1"/>
  <c r="V26" i="25" s="1"/>
  <c r="AN28" i="24"/>
  <c r="AL28" i="25"/>
  <c r="W28" i="24"/>
  <c r="AK26" i="24"/>
  <c r="AM28" i="24"/>
  <c r="AP28" i="25"/>
  <c r="K28" i="25" s="1"/>
  <c r="O28" i="25"/>
  <c r="G28" i="25" s="1"/>
  <c r="AR28" i="25"/>
  <c r="L28" i="25" s="1"/>
  <c r="AQ28" i="24"/>
  <c r="L28" i="24" s="1"/>
  <c r="AH28" i="25"/>
  <c r="AJ28" i="25"/>
  <c r="AI28" i="25"/>
  <c r="AK28" i="25"/>
  <c r="S28" i="25"/>
  <c r="O28" i="24"/>
  <c r="G28" i="24" s="1"/>
  <c r="AI28" i="24"/>
  <c r="Q28" i="24"/>
  <c r="H28" i="24" s="1"/>
  <c r="AJ28" i="24" s="1"/>
  <c r="U28" i="24"/>
  <c r="X28" i="19"/>
  <c r="AP29" i="24"/>
  <c r="N29" i="24"/>
  <c r="N29" i="25"/>
  <c r="C29" i="25"/>
  <c r="AR29" i="25" s="1"/>
  <c r="AO29" i="25"/>
  <c r="E28" i="24"/>
  <c r="B29" i="24"/>
  <c r="AN29" i="24" s="1"/>
  <c r="I27" i="24"/>
  <c r="H27" i="25"/>
  <c r="B29" i="25"/>
  <c r="AN29" i="25" s="1"/>
  <c r="A30" i="24"/>
  <c r="A30" i="25"/>
  <c r="C29" i="24"/>
  <c r="H28" i="19"/>
  <c r="T28" i="19"/>
  <c r="X29" i="25"/>
  <c r="AD29" i="24"/>
  <c r="T29" i="24"/>
  <c r="AB29" i="24"/>
  <c r="AF30" i="24"/>
  <c r="AQ30" i="25"/>
  <c r="Z29" i="25"/>
  <c r="Q30" i="25"/>
  <c r="AE29" i="24"/>
  <c r="S29" i="24"/>
  <c r="R29" i="24"/>
  <c r="AC30" i="24"/>
  <c r="Y29" i="25"/>
  <c r="AD30" i="24"/>
  <c r="Q29" i="25"/>
  <c r="AF29" i="24"/>
  <c r="AA30" i="25"/>
  <c r="AG30" i="24"/>
  <c r="AF30" i="25"/>
  <c r="AC29" i="24"/>
  <c r="AR29" i="24"/>
  <c r="AE30" i="25"/>
  <c r="AD30" i="25"/>
  <c r="AA29" i="25"/>
  <c r="AH30" i="24"/>
  <c r="P29" i="25"/>
  <c r="AB30" i="25"/>
  <c r="S30" i="24"/>
  <c r="AW30" i="11" l="1"/>
  <c r="AO30" i="13"/>
  <c r="AY30" i="12"/>
  <c r="AY30" i="8"/>
  <c r="AR30" i="7"/>
  <c r="AP30" i="5"/>
  <c r="AQ30" i="6"/>
  <c r="E29" i="25"/>
  <c r="AT30" i="7"/>
  <c r="AS30" i="6"/>
  <c r="AR30" i="5"/>
  <c r="BA30" i="8"/>
  <c r="BA30" i="12"/>
  <c r="AQ30" i="13"/>
  <c r="AY30" i="11"/>
  <c r="AP30" i="13"/>
  <c r="AZ30" i="12"/>
  <c r="AX30" i="11"/>
  <c r="AZ30" i="8"/>
  <c r="AR30" i="6"/>
  <c r="AQ30" i="5"/>
  <c r="AS30" i="7"/>
  <c r="N28" i="19"/>
  <c r="O28" i="19"/>
  <c r="J28" i="19"/>
  <c r="K28" i="19"/>
  <c r="I28" i="19"/>
  <c r="M28" i="19"/>
  <c r="AO30" i="24"/>
  <c r="AM29" i="25"/>
  <c r="W26" i="25"/>
  <c r="AG27" i="25"/>
  <c r="J27" i="25" s="1"/>
  <c r="W27" i="25" s="1"/>
  <c r="AL29" i="25"/>
  <c r="W29" i="24"/>
  <c r="AK27" i="24"/>
  <c r="AA27" i="24"/>
  <c r="AM29" i="24"/>
  <c r="AP29" i="25"/>
  <c r="K29" i="25" s="1"/>
  <c r="O29" i="24"/>
  <c r="G29" i="24" s="1"/>
  <c r="AK29" i="25"/>
  <c r="AJ29" i="25"/>
  <c r="O29" i="25"/>
  <c r="G29" i="25" s="1"/>
  <c r="AQ29" i="24"/>
  <c r="L29" i="24" s="1"/>
  <c r="R29" i="25"/>
  <c r="S29" i="25"/>
  <c r="AI29" i="25"/>
  <c r="AH29" i="25"/>
  <c r="V29" i="24"/>
  <c r="AI29" i="24"/>
  <c r="U29" i="24"/>
  <c r="Q29" i="24"/>
  <c r="H29" i="24" s="1"/>
  <c r="AJ29" i="24" s="1"/>
  <c r="X29" i="19"/>
  <c r="AP30" i="24"/>
  <c r="N30" i="24"/>
  <c r="AO30" i="25"/>
  <c r="N30" i="25"/>
  <c r="C30" i="25"/>
  <c r="AR30" i="25" s="1"/>
  <c r="L29" i="25"/>
  <c r="E29" i="24"/>
  <c r="F24" i="25"/>
  <c r="P21" i="19" s="1"/>
  <c r="I28" i="24"/>
  <c r="H28" i="25"/>
  <c r="B30" i="24"/>
  <c r="AN30" i="24" s="1"/>
  <c r="B30" i="25"/>
  <c r="AN30" i="25" s="1"/>
  <c r="A31" i="24"/>
  <c r="A31" i="25"/>
  <c r="C30" i="24"/>
  <c r="Q30" i="24" s="1"/>
  <c r="H29" i="19"/>
  <c r="T29" i="19"/>
  <c r="AH31" i="24"/>
  <c r="X30" i="25"/>
  <c r="AD31" i="25"/>
  <c r="AF31" i="25"/>
  <c r="Z31" i="25"/>
  <c r="T30" i="24"/>
  <c r="AD31" i="24"/>
  <c r="AQ31" i="25"/>
  <c r="R31" i="24"/>
  <c r="Z30" i="25"/>
  <c r="Y30" i="25"/>
  <c r="AB31" i="24"/>
  <c r="AR30" i="24"/>
  <c r="AR31" i="24"/>
  <c r="P30" i="25"/>
  <c r="R30" i="24"/>
  <c r="AG31" i="24"/>
  <c r="AS30" i="25"/>
  <c r="AA31" i="25"/>
  <c r="Y31" i="25"/>
  <c r="AE30" i="24"/>
  <c r="P31" i="25"/>
  <c r="AB30" i="24"/>
  <c r="AC30" i="25"/>
  <c r="AC31" i="24"/>
  <c r="S31" i="24"/>
  <c r="AE31" i="25"/>
  <c r="AW31" i="11" l="1"/>
  <c r="AO31" i="13"/>
  <c r="AY31" i="12"/>
  <c r="AQ31" i="6"/>
  <c r="AY31" i="8"/>
  <c r="AR31" i="7"/>
  <c r="AP31" i="5"/>
  <c r="E30" i="25"/>
  <c r="V27" i="25"/>
  <c r="BA31" i="12"/>
  <c r="AY31" i="11"/>
  <c r="AQ31" i="13"/>
  <c r="AS31" i="6"/>
  <c r="AR31" i="5"/>
  <c r="BA31" i="8"/>
  <c r="AT31" i="7"/>
  <c r="AP31" i="13"/>
  <c r="AZ31" i="12"/>
  <c r="AX31" i="11"/>
  <c r="AZ31" i="8"/>
  <c r="AS31" i="7"/>
  <c r="AQ31" i="5"/>
  <c r="AR31" i="6"/>
  <c r="I29" i="19"/>
  <c r="M29" i="19"/>
  <c r="J29" i="19"/>
  <c r="O29" i="19"/>
  <c r="K29" i="19"/>
  <c r="N29" i="19"/>
  <c r="AM30" i="25"/>
  <c r="AO31" i="24"/>
  <c r="AG28" i="25"/>
  <c r="J28" i="25" s="1"/>
  <c r="W28" i="25" s="1"/>
  <c r="AL30" i="25"/>
  <c r="W30" i="24"/>
  <c r="AK28" i="24"/>
  <c r="AA28" i="24"/>
  <c r="AM30" i="24"/>
  <c r="AQ30" i="24"/>
  <c r="L30" i="24" s="1"/>
  <c r="O30" i="25"/>
  <c r="G30" i="25" s="1"/>
  <c r="AP30" i="25"/>
  <c r="K30" i="25" s="1"/>
  <c r="AK30" i="25"/>
  <c r="AI30" i="25"/>
  <c r="AH30" i="25"/>
  <c r="R30" i="25"/>
  <c r="S30" i="25"/>
  <c r="L30" i="25"/>
  <c r="AJ30" i="25"/>
  <c r="U30" i="24"/>
  <c r="AI30" i="24"/>
  <c r="O30" i="24"/>
  <c r="G30" i="24" s="1"/>
  <c r="V30" i="24"/>
  <c r="X30" i="19"/>
  <c r="N31" i="24"/>
  <c r="AP31" i="24"/>
  <c r="N31" i="25"/>
  <c r="AO31" i="25"/>
  <c r="C31" i="25"/>
  <c r="AR31" i="25" s="1"/>
  <c r="I29" i="24"/>
  <c r="E30" i="24"/>
  <c r="D24" i="25"/>
  <c r="B31" i="24"/>
  <c r="V31" i="24" s="1"/>
  <c r="H30" i="24"/>
  <c r="AJ30" i="24" s="1"/>
  <c r="H29" i="25"/>
  <c r="B31" i="25"/>
  <c r="AN31" i="25" s="1"/>
  <c r="A32" i="24"/>
  <c r="A32" i="25"/>
  <c r="C31" i="24"/>
  <c r="U31" i="24" s="1"/>
  <c r="H30" i="19"/>
  <c r="T30" i="19"/>
  <c r="AC31" i="25"/>
  <c r="AR32" i="24"/>
  <c r="AB31" i="25"/>
  <c r="AB32" i="25"/>
  <c r="AH32" i="24"/>
  <c r="AF32" i="25"/>
  <c r="AE32" i="25"/>
  <c r="X31" i="25"/>
  <c r="Q31" i="25"/>
  <c r="AQ32" i="25"/>
  <c r="AE31" i="24"/>
  <c r="T31" i="24"/>
  <c r="AF31" i="24"/>
  <c r="AS31" i="25"/>
  <c r="AG32" i="24"/>
  <c r="AE32" i="24"/>
  <c r="AD32" i="25"/>
  <c r="AQ32" i="6" l="1"/>
  <c r="AR32" i="7"/>
  <c r="AY32" i="8"/>
  <c r="AP32" i="5"/>
  <c r="AW32" i="11"/>
  <c r="AO32" i="13"/>
  <c r="AY32" i="12"/>
  <c r="E31" i="25"/>
  <c r="V28" i="25"/>
  <c r="BA32" i="8"/>
  <c r="AS32" i="6"/>
  <c r="AR32" i="5"/>
  <c r="AT32" i="7"/>
  <c r="AY32" i="11"/>
  <c r="AQ32" i="13"/>
  <c r="BA32" i="12"/>
  <c r="AX32" i="11"/>
  <c r="AZ32" i="12"/>
  <c r="AP32" i="13"/>
  <c r="AR32" i="6"/>
  <c r="AS32" i="7"/>
  <c r="AQ32" i="5"/>
  <c r="AZ32" i="8"/>
  <c r="M30" i="19"/>
  <c r="I30" i="19"/>
  <c r="J30" i="19"/>
  <c r="O30" i="19"/>
  <c r="K30" i="19"/>
  <c r="N30" i="19"/>
  <c r="AM31" i="25"/>
  <c r="AO32" i="24"/>
  <c r="AG29" i="25"/>
  <c r="J29" i="25" s="1"/>
  <c r="V29" i="25" s="1"/>
  <c r="AL31" i="25"/>
  <c r="AN31" i="24"/>
  <c r="W31" i="24"/>
  <c r="AK29" i="24"/>
  <c r="AA29" i="24"/>
  <c r="AM31" i="24"/>
  <c r="AP31" i="25"/>
  <c r="K31" i="25" s="1"/>
  <c r="O31" i="25"/>
  <c r="G31" i="25" s="1"/>
  <c r="S31" i="25"/>
  <c r="AJ31" i="25"/>
  <c r="AK31" i="25"/>
  <c r="AI31" i="25"/>
  <c r="L31" i="25"/>
  <c r="AQ31" i="24"/>
  <c r="L31" i="24" s="1"/>
  <c r="AH31" i="25"/>
  <c r="AI31" i="24"/>
  <c r="O31" i="24"/>
  <c r="G31" i="24" s="1"/>
  <c r="R31" i="25"/>
  <c r="Q31" i="24"/>
  <c r="H31" i="24" s="1"/>
  <c r="AJ31" i="24" s="1"/>
  <c r="X31" i="19"/>
  <c r="N32" i="24"/>
  <c r="AP32" i="24"/>
  <c r="AO32" i="25"/>
  <c r="C32" i="25"/>
  <c r="AJ32" i="25" s="1"/>
  <c r="N32" i="25"/>
  <c r="I30" i="24"/>
  <c r="E31" i="24"/>
  <c r="H30" i="25"/>
  <c r="A33" i="24"/>
  <c r="A33" i="25"/>
  <c r="B32" i="24"/>
  <c r="AN32" i="24" s="1"/>
  <c r="B32" i="25"/>
  <c r="AN32" i="25" s="1"/>
  <c r="C32" i="24"/>
  <c r="H31" i="19"/>
  <c r="T31" i="19"/>
  <c r="P32" i="25"/>
  <c r="AB33" i="25"/>
  <c r="AH33" i="24"/>
  <c r="R32" i="24"/>
  <c r="Z33" i="25"/>
  <c r="AF33" i="25"/>
  <c r="Z32" i="25"/>
  <c r="AC33" i="25"/>
  <c r="X32" i="25"/>
  <c r="AC33" i="24"/>
  <c r="S33" i="24"/>
  <c r="AA32" i="25"/>
  <c r="AB32" i="24"/>
  <c r="T32" i="24"/>
  <c r="AS32" i="25"/>
  <c r="Y33" i="25"/>
  <c r="AE33" i="25"/>
  <c r="Q33" i="25"/>
  <c r="P33" i="25"/>
  <c r="AC32" i="24"/>
  <c r="AA33" i="25"/>
  <c r="Q32" i="25"/>
  <c r="AS33" i="25"/>
  <c r="AQ33" i="25"/>
  <c r="AD33" i="25"/>
  <c r="Y32" i="25"/>
  <c r="AG33" i="24"/>
  <c r="AD33" i="24"/>
  <c r="AC32" i="25"/>
  <c r="AF32" i="24"/>
  <c r="X33" i="25"/>
  <c r="AD32" i="24"/>
  <c r="AR33" i="24"/>
  <c r="S32" i="24"/>
  <c r="AW33" i="11" l="1"/>
  <c r="AO33" i="13"/>
  <c r="AY33" i="12"/>
  <c r="AQ33" i="6"/>
  <c r="AP33" i="5"/>
  <c r="AR33" i="7"/>
  <c r="AY33" i="8"/>
  <c r="E32" i="25"/>
  <c r="BA33" i="8"/>
  <c r="AT33" i="7"/>
  <c r="AS33" i="6"/>
  <c r="AR33" i="5"/>
  <c r="AQ33" i="13"/>
  <c r="AY33" i="11"/>
  <c r="BA33" i="12"/>
  <c r="AX33" i="11"/>
  <c r="AP33" i="13"/>
  <c r="AZ33" i="12"/>
  <c r="AQ33" i="5"/>
  <c r="AR33" i="6"/>
  <c r="AZ33" i="8"/>
  <c r="AS33" i="7"/>
  <c r="K31" i="19"/>
  <c r="J31" i="19"/>
  <c r="N31" i="19"/>
  <c r="O31" i="19"/>
  <c r="M31" i="19"/>
  <c r="I31" i="19"/>
  <c r="AM32" i="25"/>
  <c r="AO33" i="24"/>
  <c r="W29" i="25"/>
  <c r="AG30" i="25"/>
  <c r="J30" i="25" s="1"/>
  <c r="V30" i="25" s="1"/>
  <c r="AL32" i="25"/>
  <c r="W32" i="24"/>
  <c r="AK30" i="24"/>
  <c r="AA30" i="24"/>
  <c r="AM32" i="24"/>
  <c r="O32" i="25"/>
  <c r="G32" i="25" s="1"/>
  <c r="AP32" i="25"/>
  <c r="K32" i="25" s="1"/>
  <c r="O32" i="24"/>
  <c r="G32" i="24" s="1"/>
  <c r="AK32" i="25"/>
  <c r="AI32" i="25"/>
  <c r="AH32" i="25"/>
  <c r="R32" i="25"/>
  <c r="S32" i="25"/>
  <c r="AR32" i="25"/>
  <c r="L32" i="25" s="1"/>
  <c r="AQ32" i="24"/>
  <c r="L32" i="24" s="1"/>
  <c r="Q32" i="24"/>
  <c r="H32" i="24" s="1"/>
  <c r="AJ32" i="24" s="1"/>
  <c r="V32" i="24"/>
  <c r="AI32" i="24"/>
  <c r="U32" i="24"/>
  <c r="X32" i="19"/>
  <c r="N33" i="24"/>
  <c r="AP33" i="24"/>
  <c r="C33" i="25"/>
  <c r="AR33" i="25" s="1"/>
  <c r="AO33" i="25"/>
  <c r="N33" i="25"/>
  <c r="E32" i="24"/>
  <c r="I28" i="25"/>
  <c r="M28" i="25" s="1"/>
  <c r="H31" i="25"/>
  <c r="I31" i="24"/>
  <c r="A34" i="24"/>
  <c r="A34" i="25"/>
  <c r="B33" i="24"/>
  <c r="V33" i="24" s="1"/>
  <c r="B33" i="25"/>
  <c r="AN33" i="25" s="1"/>
  <c r="C33" i="24"/>
  <c r="H32" i="19"/>
  <c r="T32" i="19"/>
  <c r="Z34" i="25"/>
  <c r="AD34" i="25"/>
  <c r="AB33" i="24"/>
  <c r="AE33" i="24"/>
  <c r="AG34" i="24"/>
  <c r="AE34" i="25"/>
  <c r="AQ34" i="25"/>
  <c r="AF33" i="24"/>
  <c r="R33" i="24"/>
  <c r="AH34" i="24"/>
  <c r="S34" i="24"/>
  <c r="X34" i="25"/>
  <c r="AF34" i="25"/>
  <c r="T33" i="24"/>
  <c r="E33" i="25" l="1"/>
  <c r="AQ34" i="6"/>
  <c r="AY34" i="8"/>
  <c r="AP34" i="5"/>
  <c r="AR34" i="7"/>
  <c r="AY34" i="12"/>
  <c r="AW34" i="11"/>
  <c r="AO34" i="13"/>
  <c r="AR34" i="5"/>
  <c r="BA34" i="8"/>
  <c r="AT34" i="7"/>
  <c r="AS34" i="6"/>
  <c r="BA34" i="12"/>
  <c r="AQ34" i="13"/>
  <c r="AY34" i="11"/>
  <c r="AP34" i="13"/>
  <c r="AZ34" i="12"/>
  <c r="AX34" i="11"/>
  <c r="AS34" i="7"/>
  <c r="AQ34" i="5"/>
  <c r="AZ34" i="8"/>
  <c r="AR34" i="6"/>
  <c r="N32" i="19"/>
  <c r="K32" i="19"/>
  <c r="J32" i="19"/>
  <c r="O32" i="19"/>
  <c r="M32" i="19"/>
  <c r="I32" i="19"/>
  <c r="AM33" i="25"/>
  <c r="AO34" i="24"/>
  <c r="W30" i="25"/>
  <c r="I30" i="25" s="1"/>
  <c r="M30" i="25" s="1"/>
  <c r="AG31" i="25"/>
  <c r="J31" i="25" s="1"/>
  <c r="W31" i="25" s="1"/>
  <c r="AN33" i="24"/>
  <c r="AL33" i="25"/>
  <c r="W33" i="24"/>
  <c r="AK31" i="24"/>
  <c r="AA31" i="24"/>
  <c r="AM33" i="24"/>
  <c r="AP33" i="25"/>
  <c r="K33" i="25" s="1"/>
  <c r="AJ33" i="25"/>
  <c r="O33" i="25"/>
  <c r="G33" i="25" s="1"/>
  <c r="AK33" i="25"/>
  <c r="R33" i="25"/>
  <c r="AQ33" i="24"/>
  <c r="L33" i="24" s="1"/>
  <c r="AH33" i="25"/>
  <c r="S33" i="25"/>
  <c r="AI33" i="25"/>
  <c r="Q33" i="24"/>
  <c r="H33" i="24" s="1"/>
  <c r="AJ33" i="24" s="1"/>
  <c r="U33" i="24"/>
  <c r="AI33" i="24"/>
  <c r="O33" i="24"/>
  <c r="G33" i="24" s="1"/>
  <c r="X33" i="19"/>
  <c r="AP34" i="24"/>
  <c r="N34" i="24"/>
  <c r="C34" i="25"/>
  <c r="AR34" i="25" s="1"/>
  <c r="N34" i="25"/>
  <c r="AO34" i="25"/>
  <c r="L33" i="25"/>
  <c r="E33" i="24"/>
  <c r="F28" i="25"/>
  <c r="P25" i="19" s="1"/>
  <c r="B34" i="24"/>
  <c r="V34" i="24" s="1"/>
  <c r="H32" i="25"/>
  <c r="I32" i="24"/>
  <c r="AA32" i="24" s="1"/>
  <c r="A35" i="24"/>
  <c r="A35" i="25"/>
  <c r="B34" i="25"/>
  <c r="AN34" i="25" s="1"/>
  <c r="C34" i="24"/>
  <c r="H33" i="19"/>
  <c r="T33" i="19"/>
  <c r="X35" i="25"/>
  <c r="AR34" i="24"/>
  <c r="AR35" i="24"/>
  <c r="P35" i="25"/>
  <c r="S35" i="24"/>
  <c r="AS35" i="25"/>
  <c r="P34" i="25"/>
  <c r="AC35" i="25"/>
  <c r="Y35" i="25"/>
  <c r="AA35" i="25"/>
  <c r="AE35" i="24"/>
  <c r="AE35" i="25"/>
  <c r="R35" i="24"/>
  <c r="AE34" i="24"/>
  <c r="AB34" i="25"/>
  <c r="Y34" i="25"/>
  <c r="AC34" i="25"/>
  <c r="AD34" i="24"/>
  <c r="Q35" i="25"/>
  <c r="AF34" i="24"/>
  <c r="AC34" i="24"/>
  <c r="R34" i="24"/>
  <c r="AD35" i="24"/>
  <c r="AS34" i="25"/>
  <c r="AB35" i="25"/>
  <c r="AQ35" i="25"/>
  <c r="AB34" i="24"/>
  <c r="AG35" i="24"/>
  <c r="AF35" i="24"/>
  <c r="T35" i="24"/>
  <c r="AF35" i="25"/>
  <c r="AB35" i="24"/>
  <c r="T34" i="24"/>
  <c r="AA34" i="25"/>
  <c r="AC35" i="24"/>
  <c r="Q34" i="25"/>
  <c r="AD35" i="25"/>
  <c r="AH35" i="24"/>
  <c r="AY35" i="8" l="1"/>
  <c r="AR35" i="7"/>
  <c r="AP35" i="5"/>
  <c r="AQ35" i="6"/>
  <c r="AY35" i="12"/>
  <c r="AW35" i="11"/>
  <c r="AO35" i="13"/>
  <c r="E34" i="25"/>
  <c r="V31" i="25"/>
  <c r="AS35" i="6"/>
  <c r="AR35" i="5"/>
  <c r="AT35" i="7"/>
  <c r="BA35" i="8"/>
  <c r="BA35" i="12"/>
  <c r="AY35" i="11"/>
  <c r="AQ35" i="13"/>
  <c r="AP35" i="13"/>
  <c r="AZ35" i="12"/>
  <c r="AX35" i="11"/>
  <c r="AZ35" i="8"/>
  <c r="AR35" i="6"/>
  <c r="AQ35" i="5"/>
  <c r="AS35" i="7"/>
  <c r="M33" i="19"/>
  <c r="I33" i="19"/>
  <c r="N33" i="19"/>
  <c r="J33" i="19"/>
  <c r="K33" i="19"/>
  <c r="O33" i="19"/>
  <c r="AM34" i="25"/>
  <c r="AO35" i="24"/>
  <c r="AG32" i="25"/>
  <c r="J32" i="25" s="1"/>
  <c r="V32" i="25" s="1"/>
  <c r="AN34" i="24"/>
  <c r="AL34" i="25"/>
  <c r="W34" i="24"/>
  <c r="AK32" i="24"/>
  <c r="AM34" i="24"/>
  <c r="O34" i="24"/>
  <c r="G34" i="24" s="1"/>
  <c r="AP34" i="25"/>
  <c r="K34" i="25" s="1"/>
  <c r="O34" i="25"/>
  <c r="G34" i="25" s="1"/>
  <c r="R34" i="25"/>
  <c r="AJ34" i="25"/>
  <c r="AI34" i="25"/>
  <c r="AK34" i="25"/>
  <c r="AH34" i="25"/>
  <c r="S34" i="25"/>
  <c r="L34" i="25"/>
  <c r="AQ34" i="24"/>
  <c r="L34" i="24" s="1"/>
  <c r="Q34" i="24"/>
  <c r="H34" i="24" s="1"/>
  <c r="AJ34" i="24" s="1"/>
  <c r="U34" i="24"/>
  <c r="AI34" i="24"/>
  <c r="X34" i="19"/>
  <c r="N35" i="24"/>
  <c r="AP35" i="24"/>
  <c r="N35" i="25"/>
  <c r="C35" i="25"/>
  <c r="AK35" i="25" s="1"/>
  <c r="AO35" i="25"/>
  <c r="D28" i="25"/>
  <c r="E34" i="24"/>
  <c r="H33" i="25"/>
  <c r="B35" i="24"/>
  <c r="V35" i="24" s="1"/>
  <c r="I33" i="24"/>
  <c r="A36" i="24"/>
  <c r="A36" i="25"/>
  <c r="B35" i="25"/>
  <c r="S35" i="25" s="1"/>
  <c r="C35" i="24"/>
  <c r="H34" i="19"/>
  <c r="T34" i="19"/>
  <c r="AH36" i="24"/>
  <c r="AQ36" i="25"/>
  <c r="AE36" i="25"/>
  <c r="Z35" i="25"/>
  <c r="AA36" i="25"/>
  <c r="AB36" i="25"/>
  <c r="R36" i="24"/>
  <c r="AF36" i="25"/>
  <c r="AG36" i="24"/>
  <c r="AD36" i="25"/>
  <c r="AC36" i="24"/>
  <c r="E35" i="25" l="1"/>
  <c r="AY36" i="12"/>
  <c r="AO36" i="13"/>
  <c r="AW36" i="11"/>
  <c r="AY36" i="8"/>
  <c r="AR36" i="7"/>
  <c r="AP36" i="5"/>
  <c r="AQ36" i="6"/>
  <c r="AY36" i="11"/>
  <c r="BA36" i="12"/>
  <c r="AQ36" i="13"/>
  <c r="BA36" i="8"/>
  <c r="AR36" i="5"/>
  <c r="AS36" i="6"/>
  <c r="AT36" i="7"/>
  <c r="AX36" i="11"/>
  <c r="AP36" i="13"/>
  <c r="AZ36" i="12"/>
  <c r="AS36" i="7"/>
  <c r="AZ36" i="8"/>
  <c r="AR36" i="6"/>
  <c r="AQ36" i="5"/>
  <c r="M34" i="19"/>
  <c r="I34" i="19"/>
  <c r="O34" i="19"/>
  <c r="N34" i="19"/>
  <c r="K34" i="19"/>
  <c r="J34" i="19"/>
  <c r="AM35" i="25"/>
  <c r="AN35" i="25"/>
  <c r="AO36" i="24"/>
  <c r="W32" i="25"/>
  <c r="AG33" i="25"/>
  <c r="J33" i="25" s="1"/>
  <c r="V33" i="25" s="1"/>
  <c r="W35" i="24"/>
  <c r="AN35" i="24"/>
  <c r="AL35" i="25"/>
  <c r="AA33" i="24"/>
  <c r="AM35" i="24"/>
  <c r="AJ35" i="25"/>
  <c r="R35" i="25"/>
  <c r="AP35" i="25"/>
  <c r="K35" i="25" s="1"/>
  <c r="AR35" i="25"/>
  <c r="L35" i="25" s="1"/>
  <c r="O35" i="25"/>
  <c r="G35" i="25" s="1"/>
  <c r="AI35" i="25"/>
  <c r="AH35" i="25"/>
  <c r="U35" i="24"/>
  <c r="AQ35" i="24"/>
  <c r="L35" i="24" s="1"/>
  <c r="O35" i="24"/>
  <c r="G35" i="24" s="1"/>
  <c r="Q35" i="24"/>
  <c r="H35" i="24" s="1"/>
  <c r="AJ35" i="24" s="1"/>
  <c r="AI35" i="24"/>
  <c r="AK33" i="24"/>
  <c r="X35" i="19"/>
  <c r="AP36" i="24"/>
  <c r="N36" i="24"/>
  <c r="N36" i="25"/>
  <c r="C36" i="25"/>
  <c r="AR36" i="25" s="1"/>
  <c r="AO36" i="25"/>
  <c r="E35" i="24"/>
  <c r="F30" i="25"/>
  <c r="P27" i="19" s="1"/>
  <c r="H34" i="25"/>
  <c r="I34" i="24"/>
  <c r="B36" i="24"/>
  <c r="AN36" i="24" s="1"/>
  <c r="A37" i="24"/>
  <c r="A37" i="25"/>
  <c r="B36" i="25"/>
  <c r="AN36" i="25" s="1"/>
  <c r="C36" i="24"/>
  <c r="U36" i="24" s="1"/>
  <c r="H35" i="19"/>
  <c r="T35" i="19"/>
  <c r="Q36" i="25"/>
  <c r="T37" i="24"/>
  <c r="Y36" i="25"/>
  <c r="AH37" i="24"/>
  <c r="AR36" i="24"/>
  <c r="P36" i="25"/>
  <c r="AE37" i="25"/>
  <c r="AC37" i="24"/>
  <c r="AQ37" i="25"/>
  <c r="AE36" i="24"/>
  <c r="AE37" i="24"/>
  <c r="AF37" i="25"/>
  <c r="AS36" i="25"/>
  <c r="S37" i="24"/>
  <c r="Z36" i="25"/>
  <c r="Z37" i="25"/>
  <c r="AD37" i="24"/>
  <c r="X36" i="25"/>
  <c r="R37" i="24"/>
  <c r="AG37" i="24"/>
  <c r="AF36" i="24"/>
  <c r="AB36" i="24"/>
  <c r="P37" i="25"/>
  <c r="AB37" i="25"/>
  <c r="AF37" i="24"/>
  <c r="S36" i="24"/>
  <c r="AD37" i="25"/>
  <c r="AB37" i="24"/>
  <c r="AC36" i="25"/>
  <c r="AR37" i="24"/>
  <c r="Q37" i="25"/>
  <c r="Y37" i="25"/>
  <c r="AD36" i="24"/>
  <c r="T36" i="24"/>
  <c r="AO37" i="13" l="1"/>
  <c r="AY37" i="12"/>
  <c r="AW37" i="11"/>
  <c r="AY37" i="8"/>
  <c r="AR37" i="7"/>
  <c r="AP37" i="5"/>
  <c r="AQ37" i="6"/>
  <c r="E36" i="25"/>
  <c r="BA37" i="8"/>
  <c r="AT37" i="7"/>
  <c r="AR37" i="5"/>
  <c r="AS37" i="6"/>
  <c r="AQ37" i="13"/>
  <c r="BA37" i="12"/>
  <c r="AY37" i="11"/>
  <c r="AP37" i="13"/>
  <c r="AZ37" i="12"/>
  <c r="AX37" i="11"/>
  <c r="AQ37" i="5"/>
  <c r="AS37" i="7"/>
  <c r="AZ37" i="8"/>
  <c r="AR37" i="6"/>
  <c r="K35" i="19"/>
  <c r="O35" i="19"/>
  <c r="N35" i="19"/>
  <c r="J35" i="19"/>
  <c r="I35" i="19"/>
  <c r="M35" i="19"/>
  <c r="AM36" i="25"/>
  <c r="AO37" i="24"/>
  <c r="W33" i="25"/>
  <c r="AG34" i="25"/>
  <c r="J34" i="25" s="1"/>
  <c r="V34" i="25" s="1"/>
  <c r="AL36" i="25"/>
  <c r="W36" i="24"/>
  <c r="AK34" i="24"/>
  <c r="AA34" i="24"/>
  <c r="AM36" i="24"/>
  <c r="AP36" i="25"/>
  <c r="K36" i="25" s="1"/>
  <c r="O36" i="25"/>
  <c r="G36" i="25" s="1"/>
  <c r="O36" i="24"/>
  <c r="G36" i="24" s="1"/>
  <c r="AK36" i="25"/>
  <c r="AH36" i="25"/>
  <c r="S36" i="25"/>
  <c r="R36" i="25"/>
  <c r="L36" i="25"/>
  <c r="AQ36" i="24"/>
  <c r="L36" i="24" s="1"/>
  <c r="AI36" i="25"/>
  <c r="AJ36" i="25"/>
  <c r="AI36" i="24"/>
  <c r="V36" i="24"/>
  <c r="Q36" i="24"/>
  <c r="H36" i="24" s="1"/>
  <c r="AJ36" i="24" s="1"/>
  <c r="X36" i="19"/>
  <c r="AP37" i="24"/>
  <c r="N37" i="24"/>
  <c r="AO37" i="25"/>
  <c r="C37" i="25"/>
  <c r="AH37" i="25" s="1"/>
  <c r="N37" i="25"/>
  <c r="D30" i="25"/>
  <c r="E36" i="24"/>
  <c r="H35" i="25"/>
  <c r="B37" i="24"/>
  <c r="V37" i="24" s="1"/>
  <c r="I35" i="24"/>
  <c r="AA35" i="24" s="1"/>
  <c r="B37" i="25"/>
  <c r="S37" i="25" s="1"/>
  <c r="A38" i="24"/>
  <c r="A38" i="25"/>
  <c r="C37" i="24"/>
  <c r="AI37" i="24" s="1"/>
  <c r="H36" i="19"/>
  <c r="T36" i="19"/>
  <c r="S38" i="24"/>
  <c r="AG38" i="24"/>
  <c r="AA37" i="25"/>
  <c r="AC37" i="25"/>
  <c r="T38" i="24"/>
  <c r="AA38" i="25"/>
  <c r="X38" i="25"/>
  <c r="AS37" i="25"/>
  <c r="X37" i="25"/>
  <c r="AD38" i="25"/>
  <c r="Q38" i="25"/>
  <c r="AE38" i="25"/>
  <c r="AR38" i="24"/>
  <c r="AH38" i="24"/>
  <c r="AQ38" i="25"/>
  <c r="AF38" i="25"/>
  <c r="AW38" i="11" l="1"/>
  <c r="AO38" i="13"/>
  <c r="AY38" i="12"/>
  <c r="AY38" i="8"/>
  <c r="AR38" i="7"/>
  <c r="AP38" i="5"/>
  <c r="AQ38" i="6"/>
  <c r="E37" i="25"/>
  <c r="BA38" i="12"/>
  <c r="AQ38" i="13"/>
  <c r="AY38" i="11"/>
  <c r="BA38" i="8"/>
  <c r="AT38" i="7"/>
  <c r="AS38" i="6"/>
  <c r="AR38" i="5"/>
  <c r="AP38" i="13"/>
  <c r="AZ38" i="12"/>
  <c r="AX38" i="11"/>
  <c r="AZ38" i="8"/>
  <c r="AR38" i="6"/>
  <c r="AQ38" i="5"/>
  <c r="AS38" i="7"/>
  <c r="N36" i="19"/>
  <c r="O36" i="19"/>
  <c r="K36" i="19"/>
  <c r="J36" i="19"/>
  <c r="I36" i="19"/>
  <c r="M36" i="19"/>
  <c r="AM37" i="25"/>
  <c r="AN37" i="25"/>
  <c r="AO38" i="24"/>
  <c r="W34" i="25"/>
  <c r="AG35" i="25"/>
  <c r="J35" i="25" s="1"/>
  <c r="V35" i="25" s="1"/>
  <c r="AN37" i="24"/>
  <c r="W37" i="24"/>
  <c r="AL37" i="25"/>
  <c r="AK35" i="24"/>
  <c r="O37" i="25"/>
  <c r="G37" i="25" s="1"/>
  <c r="AJ37" i="25"/>
  <c r="AM37" i="24"/>
  <c r="AP37" i="25"/>
  <c r="K37" i="25" s="1"/>
  <c r="AK37" i="25"/>
  <c r="AI37" i="25"/>
  <c r="AR37" i="25"/>
  <c r="L37" i="25" s="1"/>
  <c r="AQ37" i="24"/>
  <c r="L37" i="24" s="1"/>
  <c r="R37" i="25"/>
  <c r="Q37" i="24"/>
  <c r="H37" i="24" s="1"/>
  <c r="AJ37" i="24" s="1"/>
  <c r="O37" i="24"/>
  <c r="G37" i="24" s="1"/>
  <c r="U37" i="24"/>
  <c r="X37" i="19"/>
  <c r="N38" i="24"/>
  <c r="AP38" i="24"/>
  <c r="N38" i="25"/>
  <c r="C38" i="25"/>
  <c r="AO38" i="25"/>
  <c r="E37" i="24"/>
  <c r="I36" i="24"/>
  <c r="H36" i="25"/>
  <c r="B38" i="24"/>
  <c r="AN38" i="24" s="1"/>
  <c r="A39" i="24"/>
  <c r="A39" i="25"/>
  <c r="B38" i="25"/>
  <c r="AM38" i="25" s="1"/>
  <c r="C38" i="24"/>
  <c r="H37" i="19"/>
  <c r="T37" i="19"/>
  <c r="AS38" i="25"/>
  <c r="AB39" i="24"/>
  <c r="AF38" i="24"/>
  <c r="R38" i="24"/>
  <c r="AC39" i="24"/>
  <c r="AQ39" i="25"/>
  <c r="AD38" i="24"/>
  <c r="Y38" i="25"/>
  <c r="AC38" i="24"/>
  <c r="P38" i="25"/>
  <c r="S39" i="24"/>
  <c r="AC38" i="25"/>
  <c r="Q39" i="25"/>
  <c r="T39" i="24"/>
  <c r="AH39" i="24"/>
  <c r="AG39" i="24"/>
  <c r="AB38" i="24"/>
  <c r="AF39" i="25"/>
  <c r="AB38" i="25"/>
  <c r="Z38" i="25"/>
  <c r="P39" i="25"/>
  <c r="AD39" i="25"/>
  <c r="AE39" i="25"/>
  <c r="AF39" i="24"/>
  <c r="Y39" i="25"/>
  <c r="AR39" i="24"/>
  <c r="AE38" i="24"/>
  <c r="AW39" i="11" l="1"/>
  <c r="AO39" i="13"/>
  <c r="AY39" i="12"/>
  <c r="AY39" i="8"/>
  <c r="AQ39" i="6"/>
  <c r="AP39" i="5"/>
  <c r="AR39" i="7"/>
  <c r="E38" i="25"/>
  <c r="BA39" i="12"/>
  <c r="AY39" i="11"/>
  <c r="AQ39" i="13"/>
  <c r="AS39" i="6"/>
  <c r="BA39" i="8"/>
  <c r="AR39" i="5"/>
  <c r="AT39" i="7"/>
  <c r="AP39" i="13"/>
  <c r="AZ39" i="12"/>
  <c r="AX39" i="11"/>
  <c r="AZ39" i="8"/>
  <c r="AQ39" i="5"/>
  <c r="AS39" i="7"/>
  <c r="AR39" i="6"/>
  <c r="J37" i="19"/>
  <c r="O37" i="19"/>
  <c r="K37" i="19"/>
  <c r="N37" i="19"/>
  <c r="I37" i="19"/>
  <c r="M37" i="19"/>
  <c r="AN38" i="25"/>
  <c r="AO39" i="24"/>
  <c r="W35" i="25"/>
  <c r="AG36" i="25"/>
  <c r="J36" i="25" s="1"/>
  <c r="W36" i="25" s="1"/>
  <c r="AL38" i="25"/>
  <c r="W38" i="24"/>
  <c r="AK36" i="24"/>
  <c r="AA36" i="24"/>
  <c r="AM38" i="24"/>
  <c r="O38" i="25"/>
  <c r="G38" i="25" s="1"/>
  <c r="AP38" i="25"/>
  <c r="K38" i="25" s="1"/>
  <c r="AK38" i="25"/>
  <c r="R38" i="25"/>
  <c r="AH38" i="25"/>
  <c r="AJ38" i="25"/>
  <c r="AI38" i="25"/>
  <c r="AQ38" i="24"/>
  <c r="L38" i="24" s="1"/>
  <c r="S38" i="25"/>
  <c r="O38" i="24"/>
  <c r="G38" i="24" s="1"/>
  <c r="AR38" i="25"/>
  <c r="L38" i="25" s="1"/>
  <c r="AI38" i="24"/>
  <c r="U38" i="24"/>
  <c r="Q38" i="24"/>
  <c r="H38" i="24" s="1"/>
  <c r="AJ38" i="24" s="1"/>
  <c r="V38" i="24"/>
  <c r="X38" i="19"/>
  <c r="AP39" i="24"/>
  <c r="N39" i="24"/>
  <c r="C39" i="25"/>
  <c r="AO39" i="25"/>
  <c r="N39" i="25"/>
  <c r="E38" i="24"/>
  <c r="I37" i="24"/>
  <c r="H37" i="25"/>
  <c r="A40" i="24"/>
  <c r="A40" i="25"/>
  <c r="B39" i="24"/>
  <c r="V39" i="24" s="1"/>
  <c r="B39" i="25"/>
  <c r="AN39" i="25" s="1"/>
  <c r="C39" i="24"/>
  <c r="AM39" i="24" s="1"/>
  <c r="H38" i="19"/>
  <c r="T38" i="19"/>
  <c r="AG40" i="24"/>
  <c r="AE40" i="25"/>
  <c r="AB40" i="25"/>
  <c r="Z39" i="25"/>
  <c r="AC39" i="25"/>
  <c r="AQ40" i="25"/>
  <c r="AH40" i="24"/>
  <c r="AA40" i="25"/>
  <c r="AS40" i="25"/>
  <c r="R40" i="24"/>
  <c r="R39" i="24"/>
  <c r="AS39" i="25"/>
  <c r="AC40" i="25"/>
  <c r="X40" i="25"/>
  <c r="X39" i="25"/>
  <c r="Z40" i="25"/>
  <c r="AD40" i="25"/>
  <c r="P40" i="25"/>
  <c r="AE40" i="24"/>
  <c r="AD39" i="24"/>
  <c r="T40" i="24"/>
  <c r="AA39" i="25"/>
  <c r="AE39" i="24"/>
  <c r="AB39" i="25"/>
  <c r="AF40" i="25"/>
  <c r="Q40" i="25"/>
  <c r="AW40" i="11" l="1"/>
  <c r="AO40" i="13"/>
  <c r="AY40" i="12"/>
  <c r="AQ40" i="6"/>
  <c r="AR40" i="7"/>
  <c r="AP40" i="5"/>
  <c r="AY40" i="8"/>
  <c r="E39" i="25"/>
  <c r="V36" i="25"/>
  <c r="AY40" i="11"/>
  <c r="AQ40" i="13"/>
  <c r="BA40" i="12"/>
  <c r="BA40" i="8"/>
  <c r="AS40" i="6"/>
  <c r="AT40" i="7"/>
  <c r="AR40" i="5"/>
  <c r="AX40" i="11"/>
  <c r="AZ40" i="12"/>
  <c r="AP40" i="13"/>
  <c r="AR40" i="6"/>
  <c r="AS40" i="7"/>
  <c r="AQ40" i="5"/>
  <c r="AZ40" i="8"/>
  <c r="J38" i="19"/>
  <c r="O38" i="19"/>
  <c r="K38" i="19"/>
  <c r="N38" i="19"/>
  <c r="M38" i="19"/>
  <c r="I38" i="19"/>
  <c r="AM39" i="25"/>
  <c r="AO40" i="24"/>
  <c r="AG37" i="25"/>
  <c r="J37" i="25" s="1"/>
  <c r="V37" i="25" s="1"/>
  <c r="AL39" i="25"/>
  <c r="W39" i="24"/>
  <c r="AN39" i="24"/>
  <c r="AK37" i="24"/>
  <c r="AA37" i="24"/>
  <c r="AP39" i="25"/>
  <c r="K39" i="25" s="1"/>
  <c r="AJ39" i="25"/>
  <c r="AI39" i="25"/>
  <c r="AK39" i="25"/>
  <c r="Q39" i="24"/>
  <c r="H39" i="24" s="1"/>
  <c r="AJ39" i="24" s="1"/>
  <c r="O39" i="25"/>
  <c r="G39" i="25" s="1"/>
  <c r="R39" i="25"/>
  <c r="AR39" i="25"/>
  <c r="L39" i="25" s="1"/>
  <c r="AH39" i="25"/>
  <c r="O39" i="24"/>
  <c r="G39" i="24" s="1"/>
  <c r="AQ39" i="24"/>
  <c r="L39" i="24" s="1"/>
  <c r="S39" i="25"/>
  <c r="U39" i="24"/>
  <c r="AI39" i="24"/>
  <c r="X39" i="19"/>
  <c r="AP40" i="24"/>
  <c r="N40" i="24"/>
  <c r="AO40" i="25"/>
  <c r="N40" i="25"/>
  <c r="C40" i="25"/>
  <c r="E39" i="24"/>
  <c r="H38" i="25"/>
  <c r="B40" i="24"/>
  <c r="AN40" i="24" s="1"/>
  <c r="I38" i="24"/>
  <c r="AA38" i="24" s="1"/>
  <c r="B40" i="25"/>
  <c r="AN40" i="25" s="1"/>
  <c r="A41" i="24"/>
  <c r="A41" i="25"/>
  <c r="C40" i="24"/>
  <c r="U40" i="24" s="1"/>
  <c r="H39" i="19"/>
  <c r="T39" i="19"/>
  <c r="AD41" i="25"/>
  <c r="AH41" i="24"/>
  <c r="X41" i="25"/>
  <c r="Y40" i="25"/>
  <c r="AR40" i="24"/>
  <c r="S40" i="24"/>
  <c r="Q41" i="25"/>
  <c r="Z41" i="25"/>
  <c r="P41" i="25"/>
  <c r="AS41" i="25"/>
  <c r="AD40" i="24"/>
  <c r="AF41" i="25"/>
  <c r="AF40" i="24"/>
  <c r="AA41" i="25"/>
  <c r="AB40" i="24"/>
  <c r="AC40" i="24"/>
  <c r="AG41" i="24"/>
  <c r="AB41" i="25"/>
  <c r="AQ41" i="25"/>
  <c r="AE41" i="25"/>
  <c r="Y41" i="25"/>
  <c r="AQ41" i="6" l="1"/>
  <c r="AP41" i="5"/>
  <c r="AR41" i="7"/>
  <c r="AY41" i="8"/>
  <c r="AW41" i="11"/>
  <c r="AO41" i="13"/>
  <c r="AY41" i="12"/>
  <c r="E40" i="25"/>
  <c r="AQ41" i="13"/>
  <c r="AY41" i="11"/>
  <c r="BA41" i="12"/>
  <c r="BA41" i="8"/>
  <c r="AT41" i="7"/>
  <c r="AS41" i="6"/>
  <c r="AR41" i="5"/>
  <c r="AX41" i="11"/>
  <c r="AP41" i="13"/>
  <c r="AZ41" i="12"/>
  <c r="AQ41" i="5"/>
  <c r="AR41" i="6"/>
  <c r="AZ41" i="8"/>
  <c r="AS41" i="7"/>
  <c r="K39" i="19"/>
  <c r="J39" i="19"/>
  <c r="O39" i="19"/>
  <c r="N39" i="19"/>
  <c r="M39" i="19"/>
  <c r="I39" i="19"/>
  <c r="AM40" i="25"/>
  <c r="AO41" i="24"/>
  <c r="W37" i="25"/>
  <c r="AG38" i="25"/>
  <c r="J38" i="25" s="1"/>
  <c r="V38" i="25" s="1"/>
  <c r="AL40" i="25"/>
  <c r="W40" i="24"/>
  <c r="AK38" i="24"/>
  <c r="AM40" i="24"/>
  <c r="AR40" i="25"/>
  <c r="L40" i="25" s="1"/>
  <c r="AP40" i="25"/>
  <c r="K40" i="25" s="1"/>
  <c r="O40" i="25"/>
  <c r="G40" i="25" s="1"/>
  <c r="AQ40" i="24"/>
  <c r="L40" i="24" s="1"/>
  <c r="AI40" i="25"/>
  <c r="AH40" i="25"/>
  <c r="S40" i="25"/>
  <c r="R40" i="25"/>
  <c r="AK40" i="25"/>
  <c r="AJ40" i="25"/>
  <c r="Q40" i="24"/>
  <c r="H40" i="24" s="1"/>
  <c r="AJ40" i="24" s="1"/>
  <c r="V40" i="24"/>
  <c r="AI40" i="24"/>
  <c r="O40" i="24"/>
  <c r="G40" i="24" s="1"/>
  <c r="X40" i="19"/>
  <c r="AP41" i="24"/>
  <c r="N41" i="24"/>
  <c r="C41" i="25"/>
  <c r="AO41" i="25"/>
  <c r="N41" i="25"/>
  <c r="E40" i="24"/>
  <c r="B41" i="24"/>
  <c r="AN41" i="24" s="1"/>
  <c r="H39" i="25"/>
  <c r="I39" i="24"/>
  <c r="AA39" i="24" s="1"/>
  <c r="A42" i="24"/>
  <c r="A42" i="25"/>
  <c r="B41" i="25"/>
  <c r="S41" i="25" s="1"/>
  <c r="C41" i="24"/>
  <c r="Q41" i="24" s="1"/>
  <c r="H40" i="19"/>
  <c r="T40" i="19"/>
  <c r="AH42" i="24"/>
  <c r="AF42" i="25"/>
  <c r="AD41" i="24"/>
  <c r="X42" i="25"/>
  <c r="AC41" i="25"/>
  <c r="R41" i="24"/>
  <c r="AR42" i="24"/>
  <c r="AD42" i="25"/>
  <c r="AE41" i="24"/>
  <c r="AQ42" i="25"/>
  <c r="Y42" i="25"/>
  <c r="S41" i="24"/>
  <c r="AB42" i="25"/>
  <c r="AF41" i="24"/>
  <c r="T42" i="24"/>
  <c r="AG42" i="24"/>
  <c r="AE42" i="25"/>
  <c r="AF42" i="24"/>
  <c r="P42" i="25"/>
  <c r="AB41" i="24"/>
  <c r="AC42" i="24"/>
  <c r="AS42" i="25"/>
  <c r="R42" i="24"/>
  <c r="AC41" i="24"/>
  <c r="AR41" i="24"/>
  <c r="AA42" i="25"/>
  <c r="AC42" i="25"/>
  <c r="AD42" i="24"/>
  <c r="AE42" i="24"/>
  <c r="T41" i="24"/>
  <c r="AQ42" i="6" l="1"/>
  <c r="AY42" i="8"/>
  <c r="AR42" i="7"/>
  <c r="AP42" i="5"/>
  <c r="AY42" i="12"/>
  <c r="AW42" i="11"/>
  <c r="AO42" i="13"/>
  <c r="E41" i="25"/>
  <c r="AR42" i="5"/>
  <c r="AT42" i="7"/>
  <c r="BA42" i="8"/>
  <c r="AS42" i="6"/>
  <c r="BA42" i="12"/>
  <c r="AQ42" i="13"/>
  <c r="AY42" i="11"/>
  <c r="AP42" i="13"/>
  <c r="AZ42" i="12"/>
  <c r="AX42" i="11"/>
  <c r="AS42" i="7"/>
  <c r="AQ42" i="5"/>
  <c r="AZ42" i="8"/>
  <c r="AR42" i="6"/>
  <c r="N40" i="19"/>
  <c r="K40" i="19"/>
  <c r="J40" i="19"/>
  <c r="O40" i="19"/>
  <c r="M40" i="19"/>
  <c r="I40" i="19"/>
  <c r="AM41" i="25"/>
  <c r="AN41" i="25"/>
  <c r="AO42" i="24"/>
  <c r="W38" i="25"/>
  <c r="AG39" i="25"/>
  <c r="J39" i="25" s="1"/>
  <c r="W39" i="25" s="1"/>
  <c r="AL41" i="25"/>
  <c r="W41" i="24"/>
  <c r="AK39" i="24"/>
  <c r="AM41" i="24"/>
  <c r="O41" i="25"/>
  <c r="G41" i="25" s="1"/>
  <c r="AP41" i="25"/>
  <c r="K41" i="25" s="1"/>
  <c r="AK41" i="25"/>
  <c r="AI41" i="25"/>
  <c r="R41" i="25"/>
  <c r="O41" i="24"/>
  <c r="G41" i="24" s="1"/>
  <c r="AQ41" i="24"/>
  <c r="L41" i="24" s="1"/>
  <c r="AH41" i="25"/>
  <c r="AR41" i="25"/>
  <c r="L41" i="25" s="1"/>
  <c r="AJ41" i="25"/>
  <c r="U41" i="24"/>
  <c r="AI41" i="24"/>
  <c r="V41" i="24"/>
  <c r="X41" i="19"/>
  <c r="AP42" i="24"/>
  <c r="N42" i="24"/>
  <c r="C42" i="25"/>
  <c r="N42" i="25"/>
  <c r="E42" i="25" s="1"/>
  <c r="AO42" i="25"/>
  <c r="E41" i="24"/>
  <c r="I40" i="24"/>
  <c r="H41" i="24"/>
  <c r="AJ41" i="24" s="1"/>
  <c r="H40" i="25"/>
  <c r="B42" i="24"/>
  <c r="AN42" i="24" s="1"/>
  <c r="B42" i="25"/>
  <c r="AN42" i="25" s="1"/>
  <c r="A43" i="24"/>
  <c r="A43" i="25"/>
  <c r="C42" i="24"/>
  <c r="H41" i="19"/>
  <c r="T41" i="19"/>
  <c r="AH43" i="24"/>
  <c r="AD43" i="24"/>
  <c r="AF43" i="25"/>
  <c r="AE43" i="24"/>
  <c r="AG43" i="24"/>
  <c r="AE43" i="25"/>
  <c r="AQ43" i="25"/>
  <c r="AB42" i="24"/>
  <c r="AB43" i="24"/>
  <c r="AA43" i="25"/>
  <c r="Z42" i="25"/>
  <c r="AD43" i="25"/>
  <c r="S42" i="24"/>
  <c r="Q42" i="25"/>
  <c r="AY43" i="8" l="1"/>
  <c r="AR43" i="7"/>
  <c r="AP43" i="5"/>
  <c r="AQ43" i="6"/>
  <c r="AY43" i="12"/>
  <c r="AO43" i="13"/>
  <c r="AW43" i="11"/>
  <c r="V39" i="25"/>
  <c r="BA43" i="8"/>
  <c r="AR43" i="5"/>
  <c r="AS43" i="6"/>
  <c r="AT43" i="7"/>
  <c r="BA43" i="12"/>
  <c r="AY43" i="11"/>
  <c r="AQ43" i="13"/>
  <c r="AP43" i="13"/>
  <c r="AZ43" i="12"/>
  <c r="AX43" i="11"/>
  <c r="AZ43" i="8"/>
  <c r="AR43" i="6"/>
  <c r="AQ43" i="5"/>
  <c r="AS43" i="7"/>
  <c r="J41" i="19"/>
  <c r="N41" i="19"/>
  <c r="K41" i="19"/>
  <c r="O41" i="19"/>
  <c r="M41" i="19"/>
  <c r="I41" i="19"/>
  <c r="AM42" i="25"/>
  <c r="AO43" i="24"/>
  <c r="AG40" i="25"/>
  <c r="J40" i="25" s="1"/>
  <c r="W40" i="25" s="1"/>
  <c r="W42" i="24"/>
  <c r="AL42" i="25"/>
  <c r="AK40" i="24"/>
  <c r="AA40" i="24"/>
  <c r="AH42" i="25"/>
  <c r="AM42" i="24"/>
  <c r="AP42" i="25"/>
  <c r="K42" i="25" s="1"/>
  <c r="AK42" i="25"/>
  <c r="R42" i="25"/>
  <c r="AJ42" i="25"/>
  <c r="AR42" i="25"/>
  <c r="L42" i="25" s="1"/>
  <c r="O42" i="24"/>
  <c r="G42" i="24" s="1"/>
  <c r="O42" i="25"/>
  <c r="G42" i="25" s="1"/>
  <c r="AI42" i="25"/>
  <c r="S42" i="25"/>
  <c r="AQ42" i="24"/>
  <c r="L42" i="24" s="1"/>
  <c r="AI42" i="24"/>
  <c r="V42" i="24"/>
  <c r="Q42" i="24"/>
  <c r="H42" i="24" s="1"/>
  <c r="AJ42" i="24" s="1"/>
  <c r="AN43" i="24"/>
  <c r="U42" i="24"/>
  <c r="X42" i="19"/>
  <c r="AP43" i="24"/>
  <c r="N43" i="24"/>
  <c r="C43" i="25"/>
  <c r="AR43" i="25" s="1"/>
  <c r="AO43" i="25"/>
  <c r="N43" i="25"/>
  <c r="E42" i="24"/>
  <c r="I41" i="24"/>
  <c r="AA41" i="24" s="1"/>
  <c r="H41" i="25"/>
  <c r="B43" i="24"/>
  <c r="B43" i="25"/>
  <c r="AN43" i="25" s="1"/>
  <c r="A44" i="24"/>
  <c r="A44" i="25"/>
  <c r="C43" i="24"/>
  <c r="Q43" i="24" s="1"/>
  <c r="H42" i="19"/>
  <c r="T42" i="19"/>
  <c r="AC43" i="25"/>
  <c r="P43" i="25"/>
  <c r="AD44" i="25"/>
  <c r="AF43" i="24"/>
  <c r="AH44" i="24"/>
  <c r="Y43" i="25"/>
  <c r="T43" i="24"/>
  <c r="AS44" i="25"/>
  <c r="AQ44" i="25"/>
  <c r="X43" i="25"/>
  <c r="AR43" i="24"/>
  <c r="AG44" i="24"/>
  <c r="Q43" i="25"/>
  <c r="AF44" i="25"/>
  <c r="AB43" i="25"/>
  <c r="R43" i="24"/>
  <c r="AB44" i="24"/>
  <c r="Z43" i="25"/>
  <c r="P44" i="25"/>
  <c r="AE44" i="25"/>
  <c r="S43" i="24"/>
  <c r="AF44" i="24"/>
  <c r="AC43" i="24"/>
  <c r="AS43" i="25"/>
  <c r="AY44" i="8" l="1"/>
  <c r="AR44" i="7"/>
  <c r="AP44" i="5"/>
  <c r="AQ44" i="6"/>
  <c r="AY44" i="12"/>
  <c r="AO44" i="13"/>
  <c r="AW44" i="11"/>
  <c r="E43" i="25"/>
  <c r="V40" i="25"/>
  <c r="AY44" i="11"/>
  <c r="AQ44" i="13"/>
  <c r="BA44" i="12"/>
  <c r="BA44" i="8"/>
  <c r="AS44" i="6"/>
  <c r="AR44" i="5"/>
  <c r="AT44" i="7"/>
  <c r="AZ44" i="12"/>
  <c r="AX44" i="11"/>
  <c r="AP44" i="13"/>
  <c r="AS44" i="7"/>
  <c r="AZ44" i="8"/>
  <c r="AR44" i="6"/>
  <c r="AQ44" i="5"/>
  <c r="O42" i="19"/>
  <c r="N42" i="19"/>
  <c r="K42" i="19"/>
  <c r="J42" i="19"/>
  <c r="M42" i="19"/>
  <c r="I42" i="19"/>
  <c r="AM43" i="25"/>
  <c r="AO44" i="24"/>
  <c r="AG41" i="25"/>
  <c r="J41" i="25" s="1"/>
  <c r="V41" i="25" s="1"/>
  <c r="AL43" i="25"/>
  <c r="W43" i="24"/>
  <c r="AK41" i="24"/>
  <c r="AM43" i="24"/>
  <c r="AQ43" i="24"/>
  <c r="L43" i="24" s="1"/>
  <c r="O43" i="25"/>
  <c r="G43" i="25" s="1"/>
  <c r="AP43" i="25"/>
  <c r="K43" i="25" s="1"/>
  <c r="AK43" i="25"/>
  <c r="AH43" i="25"/>
  <c r="R43" i="25"/>
  <c r="S43" i="25"/>
  <c r="AJ43" i="25"/>
  <c r="AI43" i="25"/>
  <c r="O43" i="24"/>
  <c r="G43" i="24" s="1"/>
  <c r="L43" i="25"/>
  <c r="U43" i="24"/>
  <c r="V43" i="24"/>
  <c r="AI43" i="24"/>
  <c r="X43" i="19"/>
  <c r="AP44" i="24"/>
  <c r="N44" i="24"/>
  <c r="N44" i="25"/>
  <c r="AO44" i="25"/>
  <c r="C44" i="25"/>
  <c r="H42" i="25"/>
  <c r="E43" i="24"/>
  <c r="B44" i="24"/>
  <c r="AN44" i="24" s="1"/>
  <c r="I42" i="24"/>
  <c r="AA42" i="24" s="1"/>
  <c r="B44" i="25"/>
  <c r="AN44" i="25" s="1"/>
  <c r="A45" i="24"/>
  <c r="A45" i="25"/>
  <c r="H43" i="24"/>
  <c r="AJ43" i="24" s="1"/>
  <c r="C44" i="24"/>
  <c r="AI44" i="24" s="1"/>
  <c r="H43" i="19"/>
  <c r="T43" i="19"/>
  <c r="Z44" i="25"/>
  <c r="X44" i="25"/>
  <c r="S44" i="24"/>
  <c r="AH45" i="24"/>
  <c r="AR44" i="24"/>
  <c r="AF45" i="24"/>
  <c r="AC45" i="25"/>
  <c r="Q44" i="25"/>
  <c r="AC44" i="25"/>
  <c r="AA44" i="25"/>
  <c r="R44" i="24"/>
  <c r="AB44" i="25"/>
  <c r="AC44" i="24"/>
  <c r="Q45" i="25"/>
  <c r="T45" i="24"/>
  <c r="AD45" i="25"/>
  <c r="AE45" i="25"/>
  <c r="AG45" i="24"/>
  <c r="Y44" i="25"/>
  <c r="AE44" i="24"/>
  <c r="T44" i="24"/>
  <c r="AQ45" i="25"/>
  <c r="AD44" i="24"/>
  <c r="AF45" i="25"/>
  <c r="AD45" i="24"/>
  <c r="AY45" i="8" l="1"/>
  <c r="AR45" i="7"/>
  <c r="AP45" i="5"/>
  <c r="AQ45" i="6"/>
  <c r="AO45" i="13"/>
  <c r="AY45" i="12"/>
  <c r="AW45" i="11"/>
  <c r="E44" i="25"/>
  <c r="BA45" i="8"/>
  <c r="AT45" i="7"/>
  <c r="AR45" i="5"/>
  <c r="AS45" i="6"/>
  <c r="AQ45" i="13"/>
  <c r="AY45" i="11"/>
  <c r="BA45" i="12"/>
  <c r="AX45" i="11"/>
  <c r="AP45" i="13"/>
  <c r="AZ45" i="12"/>
  <c r="AQ45" i="5"/>
  <c r="AS45" i="7"/>
  <c r="AZ45" i="8"/>
  <c r="AR45" i="6"/>
  <c r="O43" i="19"/>
  <c r="K43" i="19"/>
  <c r="N43" i="19"/>
  <c r="J43" i="19"/>
  <c r="I43" i="19"/>
  <c r="M43" i="19"/>
  <c r="AM44" i="25"/>
  <c r="AO45" i="24"/>
  <c r="W41" i="25"/>
  <c r="AG42" i="25"/>
  <c r="J42" i="25" s="1"/>
  <c r="W42" i="25" s="1"/>
  <c r="AL44" i="25"/>
  <c r="W44" i="24"/>
  <c r="AK42" i="24"/>
  <c r="AM44" i="24"/>
  <c r="O44" i="24"/>
  <c r="G44" i="24" s="1"/>
  <c r="AQ44" i="24"/>
  <c r="L44" i="24" s="1"/>
  <c r="AP44" i="25"/>
  <c r="K44" i="25" s="1"/>
  <c r="O44" i="25"/>
  <c r="G44" i="25" s="1"/>
  <c r="AH44" i="25"/>
  <c r="AI44" i="25"/>
  <c r="AK44" i="25"/>
  <c r="AJ44" i="25"/>
  <c r="S44" i="25"/>
  <c r="AR44" i="25"/>
  <c r="L44" i="25" s="1"/>
  <c r="R44" i="25"/>
  <c r="Q44" i="24"/>
  <c r="H44" i="24" s="1"/>
  <c r="AJ44" i="24" s="1"/>
  <c r="V44" i="24"/>
  <c r="U44" i="24"/>
  <c r="X44" i="19"/>
  <c r="N45" i="24"/>
  <c r="AP45" i="24"/>
  <c r="C45" i="25"/>
  <c r="N45" i="25"/>
  <c r="AO45" i="25"/>
  <c r="E44" i="24"/>
  <c r="H43" i="25"/>
  <c r="B45" i="24"/>
  <c r="AN45" i="24" s="1"/>
  <c r="I43" i="24"/>
  <c r="A46" i="24"/>
  <c r="A46" i="25"/>
  <c r="B45" i="25"/>
  <c r="AM45" i="25" s="1"/>
  <c r="C45" i="24"/>
  <c r="Q45" i="24" s="1"/>
  <c r="H44" i="19"/>
  <c r="T44" i="19"/>
  <c r="AA46" i="25"/>
  <c r="X45" i="25"/>
  <c r="T46" i="24"/>
  <c r="S46" i="24"/>
  <c r="Y45" i="25"/>
  <c r="Y46" i="25"/>
  <c r="AD46" i="25"/>
  <c r="AE46" i="25"/>
  <c r="S45" i="24"/>
  <c r="R45" i="24"/>
  <c r="AR45" i="24"/>
  <c r="AS45" i="25"/>
  <c r="AA45" i="25"/>
  <c r="Q46" i="25"/>
  <c r="P45" i="25"/>
  <c r="AE45" i="24"/>
  <c r="X46" i="25"/>
  <c r="AG46" i="24"/>
  <c r="AB45" i="25"/>
  <c r="Z45" i="25"/>
  <c r="AS46" i="25"/>
  <c r="AC46" i="25"/>
  <c r="AB45" i="24"/>
  <c r="AC45" i="24"/>
  <c r="AF46" i="25"/>
  <c r="AH46" i="24"/>
  <c r="AQ46" i="25"/>
  <c r="AW46" i="11" l="1"/>
  <c r="AO46" i="13"/>
  <c r="AY46" i="12"/>
  <c r="AY46" i="8"/>
  <c r="AR46" i="7"/>
  <c r="AP46" i="5"/>
  <c r="AQ46" i="6"/>
  <c r="E45" i="25"/>
  <c r="V42" i="25"/>
  <c r="AT46" i="7"/>
  <c r="AR46" i="5"/>
  <c r="BA46" i="8"/>
  <c r="AS46" i="6"/>
  <c r="BA46" i="12"/>
  <c r="AQ46" i="13"/>
  <c r="AY46" i="11"/>
  <c r="AP46" i="13"/>
  <c r="AZ46" i="12"/>
  <c r="AX46" i="11"/>
  <c r="AZ46" i="8"/>
  <c r="AR46" i="6"/>
  <c r="AQ46" i="5"/>
  <c r="AS46" i="7"/>
  <c r="O44" i="19"/>
  <c r="N44" i="19"/>
  <c r="J44" i="19"/>
  <c r="K44" i="19"/>
  <c r="I44" i="19"/>
  <c r="M44" i="19"/>
  <c r="AN45" i="25"/>
  <c r="AO46" i="24"/>
  <c r="AG43" i="25"/>
  <c r="J43" i="25" s="1"/>
  <c r="W43" i="25" s="1"/>
  <c r="AL45" i="25"/>
  <c r="W45" i="24"/>
  <c r="AK43" i="24"/>
  <c r="AA43" i="24"/>
  <c r="AM45" i="24"/>
  <c r="O45" i="24"/>
  <c r="G45" i="24" s="1"/>
  <c r="AQ45" i="24"/>
  <c r="L45" i="24" s="1"/>
  <c r="AJ45" i="25"/>
  <c r="R45" i="25"/>
  <c r="AH45" i="25"/>
  <c r="AI45" i="25"/>
  <c r="S45" i="25"/>
  <c r="AP45" i="25"/>
  <c r="K45" i="25" s="1"/>
  <c r="O45" i="25"/>
  <c r="G45" i="25" s="1"/>
  <c r="AR45" i="25"/>
  <c r="L45" i="25" s="1"/>
  <c r="AK45" i="25"/>
  <c r="AI45" i="24"/>
  <c r="V45" i="24"/>
  <c r="U45" i="24"/>
  <c r="X45" i="19"/>
  <c r="AP46" i="24"/>
  <c r="N46" i="24"/>
  <c r="C46" i="25"/>
  <c r="AK46" i="25" s="1"/>
  <c r="AO46" i="25"/>
  <c r="N46" i="25"/>
  <c r="E45" i="24"/>
  <c r="I44" i="24"/>
  <c r="B46" i="24"/>
  <c r="V46" i="24" s="1"/>
  <c r="H45" i="24"/>
  <c r="AJ45" i="24" s="1"/>
  <c r="H44" i="25"/>
  <c r="B46" i="25"/>
  <c r="S46" i="25" s="1"/>
  <c r="A47" i="24"/>
  <c r="A47" i="25"/>
  <c r="C46" i="24"/>
  <c r="H45" i="19"/>
  <c r="T45" i="19"/>
  <c r="AC47" i="24"/>
  <c r="AQ47" i="25"/>
  <c r="AD47" i="25"/>
  <c r="AE47" i="25"/>
  <c r="AR46" i="24"/>
  <c r="AF46" i="24"/>
  <c r="S47" i="24"/>
  <c r="AD47" i="24"/>
  <c r="Z46" i="25"/>
  <c r="AF47" i="25"/>
  <c r="AH47" i="24"/>
  <c r="AE46" i="24"/>
  <c r="AB46" i="24"/>
  <c r="AE47" i="24"/>
  <c r="AD46" i="24"/>
  <c r="AB46" i="25"/>
  <c r="P46" i="25"/>
  <c r="AG47" i="24"/>
  <c r="R46" i="24"/>
  <c r="AC46" i="24"/>
  <c r="AR47" i="24"/>
  <c r="T47" i="24"/>
  <c r="AW47" i="11" l="1"/>
  <c r="AO47" i="13"/>
  <c r="AY47" i="12"/>
  <c r="AY47" i="8"/>
  <c r="AQ47" i="6"/>
  <c r="AR47" i="7"/>
  <c r="AP47" i="5"/>
  <c r="E46" i="25"/>
  <c r="V43" i="25"/>
  <c r="BA47" i="12"/>
  <c r="AY47" i="11"/>
  <c r="AQ47" i="13"/>
  <c r="AS47" i="6"/>
  <c r="AR47" i="5"/>
  <c r="BA47" i="8"/>
  <c r="AT47" i="7"/>
  <c r="AP47" i="13"/>
  <c r="AZ47" i="12"/>
  <c r="AX47" i="11"/>
  <c r="AZ47" i="8"/>
  <c r="AQ47" i="5"/>
  <c r="AS47" i="7"/>
  <c r="AR47" i="6"/>
  <c r="J45" i="19"/>
  <c r="O45" i="19"/>
  <c r="N45" i="19"/>
  <c r="K45" i="19"/>
  <c r="I45" i="19"/>
  <c r="M45" i="19"/>
  <c r="AN46" i="25"/>
  <c r="AM46" i="25"/>
  <c r="AO47" i="24"/>
  <c r="AG44" i="25"/>
  <c r="J44" i="25" s="1"/>
  <c r="W44" i="25" s="1"/>
  <c r="AL46" i="25"/>
  <c r="W46" i="24"/>
  <c r="AN46" i="24"/>
  <c r="AK44" i="24"/>
  <c r="AA44" i="24"/>
  <c r="AM46" i="24"/>
  <c r="AP46" i="25"/>
  <c r="K46" i="25" s="1"/>
  <c r="H45" i="25"/>
  <c r="O46" i="24"/>
  <c r="G46" i="24" s="1"/>
  <c r="AI46" i="25"/>
  <c r="AJ46" i="25"/>
  <c r="R46" i="25"/>
  <c r="O46" i="25"/>
  <c r="G46" i="25" s="1"/>
  <c r="AQ46" i="24"/>
  <c r="L46" i="24" s="1"/>
  <c r="AR46" i="25"/>
  <c r="L46" i="25" s="1"/>
  <c r="AH46" i="25"/>
  <c r="U46" i="24"/>
  <c r="Q46" i="24"/>
  <c r="H46" i="24" s="1"/>
  <c r="AJ46" i="24" s="1"/>
  <c r="AI46" i="24"/>
  <c r="X46" i="19"/>
  <c r="AP47" i="24"/>
  <c r="N47" i="24"/>
  <c r="C47" i="25"/>
  <c r="AO47" i="25"/>
  <c r="N47" i="25"/>
  <c r="E46" i="24"/>
  <c r="I45" i="24"/>
  <c r="B47" i="24"/>
  <c r="V47" i="24" s="1"/>
  <c r="B47" i="25"/>
  <c r="AN47" i="25" s="1"/>
  <c r="A48" i="24"/>
  <c r="A48" i="25"/>
  <c r="C47" i="24"/>
  <c r="Q47" i="24" s="1"/>
  <c r="H46" i="19"/>
  <c r="T46" i="19"/>
  <c r="S48" i="24"/>
  <c r="AB48" i="24"/>
  <c r="AD48" i="25"/>
  <c r="AC47" i="25"/>
  <c r="AF47" i="24"/>
  <c r="AB47" i="24"/>
  <c r="P47" i="25"/>
  <c r="Q47" i="25"/>
  <c r="AH48" i="24"/>
  <c r="AG48" i="24"/>
  <c r="X47" i="25"/>
  <c r="AS48" i="25"/>
  <c r="R48" i="24"/>
  <c r="AE48" i="25"/>
  <c r="AF48" i="25"/>
  <c r="AQ48" i="25"/>
  <c r="AA47" i="25"/>
  <c r="R47" i="24"/>
  <c r="Z47" i="25"/>
  <c r="AF48" i="24"/>
  <c r="AC48" i="24"/>
  <c r="AD48" i="24"/>
  <c r="AE48" i="24"/>
  <c r="AB47" i="25"/>
  <c r="Y47" i="25"/>
  <c r="AS47" i="25"/>
  <c r="AW48" i="11" l="1"/>
  <c r="AO48" i="13"/>
  <c r="AY48" i="12"/>
  <c r="AQ48" i="6"/>
  <c r="AR48" i="7"/>
  <c r="AY48" i="8"/>
  <c r="AP48" i="5"/>
  <c r="E47" i="25"/>
  <c r="V44" i="25"/>
  <c r="AY48" i="11"/>
  <c r="AQ48" i="13"/>
  <c r="BA48" i="12"/>
  <c r="BA48" i="8"/>
  <c r="AS48" i="6"/>
  <c r="AR48" i="5"/>
  <c r="AT48" i="7"/>
  <c r="AX48" i="11"/>
  <c r="AZ48" i="12"/>
  <c r="AP48" i="13"/>
  <c r="AR48" i="6"/>
  <c r="AS48" i="7"/>
  <c r="AQ48" i="5"/>
  <c r="AZ48" i="8"/>
  <c r="J46" i="19"/>
  <c r="O46" i="19"/>
  <c r="N46" i="19"/>
  <c r="K46" i="19"/>
  <c r="M46" i="19"/>
  <c r="I46" i="19"/>
  <c r="AM47" i="25"/>
  <c r="AO48" i="24"/>
  <c r="AG45" i="25"/>
  <c r="J45" i="25" s="1"/>
  <c r="V45" i="25" s="1"/>
  <c r="W47" i="24"/>
  <c r="AN47" i="24"/>
  <c r="AL47" i="25"/>
  <c r="AA45" i="24"/>
  <c r="AM47" i="24"/>
  <c r="AQ47" i="24"/>
  <c r="L47" i="24" s="1"/>
  <c r="O47" i="25"/>
  <c r="G47" i="25" s="1"/>
  <c r="AP47" i="25"/>
  <c r="K47" i="25" s="1"/>
  <c r="O47" i="24"/>
  <c r="G47" i="24" s="1"/>
  <c r="AK47" i="25"/>
  <c r="AH47" i="25"/>
  <c r="S47" i="25"/>
  <c r="R47" i="25"/>
  <c r="AI47" i="25"/>
  <c r="AJ47" i="25"/>
  <c r="AR47" i="25"/>
  <c r="L47" i="25" s="1"/>
  <c r="AI47" i="24"/>
  <c r="U47" i="24"/>
  <c r="AK45" i="24"/>
  <c r="X47" i="19"/>
  <c r="AP48" i="24"/>
  <c r="N48" i="24"/>
  <c r="N48" i="25"/>
  <c r="AO48" i="25"/>
  <c r="C48" i="25"/>
  <c r="AR48" i="25" s="1"/>
  <c r="I46" i="24"/>
  <c r="E47" i="24"/>
  <c r="H47" i="24"/>
  <c r="AJ47" i="24" s="1"/>
  <c r="B48" i="24"/>
  <c r="AN48" i="24" s="1"/>
  <c r="H46" i="25"/>
  <c r="A49" i="24"/>
  <c r="A49" i="25"/>
  <c r="B48" i="25"/>
  <c r="AN48" i="25" s="1"/>
  <c r="C48" i="24"/>
  <c r="AM48" i="24" s="1"/>
  <c r="H47" i="19"/>
  <c r="T47" i="19"/>
  <c r="X48" i="25"/>
  <c r="Z49" i="25"/>
  <c r="AB49" i="24"/>
  <c r="P48" i="25"/>
  <c r="AE49" i="25"/>
  <c r="AA48" i="25"/>
  <c r="AA49" i="25"/>
  <c r="Z48" i="25"/>
  <c r="Q48" i="25"/>
  <c r="T48" i="24"/>
  <c r="AC49" i="24"/>
  <c r="AF49" i="24"/>
  <c r="T49" i="24"/>
  <c r="AC48" i="25"/>
  <c r="S49" i="24"/>
  <c r="AQ49" i="25"/>
  <c r="AD49" i="24"/>
  <c r="AE49" i="24"/>
  <c r="AG49" i="24"/>
  <c r="AB48" i="25"/>
  <c r="Y48" i="25"/>
  <c r="AH49" i="24"/>
  <c r="R49" i="24"/>
  <c r="AD49" i="25"/>
  <c r="AF49" i="25"/>
  <c r="AR48" i="24"/>
  <c r="AQ49" i="6" l="1"/>
  <c r="AR49" i="7"/>
  <c r="AP49" i="5"/>
  <c r="AY49" i="8"/>
  <c r="AW49" i="11"/>
  <c r="AO49" i="13"/>
  <c r="AY49" i="12"/>
  <c r="E48" i="25"/>
  <c r="AQ49" i="13"/>
  <c r="AY49" i="11"/>
  <c r="BA49" i="12"/>
  <c r="BA49" i="8"/>
  <c r="AT49" i="7"/>
  <c r="AS49" i="6"/>
  <c r="AR49" i="5"/>
  <c r="AX49" i="11"/>
  <c r="AP49" i="13"/>
  <c r="AZ49" i="12"/>
  <c r="AQ49" i="5"/>
  <c r="AR49" i="6"/>
  <c r="AZ49" i="8"/>
  <c r="AS49" i="7"/>
  <c r="M47" i="19"/>
  <c r="I47" i="19"/>
  <c r="K47" i="19"/>
  <c r="J47" i="19"/>
  <c r="N47" i="19"/>
  <c r="O47" i="19"/>
  <c r="AM48" i="25"/>
  <c r="AO49" i="24"/>
  <c r="W45" i="25"/>
  <c r="AG46" i="25"/>
  <c r="J46" i="25" s="1"/>
  <c r="W46" i="25" s="1"/>
  <c r="AL48" i="25"/>
  <c r="W48" i="24"/>
  <c r="AA46" i="24"/>
  <c r="AP48" i="25"/>
  <c r="K48" i="25" s="1"/>
  <c r="O48" i="24"/>
  <c r="G48" i="24" s="1"/>
  <c r="AI48" i="24"/>
  <c r="AJ48" i="25"/>
  <c r="R48" i="25"/>
  <c r="AH48" i="25"/>
  <c r="AI48" i="25"/>
  <c r="AK48" i="25"/>
  <c r="S48" i="25"/>
  <c r="L48" i="25"/>
  <c r="O48" i="25"/>
  <c r="G48" i="25" s="1"/>
  <c r="V48" i="24"/>
  <c r="AQ48" i="24"/>
  <c r="L48" i="24" s="1"/>
  <c r="Q48" i="24"/>
  <c r="H48" i="24" s="1"/>
  <c r="AJ48" i="24" s="1"/>
  <c r="U48" i="24"/>
  <c r="AK46" i="24"/>
  <c r="X48" i="19"/>
  <c r="N49" i="24"/>
  <c r="AP49" i="24"/>
  <c r="N49" i="25"/>
  <c r="C49" i="25"/>
  <c r="AO49" i="25"/>
  <c r="I47" i="24"/>
  <c r="E48" i="24"/>
  <c r="H47" i="25"/>
  <c r="B49" i="24"/>
  <c r="V49" i="24" s="1"/>
  <c r="A50" i="24"/>
  <c r="A50" i="25"/>
  <c r="B49" i="25"/>
  <c r="AN49" i="25" s="1"/>
  <c r="C49" i="24"/>
  <c r="U49" i="24" s="1"/>
  <c r="H48" i="19"/>
  <c r="T48" i="19"/>
  <c r="AB50" i="24"/>
  <c r="AR49" i="24"/>
  <c r="AC49" i="25"/>
  <c r="Q49" i="25"/>
  <c r="AD50" i="25"/>
  <c r="AF50" i="25"/>
  <c r="X49" i="25"/>
  <c r="Y49" i="25"/>
  <c r="AB49" i="25"/>
  <c r="AQ50" i="25"/>
  <c r="AB50" i="25"/>
  <c r="T50" i="24"/>
  <c r="AE50" i="25"/>
  <c r="AG50" i="24"/>
  <c r="AS49" i="25"/>
  <c r="AH50" i="24"/>
  <c r="AE50" i="24"/>
  <c r="P49" i="25"/>
  <c r="Y50" i="25"/>
  <c r="X50" i="25"/>
  <c r="AQ50" i="6" l="1"/>
  <c r="AP50" i="5"/>
  <c r="AR50" i="7"/>
  <c r="AY50" i="8"/>
  <c r="AY50" i="12"/>
  <c r="AO50" i="13"/>
  <c r="AW50" i="11"/>
  <c r="E49" i="25"/>
  <c r="V46" i="25"/>
  <c r="AR50" i="5"/>
  <c r="BA50" i="8"/>
  <c r="AT50" i="7"/>
  <c r="AS50" i="6"/>
  <c r="BA50" i="12"/>
  <c r="AQ50" i="13"/>
  <c r="AY50" i="11"/>
  <c r="AP50" i="13"/>
  <c r="AZ50" i="12"/>
  <c r="AX50" i="11"/>
  <c r="AS50" i="7"/>
  <c r="AQ50" i="5"/>
  <c r="AZ50" i="8"/>
  <c r="AR50" i="6"/>
  <c r="N48" i="19"/>
  <c r="K48" i="19"/>
  <c r="J48" i="19"/>
  <c r="O48" i="19"/>
  <c r="M48" i="19"/>
  <c r="I48" i="19"/>
  <c r="AM49" i="25"/>
  <c r="AO50" i="24"/>
  <c r="AG47" i="25"/>
  <c r="J47" i="25" s="1"/>
  <c r="W47" i="25" s="1"/>
  <c r="W49" i="24"/>
  <c r="AN49" i="24"/>
  <c r="AL49" i="25"/>
  <c r="AK47" i="24"/>
  <c r="AA47" i="24"/>
  <c r="AM49" i="24"/>
  <c r="AI49" i="25"/>
  <c r="AQ49" i="24"/>
  <c r="L49" i="24" s="1"/>
  <c r="O49" i="25"/>
  <c r="G49" i="25" s="1"/>
  <c r="AP49" i="25"/>
  <c r="K49" i="25" s="1"/>
  <c r="AJ49" i="25"/>
  <c r="R49" i="25"/>
  <c r="AH49" i="25"/>
  <c r="AK49" i="25"/>
  <c r="S49" i="25"/>
  <c r="AR49" i="25"/>
  <c r="L49" i="25" s="1"/>
  <c r="O49" i="24"/>
  <c r="G49" i="24" s="1"/>
  <c r="AI49" i="24"/>
  <c r="Q49" i="24"/>
  <c r="H49" i="24" s="1"/>
  <c r="AJ49" i="24" s="1"/>
  <c r="X49" i="19"/>
  <c r="AP50" i="24"/>
  <c r="N50" i="24"/>
  <c r="C50" i="25"/>
  <c r="AJ50" i="25" s="1"/>
  <c r="N50" i="25"/>
  <c r="AO50" i="25"/>
  <c r="E49" i="24"/>
  <c r="I48" i="24"/>
  <c r="H48" i="25"/>
  <c r="B50" i="24"/>
  <c r="W50" i="24" s="1"/>
  <c r="A51" i="24"/>
  <c r="A51" i="25"/>
  <c r="B50" i="25"/>
  <c r="AN50" i="25" s="1"/>
  <c r="C50" i="24"/>
  <c r="AI50" i="24" s="1"/>
  <c r="H49" i="19"/>
  <c r="T49" i="19"/>
  <c r="AH51" i="24"/>
  <c r="AC50" i="24"/>
  <c r="AD51" i="25"/>
  <c r="S50" i="24"/>
  <c r="R50" i="24"/>
  <c r="AD50" i="24"/>
  <c r="AS50" i="25"/>
  <c r="T51" i="24"/>
  <c r="AE51" i="25"/>
  <c r="P50" i="25"/>
  <c r="Z50" i="25"/>
  <c r="AF50" i="24"/>
  <c r="AC51" i="24"/>
  <c r="AD51" i="24"/>
  <c r="AC50" i="25"/>
  <c r="Q50" i="25"/>
  <c r="AA50" i="25"/>
  <c r="AR50" i="24"/>
  <c r="AQ51" i="25"/>
  <c r="R51" i="24"/>
  <c r="AF51" i="25"/>
  <c r="AG51" i="24"/>
  <c r="AY51" i="12" l="1"/>
  <c r="AW51" i="11"/>
  <c r="AO51" i="13"/>
  <c r="AY51" i="8"/>
  <c r="AR51" i="7"/>
  <c r="AP51" i="5"/>
  <c r="AQ51" i="6"/>
  <c r="E50" i="25"/>
  <c r="V47" i="25"/>
  <c r="AS51" i="6"/>
  <c r="AR51" i="5"/>
  <c r="AT51" i="7"/>
  <c r="BA51" i="8"/>
  <c r="BA51" i="12"/>
  <c r="AY51" i="11"/>
  <c r="AQ51" i="13"/>
  <c r="AP51" i="13"/>
  <c r="AZ51" i="12"/>
  <c r="AX51" i="11"/>
  <c r="AZ51" i="8"/>
  <c r="AR51" i="6"/>
  <c r="AQ51" i="5"/>
  <c r="AS51" i="7"/>
  <c r="N49" i="19"/>
  <c r="K49" i="19"/>
  <c r="J49" i="19"/>
  <c r="O49" i="19"/>
  <c r="M49" i="19"/>
  <c r="I49" i="19"/>
  <c r="AM50" i="25"/>
  <c r="AO51" i="24"/>
  <c r="AG48" i="25"/>
  <c r="J48" i="25" s="1"/>
  <c r="V48" i="25" s="1"/>
  <c r="AN50" i="24"/>
  <c r="AL50" i="25"/>
  <c r="AK48" i="24"/>
  <c r="AA48" i="24"/>
  <c r="AM50" i="24"/>
  <c r="AQ50" i="24"/>
  <c r="L50" i="24" s="1"/>
  <c r="O50" i="24"/>
  <c r="G50" i="24" s="1"/>
  <c r="AP50" i="25"/>
  <c r="K50" i="25" s="1"/>
  <c r="AI50" i="25"/>
  <c r="AK50" i="25"/>
  <c r="R50" i="25"/>
  <c r="S50" i="25"/>
  <c r="AR50" i="25"/>
  <c r="L50" i="25" s="1"/>
  <c r="O50" i="25"/>
  <c r="G50" i="25" s="1"/>
  <c r="AH50" i="25"/>
  <c r="Q50" i="24"/>
  <c r="H50" i="24" s="1"/>
  <c r="AJ50" i="24" s="1"/>
  <c r="U50" i="24"/>
  <c r="V50" i="24"/>
  <c r="X50" i="19"/>
  <c r="AP51" i="24"/>
  <c r="N51" i="24"/>
  <c r="C51" i="25"/>
  <c r="AR51" i="25" s="1"/>
  <c r="N51" i="25"/>
  <c r="AO51" i="25"/>
  <c r="E50" i="24"/>
  <c r="H49" i="25"/>
  <c r="I49" i="24"/>
  <c r="B51" i="24"/>
  <c r="AN51" i="24" s="1"/>
  <c r="A52" i="24"/>
  <c r="A52" i="25"/>
  <c r="B51" i="25"/>
  <c r="AN51" i="25" s="1"/>
  <c r="C51" i="24"/>
  <c r="H50" i="19"/>
  <c r="T50" i="19"/>
  <c r="R52" i="24"/>
  <c r="X51" i="25"/>
  <c r="Z51" i="25"/>
  <c r="AE52" i="25"/>
  <c r="AE51" i="24"/>
  <c r="AB51" i="25"/>
  <c r="AC51" i="25"/>
  <c r="AB51" i="24"/>
  <c r="P51" i="25"/>
  <c r="P52" i="25"/>
  <c r="S51" i="24"/>
  <c r="AF52" i="24"/>
  <c r="AB52" i="24"/>
  <c r="AD52" i="25"/>
  <c r="AG52" i="24"/>
  <c r="Y51" i="25"/>
  <c r="AF52" i="25"/>
  <c r="AA51" i="25"/>
  <c r="Z52" i="25"/>
  <c r="AE52" i="24"/>
  <c r="AR51" i="24"/>
  <c r="AS51" i="25"/>
  <c r="AH52" i="24"/>
  <c r="S52" i="24"/>
  <c r="AQ52" i="25"/>
  <c r="AF51" i="24"/>
  <c r="Q51" i="25"/>
  <c r="AY52" i="8" l="1"/>
  <c r="AR52" i="7"/>
  <c r="AP52" i="5"/>
  <c r="AQ52" i="6"/>
  <c r="AY52" i="12"/>
  <c r="AO52" i="13"/>
  <c r="AW52" i="11"/>
  <c r="E51" i="25"/>
  <c r="BA52" i="8"/>
  <c r="AS52" i="6"/>
  <c r="AR52" i="5"/>
  <c r="AT52" i="7"/>
  <c r="AY52" i="11"/>
  <c r="BA52" i="12"/>
  <c r="AQ52" i="13"/>
  <c r="AX52" i="11"/>
  <c r="AP52" i="13"/>
  <c r="AZ52" i="12"/>
  <c r="AS52" i="7"/>
  <c r="AR52" i="6"/>
  <c r="AZ52" i="8"/>
  <c r="AQ52" i="5"/>
  <c r="M50" i="19"/>
  <c r="I50" i="19"/>
  <c r="O50" i="19"/>
  <c r="N50" i="19"/>
  <c r="K50" i="19"/>
  <c r="J50" i="19"/>
  <c r="AM51" i="25"/>
  <c r="AO52" i="24"/>
  <c r="W48" i="25"/>
  <c r="AG49" i="25"/>
  <c r="J49" i="25" s="1"/>
  <c r="V49" i="25" s="1"/>
  <c r="AL51" i="25"/>
  <c r="W51" i="24"/>
  <c r="AK49" i="24"/>
  <c r="AA49" i="24"/>
  <c r="AM51" i="24"/>
  <c r="AQ51" i="24"/>
  <c r="L51" i="24" s="1"/>
  <c r="O51" i="25"/>
  <c r="G51" i="25" s="1"/>
  <c r="AP51" i="25"/>
  <c r="K51" i="25" s="1"/>
  <c r="O51" i="24"/>
  <c r="G51" i="24" s="1"/>
  <c r="R51" i="25"/>
  <c r="AK51" i="25"/>
  <c r="AH51" i="25"/>
  <c r="AJ51" i="25"/>
  <c r="AI51" i="25"/>
  <c r="S51" i="25"/>
  <c r="U51" i="24"/>
  <c r="L51" i="25"/>
  <c r="AI51" i="24"/>
  <c r="Q51" i="24"/>
  <c r="H51" i="24" s="1"/>
  <c r="AJ51" i="24" s="1"/>
  <c r="V51" i="24"/>
  <c r="X51" i="19"/>
  <c r="AP52" i="24"/>
  <c r="N52" i="24"/>
  <c r="AO52" i="25"/>
  <c r="N52" i="25"/>
  <c r="C52" i="25"/>
  <c r="E51" i="24"/>
  <c r="I50" i="24"/>
  <c r="H50" i="25"/>
  <c r="B52" i="25"/>
  <c r="AN52" i="25" s="1"/>
  <c r="A53" i="24"/>
  <c r="A53" i="25"/>
  <c r="B52" i="24"/>
  <c r="AN52" i="24" s="1"/>
  <c r="C52" i="24"/>
  <c r="AI52" i="24" s="1"/>
  <c r="H51" i="19"/>
  <c r="T51" i="19"/>
  <c r="AH53" i="24"/>
  <c r="Q52" i="25"/>
  <c r="AC52" i="24"/>
  <c r="AE53" i="25"/>
  <c r="AA52" i="25"/>
  <c r="AR52" i="24"/>
  <c r="AB52" i="25"/>
  <c r="AD53" i="25"/>
  <c r="AG53" i="24"/>
  <c r="AD52" i="24"/>
  <c r="X52" i="25"/>
  <c r="AD53" i="24"/>
  <c r="T52" i="24"/>
  <c r="AS52" i="25"/>
  <c r="AC52" i="25"/>
  <c r="S53" i="24"/>
  <c r="AQ53" i="25"/>
  <c r="Y52" i="25"/>
  <c r="R53" i="24"/>
  <c r="AF53" i="25"/>
  <c r="AY53" i="8" l="1"/>
  <c r="AR53" i="7"/>
  <c r="AP53" i="5"/>
  <c r="AQ53" i="6"/>
  <c r="AO53" i="13"/>
  <c r="AY53" i="12"/>
  <c r="AW53" i="11"/>
  <c r="E52" i="25"/>
  <c r="BA53" i="8"/>
  <c r="AT53" i="7"/>
  <c r="AR53" i="5"/>
  <c r="AS53" i="6"/>
  <c r="AQ53" i="13"/>
  <c r="AY53" i="11"/>
  <c r="BA53" i="12"/>
  <c r="AX53" i="11"/>
  <c r="AP53" i="13"/>
  <c r="AZ53" i="12"/>
  <c r="AQ53" i="5"/>
  <c r="AS53" i="7"/>
  <c r="AZ53" i="8"/>
  <c r="AR53" i="6"/>
  <c r="O51" i="19"/>
  <c r="N51" i="19"/>
  <c r="K51" i="19"/>
  <c r="J51" i="19"/>
  <c r="I51" i="19"/>
  <c r="M51" i="19"/>
  <c r="AM52" i="25"/>
  <c r="AO53" i="24"/>
  <c r="W49" i="25"/>
  <c r="AG50" i="25"/>
  <c r="J50" i="25" s="1"/>
  <c r="W50" i="25" s="1"/>
  <c r="AL52" i="25"/>
  <c r="W52" i="24"/>
  <c r="AA50" i="24"/>
  <c r="AM52" i="24"/>
  <c r="O52" i="25"/>
  <c r="G52" i="25" s="1"/>
  <c r="AP52" i="25"/>
  <c r="K52" i="25" s="1"/>
  <c r="O52" i="24"/>
  <c r="G52" i="24" s="1"/>
  <c r="AK52" i="25"/>
  <c r="S52" i="25"/>
  <c r="AJ52" i="25"/>
  <c r="AI52" i="25"/>
  <c r="AH52" i="25"/>
  <c r="U52" i="24"/>
  <c r="R52" i="25"/>
  <c r="AR52" i="25"/>
  <c r="L52" i="25" s="1"/>
  <c r="AQ52" i="24"/>
  <c r="L52" i="24" s="1"/>
  <c r="V52" i="24"/>
  <c r="Q52" i="24"/>
  <c r="H52" i="24" s="1"/>
  <c r="AJ52" i="24" s="1"/>
  <c r="AK50" i="24"/>
  <c r="X52" i="19"/>
  <c r="AP53" i="24"/>
  <c r="N53" i="24"/>
  <c r="C53" i="25"/>
  <c r="AR53" i="25" s="1"/>
  <c r="N53" i="25"/>
  <c r="AO53" i="25"/>
  <c r="E52" i="24"/>
  <c r="H51" i="25"/>
  <c r="I51" i="24"/>
  <c r="B53" i="24"/>
  <c r="V53" i="24" s="1"/>
  <c r="A54" i="24"/>
  <c r="A54" i="25"/>
  <c r="B53" i="25"/>
  <c r="AN53" i="25" s="1"/>
  <c r="C53" i="24"/>
  <c r="U53" i="24" s="1"/>
  <c r="H52" i="19"/>
  <c r="T52" i="19"/>
  <c r="AC53" i="25"/>
  <c r="AG54" i="24"/>
  <c r="Q53" i="25"/>
  <c r="AB54" i="25"/>
  <c r="AB53" i="25"/>
  <c r="Z53" i="25"/>
  <c r="P53" i="25"/>
  <c r="AC53" i="24"/>
  <c r="AB53" i="24"/>
  <c r="Y53" i="25"/>
  <c r="AE54" i="25"/>
  <c r="X53" i="25"/>
  <c r="AD54" i="25"/>
  <c r="AE53" i="24"/>
  <c r="S54" i="24"/>
  <c r="AH54" i="24"/>
  <c r="AR54" i="24"/>
  <c r="AA53" i="25"/>
  <c r="AS53" i="25"/>
  <c r="T53" i="24"/>
  <c r="AQ54" i="25"/>
  <c r="AF53" i="24"/>
  <c r="AR53" i="24"/>
  <c r="AF54" i="25"/>
  <c r="AW54" i="11" l="1"/>
  <c r="AO54" i="13"/>
  <c r="AY54" i="12"/>
  <c r="AY54" i="8"/>
  <c r="AR54" i="7"/>
  <c r="AP54" i="5"/>
  <c r="AQ54" i="6"/>
  <c r="E53" i="25"/>
  <c r="V50" i="25"/>
  <c r="BA54" i="12"/>
  <c r="AQ54" i="13"/>
  <c r="AY54" i="11"/>
  <c r="BA54" i="8"/>
  <c r="AT54" i="7"/>
  <c r="AS54" i="6"/>
  <c r="AR54" i="5"/>
  <c r="AP54" i="13"/>
  <c r="AZ54" i="12"/>
  <c r="AX54" i="11"/>
  <c r="AZ54" i="8"/>
  <c r="AR54" i="6"/>
  <c r="AQ54" i="5"/>
  <c r="AS54" i="7"/>
  <c r="O52" i="19"/>
  <c r="N52" i="19"/>
  <c r="K52" i="19"/>
  <c r="J52" i="19"/>
  <c r="I52" i="19"/>
  <c r="M52" i="19"/>
  <c r="AM53" i="25"/>
  <c r="AO54" i="24"/>
  <c r="AG51" i="25"/>
  <c r="J51" i="25" s="1"/>
  <c r="W51" i="25" s="1"/>
  <c r="AN53" i="24"/>
  <c r="AL53" i="25"/>
  <c r="W53" i="24"/>
  <c r="AK51" i="24"/>
  <c r="AA51" i="24"/>
  <c r="AM53" i="24"/>
  <c r="AP53" i="25"/>
  <c r="K53" i="25" s="1"/>
  <c r="O53" i="25"/>
  <c r="G53" i="25" s="1"/>
  <c r="AI53" i="25"/>
  <c r="AK53" i="25"/>
  <c r="AJ53" i="25"/>
  <c r="AH53" i="25"/>
  <c r="R53" i="25"/>
  <c r="S53" i="25"/>
  <c r="AQ53" i="24"/>
  <c r="L53" i="24" s="1"/>
  <c r="L53" i="25"/>
  <c r="O53" i="24"/>
  <c r="G53" i="24" s="1"/>
  <c r="Q53" i="24"/>
  <c r="H53" i="24" s="1"/>
  <c r="AJ53" i="24" s="1"/>
  <c r="AI53" i="24"/>
  <c r="X53" i="19"/>
  <c r="AP54" i="24"/>
  <c r="N54" i="24"/>
  <c r="N54" i="25"/>
  <c r="AO54" i="25"/>
  <c r="C54" i="25"/>
  <c r="AJ54" i="25" s="1"/>
  <c r="E53" i="24"/>
  <c r="H52" i="25"/>
  <c r="I52" i="24"/>
  <c r="B54" i="24"/>
  <c r="V54" i="24" s="1"/>
  <c r="A55" i="24"/>
  <c r="A55" i="25"/>
  <c r="B54" i="25"/>
  <c r="AM54" i="25" s="1"/>
  <c r="C54" i="24"/>
  <c r="H53" i="19"/>
  <c r="T53" i="19"/>
  <c r="AF54" i="24"/>
  <c r="AG55" i="24"/>
  <c r="Y55" i="25"/>
  <c r="AA54" i="25"/>
  <c r="AE55" i="25"/>
  <c r="AE54" i="24"/>
  <c r="AS54" i="25"/>
  <c r="AS55" i="25"/>
  <c r="AD55" i="25"/>
  <c r="AC54" i="25"/>
  <c r="AD54" i="24"/>
  <c r="AH55" i="24"/>
  <c r="AC54" i="24"/>
  <c r="P54" i="25"/>
  <c r="AQ55" i="25"/>
  <c r="AB54" i="24"/>
  <c r="T54" i="24"/>
  <c r="X54" i="25"/>
  <c r="AB55" i="25"/>
  <c r="Z54" i="25"/>
  <c r="R54" i="24"/>
  <c r="AF55" i="25"/>
  <c r="AC55" i="24"/>
  <c r="Y54" i="25"/>
  <c r="Q54" i="25"/>
  <c r="AW55" i="11" l="1"/>
  <c r="AO55" i="13"/>
  <c r="AY55" i="12"/>
  <c r="AY55" i="8"/>
  <c r="AQ55" i="6"/>
  <c r="AP55" i="5"/>
  <c r="AR55" i="7"/>
  <c r="E54" i="25"/>
  <c r="V51" i="25"/>
  <c r="BA55" i="12"/>
  <c r="AY55" i="11"/>
  <c r="AQ55" i="13"/>
  <c r="AS55" i="6"/>
  <c r="BA55" i="8"/>
  <c r="AR55" i="5"/>
  <c r="AT55" i="7"/>
  <c r="AP55" i="13"/>
  <c r="AZ55" i="12"/>
  <c r="AX55" i="11"/>
  <c r="AZ55" i="8"/>
  <c r="AS55" i="7"/>
  <c r="AQ55" i="5"/>
  <c r="AR55" i="6"/>
  <c r="J53" i="19"/>
  <c r="O53" i="19"/>
  <c r="K53" i="19"/>
  <c r="N53" i="19"/>
  <c r="I53" i="19"/>
  <c r="M53" i="19"/>
  <c r="AN54" i="25"/>
  <c r="AO55" i="24"/>
  <c r="AG52" i="25"/>
  <c r="J52" i="25" s="1"/>
  <c r="V52" i="25" s="1"/>
  <c r="AN54" i="24"/>
  <c r="AL54" i="25"/>
  <c r="W54" i="24"/>
  <c r="AA52" i="24"/>
  <c r="AM54" i="24"/>
  <c r="AP54" i="25"/>
  <c r="K54" i="25" s="1"/>
  <c r="O54" i="25"/>
  <c r="G54" i="25" s="1"/>
  <c r="O54" i="24"/>
  <c r="G54" i="24" s="1"/>
  <c r="AH54" i="25"/>
  <c r="AI54" i="25"/>
  <c r="AK54" i="25"/>
  <c r="R54" i="25"/>
  <c r="S54" i="25"/>
  <c r="AQ54" i="24"/>
  <c r="L54" i="24" s="1"/>
  <c r="AR54" i="25"/>
  <c r="L54" i="25" s="1"/>
  <c r="U54" i="24"/>
  <c r="AI54" i="24"/>
  <c r="Q54" i="24"/>
  <c r="H54" i="24" s="1"/>
  <c r="AJ54" i="24" s="1"/>
  <c r="AK52" i="24"/>
  <c r="X54" i="19"/>
  <c r="AP55" i="24"/>
  <c r="N55" i="24"/>
  <c r="AO55" i="25"/>
  <c r="N55" i="25"/>
  <c r="C55" i="25"/>
  <c r="AR55" i="25" s="1"/>
  <c r="E54" i="24"/>
  <c r="I53" i="24"/>
  <c r="H53" i="25"/>
  <c r="B55" i="24"/>
  <c r="AN55" i="24" s="1"/>
  <c r="A56" i="24"/>
  <c r="A56" i="25"/>
  <c r="B55" i="25"/>
  <c r="AN55" i="25" s="1"/>
  <c r="C55" i="24"/>
  <c r="H54" i="19"/>
  <c r="T54" i="19"/>
  <c r="AR55" i="24"/>
  <c r="AE56" i="25"/>
  <c r="AD56" i="25"/>
  <c r="AC56" i="25"/>
  <c r="Z55" i="25"/>
  <c r="AD56" i="24"/>
  <c r="S55" i="24"/>
  <c r="AC55" i="25"/>
  <c r="P56" i="25"/>
  <c r="AD55" i="24"/>
  <c r="AA56" i="25"/>
  <c r="X55" i="25"/>
  <c r="AE55" i="24"/>
  <c r="P55" i="25"/>
  <c r="AA55" i="25"/>
  <c r="Q56" i="25"/>
  <c r="AH56" i="24"/>
  <c r="AB55" i="24"/>
  <c r="AQ56" i="25"/>
  <c r="Q55" i="25"/>
  <c r="T55" i="24"/>
  <c r="AG56" i="24"/>
  <c r="R56" i="24"/>
  <c r="AF56" i="25"/>
  <c r="R55" i="24"/>
  <c r="AF55" i="24"/>
  <c r="AW56" i="11" l="1"/>
  <c r="AO56" i="13"/>
  <c r="AY56" i="12"/>
  <c r="AQ56" i="6"/>
  <c r="AR56" i="7"/>
  <c r="AP56" i="5"/>
  <c r="AY56" i="8"/>
  <c r="E55" i="25"/>
  <c r="AY56" i="11"/>
  <c r="AQ56" i="13"/>
  <c r="BA56" i="12"/>
  <c r="BA56" i="8"/>
  <c r="AS56" i="6"/>
  <c r="AR56" i="5"/>
  <c r="AT56" i="7"/>
  <c r="AX56" i="11"/>
  <c r="AZ56" i="12"/>
  <c r="AP56" i="13"/>
  <c r="AR56" i="6"/>
  <c r="AS56" i="7"/>
  <c r="AZ56" i="8"/>
  <c r="AQ56" i="5"/>
  <c r="M54" i="19"/>
  <c r="I54" i="19"/>
  <c r="J54" i="19"/>
  <c r="O54" i="19"/>
  <c r="N54" i="19"/>
  <c r="K54" i="19"/>
  <c r="AM55" i="25"/>
  <c r="AO56" i="24"/>
  <c r="W52" i="25"/>
  <c r="AG53" i="25"/>
  <c r="J53" i="25" s="1"/>
  <c r="V53" i="25" s="1"/>
  <c r="AL55" i="25"/>
  <c r="W55" i="24"/>
  <c r="AA53" i="24"/>
  <c r="AM55" i="24"/>
  <c r="AP55" i="25"/>
  <c r="K55" i="25" s="1"/>
  <c r="O55" i="25"/>
  <c r="G55" i="25" s="1"/>
  <c r="R55" i="25"/>
  <c r="AI55" i="25"/>
  <c r="AK55" i="25"/>
  <c r="S55" i="25"/>
  <c r="O55" i="24"/>
  <c r="G55" i="24" s="1"/>
  <c r="AH55" i="25"/>
  <c r="L55" i="25"/>
  <c r="AJ55" i="25"/>
  <c r="AQ55" i="24"/>
  <c r="L55" i="24" s="1"/>
  <c r="Q55" i="24"/>
  <c r="H55" i="24" s="1"/>
  <c r="AJ55" i="24" s="1"/>
  <c r="U55" i="24"/>
  <c r="V55" i="24"/>
  <c r="AI55" i="24"/>
  <c r="AK53" i="24"/>
  <c r="X55" i="19"/>
  <c r="AP56" i="24"/>
  <c r="N56" i="24"/>
  <c r="N56" i="25"/>
  <c r="C56" i="25"/>
  <c r="AR56" i="25" s="1"/>
  <c r="AO56" i="25"/>
  <c r="E55" i="24"/>
  <c r="B56" i="24"/>
  <c r="AN56" i="24" s="1"/>
  <c r="H54" i="25"/>
  <c r="I54" i="24"/>
  <c r="A57" i="24"/>
  <c r="A57" i="25"/>
  <c r="B56" i="25"/>
  <c r="S56" i="25" s="1"/>
  <c r="C56" i="24"/>
  <c r="U56" i="24" s="1"/>
  <c r="H55" i="19"/>
  <c r="T55" i="19"/>
  <c r="X56" i="25"/>
  <c r="AB56" i="24"/>
  <c r="T56" i="24"/>
  <c r="AS56" i="25"/>
  <c r="AD57" i="25"/>
  <c r="AC57" i="24"/>
  <c r="AE57" i="25"/>
  <c r="Y56" i="25"/>
  <c r="AE56" i="24"/>
  <c r="AR56" i="24"/>
  <c r="AR57" i="24"/>
  <c r="S56" i="24"/>
  <c r="AQ57" i="25"/>
  <c r="Z56" i="25"/>
  <c r="AF57" i="25"/>
  <c r="AF56" i="24"/>
  <c r="AH57" i="24"/>
  <c r="AC56" i="24"/>
  <c r="AB56" i="25"/>
  <c r="AC57" i="25"/>
  <c r="AG57" i="24"/>
  <c r="AW57" i="11" l="1"/>
  <c r="AO57" i="13"/>
  <c r="AY57" i="12"/>
  <c r="AQ57" i="6"/>
  <c r="AR57" i="7"/>
  <c r="AP57" i="5"/>
  <c r="AY57" i="8"/>
  <c r="E56" i="25"/>
  <c r="BA57" i="8"/>
  <c r="AT57" i="7"/>
  <c r="AS57" i="6"/>
  <c r="AR57" i="5"/>
  <c r="AQ57" i="13"/>
  <c r="AY57" i="11"/>
  <c r="BA57" i="12"/>
  <c r="AX57" i="11"/>
  <c r="AP57" i="13"/>
  <c r="AZ57" i="12"/>
  <c r="AQ57" i="5"/>
  <c r="AR57" i="6"/>
  <c r="AZ57" i="8"/>
  <c r="AS57" i="7"/>
  <c r="K55" i="19"/>
  <c r="J55" i="19"/>
  <c r="N55" i="19"/>
  <c r="O55" i="19"/>
  <c r="M55" i="19"/>
  <c r="I55" i="19"/>
  <c r="AM56" i="25"/>
  <c r="AN56" i="25"/>
  <c r="AO57" i="24"/>
  <c r="W53" i="25"/>
  <c r="AG54" i="25"/>
  <c r="J54" i="25" s="1"/>
  <c r="V54" i="25" s="1"/>
  <c r="AL56" i="25"/>
  <c r="W56" i="24"/>
  <c r="AK54" i="24"/>
  <c r="AA54" i="24"/>
  <c r="AM56" i="24"/>
  <c r="O56" i="25"/>
  <c r="G56" i="25" s="1"/>
  <c r="AP56" i="25"/>
  <c r="K56" i="25" s="1"/>
  <c r="AJ56" i="25"/>
  <c r="AH56" i="25"/>
  <c r="AI56" i="25"/>
  <c r="R56" i="25"/>
  <c r="AK56" i="25"/>
  <c r="O56" i="24"/>
  <c r="G56" i="24" s="1"/>
  <c r="AQ56" i="24"/>
  <c r="L56" i="24" s="1"/>
  <c r="Q56" i="24"/>
  <c r="H56" i="24" s="1"/>
  <c r="AJ56" i="24" s="1"/>
  <c r="V56" i="24"/>
  <c r="AI56" i="24"/>
  <c r="H56" i="19"/>
  <c r="A59" i="24" s="1"/>
  <c r="AP57" i="24"/>
  <c r="N57" i="24"/>
  <c r="AO57" i="25"/>
  <c r="N57" i="25"/>
  <c r="C57" i="25"/>
  <c r="AR57" i="25" s="1"/>
  <c r="L56" i="25"/>
  <c r="X56" i="19"/>
  <c r="T56" i="19"/>
  <c r="H55" i="25"/>
  <c r="E56" i="24"/>
  <c r="B57" i="24"/>
  <c r="AN57" i="24" s="1"/>
  <c r="I55" i="24"/>
  <c r="A58" i="24"/>
  <c r="A58" i="25"/>
  <c r="B57" i="25"/>
  <c r="AM57" i="25" s="1"/>
  <c r="C57" i="24"/>
  <c r="AQ58" i="25"/>
  <c r="AH59" i="24"/>
  <c r="Y57" i="25"/>
  <c r="T59" i="24"/>
  <c r="AF59" i="24"/>
  <c r="AS57" i="25"/>
  <c r="R57" i="24"/>
  <c r="S59" i="24"/>
  <c r="AC59" i="24"/>
  <c r="P57" i="25"/>
  <c r="Z57" i="25"/>
  <c r="T57" i="24"/>
  <c r="Q57" i="25"/>
  <c r="AD59" i="24"/>
  <c r="AB57" i="24"/>
  <c r="AH58" i="24"/>
  <c r="AF57" i="24"/>
  <c r="AB57" i="25"/>
  <c r="AE58" i="25"/>
  <c r="AG59" i="24"/>
  <c r="AR59" i="24"/>
  <c r="S58" i="24"/>
  <c r="AF58" i="25"/>
  <c r="X57" i="25"/>
  <c r="S57" i="24"/>
  <c r="AG58" i="24"/>
  <c r="AD58" i="25"/>
  <c r="AB59" i="24"/>
  <c r="AE59" i="24"/>
  <c r="R59" i="24"/>
  <c r="AC58" i="25"/>
  <c r="AA57" i="25"/>
  <c r="AE57" i="24"/>
  <c r="AD57" i="24"/>
  <c r="AQ58" i="6" l="1"/>
  <c r="AY58" i="8"/>
  <c r="AP58" i="5"/>
  <c r="AR58" i="7"/>
  <c r="AY58" i="12"/>
  <c r="AW58" i="11"/>
  <c r="AO58" i="13"/>
  <c r="E57" i="25"/>
  <c r="AR58" i="5"/>
  <c r="AT58" i="7"/>
  <c r="BA58" i="8"/>
  <c r="AS58" i="6"/>
  <c r="BA58" i="12"/>
  <c r="AQ58" i="13"/>
  <c r="AY58" i="11"/>
  <c r="AP58" i="13"/>
  <c r="AZ58" i="12"/>
  <c r="AX58" i="11"/>
  <c r="AS58" i="7"/>
  <c r="AQ58" i="5"/>
  <c r="AZ58" i="8"/>
  <c r="AR58" i="6"/>
  <c r="M56" i="19"/>
  <c r="I56" i="19"/>
  <c r="N56" i="19"/>
  <c r="K56" i="19"/>
  <c r="J56" i="19"/>
  <c r="O56" i="19"/>
  <c r="AN57" i="25"/>
  <c r="AO59" i="24"/>
  <c r="AO58" i="24"/>
  <c r="W54" i="25"/>
  <c r="AG55" i="25"/>
  <c r="J55" i="25" s="1"/>
  <c r="V55" i="25" s="1"/>
  <c r="AL57" i="25"/>
  <c r="W57" i="24"/>
  <c r="AA55" i="24"/>
  <c r="AM57" i="24"/>
  <c r="AQ57" i="24"/>
  <c r="L57" i="24" s="1"/>
  <c r="O57" i="25"/>
  <c r="G57" i="25" s="1"/>
  <c r="O57" i="24"/>
  <c r="G57" i="24" s="1"/>
  <c r="AK57" i="25"/>
  <c r="AP57" i="25"/>
  <c r="K57" i="25" s="1"/>
  <c r="R57" i="25"/>
  <c r="S57" i="25"/>
  <c r="AH57" i="25"/>
  <c r="AJ57" i="25"/>
  <c r="AI57" i="25"/>
  <c r="Q57" i="24"/>
  <c r="H57" i="24" s="1"/>
  <c r="AJ57" i="24" s="1"/>
  <c r="V57" i="24"/>
  <c r="U57" i="24"/>
  <c r="AI57" i="24"/>
  <c r="AK55" i="24"/>
  <c r="AN58" i="24"/>
  <c r="H57" i="19"/>
  <c r="H58" i="19" s="1"/>
  <c r="A59" i="25"/>
  <c r="N58" i="24"/>
  <c r="AP58" i="24"/>
  <c r="C58" i="25"/>
  <c r="AK58" i="25" s="1"/>
  <c r="N58" i="25"/>
  <c r="AO58" i="25"/>
  <c r="B59" i="24"/>
  <c r="V59" i="24" s="1"/>
  <c r="L57" i="25"/>
  <c r="X57" i="19"/>
  <c r="T57" i="19"/>
  <c r="E57" i="24"/>
  <c r="H56" i="25"/>
  <c r="I56" i="24"/>
  <c r="B58" i="24"/>
  <c r="V58" i="24" s="1"/>
  <c r="B58" i="25"/>
  <c r="AN58" i="25" s="1"/>
  <c r="C58" i="24"/>
  <c r="Q58" i="24" s="1"/>
  <c r="AA59" i="25"/>
  <c r="AB58" i="25"/>
  <c r="Y59" i="25"/>
  <c r="AD58" i="24"/>
  <c r="P58" i="25"/>
  <c r="Z59" i="25"/>
  <c r="AB59" i="25"/>
  <c r="AB58" i="24"/>
  <c r="AC59" i="25"/>
  <c r="Q58" i="25"/>
  <c r="AR58" i="24"/>
  <c r="X59" i="25"/>
  <c r="T58" i="24"/>
  <c r="R58" i="24"/>
  <c r="AA58" i="25"/>
  <c r="P59" i="25"/>
  <c r="AQ59" i="25"/>
  <c r="AS59" i="25"/>
  <c r="Z58" i="25"/>
  <c r="AE58" i="24"/>
  <c r="Q59" i="25"/>
  <c r="Y58" i="25"/>
  <c r="AF59" i="25"/>
  <c r="AD59" i="25"/>
  <c r="X58" i="25"/>
  <c r="AE59" i="25"/>
  <c r="AF58" i="24"/>
  <c r="AC58" i="24"/>
  <c r="AS58" i="25"/>
  <c r="AY59" i="8" l="1"/>
  <c r="AR59" i="7"/>
  <c r="AP59" i="5"/>
  <c r="AQ59" i="6"/>
  <c r="AY59" i="12"/>
  <c r="AW59" i="11"/>
  <c r="AO59" i="13"/>
  <c r="E58" i="25"/>
  <c r="BA59" i="12"/>
  <c r="AY59" i="11"/>
  <c r="AQ59" i="13"/>
  <c r="BA59" i="8"/>
  <c r="AR59" i="5"/>
  <c r="AS59" i="6"/>
  <c r="AT59" i="7"/>
  <c r="AP59" i="13"/>
  <c r="AZ59" i="12"/>
  <c r="AX59" i="11"/>
  <c r="AZ59" i="8"/>
  <c r="AQ59" i="5"/>
  <c r="AR59" i="6"/>
  <c r="AS59" i="7"/>
  <c r="M57" i="19"/>
  <c r="I57" i="19"/>
  <c r="N57" i="19"/>
  <c r="J57" i="19"/>
  <c r="K57" i="19"/>
  <c r="O57" i="19"/>
  <c r="AM58" i="25"/>
  <c r="W55" i="25"/>
  <c r="AG56" i="25"/>
  <c r="J56" i="25" s="1"/>
  <c r="W56" i="25" s="1"/>
  <c r="W59" i="24"/>
  <c r="AL58" i="25"/>
  <c r="AN59" i="24"/>
  <c r="W58" i="24"/>
  <c r="AK56" i="24"/>
  <c r="AA56" i="24"/>
  <c r="AM58" i="24"/>
  <c r="AP58" i="25"/>
  <c r="K58" i="25" s="1"/>
  <c r="O58" i="25"/>
  <c r="G58" i="25" s="1"/>
  <c r="R58" i="25"/>
  <c r="AH58" i="25"/>
  <c r="AJ58" i="25"/>
  <c r="S58" i="25"/>
  <c r="AI58" i="25"/>
  <c r="A60" i="24"/>
  <c r="A60" i="25"/>
  <c r="AQ58" i="24"/>
  <c r="L58" i="24" s="1"/>
  <c r="O58" i="24"/>
  <c r="G58" i="24" s="1"/>
  <c r="AR58" i="25"/>
  <c r="L58" i="25" s="1"/>
  <c r="AI58" i="24"/>
  <c r="U58" i="24"/>
  <c r="B59" i="25"/>
  <c r="S59" i="25" s="1"/>
  <c r="N59" i="24"/>
  <c r="AO59" i="25"/>
  <c r="N59" i="25"/>
  <c r="C59" i="25"/>
  <c r="AK59" i="25" s="1"/>
  <c r="AP59" i="24"/>
  <c r="H59" i="19"/>
  <c r="A61" i="25"/>
  <c r="A61" i="24"/>
  <c r="C59" i="24"/>
  <c r="AM59" i="24" s="1"/>
  <c r="T58" i="19"/>
  <c r="X58" i="19"/>
  <c r="A14" i="14"/>
  <c r="E14" i="14" s="1"/>
  <c r="E58" i="24"/>
  <c r="I57" i="24"/>
  <c r="H58" i="24"/>
  <c r="AJ58" i="24" s="1"/>
  <c r="H57" i="25"/>
  <c r="AC61" i="25"/>
  <c r="AG61" i="24"/>
  <c r="AG60" i="24"/>
  <c r="P61" i="25"/>
  <c r="AE60" i="24"/>
  <c r="Z60" i="25"/>
  <c r="AS60" i="25"/>
  <c r="AD61" i="25"/>
  <c r="AH60" i="24"/>
  <c r="AF61" i="24"/>
  <c r="AS61" i="25"/>
  <c r="AC60" i="25"/>
  <c r="Q61" i="25"/>
  <c r="AC60" i="24"/>
  <c r="D285" i="14"/>
  <c r="AE60" i="25"/>
  <c r="Y60" i="25"/>
  <c r="AD60" i="24"/>
  <c r="Q60" i="25"/>
  <c r="AR61" i="24"/>
  <c r="R60" i="24"/>
  <c r="S60" i="24"/>
  <c r="X61" i="25"/>
  <c r="AQ60" i="25"/>
  <c r="R61" i="24"/>
  <c r="AD61" i="24"/>
  <c r="P60" i="25"/>
  <c r="AD60" i="25"/>
  <c r="T60" i="24"/>
  <c r="AA61" i="25"/>
  <c r="AA60" i="25"/>
  <c r="X60" i="25"/>
  <c r="AE61" i="24"/>
  <c r="AF60" i="24"/>
  <c r="Z61" i="25"/>
  <c r="S61" i="24"/>
  <c r="AB61" i="24"/>
  <c r="AB60" i="25"/>
  <c r="T61" i="24"/>
  <c r="AR60" i="24"/>
  <c r="AE61" i="25"/>
  <c r="AF60" i="25"/>
  <c r="Y61" i="25"/>
  <c r="AC61" i="24"/>
  <c r="AB60" i="24"/>
  <c r="AH61" i="24"/>
  <c r="AF61" i="25"/>
  <c r="AB61" i="25"/>
  <c r="AQ61" i="25"/>
  <c r="E59" i="25" l="1"/>
  <c r="AY60" i="8"/>
  <c r="AR60" i="7"/>
  <c r="AP60" i="5"/>
  <c r="AQ60" i="6"/>
  <c r="AY60" i="12"/>
  <c r="AW60" i="11"/>
  <c r="AO60" i="13"/>
  <c r="V56" i="25"/>
  <c r="AY60" i="11"/>
  <c r="AQ60" i="13"/>
  <c r="BA60" i="12"/>
  <c r="BA60" i="8"/>
  <c r="AR60" i="5"/>
  <c r="AS60" i="6"/>
  <c r="AT60" i="7"/>
  <c r="AX60" i="11"/>
  <c r="AP60" i="13"/>
  <c r="AZ60" i="12"/>
  <c r="AS60" i="7"/>
  <c r="AR60" i="6"/>
  <c r="AZ60" i="8"/>
  <c r="AQ60" i="5"/>
  <c r="O58" i="19"/>
  <c r="N58" i="19"/>
  <c r="K58" i="19"/>
  <c r="J58" i="19"/>
  <c r="M58" i="19"/>
  <c r="I58" i="19"/>
  <c r="AN59" i="25"/>
  <c r="AO60" i="24"/>
  <c r="AM59" i="25"/>
  <c r="AO61" i="24"/>
  <c r="AH59" i="13"/>
  <c r="L59" i="13" s="1"/>
  <c r="AD59" i="13"/>
  <c r="AC59" i="13"/>
  <c r="R59" i="13"/>
  <c r="H59" i="13" s="1"/>
  <c r="AB59" i="13" s="1"/>
  <c r="AR59" i="12"/>
  <c r="L59" i="12" s="1"/>
  <c r="AI59" i="12"/>
  <c r="AJ59" i="12"/>
  <c r="AH59" i="12"/>
  <c r="AK59" i="12"/>
  <c r="R59" i="12"/>
  <c r="H59" i="12" s="1"/>
  <c r="AG59" i="12"/>
  <c r="AG57" i="25"/>
  <c r="J57" i="25" s="1"/>
  <c r="W57" i="25" s="1"/>
  <c r="AL59" i="25"/>
  <c r="B60" i="25"/>
  <c r="S60" i="25" s="1"/>
  <c r="T59" i="19"/>
  <c r="AK57" i="24"/>
  <c r="AA57" i="24"/>
  <c r="O59" i="25"/>
  <c r="G59" i="25" s="1"/>
  <c r="AP59" i="25"/>
  <c r="K59" i="25" s="1"/>
  <c r="B60" i="24"/>
  <c r="V60" i="24" s="1"/>
  <c r="AH59" i="25"/>
  <c r="AJ59" i="25"/>
  <c r="AR59" i="25"/>
  <c r="L59" i="25" s="1"/>
  <c r="R59" i="25"/>
  <c r="H59" i="25" s="1"/>
  <c r="AI59" i="25"/>
  <c r="AQ59" i="24"/>
  <c r="L59" i="24" s="1"/>
  <c r="U59" i="24"/>
  <c r="I59" i="24" s="1"/>
  <c r="AK59" i="24" s="1"/>
  <c r="AI59" i="24"/>
  <c r="Q59" i="24"/>
  <c r="H59" i="24" s="1"/>
  <c r="AJ59" i="24" s="1"/>
  <c r="E59" i="24"/>
  <c r="O59" i="24"/>
  <c r="G59" i="24" s="1"/>
  <c r="N60" i="24"/>
  <c r="AO60" i="25"/>
  <c r="N60" i="25"/>
  <c r="C60" i="25"/>
  <c r="AJ60" i="25" s="1"/>
  <c r="AP60" i="24"/>
  <c r="B61" i="24"/>
  <c r="V61" i="24" s="1"/>
  <c r="B61" i="25"/>
  <c r="S61" i="25" s="1"/>
  <c r="A62" i="25"/>
  <c r="A62" i="24"/>
  <c r="H60" i="19"/>
  <c r="C60" i="24"/>
  <c r="AM60" i="24" s="1"/>
  <c r="X59" i="19"/>
  <c r="I58" i="24"/>
  <c r="H58" i="25"/>
  <c r="AS62" i="25"/>
  <c r="AD62" i="25"/>
  <c r="U867" i="21"/>
  <c r="AE62" i="24"/>
  <c r="S62" i="24"/>
  <c r="AB62" i="25"/>
  <c r="AF62" i="24"/>
  <c r="AA62" i="25"/>
  <c r="T62" i="24"/>
  <c r="T974" i="21"/>
  <c r="AB62" i="24"/>
  <c r="R62" i="24"/>
  <c r="Q62" i="25"/>
  <c r="AD62" i="24"/>
  <c r="AC62" i="24"/>
  <c r="P62" i="25"/>
  <c r="AC62" i="25"/>
  <c r="D286" i="14"/>
  <c r="AG62" i="24"/>
  <c r="AR62" i="24"/>
  <c r="Z62" i="25"/>
  <c r="AQ62" i="25"/>
  <c r="AH62" i="24"/>
  <c r="X62" i="25"/>
  <c r="Y62" i="25"/>
  <c r="AF62" i="25"/>
  <c r="AE62" i="25"/>
  <c r="E60" i="25" l="1"/>
  <c r="AO61" i="13"/>
  <c r="AY61" i="12"/>
  <c r="AW61" i="11"/>
  <c r="AY61" i="8"/>
  <c r="AR61" i="7"/>
  <c r="AP61" i="5"/>
  <c r="AQ61" i="6"/>
  <c r="V57" i="25"/>
  <c r="AQ61" i="13"/>
  <c r="BA61" i="12"/>
  <c r="AY61" i="11"/>
  <c r="BA61" i="8"/>
  <c r="AT61" i="7"/>
  <c r="AR61" i="5"/>
  <c r="AS61" i="6"/>
  <c r="AP61" i="13"/>
  <c r="AZ61" i="12"/>
  <c r="AX61" i="11"/>
  <c r="AQ61" i="5"/>
  <c r="AS61" i="7"/>
  <c r="AZ61" i="8"/>
  <c r="AR61" i="6"/>
  <c r="K59" i="19"/>
  <c r="O59" i="19"/>
  <c r="N59" i="19"/>
  <c r="J59" i="19"/>
  <c r="I59" i="19"/>
  <c r="M59" i="19"/>
  <c r="AN61" i="25"/>
  <c r="AM60" i="25"/>
  <c r="AM61" i="25"/>
  <c r="AO62" i="24"/>
  <c r="AN60" i="25"/>
  <c r="AD60" i="13"/>
  <c r="AC60" i="13"/>
  <c r="AH60" i="13"/>
  <c r="L60" i="13" s="1"/>
  <c r="R60" i="13"/>
  <c r="H60" i="13" s="1"/>
  <c r="AB60" i="13" s="1"/>
  <c r="J59" i="13"/>
  <c r="AK60" i="12"/>
  <c r="R60" i="12"/>
  <c r="H60" i="12" s="1"/>
  <c r="AG60" i="12"/>
  <c r="AJ60" i="12"/>
  <c r="AH60" i="12"/>
  <c r="AI60" i="12"/>
  <c r="AR60" i="12"/>
  <c r="L60" i="12" s="1"/>
  <c r="J59" i="12"/>
  <c r="W59" i="12" s="1"/>
  <c r="AG58" i="25"/>
  <c r="J58" i="25" s="1"/>
  <c r="V58" i="25" s="1"/>
  <c r="AG59" i="25"/>
  <c r="J59" i="25" s="1"/>
  <c r="V59" i="25" s="1"/>
  <c r="W60" i="24"/>
  <c r="AL60" i="25"/>
  <c r="AL61" i="25"/>
  <c r="W61" i="24"/>
  <c r="AN61" i="24"/>
  <c r="AN60" i="24"/>
  <c r="T60" i="19"/>
  <c r="AP60" i="25"/>
  <c r="K60" i="25" s="1"/>
  <c r="AA59" i="24"/>
  <c r="AA58" i="24"/>
  <c r="AK60" i="25"/>
  <c r="AH60" i="25"/>
  <c r="AR60" i="25"/>
  <c r="L60" i="25" s="1"/>
  <c r="O60" i="25"/>
  <c r="G60" i="25" s="1"/>
  <c r="AI60" i="25"/>
  <c r="R60" i="25"/>
  <c r="H60" i="25" s="1"/>
  <c r="AI60" i="24"/>
  <c r="Q60" i="24"/>
  <c r="H60" i="24" s="1"/>
  <c r="AJ60" i="24" s="1"/>
  <c r="U60" i="24"/>
  <c r="AK58" i="24"/>
  <c r="E60" i="24"/>
  <c r="O60" i="24"/>
  <c r="G60" i="24" s="1"/>
  <c r="AQ60" i="24"/>
  <c r="L60" i="24" s="1"/>
  <c r="AO61" i="25"/>
  <c r="N61" i="24"/>
  <c r="C61" i="25"/>
  <c r="N61" i="25"/>
  <c r="AP61" i="24"/>
  <c r="H61" i="19"/>
  <c r="A63" i="24"/>
  <c r="A63" i="25"/>
  <c r="B62" i="24"/>
  <c r="AN62" i="24" s="1"/>
  <c r="B62" i="25"/>
  <c r="S62" i="25" s="1"/>
  <c r="C61" i="24"/>
  <c r="AM61" i="24" s="1"/>
  <c r="X60" i="19"/>
  <c r="Q63" i="25"/>
  <c r="P63" i="25"/>
  <c r="T63" i="24"/>
  <c r="AD63" i="25"/>
  <c r="AF63" i="25"/>
  <c r="AE63" i="25"/>
  <c r="T975" i="21"/>
  <c r="R63" i="24"/>
  <c r="AS63" i="25"/>
  <c r="AB63" i="25"/>
  <c r="Y63" i="25"/>
  <c r="AD63" i="24"/>
  <c r="AA63" i="25"/>
  <c r="AE63" i="24"/>
  <c r="AG63" i="24"/>
  <c r="AQ63" i="25"/>
  <c r="AB63" i="24"/>
  <c r="AF63" i="24"/>
  <c r="X63" i="25"/>
  <c r="AC63" i="24"/>
  <c r="U868" i="21"/>
  <c r="AC63" i="25"/>
  <c r="AH63" i="24"/>
  <c r="AR63" i="24"/>
  <c r="Z63" i="25"/>
  <c r="S63" i="24"/>
  <c r="D287" i="14"/>
  <c r="E61" i="25" l="1"/>
  <c r="AW62" i="11"/>
  <c r="AO62" i="13"/>
  <c r="AY62" i="12"/>
  <c r="AY62" i="8"/>
  <c r="AR62" i="7"/>
  <c r="AP62" i="5"/>
  <c r="AQ62" i="6"/>
  <c r="BA62" i="12"/>
  <c r="AQ62" i="13"/>
  <c r="AY62" i="11"/>
  <c r="AT62" i="7"/>
  <c r="BA62" i="8"/>
  <c r="AS62" i="6"/>
  <c r="AR62" i="5"/>
  <c r="AP62" i="13"/>
  <c r="AZ62" i="12"/>
  <c r="AX62" i="11"/>
  <c r="AZ62" i="8"/>
  <c r="AR62" i="6"/>
  <c r="AQ62" i="5"/>
  <c r="AS62" i="7"/>
  <c r="I60" i="19"/>
  <c r="M60" i="19"/>
  <c r="N60" i="19"/>
  <c r="O60" i="19"/>
  <c r="J60" i="19"/>
  <c r="K60" i="19"/>
  <c r="AM62" i="25"/>
  <c r="AN62" i="25"/>
  <c r="AO63" i="24"/>
  <c r="J60" i="12"/>
  <c r="W60" i="12" s="1"/>
  <c r="AH61" i="13"/>
  <c r="L61" i="13" s="1"/>
  <c r="AC61" i="13"/>
  <c r="AD61" i="13"/>
  <c r="R61" i="13"/>
  <c r="H61" i="13" s="1"/>
  <c r="AB61" i="13" s="1"/>
  <c r="J60" i="13"/>
  <c r="AJ61" i="12"/>
  <c r="R61" i="12"/>
  <c r="H61" i="12" s="1"/>
  <c r="AG61" i="12"/>
  <c r="AR61" i="12"/>
  <c r="L61" i="12" s="1"/>
  <c r="AI61" i="12"/>
  <c r="AH61" i="12"/>
  <c r="AK61" i="12"/>
  <c r="W58" i="25"/>
  <c r="W59" i="25"/>
  <c r="I59" i="25" s="1"/>
  <c r="AG60" i="25"/>
  <c r="J60" i="25" s="1"/>
  <c r="W60" i="25" s="1"/>
  <c r="I60" i="24"/>
  <c r="AK60" i="24" s="1"/>
  <c r="W62" i="24"/>
  <c r="AL62" i="25"/>
  <c r="T61" i="19"/>
  <c r="C62" i="24"/>
  <c r="U62" i="24" s="1"/>
  <c r="C62" i="25"/>
  <c r="AR62" i="25" s="1"/>
  <c r="L62" i="25" s="1"/>
  <c r="AP61" i="25"/>
  <c r="K61" i="25" s="1"/>
  <c r="R61" i="25"/>
  <c r="H61" i="25" s="1"/>
  <c r="AR61" i="25"/>
  <c r="L61" i="25" s="1"/>
  <c r="AI61" i="25"/>
  <c r="AK61" i="25"/>
  <c r="AH61" i="25"/>
  <c r="AJ61" i="25"/>
  <c r="O61" i="25"/>
  <c r="G61" i="25" s="1"/>
  <c r="E61" i="24"/>
  <c r="O61" i="24"/>
  <c r="G61" i="24" s="1"/>
  <c r="V62" i="24"/>
  <c r="AQ61" i="24"/>
  <c r="L61" i="24" s="1"/>
  <c r="U61" i="24"/>
  <c r="I61" i="24" s="1"/>
  <c r="AK61" i="24" s="1"/>
  <c r="Q61" i="24"/>
  <c r="H61" i="24" s="1"/>
  <c r="AJ61" i="24" s="1"/>
  <c r="AI61" i="24"/>
  <c r="N62" i="24"/>
  <c r="N62" i="25"/>
  <c r="AO62" i="25"/>
  <c r="AP62" i="24"/>
  <c r="B63" i="25"/>
  <c r="AM63" i="25" s="1"/>
  <c r="A64" i="25"/>
  <c r="A64" i="24"/>
  <c r="H62" i="19"/>
  <c r="B63" i="24"/>
  <c r="V63" i="24" s="1"/>
  <c r="X61" i="19"/>
  <c r="Q64" i="25"/>
  <c r="R64" i="24"/>
  <c r="Y64" i="25"/>
  <c r="AE64" i="25"/>
  <c r="X64" i="25"/>
  <c r="AD64" i="25"/>
  <c r="AF64" i="25"/>
  <c r="T976" i="21"/>
  <c r="AA64" i="25"/>
  <c r="AS64" i="25"/>
  <c r="AC64" i="24"/>
  <c r="T64" i="24"/>
  <c r="AB64" i="25"/>
  <c r="AE64" i="24"/>
  <c r="U869" i="21"/>
  <c r="P64" i="25"/>
  <c r="AF64" i="24"/>
  <c r="AD64" i="24"/>
  <c r="AR64" i="24"/>
  <c r="S64" i="24"/>
  <c r="AB64" i="24"/>
  <c r="AH64" i="24"/>
  <c r="AC64" i="25"/>
  <c r="Z64" i="25"/>
  <c r="AQ64" i="25"/>
  <c r="D288" i="14"/>
  <c r="AG64" i="24"/>
  <c r="E62" i="25" l="1"/>
  <c r="AY63" i="8"/>
  <c r="AQ63" i="6"/>
  <c r="AR63" i="7"/>
  <c r="AP63" i="5"/>
  <c r="AW63" i="11"/>
  <c r="AO63" i="13"/>
  <c r="AY63" i="12"/>
  <c r="V60" i="25"/>
  <c r="I60" i="25" s="1"/>
  <c r="AS63" i="6"/>
  <c r="AR63" i="5"/>
  <c r="BA63" i="8"/>
  <c r="AT63" i="7"/>
  <c r="BA63" i="12"/>
  <c r="AY63" i="11"/>
  <c r="AQ63" i="13"/>
  <c r="AP63" i="13"/>
  <c r="AZ63" i="12"/>
  <c r="AX63" i="11"/>
  <c r="AZ63" i="8"/>
  <c r="AS63" i="7"/>
  <c r="AQ63" i="5"/>
  <c r="AR63" i="6"/>
  <c r="J61" i="19"/>
  <c r="O61" i="19"/>
  <c r="K61" i="19"/>
  <c r="N61" i="19"/>
  <c r="I61" i="19"/>
  <c r="M61" i="19"/>
  <c r="AN63" i="25"/>
  <c r="AO64" i="24"/>
  <c r="T62" i="19"/>
  <c r="T63" i="19" s="1"/>
  <c r="J61" i="13"/>
  <c r="AH62" i="13"/>
  <c r="L62" i="13" s="1"/>
  <c r="AD62" i="13"/>
  <c r="AC62" i="13"/>
  <c r="R62" i="13"/>
  <c r="H62" i="13" s="1"/>
  <c r="AB62" i="13" s="1"/>
  <c r="AJ62" i="12"/>
  <c r="AI62" i="12"/>
  <c r="AR62" i="12"/>
  <c r="L62" i="12" s="1"/>
  <c r="AH62" i="12"/>
  <c r="R62" i="12"/>
  <c r="H62" i="12" s="1"/>
  <c r="AG62" i="12"/>
  <c r="AK62" i="12"/>
  <c r="J61" i="12"/>
  <c r="W61" i="12" s="1"/>
  <c r="AG61" i="25"/>
  <c r="J61" i="25" s="1"/>
  <c r="V61" i="25" s="1"/>
  <c r="AA60" i="24"/>
  <c r="AL63" i="25"/>
  <c r="AN63" i="24"/>
  <c r="W63" i="24"/>
  <c r="AM62" i="24"/>
  <c r="C63" i="24"/>
  <c r="U63" i="24" s="1"/>
  <c r="C63" i="25"/>
  <c r="AR63" i="25" s="1"/>
  <c r="L63" i="25" s="1"/>
  <c r="AK62" i="25"/>
  <c r="AI62" i="24"/>
  <c r="Q62" i="24"/>
  <c r="H62" i="24" s="1"/>
  <c r="AJ62" i="24" s="1"/>
  <c r="AH62" i="25"/>
  <c r="R62" i="25"/>
  <c r="H62" i="25" s="1"/>
  <c r="AI62" i="25"/>
  <c r="AJ62" i="25"/>
  <c r="AA61" i="24"/>
  <c r="O62" i="25"/>
  <c r="G62" i="25" s="1"/>
  <c r="AP62" i="25"/>
  <c r="K62" i="25" s="1"/>
  <c r="S63" i="25"/>
  <c r="E62" i="24"/>
  <c r="O62" i="24"/>
  <c r="G62" i="24" s="1"/>
  <c r="AQ62" i="24"/>
  <c r="L62" i="24" s="1"/>
  <c r="I62" i="24"/>
  <c r="N63" i="24"/>
  <c r="N63" i="25"/>
  <c r="AO63" i="25"/>
  <c r="AP63" i="24"/>
  <c r="A65" i="25"/>
  <c r="A65" i="24"/>
  <c r="H63" i="19"/>
  <c r="B64" i="24"/>
  <c r="W64" i="24" s="1"/>
  <c r="B64" i="25"/>
  <c r="AN64" i="25" s="1"/>
  <c r="M59" i="25"/>
  <c r="F59" i="25" s="1"/>
  <c r="P56" i="19" s="1"/>
  <c r="X62" i="19"/>
  <c r="AF65" i="24"/>
  <c r="AE65" i="24"/>
  <c r="AB65" i="25"/>
  <c r="Y65" i="25"/>
  <c r="AD65" i="24"/>
  <c r="S65" i="24"/>
  <c r="AC65" i="25"/>
  <c r="AS65" i="25"/>
  <c r="AH65" i="24"/>
  <c r="D289" i="14"/>
  <c r="AA65" i="25"/>
  <c r="X65" i="25"/>
  <c r="P65" i="25"/>
  <c r="R65" i="24"/>
  <c r="AD65" i="25"/>
  <c r="Q65" i="25"/>
  <c r="T977" i="21"/>
  <c r="AB65" i="24"/>
  <c r="AG65" i="24"/>
  <c r="AC65" i="24"/>
  <c r="AQ65" i="25"/>
  <c r="T65" i="24"/>
  <c r="AF65" i="25"/>
  <c r="Z65" i="25"/>
  <c r="U870" i="21"/>
  <c r="AE65" i="25"/>
  <c r="AR65" i="24"/>
  <c r="E63" i="25" l="1"/>
  <c r="AW64" i="11"/>
  <c r="AO64" i="13"/>
  <c r="AY64" i="12"/>
  <c r="AQ64" i="6"/>
  <c r="AP64" i="5"/>
  <c r="AY64" i="8"/>
  <c r="AR64" i="7"/>
  <c r="AY64" i="11"/>
  <c r="AQ64" i="13"/>
  <c r="BA64" i="12"/>
  <c r="BA64" i="8"/>
  <c r="AS64" i="6"/>
  <c r="AT64" i="7"/>
  <c r="AR64" i="5"/>
  <c r="AX64" i="11"/>
  <c r="AP64" i="13"/>
  <c r="AZ64" i="12"/>
  <c r="AR64" i="6"/>
  <c r="AS64" i="7"/>
  <c r="AZ64" i="8"/>
  <c r="AQ64" i="5"/>
  <c r="M63" i="19"/>
  <c r="I63" i="19"/>
  <c r="J62" i="19"/>
  <c r="O62" i="19"/>
  <c r="N62" i="19"/>
  <c r="K62" i="19"/>
  <c r="M62" i="19"/>
  <c r="I62" i="19"/>
  <c r="AM64" i="25"/>
  <c r="AO65" i="24"/>
  <c r="AH63" i="13"/>
  <c r="L63" i="13" s="1"/>
  <c r="AC63" i="13"/>
  <c r="AD63" i="13"/>
  <c r="R63" i="13"/>
  <c r="H63" i="13" s="1"/>
  <c r="AB63" i="13" s="1"/>
  <c r="AR63" i="12"/>
  <c r="L63" i="12" s="1"/>
  <c r="AH63" i="12"/>
  <c r="AG63" i="12"/>
  <c r="AJ63" i="12"/>
  <c r="R63" i="12"/>
  <c r="H63" i="12" s="1"/>
  <c r="AK63" i="12"/>
  <c r="AI63" i="12"/>
  <c r="J62" i="13"/>
  <c r="AM63" i="24"/>
  <c r="J62" i="12"/>
  <c r="W62" i="12" s="1"/>
  <c r="W61" i="25"/>
  <c r="AG62" i="25"/>
  <c r="J62" i="25" s="1"/>
  <c r="V62" i="25" s="1"/>
  <c r="AL64" i="25"/>
  <c r="AN64" i="24"/>
  <c r="C64" i="25"/>
  <c r="AK64" i="25" s="1"/>
  <c r="C64" i="24"/>
  <c r="AI64" i="24" s="1"/>
  <c r="AJ63" i="25"/>
  <c r="AK63" i="25"/>
  <c r="AH63" i="25"/>
  <c r="R63" i="25"/>
  <c r="H63" i="25" s="1"/>
  <c r="AI63" i="24"/>
  <c r="AI63" i="25"/>
  <c r="Q63" i="24"/>
  <c r="H63" i="24" s="1"/>
  <c r="AJ63" i="24" s="1"/>
  <c r="AA62" i="24"/>
  <c r="AK62" i="24"/>
  <c r="S64" i="25"/>
  <c r="AP63" i="25"/>
  <c r="K63" i="25" s="1"/>
  <c r="O63" i="25"/>
  <c r="G63" i="25" s="1"/>
  <c r="V64" i="24"/>
  <c r="E63" i="24"/>
  <c r="O63" i="24"/>
  <c r="G63" i="24" s="1"/>
  <c r="AQ63" i="24"/>
  <c r="L63" i="24" s="1"/>
  <c r="I63" i="24"/>
  <c r="N64" i="24"/>
  <c r="N64" i="25"/>
  <c r="AO64" i="25"/>
  <c r="AP64" i="24"/>
  <c r="B65" i="25"/>
  <c r="AN65" i="25" s="1"/>
  <c r="A66" i="25"/>
  <c r="A66" i="24"/>
  <c r="H64" i="19"/>
  <c r="B65" i="24"/>
  <c r="AN65" i="24" s="1"/>
  <c r="D59" i="25"/>
  <c r="M60" i="25"/>
  <c r="F60" i="25" s="1"/>
  <c r="P57" i="19" s="1"/>
  <c r="X63" i="19"/>
  <c r="T64" i="19"/>
  <c r="I58" i="25"/>
  <c r="M58" i="25" s="1"/>
  <c r="AE66" i="24"/>
  <c r="T66" i="24"/>
  <c r="AF66" i="24"/>
  <c r="U871" i="21"/>
  <c r="X66" i="25"/>
  <c r="AQ66" i="25"/>
  <c r="AB66" i="24"/>
  <c r="Y66" i="25"/>
  <c r="AR66" i="24"/>
  <c r="AA66" i="25"/>
  <c r="AH66" i="24"/>
  <c r="D290" i="14"/>
  <c r="P66" i="25"/>
  <c r="AG66" i="24"/>
  <c r="Z66" i="25"/>
  <c r="Q66" i="25"/>
  <c r="R66" i="24"/>
  <c r="S66" i="24"/>
  <c r="D291" i="14"/>
  <c r="AF66" i="25"/>
  <c r="AD66" i="25"/>
  <c r="AC66" i="25"/>
  <c r="AC66" i="24"/>
  <c r="AB66" i="25"/>
  <c r="T978" i="21"/>
  <c r="AE66" i="25"/>
  <c r="AD66" i="24"/>
  <c r="AS66" i="25"/>
  <c r="E64" i="25" l="1"/>
  <c r="C65" i="24"/>
  <c r="Q65" i="24" s="1"/>
  <c r="H65" i="24" s="1"/>
  <c r="AJ65" i="24" s="1"/>
  <c r="AQ65" i="6"/>
  <c r="AR65" i="7"/>
  <c r="AY65" i="8"/>
  <c r="AP65" i="5"/>
  <c r="AW65" i="11"/>
  <c r="AO65" i="13"/>
  <c r="AY65" i="12"/>
  <c r="AY66" i="12"/>
  <c r="AO66" i="13"/>
  <c r="AW66" i="11"/>
  <c r="AQ66" i="6"/>
  <c r="AR66" i="7"/>
  <c r="AY66" i="8"/>
  <c r="AP66" i="5"/>
  <c r="AQ65" i="13"/>
  <c r="AY65" i="11"/>
  <c r="BA65" i="12"/>
  <c r="BA65" i="8"/>
  <c r="AT65" i="7"/>
  <c r="AS65" i="6"/>
  <c r="AR65" i="5"/>
  <c r="AX65" i="11"/>
  <c r="AP65" i="13"/>
  <c r="AZ65" i="12"/>
  <c r="AQ65" i="5"/>
  <c r="AR65" i="6"/>
  <c r="AZ65" i="8"/>
  <c r="AS65" i="7"/>
  <c r="C65" i="25"/>
  <c r="AR65" i="25" s="1"/>
  <c r="L65" i="25" s="1"/>
  <c r="AD65" i="13"/>
  <c r="K63" i="19"/>
  <c r="J63" i="19"/>
  <c r="N63" i="19"/>
  <c r="O63" i="19"/>
  <c r="M64" i="19"/>
  <c r="I64" i="19"/>
  <c r="AO66" i="24"/>
  <c r="AM65" i="25"/>
  <c r="J63" i="13"/>
  <c r="AJ65" i="12"/>
  <c r="AK65" i="12"/>
  <c r="AR65" i="12"/>
  <c r="L65" i="12" s="1"/>
  <c r="R65" i="12"/>
  <c r="H65" i="12" s="1"/>
  <c r="AI65" i="12"/>
  <c r="AG65" i="12"/>
  <c r="AH65" i="12"/>
  <c r="J63" i="12"/>
  <c r="W63" i="12" s="1"/>
  <c r="R64" i="13"/>
  <c r="H64" i="13" s="1"/>
  <c r="AB64" i="13" s="1"/>
  <c r="AC64" i="13"/>
  <c r="AD64" i="13"/>
  <c r="AH64" i="13"/>
  <c r="L64" i="13" s="1"/>
  <c r="R64" i="12"/>
  <c r="H64" i="12" s="1"/>
  <c r="AR64" i="12"/>
  <c r="L64" i="12" s="1"/>
  <c r="AH64" i="12"/>
  <c r="AI64" i="12"/>
  <c r="AK64" i="12"/>
  <c r="AJ64" i="12"/>
  <c r="AG64" i="12"/>
  <c r="I61" i="25"/>
  <c r="M61" i="25" s="1"/>
  <c r="W62" i="25"/>
  <c r="I62" i="25" s="1"/>
  <c r="M62" i="25" s="1"/>
  <c r="F62" i="25" s="1"/>
  <c r="P59" i="19" s="1"/>
  <c r="AG63" i="25"/>
  <c r="J63" i="25" s="1"/>
  <c r="W63" i="25" s="1"/>
  <c r="W65" i="24"/>
  <c r="AL65" i="25"/>
  <c r="AR64" i="25"/>
  <c r="L64" i="25" s="1"/>
  <c r="R64" i="25"/>
  <c r="H64" i="25" s="1"/>
  <c r="AJ64" i="25"/>
  <c r="AI64" i="25"/>
  <c r="AH64" i="25"/>
  <c r="AM64" i="24"/>
  <c r="Q64" i="24"/>
  <c r="H64" i="24" s="1"/>
  <c r="AJ64" i="24" s="1"/>
  <c r="U64" i="24"/>
  <c r="I64" i="24" s="1"/>
  <c r="AM65" i="24"/>
  <c r="AA63" i="24"/>
  <c r="V65" i="24"/>
  <c r="O64" i="25"/>
  <c r="G64" i="25" s="1"/>
  <c r="S65" i="25"/>
  <c r="AH65" i="25"/>
  <c r="AP64" i="25"/>
  <c r="K64" i="25" s="1"/>
  <c r="U65" i="24"/>
  <c r="AQ64" i="24"/>
  <c r="L64" i="24" s="1"/>
  <c r="E64" i="24"/>
  <c r="O64" i="24"/>
  <c r="G64" i="24" s="1"/>
  <c r="AK63" i="24"/>
  <c r="AI65" i="24"/>
  <c r="N65" i="25"/>
  <c r="N65" i="24"/>
  <c r="AO65" i="25"/>
  <c r="C66" i="25"/>
  <c r="R66" i="25" s="1"/>
  <c r="AP65" i="24"/>
  <c r="A67" i="24"/>
  <c r="A67" i="25"/>
  <c r="H65" i="19"/>
  <c r="B66" i="25"/>
  <c r="S66" i="25" s="1"/>
  <c r="B66" i="24"/>
  <c r="V66" i="24" s="1"/>
  <c r="D60" i="25"/>
  <c r="C66" i="24"/>
  <c r="X64" i="19"/>
  <c r="T65" i="19"/>
  <c r="F58" i="25"/>
  <c r="P55" i="19" s="1"/>
  <c r="A17" i="9"/>
  <c r="E17" i="9" s="1"/>
  <c r="R67" i="24"/>
  <c r="D292" i="14"/>
  <c r="Q67" i="25"/>
  <c r="T67" i="24"/>
  <c r="AR67" i="24"/>
  <c r="AQ67" i="25"/>
  <c r="AA67" i="25"/>
  <c r="AS67" i="25"/>
  <c r="P67" i="25"/>
  <c r="U873" i="21"/>
  <c r="Z67" i="25"/>
  <c r="AC67" i="25"/>
  <c r="AG67" i="24"/>
  <c r="T979" i="21"/>
  <c r="S67" i="24"/>
  <c r="AE67" i="24"/>
  <c r="AH67" i="24"/>
  <c r="X67" i="25"/>
  <c r="U872" i="21"/>
  <c r="T980" i="21"/>
  <c r="AF67" i="24"/>
  <c r="AF67" i="25"/>
  <c r="AB67" i="25"/>
  <c r="AC67" i="24"/>
  <c r="Y67" i="25"/>
  <c r="AD67" i="24"/>
  <c r="AE67" i="25"/>
  <c r="AB67" i="24"/>
  <c r="AD67" i="25"/>
  <c r="E65" i="25" l="1"/>
  <c r="AI65" i="25"/>
  <c r="AY67" i="8"/>
  <c r="AR67" i="7"/>
  <c r="AP67" i="5"/>
  <c r="AQ67" i="6"/>
  <c r="AY67" i="12"/>
  <c r="AO67" i="13"/>
  <c r="AW67" i="11"/>
  <c r="R65" i="25"/>
  <c r="H65" i="25" s="1"/>
  <c r="AK65" i="25"/>
  <c r="AJ65" i="25"/>
  <c r="V63" i="25"/>
  <c r="I63" i="25" s="1"/>
  <c r="M63" i="25" s="1"/>
  <c r="F63" i="25" s="1"/>
  <c r="P60" i="19" s="1"/>
  <c r="BA66" i="12"/>
  <c r="AQ66" i="13"/>
  <c r="AY66" i="11"/>
  <c r="AR66" i="5"/>
  <c r="BA66" i="8"/>
  <c r="AT66" i="7"/>
  <c r="AS66" i="6"/>
  <c r="AP66" i="13"/>
  <c r="AZ66" i="12"/>
  <c r="AX66" i="11"/>
  <c r="AS66" i="7"/>
  <c r="AQ66" i="5"/>
  <c r="AZ66" i="8"/>
  <c r="AR66" i="6"/>
  <c r="R65" i="13"/>
  <c r="H65" i="13" s="1"/>
  <c r="AB65" i="13" s="1"/>
  <c r="AH65" i="13"/>
  <c r="L65" i="13" s="1"/>
  <c r="AC65" i="13"/>
  <c r="M65" i="19"/>
  <c r="I65" i="19"/>
  <c r="N64" i="19"/>
  <c r="K64" i="19"/>
  <c r="J64" i="19"/>
  <c r="O64" i="19"/>
  <c r="AN66" i="25"/>
  <c r="AO67" i="24"/>
  <c r="AM66" i="25"/>
  <c r="J65" i="12"/>
  <c r="W65" i="12" s="1"/>
  <c r="AH66" i="13"/>
  <c r="L66" i="13" s="1"/>
  <c r="R66" i="13"/>
  <c r="H66" i="13" s="1"/>
  <c r="AB66" i="13" s="1"/>
  <c r="AD66" i="13"/>
  <c r="AC66" i="13"/>
  <c r="AR66" i="12"/>
  <c r="L66" i="12" s="1"/>
  <c r="AH66" i="12"/>
  <c r="AI66" i="12"/>
  <c r="AK66" i="12"/>
  <c r="AG66" i="12"/>
  <c r="R66" i="12"/>
  <c r="H66" i="12" s="1"/>
  <c r="AJ66" i="12"/>
  <c r="J64" i="12"/>
  <c r="W64" i="12" s="1"/>
  <c r="J64" i="13"/>
  <c r="F61" i="25"/>
  <c r="P58" i="19" s="1"/>
  <c r="AG64" i="25"/>
  <c r="J64" i="25" s="1"/>
  <c r="V64" i="25" s="1"/>
  <c r="AL66" i="25"/>
  <c r="AN66" i="24"/>
  <c r="W66" i="24"/>
  <c r="AK64" i="24"/>
  <c r="AA64" i="24"/>
  <c r="AM66" i="24"/>
  <c r="AR66" i="25"/>
  <c r="L66" i="25" s="1"/>
  <c r="AH66" i="25"/>
  <c r="AI66" i="24"/>
  <c r="AI66" i="25"/>
  <c r="AK66" i="25"/>
  <c r="O65" i="25"/>
  <c r="G65" i="25" s="1"/>
  <c r="AJ66" i="25"/>
  <c r="AP65" i="25"/>
  <c r="K65" i="25" s="1"/>
  <c r="AQ65" i="24"/>
  <c r="L65" i="24" s="1"/>
  <c r="U66" i="24"/>
  <c r="Q66" i="24"/>
  <c r="H66" i="24" s="1"/>
  <c r="AJ66" i="24" s="1"/>
  <c r="E65" i="24"/>
  <c r="O65" i="24"/>
  <c r="G65" i="24" s="1"/>
  <c r="I65" i="24"/>
  <c r="N66" i="24"/>
  <c r="C67" i="25"/>
  <c r="AO66" i="25"/>
  <c r="N66" i="25"/>
  <c r="E66" i="25" s="1"/>
  <c r="AP66" i="24"/>
  <c r="A68" i="25"/>
  <c r="A68" i="24"/>
  <c r="H66" i="19"/>
  <c r="B67" i="24"/>
  <c r="W67" i="24" s="1"/>
  <c r="B67" i="25"/>
  <c r="S67" i="25" s="1"/>
  <c r="D62" i="25"/>
  <c r="C67" i="24"/>
  <c r="Q67" i="24" s="1"/>
  <c r="X65" i="19"/>
  <c r="T66" i="19"/>
  <c r="D58" i="25"/>
  <c r="AD68" i="24"/>
  <c r="S68" i="24"/>
  <c r="AG68" i="24"/>
  <c r="AB68" i="25"/>
  <c r="AF68" i="24"/>
  <c r="X68" i="25"/>
  <c r="AC68" i="25"/>
  <c r="AE68" i="25"/>
  <c r="AC68" i="24"/>
  <c r="AE68" i="24"/>
  <c r="Y68" i="25"/>
  <c r="AS68" i="25"/>
  <c r="AF68" i="25"/>
  <c r="AH68" i="24"/>
  <c r="U874" i="21"/>
  <c r="P68" i="25"/>
  <c r="Q68" i="25"/>
  <c r="T981" i="21"/>
  <c r="D293" i="14"/>
  <c r="R68" i="24"/>
  <c r="AD68" i="25"/>
  <c r="T68" i="24"/>
  <c r="AR68" i="24"/>
  <c r="Z68" i="25"/>
  <c r="AQ68" i="25"/>
  <c r="AB68" i="24"/>
  <c r="AA68" i="25"/>
  <c r="AY68" i="12" l="1"/>
  <c r="AW68" i="11"/>
  <c r="AO68" i="13"/>
  <c r="AY68" i="8"/>
  <c r="AR68" i="7"/>
  <c r="AP68" i="5"/>
  <c r="AQ68" i="6"/>
  <c r="BA67" i="12"/>
  <c r="AY67" i="11"/>
  <c r="AQ67" i="13"/>
  <c r="AS67" i="6"/>
  <c r="AR67" i="5"/>
  <c r="AT67" i="7"/>
  <c r="BA67" i="8"/>
  <c r="AP67" i="13"/>
  <c r="AZ67" i="12"/>
  <c r="AX67" i="11"/>
  <c r="AZ67" i="8"/>
  <c r="AR67" i="6"/>
  <c r="AQ67" i="5"/>
  <c r="AS67" i="7"/>
  <c r="J65" i="13"/>
  <c r="M66" i="19"/>
  <c r="I66" i="19"/>
  <c r="N65" i="19"/>
  <c r="K65" i="19"/>
  <c r="J65" i="19"/>
  <c r="O65" i="19"/>
  <c r="AO68" i="24"/>
  <c r="AN67" i="25"/>
  <c r="AM67" i="25"/>
  <c r="J66" i="13"/>
  <c r="R67" i="13"/>
  <c r="H67" i="13" s="1"/>
  <c r="AB67" i="13" s="1"/>
  <c r="AD67" i="13"/>
  <c r="AH67" i="13"/>
  <c r="L67" i="13" s="1"/>
  <c r="AC67" i="13"/>
  <c r="R67" i="12"/>
  <c r="H67" i="12" s="1"/>
  <c r="AG67" i="12"/>
  <c r="AR67" i="12"/>
  <c r="L67" i="12" s="1"/>
  <c r="AH67" i="12"/>
  <c r="AJ67" i="12"/>
  <c r="AI67" i="12"/>
  <c r="AK67" i="12"/>
  <c r="J66" i="12"/>
  <c r="W66" i="12" s="1"/>
  <c r="D61" i="25"/>
  <c r="W64" i="25"/>
  <c r="I64" i="25" s="1"/>
  <c r="M64" i="25" s="1"/>
  <c r="F64" i="25" s="1"/>
  <c r="P61" i="19" s="1"/>
  <c r="AG65" i="25"/>
  <c r="J65" i="25" s="1"/>
  <c r="W65" i="25" s="1"/>
  <c r="AL67" i="25"/>
  <c r="AN67" i="24"/>
  <c r="AM67" i="24"/>
  <c r="AA65" i="24"/>
  <c r="AK65" i="24"/>
  <c r="AI67" i="24"/>
  <c r="U67" i="24"/>
  <c r="AJ67" i="25"/>
  <c r="AR67" i="25"/>
  <c r="L67" i="25" s="1"/>
  <c r="V67" i="24"/>
  <c r="AI67" i="25"/>
  <c r="AH67" i="25"/>
  <c r="O66" i="25"/>
  <c r="G66" i="25" s="1"/>
  <c r="R67" i="25"/>
  <c r="AK67" i="25"/>
  <c r="AP66" i="25"/>
  <c r="K66" i="25" s="1"/>
  <c r="E66" i="24"/>
  <c r="O66" i="24"/>
  <c r="G66" i="24" s="1"/>
  <c r="AQ66" i="24"/>
  <c r="L66" i="24" s="1"/>
  <c r="I66" i="24"/>
  <c r="N67" i="25"/>
  <c r="E67" i="25" s="1"/>
  <c r="N67" i="24"/>
  <c r="AO67" i="25"/>
  <c r="C68" i="25"/>
  <c r="AJ68" i="25" s="1"/>
  <c r="AP67" i="24"/>
  <c r="H66" i="25"/>
  <c r="A69" i="25"/>
  <c r="A69" i="24"/>
  <c r="H67" i="19"/>
  <c r="B68" i="25"/>
  <c r="S68" i="25" s="1"/>
  <c r="B68" i="24"/>
  <c r="V68" i="24" s="1"/>
  <c r="D63" i="25"/>
  <c r="C68" i="24"/>
  <c r="Q68" i="24" s="1"/>
  <c r="H67" i="24"/>
  <c r="AJ67" i="24" s="1"/>
  <c r="X66" i="19"/>
  <c r="T67" i="19"/>
  <c r="AB69" i="24"/>
  <c r="AF69" i="24"/>
  <c r="AD69" i="24"/>
  <c r="R69" i="24"/>
  <c r="T69" i="24"/>
  <c r="AH69" i="24"/>
  <c r="AC69" i="25"/>
  <c r="S69" i="24"/>
  <c r="AF69" i="25"/>
  <c r="X69" i="25"/>
  <c r="P69" i="25"/>
  <c r="AE69" i="24"/>
  <c r="AB69" i="25"/>
  <c r="AC69" i="24"/>
  <c r="AQ69" i="25"/>
  <c r="AA69" i="25"/>
  <c r="Q69" i="25"/>
  <c r="D294" i="14"/>
  <c r="AR69" i="24"/>
  <c r="AS69" i="25"/>
  <c r="AG69" i="24"/>
  <c r="Z69" i="25"/>
  <c r="AD69" i="25"/>
  <c r="AE69" i="25"/>
  <c r="Y69" i="25"/>
  <c r="AY69" i="8" l="1"/>
  <c r="AR69" i="7"/>
  <c r="AP69" i="5"/>
  <c r="AQ69" i="6"/>
  <c r="AO69" i="13"/>
  <c r="AY69" i="12"/>
  <c r="AW69" i="11"/>
  <c r="V65" i="25"/>
  <c r="I65" i="25" s="1"/>
  <c r="M65" i="25" s="1"/>
  <c r="F65" i="25" s="1"/>
  <c r="P62" i="19" s="1"/>
  <c r="AY68" i="11"/>
  <c r="AQ68" i="13"/>
  <c r="BA68" i="12"/>
  <c r="BA68" i="8"/>
  <c r="AS68" i="6"/>
  <c r="AR68" i="5"/>
  <c r="AT68" i="7"/>
  <c r="AP68" i="13"/>
  <c r="AX68" i="11"/>
  <c r="AZ68" i="12"/>
  <c r="AS68" i="7"/>
  <c r="AR68" i="6"/>
  <c r="AZ68" i="8"/>
  <c r="AQ68" i="5"/>
  <c r="I67" i="19"/>
  <c r="M67" i="19"/>
  <c r="O66" i="19"/>
  <c r="N66" i="19"/>
  <c r="K66" i="19"/>
  <c r="J66" i="19"/>
  <c r="AM68" i="25"/>
  <c r="AN68" i="25"/>
  <c r="AO69" i="24"/>
  <c r="J67" i="12"/>
  <c r="W67" i="12" s="1"/>
  <c r="AC68" i="13"/>
  <c r="AH68" i="13"/>
  <c r="L68" i="13" s="1"/>
  <c r="R68" i="13"/>
  <c r="H68" i="13" s="1"/>
  <c r="AB68" i="13" s="1"/>
  <c r="AD68" i="13"/>
  <c r="AH68" i="12"/>
  <c r="R68" i="12"/>
  <c r="H68" i="12" s="1"/>
  <c r="AI68" i="12"/>
  <c r="AK68" i="12"/>
  <c r="AR68" i="12"/>
  <c r="L68" i="12" s="1"/>
  <c r="AG68" i="12"/>
  <c r="AJ68" i="12"/>
  <c r="J67" i="13"/>
  <c r="AG66" i="25"/>
  <c r="J66" i="25" s="1"/>
  <c r="V66" i="25" s="1"/>
  <c r="AN68" i="24"/>
  <c r="AL68" i="25"/>
  <c r="W68" i="24"/>
  <c r="AA66" i="24"/>
  <c r="AK66" i="24"/>
  <c r="AM68" i="24"/>
  <c r="U68" i="24"/>
  <c r="AK68" i="25"/>
  <c r="AR68" i="25"/>
  <c r="L68" i="25" s="1"/>
  <c r="AH68" i="25"/>
  <c r="AP67" i="25"/>
  <c r="K67" i="25" s="1"/>
  <c r="R68" i="25"/>
  <c r="H68" i="25" s="1"/>
  <c r="O67" i="25"/>
  <c r="G67" i="25" s="1"/>
  <c r="AI68" i="24"/>
  <c r="AI68" i="25"/>
  <c r="AQ67" i="24"/>
  <c r="L67" i="24" s="1"/>
  <c r="O67" i="24"/>
  <c r="G67" i="24" s="1"/>
  <c r="I67" i="24"/>
  <c r="E67" i="24"/>
  <c r="N68" i="24"/>
  <c r="N68" i="25"/>
  <c r="E68" i="25" s="1"/>
  <c r="AO68" i="25"/>
  <c r="C69" i="25"/>
  <c r="AH69" i="25" s="1"/>
  <c r="AP68" i="24"/>
  <c r="H67" i="25"/>
  <c r="A70" i="25"/>
  <c r="A70" i="24"/>
  <c r="H68" i="19"/>
  <c r="B69" i="25"/>
  <c r="AM69" i="25" s="1"/>
  <c r="B69" i="24"/>
  <c r="V69" i="24" s="1"/>
  <c r="D64" i="25"/>
  <c r="C69" i="24"/>
  <c r="AI69" i="24" s="1"/>
  <c r="H68" i="24"/>
  <c r="AJ68" i="24" s="1"/>
  <c r="X67" i="19"/>
  <c r="T68" i="19"/>
  <c r="Y70" i="25"/>
  <c r="AC70" i="25"/>
  <c r="R70" i="24"/>
  <c r="D295" i="14"/>
  <c r="AH70" i="24"/>
  <c r="P70" i="25"/>
  <c r="AE70" i="24"/>
  <c r="Z70" i="25"/>
  <c r="AG70" i="24"/>
  <c r="AR70" i="24"/>
  <c r="S70" i="24"/>
  <c r="AB70" i="24"/>
  <c r="AF70" i="24"/>
  <c r="AD70" i="24"/>
  <c r="AD70" i="25"/>
  <c r="AF70" i="25"/>
  <c r="AQ70" i="25"/>
  <c r="AC70" i="24"/>
  <c r="Q70" i="25"/>
  <c r="T70" i="24"/>
  <c r="AB70" i="25"/>
  <c r="AA70" i="25"/>
  <c r="X70" i="25"/>
  <c r="AE70" i="25"/>
  <c r="AS70" i="25"/>
  <c r="AW70" i="11" l="1"/>
  <c r="AO70" i="13"/>
  <c r="AY70" i="12"/>
  <c r="AY70" i="8"/>
  <c r="AR70" i="7"/>
  <c r="AP70" i="5"/>
  <c r="AQ70" i="6"/>
  <c r="BA69" i="8"/>
  <c r="AT69" i="7"/>
  <c r="AR69" i="5"/>
  <c r="AS69" i="6"/>
  <c r="AQ69" i="13"/>
  <c r="BA69" i="12"/>
  <c r="AY69" i="11"/>
  <c r="AX69" i="11"/>
  <c r="AP69" i="13"/>
  <c r="AZ69" i="12"/>
  <c r="AQ69" i="5"/>
  <c r="AS69" i="7"/>
  <c r="AR69" i="6"/>
  <c r="AZ69" i="8"/>
  <c r="I68" i="19"/>
  <c r="M68" i="19"/>
  <c r="O67" i="19"/>
  <c r="K67" i="19"/>
  <c r="N67" i="19"/>
  <c r="J67" i="19"/>
  <c r="AN69" i="25"/>
  <c r="AO70" i="24"/>
  <c r="R69" i="13"/>
  <c r="H69" i="13" s="1"/>
  <c r="AB69" i="13" s="1"/>
  <c r="AD69" i="13"/>
  <c r="AH69" i="13"/>
  <c r="L69" i="13" s="1"/>
  <c r="AC69" i="13"/>
  <c r="AJ69" i="12"/>
  <c r="AH69" i="12"/>
  <c r="AR69" i="12"/>
  <c r="L69" i="12" s="1"/>
  <c r="AI69" i="12"/>
  <c r="AK69" i="12"/>
  <c r="R69" i="12"/>
  <c r="H69" i="12" s="1"/>
  <c r="AG69" i="12"/>
  <c r="J68" i="12"/>
  <c r="W68" i="12" s="1"/>
  <c r="J68" i="13"/>
  <c r="W66" i="25"/>
  <c r="I66" i="25" s="1"/>
  <c r="M66" i="25" s="1"/>
  <c r="F66" i="25" s="1"/>
  <c r="P63" i="19" s="1"/>
  <c r="AG68" i="25"/>
  <c r="J68" i="25" s="1"/>
  <c r="AG67" i="25"/>
  <c r="J67" i="25" s="1"/>
  <c r="W67" i="25" s="1"/>
  <c r="W69" i="24"/>
  <c r="AL69" i="25"/>
  <c r="AN69" i="24"/>
  <c r="AA67" i="24"/>
  <c r="AK67" i="24"/>
  <c r="AM69" i="24"/>
  <c r="S69" i="25"/>
  <c r="R69" i="25"/>
  <c r="AK69" i="25"/>
  <c r="Q69" i="24"/>
  <c r="H69" i="24" s="1"/>
  <c r="AJ69" i="24" s="1"/>
  <c r="AP68" i="25"/>
  <c r="K68" i="25" s="1"/>
  <c r="AR69" i="25"/>
  <c r="L69" i="25" s="1"/>
  <c r="O68" i="25"/>
  <c r="G68" i="25" s="1"/>
  <c r="AI69" i="25"/>
  <c r="AJ69" i="25"/>
  <c r="AQ68" i="24"/>
  <c r="L68" i="24" s="1"/>
  <c r="O68" i="24"/>
  <c r="G68" i="24" s="1"/>
  <c r="U69" i="24"/>
  <c r="I68" i="24"/>
  <c r="E68" i="24"/>
  <c r="N69" i="24"/>
  <c r="N69" i="25"/>
  <c r="E69" i="25" s="1"/>
  <c r="AO69" i="25"/>
  <c r="C70" i="25"/>
  <c r="R70" i="25" s="1"/>
  <c r="AP69" i="24"/>
  <c r="B70" i="24"/>
  <c r="AN70" i="24" s="1"/>
  <c r="A71" i="24"/>
  <c r="A71" i="25"/>
  <c r="H69" i="19"/>
  <c r="B70" i="25"/>
  <c r="S70" i="25" s="1"/>
  <c r="D65" i="25"/>
  <c r="C70" i="24"/>
  <c r="X68" i="19"/>
  <c r="T69" i="19"/>
  <c r="AB71" i="24"/>
  <c r="AG71" i="24"/>
  <c r="D296" i="14"/>
  <c r="AQ71" i="25"/>
  <c r="R71" i="24"/>
  <c r="AB71" i="25"/>
  <c r="AC71" i="25"/>
  <c r="AE71" i="24"/>
  <c r="AE71" i="25"/>
  <c r="AF71" i="25"/>
  <c r="Q71" i="25"/>
  <c r="Z71" i="25"/>
  <c r="S71" i="24"/>
  <c r="AR71" i="24"/>
  <c r="X71" i="25"/>
  <c r="AD71" i="24"/>
  <c r="AC71" i="24"/>
  <c r="AH71" i="24"/>
  <c r="AD71" i="25"/>
  <c r="T71" i="24"/>
  <c r="AS71" i="25"/>
  <c r="AF71" i="24"/>
  <c r="AA71" i="25"/>
  <c r="P71" i="25"/>
  <c r="Y71" i="25"/>
  <c r="AY71" i="8" l="1"/>
  <c r="AQ71" i="6"/>
  <c r="AP71" i="5"/>
  <c r="AR71" i="7"/>
  <c r="AW71" i="11"/>
  <c r="AO71" i="13"/>
  <c r="AY71" i="12"/>
  <c r="V68" i="25"/>
  <c r="V67" i="25"/>
  <c r="I67" i="25" s="1"/>
  <c r="M67" i="25" s="1"/>
  <c r="F67" i="25" s="1"/>
  <c r="P64" i="19" s="1"/>
  <c r="BA70" i="8"/>
  <c r="AT70" i="7"/>
  <c r="AR70" i="5"/>
  <c r="AS70" i="6"/>
  <c r="BA70" i="12"/>
  <c r="AQ70" i="13"/>
  <c r="AY70" i="11"/>
  <c r="AP70" i="13"/>
  <c r="AZ70" i="12"/>
  <c r="AX70" i="11"/>
  <c r="AZ70" i="8"/>
  <c r="AR70" i="6"/>
  <c r="AQ70" i="5"/>
  <c r="AS70" i="7"/>
  <c r="I69" i="19"/>
  <c r="M69" i="19"/>
  <c r="N68" i="19"/>
  <c r="O68" i="19"/>
  <c r="J68" i="19"/>
  <c r="K68" i="19"/>
  <c r="AM70" i="25"/>
  <c r="AN70" i="25"/>
  <c r="AO71" i="24"/>
  <c r="J69" i="13"/>
  <c r="R70" i="12"/>
  <c r="H70" i="12" s="1"/>
  <c r="AI70" i="12"/>
  <c r="AJ70" i="12"/>
  <c r="AG70" i="12"/>
  <c r="AR70" i="12"/>
  <c r="L70" i="12" s="1"/>
  <c r="AH70" i="12"/>
  <c r="AK70" i="12"/>
  <c r="J69" i="12"/>
  <c r="W69" i="12" s="1"/>
  <c r="AC70" i="13"/>
  <c r="R70" i="13"/>
  <c r="H70" i="13" s="1"/>
  <c r="AB70" i="13" s="1"/>
  <c r="AH70" i="13"/>
  <c r="L70" i="13" s="1"/>
  <c r="AD70" i="13"/>
  <c r="W68" i="25"/>
  <c r="W70" i="24"/>
  <c r="AL70" i="25"/>
  <c r="AA68" i="24"/>
  <c r="AK68" i="24"/>
  <c r="AM70" i="24"/>
  <c r="AH70" i="25"/>
  <c r="AK70" i="25"/>
  <c r="Q70" i="24"/>
  <c r="H70" i="24" s="1"/>
  <c r="AJ70" i="24" s="1"/>
  <c r="AP69" i="25"/>
  <c r="K69" i="25" s="1"/>
  <c r="U70" i="24"/>
  <c r="AI70" i="25"/>
  <c r="AR70" i="25"/>
  <c r="L70" i="25" s="1"/>
  <c r="O69" i="25"/>
  <c r="G69" i="25" s="1"/>
  <c r="AJ70" i="25"/>
  <c r="V70" i="24"/>
  <c r="E69" i="24"/>
  <c r="O69" i="24"/>
  <c r="G69" i="24" s="1"/>
  <c r="AI70" i="24"/>
  <c r="AQ69" i="24"/>
  <c r="L69" i="24" s="1"/>
  <c r="I69" i="24"/>
  <c r="N70" i="24"/>
  <c r="N70" i="25"/>
  <c r="E70" i="25" s="1"/>
  <c r="AO70" i="25"/>
  <c r="C71" i="25"/>
  <c r="AP70" i="24"/>
  <c r="H69" i="25"/>
  <c r="B71" i="24"/>
  <c r="AN71" i="24" s="1"/>
  <c r="A72" i="25"/>
  <c r="A72" i="24"/>
  <c r="H70" i="19"/>
  <c r="B71" i="25"/>
  <c r="AM71" i="25" s="1"/>
  <c r="D66" i="25"/>
  <c r="H70" i="25"/>
  <c r="C71" i="24"/>
  <c r="U71" i="24" s="1"/>
  <c r="X69" i="19"/>
  <c r="T70" i="19"/>
  <c r="AB72" i="24"/>
  <c r="AF72" i="24"/>
  <c r="AA72" i="25"/>
  <c r="AD72" i="25"/>
  <c r="AQ72" i="25"/>
  <c r="AD72" i="24"/>
  <c r="S72" i="24"/>
  <c r="AG72" i="24"/>
  <c r="Y72" i="25"/>
  <c r="AF72" i="25"/>
  <c r="P72" i="25"/>
  <c r="AE72" i="24"/>
  <c r="AH72" i="24"/>
  <c r="AR72" i="24"/>
  <c r="Z72" i="25"/>
  <c r="Q72" i="25"/>
  <c r="T72" i="24"/>
  <c r="AC72" i="24"/>
  <c r="AS72" i="25"/>
  <c r="X72" i="25"/>
  <c r="R72" i="24"/>
  <c r="AC72" i="25"/>
  <c r="AE72" i="25"/>
  <c r="D297" i="14"/>
  <c r="AB72" i="25"/>
  <c r="AQ72" i="6" l="1"/>
  <c r="AR72" i="7"/>
  <c r="AP72" i="5"/>
  <c r="AY72" i="8"/>
  <c r="AW72" i="11"/>
  <c r="AO72" i="13"/>
  <c r="AY72" i="12"/>
  <c r="AS71" i="6"/>
  <c r="BA71" i="8"/>
  <c r="AR71" i="5"/>
  <c r="AT71" i="7"/>
  <c r="BA71" i="12"/>
  <c r="AQ71" i="13"/>
  <c r="AY71" i="11"/>
  <c r="AP71" i="13"/>
  <c r="AZ71" i="12"/>
  <c r="AX71" i="11"/>
  <c r="AZ71" i="8"/>
  <c r="AQ71" i="5"/>
  <c r="AS71" i="7"/>
  <c r="AR71" i="6"/>
  <c r="M70" i="19"/>
  <c r="I70" i="19"/>
  <c r="J69" i="19"/>
  <c r="O69" i="19"/>
  <c r="K69" i="19"/>
  <c r="N69" i="19"/>
  <c r="AN71" i="25"/>
  <c r="AO72" i="24"/>
  <c r="AG71" i="12"/>
  <c r="AH71" i="12"/>
  <c r="AJ71" i="12"/>
  <c r="R71" i="12"/>
  <c r="H71" i="12" s="1"/>
  <c r="AI71" i="12"/>
  <c r="AR71" i="12"/>
  <c r="L71" i="12" s="1"/>
  <c r="AK71" i="12"/>
  <c r="J70" i="12"/>
  <c r="W70" i="12" s="1"/>
  <c r="AH71" i="13"/>
  <c r="L71" i="13" s="1"/>
  <c r="AC71" i="13"/>
  <c r="R71" i="13"/>
  <c r="H71" i="13" s="1"/>
  <c r="AB71" i="13" s="1"/>
  <c r="AD71" i="13"/>
  <c r="J70" i="13"/>
  <c r="AG69" i="25"/>
  <c r="J69" i="25" s="1"/>
  <c r="W69" i="25" s="1"/>
  <c r="AG70" i="25"/>
  <c r="J70" i="25" s="1"/>
  <c r="W71" i="24"/>
  <c r="AL71" i="25"/>
  <c r="I68" i="25"/>
  <c r="M68" i="25" s="1"/>
  <c r="F68" i="25" s="1"/>
  <c r="P65" i="19" s="1"/>
  <c r="AM71" i="24"/>
  <c r="AA69" i="24"/>
  <c r="AK69" i="24"/>
  <c r="AH71" i="25"/>
  <c r="AR71" i="25"/>
  <c r="L71" i="25" s="1"/>
  <c r="AI71" i="25"/>
  <c r="AI71" i="24"/>
  <c r="AK71" i="25"/>
  <c r="Q71" i="24"/>
  <c r="H71" i="24" s="1"/>
  <c r="AJ71" i="24" s="1"/>
  <c r="R71" i="25"/>
  <c r="AJ71" i="25"/>
  <c r="O70" i="25"/>
  <c r="G70" i="25" s="1"/>
  <c r="S71" i="25"/>
  <c r="AP70" i="25"/>
  <c r="K70" i="25" s="1"/>
  <c r="V71" i="24"/>
  <c r="AN72" i="24"/>
  <c r="AQ70" i="24"/>
  <c r="L70" i="24" s="1"/>
  <c r="E70" i="24"/>
  <c r="O70" i="24"/>
  <c r="G70" i="24" s="1"/>
  <c r="I70" i="24"/>
  <c r="N71" i="24"/>
  <c r="N71" i="25"/>
  <c r="E71" i="25" s="1"/>
  <c r="AO71" i="25"/>
  <c r="C72" i="25"/>
  <c r="AK72" i="25" s="1"/>
  <c r="AP71" i="24"/>
  <c r="A73" i="25"/>
  <c r="A73" i="24"/>
  <c r="H71" i="19"/>
  <c r="B72" i="24"/>
  <c r="V72" i="24" s="1"/>
  <c r="B72" i="25"/>
  <c r="S72" i="25" s="1"/>
  <c r="D67" i="25"/>
  <c r="C72" i="24"/>
  <c r="Q72" i="24" s="1"/>
  <c r="X70" i="19"/>
  <c r="T71" i="19"/>
  <c r="I50" i="25"/>
  <c r="M50" i="25" s="1"/>
  <c r="I29" i="25"/>
  <c r="M29" i="25" s="1"/>
  <c r="I8" i="25"/>
  <c r="I42" i="25"/>
  <c r="M42" i="25" s="1"/>
  <c r="I23" i="25"/>
  <c r="I14" i="25"/>
  <c r="M14" i="25" s="1"/>
  <c r="I38" i="25"/>
  <c r="I44" i="25"/>
  <c r="I18" i="25"/>
  <c r="I10" i="25"/>
  <c r="I34" i="25"/>
  <c r="M34" i="25" s="1"/>
  <c r="I54" i="25"/>
  <c r="M54" i="25" s="1"/>
  <c r="I46" i="25"/>
  <c r="M46" i="25" s="1"/>
  <c r="I19" i="25"/>
  <c r="I55" i="25"/>
  <c r="M55" i="25" s="1"/>
  <c r="I49" i="25"/>
  <c r="M49" i="25" s="1"/>
  <c r="I41" i="25"/>
  <c r="M41" i="25" s="1"/>
  <c r="I26" i="25"/>
  <c r="M26" i="25" s="1"/>
  <c r="I16" i="25"/>
  <c r="M16" i="25" s="1"/>
  <c r="I25" i="25"/>
  <c r="M25" i="25" s="1"/>
  <c r="I15" i="25"/>
  <c r="M15" i="25" s="1"/>
  <c r="I47" i="25"/>
  <c r="M47" i="25" s="1"/>
  <c r="I52" i="25"/>
  <c r="M52" i="25" s="1"/>
  <c r="I48" i="25"/>
  <c r="M48" i="25" s="1"/>
  <c r="I39" i="25"/>
  <c r="M39" i="25" s="1"/>
  <c r="I33" i="25"/>
  <c r="M33" i="25" s="1"/>
  <c r="I56" i="25"/>
  <c r="M56" i="25" s="1"/>
  <c r="I32" i="25"/>
  <c r="M32" i="25" s="1"/>
  <c r="I51" i="25"/>
  <c r="M51" i="25" s="1"/>
  <c r="I43" i="25"/>
  <c r="M43" i="25" s="1"/>
  <c r="I37" i="25"/>
  <c r="M37" i="25" s="1"/>
  <c r="I57" i="25"/>
  <c r="M57" i="25" s="1"/>
  <c r="I36" i="25"/>
  <c r="M36" i="25" s="1"/>
  <c r="I20" i="25"/>
  <c r="M20" i="25" s="1"/>
  <c r="I45" i="25"/>
  <c r="M45" i="25" s="1"/>
  <c r="I31" i="25"/>
  <c r="M31" i="25" s="1"/>
  <c r="I22" i="25"/>
  <c r="M22" i="25" s="1"/>
  <c r="I12" i="25"/>
  <c r="M12" i="25" s="1"/>
  <c r="I21" i="25"/>
  <c r="M21" i="25" s="1"/>
  <c r="I13" i="25"/>
  <c r="M13" i="25" s="1"/>
  <c r="I53" i="25"/>
  <c r="M53" i="25" s="1"/>
  <c r="I35" i="25"/>
  <c r="M35" i="25" s="1"/>
  <c r="I27" i="25"/>
  <c r="M27" i="25" s="1"/>
  <c r="I40" i="25"/>
  <c r="M40" i="25" s="1"/>
  <c r="I9" i="25"/>
  <c r="M9" i="25" s="1"/>
  <c r="AG73" i="24"/>
  <c r="D298" i="14"/>
  <c r="AQ73" i="25"/>
  <c r="Z73" i="25"/>
  <c r="AS73" i="25"/>
  <c r="P73" i="25"/>
  <c r="AC73" i="25"/>
  <c r="AF73" i="25"/>
  <c r="T73" i="24"/>
  <c r="Y73" i="25"/>
  <c r="AF73" i="24"/>
  <c r="Q73" i="25"/>
  <c r="AB73" i="24"/>
  <c r="S73" i="24"/>
  <c r="AE73" i="24"/>
  <c r="X73" i="25"/>
  <c r="R73" i="24"/>
  <c r="AC73" i="24"/>
  <c r="AB73" i="25"/>
  <c r="AD73" i="24"/>
  <c r="AD73" i="25"/>
  <c r="AA73" i="25"/>
  <c r="AR73" i="24"/>
  <c r="AE73" i="25"/>
  <c r="AH73" i="24"/>
  <c r="AQ73" i="6" l="1"/>
  <c r="AP73" i="5"/>
  <c r="AR73" i="7"/>
  <c r="AY73" i="8"/>
  <c r="AW73" i="11"/>
  <c r="AO73" i="13"/>
  <c r="AY73" i="12"/>
  <c r="V70" i="25"/>
  <c r="V69" i="25"/>
  <c r="I69" i="25" s="1"/>
  <c r="M69" i="25" s="1"/>
  <c r="F69" i="25" s="1"/>
  <c r="P66" i="19" s="1"/>
  <c r="BA72" i="8"/>
  <c r="AS72" i="6"/>
  <c r="AT72" i="7"/>
  <c r="AR72" i="5"/>
  <c r="AY72" i="11"/>
  <c r="AQ72" i="13"/>
  <c r="BA72" i="12"/>
  <c r="AX72" i="11"/>
  <c r="AP72" i="13"/>
  <c r="AZ72" i="12"/>
  <c r="AR72" i="6"/>
  <c r="AS72" i="7"/>
  <c r="AQ72" i="5"/>
  <c r="AZ72" i="8"/>
  <c r="J70" i="19"/>
  <c r="O70" i="19"/>
  <c r="K70" i="19"/>
  <c r="N70" i="19"/>
  <c r="M71" i="19"/>
  <c r="I71" i="19"/>
  <c r="AM72" i="25"/>
  <c r="AO73" i="24"/>
  <c r="AN72" i="25"/>
  <c r="AK72" i="12"/>
  <c r="AH72" i="12"/>
  <c r="AG72" i="12"/>
  <c r="AJ72" i="12"/>
  <c r="AI72" i="12"/>
  <c r="R72" i="12"/>
  <c r="H72" i="12" s="1"/>
  <c r="AR72" i="12"/>
  <c r="L72" i="12" s="1"/>
  <c r="AC72" i="13"/>
  <c r="AD72" i="13"/>
  <c r="AH72" i="13"/>
  <c r="L72" i="13" s="1"/>
  <c r="R72" i="13"/>
  <c r="H72" i="13" s="1"/>
  <c r="AB72" i="13" s="1"/>
  <c r="J71" i="13"/>
  <c r="J71" i="12"/>
  <c r="W71" i="12" s="1"/>
  <c r="W70" i="25"/>
  <c r="W72" i="24"/>
  <c r="AL72" i="25"/>
  <c r="AA70" i="24"/>
  <c r="AM72" i="24"/>
  <c r="AR72" i="25"/>
  <c r="L72" i="25" s="1"/>
  <c r="R72" i="25"/>
  <c r="H72" i="25" s="1"/>
  <c r="AJ72" i="25"/>
  <c r="AH72" i="25"/>
  <c r="AI72" i="25"/>
  <c r="O71" i="25"/>
  <c r="G71" i="25" s="1"/>
  <c r="AP71" i="25"/>
  <c r="K71" i="25" s="1"/>
  <c r="AI72" i="24"/>
  <c r="O71" i="24"/>
  <c r="G71" i="24" s="1"/>
  <c r="AK70" i="24"/>
  <c r="AQ71" i="24"/>
  <c r="L71" i="24" s="1"/>
  <c r="U72" i="24"/>
  <c r="I71" i="24"/>
  <c r="E71" i="24"/>
  <c r="N72" i="24"/>
  <c r="N72" i="25"/>
  <c r="E72" i="25" s="1"/>
  <c r="AO72" i="25"/>
  <c r="C73" i="25"/>
  <c r="AP72" i="24"/>
  <c r="H71" i="25"/>
  <c r="A74" i="25"/>
  <c r="A74" i="24"/>
  <c r="H72" i="19"/>
  <c r="B73" i="24"/>
  <c r="W73" i="24" s="1"/>
  <c r="B73" i="25"/>
  <c r="AM73" i="25" s="1"/>
  <c r="D68" i="25"/>
  <c r="M38" i="25"/>
  <c r="F38" i="25" s="1"/>
  <c r="P35" i="19" s="1"/>
  <c r="M8" i="25"/>
  <c r="F8" i="25" s="1"/>
  <c r="P5" i="19" s="1"/>
  <c r="M23" i="25"/>
  <c r="F23" i="25" s="1"/>
  <c r="P20" i="19" s="1"/>
  <c r="M18" i="25"/>
  <c r="F18" i="25" s="1"/>
  <c r="P15" i="19" s="1"/>
  <c r="M19" i="25"/>
  <c r="F19" i="25" s="1"/>
  <c r="P16" i="19" s="1"/>
  <c r="M10" i="25"/>
  <c r="F10" i="25" s="1"/>
  <c r="P7" i="19" s="1"/>
  <c r="M44" i="25"/>
  <c r="F44" i="25" s="1"/>
  <c r="P41" i="19" s="1"/>
  <c r="C73" i="24"/>
  <c r="U73" i="24" s="1"/>
  <c r="H72" i="24"/>
  <c r="AJ72" i="24" s="1"/>
  <c r="X71" i="19"/>
  <c r="T72" i="19"/>
  <c r="F29" i="25"/>
  <c r="P26" i="19" s="1"/>
  <c r="F50" i="25"/>
  <c r="P47" i="19" s="1"/>
  <c r="F54" i="25"/>
  <c r="P51" i="19" s="1"/>
  <c r="F46" i="25"/>
  <c r="P43" i="19" s="1"/>
  <c r="F14" i="25"/>
  <c r="P11" i="19" s="1"/>
  <c r="F42" i="25"/>
  <c r="P39" i="19" s="1"/>
  <c r="F34" i="25"/>
  <c r="P31" i="19" s="1"/>
  <c r="F37" i="25"/>
  <c r="P34" i="19" s="1"/>
  <c r="F48" i="25"/>
  <c r="P45" i="19" s="1"/>
  <c r="F16" i="25"/>
  <c r="P13" i="19" s="1"/>
  <c r="F55" i="25"/>
  <c r="P52" i="19" s="1"/>
  <c r="F22" i="25"/>
  <c r="P19" i="19" s="1"/>
  <c r="F25" i="25"/>
  <c r="P22" i="19" s="1"/>
  <c r="F41" i="25"/>
  <c r="P38" i="19" s="1"/>
  <c r="F27" i="25"/>
  <c r="P24" i="19" s="1"/>
  <c r="F32" i="25"/>
  <c r="P29" i="19" s="1"/>
  <c r="F52" i="25"/>
  <c r="P49" i="19" s="1"/>
  <c r="F49" i="25"/>
  <c r="P46" i="19" s="1"/>
  <c r="F15" i="25"/>
  <c r="P12" i="19" s="1"/>
  <c r="F33" i="25"/>
  <c r="P30" i="19" s="1"/>
  <c r="F9" i="25"/>
  <c r="P6" i="19" s="1"/>
  <c r="F12" i="25"/>
  <c r="P9" i="19" s="1"/>
  <c r="F51" i="25"/>
  <c r="P48" i="19" s="1"/>
  <c r="F45" i="25"/>
  <c r="P42" i="19" s="1"/>
  <c r="S74" i="24"/>
  <c r="AQ74" i="25"/>
  <c r="Z74" i="25"/>
  <c r="AA74" i="25"/>
  <c r="AR74" i="24"/>
  <c r="R74" i="24"/>
  <c r="AD74" i="24"/>
  <c r="AB74" i="25"/>
  <c r="Q74" i="25"/>
  <c r="T74" i="24"/>
  <c r="X74" i="25"/>
  <c r="AC74" i="24"/>
  <c r="AE74" i="24"/>
  <c r="AE74" i="25"/>
  <c r="P74" i="25"/>
  <c r="AH74" i="24"/>
  <c r="Y74" i="25"/>
  <c r="AB74" i="24"/>
  <c r="AS74" i="25"/>
  <c r="AF74" i="25"/>
  <c r="AD74" i="25"/>
  <c r="D299" i="14"/>
  <c r="AG74" i="24"/>
  <c r="AC74" i="25"/>
  <c r="AF74" i="24"/>
  <c r="AY74" i="12" l="1"/>
  <c r="AW74" i="11"/>
  <c r="AO74" i="13"/>
  <c r="AQ74" i="6"/>
  <c r="AY74" i="8"/>
  <c r="AR74" i="7"/>
  <c r="AP74" i="5"/>
  <c r="AQ73" i="13"/>
  <c r="AY73" i="11"/>
  <c r="BA73" i="12"/>
  <c r="BA73" i="8"/>
  <c r="AT73" i="7"/>
  <c r="AS73" i="6"/>
  <c r="AR73" i="5"/>
  <c r="AX73" i="11"/>
  <c r="AP73" i="13"/>
  <c r="AZ73" i="12"/>
  <c r="AQ73" i="5"/>
  <c r="AR73" i="6"/>
  <c r="AZ73" i="8"/>
  <c r="AS73" i="7"/>
  <c r="M72" i="19"/>
  <c r="I72" i="19"/>
  <c r="K71" i="19"/>
  <c r="J71" i="19"/>
  <c r="O71" i="19"/>
  <c r="N71" i="19"/>
  <c r="AN73" i="25"/>
  <c r="AO74" i="24"/>
  <c r="R73" i="13"/>
  <c r="H73" i="13" s="1"/>
  <c r="AB73" i="13" s="1"/>
  <c r="AH73" i="13"/>
  <c r="L73" i="13" s="1"/>
  <c r="AD73" i="13"/>
  <c r="AC73" i="13"/>
  <c r="AJ73" i="12"/>
  <c r="AH73" i="12"/>
  <c r="AK73" i="12"/>
  <c r="AR73" i="12"/>
  <c r="L73" i="12" s="1"/>
  <c r="AI73" i="12"/>
  <c r="R73" i="12"/>
  <c r="H73" i="12" s="1"/>
  <c r="AG73" i="12"/>
  <c r="J72" i="13"/>
  <c r="J72" i="12"/>
  <c r="W72" i="12" s="1"/>
  <c r="AG71" i="25"/>
  <c r="J71" i="25" s="1"/>
  <c r="V71" i="25" s="1"/>
  <c r="AG72" i="25"/>
  <c r="J72" i="25" s="1"/>
  <c r="AL73" i="25"/>
  <c r="AN73" i="24"/>
  <c r="I70" i="25"/>
  <c r="M70" i="25" s="1"/>
  <c r="F70" i="25" s="1"/>
  <c r="P67" i="19" s="1"/>
  <c r="AA71" i="24"/>
  <c r="AK71" i="24"/>
  <c r="AM73" i="24"/>
  <c r="AJ73" i="25"/>
  <c r="AH73" i="25"/>
  <c r="AI73" i="25"/>
  <c r="S73" i="25"/>
  <c r="AR73" i="25"/>
  <c r="L73" i="25" s="1"/>
  <c r="AK73" i="25"/>
  <c r="AP72" i="25"/>
  <c r="K72" i="25" s="1"/>
  <c r="R73" i="25"/>
  <c r="Q73" i="24"/>
  <c r="H73" i="24" s="1"/>
  <c r="AJ73" i="24" s="1"/>
  <c r="O72" i="25"/>
  <c r="G72" i="25" s="1"/>
  <c r="O72" i="24"/>
  <c r="G72" i="24" s="1"/>
  <c r="AQ72" i="24"/>
  <c r="L72" i="24" s="1"/>
  <c r="AI73" i="24"/>
  <c r="V73" i="24"/>
  <c r="I72" i="24"/>
  <c r="E72" i="24"/>
  <c r="N73" i="24"/>
  <c r="N73" i="25"/>
  <c r="E73" i="25" s="1"/>
  <c r="AO73" i="25"/>
  <c r="C74" i="25"/>
  <c r="R74" i="25" s="1"/>
  <c r="AP73" i="24"/>
  <c r="H73" i="19"/>
  <c r="A75" i="25"/>
  <c r="A75" i="24"/>
  <c r="B74" i="24"/>
  <c r="W74" i="24" s="1"/>
  <c r="B74" i="25"/>
  <c r="S74" i="25" s="1"/>
  <c r="D34" i="25"/>
  <c r="D25" i="25"/>
  <c r="D52" i="25"/>
  <c r="D48" i="25"/>
  <c r="D29" i="25"/>
  <c r="D32" i="25"/>
  <c r="D37" i="25"/>
  <c r="D42" i="25"/>
  <c r="D27" i="25"/>
  <c r="D14" i="25"/>
  <c r="D46" i="25"/>
  <c r="D69" i="25"/>
  <c r="D54" i="25"/>
  <c r="D22" i="25"/>
  <c r="D49" i="25"/>
  <c r="D16" i="25"/>
  <c r="D18" i="25"/>
  <c r="D23" i="25"/>
  <c r="D8" i="25"/>
  <c r="D38" i="25"/>
  <c r="D10" i="25"/>
  <c r="D19" i="25"/>
  <c r="D44" i="25"/>
  <c r="C74" i="24"/>
  <c r="X72" i="19"/>
  <c r="T73" i="19"/>
  <c r="D50" i="25"/>
  <c r="F56" i="25"/>
  <c r="P53" i="19" s="1"/>
  <c r="F35" i="25"/>
  <c r="P32" i="19" s="1"/>
  <c r="D41" i="25"/>
  <c r="F47" i="25"/>
  <c r="P44" i="19" s="1"/>
  <c r="F57" i="25"/>
  <c r="P54" i="19" s="1"/>
  <c r="F36" i="25"/>
  <c r="P33" i="19" s="1"/>
  <c r="F39" i="25"/>
  <c r="P36" i="19" s="1"/>
  <c r="F31" i="25"/>
  <c r="P28" i="19" s="1"/>
  <c r="F13" i="25"/>
  <c r="P10" i="19" s="1"/>
  <c r="F53" i="25"/>
  <c r="P50" i="19" s="1"/>
  <c r="F21" i="25"/>
  <c r="P18" i="19" s="1"/>
  <c r="F43" i="25"/>
  <c r="P40" i="19" s="1"/>
  <c r="F40" i="25"/>
  <c r="P37" i="19" s="1"/>
  <c r="F26" i="25"/>
  <c r="P23" i="19" s="1"/>
  <c r="F20" i="25"/>
  <c r="P17" i="19" s="1"/>
  <c r="AH20" i="13"/>
  <c r="L20" i="13" s="1"/>
  <c r="AR20" i="12"/>
  <c r="L20" i="12" s="1"/>
  <c r="AH21" i="13"/>
  <c r="L21" i="13" s="1"/>
  <c r="AR21" i="12"/>
  <c r="L21" i="12" s="1"/>
  <c r="AH22" i="13"/>
  <c r="L22" i="13" s="1"/>
  <c r="AR22" i="12"/>
  <c r="L22" i="12" s="1"/>
  <c r="AH23" i="13"/>
  <c r="L23" i="13" s="1"/>
  <c r="AR23" i="12"/>
  <c r="L23" i="12" s="1"/>
  <c r="AR24" i="12"/>
  <c r="L24" i="12" s="1"/>
  <c r="AH24" i="13"/>
  <c r="L24" i="13" s="1"/>
  <c r="AR25" i="12"/>
  <c r="L25" i="12" s="1"/>
  <c r="AH25" i="13"/>
  <c r="L25" i="13" s="1"/>
  <c r="AH26" i="13"/>
  <c r="L26" i="13" s="1"/>
  <c r="AR26" i="12"/>
  <c r="L26" i="12" s="1"/>
  <c r="AR27" i="12"/>
  <c r="L27" i="12" s="1"/>
  <c r="AH27" i="13"/>
  <c r="L27" i="13" s="1"/>
  <c r="AH28" i="13"/>
  <c r="L28" i="13" s="1"/>
  <c r="AR28" i="12"/>
  <c r="L28" i="12" s="1"/>
  <c r="AR29" i="12"/>
  <c r="L29" i="12" s="1"/>
  <c r="AH29" i="13"/>
  <c r="L29" i="13" s="1"/>
  <c r="AR30" i="12"/>
  <c r="L30" i="12" s="1"/>
  <c r="AH30" i="13"/>
  <c r="L30" i="13" s="1"/>
  <c r="AH31" i="13"/>
  <c r="L31" i="13" s="1"/>
  <c r="AR31" i="12"/>
  <c r="L31" i="12" s="1"/>
  <c r="AH32" i="13"/>
  <c r="L32" i="13" s="1"/>
  <c r="AR32" i="12"/>
  <c r="L32" i="12" s="1"/>
  <c r="AH33" i="13"/>
  <c r="L33" i="13" s="1"/>
  <c r="AR33" i="12"/>
  <c r="L33" i="12" s="1"/>
  <c r="AR34" i="12"/>
  <c r="L34" i="12" s="1"/>
  <c r="AH34" i="13"/>
  <c r="L34" i="13" s="1"/>
  <c r="AH35" i="13"/>
  <c r="L35" i="13" s="1"/>
  <c r="AR35" i="12"/>
  <c r="L35" i="12" s="1"/>
  <c r="AR36" i="12"/>
  <c r="L36" i="12" s="1"/>
  <c r="AH36" i="13"/>
  <c r="L36" i="13" s="1"/>
  <c r="AR37" i="12"/>
  <c r="L37" i="12" s="1"/>
  <c r="AH37" i="13"/>
  <c r="L37" i="13" s="1"/>
  <c r="AH38" i="13"/>
  <c r="L38" i="13" s="1"/>
  <c r="AR38" i="12"/>
  <c r="L38" i="12" s="1"/>
  <c r="AR39" i="12"/>
  <c r="L39" i="12" s="1"/>
  <c r="AH39" i="13"/>
  <c r="L39" i="13" s="1"/>
  <c r="AR41" i="12"/>
  <c r="L41" i="12" s="1"/>
  <c r="AR40" i="12"/>
  <c r="L40" i="12" s="1"/>
  <c r="AH40" i="13"/>
  <c r="L40" i="13" s="1"/>
  <c r="AH41" i="13"/>
  <c r="L41" i="13" s="1"/>
  <c r="AR42" i="12"/>
  <c r="L42" i="12" s="1"/>
  <c r="AH42" i="13"/>
  <c r="L42" i="13" s="1"/>
  <c r="AR43" i="12"/>
  <c r="L43" i="12" s="1"/>
  <c r="AH43" i="13"/>
  <c r="L43" i="13" s="1"/>
  <c r="AH44" i="13"/>
  <c r="L44" i="13" s="1"/>
  <c r="AR44" i="12"/>
  <c r="L44" i="12" s="1"/>
  <c r="AH45" i="13"/>
  <c r="L45" i="13" s="1"/>
  <c r="AR45" i="12"/>
  <c r="L45" i="12" s="1"/>
  <c r="AH46" i="13"/>
  <c r="L46" i="13" s="1"/>
  <c r="AR46" i="12"/>
  <c r="L46" i="12" s="1"/>
  <c r="AR48" i="12"/>
  <c r="L48" i="12" s="1"/>
  <c r="AR47" i="12"/>
  <c r="L47" i="12" s="1"/>
  <c r="AH47" i="13"/>
  <c r="L47" i="13" s="1"/>
  <c r="AH48" i="13"/>
  <c r="L48" i="13" s="1"/>
  <c r="AH50" i="13"/>
  <c r="L50" i="13" s="1"/>
  <c r="AR49" i="12"/>
  <c r="L49" i="12" s="1"/>
  <c r="AH49" i="13"/>
  <c r="L49" i="13" s="1"/>
  <c r="AR50" i="12"/>
  <c r="L50" i="12" s="1"/>
  <c r="AH52" i="13"/>
  <c r="L52" i="13" s="1"/>
  <c r="AH51" i="13"/>
  <c r="L51" i="13" s="1"/>
  <c r="AR51" i="12"/>
  <c r="L51" i="12" s="1"/>
  <c r="AR52" i="12"/>
  <c r="L52" i="12" s="1"/>
  <c r="AH53" i="13"/>
  <c r="L53" i="13" s="1"/>
  <c r="AR53" i="12"/>
  <c r="L53" i="12" s="1"/>
  <c r="AH55" i="13"/>
  <c r="L55" i="13" s="1"/>
  <c r="AH54" i="13"/>
  <c r="L54" i="13" s="1"/>
  <c r="AR54" i="12"/>
  <c r="L54" i="12" s="1"/>
  <c r="AR55" i="12"/>
  <c r="L55" i="12" s="1"/>
  <c r="AR56" i="12"/>
  <c r="L56" i="12" s="1"/>
  <c r="AH56" i="13"/>
  <c r="L56" i="13" s="1"/>
  <c r="AH57" i="13"/>
  <c r="L57" i="13" s="1"/>
  <c r="AH58" i="13"/>
  <c r="L58" i="13" s="1"/>
  <c r="AR58" i="12"/>
  <c r="L58" i="12" s="1"/>
  <c r="AR57" i="12"/>
  <c r="L57" i="12" s="1"/>
  <c r="AR8" i="12"/>
  <c r="L8" i="12" s="1"/>
  <c r="AH8" i="13"/>
  <c r="L8" i="13" s="1"/>
  <c r="AH9" i="13"/>
  <c r="L9" i="13" s="1"/>
  <c r="AH7" i="13"/>
  <c r="L7" i="13" s="1"/>
  <c r="AH10" i="13"/>
  <c r="L10" i="13" s="1"/>
  <c r="AR12" i="12"/>
  <c r="L12" i="12" s="1"/>
  <c r="AH12" i="13"/>
  <c r="L12" i="13" s="1"/>
  <c r="AH13" i="13"/>
  <c r="L13" i="13" s="1"/>
  <c r="AH14" i="13"/>
  <c r="L14" i="13" s="1"/>
  <c r="AR15" i="12"/>
  <c r="L15" i="12" s="1"/>
  <c r="AH16" i="13"/>
  <c r="L16" i="13" s="1"/>
  <c r="AR18" i="12"/>
  <c r="L18" i="12" s="1"/>
  <c r="AH18" i="13"/>
  <c r="L18" i="13" s="1"/>
  <c r="AR19" i="12"/>
  <c r="L19" i="12" s="1"/>
  <c r="AH19" i="13"/>
  <c r="L19" i="13" s="1"/>
  <c r="D55" i="25"/>
  <c r="AR16" i="12"/>
  <c r="L16" i="12" s="1"/>
  <c r="AH17" i="13"/>
  <c r="L17" i="13" s="1"/>
  <c r="AR17" i="12"/>
  <c r="L17" i="12" s="1"/>
  <c r="AR9" i="12"/>
  <c r="L9" i="12" s="1"/>
  <c r="AR10" i="12"/>
  <c r="L10" i="12" s="1"/>
  <c r="AH11" i="13"/>
  <c r="L11" i="13" s="1"/>
  <c r="AR11" i="12"/>
  <c r="L11" i="12" s="1"/>
  <c r="AR13" i="12"/>
  <c r="L13" i="12" s="1"/>
  <c r="AH15" i="13"/>
  <c r="L15" i="13" s="1"/>
  <c r="AR14" i="12"/>
  <c r="L14" i="12" s="1"/>
  <c r="D15" i="25"/>
  <c r="D33" i="25"/>
  <c r="D45" i="25"/>
  <c r="D51" i="25"/>
  <c r="D12" i="25"/>
  <c r="D9" i="25"/>
  <c r="D271" i="14"/>
  <c r="T963" i="21"/>
  <c r="U862" i="21"/>
  <c r="T933" i="21"/>
  <c r="U845" i="21"/>
  <c r="T939" i="21"/>
  <c r="T925" i="21"/>
  <c r="D282" i="14"/>
  <c r="T942" i="21"/>
  <c r="U850" i="21"/>
  <c r="S75" i="24"/>
  <c r="T951" i="21"/>
  <c r="U816" i="21"/>
  <c r="AE75" i="25"/>
  <c r="D277" i="14"/>
  <c r="AD75" i="24"/>
  <c r="D266" i="14"/>
  <c r="U847" i="21"/>
  <c r="T943" i="21"/>
  <c r="P75" i="25"/>
  <c r="U821" i="21"/>
  <c r="U848" i="21"/>
  <c r="D239" i="14"/>
  <c r="T924" i="21"/>
  <c r="T949" i="21"/>
  <c r="D259" i="14"/>
  <c r="AQ75" i="25"/>
  <c r="U831" i="21"/>
  <c r="U833" i="21"/>
  <c r="U836" i="21"/>
  <c r="D274" i="14"/>
  <c r="T948" i="21"/>
  <c r="T927" i="21"/>
  <c r="T969" i="21"/>
  <c r="T970" i="21"/>
  <c r="D273" i="14"/>
  <c r="T923" i="21"/>
  <c r="D240" i="14"/>
  <c r="U853" i="21"/>
  <c r="R75" i="24"/>
  <c r="T953" i="21"/>
  <c r="U830" i="21"/>
  <c r="T944" i="21"/>
  <c r="T973" i="21"/>
  <c r="T954" i="21"/>
  <c r="U834" i="21"/>
  <c r="D249" i="14"/>
  <c r="AE75" i="24"/>
  <c r="D246" i="14"/>
  <c r="T957" i="21"/>
  <c r="D279" i="14"/>
  <c r="D251" i="14"/>
  <c r="U835" i="21"/>
  <c r="D237" i="14"/>
  <c r="D238" i="14"/>
  <c r="T929" i="21"/>
  <c r="U865" i="21"/>
  <c r="T936" i="21"/>
  <c r="T938" i="21"/>
  <c r="AC75" i="25"/>
  <c r="U825" i="21"/>
  <c r="U817" i="21"/>
  <c r="T932" i="21"/>
  <c r="T946" i="21"/>
  <c r="T931" i="21"/>
  <c r="U851" i="21"/>
  <c r="U839" i="21"/>
  <c r="D267" i="14"/>
  <c r="T75" i="24"/>
  <c r="U827" i="21"/>
  <c r="D247" i="14"/>
  <c r="U861" i="21"/>
  <c r="D281" i="14"/>
  <c r="D276" i="14"/>
  <c r="U856" i="21"/>
  <c r="T955" i="21"/>
  <c r="T952" i="21"/>
  <c r="AB75" i="24"/>
  <c r="U824" i="21"/>
  <c r="D261" i="14"/>
  <c r="U823" i="21"/>
  <c r="T968" i="21"/>
  <c r="D234" i="14"/>
  <c r="AC75" i="24"/>
  <c r="T966" i="21"/>
  <c r="T965" i="21"/>
  <c r="D300" i="14"/>
  <c r="U860" i="21"/>
  <c r="U844" i="21"/>
  <c r="D248" i="14"/>
  <c r="D245" i="14"/>
  <c r="D257" i="14"/>
  <c r="U849" i="21"/>
  <c r="X75" i="25"/>
  <c r="D253" i="14"/>
  <c r="D268" i="14"/>
  <c r="T937" i="21"/>
  <c r="T934" i="21"/>
  <c r="T926" i="21"/>
  <c r="D284" i="14"/>
  <c r="U820" i="21"/>
  <c r="AA75" i="25"/>
  <c r="T962" i="21"/>
  <c r="D265" i="14"/>
  <c r="U832" i="21"/>
  <c r="D241" i="14"/>
  <c r="U859" i="21"/>
  <c r="D283" i="14"/>
  <c r="AF75" i="24"/>
  <c r="U838" i="21"/>
  <c r="AF75" i="25"/>
  <c r="U864" i="21"/>
  <c r="T941" i="21"/>
  <c r="U863" i="21"/>
  <c r="D252" i="14"/>
  <c r="D269" i="14"/>
  <c r="D260" i="14"/>
  <c r="U837" i="21"/>
  <c r="D272" i="14"/>
  <c r="D264" i="14"/>
  <c r="U852" i="21"/>
  <c r="T935" i="21"/>
  <c r="T972" i="21"/>
  <c r="D250" i="14"/>
  <c r="D235" i="14"/>
  <c r="AB75" i="25"/>
  <c r="D242" i="14"/>
  <c r="D255" i="14"/>
  <c r="U840" i="21"/>
  <c r="T964" i="21"/>
  <c r="U842" i="21"/>
  <c r="U866" i="21"/>
  <c r="F91" i="14"/>
  <c r="T940" i="21"/>
  <c r="D243" i="14"/>
  <c r="U822" i="21"/>
  <c r="D270" i="14"/>
  <c r="U855" i="21"/>
  <c r="D256" i="14"/>
  <c r="U854" i="21"/>
  <c r="Z75" i="25"/>
  <c r="U841" i="21"/>
  <c r="T959" i="21"/>
  <c r="T947" i="21"/>
  <c r="U857" i="21"/>
  <c r="AH75" i="24"/>
  <c r="U819" i="21"/>
  <c r="U858" i="21"/>
  <c r="T928" i="21"/>
  <c r="Y75" i="25"/>
  <c r="D280" i="14"/>
  <c r="U826" i="21"/>
  <c r="AG75" i="24"/>
  <c r="U843" i="21"/>
  <c r="AD75" i="25"/>
  <c r="D236" i="14"/>
  <c r="D258" i="14"/>
  <c r="D275" i="14"/>
  <c r="D254" i="14"/>
  <c r="Q75" i="25"/>
  <c r="D262" i="14"/>
  <c r="U846" i="21"/>
  <c r="D263" i="14"/>
  <c r="U829" i="21"/>
  <c r="D278" i="14"/>
  <c r="T930" i="21"/>
  <c r="U818" i="21"/>
  <c r="T956" i="21"/>
  <c r="D244" i="14"/>
  <c r="T945" i="21"/>
  <c r="T960" i="21"/>
  <c r="AR75" i="24"/>
  <c r="T971" i="21"/>
  <c r="AS75" i="25"/>
  <c r="T967" i="21"/>
  <c r="T958" i="21"/>
  <c r="U828" i="21"/>
  <c r="AY75" i="8" l="1"/>
  <c r="AR75" i="7"/>
  <c r="AP75" i="5"/>
  <c r="AQ75" i="6"/>
  <c r="AY75" i="12"/>
  <c r="AW75" i="11"/>
  <c r="AO75" i="13"/>
  <c r="V1157" i="21"/>
  <c r="V72" i="25"/>
  <c r="BA74" i="12"/>
  <c r="AQ74" i="13"/>
  <c r="AY74" i="11"/>
  <c r="AR74" i="5"/>
  <c r="AT74" i="7"/>
  <c r="BA74" i="8"/>
  <c r="AS74" i="6"/>
  <c r="AP74" i="13"/>
  <c r="AZ74" i="12"/>
  <c r="AX74" i="11"/>
  <c r="AS74" i="7"/>
  <c r="AQ74" i="5"/>
  <c r="AZ74" i="8"/>
  <c r="AR74" i="6"/>
  <c r="M73" i="19"/>
  <c r="I73" i="19"/>
  <c r="N72" i="19"/>
  <c r="K72" i="19"/>
  <c r="J72" i="19"/>
  <c r="O72" i="19"/>
  <c r="AM74" i="25"/>
  <c r="AO75" i="24"/>
  <c r="AN74" i="25"/>
  <c r="AR74" i="12"/>
  <c r="L74" i="12" s="1"/>
  <c r="AJ74" i="12"/>
  <c r="AH74" i="12"/>
  <c r="AI74" i="12"/>
  <c r="AG74" i="12"/>
  <c r="AK74" i="12"/>
  <c r="R74" i="12"/>
  <c r="H74" i="12" s="1"/>
  <c r="R74" i="13"/>
  <c r="H74" i="13" s="1"/>
  <c r="AB74" i="13" s="1"/>
  <c r="AD74" i="13"/>
  <c r="AC74" i="13"/>
  <c r="AH74" i="13"/>
  <c r="L74" i="13" s="1"/>
  <c r="J73" i="12"/>
  <c r="W73" i="12" s="1"/>
  <c r="J73" i="13"/>
  <c r="W71" i="25"/>
  <c r="I71" i="25" s="1"/>
  <c r="M71" i="25" s="1"/>
  <c r="F71" i="25" s="1"/>
  <c r="P68" i="19" s="1"/>
  <c r="W72" i="25"/>
  <c r="AN74" i="24"/>
  <c r="AL74" i="25"/>
  <c r="V1145" i="21"/>
  <c r="AA72" i="24"/>
  <c r="AM74" i="24"/>
  <c r="H73" i="25"/>
  <c r="U74" i="24"/>
  <c r="V74" i="24"/>
  <c r="AH74" i="25"/>
  <c r="AI74" i="25"/>
  <c r="AK74" i="25"/>
  <c r="AJ74" i="25"/>
  <c r="AR74" i="25"/>
  <c r="L74" i="25" s="1"/>
  <c r="AP73" i="25"/>
  <c r="K73" i="25" s="1"/>
  <c r="O73" i="25"/>
  <c r="G73" i="25" s="1"/>
  <c r="Q74" i="24"/>
  <c r="H74" i="24" s="1"/>
  <c r="AJ74" i="24" s="1"/>
  <c r="AI74" i="24"/>
  <c r="AK72" i="24"/>
  <c r="E73" i="24"/>
  <c r="O73" i="24"/>
  <c r="G73" i="24" s="1"/>
  <c r="AQ73" i="24"/>
  <c r="L73" i="24" s="1"/>
  <c r="I73" i="24"/>
  <c r="N74" i="24"/>
  <c r="N74" i="25"/>
  <c r="E74" i="25" s="1"/>
  <c r="C75" i="25"/>
  <c r="AJ75" i="25" s="1"/>
  <c r="AO74" i="25"/>
  <c r="AP74" i="24"/>
  <c r="V1133" i="21"/>
  <c r="V1121" i="21"/>
  <c r="V1097" i="21"/>
  <c r="V1109" i="21"/>
  <c r="V1073" i="21"/>
  <c r="V1085" i="21"/>
  <c r="A76" i="25"/>
  <c r="A76" i="24"/>
  <c r="H74" i="19"/>
  <c r="B75" i="24"/>
  <c r="W75" i="24" s="1"/>
  <c r="B75" i="25"/>
  <c r="AL75" i="25" s="1"/>
  <c r="D35" i="25"/>
  <c r="D56" i="25"/>
  <c r="D39" i="25"/>
  <c r="D26" i="25"/>
  <c r="D70" i="25"/>
  <c r="D47" i="25"/>
  <c r="C75" i="24"/>
  <c r="U75" i="24" s="1"/>
  <c r="X73" i="19"/>
  <c r="T74" i="19"/>
  <c r="AD54" i="13"/>
  <c r="AC54" i="13"/>
  <c r="R54" i="13"/>
  <c r="H54" i="13" s="1"/>
  <c r="AI51" i="12"/>
  <c r="AH51" i="12"/>
  <c r="AK51" i="12"/>
  <c r="R51" i="12"/>
  <c r="H51" i="12" s="1"/>
  <c r="AJ51" i="12"/>
  <c r="AG51" i="12"/>
  <c r="AI46" i="12"/>
  <c r="AJ46" i="12"/>
  <c r="AG46" i="12"/>
  <c r="AH46" i="12"/>
  <c r="AK46" i="12"/>
  <c r="R46" i="12"/>
  <c r="H46" i="12" s="1"/>
  <c r="AJ41" i="12"/>
  <c r="AH41" i="12"/>
  <c r="AG41" i="12"/>
  <c r="AI41" i="12"/>
  <c r="AK41" i="12"/>
  <c r="R41" i="12"/>
  <c r="H41" i="12" s="1"/>
  <c r="R38" i="12"/>
  <c r="H38" i="12" s="1"/>
  <c r="AH38" i="12"/>
  <c r="AG38" i="12"/>
  <c r="AI38" i="12"/>
  <c r="AJ38" i="12"/>
  <c r="AK38" i="12"/>
  <c r="AD32" i="13"/>
  <c r="AC32" i="13"/>
  <c r="R32" i="13"/>
  <c r="H32" i="13" s="1"/>
  <c r="AC30" i="13"/>
  <c r="R30" i="13"/>
  <c r="H30" i="13" s="1"/>
  <c r="AD30" i="13"/>
  <c r="R24" i="12"/>
  <c r="H24" i="12" s="1"/>
  <c r="AI24" i="12"/>
  <c r="AG24" i="12"/>
  <c r="AK24" i="12"/>
  <c r="AJ24" i="12"/>
  <c r="AH24" i="12"/>
  <c r="AJ52" i="12"/>
  <c r="AI52" i="12"/>
  <c r="AH52" i="12"/>
  <c r="AG52" i="12"/>
  <c r="R52" i="12"/>
  <c r="H52" i="12" s="1"/>
  <c r="AK52" i="12"/>
  <c r="R51" i="13"/>
  <c r="H51" i="13" s="1"/>
  <c r="AC51" i="13"/>
  <c r="AD51" i="13"/>
  <c r="R47" i="13"/>
  <c r="H47" i="13" s="1"/>
  <c r="AD47" i="13"/>
  <c r="AC47" i="13"/>
  <c r="R46" i="13"/>
  <c r="H46" i="13" s="1"/>
  <c r="AD46" i="13"/>
  <c r="AC46" i="13"/>
  <c r="AC43" i="13"/>
  <c r="AD43" i="13"/>
  <c r="R43" i="13"/>
  <c r="H43" i="13" s="1"/>
  <c r="AI42" i="12"/>
  <c r="AH42" i="12"/>
  <c r="AK42" i="12"/>
  <c r="R42" i="12"/>
  <c r="H42" i="12" s="1"/>
  <c r="AG42" i="12"/>
  <c r="AJ42" i="12"/>
  <c r="AH30" i="12"/>
  <c r="AJ30" i="12"/>
  <c r="AK30" i="12"/>
  <c r="AI30" i="12"/>
  <c r="R30" i="12"/>
  <c r="H30" i="12" s="1"/>
  <c r="AG30" i="12"/>
  <c r="R29" i="12"/>
  <c r="H29" i="12" s="1"/>
  <c r="AG29" i="12"/>
  <c r="AI29" i="12"/>
  <c r="AH29" i="12"/>
  <c r="AK29" i="12"/>
  <c r="AJ29" i="12"/>
  <c r="R27" i="13"/>
  <c r="H27" i="13" s="1"/>
  <c r="AC27" i="13"/>
  <c r="AD27" i="13"/>
  <c r="AH26" i="12"/>
  <c r="AG26" i="12"/>
  <c r="AK26" i="12"/>
  <c r="AJ26" i="12"/>
  <c r="R26" i="12"/>
  <c r="H26" i="12" s="1"/>
  <c r="AI26" i="12"/>
  <c r="AG25" i="12"/>
  <c r="AI25" i="12"/>
  <c r="AH25" i="12"/>
  <c r="R25" i="12"/>
  <c r="H25" i="12" s="1"/>
  <c r="AK25" i="12"/>
  <c r="AJ25" i="12"/>
  <c r="AC49" i="13"/>
  <c r="AD49" i="13"/>
  <c r="R49" i="13"/>
  <c r="H49" i="13" s="1"/>
  <c r="R44" i="12"/>
  <c r="H44" i="12" s="1"/>
  <c r="AI44" i="12"/>
  <c r="AJ44" i="12"/>
  <c r="AG44" i="12"/>
  <c r="AH44" i="12"/>
  <c r="AK44" i="12"/>
  <c r="AH43" i="12"/>
  <c r="AI43" i="12"/>
  <c r="AJ43" i="12"/>
  <c r="AG43" i="12"/>
  <c r="AK43" i="12"/>
  <c r="R43" i="12"/>
  <c r="H43" i="12" s="1"/>
  <c r="AD38" i="13"/>
  <c r="AC38" i="13"/>
  <c r="R38" i="13"/>
  <c r="H38" i="13" s="1"/>
  <c r="AD35" i="13"/>
  <c r="R35" i="13"/>
  <c r="H35" i="13" s="1"/>
  <c r="AC35" i="13"/>
  <c r="AK31" i="12"/>
  <c r="AH31" i="12"/>
  <c r="AI31" i="12"/>
  <c r="AJ31" i="12"/>
  <c r="AG31" i="12"/>
  <c r="R31" i="12"/>
  <c r="H31" i="12" s="1"/>
  <c r="AI28" i="12"/>
  <c r="AG28" i="12"/>
  <c r="R28" i="12"/>
  <c r="H28" i="12" s="1"/>
  <c r="AK28" i="12"/>
  <c r="AH28" i="12"/>
  <c r="AJ28" i="12"/>
  <c r="AH21" i="12"/>
  <c r="AG21" i="12"/>
  <c r="AK21" i="12"/>
  <c r="AJ21" i="12"/>
  <c r="AI21" i="12"/>
  <c r="R21" i="12"/>
  <c r="H21" i="12" s="1"/>
  <c r="AK54" i="12"/>
  <c r="R54" i="12"/>
  <c r="H54" i="12" s="1"/>
  <c r="AG54" i="12"/>
  <c r="AJ54" i="12"/>
  <c r="AH54" i="12"/>
  <c r="AI54" i="12"/>
  <c r="AC52" i="13"/>
  <c r="AD52" i="13"/>
  <c r="R52" i="13"/>
  <c r="H52" i="13" s="1"/>
  <c r="AJ49" i="12"/>
  <c r="AK49" i="12"/>
  <c r="AI49" i="12"/>
  <c r="AH49" i="12"/>
  <c r="R49" i="12"/>
  <c r="H49" i="12" s="1"/>
  <c r="AG49" i="12"/>
  <c r="AG48" i="12"/>
  <c r="AJ48" i="12"/>
  <c r="R48" i="12"/>
  <c r="H48" i="12" s="1"/>
  <c r="AH48" i="12"/>
  <c r="AK48" i="12"/>
  <c r="AI48" i="12"/>
  <c r="AK39" i="12"/>
  <c r="AH39" i="12"/>
  <c r="AG39" i="12"/>
  <c r="R39" i="12"/>
  <c r="H39" i="12" s="1"/>
  <c r="AJ39" i="12"/>
  <c r="AI39" i="12"/>
  <c r="AC31" i="13"/>
  <c r="R31" i="13"/>
  <c r="H31" i="13" s="1"/>
  <c r="AD31" i="13"/>
  <c r="AD29" i="13"/>
  <c r="AC29" i="13"/>
  <c r="R29" i="13"/>
  <c r="H29" i="13" s="1"/>
  <c r="AG27" i="12"/>
  <c r="AJ27" i="12"/>
  <c r="R27" i="12"/>
  <c r="H27" i="12" s="1"/>
  <c r="AI27" i="12"/>
  <c r="AH27" i="12"/>
  <c r="AC25" i="13"/>
  <c r="AD25" i="13"/>
  <c r="R25" i="13"/>
  <c r="H25" i="13" s="1"/>
  <c r="AC24" i="13"/>
  <c r="R24" i="13"/>
  <c r="H24" i="13" s="1"/>
  <c r="AD24" i="13"/>
  <c r="R21" i="13"/>
  <c r="H21" i="13" s="1"/>
  <c r="AC21" i="13"/>
  <c r="AD21" i="13"/>
  <c r="D57" i="25"/>
  <c r="D13" i="25"/>
  <c r="D36" i="25"/>
  <c r="D31" i="25"/>
  <c r="D21" i="25"/>
  <c r="D40" i="25"/>
  <c r="D53" i="25"/>
  <c r="D20" i="25"/>
  <c r="D43" i="25"/>
  <c r="AG58" i="12"/>
  <c r="AK58" i="12"/>
  <c r="AH58" i="12"/>
  <c r="AI58" i="12"/>
  <c r="R58" i="12"/>
  <c r="H58" i="12" s="1"/>
  <c r="AJ58" i="12"/>
  <c r="AC57" i="13"/>
  <c r="AD57" i="13"/>
  <c r="R57" i="13"/>
  <c r="H57" i="13" s="1"/>
  <c r="AB57" i="13" s="1"/>
  <c r="AI50" i="12"/>
  <c r="R50" i="12"/>
  <c r="H50" i="12" s="1"/>
  <c r="AK50" i="12"/>
  <c r="AH50" i="12"/>
  <c r="AG50" i="12"/>
  <c r="AJ50" i="12"/>
  <c r="AC50" i="13"/>
  <c r="R50" i="13"/>
  <c r="H50" i="13" s="1"/>
  <c r="AB50" i="13" s="1"/>
  <c r="AD50" i="13"/>
  <c r="R39" i="13"/>
  <c r="H39" i="13" s="1"/>
  <c r="AB39" i="13" s="1"/>
  <c r="AD39" i="13"/>
  <c r="AC39" i="13"/>
  <c r="AG37" i="12"/>
  <c r="AJ37" i="12"/>
  <c r="AI37" i="12"/>
  <c r="AK37" i="12"/>
  <c r="AH37" i="12"/>
  <c r="R37" i="12"/>
  <c r="AD33" i="13"/>
  <c r="R33" i="13"/>
  <c r="H33" i="13" s="1"/>
  <c r="AB33" i="13" s="1"/>
  <c r="AC33" i="13"/>
  <c r="AK23" i="12"/>
  <c r="AG23" i="12"/>
  <c r="R23" i="12"/>
  <c r="H23" i="12" s="1"/>
  <c r="AI23" i="12"/>
  <c r="AJ23" i="12"/>
  <c r="AH23" i="12"/>
  <c r="AC22" i="13"/>
  <c r="AD22" i="13"/>
  <c r="R22" i="13"/>
  <c r="H22" i="13" s="1"/>
  <c r="AB22" i="13" s="1"/>
  <c r="AH55" i="12"/>
  <c r="R55" i="12"/>
  <c r="H55" i="12" s="1"/>
  <c r="AJ55" i="12"/>
  <c r="AI55" i="12"/>
  <c r="AK55" i="12"/>
  <c r="AG55" i="12"/>
  <c r="R55" i="13"/>
  <c r="H55" i="13" s="1"/>
  <c r="AB55" i="13" s="1"/>
  <c r="AC55" i="13"/>
  <c r="AD55" i="13"/>
  <c r="AK47" i="12"/>
  <c r="AG47" i="12"/>
  <c r="AH47" i="12"/>
  <c r="AI47" i="12"/>
  <c r="R47" i="12"/>
  <c r="H47" i="12" s="1"/>
  <c r="AJ47" i="12"/>
  <c r="AJ45" i="12"/>
  <c r="AK45" i="12"/>
  <c r="R45" i="12"/>
  <c r="AG45" i="12"/>
  <c r="AI45" i="12"/>
  <c r="AH45" i="12"/>
  <c r="AD41" i="13"/>
  <c r="AC41" i="13"/>
  <c r="R41" i="13"/>
  <c r="H41" i="13" s="1"/>
  <c r="AB41" i="13" s="1"/>
  <c r="AD40" i="13"/>
  <c r="AC40" i="13"/>
  <c r="R40" i="13"/>
  <c r="H40" i="13" s="1"/>
  <c r="AB40" i="13" s="1"/>
  <c r="AC36" i="13"/>
  <c r="AD36" i="13"/>
  <c r="R36" i="13"/>
  <c r="H36" i="13" s="1"/>
  <c r="AB36" i="13" s="1"/>
  <c r="AI34" i="12"/>
  <c r="AJ34" i="12"/>
  <c r="AK34" i="12"/>
  <c r="R34" i="12"/>
  <c r="AH34" i="12"/>
  <c r="AG34" i="12"/>
  <c r="R26" i="13"/>
  <c r="H26" i="13" s="1"/>
  <c r="AD26" i="13"/>
  <c r="AC26" i="13"/>
  <c r="AJ20" i="12"/>
  <c r="AI20" i="12"/>
  <c r="AK20" i="12"/>
  <c r="AH20" i="12"/>
  <c r="AG20" i="12"/>
  <c r="R20" i="12"/>
  <c r="H20" i="12" s="1"/>
  <c r="AD58" i="13"/>
  <c r="R58" i="13"/>
  <c r="H58" i="13" s="1"/>
  <c r="AC58" i="13"/>
  <c r="AC56" i="13"/>
  <c r="AD56" i="13"/>
  <c r="R56" i="13"/>
  <c r="H56" i="13" s="1"/>
  <c r="AB56" i="13" s="1"/>
  <c r="AK53" i="12"/>
  <c r="AI53" i="12"/>
  <c r="R53" i="12"/>
  <c r="H53" i="12" s="1"/>
  <c r="AG53" i="12"/>
  <c r="AJ53" i="12"/>
  <c r="AH53" i="12"/>
  <c r="AC48" i="13"/>
  <c r="R48" i="13"/>
  <c r="H48" i="13" s="1"/>
  <c r="AB48" i="13" s="1"/>
  <c r="AD48" i="13"/>
  <c r="AJ40" i="12"/>
  <c r="AG40" i="12"/>
  <c r="R40" i="12"/>
  <c r="AI40" i="12"/>
  <c r="AK40" i="12"/>
  <c r="AH40" i="12"/>
  <c r="R37" i="13"/>
  <c r="H37" i="13" s="1"/>
  <c r="AB37" i="13" s="1"/>
  <c r="AD37" i="13"/>
  <c r="AC37" i="13"/>
  <c r="AJ36" i="12"/>
  <c r="AK36" i="12"/>
  <c r="AH36" i="12"/>
  <c r="AI36" i="12"/>
  <c r="AG36" i="12"/>
  <c r="R36" i="12"/>
  <c r="AI32" i="12"/>
  <c r="AJ32" i="12"/>
  <c r="AG32" i="12"/>
  <c r="R32" i="12"/>
  <c r="AH32" i="12"/>
  <c r="AK32" i="12"/>
  <c r="R28" i="13"/>
  <c r="H28" i="13" s="1"/>
  <c r="AC28" i="13"/>
  <c r="AD28" i="13"/>
  <c r="AC23" i="13"/>
  <c r="R23" i="13"/>
  <c r="H23" i="13" s="1"/>
  <c r="AD23" i="13"/>
  <c r="AH57" i="12"/>
  <c r="R57" i="12"/>
  <c r="H57" i="12" s="1"/>
  <c r="AJ57" i="12"/>
  <c r="AG57" i="12"/>
  <c r="AK57" i="12"/>
  <c r="AI57" i="12"/>
  <c r="R56" i="12"/>
  <c r="H56" i="12" s="1"/>
  <c r="AH56" i="12"/>
  <c r="AG56" i="12"/>
  <c r="AK56" i="12"/>
  <c r="AI56" i="12"/>
  <c r="AJ56" i="12"/>
  <c r="R53" i="13"/>
  <c r="H53" i="13" s="1"/>
  <c r="AB53" i="13" s="1"/>
  <c r="AC53" i="13"/>
  <c r="AD53" i="13"/>
  <c r="R45" i="13"/>
  <c r="H45" i="13" s="1"/>
  <c r="AB45" i="13" s="1"/>
  <c r="AD45" i="13"/>
  <c r="AC45" i="13"/>
  <c r="AD44" i="13"/>
  <c r="R44" i="13"/>
  <c r="AC44" i="13"/>
  <c r="R42" i="13"/>
  <c r="H42" i="13" s="1"/>
  <c r="AB42" i="13" s="1"/>
  <c r="AC42" i="13"/>
  <c r="AD42" i="13"/>
  <c r="AG35" i="12"/>
  <c r="AK35" i="12"/>
  <c r="AH35" i="12"/>
  <c r="AJ35" i="12"/>
  <c r="R35" i="12"/>
  <c r="AI35" i="12"/>
  <c r="AC34" i="13"/>
  <c r="R34" i="13"/>
  <c r="H34" i="13" s="1"/>
  <c r="AB34" i="13" s="1"/>
  <c r="AD34" i="13"/>
  <c r="AH33" i="12"/>
  <c r="AK33" i="12"/>
  <c r="AG33" i="12"/>
  <c r="AI33" i="12"/>
  <c r="AJ33" i="12"/>
  <c r="R33" i="12"/>
  <c r="AH22" i="12"/>
  <c r="AI22" i="12"/>
  <c r="AJ22" i="12"/>
  <c r="R22" i="12"/>
  <c r="H22" i="12" s="1"/>
  <c r="AG22" i="12"/>
  <c r="AK22" i="12"/>
  <c r="AC20" i="13"/>
  <c r="R20" i="13"/>
  <c r="H20" i="13" s="1"/>
  <c r="AB20" i="13" s="1"/>
  <c r="AD20" i="13"/>
  <c r="R7" i="13"/>
  <c r="AD7" i="13"/>
  <c r="AC7" i="13"/>
  <c r="AD15" i="13"/>
  <c r="R15" i="13"/>
  <c r="AC15" i="13"/>
  <c r="AD13" i="13"/>
  <c r="R13" i="13"/>
  <c r="AC13" i="13"/>
  <c r="AC9" i="13"/>
  <c r="R9" i="13"/>
  <c r="AD9" i="13"/>
  <c r="AD17" i="13"/>
  <c r="R17" i="13"/>
  <c r="AC17" i="13"/>
  <c r="AC10" i="13"/>
  <c r="AD10" i="13"/>
  <c r="R10" i="13"/>
  <c r="AC19" i="13"/>
  <c r="R19" i="13"/>
  <c r="H19" i="13" s="1"/>
  <c r="AB19" i="13" s="1"/>
  <c r="AD19" i="13"/>
  <c r="AC14" i="13"/>
  <c r="AD14" i="13"/>
  <c r="R14" i="13"/>
  <c r="AD11" i="13"/>
  <c r="R11" i="13"/>
  <c r="AC11" i="13"/>
  <c r="AD18" i="13"/>
  <c r="R18" i="13"/>
  <c r="AC18" i="13"/>
  <c r="R12" i="13"/>
  <c r="AD12" i="13"/>
  <c r="AC12" i="13"/>
  <c r="AC8" i="13"/>
  <c r="R8" i="13"/>
  <c r="AD8" i="13"/>
  <c r="AD16" i="13"/>
  <c r="R16" i="13"/>
  <c r="AC16" i="13"/>
  <c r="AG16" i="12"/>
  <c r="AI16" i="12"/>
  <c r="AK16" i="12"/>
  <c r="AH16" i="12"/>
  <c r="AJ16" i="12"/>
  <c r="R16" i="12"/>
  <c r="H16" i="12" s="1"/>
  <c r="R18" i="12"/>
  <c r="H18" i="12" s="1"/>
  <c r="AJ18" i="12"/>
  <c r="AG18" i="12"/>
  <c r="AH18" i="12"/>
  <c r="AK18" i="12"/>
  <c r="AI18" i="12"/>
  <c r="AK17" i="12"/>
  <c r="AI17" i="12"/>
  <c r="AH17" i="12"/>
  <c r="AJ17" i="12"/>
  <c r="AG17" i="12"/>
  <c r="R17" i="12"/>
  <c r="H17" i="12" s="1"/>
  <c r="AK19" i="12"/>
  <c r="R19" i="12"/>
  <c r="H19" i="12" s="1"/>
  <c r="AI19" i="12"/>
  <c r="AH19" i="12"/>
  <c r="AG19" i="12"/>
  <c r="AJ19" i="12"/>
  <c r="AJ10" i="12"/>
  <c r="AG10" i="12"/>
  <c r="AI10" i="12"/>
  <c r="AH10" i="12"/>
  <c r="AK10" i="12"/>
  <c r="R10" i="12"/>
  <c r="H10" i="12" s="1"/>
  <c r="AK14" i="12"/>
  <c r="AH14" i="12"/>
  <c r="AJ14" i="12"/>
  <c r="AG14" i="12"/>
  <c r="R14" i="12"/>
  <c r="H14" i="12" s="1"/>
  <c r="AI14" i="12"/>
  <c r="AJ13" i="12"/>
  <c r="AG13" i="12"/>
  <c r="AK13" i="12"/>
  <c r="AH13" i="12"/>
  <c r="AI13" i="12"/>
  <c r="R13" i="12"/>
  <c r="H13" i="12" s="1"/>
  <c r="AG15" i="12"/>
  <c r="AJ15" i="12"/>
  <c r="AI15" i="12"/>
  <c r="AK15" i="12"/>
  <c r="AH15" i="12"/>
  <c r="R15" i="12"/>
  <c r="H15" i="12" s="1"/>
  <c r="AG12" i="12"/>
  <c r="R12" i="12"/>
  <c r="H12" i="12" s="1"/>
  <c r="AI12" i="12"/>
  <c r="AK12" i="12"/>
  <c r="AJ12" i="12"/>
  <c r="AH12" i="12"/>
  <c r="AI8" i="12"/>
  <c r="AH8" i="12"/>
  <c r="R8" i="12"/>
  <c r="H8" i="12" s="1"/>
  <c r="AG8" i="12"/>
  <c r="AK8" i="12"/>
  <c r="AJ8" i="12"/>
  <c r="AI11" i="12"/>
  <c r="AH11" i="12"/>
  <c r="AK11" i="12"/>
  <c r="AJ11" i="12"/>
  <c r="AG11" i="12"/>
  <c r="R11" i="12"/>
  <c r="H11" i="12" s="1"/>
  <c r="AK9" i="12"/>
  <c r="AJ9" i="12"/>
  <c r="R9" i="12"/>
  <c r="H9" i="12" s="1"/>
  <c r="AI9" i="12"/>
  <c r="AH9" i="12"/>
  <c r="AG9" i="12"/>
  <c r="AD76" i="25"/>
  <c r="N86" i="14"/>
  <c r="AH76" i="24"/>
  <c r="K86" i="14"/>
  <c r="P76" i="25"/>
  <c r="T950" i="21"/>
  <c r="AB76" i="25"/>
  <c r="H86" i="14"/>
  <c r="X76" i="25"/>
  <c r="AS76" i="25"/>
  <c r="F86" i="14"/>
  <c r="T76" i="24"/>
  <c r="R76" i="24"/>
  <c r="AR76" i="24"/>
  <c r="AD76" i="24"/>
  <c r="AB76" i="24"/>
  <c r="AC76" i="24"/>
  <c r="Q76" i="25"/>
  <c r="AQ76" i="25"/>
  <c r="D301" i="14"/>
  <c r="S76" i="24"/>
  <c r="I86" i="14"/>
  <c r="J86" i="14"/>
  <c r="D233" i="14"/>
  <c r="AE76" i="24"/>
  <c r="AF76" i="24"/>
  <c r="AA76" i="25"/>
  <c r="AE76" i="25"/>
  <c r="Y76" i="25"/>
  <c r="M86" i="14"/>
  <c r="AF76" i="25"/>
  <c r="AC76" i="25"/>
  <c r="Z76" i="25"/>
  <c r="T961" i="21"/>
  <c r="AG76" i="24"/>
  <c r="G86" i="14"/>
  <c r="L86" i="14"/>
  <c r="AY76" i="12" l="1"/>
  <c r="AO76" i="13"/>
  <c r="AW76" i="11"/>
  <c r="AY76" i="8"/>
  <c r="AR76" i="7"/>
  <c r="AP76" i="5"/>
  <c r="AQ76" i="6"/>
  <c r="Q1158" i="21"/>
  <c r="Q1157" i="21"/>
  <c r="Q1159" i="21"/>
  <c r="BA75" i="12"/>
  <c r="AY75" i="11"/>
  <c r="AQ75" i="13"/>
  <c r="BA75" i="8"/>
  <c r="AR75" i="5"/>
  <c r="AS75" i="6"/>
  <c r="AT75" i="7"/>
  <c r="AP75" i="13"/>
  <c r="AZ75" i="12"/>
  <c r="AX75" i="11"/>
  <c r="AZ75" i="8"/>
  <c r="AR75" i="6"/>
  <c r="AQ75" i="5"/>
  <c r="AS75" i="7"/>
  <c r="J73" i="19"/>
  <c r="N73" i="19"/>
  <c r="K73" i="19"/>
  <c r="O73" i="19"/>
  <c r="M74" i="19"/>
  <c r="I74" i="19"/>
  <c r="AM75" i="25"/>
  <c r="AO76" i="24"/>
  <c r="AN75" i="25"/>
  <c r="J74" i="13"/>
  <c r="J74" i="12"/>
  <c r="W74" i="12" s="1"/>
  <c r="R75" i="12"/>
  <c r="H75" i="12" s="1"/>
  <c r="AJ75" i="12"/>
  <c r="AR75" i="12"/>
  <c r="L75" i="12" s="1"/>
  <c r="AI75" i="12"/>
  <c r="AK75" i="12"/>
  <c r="AH75" i="12"/>
  <c r="AG75" i="12"/>
  <c r="AD75" i="13"/>
  <c r="R75" i="13"/>
  <c r="H75" i="13" s="1"/>
  <c r="AB75" i="13" s="1"/>
  <c r="AH75" i="13"/>
  <c r="L75" i="13" s="1"/>
  <c r="AC75" i="13"/>
  <c r="AG73" i="25"/>
  <c r="J73" i="25" s="1"/>
  <c r="W73" i="25" s="1"/>
  <c r="J55" i="12"/>
  <c r="J10" i="12"/>
  <c r="J56" i="12"/>
  <c r="W56" i="12" s="1"/>
  <c r="J26" i="12"/>
  <c r="J38" i="12"/>
  <c r="J8" i="12"/>
  <c r="J14" i="12"/>
  <c r="J35" i="12"/>
  <c r="J49" i="12"/>
  <c r="J11" i="12"/>
  <c r="J12" i="12"/>
  <c r="J17" i="12"/>
  <c r="J28" i="12"/>
  <c r="J50" i="12"/>
  <c r="W50" i="12" s="1"/>
  <c r="J29" i="12"/>
  <c r="J40" i="12"/>
  <c r="J42" i="12"/>
  <c r="J19" i="12"/>
  <c r="J21" i="12"/>
  <c r="J25" i="12"/>
  <c r="J30" i="12"/>
  <c r="J37" i="12"/>
  <c r="J9" i="12"/>
  <c r="J32" i="12"/>
  <c r="J13" i="12"/>
  <c r="J20" i="12"/>
  <c r="J54" i="12"/>
  <c r="W54" i="12" s="1"/>
  <c r="J31" i="12"/>
  <c r="J24" i="12"/>
  <c r="J46" i="12"/>
  <c r="J18" i="12"/>
  <c r="W18" i="12" s="1"/>
  <c r="J34" i="12"/>
  <c r="J22" i="12"/>
  <c r="J33" i="12"/>
  <c r="J57" i="12"/>
  <c r="J45" i="12"/>
  <c r="J47" i="12"/>
  <c r="W47" i="12" s="1"/>
  <c r="J27" i="12"/>
  <c r="J52" i="12"/>
  <c r="J16" i="12"/>
  <c r="J53" i="12"/>
  <c r="W53" i="12" s="1"/>
  <c r="J43" i="12"/>
  <c r="J36" i="12"/>
  <c r="J58" i="12"/>
  <c r="J41" i="12"/>
  <c r="W41" i="12" s="1"/>
  <c r="J15" i="12"/>
  <c r="J23" i="12"/>
  <c r="J39" i="12"/>
  <c r="J48" i="12"/>
  <c r="W48" i="12" s="1"/>
  <c r="J44" i="12"/>
  <c r="J51" i="12"/>
  <c r="AN75" i="24"/>
  <c r="Q1153" i="21"/>
  <c r="Q1151" i="21"/>
  <c r="Q1152" i="21"/>
  <c r="Q1148" i="21"/>
  <c r="Q1150" i="21"/>
  <c r="Q1149" i="21"/>
  <c r="Q1145" i="21"/>
  <c r="Q1147" i="21"/>
  <c r="Q1146" i="21"/>
  <c r="AK73" i="24"/>
  <c r="AA73" i="24"/>
  <c r="AM75" i="24"/>
  <c r="AI75" i="24"/>
  <c r="AR75" i="25"/>
  <c r="L75" i="25" s="1"/>
  <c r="AI75" i="25"/>
  <c r="Q75" i="24"/>
  <c r="H75" i="24" s="1"/>
  <c r="AJ75" i="24" s="1"/>
  <c r="AH75" i="25"/>
  <c r="S75" i="25"/>
  <c r="R75" i="25"/>
  <c r="AP74" i="25"/>
  <c r="K74" i="25" s="1"/>
  <c r="AK75" i="25"/>
  <c r="O74" i="25"/>
  <c r="G74" i="25" s="1"/>
  <c r="O74" i="24"/>
  <c r="G74" i="24" s="1"/>
  <c r="V75" i="24"/>
  <c r="AQ74" i="24"/>
  <c r="L74" i="24" s="1"/>
  <c r="I72" i="25"/>
  <c r="M72" i="25" s="1"/>
  <c r="F72" i="25" s="1"/>
  <c r="P69" i="19" s="1"/>
  <c r="I74" i="24"/>
  <c r="E74" i="24"/>
  <c r="N75" i="24"/>
  <c r="C76" i="24"/>
  <c r="U76" i="24" s="1"/>
  <c r="N75" i="25"/>
  <c r="E75" i="25" s="1"/>
  <c r="AO75" i="25"/>
  <c r="C76" i="25"/>
  <c r="AJ76" i="25" s="1"/>
  <c r="AP75" i="24"/>
  <c r="H74" i="25"/>
  <c r="H75" i="19"/>
  <c r="A77" i="24"/>
  <c r="A77" i="25"/>
  <c r="B76" i="24"/>
  <c r="V76" i="24" s="1"/>
  <c r="B76" i="25"/>
  <c r="S76" i="25" s="1"/>
  <c r="D71" i="25"/>
  <c r="X74" i="19"/>
  <c r="T75" i="19"/>
  <c r="Q1137" i="21"/>
  <c r="Q1134" i="21"/>
  <c r="Q1133" i="21"/>
  <c r="Q1139" i="21"/>
  <c r="Q1138" i="21"/>
  <c r="Q1141" i="21"/>
  <c r="Q1135" i="21"/>
  <c r="Q1136" i="21"/>
  <c r="Q1140" i="21"/>
  <c r="Q1125" i="21"/>
  <c r="Q1122" i="21"/>
  <c r="Q1127" i="21"/>
  <c r="Q1126" i="21"/>
  <c r="Q1129" i="21"/>
  <c r="Q1123" i="21"/>
  <c r="Q1124" i="21"/>
  <c r="Q1128" i="21"/>
  <c r="AR7" i="12"/>
  <c r="L7" i="12" s="1"/>
  <c r="AB49" i="13"/>
  <c r="J49" i="13" s="1"/>
  <c r="AB43" i="13"/>
  <c r="J43" i="13" s="1"/>
  <c r="AB21" i="13"/>
  <c r="J21" i="13" s="1"/>
  <c r="AB29" i="13"/>
  <c r="J29" i="13" s="1"/>
  <c r="AB51" i="13"/>
  <c r="J51" i="13" s="1"/>
  <c r="AB54" i="13"/>
  <c r="J54" i="13" s="1"/>
  <c r="AB31" i="13"/>
  <c r="J31" i="13" s="1"/>
  <c r="AB52" i="13"/>
  <c r="J52" i="13" s="1"/>
  <c r="AB46" i="13"/>
  <c r="J46" i="13" s="1"/>
  <c r="AB47" i="13"/>
  <c r="J47" i="13" s="1"/>
  <c r="AB32" i="13"/>
  <c r="J32" i="13" s="1"/>
  <c r="AB35" i="13"/>
  <c r="J35" i="13" s="1"/>
  <c r="AB38" i="13"/>
  <c r="J38" i="13" s="1"/>
  <c r="AB30" i="13"/>
  <c r="J30" i="13" s="1"/>
  <c r="AK7" i="12"/>
  <c r="AI7" i="12"/>
  <c r="AG7" i="12"/>
  <c r="AH7" i="12"/>
  <c r="AJ7" i="12"/>
  <c r="R7" i="12"/>
  <c r="H16" i="13"/>
  <c r="AB16" i="13" s="1"/>
  <c r="J16" i="13" s="1"/>
  <c r="H8" i="13"/>
  <c r="AB8" i="13" s="1"/>
  <c r="J8" i="13" s="1"/>
  <c r="H12" i="13"/>
  <c r="AB12" i="13" s="1"/>
  <c r="J12" i="13" s="1"/>
  <c r="H18" i="13"/>
  <c r="AB18" i="13" s="1"/>
  <c r="J18" i="13" s="1"/>
  <c r="H11" i="13"/>
  <c r="AB11" i="13" s="1"/>
  <c r="J11" i="13" s="1"/>
  <c r="H17" i="13"/>
  <c r="AB17" i="13" s="1"/>
  <c r="J17" i="13" s="1"/>
  <c r="H9" i="13"/>
  <c r="AB9" i="13" s="1"/>
  <c r="J9" i="13" s="1"/>
  <c r="H13" i="13"/>
  <c r="AB13" i="13" s="1"/>
  <c r="J13" i="13" s="1"/>
  <c r="H14" i="13"/>
  <c r="AB14" i="13" s="1"/>
  <c r="J14" i="13" s="1"/>
  <c r="H10" i="13"/>
  <c r="AB10" i="13" s="1"/>
  <c r="J10" i="13" s="1"/>
  <c r="H7" i="13"/>
  <c r="H15" i="13"/>
  <c r="AB15" i="13" s="1"/>
  <c r="J15" i="13" s="1"/>
  <c r="Q1076" i="21"/>
  <c r="Q1088" i="21"/>
  <c r="Q1100" i="21"/>
  <c r="Q1112" i="21"/>
  <c r="Q1073" i="21"/>
  <c r="Q1085" i="21"/>
  <c r="Q1097" i="21"/>
  <c r="Q1109" i="21"/>
  <c r="Q1121" i="21"/>
  <c r="Q1074" i="21"/>
  <c r="Q1086" i="21"/>
  <c r="Q1098" i="21"/>
  <c r="Q1110" i="21"/>
  <c r="Q1079" i="21"/>
  <c r="Q1091" i="21"/>
  <c r="Q1103" i="21"/>
  <c r="Q1115" i="21"/>
  <c r="Q1081" i="21"/>
  <c r="Q1093" i="21"/>
  <c r="Q1105" i="21"/>
  <c r="Q1117" i="21"/>
  <c r="Q1078" i="21"/>
  <c r="Q1090" i="21"/>
  <c r="Q1102" i="21"/>
  <c r="Q1114" i="21"/>
  <c r="Q1080" i="21"/>
  <c r="Q1092" i="21"/>
  <c r="Q1104" i="21"/>
  <c r="Q1116" i="21"/>
  <c r="Q1077" i="21"/>
  <c r="Q1089" i="21"/>
  <c r="Q1101" i="21"/>
  <c r="Q1113" i="21"/>
  <c r="Q1075" i="21"/>
  <c r="Q1087" i="21"/>
  <c r="Q1099" i="21"/>
  <c r="Q1111" i="21"/>
  <c r="J37" i="13"/>
  <c r="J48" i="13"/>
  <c r="J55" i="13"/>
  <c r="J33" i="13"/>
  <c r="J34" i="13"/>
  <c r="J57" i="13"/>
  <c r="J56" i="13"/>
  <c r="H33" i="12"/>
  <c r="H35" i="12"/>
  <c r="H36" i="12"/>
  <c r="H45" i="12"/>
  <c r="J20" i="13"/>
  <c r="J41" i="13"/>
  <c r="H44" i="13"/>
  <c r="AB44" i="13" s="1"/>
  <c r="J44" i="13" s="1"/>
  <c r="J45" i="13"/>
  <c r="H32" i="12"/>
  <c r="H40" i="12"/>
  <c r="J40" i="13"/>
  <c r="J22" i="13"/>
  <c r="J42" i="13"/>
  <c r="J53" i="13"/>
  <c r="H34" i="12"/>
  <c r="J36" i="13"/>
  <c r="H37" i="12"/>
  <c r="J39" i="13"/>
  <c r="J50" i="13"/>
  <c r="J19" i="13"/>
  <c r="AS77" i="25"/>
  <c r="T77" i="24"/>
  <c r="D302" i="14"/>
  <c r="AD77" i="25"/>
  <c r="U815" i="21"/>
  <c r="AQ77" i="25"/>
  <c r="AR77" i="24"/>
  <c r="AF77" i="24"/>
  <c r="AH77" i="24"/>
  <c r="G88" i="14"/>
  <c r="Q1038" i="21"/>
  <c r="F88" i="14"/>
  <c r="L88" i="14"/>
  <c r="AC77" i="25"/>
  <c r="J88" i="14"/>
  <c r="Z77" i="25"/>
  <c r="AE77" i="25"/>
  <c r="I88" i="14"/>
  <c r="S77" i="24"/>
  <c r="AF77" i="25"/>
  <c r="T922" i="21"/>
  <c r="AG77" i="24"/>
  <c r="N88" i="14"/>
  <c r="Y77" i="25"/>
  <c r="M88" i="14"/>
  <c r="R77" i="24"/>
  <c r="X77" i="25"/>
  <c r="AB77" i="25"/>
  <c r="AC77" i="24"/>
  <c r="H88" i="14"/>
  <c r="AD77" i="24"/>
  <c r="P77" i="25"/>
  <c r="AB77" i="24"/>
  <c r="Q77" i="25"/>
  <c r="AA77" i="25"/>
  <c r="AE77" i="24"/>
  <c r="K88" i="14"/>
  <c r="AY77" i="8" l="1"/>
  <c r="AR77" i="7"/>
  <c r="AP77" i="5"/>
  <c r="AQ77" i="6"/>
  <c r="AO77" i="13"/>
  <c r="AY77" i="12"/>
  <c r="AW77" i="11"/>
  <c r="S1157" i="21"/>
  <c r="S1158" i="21"/>
  <c r="S1159" i="21"/>
  <c r="V73" i="25"/>
  <c r="I73" i="25" s="1"/>
  <c r="M73" i="25" s="1"/>
  <c r="F73" i="25" s="1"/>
  <c r="P70" i="19" s="1"/>
  <c r="AQ76" i="13"/>
  <c r="BA76" i="12"/>
  <c r="AY76" i="11"/>
  <c r="BA76" i="8"/>
  <c r="AS76" i="6"/>
  <c r="AR76" i="5"/>
  <c r="AT76" i="7"/>
  <c r="AX76" i="11"/>
  <c r="AP76" i="13"/>
  <c r="AZ76" i="12"/>
  <c r="AS76" i="7"/>
  <c r="AR76" i="6"/>
  <c r="AZ76" i="8"/>
  <c r="AQ76" i="5"/>
  <c r="I75" i="19"/>
  <c r="M75" i="19"/>
  <c r="O74" i="19"/>
  <c r="N74" i="19"/>
  <c r="K74" i="19"/>
  <c r="J74" i="19"/>
  <c r="AM76" i="25"/>
  <c r="AO77" i="24"/>
  <c r="AN76" i="25"/>
  <c r="J75" i="12"/>
  <c r="W75" i="12" s="1"/>
  <c r="AC76" i="13"/>
  <c r="AH76" i="13"/>
  <c r="L76" i="13" s="1"/>
  <c r="AD76" i="13"/>
  <c r="R76" i="13"/>
  <c r="H76" i="13" s="1"/>
  <c r="AB76" i="13" s="1"/>
  <c r="AR76" i="12"/>
  <c r="L76" i="12" s="1"/>
  <c r="AK76" i="12"/>
  <c r="AI76" i="12"/>
  <c r="AG76" i="12"/>
  <c r="AH76" i="12"/>
  <c r="R76" i="12"/>
  <c r="H76" i="12" s="1"/>
  <c r="AJ76" i="12"/>
  <c r="J75" i="13"/>
  <c r="AG74" i="25"/>
  <c r="J74" i="25" s="1"/>
  <c r="W74" i="25" s="1"/>
  <c r="J7" i="12"/>
  <c r="W76" i="24"/>
  <c r="AN76" i="24"/>
  <c r="AL76" i="25"/>
  <c r="S1152" i="21"/>
  <c r="S1151" i="21"/>
  <c r="S1153" i="21"/>
  <c r="S1148" i="21"/>
  <c r="S1149" i="21"/>
  <c r="S1150" i="21"/>
  <c r="S1147" i="21"/>
  <c r="S1145" i="21"/>
  <c r="S1146" i="21"/>
  <c r="AM76" i="24"/>
  <c r="AA74" i="24"/>
  <c r="AK74" i="24"/>
  <c r="AI76" i="24"/>
  <c r="R76" i="25"/>
  <c r="AR76" i="25"/>
  <c r="L76" i="25" s="1"/>
  <c r="AH76" i="25"/>
  <c r="Q76" i="24"/>
  <c r="H76" i="24" s="1"/>
  <c r="AJ76" i="24" s="1"/>
  <c r="AK76" i="25"/>
  <c r="AP75" i="25"/>
  <c r="K75" i="25" s="1"/>
  <c r="O75" i="25"/>
  <c r="G75" i="25" s="1"/>
  <c r="AI76" i="25"/>
  <c r="AQ75" i="24"/>
  <c r="L75" i="24" s="1"/>
  <c r="O75" i="24"/>
  <c r="G75" i="24" s="1"/>
  <c r="I75" i="24"/>
  <c r="E75" i="24"/>
  <c r="N76" i="24"/>
  <c r="C77" i="24"/>
  <c r="Q77" i="24" s="1"/>
  <c r="N76" i="25"/>
  <c r="E76" i="25" s="1"/>
  <c r="C77" i="25"/>
  <c r="AK77" i="25" s="1"/>
  <c r="AO76" i="25"/>
  <c r="AP76" i="24"/>
  <c r="H75" i="25"/>
  <c r="B77" i="25"/>
  <c r="S77" i="25" s="1"/>
  <c r="A78" i="24"/>
  <c r="A78" i="25"/>
  <c r="H76" i="19"/>
  <c r="B77" i="24"/>
  <c r="V77" i="24" s="1"/>
  <c r="D72" i="25"/>
  <c r="X75" i="19"/>
  <c r="W43" i="12"/>
  <c r="W27" i="12"/>
  <c r="W44" i="12"/>
  <c r="W49" i="12"/>
  <c r="W29" i="12"/>
  <c r="W39" i="12"/>
  <c r="T76" i="19"/>
  <c r="S1138" i="21"/>
  <c r="S1140" i="21"/>
  <c r="S1139" i="21"/>
  <c r="S1135" i="21"/>
  <c r="S1133" i="21"/>
  <c r="S1137" i="21"/>
  <c r="S1136" i="21"/>
  <c r="S1141" i="21"/>
  <c r="S1134" i="21"/>
  <c r="S1126" i="21"/>
  <c r="S1128" i="21"/>
  <c r="S1127" i="21"/>
  <c r="S1123" i="21"/>
  <c r="S1125" i="21"/>
  <c r="S1124" i="21"/>
  <c r="S1129" i="21"/>
  <c r="S1122" i="21"/>
  <c r="AB7" i="13"/>
  <c r="J7" i="13" s="1"/>
  <c r="W31" i="12"/>
  <c r="W38" i="12"/>
  <c r="W46" i="12"/>
  <c r="W30" i="12"/>
  <c r="W42" i="12"/>
  <c r="H7" i="12"/>
  <c r="W52" i="12"/>
  <c r="W51" i="12"/>
  <c r="W25" i="12"/>
  <c r="W21" i="12"/>
  <c r="W24" i="12"/>
  <c r="W26" i="12"/>
  <c r="W28" i="12"/>
  <c r="S1076" i="21"/>
  <c r="S1088" i="21"/>
  <c r="S1100" i="21"/>
  <c r="S1112" i="21"/>
  <c r="S1080" i="21"/>
  <c r="S1092" i="21"/>
  <c r="S1104" i="21"/>
  <c r="S1116" i="21"/>
  <c r="S1078" i="21"/>
  <c r="S1090" i="21"/>
  <c r="S1102" i="21"/>
  <c r="S1114" i="21"/>
  <c r="S1081" i="21"/>
  <c r="S1093" i="21"/>
  <c r="S1105" i="21"/>
  <c r="S1117" i="21"/>
  <c r="S1079" i="21"/>
  <c r="S1091" i="21"/>
  <c r="S1103" i="21"/>
  <c r="S1115" i="21"/>
  <c r="S1074" i="21"/>
  <c r="S1086" i="21"/>
  <c r="S1098" i="21"/>
  <c r="S1110" i="21"/>
  <c r="S1073" i="21"/>
  <c r="S1085" i="21"/>
  <c r="S1097" i="21"/>
  <c r="S1109" i="21"/>
  <c r="S1121" i="21"/>
  <c r="S1075" i="21"/>
  <c r="S1087" i="21"/>
  <c r="S1099" i="21"/>
  <c r="S1111" i="21"/>
  <c r="S1077" i="21"/>
  <c r="S1089" i="21"/>
  <c r="S1101" i="21"/>
  <c r="S1113" i="21"/>
  <c r="W20" i="12"/>
  <c r="W45" i="12"/>
  <c r="W34" i="12"/>
  <c r="W36" i="12"/>
  <c r="W55" i="12"/>
  <c r="W10" i="12"/>
  <c r="W37" i="12"/>
  <c r="W35" i="12"/>
  <c r="W13" i="12"/>
  <c r="W57" i="12"/>
  <c r="W17" i="12"/>
  <c r="W8" i="12"/>
  <c r="W12" i="12"/>
  <c r="W23" i="12"/>
  <c r="W19" i="12"/>
  <c r="W32" i="12"/>
  <c r="W14" i="12"/>
  <c r="W15" i="12"/>
  <c r="W40" i="12"/>
  <c r="W33" i="12"/>
  <c r="W11" i="12"/>
  <c r="W22" i="12"/>
  <c r="W58" i="12"/>
  <c r="W16" i="12"/>
  <c r="W9" i="12"/>
  <c r="Z78" i="25"/>
  <c r="Y78" i="25"/>
  <c r="AA78" i="25"/>
  <c r="R78" i="24"/>
  <c r="S78" i="24"/>
  <c r="AD78" i="25"/>
  <c r="AE78" i="25"/>
  <c r="AG78" i="24"/>
  <c r="AF78" i="25"/>
  <c r="P78" i="25"/>
  <c r="AE78" i="24"/>
  <c r="AS78" i="25"/>
  <c r="Q78" i="25"/>
  <c r="AQ78" i="25"/>
  <c r="AB78" i="25"/>
  <c r="AC78" i="25"/>
  <c r="Q1034" i="21"/>
  <c r="X78" i="25"/>
  <c r="AF78" i="24"/>
  <c r="Q1036" i="21"/>
  <c r="AD78" i="24"/>
  <c r="D303" i="14"/>
  <c r="AC78" i="24"/>
  <c r="AB78" i="24"/>
  <c r="AH78" i="24"/>
  <c r="T78" i="24"/>
  <c r="AR78" i="24"/>
  <c r="AW78" i="11" l="1"/>
  <c r="AO78" i="13"/>
  <c r="AY78" i="12"/>
  <c r="AY78" i="8"/>
  <c r="AR78" i="7"/>
  <c r="AP78" i="5"/>
  <c r="AQ78" i="6"/>
  <c r="V74" i="25"/>
  <c r="I74" i="25" s="1"/>
  <c r="M74" i="25" s="1"/>
  <c r="F74" i="25" s="1"/>
  <c r="P71" i="19" s="1"/>
  <c r="BA77" i="8"/>
  <c r="AT77" i="7"/>
  <c r="AR77" i="5"/>
  <c r="AS77" i="6"/>
  <c r="AQ77" i="13"/>
  <c r="BA77" i="12"/>
  <c r="AY77" i="11"/>
  <c r="AX77" i="11"/>
  <c r="AP77" i="13"/>
  <c r="AZ77" i="12"/>
  <c r="AQ77" i="5"/>
  <c r="AS77" i="7"/>
  <c r="AZ77" i="8"/>
  <c r="AR77" i="6"/>
  <c r="O75" i="19"/>
  <c r="K75" i="19"/>
  <c r="N75" i="19"/>
  <c r="J75" i="19"/>
  <c r="I76" i="19"/>
  <c r="M76" i="19"/>
  <c r="AN77" i="25"/>
  <c r="AM77" i="25"/>
  <c r="AO78" i="24"/>
  <c r="J76" i="13"/>
  <c r="J76" i="12"/>
  <c r="W76" i="12" s="1"/>
  <c r="R77" i="13"/>
  <c r="H77" i="13" s="1"/>
  <c r="AB77" i="13" s="1"/>
  <c r="AC77" i="13"/>
  <c r="AH77" i="13"/>
  <c r="L77" i="13" s="1"/>
  <c r="AD77" i="13"/>
  <c r="AG77" i="12"/>
  <c r="AR77" i="12"/>
  <c r="L77" i="12" s="1"/>
  <c r="AJ77" i="12"/>
  <c r="AH77" i="12"/>
  <c r="AI77" i="12"/>
  <c r="AK77" i="12"/>
  <c r="R77" i="12"/>
  <c r="H77" i="12" s="1"/>
  <c r="AG75" i="25"/>
  <c r="J75" i="25" s="1"/>
  <c r="W75" i="25" s="1"/>
  <c r="W77" i="24"/>
  <c r="AN77" i="24"/>
  <c r="AL77" i="25"/>
  <c r="AK75" i="24"/>
  <c r="AA75" i="24"/>
  <c r="AM77" i="24"/>
  <c r="R77" i="25"/>
  <c r="AH77" i="25"/>
  <c r="AR77" i="25"/>
  <c r="L77" i="25" s="1"/>
  <c r="O76" i="25"/>
  <c r="G76" i="25" s="1"/>
  <c r="AI77" i="25"/>
  <c r="AJ77" i="25"/>
  <c r="AP76" i="25"/>
  <c r="K76" i="25" s="1"/>
  <c r="O76" i="24"/>
  <c r="G76" i="24" s="1"/>
  <c r="U77" i="24"/>
  <c r="AQ76" i="24"/>
  <c r="L76" i="24" s="1"/>
  <c r="AI77" i="24"/>
  <c r="I76" i="24"/>
  <c r="E76" i="24"/>
  <c r="N77" i="25"/>
  <c r="E77" i="25" s="1"/>
  <c r="H77" i="24"/>
  <c r="AJ77" i="24" s="1"/>
  <c r="N77" i="24"/>
  <c r="C78" i="24"/>
  <c r="U78" i="24" s="1"/>
  <c r="AO77" i="25"/>
  <c r="C78" i="25"/>
  <c r="AJ78" i="25" s="1"/>
  <c r="AP77" i="24"/>
  <c r="H76" i="25"/>
  <c r="B78" i="25"/>
  <c r="AL78" i="25" s="1"/>
  <c r="A79" i="25"/>
  <c r="A79" i="24"/>
  <c r="H77" i="19"/>
  <c r="B78" i="24"/>
  <c r="V78" i="24" s="1"/>
  <c r="D73" i="25"/>
  <c r="X76" i="19"/>
  <c r="T77" i="19"/>
  <c r="W7" i="12"/>
  <c r="X79" i="25"/>
  <c r="AS79" i="25"/>
  <c r="AC79" i="24"/>
  <c r="T79" i="24"/>
  <c r="AD79" i="24"/>
  <c r="Z79" i="25"/>
  <c r="AF79" i="25"/>
  <c r="AF79" i="24"/>
  <c r="AQ79" i="25"/>
  <c r="R79" i="24"/>
  <c r="Y79" i="25"/>
  <c r="AG79" i="24"/>
  <c r="AE79" i="24"/>
  <c r="P79" i="25"/>
  <c r="AE79" i="25"/>
  <c r="AB79" i="25"/>
  <c r="AC79" i="25"/>
  <c r="Q79" i="25"/>
  <c r="AD79" i="25"/>
  <c r="D304" i="14"/>
  <c r="AA79" i="25"/>
  <c r="AH79" i="24"/>
  <c r="AB79" i="24"/>
  <c r="AR79" i="24"/>
  <c r="S79" i="24"/>
  <c r="AW79" i="11" l="1"/>
  <c r="AO79" i="13"/>
  <c r="AY79" i="12"/>
  <c r="AQ79" i="6"/>
  <c r="AY79" i="8"/>
  <c r="AR79" i="7"/>
  <c r="AP79" i="5"/>
  <c r="V75" i="25"/>
  <c r="I75" i="25" s="1"/>
  <c r="M75" i="25" s="1"/>
  <c r="F75" i="25" s="1"/>
  <c r="P72" i="19" s="1"/>
  <c r="AT78" i="7"/>
  <c r="BA78" i="8"/>
  <c r="AR78" i="5"/>
  <c r="AS78" i="6"/>
  <c r="BA78" i="12"/>
  <c r="AQ78" i="13"/>
  <c r="AY78" i="11"/>
  <c r="AP78" i="13"/>
  <c r="AZ78" i="12"/>
  <c r="AX78" i="11"/>
  <c r="AZ78" i="8"/>
  <c r="AR78" i="6"/>
  <c r="AQ78" i="5"/>
  <c r="AS78" i="7"/>
  <c r="I77" i="19"/>
  <c r="M77" i="19"/>
  <c r="O76" i="19"/>
  <c r="N76" i="19"/>
  <c r="K76" i="19"/>
  <c r="J76" i="19"/>
  <c r="AM78" i="25"/>
  <c r="AO79" i="24"/>
  <c r="AN78" i="25"/>
  <c r="J77" i="12"/>
  <c r="W77" i="12" s="1"/>
  <c r="R78" i="12"/>
  <c r="H78" i="12" s="1"/>
  <c r="AG78" i="12"/>
  <c r="AJ78" i="12"/>
  <c r="AI78" i="12"/>
  <c r="AH78" i="12"/>
  <c r="AR78" i="12"/>
  <c r="L78" i="12" s="1"/>
  <c r="AK78" i="12"/>
  <c r="AD78" i="13"/>
  <c r="R78" i="13"/>
  <c r="H78" i="13" s="1"/>
  <c r="AB78" i="13" s="1"/>
  <c r="AH78" i="13"/>
  <c r="L78" i="13" s="1"/>
  <c r="AC78" i="13"/>
  <c r="J77" i="13"/>
  <c r="AG76" i="25"/>
  <c r="J76" i="25" s="1"/>
  <c r="V76" i="25" s="1"/>
  <c r="W78" i="24"/>
  <c r="I77" i="24"/>
  <c r="AK77" i="24" s="1"/>
  <c r="AN78" i="24"/>
  <c r="AM78" i="24"/>
  <c r="AA76" i="24"/>
  <c r="AK76" i="24"/>
  <c r="AI78" i="24"/>
  <c r="AK78" i="25"/>
  <c r="R78" i="25"/>
  <c r="AI78" i="25"/>
  <c r="O77" i="25"/>
  <c r="G77" i="25" s="1"/>
  <c r="AH78" i="25"/>
  <c r="S78" i="25"/>
  <c r="AR78" i="25"/>
  <c r="L78" i="25" s="1"/>
  <c r="AP77" i="25"/>
  <c r="K77" i="25" s="1"/>
  <c r="Q78" i="24"/>
  <c r="H78" i="24" s="1"/>
  <c r="AJ78" i="24" s="1"/>
  <c r="AQ77" i="24"/>
  <c r="L77" i="24" s="1"/>
  <c r="O77" i="24"/>
  <c r="G77" i="24" s="1"/>
  <c r="E77" i="24"/>
  <c r="N78" i="24"/>
  <c r="N78" i="25"/>
  <c r="E78" i="25" s="1"/>
  <c r="AO78" i="25"/>
  <c r="C79" i="25"/>
  <c r="AR79" i="25" s="1"/>
  <c r="AP78" i="24"/>
  <c r="H77" i="25"/>
  <c r="H78" i="19"/>
  <c r="A80" i="25"/>
  <c r="A80" i="24"/>
  <c r="B79" i="24"/>
  <c r="AN79" i="24" s="1"/>
  <c r="B79" i="25"/>
  <c r="AN79" i="25" s="1"/>
  <c r="D74" i="25"/>
  <c r="C79" i="24"/>
  <c r="X77" i="19"/>
  <c r="T78" i="19"/>
  <c r="R80" i="24"/>
  <c r="Y80" i="25"/>
  <c r="AS80" i="25"/>
  <c r="AF80" i="25"/>
  <c r="AD80" i="25"/>
  <c r="AD80" i="24"/>
  <c r="Q80" i="25"/>
  <c r="T80" i="24"/>
  <c r="AE80" i="24"/>
  <c r="AC80" i="24"/>
  <c r="AB80" i="25"/>
  <c r="P80" i="25"/>
  <c r="AC80" i="25"/>
  <c r="AH80" i="24"/>
  <c r="AG80" i="24"/>
  <c r="AF80" i="24"/>
  <c r="X80" i="25"/>
  <c r="AR80" i="24"/>
  <c r="AB80" i="24"/>
  <c r="Z80" i="25"/>
  <c r="D305" i="14"/>
  <c r="S80" i="24"/>
  <c r="AQ80" i="25"/>
  <c r="AE80" i="25"/>
  <c r="AA80" i="25"/>
  <c r="AW80" i="11" l="1"/>
  <c r="AO80" i="13"/>
  <c r="AY80" i="12"/>
  <c r="AQ80" i="6"/>
  <c r="AY80" i="8"/>
  <c r="AR80" i="7"/>
  <c r="AP80" i="5"/>
  <c r="AS79" i="6"/>
  <c r="AR79" i="5"/>
  <c r="BA79" i="8"/>
  <c r="AT79" i="7"/>
  <c r="BA79" i="12"/>
  <c r="AY79" i="11"/>
  <c r="AQ79" i="13"/>
  <c r="AP79" i="13"/>
  <c r="AZ79" i="12"/>
  <c r="AX79" i="11"/>
  <c r="AZ79" i="8"/>
  <c r="AS79" i="7"/>
  <c r="AQ79" i="5"/>
  <c r="AR79" i="6"/>
  <c r="J77" i="19"/>
  <c r="O77" i="19"/>
  <c r="N77" i="19"/>
  <c r="K77" i="19"/>
  <c r="M78" i="19"/>
  <c r="I78" i="19"/>
  <c r="AM79" i="25"/>
  <c r="AO80" i="24"/>
  <c r="AH79" i="13"/>
  <c r="L79" i="13" s="1"/>
  <c r="R79" i="13"/>
  <c r="H79" i="13" s="1"/>
  <c r="AB79" i="13" s="1"/>
  <c r="AC79" i="13"/>
  <c r="AD79" i="13"/>
  <c r="AI79" i="12"/>
  <c r="AH79" i="12"/>
  <c r="AG79" i="12"/>
  <c r="R79" i="12"/>
  <c r="H79" i="12" s="1"/>
  <c r="AK79" i="12"/>
  <c r="AJ79" i="12"/>
  <c r="AR79" i="12"/>
  <c r="L79" i="12" s="1"/>
  <c r="J78" i="12"/>
  <c r="W78" i="12" s="1"/>
  <c r="J78" i="13"/>
  <c r="W76" i="25"/>
  <c r="I76" i="25" s="1"/>
  <c r="M76" i="25" s="1"/>
  <c r="F76" i="25" s="1"/>
  <c r="P73" i="19" s="1"/>
  <c r="AG77" i="25"/>
  <c r="J77" i="25" s="1"/>
  <c r="W77" i="25" s="1"/>
  <c r="AA77" i="24"/>
  <c r="W79" i="24"/>
  <c r="AL79" i="25"/>
  <c r="T79" i="19"/>
  <c r="Q79" i="5"/>
  <c r="H79" i="5" s="1"/>
  <c r="H79" i="19"/>
  <c r="AC72" i="6"/>
  <c r="AG72" i="6"/>
  <c r="AD72" i="6"/>
  <c r="Q72" i="6"/>
  <c r="H72" i="6" s="1"/>
  <c r="W72" i="6"/>
  <c r="J72" i="6" s="1"/>
  <c r="T72" i="6"/>
  <c r="I72" i="6" s="1"/>
  <c r="AF72" i="6"/>
  <c r="AE72" i="6"/>
  <c r="AM79" i="24"/>
  <c r="S79" i="25"/>
  <c r="AJ79" i="25"/>
  <c r="AI79" i="24"/>
  <c r="AK79" i="25"/>
  <c r="O78" i="25"/>
  <c r="G78" i="25" s="1"/>
  <c r="R79" i="25"/>
  <c r="AH79" i="25"/>
  <c r="AI79" i="25"/>
  <c r="AP78" i="25"/>
  <c r="K78" i="25" s="1"/>
  <c r="V79" i="24"/>
  <c r="U79" i="24"/>
  <c r="AQ78" i="24"/>
  <c r="L78" i="24" s="1"/>
  <c r="Q79" i="24"/>
  <c r="H79" i="24" s="1"/>
  <c r="AJ79" i="24" s="1"/>
  <c r="O78" i="24"/>
  <c r="G78" i="24" s="1"/>
  <c r="I78" i="24"/>
  <c r="E78" i="24"/>
  <c r="N79" i="24"/>
  <c r="C80" i="25"/>
  <c r="AJ80" i="25" s="1"/>
  <c r="N79" i="25"/>
  <c r="E79" i="25" s="1"/>
  <c r="AO79" i="25"/>
  <c r="AP79" i="24"/>
  <c r="H78" i="25"/>
  <c r="B80" i="24"/>
  <c r="AN80" i="24" s="1"/>
  <c r="A81" i="24"/>
  <c r="A81" i="25"/>
  <c r="B80" i="25"/>
  <c r="S80" i="25" s="1"/>
  <c r="D75" i="25"/>
  <c r="L79" i="25"/>
  <c r="C80" i="24"/>
  <c r="AI80" i="24" s="1"/>
  <c r="X78" i="19"/>
  <c r="AA81" i="25"/>
  <c r="AC81" i="25"/>
  <c r="AQ81" i="25"/>
  <c r="AH81" i="24"/>
  <c r="R81" i="24"/>
  <c r="D302" i="9"/>
  <c r="P81" i="25"/>
  <c r="AF81" i="24"/>
  <c r="S81" i="24"/>
  <c r="T81" i="24"/>
  <c r="D307" i="9"/>
  <c r="D304" i="9"/>
  <c r="Q81" i="25"/>
  <c r="D305" i="9"/>
  <c r="Y81" i="25"/>
  <c r="AR81" i="24"/>
  <c r="AG81" i="24"/>
  <c r="D301" i="9"/>
  <c r="D306" i="9"/>
  <c r="X81" i="25"/>
  <c r="D306" i="14"/>
  <c r="AF81" i="25"/>
  <c r="AB81" i="24"/>
  <c r="AE81" i="24"/>
  <c r="AC81" i="24"/>
  <c r="AD81" i="25"/>
  <c r="AB81" i="25"/>
  <c r="AS81" i="25"/>
  <c r="AD81" i="24"/>
  <c r="Z81" i="25"/>
  <c r="AE81" i="25"/>
  <c r="D303" i="9"/>
  <c r="AQ81" i="6" l="1"/>
  <c r="AP81" i="5"/>
  <c r="AY81" i="8"/>
  <c r="AR81" i="7"/>
  <c r="AW81" i="11"/>
  <c r="AO81" i="13"/>
  <c r="AY81" i="12"/>
  <c r="V77" i="25"/>
  <c r="I77" i="25" s="1"/>
  <c r="M77" i="25" s="1"/>
  <c r="F77" i="25" s="1"/>
  <c r="P74" i="19" s="1"/>
  <c r="AY80" i="11"/>
  <c r="AQ80" i="13"/>
  <c r="BA80" i="12"/>
  <c r="BA80" i="8"/>
  <c r="AS80" i="6"/>
  <c r="AT80" i="7"/>
  <c r="AR80" i="5"/>
  <c r="AX80" i="11"/>
  <c r="AP80" i="13"/>
  <c r="AZ80" i="12"/>
  <c r="AR80" i="6"/>
  <c r="AS80" i="7"/>
  <c r="AQ80" i="5"/>
  <c r="AZ80" i="8"/>
  <c r="M79" i="19"/>
  <c r="I79" i="19"/>
  <c r="J78" i="19"/>
  <c r="O78" i="19"/>
  <c r="K78" i="19"/>
  <c r="N78" i="19"/>
  <c r="AM80" i="25"/>
  <c r="AN80" i="25"/>
  <c r="AO81" i="24"/>
  <c r="J79" i="12"/>
  <c r="W79" i="12" s="1"/>
  <c r="AH80" i="12"/>
  <c r="AJ80" i="12"/>
  <c r="AI80" i="12"/>
  <c r="AK80" i="12"/>
  <c r="R80" i="12"/>
  <c r="H80" i="12" s="1"/>
  <c r="AR80" i="12"/>
  <c r="L80" i="12" s="1"/>
  <c r="AG80" i="12"/>
  <c r="AH80" i="13"/>
  <c r="L80" i="13" s="1"/>
  <c r="R80" i="13"/>
  <c r="H80" i="13" s="1"/>
  <c r="AB80" i="13" s="1"/>
  <c r="AD80" i="13"/>
  <c r="AC80" i="13"/>
  <c r="J79" i="13"/>
  <c r="AG78" i="25"/>
  <c r="J78" i="25" s="1"/>
  <c r="W78" i="25" s="1"/>
  <c r="W80" i="24"/>
  <c r="AL80" i="25"/>
  <c r="A82" i="25"/>
  <c r="H80" i="19"/>
  <c r="A82" i="24"/>
  <c r="T80" i="19"/>
  <c r="AC79" i="5"/>
  <c r="AD79" i="5"/>
  <c r="T79" i="5"/>
  <c r="I79" i="5" s="1"/>
  <c r="X79" i="19"/>
  <c r="AD77" i="6"/>
  <c r="AG77" i="6"/>
  <c r="Q77" i="6"/>
  <c r="H77" i="6" s="1"/>
  <c r="W77" i="6"/>
  <c r="J77" i="6" s="1"/>
  <c r="T77" i="6"/>
  <c r="I77" i="6" s="1"/>
  <c r="AE77" i="6"/>
  <c r="AF77" i="6"/>
  <c r="AC77" i="6"/>
  <c r="Q75" i="6"/>
  <c r="H75" i="6" s="1"/>
  <c r="AD75" i="6"/>
  <c r="AE75" i="6"/>
  <c r="W75" i="6"/>
  <c r="J75" i="6" s="1"/>
  <c r="AG75" i="6"/>
  <c r="AC75" i="6"/>
  <c r="T75" i="6"/>
  <c r="I75" i="6" s="1"/>
  <c r="AF75" i="6"/>
  <c r="AI74" i="8"/>
  <c r="AK74" i="8"/>
  <c r="Q74" i="8"/>
  <c r="H74" i="8" s="1"/>
  <c r="AJ74" i="8"/>
  <c r="U74" i="8"/>
  <c r="I74" i="8" s="1"/>
  <c r="AE76" i="6"/>
  <c r="AG76" i="6"/>
  <c r="Q76" i="6"/>
  <c r="H76" i="6" s="1"/>
  <c r="AC76" i="6"/>
  <c r="AF76" i="6"/>
  <c r="W76" i="6"/>
  <c r="J76" i="6" s="1"/>
  <c r="AD76" i="6"/>
  <c r="T76" i="6"/>
  <c r="I76" i="6" s="1"/>
  <c r="AE73" i="7"/>
  <c r="AG73" i="7"/>
  <c r="T73" i="7"/>
  <c r="I73" i="7" s="1"/>
  <c r="AH73" i="7" s="1"/>
  <c r="Q73" i="7"/>
  <c r="H73" i="7" s="1"/>
  <c r="AI80" i="8"/>
  <c r="AJ80" i="8"/>
  <c r="AK80" i="8"/>
  <c r="U80" i="8"/>
  <c r="I80" i="8" s="1"/>
  <c r="Q80" i="8"/>
  <c r="H80" i="8" s="1"/>
  <c r="AG77" i="7"/>
  <c r="Q77" i="7"/>
  <c r="H77" i="7" s="1"/>
  <c r="AE77" i="7"/>
  <c r="T77" i="7"/>
  <c r="I77" i="7" s="1"/>
  <c r="AH77" i="7" s="1"/>
  <c r="AJ73" i="8"/>
  <c r="AK73" i="8"/>
  <c r="U73" i="8"/>
  <c r="I73" i="8" s="1"/>
  <c r="AI73" i="8"/>
  <c r="Q73" i="8"/>
  <c r="H73" i="8" s="1"/>
  <c r="U76" i="8"/>
  <c r="I76" i="8" s="1"/>
  <c r="AJ76" i="8"/>
  <c r="AI76" i="8"/>
  <c r="AK76" i="8"/>
  <c r="Q76" i="8"/>
  <c r="H76" i="8" s="1"/>
  <c r="AE79" i="7"/>
  <c r="Q79" i="7"/>
  <c r="H79" i="7" s="1"/>
  <c r="AG79" i="7"/>
  <c r="T79" i="7"/>
  <c r="I79" i="7" s="1"/>
  <c r="AH79" i="7" s="1"/>
  <c r="AE78" i="7"/>
  <c r="AG78" i="7"/>
  <c r="Q78" i="7"/>
  <c r="H78" i="7" s="1"/>
  <c r="T78" i="7"/>
  <c r="I78" i="7" s="1"/>
  <c r="AH78" i="7" s="1"/>
  <c r="AE80" i="7"/>
  <c r="T80" i="7"/>
  <c r="I80" i="7" s="1"/>
  <c r="AH80" i="7" s="1"/>
  <c r="AG80" i="7"/>
  <c r="Q80" i="7"/>
  <c r="H80" i="7" s="1"/>
  <c r="AF80" i="6"/>
  <c r="T80" i="6"/>
  <c r="I80" i="6" s="1"/>
  <c r="W80" i="6"/>
  <c r="J80" i="6" s="1"/>
  <c r="AG80" i="6"/>
  <c r="AD80" i="6"/>
  <c r="Q80" i="6"/>
  <c r="H80" i="6" s="1"/>
  <c r="AC80" i="6"/>
  <c r="AE80" i="6"/>
  <c r="AI79" i="8"/>
  <c r="U79" i="8"/>
  <c r="I79" i="8" s="1"/>
  <c r="Q79" i="8"/>
  <c r="H79" i="8" s="1"/>
  <c r="AJ79" i="8"/>
  <c r="AK79" i="8"/>
  <c r="AG78" i="6"/>
  <c r="AE78" i="6"/>
  <c r="Q78" i="6"/>
  <c r="H78" i="6" s="1"/>
  <c r="AD78" i="6"/>
  <c r="T78" i="6"/>
  <c r="I78" i="6" s="1"/>
  <c r="AC78" i="6"/>
  <c r="AF78" i="6"/>
  <c r="W78" i="6"/>
  <c r="J78" i="6" s="1"/>
  <c r="AG74" i="6"/>
  <c r="AE74" i="6"/>
  <c r="T74" i="6"/>
  <c r="I74" i="6" s="1"/>
  <c r="AC74" i="6"/>
  <c r="W74" i="6"/>
  <c r="J74" i="6" s="1"/>
  <c r="Q74" i="6"/>
  <c r="H74" i="6" s="1"/>
  <c r="AD74" i="6"/>
  <c r="AF74" i="6"/>
  <c r="Q77" i="8"/>
  <c r="H77" i="8" s="1"/>
  <c r="U77" i="8"/>
  <c r="I77" i="8" s="1"/>
  <c r="AI77" i="8"/>
  <c r="AJ77" i="8"/>
  <c r="AK77" i="8"/>
  <c r="AE74" i="7"/>
  <c r="AG74" i="7"/>
  <c r="Q74" i="7"/>
  <c r="H74" i="7" s="1"/>
  <c r="T74" i="7"/>
  <c r="I74" i="7" s="1"/>
  <c r="AH74" i="7" s="1"/>
  <c r="AJ78" i="8"/>
  <c r="AK78" i="8"/>
  <c r="AI78" i="8"/>
  <c r="U78" i="8"/>
  <c r="I78" i="8" s="1"/>
  <c r="Q78" i="8"/>
  <c r="H78" i="8" s="1"/>
  <c r="U75" i="8"/>
  <c r="I75" i="8" s="1"/>
  <c r="AI75" i="8"/>
  <c r="Q75" i="8"/>
  <c r="H75" i="8" s="1"/>
  <c r="AJ75" i="8"/>
  <c r="AK75" i="8"/>
  <c r="T76" i="7"/>
  <c r="I76" i="7" s="1"/>
  <c r="AH76" i="7" s="1"/>
  <c r="AG76" i="7"/>
  <c r="Q76" i="7"/>
  <c r="H76" i="7" s="1"/>
  <c r="AE76" i="7"/>
  <c r="T75" i="7"/>
  <c r="I75" i="7" s="1"/>
  <c r="AH75" i="7" s="1"/>
  <c r="AG75" i="7"/>
  <c r="Q75" i="7"/>
  <c r="H75" i="7" s="1"/>
  <c r="AE75" i="7"/>
  <c r="AC79" i="6"/>
  <c r="T79" i="6"/>
  <c r="AD79" i="6"/>
  <c r="Q79" i="6"/>
  <c r="H79" i="6" s="1"/>
  <c r="AG79" i="6"/>
  <c r="AF79" i="6"/>
  <c r="AE79" i="6"/>
  <c r="W79" i="6"/>
  <c r="J79" i="6" s="1"/>
  <c r="K72" i="6"/>
  <c r="AP75" i="11"/>
  <c r="L75" i="11" s="1"/>
  <c r="AI75" i="11"/>
  <c r="AG75" i="11"/>
  <c r="R75" i="11"/>
  <c r="H75" i="11" s="1"/>
  <c r="AH75" i="11"/>
  <c r="AF75" i="11"/>
  <c r="AP77" i="11"/>
  <c r="L77" i="11" s="1"/>
  <c r="R77" i="11"/>
  <c r="H77" i="11" s="1"/>
  <c r="AG77" i="11"/>
  <c r="AI77" i="11"/>
  <c r="AH77" i="11"/>
  <c r="AF77" i="11"/>
  <c r="AP79" i="11"/>
  <c r="L79" i="11" s="1"/>
  <c r="AF79" i="11"/>
  <c r="AH79" i="11"/>
  <c r="AG79" i="11"/>
  <c r="AI79" i="11"/>
  <c r="R79" i="11"/>
  <c r="H79" i="11" s="1"/>
  <c r="AP78" i="11"/>
  <c r="L78" i="11" s="1"/>
  <c r="AI78" i="11"/>
  <c r="AF78" i="11"/>
  <c r="AG78" i="11"/>
  <c r="AH78" i="11"/>
  <c r="R78" i="11"/>
  <c r="H78" i="11" s="1"/>
  <c r="AP72" i="11"/>
  <c r="L72" i="11" s="1"/>
  <c r="AH72" i="11"/>
  <c r="AF72" i="11"/>
  <c r="AG72" i="11"/>
  <c r="AI72" i="11"/>
  <c r="R72" i="11"/>
  <c r="H72" i="11" s="1"/>
  <c r="AP76" i="11"/>
  <c r="L76" i="11" s="1"/>
  <c r="AG76" i="11"/>
  <c r="R76" i="11"/>
  <c r="H76" i="11" s="1"/>
  <c r="AH76" i="11"/>
  <c r="AF76" i="11"/>
  <c r="AI76" i="11"/>
  <c r="AC78" i="5"/>
  <c r="T78" i="5"/>
  <c r="I78" i="5" s="1"/>
  <c r="AE78" i="5" s="1"/>
  <c r="AD78" i="5"/>
  <c r="Q78" i="5"/>
  <c r="H78" i="5" s="1"/>
  <c r="AM80" i="24"/>
  <c r="AA78" i="24"/>
  <c r="Q80" i="24"/>
  <c r="H80" i="24" s="1"/>
  <c r="AJ80" i="24" s="1"/>
  <c r="AH80" i="25"/>
  <c r="O79" i="25"/>
  <c r="G79" i="25" s="1"/>
  <c r="R80" i="25"/>
  <c r="H80" i="25" s="1"/>
  <c r="AI80" i="25"/>
  <c r="V80" i="24"/>
  <c r="AK80" i="25"/>
  <c r="AR80" i="25"/>
  <c r="L80" i="25" s="1"/>
  <c r="AP79" i="25"/>
  <c r="K79" i="25" s="1"/>
  <c r="U80" i="24"/>
  <c r="E79" i="24"/>
  <c r="O79" i="24"/>
  <c r="G79" i="24" s="1"/>
  <c r="AK78" i="24"/>
  <c r="AQ79" i="24"/>
  <c r="L79" i="24" s="1"/>
  <c r="AC76" i="5"/>
  <c r="T76" i="5"/>
  <c r="I76" i="5" s="1"/>
  <c r="AE76" i="5" s="1"/>
  <c r="Q76" i="5"/>
  <c r="H76" i="5" s="1"/>
  <c r="AD76" i="5"/>
  <c r="AC75" i="5"/>
  <c r="Q75" i="5"/>
  <c r="H75" i="5" s="1"/>
  <c r="AD75" i="5"/>
  <c r="T75" i="5"/>
  <c r="I75" i="5" s="1"/>
  <c r="AE75" i="5" s="1"/>
  <c r="AC77" i="5"/>
  <c r="AD77" i="5"/>
  <c r="Q77" i="5"/>
  <c r="H77" i="5" s="1"/>
  <c r="T77" i="5"/>
  <c r="I77" i="5" s="1"/>
  <c r="AE77" i="5" s="1"/>
  <c r="T74" i="5"/>
  <c r="I74" i="5" s="1"/>
  <c r="AE74" i="5" s="1"/>
  <c r="AD74" i="5"/>
  <c r="Q74" i="5"/>
  <c r="H74" i="5" s="1"/>
  <c r="AC74" i="5"/>
  <c r="I79" i="24"/>
  <c r="T80" i="5"/>
  <c r="I80" i="5" s="1"/>
  <c r="Q80" i="5"/>
  <c r="H80" i="5" s="1"/>
  <c r="AC80" i="5"/>
  <c r="AD80" i="5"/>
  <c r="N80" i="25"/>
  <c r="E80" i="25" s="1"/>
  <c r="N80" i="24"/>
  <c r="AO80" i="25"/>
  <c r="C81" i="25"/>
  <c r="R81" i="25" s="1"/>
  <c r="AP80" i="24"/>
  <c r="H79" i="25"/>
  <c r="B81" i="24"/>
  <c r="AN81" i="24" s="1"/>
  <c r="B81" i="25"/>
  <c r="S81" i="25" s="1"/>
  <c r="D76" i="25"/>
  <c r="C81" i="24"/>
  <c r="AI81" i="24" s="1"/>
  <c r="AF82" i="24"/>
  <c r="AG82" i="24"/>
  <c r="AE82" i="24"/>
  <c r="AS82" i="25"/>
  <c r="AB82" i="24"/>
  <c r="M89" i="14"/>
  <c r="Q82" i="25"/>
  <c r="AC82" i="25"/>
  <c r="S82" i="24"/>
  <c r="AF82" i="25"/>
  <c r="Z82" i="25"/>
  <c r="D308" i="9"/>
  <c r="AR82" i="24"/>
  <c r="AH82" i="24"/>
  <c r="D307" i="14"/>
  <c r="T82" i="24"/>
  <c r="AA82" i="25"/>
  <c r="L89" i="14"/>
  <c r="AD82" i="24"/>
  <c r="AC82" i="24"/>
  <c r="X82" i="25"/>
  <c r="Y82" i="25"/>
  <c r="AD82" i="25"/>
  <c r="P82" i="25"/>
  <c r="AE82" i="25"/>
  <c r="AQ82" i="25"/>
  <c r="AB82" i="25"/>
  <c r="N89" i="14"/>
  <c r="R82" i="24"/>
  <c r="AQ82" i="6" l="1"/>
  <c r="AY82" i="8"/>
  <c r="AR82" i="7"/>
  <c r="AP82" i="5"/>
  <c r="AY82" i="12"/>
  <c r="AO82" i="13"/>
  <c r="AW82" i="11"/>
  <c r="V78" i="25"/>
  <c r="I78" i="25" s="1"/>
  <c r="M78" i="25" s="1"/>
  <c r="BA81" i="8"/>
  <c r="AT81" i="7"/>
  <c r="AS81" i="6"/>
  <c r="AR81" i="5"/>
  <c r="AQ81" i="13"/>
  <c r="AY81" i="11"/>
  <c r="BA81" i="12"/>
  <c r="AX81" i="11"/>
  <c r="AP81" i="13"/>
  <c r="AZ81" i="12"/>
  <c r="AQ81" i="5"/>
  <c r="AR81" i="6"/>
  <c r="AZ81" i="8"/>
  <c r="AS81" i="7"/>
  <c r="K79" i="19"/>
  <c r="J79" i="19"/>
  <c r="N79" i="19"/>
  <c r="O79" i="19"/>
  <c r="M80" i="19"/>
  <c r="I80" i="19"/>
  <c r="AM81" i="25"/>
  <c r="AN81" i="25"/>
  <c r="AO82" i="24"/>
  <c r="J80" i="12"/>
  <c r="W80" i="12" s="1"/>
  <c r="R81" i="13"/>
  <c r="H81" i="13" s="1"/>
  <c r="AB81" i="13" s="1"/>
  <c r="AC81" i="13"/>
  <c r="AH81" i="13"/>
  <c r="L81" i="13" s="1"/>
  <c r="AD81" i="13"/>
  <c r="AR81" i="12"/>
  <c r="L81" i="12" s="1"/>
  <c r="AH81" i="12"/>
  <c r="AJ81" i="12"/>
  <c r="R81" i="12"/>
  <c r="H81" i="12" s="1"/>
  <c r="AG81" i="12"/>
  <c r="AI81" i="12"/>
  <c r="AK81" i="12"/>
  <c r="J80" i="13"/>
  <c r="AG80" i="25"/>
  <c r="J80" i="25" s="1"/>
  <c r="AG79" i="25"/>
  <c r="J79" i="25" s="1"/>
  <c r="W79" i="25" s="1"/>
  <c r="J77" i="11"/>
  <c r="J76" i="11"/>
  <c r="W76" i="11" s="1"/>
  <c r="J72" i="11"/>
  <c r="W72" i="11" s="1"/>
  <c r="J79" i="11"/>
  <c r="J75" i="11"/>
  <c r="J78" i="11"/>
  <c r="W78" i="11" s="1"/>
  <c r="W81" i="24"/>
  <c r="AL81" i="25"/>
  <c r="T1151" i="21"/>
  <c r="T1152" i="21"/>
  <c r="T1153" i="21"/>
  <c r="AE79" i="5"/>
  <c r="K79" i="5" s="1"/>
  <c r="W79" i="5" s="1"/>
  <c r="C82" i="25"/>
  <c r="R82" i="25" s="1"/>
  <c r="C82" i="24"/>
  <c r="AI82" i="24" s="1"/>
  <c r="T81" i="19"/>
  <c r="A83" i="25"/>
  <c r="B82" i="25"/>
  <c r="AL82" i="25" s="1"/>
  <c r="B82" i="24"/>
  <c r="V82" i="24" s="1"/>
  <c r="H81" i="19"/>
  <c r="H82" i="19" s="1"/>
  <c r="A85" i="25" s="1"/>
  <c r="A83" i="24"/>
  <c r="X80" i="19"/>
  <c r="T1139" i="21"/>
  <c r="T1127" i="21"/>
  <c r="T1091" i="21"/>
  <c r="T1079" i="21"/>
  <c r="T1103" i="21"/>
  <c r="T1115" i="21"/>
  <c r="T1092" i="21"/>
  <c r="T1104" i="21"/>
  <c r="T1116" i="21"/>
  <c r="T1140" i="21"/>
  <c r="T1128" i="21"/>
  <c r="T1080" i="21"/>
  <c r="T1093" i="21"/>
  <c r="T1141" i="21"/>
  <c r="T1105" i="21"/>
  <c r="T1081" i="21"/>
  <c r="T1129" i="21"/>
  <c r="T1117" i="21"/>
  <c r="K75" i="6"/>
  <c r="Z75" i="8"/>
  <c r="AA75" i="8"/>
  <c r="K80" i="6"/>
  <c r="X80" i="7"/>
  <c r="AF80" i="7"/>
  <c r="K80" i="7" s="1"/>
  <c r="Y80" i="7"/>
  <c r="X77" i="7"/>
  <c r="Y77" i="7"/>
  <c r="AF77" i="7"/>
  <c r="K77" i="7" s="1"/>
  <c r="AA80" i="8"/>
  <c r="Z80" i="8"/>
  <c r="AF76" i="7"/>
  <c r="K76" i="7" s="1"/>
  <c r="Y76" i="7"/>
  <c r="X76" i="7"/>
  <c r="AA73" i="8"/>
  <c r="Z73" i="8"/>
  <c r="AA74" i="8"/>
  <c r="Z74" i="8"/>
  <c r="X79" i="7"/>
  <c r="AF79" i="7"/>
  <c r="K79" i="7" s="1"/>
  <c r="Y79" i="7"/>
  <c r="K77" i="6"/>
  <c r="AG81" i="6"/>
  <c r="AC81" i="6"/>
  <c r="AE81" i="6"/>
  <c r="W81" i="6"/>
  <c r="J81" i="6" s="1"/>
  <c r="AF81" i="6"/>
  <c r="T81" i="6"/>
  <c r="Q81" i="6"/>
  <c r="H81" i="6" s="1"/>
  <c r="AD81" i="6"/>
  <c r="K79" i="6"/>
  <c r="Z78" i="8"/>
  <c r="AA78" i="8"/>
  <c r="AF74" i="7"/>
  <c r="K74" i="7" s="1"/>
  <c r="X74" i="7"/>
  <c r="Y74" i="7"/>
  <c r="Z79" i="8"/>
  <c r="AA79" i="8"/>
  <c r="K76" i="6"/>
  <c r="AK81" i="8"/>
  <c r="AJ81" i="8"/>
  <c r="Q81" i="8"/>
  <c r="H81" i="8" s="1"/>
  <c r="AI81" i="8"/>
  <c r="U81" i="8"/>
  <c r="I81" i="8" s="1"/>
  <c r="Z77" i="8"/>
  <c r="AA77" i="8"/>
  <c r="Z76" i="8"/>
  <c r="AA76" i="8"/>
  <c r="K74" i="6"/>
  <c r="K78" i="6"/>
  <c r="T81" i="7"/>
  <c r="I81" i="7" s="1"/>
  <c r="AH81" i="7" s="1"/>
  <c r="Q81" i="7"/>
  <c r="H81" i="7" s="1"/>
  <c r="AE81" i="7"/>
  <c r="AG81" i="7"/>
  <c r="I79" i="6"/>
  <c r="X75" i="7"/>
  <c r="AF75" i="7"/>
  <c r="K75" i="7" s="1"/>
  <c r="Y75" i="7"/>
  <c r="Y78" i="7"/>
  <c r="AF78" i="7"/>
  <c r="K78" i="7" s="1"/>
  <c r="X78" i="7"/>
  <c r="Y73" i="7"/>
  <c r="AF73" i="7"/>
  <c r="K73" i="7" s="1"/>
  <c r="X73" i="7"/>
  <c r="AP81" i="11"/>
  <c r="L81" i="11" s="1"/>
  <c r="AF81" i="11"/>
  <c r="AH81" i="11"/>
  <c r="AI81" i="11"/>
  <c r="R81" i="11"/>
  <c r="H81" i="11" s="1"/>
  <c r="AG81" i="11"/>
  <c r="AP80" i="11"/>
  <c r="L80" i="11" s="1"/>
  <c r="AI80" i="11"/>
  <c r="R80" i="11"/>
  <c r="H80" i="11" s="1"/>
  <c r="AF80" i="11"/>
  <c r="AG80" i="11"/>
  <c r="AH80" i="11"/>
  <c r="K78" i="5"/>
  <c r="W78" i="5" s="1"/>
  <c r="AM81" i="24"/>
  <c r="AA79" i="24"/>
  <c r="AK79" i="24"/>
  <c r="AI81" i="25"/>
  <c r="AR81" i="25"/>
  <c r="L81" i="25" s="1"/>
  <c r="AK81" i="25"/>
  <c r="AP80" i="25"/>
  <c r="K80" i="25" s="1"/>
  <c r="AH81" i="25"/>
  <c r="AJ81" i="25"/>
  <c r="O80" i="25"/>
  <c r="G80" i="25" s="1"/>
  <c r="V81" i="24"/>
  <c r="U81" i="24"/>
  <c r="AQ80" i="24"/>
  <c r="L80" i="24" s="1"/>
  <c r="Q81" i="24"/>
  <c r="H81" i="24" s="1"/>
  <c r="AJ81" i="24" s="1"/>
  <c r="E80" i="24"/>
  <c r="O80" i="24"/>
  <c r="G80" i="24" s="1"/>
  <c r="K74" i="5"/>
  <c r="W74" i="5" s="1"/>
  <c r="K77" i="5"/>
  <c r="W77" i="5" s="1"/>
  <c r="K76" i="5"/>
  <c r="W76" i="5" s="1"/>
  <c r="K75" i="5"/>
  <c r="W75" i="5" s="1"/>
  <c r="I80" i="24"/>
  <c r="AE80" i="5"/>
  <c r="K80" i="5" s="1"/>
  <c r="T81" i="5"/>
  <c r="I81" i="5" s="1"/>
  <c r="AD81" i="5"/>
  <c r="AC81" i="5"/>
  <c r="Q81" i="5"/>
  <c r="H81" i="5" s="1"/>
  <c r="N81" i="24"/>
  <c r="N81" i="25"/>
  <c r="E81" i="25" s="1"/>
  <c r="AO81" i="25"/>
  <c r="AP81" i="24"/>
  <c r="D77" i="25"/>
  <c r="H81" i="25"/>
  <c r="T83" i="24"/>
  <c r="Q85" i="25"/>
  <c r="L87" i="14"/>
  <c r="Z85" i="25"/>
  <c r="AB85" i="25"/>
  <c r="Z83" i="25"/>
  <c r="AQ83" i="25"/>
  <c r="AB83" i="24"/>
  <c r="AE83" i="24"/>
  <c r="AH83" i="24"/>
  <c r="AD83" i="24"/>
  <c r="D309" i="9"/>
  <c r="Y83" i="25"/>
  <c r="AF85" i="25"/>
  <c r="X83" i="25"/>
  <c r="D308" i="14"/>
  <c r="AF83" i="25"/>
  <c r="AC85" i="25"/>
  <c r="AR83" i="24"/>
  <c r="AS83" i="25"/>
  <c r="N87" i="14"/>
  <c r="R83" i="24"/>
  <c r="AA85" i="25"/>
  <c r="AC83" i="24"/>
  <c r="X85" i="25"/>
  <c r="AD83" i="25"/>
  <c r="AA83" i="25"/>
  <c r="AG83" i="24"/>
  <c r="Y85" i="25"/>
  <c r="P83" i="25"/>
  <c r="S83" i="24"/>
  <c r="AC83" i="25"/>
  <c r="AQ85" i="25"/>
  <c r="AD85" i="25"/>
  <c r="AB83" i="25"/>
  <c r="AE83" i="25"/>
  <c r="M87" i="14"/>
  <c r="AE85" i="25"/>
  <c r="AF83" i="24"/>
  <c r="Q83" i="25"/>
  <c r="AS85" i="25"/>
  <c r="P85" i="25"/>
  <c r="L90" i="14"/>
  <c r="AY83" i="8" l="1"/>
  <c r="AR83" i="7"/>
  <c r="AP83" i="5"/>
  <c r="AQ83" i="6"/>
  <c r="AY83" i="12"/>
  <c r="AO83" i="13"/>
  <c r="AW83" i="11"/>
  <c r="V80" i="25"/>
  <c r="V79" i="25"/>
  <c r="I79" i="25" s="1"/>
  <c r="M79" i="25" s="1"/>
  <c r="F79" i="25" s="1"/>
  <c r="P76" i="19" s="1"/>
  <c r="AR82" i="5"/>
  <c r="BA82" i="8"/>
  <c r="AT82" i="7"/>
  <c r="AS82" i="6"/>
  <c r="BA82" i="12"/>
  <c r="AQ82" i="13"/>
  <c r="AY82" i="11"/>
  <c r="AP82" i="13"/>
  <c r="AZ82" i="12"/>
  <c r="AX82" i="11"/>
  <c r="AS82" i="7"/>
  <c r="AQ82" i="5"/>
  <c r="AZ82" i="8"/>
  <c r="AR82" i="6"/>
  <c r="M81" i="19"/>
  <c r="I81" i="19"/>
  <c r="N80" i="19"/>
  <c r="K80" i="19"/>
  <c r="J80" i="19"/>
  <c r="O80" i="19"/>
  <c r="AM82" i="25"/>
  <c r="AN82" i="25"/>
  <c r="AO83" i="24"/>
  <c r="U82" i="8"/>
  <c r="I82" i="8" s="1"/>
  <c r="AK82" i="8"/>
  <c r="AJ82" i="8"/>
  <c r="Q82" i="8"/>
  <c r="H82" i="8" s="1"/>
  <c r="AI82" i="8"/>
  <c r="AH82" i="13"/>
  <c r="L82" i="13" s="1"/>
  <c r="AD82" i="13"/>
  <c r="AC82" i="13"/>
  <c r="R82" i="13"/>
  <c r="H82" i="13" s="1"/>
  <c r="AB82" i="13" s="1"/>
  <c r="AH82" i="11"/>
  <c r="AI82" i="11"/>
  <c r="AP82" i="11"/>
  <c r="L82" i="11" s="1"/>
  <c r="R82" i="11"/>
  <c r="H82" i="11" s="1"/>
  <c r="AG82" i="11"/>
  <c r="AF82" i="11"/>
  <c r="AD82" i="5"/>
  <c r="AC82" i="5"/>
  <c r="T82" i="5"/>
  <c r="I82" i="5" s="1"/>
  <c r="Q82" i="5"/>
  <c r="H82" i="5" s="1"/>
  <c r="AR82" i="12"/>
  <c r="L82" i="12" s="1"/>
  <c r="AG82" i="12"/>
  <c r="AK82" i="12"/>
  <c r="R82" i="12"/>
  <c r="H82" i="12" s="1"/>
  <c r="AJ82" i="12"/>
  <c r="AH82" i="12"/>
  <c r="AI82" i="12"/>
  <c r="J81" i="12"/>
  <c r="W81" i="12" s="1"/>
  <c r="J81" i="13"/>
  <c r="AG82" i="7"/>
  <c r="Q82" i="7"/>
  <c r="H82" i="7" s="1"/>
  <c r="AE82" i="7"/>
  <c r="T82" i="7"/>
  <c r="I82" i="7" s="1"/>
  <c r="AH82" i="7" s="1"/>
  <c r="AD82" i="6"/>
  <c r="W82" i="6"/>
  <c r="J82" i="6" s="1"/>
  <c r="T82" i="6"/>
  <c r="I82" i="6" s="1"/>
  <c r="AE82" i="6"/>
  <c r="AG82" i="6"/>
  <c r="AC82" i="6"/>
  <c r="Q82" i="6"/>
  <c r="H82" i="6" s="1"/>
  <c r="AF82" i="6"/>
  <c r="W80" i="25"/>
  <c r="AG81" i="25"/>
  <c r="J81" i="25" s="1"/>
  <c r="J80" i="11"/>
  <c r="J81" i="11"/>
  <c r="W81" i="11" s="1"/>
  <c r="W82" i="24"/>
  <c r="AN82" i="24"/>
  <c r="U1151" i="21"/>
  <c r="R1151" i="21"/>
  <c r="R1152" i="21"/>
  <c r="R1153" i="21"/>
  <c r="AM82" i="24"/>
  <c r="B85" i="25"/>
  <c r="S85" i="25" s="1"/>
  <c r="T82" i="19"/>
  <c r="U82" i="24"/>
  <c r="AK82" i="25"/>
  <c r="Q82" i="24"/>
  <c r="H82" i="24" s="1"/>
  <c r="AJ82" i="24" s="1"/>
  <c r="AJ82" i="25"/>
  <c r="AR82" i="25"/>
  <c r="L82" i="25" s="1"/>
  <c r="AH82" i="25"/>
  <c r="AI82" i="25"/>
  <c r="AO82" i="25"/>
  <c r="AP82" i="25" s="1"/>
  <c r="K82" i="25" s="1"/>
  <c r="N82" i="25"/>
  <c r="N82" i="24"/>
  <c r="O82" i="24" s="1"/>
  <c r="G82" i="24" s="1"/>
  <c r="AP82" i="24"/>
  <c r="AQ82" i="24" s="1"/>
  <c r="L82" i="24" s="1"/>
  <c r="C83" i="25"/>
  <c r="R83" i="25" s="1"/>
  <c r="C83" i="24"/>
  <c r="AI83" i="24" s="1"/>
  <c r="A85" i="24"/>
  <c r="H83" i="19"/>
  <c r="S82" i="25"/>
  <c r="H82" i="25" s="1"/>
  <c r="A84" i="24"/>
  <c r="A84" i="25"/>
  <c r="B83" i="25"/>
  <c r="AN83" i="25" s="1"/>
  <c r="AM83" i="24"/>
  <c r="B83" i="24"/>
  <c r="V83" i="24" s="1"/>
  <c r="X81" i="19"/>
  <c r="R1093" i="21"/>
  <c r="R1105" i="21"/>
  <c r="R1117" i="21"/>
  <c r="R1081" i="21"/>
  <c r="R1141" i="21"/>
  <c r="R1129" i="21"/>
  <c r="R1104" i="21"/>
  <c r="R1116" i="21"/>
  <c r="R1140" i="21"/>
  <c r="R1128" i="21"/>
  <c r="R1080" i="21"/>
  <c r="R1092" i="21"/>
  <c r="R1139" i="21"/>
  <c r="R1127" i="21"/>
  <c r="R1079" i="21"/>
  <c r="R1091" i="21"/>
  <c r="R1103" i="21"/>
  <c r="R1115" i="21"/>
  <c r="U1127" i="21"/>
  <c r="U1139" i="21"/>
  <c r="U1079" i="21"/>
  <c r="U1091" i="21"/>
  <c r="U1103" i="21"/>
  <c r="U1115" i="21"/>
  <c r="J80" i="8"/>
  <c r="AL80" i="8" s="1"/>
  <c r="K80" i="8" s="1"/>
  <c r="J78" i="7"/>
  <c r="J75" i="7"/>
  <c r="J76" i="7"/>
  <c r="J73" i="7"/>
  <c r="W79" i="11"/>
  <c r="J74" i="8"/>
  <c r="AL74" i="8" s="1"/>
  <c r="K74" i="8" s="1"/>
  <c r="J76" i="8"/>
  <c r="AL76" i="8" s="1"/>
  <c r="K76" i="8" s="1"/>
  <c r="J79" i="7"/>
  <c r="J80" i="7"/>
  <c r="I81" i="6"/>
  <c r="J74" i="7"/>
  <c r="J73" i="8"/>
  <c r="J77" i="8"/>
  <c r="J77" i="7"/>
  <c r="J79" i="8"/>
  <c r="J75" i="8"/>
  <c r="J78" i="8"/>
  <c r="K81" i="6"/>
  <c r="X81" i="7"/>
  <c r="Y81" i="7"/>
  <c r="AF81" i="7"/>
  <c r="K81" i="7" s="1"/>
  <c r="Z81" i="8"/>
  <c r="AA81" i="8"/>
  <c r="W75" i="11"/>
  <c r="W77" i="11"/>
  <c r="AA80" i="24"/>
  <c r="AK80" i="24"/>
  <c r="AP81" i="25"/>
  <c r="K81" i="25" s="1"/>
  <c r="O81" i="25"/>
  <c r="G81" i="25" s="1"/>
  <c r="AQ81" i="24"/>
  <c r="L81" i="24" s="1"/>
  <c r="O81" i="24"/>
  <c r="G81" i="24" s="1"/>
  <c r="F78" i="25"/>
  <c r="P75" i="19" s="1"/>
  <c r="I81" i="24"/>
  <c r="AE81" i="5"/>
  <c r="K81" i="5" s="1"/>
  <c r="W80" i="5"/>
  <c r="E81" i="24"/>
  <c r="AC84" i="24"/>
  <c r="AE84" i="25"/>
  <c r="S85" i="24"/>
  <c r="AE85" i="24"/>
  <c r="AA84" i="25"/>
  <c r="T84" i="24"/>
  <c r="AQ84" i="25"/>
  <c r="AE84" i="24"/>
  <c r="AR85" i="24"/>
  <c r="D309" i="14"/>
  <c r="AB84" i="25"/>
  <c r="AG84" i="24"/>
  <c r="AC85" i="24"/>
  <c r="Z84" i="25"/>
  <c r="AD85" i="24"/>
  <c r="AB85" i="24"/>
  <c r="AB84" i="24"/>
  <c r="M92" i="14"/>
  <c r="R85" i="24"/>
  <c r="L92" i="14"/>
  <c r="X84" i="25"/>
  <c r="D310" i="9"/>
  <c r="AF84" i="25"/>
  <c r="M90" i="14"/>
  <c r="AH85" i="24"/>
  <c r="AH84" i="24"/>
  <c r="N92" i="14"/>
  <c r="AC84" i="25"/>
  <c r="R84" i="24"/>
  <c r="S84" i="24"/>
  <c r="AF84" i="24"/>
  <c r="P84" i="25"/>
  <c r="AS84" i="25"/>
  <c r="AG85" i="24"/>
  <c r="AR84" i="24"/>
  <c r="AD84" i="24"/>
  <c r="AD84" i="25"/>
  <c r="N90" i="14"/>
  <c r="AF85" i="24"/>
  <c r="Q84" i="25"/>
  <c r="T85" i="24"/>
  <c r="Y84" i="25"/>
  <c r="AY84" i="12" l="1"/>
  <c r="AO84" i="13"/>
  <c r="AW84" i="11"/>
  <c r="AY84" i="8"/>
  <c r="AR84" i="7"/>
  <c r="AP84" i="5"/>
  <c r="AQ84" i="6"/>
  <c r="O82" i="25"/>
  <c r="G82" i="25" s="1"/>
  <c r="E82" i="25"/>
  <c r="V81" i="25"/>
  <c r="BA83" i="12"/>
  <c r="AY83" i="11"/>
  <c r="AQ83" i="13"/>
  <c r="AS83" i="6"/>
  <c r="AR83" i="5"/>
  <c r="BA83" i="8"/>
  <c r="AT83" i="7"/>
  <c r="AP83" i="13"/>
  <c r="AZ83" i="12"/>
  <c r="AX83" i="11"/>
  <c r="AZ83" i="8"/>
  <c r="AQ83" i="5"/>
  <c r="AR83" i="6"/>
  <c r="AS83" i="7"/>
  <c r="M82" i="19"/>
  <c r="I82" i="19"/>
  <c r="N81" i="19"/>
  <c r="K81" i="19"/>
  <c r="J81" i="19"/>
  <c r="O81" i="19"/>
  <c r="AM83" i="25"/>
  <c r="AM85" i="25"/>
  <c r="AN85" i="25"/>
  <c r="AO84" i="24"/>
  <c r="AO85" i="24"/>
  <c r="K82" i="6"/>
  <c r="AC83" i="13"/>
  <c r="AH83" i="13"/>
  <c r="L83" i="13" s="1"/>
  <c r="AD83" i="13"/>
  <c r="R83" i="13"/>
  <c r="H83" i="13" s="1"/>
  <c r="AB83" i="13" s="1"/>
  <c r="X82" i="7"/>
  <c r="AF82" i="7"/>
  <c r="K82" i="7" s="1"/>
  <c r="Y82" i="7"/>
  <c r="AK83" i="12"/>
  <c r="AR83" i="12"/>
  <c r="L83" i="12" s="1"/>
  <c r="R83" i="12"/>
  <c r="H83" i="12" s="1"/>
  <c r="AH83" i="12"/>
  <c r="AJ83" i="12"/>
  <c r="AI83" i="12"/>
  <c r="AG83" i="12"/>
  <c r="AP83" i="11"/>
  <c r="L83" i="11" s="1"/>
  <c r="AH83" i="11"/>
  <c r="R83" i="11"/>
  <c r="H83" i="11" s="1"/>
  <c r="AF83" i="11"/>
  <c r="AI83" i="11"/>
  <c r="AG83" i="11"/>
  <c r="J82" i="11"/>
  <c r="W82" i="11" s="1"/>
  <c r="J82" i="12"/>
  <c r="W82" i="12" s="1"/>
  <c r="T83" i="7"/>
  <c r="I83" i="7" s="1"/>
  <c r="AH83" i="7" s="1"/>
  <c r="AE83" i="7"/>
  <c r="Q83" i="7"/>
  <c r="H83" i="7" s="1"/>
  <c r="AG83" i="7"/>
  <c r="AA82" i="8"/>
  <c r="Z82" i="8"/>
  <c r="AD83" i="6"/>
  <c r="AF83" i="6"/>
  <c r="W83" i="6"/>
  <c r="J83" i="6" s="1"/>
  <c r="AE83" i="6"/>
  <c r="T83" i="6"/>
  <c r="I83" i="6" s="1"/>
  <c r="Q83" i="6"/>
  <c r="H83" i="6" s="1"/>
  <c r="AC83" i="6"/>
  <c r="AG83" i="6"/>
  <c r="AI83" i="8"/>
  <c r="AK83" i="8"/>
  <c r="U83" i="8"/>
  <c r="I83" i="8" s="1"/>
  <c r="Q83" i="8"/>
  <c r="H83" i="8" s="1"/>
  <c r="AJ83" i="8"/>
  <c r="AE82" i="5"/>
  <c r="K82" i="5" s="1"/>
  <c r="T83" i="5"/>
  <c r="I83" i="5" s="1"/>
  <c r="Q83" i="5"/>
  <c r="H83" i="5" s="1"/>
  <c r="AD83" i="5"/>
  <c r="AC83" i="5"/>
  <c r="J82" i="13"/>
  <c r="W81" i="25"/>
  <c r="AG82" i="25"/>
  <c r="J82" i="25" s="1"/>
  <c r="I82" i="24"/>
  <c r="AK82" i="24" s="1"/>
  <c r="AN83" i="24"/>
  <c r="AL85" i="25"/>
  <c r="W83" i="24"/>
  <c r="AL83" i="25"/>
  <c r="W1153" i="21"/>
  <c r="U1153" i="21"/>
  <c r="W1151" i="21"/>
  <c r="U1152" i="21"/>
  <c r="W1152" i="21"/>
  <c r="X82" i="19"/>
  <c r="A86" i="25"/>
  <c r="T83" i="19"/>
  <c r="E82" i="24"/>
  <c r="AH83" i="25"/>
  <c r="Q83" i="24"/>
  <c r="H83" i="24" s="1"/>
  <c r="AJ83" i="24" s="1"/>
  <c r="AJ83" i="25"/>
  <c r="AR83" i="25"/>
  <c r="L83" i="25" s="1"/>
  <c r="AK83" i="25"/>
  <c r="N83" i="25"/>
  <c r="AO83" i="25"/>
  <c r="AP83" i="25" s="1"/>
  <c r="K83" i="25" s="1"/>
  <c r="AP83" i="24"/>
  <c r="AQ83" i="24" s="1"/>
  <c r="L83" i="24" s="1"/>
  <c r="N83" i="24"/>
  <c r="O83" i="24" s="1"/>
  <c r="G83" i="24" s="1"/>
  <c r="C84" i="24"/>
  <c r="AI84" i="24" s="1"/>
  <c r="C84" i="25"/>
  <c r="AK84" i="25" s="1"/>
  <c r="U83" i="24"/>
  <c r="H84" i="19"/>
  <c r="A86" i="24"/>
  <c r="B85" i="24"/>
  <c r="W85" i="24" s="1"/>
  <c r="S83" i="25"/>
  <c r="H83" i="25" s="1"/>
  <c r="B84" i="24"/>
  <c r="V84" i="24" s="1"/>
  <c r="AI83" i="25"/>
  <c r="B84" i="25"/>
  <c r="AN84" i="25" s="1"/>
  <c r="W1139" i="21"/>
  <c r="W1127" i="21"/>
  <c r="W1091" i="21"/>
  <c r="W1115" i="21"/>
  <c r="L93" i="14"/>
  <c r="W1103" i="21"/>
  <c r="W1079" i="21"/>
  <c r="W1081" i="21"/>
  <c r="W1105" i="21"/>
  <c r="W1093" i="21"/>
  <c r="W1129" i="21"/>
  <c r="W1141" i="21"/>
  <c r="W1117" i="21"/>
  <c r="W1104" i="21"/>
  <c r="W1140" i="21"/>
  <c r="W1128" i="21"/>
  <c r="W1092" i="21"/>
  <c r="W1116" i="21"/>
  <c r="W1080" i="21"/>
  <c r="U1129" i="21"/>
  <c r="U1141" i="21"/>
  <c r="U1081" i="21"/>
  <c r="U1117" i="21"/>
  <c r="U1093" i="21"/>
  <c r="U1105" i="21"/>
  <c r="N93" i="14"/>
  <c r="U1140" i="21"/>
  <c r="U1128" i="21"/>
  <c r="U1092" i="21"/>
  <c r="U1080" i="21"/>
  <c r="U1104" i="21"/>
  <c r="U1116" i="21"/>
  <c r="M93" i="14"/>
  <c r="J81" i="7"/>
  <c r="AL75" i="8"/>
  <c r="K75" i="8" s="1"/>
  <c r="AL77" i="8"/>
  <c r="K77" i="8" s="1"/>
  <c r="J81" i="8"/>
  <c r="AL81" i="8" s="1"/>
  <c r="K81" i="8" s="1"/>
  <c r="AL78" i="8"/>
  <c r="K78" i="8" s="1"/>
  <c r="AL73" i="8"/>
  <c r="K73" i="8" s="1"/>
  <c r="AL79" i="8"/>
  <c r="K79" i="8" s="1"/>
  <c r="W80" i="11"/>
  <c r="I80" i="25"/>
  <c r="M80" i="25" s="1"/>
  <c r="F80" i="25" s="1"/>
  <c r="P77" i="19" s="1"/>
  <c r="AK81" i="24"/>
  <c r="AA81" i="24"/>
  <c r="D78" i="25"/>
  <c r="W81" i="5"/>
  <c r="D79" i="25"/>
  <c r="T86" i="24"/>
  <c r="AD86" i="25"/>
  <c r="S86" i="24"/>
  <c r="X86" i="25"/>
  <c r="AC86" i="24"/>
  <c r="AC86" i="25"/>
  <c r="D310" i="14"/>
  <c r="AQ86" i="25"/>
  <c r="D311" i="9"/>
  <c r="AR86" i="24"/>
  <c r="AA86" i="25"/>
  <c r="AF86" i="25"/>
  <c r="AG86" i="24"/>
  <c r="P86" i="25"/>
  <c r="Q86" i="25"/>
  <c r="AE86" i="25"/>
  <c r="Z86" i="25"/>
  <c r="AE86" i="24"/>
  <c r="AB86" i="24"/>
  <c r="AH86" i="24"/>
  <c r="AD86" i="24"/>
  <c r="AB86" i="25"/>
  <c r="AF86" i="24"/>
  <c r="R86" i="24"/>
  <c r="Y86" i="25"/>
  <c r="AS86" i="25"/>
  <c r="V82" i="25" l="1"/>
  <c r="AY85" i="8"/>
  <c r="AR85" i="7"/>
  <c r="AP85" i="5"/>
  <c r="AQ85" i="6"/>
  <c r="AO85" i="13"/>
  <c r="AY85" i="12"/>
  <c r="AW85" i="11"/>
  <c r="O83" i="25"/>
  <c r="G83" i="25" s="1"/>
  <c r="E83" i="25"/>
  <c r="AY84" i="11"/>
  <c r="AQ84" i="13"/>
  <c r="BA84" i="12"/>
  <c r="BA84" i="8"/>
  <c r="AR84" i="5"/>
  <c r="AS84" i="6"/>
  <c r="AT84" i="7"/>
  <c r="AX84" i="11"/>
  <c r="AP84" i="13"/>
  <c r="AZ84" i="12"/>
  <c r="AS84" i="7"/>
  <c r="AR84" i="6"/>
  <c r="AZ84" i="8"/>
  <c r="AQ84" i="5"/>
  <c r="O82" i="19"/>
  <c r="N82" i="19"/>
  <c r="K82" i="19"/>
  <c r="J82" i="19"/>
  <c r="I83" i="19"/>
  <c r="M83" i="19"/>
  <c r="AM84" i="25"/>
  <c r="AO86" i="24"/>
  <c r="J82" i="8"/>
  <c r="AL82" i="8" s="1"/>
  <c r="K82" i="8" s="1"/>
  <c r="J83" i="13"/>
  <c r="AI84" i="8"/>
  <c r="AK84" i="8"/>
  <c r="U84" i="8"/>
  <c r="I84" i="8" s="1"/>
  <c r="Q84" i="8"/>
  <c r="H84" i="8" s="1"/>
  <c r="AJ84" i="8"/>
  <c r="W82" i="5"/>
  <c r="AM84" i="24"/>
  <c r="AH84" i="11"/>
  <c r="AG84" i="11"/>
  <c r="AF84" i="11"/>
  <c r="AI84" i="11"/>
  <c r="R84" i="11"/>
  <c r="H84" i="11" s="1"/>
  <c r="AP84" i="11"/>
  <c r="L84" i="11" s="1"/>
  <c r="J83" i="12"/>
  <c r="W83" i="12" s="1"/>
  <c r="T84" i="5"/>
  <c r="I84" i="5" s="1"/>
  <c r="AD84" i="5"/>
  <c r="Q84" i="5"/>
  <c r="H84" i="5" s="1"/>
  <c r="AC84" i="5"/>
  <c r="J82" i="7"/>
  <c r="AE83" i="5"/>
  <c r="K83" i="5" s="1"/>
  <c r="K83" i="6"/>
  <c r="AJ84" i="12"/>
  <c r="AG84" i="12"/>
  <c r="AH84" i="12"/>
  <c r="AI84" i="12"/>
  <c r="R84" i="12"/>
  <c r="H84" i="12" s="1"/>
  <c r="AK84" i="12"/>
  <c r="AR84" i="12"/>
  <c r="L84" i="12" s="1"/>
  <c r="AC84" i="6"/>
  <c r="AG84" i="6"/>
  <c r="T84" i="6"/>
  <c r="I84" i="6" s="1"/>
  <c r="Q84" i="6"/>
  <c r="H84" i="6" s="1"/>
  <c r="AE84" i="6"/>
  <c r="AD84" i="6"/>
  <c r="AF84" i="6"/>
  <c r="W84" i="6"/>
  <c r="J84" i="6" s="1"/>
  <c r="AF83" i="7"/>
  <c r="K83" i="7" s="1"/>
  <c r="Y83" i="7"/>
  <c r="X83" i="7"/>
  <c r="J83" i="11"/>
  <c r="W83" i="11" s="1"/>
  <c r="AC84" i="13"/>
  <c r="AD84" i="13"/>
  <c r="AH84" i="13"/>
  <c r="L84" i="13" s="1"/>
  <c r="R84" i="13"/>
  <c r="H84" i="13" s="1"/>
  <c r="AB84" i="13" s="1"/>
  <c r="AE84" i="7"/>
  <c r="AG84" i="7"/>
  <c r="Q84" i="7"/>
  <c r="H84" i="7" s="1"/>
  <c r="T84" i="7"/>
  <c r="I84" i="7" s="1"/>
  <c r="AH84" i="7" s="1"/>
  <c r="AA83" i="8"/>
  <c r="Z83" i="8"/>
  <c r="W82" i="25"/>
  <c r="AG83" i="25"/>
  <c r="J83" i="25" s="1"/>
  <c r="W83" i="25" s="1"/>
  <c r="AA82" i="24"/>
  <c r="AL84" i="25"/>
  <c r="I83" i="24"/>
  <c r="AK83" i="24" s="1"/>
  <c r="AN85" i="24"/>
  <c r="AN84" i="24"/>
  <c r="W84" i="24"/>
  <c r="A87" i="25"/>
  <c r="H85" i="19"/>
  <c r="C85" i="25"/>
  <c r="AH85" i="25" s="1"/>
  <c r="C85" i="24"/>
  <c r="X83" i="19"/>
  <c r="B86" i="25"/>
  <c r="S86" i="25" s="1"/>
  <c r="T84" i="19"/>
  <c r="U84" i="24"/>
  <c r="Q84" i="24"/>
  <c r="H84" i="24" s="1"/>
  <c r="AJ84" i="24" s="1"/>
  <c r="R84" i="25"/>
  <c r="AR84" i="25"/>
  <c r="L84" i="25" s="1"/>
  <c r="AJ84" i="25"/>
  <c r="E83" i="24"/>
  <c r="AO84" i="25"/>
  <c r="AP84" i="25" s="1"/>
  <c r="K84" i="25" s="1"/>
  <c r="N84" i="25"/>
  <c r="AP84" i="24"/>
  <c r="AQ84" i="24" s="1"/>
  <c r="L84" i="24" s="1"/>
  <c r="N84" i="24"/>
  <c r="O84" i="24" s="1"/>
  <c r="G84" i="24" s="1"/>
  <c r="AH84" i="25"/>
  <c r="V85" i="24"/>
  <c r="A87" i="24"/>
  <c r="B86" i="24"/>
  <c r="AN86" i="24" s="1"/>
  <c r="S84" i="25"/>
  <c r="AI84" i="25"/>
  <c r="I81" i="25"/>
  <c r="M81" i="25" s="1"/>
  <c r="F81" i="25" s="1"/>
  <c r="P78" i="19" s="1"/>
  <c r="D80" i="25"/>
  <c r="AH87" i="24"/>
  <c r="Q87" i="25"/>
  <c r="AD87" i="25"/>
  <c r="AF87" i="25"/>
  <c r="Y87" i="25"/>
  <c r="AC87" i="25"/>
  <c r="AF87" i="24"/>
  <c r="D311" i="14"/>
  <c r="AD87" i="24"/>
  <c r="X87" i="25"/>
  <c r="AS87" i="25"/>
  <c r="AA87" i="25"/>
  <c r="Z87" i="25"/>
  <c r="P87" i="25"/>
  <c r="AG87" i="24"/>
  <c r="T87" i="24"/>
  <c r="R87" i="24"/>
  <c r="AE87" i="24"/>
  <c r="AQ87" i="25"/>
  <c r="S87" i="24"/>
  <c r="AR87" i="24"/>
  <c r="D312" i="9"/>
  <c r="AC87" i="24"/>
  <c r="AE87" i="25"/>
  <c r="AB87" i="24"/>
  <c r="AB87" i="25"/>
  <c r="AY86" i="8" l="1"/>
  <c r="AR86" i="7"/>
  <c r="AP86" i="5"/>
  <c r="AQ86" i="6"/>
  <c r="AW86" i="11"/>
  <c r="AO86" i="13"/>
  <c r="AY86" i="12"/>
  <c r="O84" i="25"/>
  <c r="G84" i="25" s="1"/>
  <c r="E84" i="25"/>
  <c r="V83" i="25"/>
  <c r="I83" i="25" s="1"/>
  <c r="M83" i="25" s="1"/>
  <c r="F83" i="25" s="1"/>
  <c r="P80" i="19" s="1"/>
  <c r="AQ85" i="13"/>
  <c r="AY85" i="11"/>
  <c r="BA85" i="12"/>
  <c r="BA85" i="8"/>
  <c r="AT85" i="7"/>
  <c r="AR85" i="5"/>
  <c r="AS85" i="6"/>
  <c r="AP85" i="13"/>
  <c r="AZ85" i="12"/>
  <c r="AX85" i="11"/>
  <c r="AQ85" i="5"/>
  <c r="AS85" i="7"/>
  <c r="AZ85" i="8"/>
  <c r="AR85" i="6"/>
  <c r="O83" i="19"/>
  <c r="N83" i="19"/>
  <c r="K83" i="19"/>
  <c r="J83" i="19"/>
  <c r="I84" i="19"/>
  <c r="M84" i="19"/>
  <c r="AM86" i="25"/>
  <c r="AN86" i="25"/>
  <c r="AO87" i="24"/>
  <c r="J83" i="7"/>
  <c r="J84" i="12"/>
  <c r="W84" i="12" s="1"/>
  <c r="J83" i="8"/>
  <c r="AL83" i="8" s="1"/>
  <c r="K83" i="8" s="1"/>
  <c r="W83" i="5"/>
  <c r="AH85" i="11"/>
  <c r="AG85" i="11"/>
  <c r="R85" i="11"/>
  <c r="H85" i="11" s="1"/>
  <c r="AP85" i="11"/>
  <c r="L85" i="11" s="1"/>
  <c r="AI85" i="11"/>
  <c r="AF85" i="11"/>
  <c r="AE84" i="5"/>
  <c r="K84" i="5" s="1"/>
  <c r="AG85" i="6"/>
  <c r="AC85" i="6"/>
  <c r="T85" i="6"/>
  <c r="I85" i="6" s="1"/>
  <c r="AD85" i="6"/>
  <c r="Q85" i="6"/>
  <c r="H85" i="6" s="1"/>
  <c r="AF85" i="6"/>
  <c r="AE85" i="6"/>
  <c r="W85" i="6"/>
  <c r="J85" i="6" s="1"/>
  <c r="J84" i="13"/>
  <c r="K84" i="6"/>
  <c r="Z84" i="8"/>
  <c r="AA84" i="8"/>
  <c r="AC85" i="5"/>
  <c r="Q85" i="5"/>
  <c r="H85" i="5" s="1"/>
  <c r="T85" i="5"/>
  <c r="I85" i="5" s="1"/>
  <c r="AD85" i="5"/>
  <c r="J84" i="11"/>
  <c r="W84" i="11" s="1"/>
  <c r="AJ85" i="8"/>
  <c r="AK85" i="8"/>
  <c r="Q85" i="8"/>
  <c r="H85" i="8" s="1"/>
  <c r="U85" i="8"/>
  <c r="I85" i="8" s="1"/>
  <c r="AI85" i="8"/>
  <c r="AE85" i="7"/>
  <c r="AG85" i="7"/>
  <c r="Q85" i="7"/>
  <c r="H85" i="7" s="1"/>
  <c r="T85" i="7"/>
  <c r="I85" i="7" s="1"/>
  <c r="AH85" i="7" s="1"/>
  <c r="R85" i="13"/>
  <c r="H85" i="13" s="1"/>
  <c r="AB85" i="13" s="1"/>
  <c r="AC85" i="13"/>
  <c r="AD85" i="13"/>
  <c r="AH85" i="13"/>
  <c r="L85" i="13" s="1"/>
  <c r="AK85" i="12"/>
  <c r="AI85" i="12"/>
  <c r="AG85" i="12"/>
  <c r="R85" i="12"/>
  <c r="H85" i="12" s="1"/>
  <c r="AJ85" i="12"/>
  <c r="AR85" i="12"/>
  <c r="L85" i="12" s="1"/>
  <c r="AH85" i="12"/>
  <c r="AF84" i="7"/>
  <c r="K84" i="7" s="1"/>
  <c r="Y84" i="7"/>
  <c r="X84" i="7"/>
  <c r="I82" i="25"/>
  <c r="M82" i="25" s="1"/>
  <c r="F82" i="25" s="1"/>
  <c r="P79" i="19" s="1"/>
  <c r="AA83" i="24"/>
  <c r="I84" i="24"/>
  <c r="AK84" i="24" s="1"/>
  <c r="W86" i="24"/>
  <c r="AL86" i="25"/>
  <c r="AP85" i="24"/>
  <c r="AQ85" i="24" s="1"/>
  <c r="L85" i="24" s="1"/>
  <c r="N85" i="24"/>
  <c r="O85" i="24" s="1"/>
  <c r="G85" i="24" s="1"/>
  <c r="B87" i="25"/>
  <c r="AN87" i="25" s="1"/>
  <c r="T85" i="19"/>
  <c r="H86" i="19"/>
  <c r="A88" i="25"/>
  <c r="A88" i="24"/>
  <c r="AJ85" i="25"/>
  <c r="R85" i="25"/>
  <c r="H85" i="25" s="1"/>
  <c r="AK85" i="25"/>
  <c r="AR85" i="25"/>
  <c r="L85" i="25" s="1"/>
  <c r="U85" i="24"/>
  <c r="I85" i="24" s="1"/>
  <c r="AK85" i="24" s="1"/>
  <c r="AM85" i="24"/>
  <c r="AI85" i="25"/>
  <c r="AO85" i="25"/>
  <c r="AP85" i="25" s="1"/>
  <c r="K85" i="25" s="1"/>
  <c r="N85" i="25"/>
  <c r="E85" i="25" s="1"/>
  <c r="C86" i="24"/>
  <c r="AI85" i="24"/>
  <c r="Q85" i="24"/>
  <c r="H85" i="24" s="1"/>
  <c r="AJ85" i="24" s="1"/>
  <c r="C86" i="25"/>
  <c r="X84" i="19"/>
  <c r="V86" i="24"/>
  <c r="H84" i="25"/>
  <c r="E84" i="24"/>
  <c r="B87" i="24"/>
  <c r="V87" i="24" s="1"/>
  <c r="D81" i="25"/>
  <c r="D313" i="9"/>
  <c r="AH88" i="24"/>
  <c r="AF88" i="25"/>
  <c r="D312" i="14"/>
  <c r="AW87" i="11" l="1"/>
  <c r="AO87" i="13"/>
  <c r="AY87" i="12"/>
  <c r="AY87" i="8"/>
  <c r="AQ87" i="6"/>
  <c r="AR87" i="7"/>
  <c r="AP87" i="5"/>
  <c r="BA86" i="12"/>
  <c r="AQ86" i="13"/>
  <c r="AY86" i="11"/>
  <c r="BA86" i="8"/>
  <c r="AT86" i="7"/>
  <c r="AS86" i="6"/>
  <c r="AR86" i="5"/>
  <c r="AP86" i="13"/>
  <c r="AZ86" i="12"/>
  <c r="AX86" i="11"/>
  <c r="AZ86" i="8"/>
  <c r="AR86" i="6"/>
  <c r="AQ86" i="5"/>
  <c r="AS86" i="7"/>
  <c r="O84" i="19"/>
  <c r="N84" i="19"/>
  <c r="J84" i="19"/>
  <c r="K84" i="19"/>
  <c r="I85" i="19"/>
  <c r="M85" i="19"/>
  <c r="AO88" i="24"/>
  <c r="AM87" i="25"/>
  <c r="T86" i="19"/>
  <c r="J85" i="12"/>
  <c r="W85" i="12" s="1"/>
  <c r="J84" i="7"/>
  <c r="W84" i="5"/>
  <c r="AC86" i="5"/>
  <c r="Q86" i="5"/>
  <c r="H86" i="5" s="1"/>
  <c r="T86" i="5"/>
  <c r="I86" i="5" s="1"/>
  <c r="AD86" i="5"/>
  <c r="AA85" i="8"/>
  <c r="Z85" i="8"/>
  <c r="AF86" i="11"/>
  <c r="AI86" i="11"/>
  <c r="AG86" i="11"/>
  <c r="AP86" i="11"/>
  <c r="L86" i="11" s="1"/>
  <c r="AH86" i="11"/>
  <c r="R86" i="11"/>
  <c r="H86" i="11" s="1"/>
  <c r="J85" i="13"/>
  <c r="J85" i="11"/>
  <c r="W85" i="11" s="1"/>
  <c r="AC86" i="13"/>
  <c r="R86" i="13"/>
  <c r="H86" i="13" s="1"/>
  <c r="AB86" i="13" s="1"/>
  <c r="AH86" i="13"/>
  <c r="L86" i="13" s="1"/>
  <c r="AD86" i="13"/>
  <c r="AH86" i="12"/>
  <c r="AG86" i="12"/>
  <c r="R86" i="12"/>
  <c r="H86" i="12" s="1"/>
  <c r="AI86" i="12"/>
  <c r="AK86" i="12"/>
  <c r="AJ86" i="12"/>
  <c r="AR86" i="12"/>
  <c r="L86" i="12" s="1"/>
  <c r="AF85" i="7"/>
  <c r="K85" i="7" s="1"/>
  <c r="X85" i="7"/>
  <c r="Y85" i="7"/>
  <c r="J84" i="8"/>
  <c r="AL84" i="8" s="1"/>
  <c r="K84" i="8" s="1"/>
  <c r="AG86" i="7"/>
  <c r="AE86" i="7"/>
  <c r="Q86" i="7"/>
  <c r="H86" i="7" s="1"/>
  <c r="T86" i="7"/>
  <c r="I86" i="7" s="1"/>
  <c r="AH86" i="7" s="1"/>
  <c r="Q86" i="8"/>
  <c r="H86" i="8" s="1"/>
  <c r="AJ86" i="8"/>
  <c r="U86" i="8"/>
  <c r="I86" i="8" s="1"/>
  <c r="AK86" i="8"/>
  <c r="AI86" i="8"/>
  <c r="K85" i="6"/>
  <c r="AC86" i="6"/>
  <c r="AE86" i="6"/>
  <c r="W86" i="6"/>
  <c r="J86" i="6" s="1"/>
  <c r="AG86" i="6"/>
  <c r="Q86" i="6"/>
  <c r="H86" i="6" s="1"/>
  <c r="AF86" i="6"/>
  <c r="T86" i="6"/>
  <c r="I86" i="6" s="1"/>
  <c r="AD86" i="6"/>
  <c r="AE85" i="5"/>
  <c r="K85" i="5" s="1"/>
  <c r="D82" i="25"/>
  <c r="AG85" i="25"/>
  <c r="J85" i="25" s="1"/>
  <c r="AG84" i="25"/>
  <c r="J84" i="25" s="1"/>
  <c r="W84" i="25" s="1"/>
  <c r="W87" i="24"/>
  <c r="AN87" i="24"/>
  <c r="AA84" i="24"/>
  <c r="AL87" i="25"/>
  <c r="N86" i="25"/>
  <c r="E86" i="25" s="1"/>
  <c r="E85" i="24"/>
  <c r="AP86" i="24"/>
  <c r="AQ86" i="24" s="1"/>
  <c r="L86" i="24" s="1"/>
  <c r="N86" i="24"/>
  <c r="O86" i="24" s="1"/>
  <c r="G86" i="24" s="1"/>
  <c r="S87" i="25"/>
  <c r="X85" i="19"/>
  <c r="B88" i="24"/>
  <c r="B88" i="25"/>
  <c r="AN88" i="25" s="1"/>
  <c r="A89" i="24"/>
  <c r="H87" i="19"/>
  <c r="H88" i="19" s="1"/>
  <c r="A89" i="25"/>
  <c r="T87" i="19"/>
  <c r="AI86" i="24"/>
  <c r="AM86" i="24"/>
  <c r="AA85" i="24"/>
  <c r="AO86" i="25"/>
  <c r="AP86" i="25" s="1"/>
  <c r="K86" i="25" s="1"/>
  <c r="O85" i="25"/>
  <c r="G85" i="25" s="1"/>
  <c r="Q86" i="24"/>
  <c r="H86" i="24" s="1"/>
  <c r="AJ86" i="24" s="1"/>
  <c r="U86" i="24"/>
  <c r="I86" i="24" s="1"/>
  <c r="C87" i="24"/>
  <c r="Q87" i="24" s="1"/>
  <c r="H87" i="24" s="1"/>
  <c r="AJ87" i="24" s="1"/>
  <c r="C87" i="25"/>
  <c r="AH87" i="25" s="1"/>
  <c r="AH86" i="25"/>
  <c r="AK86" i="25"/>
  <c r="AR86" i="25"/>
  <c r="L86" i="25" s="1"/>
  <c r="R86" i="25"/>
  <c r="H86" i="25" s="1"/>
  <c r="AJ86" i="25"/>
  <c r="AI86" i="25"/>
  <c r="D83" i="25"/>
  <c r="AG88" i="24"/>
  <c r="Q88" i="25"/>
  <c r="D314" i="9"/>
  <c r="AC88" i="24"/>
  <c r="S88" i="24"/>
  <c r="T88" i="24"/>
  <c r="AR88" i="24"/>
  <c r="X88" i="25"/>
  <c r="AH89" i="24"/>
  <c r="AB88" i="25"/>
  <c r="D313" i="14"/>
  <c r="AB88" i="24"/>
  <c r="AE88" i="25"/>
  <c r="AF88" i="24"/>
  <c r="AA88" i="25"/>
  <c r="P88" i="25"/>
  <c r="Y88" i="25"/>
  <c r="R88" i="24"/>
  <c r="Z88" i="25"/>
  <c r="AC88" i="25"/>
  <c r="AF89" i="25"/>
  <c r="AQ88" i="25"/>
  <c r="AD88" i="24"/>
  <c r="AD88" i="25"/>
  <c r="AE88" i="24"/>
  <c r="AS88" i="25"/>
  <c r="AQ88" i="6" l="1"/>
  <c r="AR88" i="7"/>
  <c r="AP88" i="5"/>
  <c r="AY88" i="8"/>
  <c r="AW88" i="11"/>
  <c r="AO88" i="13"/>
  <c r="AY88" i="12"/>
  <c r="V85" i="25"/>
  <c r="V84" i="25"/>
  <c r="I84" i="25" s="1"/>
  <c r="M84" i="25" s="1"/>
  <c r="F84" i="25" s="1"/>
  <c r="P81" i="19" s="1"/>
  <c r="BA87" i="12"/>
  <c r="AQ87" i="13"/>
  <c r="AY87" i="11"/>
  <c r="AS87" i="6"/>
  <c r="BA87" i="8"/>
  <c r="AR87" i="5"/>
  <c r="AT87" i="7"/>
  <c r="AP87" i="13"/>
  <c r="AZ87" i="12"/>
  <c r="AX87" i="11"/>
  <c r="AZ87" i="8"/>
  <c r="AS87" i="7"/>
  <c r="AQ87" i="5"/>
  <c r="AR87" i="6"/>
  <c r="M86" i="19"/>
  <c r="I86" i="19"/>
  <c r="M87" i="19"/>
  <c r="I87" i="19"/>
  <c r="J85" i="19"/>
  <c r="O85" i="19"/>
  <c r="K85" i="19"/>
  <c r="N85" i="19"/>
  <c r="T88" i="19"/>
  <c r="X86" i="19"/>
  <c r="A91" i="24"/>
  <c r="A91" i="25"/>
  <c r="H89" i="19"/>
  <c r="AO89" i="24"/>
  <c r="J86" i="12"/>
  <c r="W86" i="12" s="1"/>
  <c r="J86" i="13"/>
  <c r="W85" i="5"/>
  <c r="T87" i="5"/>
  <c r="I87" i="5" s="1"/>
  <c r="AC87" i="5"/>
  <c r="Q87" i="5"/>
  <c r="H87" i="5" s="1"/>
  <c r="AD87" i="5"/>
  <c r="U87" i="8"/>
  <c r="I87" i="8" s="1"/>
  <c r="AK87" i="8"/>
  <c r="AJ87" i="8"/>
  <c r="AI87" i="8"/>
  <c r="Q87" i="8"/>
  <c r="H87" i="8" s="1"/>
  <c r="J86" i="11"/>
  <c r="W86" i="11" s="1"/>
  <c r="Q87" i="7"/>
  <c r="H87" i="7" s="1"/>
  <c r="T87" i="7"/>
  <c r="I87" i="7" s="1"/>
  <c r="AH87" i="7" s="1"/>
  <c r="AE87" i="7"/>
  <c r="AG87" i="7"/>
  <c r="J85" i="8"/>
  <c r="AL85" i="8" s="1"/>
  <c r="K85" i="8" s="1"/>
  <c r="R87" i="13"/>
  <c r="H87" i="13" s="1"/>
  <c r="AB87" i="13" s="1"/>
  <c r="AD87" i="13"/>
  <c r="AH87" i="13"/>
  <c r="L87" i="13" s="1"/>
  <c r="AC87" i="13"/>
  <c r="Z86" i="8"/>
  <c r="AA86" i="8"/>
  <c r="AE86" i="5"/>
  <c r="K86" i="5" s="1"/>
  <c r="R87" i="12"/>
  <c r="H87" i="12" s="1"/>
  <c r="AJ87" i="12"/>
  <c r="AR87" i="12"/>
  <c r="L87" i="12" s="1"/>
  <c r="AI87" i="12"/>
  <c r="AK87" i="12"/>
  <c r="AH87" i="12"/>
  <c r="AG87" i="12"/>
  <c r="Y86" i="7"/>
  <c r="AF86" i="7"/>
  <c r="K86" i="7" s="1"/>
  <c r="X86" i="7"/>
  <c r="AP87" i="11"/>
  <c r="L87" i="11" s="1"/>
  <c r="AF87" i="11"/>
  <c r="AI87" i="11"/>
  <c r="AH87" i="11"/>
  <c r="AG87" i="11"/>
  <c r="R87" i="11"/>
  <c r="H87" i="11" s="1"/>
  <c r="J85" i="7"/>
  <c r="K86" i="6"/>
  <c r="AE87" i="6"/>
  <c r="AG87" i="6"/>
  <c r="W87" i="6"/>
  <c r="J87" i="6" s="1"/>
  <c r="AF87" i="6"/>
  <c r="T87" i="6"/>
  <c r="I87" i="6" s="1"/>
  <c r="AD87" i="6"/>
  <c r="Q87" i="6"/>
  <c r="H87" i="6" s="1"/>
  <c r="AC87" i="6"/>
  <c r="W85" i="25"/>
  <c r="AG86" i="25"/>
  <c r="J86" i="25" s="1"/>
  <c r="AM88" i="25"/>
  <c r="O86" i="25"/>
  <c r="G86" i="25" s="1"/>
  <c r="W88" i="24"/>
  <c r="AN88" i="24"/>
  <c r="AM87" i="24"/>
  <c r="N87" i="25"/>
  <c r="E87" i="25" s="1"/>
  <c r="C88" i="24"/>
  <c r="Q88" i="24" s="1"/>
  <c r="H88" i="24" s="1"/>
  <c r="E86" i="24"/>
  <c r="N87" i="24"/>
  <c r="O87" i="24" s="1"/>
  <c r="G87" i="24" s="1"/>
  <c r="AP87" i="24"/>
  <c r="AQ87" i="24" s="1"/>
  <c r="L87" i="24" s="1"/>
  <c r="C88" i="25"/>
  <c r="AJ88" i="25" s="1"/>
  <c r="V88" i="24"/>
  <c r="AL88" i="25"/>
  <c r="S88" i="25"/>
  <c r="B89" i="24"/>
  <c r="B89" i="25"/>
  <c r="AN89" i="25" s="1"/>
  <c r="A90" i="25"/>
  <c r="A90" i="24"/>
  <c r="AJ87" i="25"/>
  <c r="AK87" i="25"/>
  <c r="AO87" i="25"/>
  <c r="AP87" i="25" s="1"/>
  <c r="K87" i="25" s="1"/>
  <c r="U87" i="24"/>
  <c r="I87" i="24" s="1"/>
  <c r="AK87" i="24" s="1"/>
  <c r="R87" i="25"/>
  <c r="H87" i="25" s="1"/>
  <c r="AI87" i="24"/>
  <c r="AI87" i="25"/>
  <c r="AR87" i="25"/>
  <c r="L87" i="25" s="1"/>
  <c r="AK86" i="24"/>
  <c r="AA86" i="24"/>
  <c r="AP42" i="11"/>
  <c r="L42" i="11" s="1"/>
  <c r="R42" i="11"/>
  <c r="H42" i="11" s="1"/>
  <c r="AH42" i="11"/>
  <c r="AF42" i="11"/>
  <c r="AI42" i="11"/>
  <c r="AG42" i="11"/>
  <c r="AP69" i="11"/>
  <c r="L69" i="11" s="1"/>
  <c r="AF69" i="11"/>
  <c r="AH69" i="11"/>
  <c r="AI69" i="11"/>
  <c r="AG69" i="11"/>
  <c r="R69" i="11"/>
  <c r="H69" i="11" s="1"/>
  <c r="AP56" i="11"/>
  <c r="L56" i="11" s="1"/>
  <c r="AI56" i="11"/>
  <c r="R56" i="11"/>
  <c r="H56" i="11" s="1"/>
  <c r="AG56" i="11"/>
  <c r="AF56" i="11"/>
  <c r="AH56" i="11"/>
  <c r="AP53" i="11"/>
  <c r="L53" i="11" s="1"/>
  <c r="AG53" i="11"/>
  <c r="AH53" i="11"/>
  <c r="AF53" i="11"/>
  <c r="AI53" i="11"/>
  <c r="R53" i="11"/>
  <c r="H53" i="11" s="1"/>
  <c r="AP40" i="11"/>
  <c r="L40" i="11" s="1"/>
  <c r="AG40" i="11"/>
  <c r="AH40" i="11"/>
  <c r="AF40" i="11"/>
  <c r="R40" i="11"/>
  <c r="H40" i="11" s="1"/>
  <c r="AI40" i="11"/>
  <c r="AP31" i="11"/>
  <c r="L31" i="11" s="1"/>
  <c r="AH31" i="11"/>
  <c r="AF31" i="11"/>
  <c r="R31" i="11"/>
  <c r="H31" i="11" s="1"/>
  <c r="AI31" i="11"/>
  <c r="AG31" i="11"/>
  <c r="AP30" i="11"/>
  <c r="L30" i="11" s="1"/>
  <c r="AG30" i="11"/>
  <c r="R30" i="11"/>
  <c r="H30" i="11" s="1"/>
  <c r="AI30" i="11"/>
  <c r="AH30" i="11"/>
  <c r="AF30" i="11"/>
  <c r="AP21" i="11"/>
  <c r="L21" i="11" s="1"/>
  <c r="AI21" i="11"/>
  <c r="AG21" i="11"/>
  <c r="AF21" i="11"/>
  <c r="AH21" i="11"/>
  <c r="R21" i="11"/>
  <c r="H21" i="11" s="1"/>
  <c r="AP19" i="11"/>
  <c r="L19" i="11" s="1"/>
  <c r="AF19" i="11"/>
  <c r="R19" i="11"/>
  <c r="H19" i="11" s="1"/>
  <c r="AI19" i="11"/>
  <c r="AH19" i="11"/>
  <c r="AG19" i="11"/>
  <c r="AP12" i="11"/>
  <c r="L12" i="11" s="1"/>
  <c r="AI12" i="11"/>
  <c r="AG12" i="11"/>
  <c r="R12" i="11"/>
  <c r="H12" i="11" s="1"/>
  <c r="AH12" i="11"/>
  <c r="AF12" i="11"/>
  <c r="AP57" i="11"/>
  <c r="L57" i="11" s="1"/>
  <c r="AG57" i="11"/>
  <c r="R57" i="11"/>
  <c r="H57" i="11" s="1"/>
  <c r="AI57" i="11"/>
  <c r="AH57" i="11"/>
  <c r="AF57" i="11"/>
  <c r="AP47" i="11"/>
  <c r="L47" i="11" s="1"/>
  <c r="AH47" i="11"/>
  <c r="R47" i="11"/>
  <c r="H47" i="11" s="1"/>
  <c r="AI47" i="11"/>
  <c r="AG47" i="11"/>
  <c r="AF47" i="11"/>
  <c r="AP41" i="11"/>
  <c r="L41" i="11" s="1"/>
  <c r="AF41" i="11"/>
  <c r="AH41" i="11"/>
  <c r="AI41" i="11"/>
  <c r="AG41" i="11"/>
  <c r="R41" i="11"/>
  <c r="H41" i="11" s="1"/>
  <c r="AP36" i="11"/>
  <c r="L36" i="11" s="1"/>
  <c r="AI36" i="11"/>
  <c r="R36" i="11"/>
  <c r="H36" i="11" s="1"/>
  <c r="AF36" i="11"/>
  <c r="AG36" i="11"/>
  <c r="AH36" i="11"/>
  <c r="AP27" i="11"/>
  <c r="L27" i="11" s="1"/>
  <c r="R27" i="11"/>
  <c r="H27" i="11" s="1"/>
  <c r="AH27" i="11"/>
  <c r="AI27" i="11"/>
  <c r="AG27" i="11"/>
  <c r="AF27" i="11"/>
  <c r="AP22" i="11"/>
  <c r="L22" i="11" s="1"/>
  <c r="AH22" i="11"/>
  <c r="AG22" i="11"/>
  <c r="AF22" i="11"/>
  <c r="AI22" i="11"/>
  <c r="R22" i="11"/>
  <c r="H22" i="11" s="1"/>
  <c r="AP16" i="11"/>
  <c r="L16" i="11" s="1"/>
  <c r="AH16" i="11"/>
  <c r="AI16" i="11"/>
  <c r="AF16" i="11"/>
  <c r="AG16" i="11"/>
  <c r="R16" i="11"/>
  <c r="H16" i="11" s="1"/>
  <c r="AP14" i="11"/>
  <c r="L14" i="11" s="1"/>
  <c r="AG14" i="11"/>
  <c r="AF14" i="11"/>
  <c r="AH14" i="11"/>
  <c r="R14" i="11"/>
  <c r="H14" i="11" s="1"/>
  <c r="AI14" i="11"/>
  <c r="AP11" i="11"/>
  <c r="L11" i="11" s="1"/>
  <c r="R11" i="11"/>
  <c r="H11" i="11" s="1"/>
  <c r="AF11" i="11"/>
  <c r="AI11" i="11"/>
  <c r="AH11" i="11"/>
  <c r="AG11" i="11"/>
  <c r="AP49" i="11"/>
  <c r="L49" i="11" s="1"/>
  <c r="AI49" i="11"/>
  <c r="AH49" i="11"/>
  <c r="AG49" i="11"/>
  <c r="AF49" i="11"/>
  <c r="R49" i="11"/>
  <c r="H49" i="11" s="1"/>
  <c r="AP73" i="11"/>
  <c r="L73" i="11" s="1"/>
  <c r="R73" i="11"/>
  <c r="H73" i="11" s="1"/>
  <c r="AG73" i="11"/>
  <c r="AF73" i="11"/>
  <c r="AH73" i="11"/>
  <c r="AI73" i="11"/>
  <c r="AP64" i="11"/>
  <c r="L64" i="11" s="1"/>
  <c r="AH64" i="11"/>
  <c r="R64" i="11"/>
  <c r="H64" i="11" s="1"/>
  <c r="AG64" i="11"/>
  <c r="AF64" i="11"/>
  <c r="AI64" i="11"/>
  <c r="AP62" i="11"/>
  <c r="L62" i="11" s="1"/>
  <c r="AG62" i="11"/>
  <c r="AH62" i="11"/>
  <c r="R62" i="11"/>
  <c r="H62" i="11" s="1"/>
  <c r="AI62" i="11"/>
  <c r="AF62" i="11"/>
  <c r="AP39" i="11"/>
  <c r="L39" i="11" s="1"/>
  <c r="R39" i="11"/>
  <c r="H39" i="11" s="1"/>
  <c r="AH39" i="11"/>
  <c r="AF39" i="11"/>
  <c r="AI39" i="11"/>
  <c r="AG39" i="11"/>
  <c r="AP34" i="11"/>
  <c r="L34" i="11" s="1"/>
  <c r="AH34" i="11"/>
  <c r="AF34" i="11"/>
  <c r="R34" i="11"/>
  <c r="H34" i="11" s="1"/>
  <c r="AI34" i="11"/>
  <c r="AG34" i="11"/>
  <c r="AP10" i="11"/>
  <c r="L10" i="11" s="1"/>
  <c r="AG10" i="11"/>
  <c r="AF10" i="11"/>
  <c r="AH10" i="11"/>
  <c r="AI10" i="11"/>
  <c r="R10" i="11"/>
  <c r="H10" i="11" s="1"/>
  <c r="AP67" i="11"/>
  <c r="L67" i="11" s="1"/>
  <c r="AI67" i="11"/>
  <c r="AH67" i="11"/>
  <c r="AF67" i="11"/>
  <c r="AG67" i="11"/>
  <c r="R67" i="11"/>
  <c r="AP60" i="11"/>
  <c r="L60" i="11" s="1"/>
  <c r="AH60" i="11"/>
  <c r="AI60" i="11"/>
  <c r="AF60" i="11"/>
  <c r="AG60" i="11"/>
  <c r="R60" i="11"/>
  <c r="H60" i="11" s="1"/>
  <c r="AP54" i="11"/>
  <c r="L54" i="11" s="1"/>
  <c r="AH54" i="11"/>
  <c r="AG54" i="11"/>
  <c r="AF54" i="11"/>
  <c r="R54" i="11"/>
  <c r="H54" i="11" s="1"/>
  <c r="AI54" i="11"/>
  <c r="AP50" i="11"/>
  <c r="L50" i="11" s="1"/>
  <c r="AI50" i="11"/>
  <c r="AH50" i="11"/>
  <c r="AF50" i="11"/>
  <c r="R50" i="11"/>
  <c r="H50" i="11" s="1"/>
  <c r="AG50" i="11"/>
  <c r="AP45" i="11"/>
  <c r="L45" i="11" s="1"/>
  <c r="AI45" i="11"/>
  <c r="AH45" i="11"/>
  <c r="R45" i="11"/>
  <c r="H45" i="11" s="1"/>
  <c r="AF45" i="11"/>
  <c r="AG45" i="11"/>
  <c r="AP37" i="11"/>
  <c r="L37" i="11" s="1"/>
  <c r="AI37" i="11"/>
  <c r="AF37" i="11"/>
  <c r="AG37" i="11"/>
  <c r="R37" i="11"/>
  <c r="H37" i="11" s="1"/>
  <c r="AH37" i="11"/>
  <c r="AP28" i="11"/>
  <c r="L28" i="11" s="1"/>
  <c r="AH28" i="11"/>
  <c r="R28" i="11"/>
  <c r="H28" i="11" s="1"/>
  <c r="AF28" i="11"/>
  <c r="AG28" i="11"/>
  <c r="AI28" i="11"/>
  <c r="AP26" i="11"/>
  <c r="L26" i="11" s="1"/>
  <c r="AH26" i="11"/>
  <c r="AI26" i="11"/>
  <c r="R26" i="11"/>
  <c r="H26" i="11" s="1"/>
  <c r="AF26" i="11"/>
  <c r="AG26" i="11"/>
  <c r="AP17" i="11"/>
  <c r="L17" i="11" s="1"/>
  <c r="AH17" i="11"/>
  <c r="AI17" i="11"/>
  <c r="R17" i="11"/>
  <c r="H17" i="11" s="1"/>
  <c r="AG17" i="11"/>
  <c r="AF17" i="11"/>
  <c r="AP13" i="11"/>
  <c r="L13" i="11" s="1"/>
  <c r="AG13" i="11"/>
  <c r="R13" i="11"/>
  <c r="H13" i="11" s="1"/>
  <c r="AI13" i="11"/>
  <c r="AF13" i="11"/>
  <c r="AH13" i="11"/>
  <c r="AP59" i="11"/>
  <c r="L59" i="11" s="1"/>
  <c r="AF59" i="11"/>
  <c r="AI59" i="11"/>
  <c r="AG59" i="11"/>
  <c r="AH59" i="11"/>
  <c r="R59" i="11"/>
  <c r="H59" i="11" s="1"/>
  <c r="AP7" i="11"/>
  <c r="L7" i="11" s="1"/>
  <c r="AH7" i="11"/>
  <c r="AG7" i="11"/>
  <c r="AF7" i="11"/>
  <c r="AI7" i="11"/>
  <c r="R7" i="11"/>
  <c r="H7" i="11" s="1"/>
  <c r="AP70" i="11"/>
  <c r="L70" i="11" s="1"/>
  <c r="AF70" i="11"/>
  <c r="AH70" i="11"/>
  <c r="AG70" i="11"/>
  <c r="AI70" i="11"/>
  <c r="R70" i="11"/>
  <c r="H70" i="11" s="1"/>
  <c r="AP66" i="11"/>
  <c r="L66" i="11" s="1"/>
  <c r="AH66" i="11"/>
  <c r="AG66" i="11"/>
  <c r="R66" i="11"/>
  <c r="H66" i="11" s="1"/>
  <c r="AI66" i="11"/>
  <c r="AF66" i="11"/>
  <c r="AP51" i="11"/>
  <c r="L51" i="11" s="1"/>
  <c r="R51" i="11"/>
  <c r="H51" i="11" s="1"/>
  <c r="AG51" i="11"/>
  <c r="AH51" i="11"/>
  <c r="AF51" i="11"/>
  <c r="AI51" i="11"/>
  <c r="AP46" i="11"/>
  <c r="L46" i="11" s="1"/>
  <c r="R46" i="11"/>
  <c r="H46" i="11" s="1"/>
  <c r="AG46" i="11"/>
  <c r="AI46" i="11"/>
  <c r="AF46" i="11"/>
  <c r="AH46" i="11"/>
  <c r="AP29" i="11"/>
  <c r="L29" i="11" s="1"/>
  <c r="AF29" i="11"/>
  <c r="AI29" i="11"/>
  <c r="R29" i="11"/>
  <c r="H29" i="11" s="1"/>
  <c r="AG29" i="11"/>
  <c r="AH29" i="11"/>
  <c r="AP18" i="11"/>
  <c r="L18" i="11" s="1"/>
  <c r="R18" i="11"/>
  <c r="H18" i="11" s="1"/>
  <c r="AF18" i="11"/>
  <c r="AH18" i="11"/>
  <c r="AG18" i="11"/>
  <c r="AI18" i="11"/>
  <c r="AP74" i="11"/>
  <c r="L74" i="11" s="1"/>
  <c r="AG74" i="11"/>
  <c r="AI74" i="11"/>
  <c r="AH74" i="11"/>
  <c r="AF74" i="11"/>
  <c r="R74" i="11"/>
  <c r="H74" i="11" s="1"/>
  <c r="AP65" i="11"/>
  <c r="L65" i="11" s="1"/>
  <c r="AI65" i="11"/>
  <c r="AF65" i="11"/>
  <c r="R65" i="11"/>
  <c r="H65" i="11" s="1"/>
  <c r="AH65" i="11"/>
  <c r="AG65" i="11"/>
  <c r="AP55" i="11"/>
  <c r="L55" i="11" s="1"/>
  <c r="AF55" i="11"/>
  <c r="AI55" i="11"/>
  <c r="AH55" i="11"/>
  <c r="R55" i="11"/>
  <c r="H55" i="11" s="1"/>
  <c r="AG55" i="11"/>
  <c r="AP25" i="11"/>
  <c r="L25" i="11" s="1"/>
  <c r="R25" i="11"/>
  <c r="H25" i="11" s="1"/>
  <c r="AH25" i="11"/>
  <c r="AI25" i="11"/>
  <c r="AF25" i="11"/>
  <c r="AG25" i="11"/>
  <c r="AP24" i="11"/>
  <c r="L24" i="11" s="1"/>
  <c r="AF24" i="11"/>
  <c r="AH24" i="11"/>
  <c r="AI24" i="11"/>
  <c r="R24" i="11"/>
  <c r="H24" i="11" s="1"/>
  <c r="AG24" i="11"/>
  <c r="AP8" i="11"/>
  <c r="L8" i="11" s="1"/>
  <c r="AG8" i="11"/>
  <c r="AF8" i="11"/>
  <c r="AI8" i="11"/>
  <c r="AH8" i="11"/>
  <c r="R8" i="11"/>
  <c r="H8" i="11" s="1"/>
  <c r="AP35" i="11"/>
  <c r="L35" i="11" s="1"/>
  <c r="AG35" i="11"/>
  <c r="AH35" i="11"/>
  <c r="R35" i="11"/>
  <c r="H35" i="11" s="1"/>
  <c r="AI35" i="11"/>
  <c r="AF35" i="11"/>
  <c r="AP68" i="11"/>
  <c r="L68" i="11" s="1"/>
  <c r="AH68" i="11"/>
  <c r="AI68" i="11"/>
  <c r="AF68" i="11"/>
  <c r="AG68" i="11"/>
  <c r="R68" i="11"/>
  <c r="H68" i="11" s="1"/>
  <c r="AP63" i="11"/>
  <c r="L63" i="11" s="1"/>
  <c r="AF63" i="11"/>
  <c r="R63" i="11"/>
  <c r="H63" i="11" s="1"/>
  <c r="AI63" i="11"/>
  <c r="AG63" i="11"/>
  <c r="AH63" i="11"/>
  <c r="AP48" i="11"/>
  <c r="L48" i="11" s="1"/>
  <c r="AF48" i="11"/>
  <c r="AH48" i="11"/>
  <c r="AI48" i="11"/>
  <c r="AG48" i="11"/>
  <c r="R48" i="11"/>
  <c r="H48" i="11" s="1"/>
  <c r="AP33" i="11"/>
  <c r="L33" i="11" s="1"/>
  <c r="AI33" i="11"/>
  <c r="AF33" i="11"/>
  <c r="AH33" i="11"/>
  <c r="AG33" i="11"/>
  <c r="R33" i="11"/>
  <c r="H33" i="11" s="1"/>
  <c r="AP20" i="11"/>
  <c r="L20" i="11" s="1"/>
  <c r="R20" i="11"/>
  <c r="H20" i="11" s="1"/>
  <c r="AG20" i="11"/>
  <c r="AF20" i="11"/>
  <c r="AI20" i="11"/>
  <c r="AH20" i="11"/>
  <c r="AP71" i="11"/>
  <c r="L71" i="11" s="1"/>
  <c r="AH71" i="11"/>
  <c r="R71" i="11"/>
  <c r="H71" i="11" s="1"/>
  <c r="AF71" i="11"/>
  <c r="AI71" i="11"/>
  <c r="AG71" i="11"/>
  <c r="AP61" i="11"/>
  <c r="L61" i="11" s="1"/>
  <c r="AG61" i="11"/>
  <c r="AF61" i="11"/>
  <c r="AI61" i="11"/>
  <c r="AH61" i="11"/>
  <c r="R61" i="11"/>
  <c r="H61" i="11" s="1"/>
  <c r="AP58" i="11"/>
  <c r="L58" i="11" s="1"/>
  <c r="AF58" i="11"/>
  <c r="AH58" i="11"/>
  <c r="AG58" i="11"/>
  <c r="R58" i="11"/>
  <c r="H58" i="11" s="1"/>
  <c r="AI58" i="11"/>
  <c r="AP52" i="11"/>
  <c r="L52" i="11" s="1"/>
  <c r="AH52" i="11"/>
  <c r="AI52" i="11"/>
  <c r="R52" i="11"/>
  <c r="H52" i="11" s="1"/>
  <c r="AG52" i="11"/>
  <c r="AF52" i="11"/>
  <c r="AP44" i="11"/>
  <c r="L44" i="11" s="1"/>
  <c r="AH44" i="11"/>
  <c r="AI44" i="11"/>
  <c r="AF44" i="11"/>
  <c r="R44" i="11"/>
  <c r="H44" i="11" s="1"/>
  <c r="AG44" i="11"/>
  <c r="AP43" i="11"/>
  <c r="L43" i="11" s="1"/>
  <c r="R43" i="11"/>
  <c r="H43" i="11" s="1"/>
  <c r="AG43" i="11"/>
  <c r="AI43" i="11"/>
  <c r="AH43" i="11"/>
  <c r="AF43" i="11"/>
  <c r="AP38" i="11"/>
  <c r="L38" i="11" s="1"/>
  <c r="R38" i="11"/>
  <c r="H38" i="11" s="1"/>
  <c r="AI38" i="11"/>
  <c r="AF38" i="11"/>
  <c r="AG38" i="11"/>
  <c r="AH38" i="11"/>
  <c r="AP32" i="11"/>
  <c r="L32" i="11" s="1"/>
  <c r="R32" i="11"/>
  <c r="H32" i="11" s="1"/>
  <c r="AF32" i="11"/>
  <c r="AI32" i="11"/>
  <c r="AG32" i="11"/>
  <c r="AH32" i="11"/>
  <c r="AP23" i="11"/>
  <c r="L23" i="11" s="1"/>
  <c r="R23" i="11"/>
  <c r="H23" i="11" s="1"/>
  <c r="AH23" i="11"/>
  <c r="AI23" i="11"/>
  <c r="AF23" i="11"/>
  <c r="AG23" i="11"/>
  <c r="AP15" i="11"/>
  <c r="L15" i="11" s="1"/>
  <c r="AI15" i="11"/>
  <c r="AH15" i="11"/>
  <c r="AG15" i="11"/>
  <c r="AF15" i="11"/>
  <c r="R15" i="11"/>
  <c r="H15" i="11" s="1"/>
  <c r="AP9" i="11"/>
  <c r="L9" i="11" s="1"/>
  <c r="AG9" i="11"/>
  <c r="AI9" i="11"/>
  <c r="AH9" i="11"/>
  <c r="AF9" i="11"/>
  <c r="R9" i="11"/>
  <c r="H9" i="11" s="1"/>
  <c r="AR89" i="24"/>
  <c r="S91" i="24"/>
  <c r="AD91" i="25"/>
  <c r="Z91" i="25"/>
  <c r="D315" i="9"/>
  <c r="AG89" i="24"/>
  <c r="AB89" i="25"/>
  <c r="AB90" i="24"/>
  <c r="Q91" i="25"/>
  <c r="AQ90" i="25"/>
  <c r="Q89" i="25"/>
  <c r="AB91" i="24"/>
  <c r="AA91" i="25"/>
  <c r="AS91" i="25"/>
  <c r="X91" i="25"/>
  <c r="R91" i="24"/>
  <c r="T89" i="24"/>
  <c r="AE91" i="24"/>
  <c r="AF91" i="24"/>
  <c r="AC91" i="25"/>
  <c r="AH90" i="24"/>
  <c r="T91" i="24"/>
  <c r="Y89" i="25"/>
  <c r="Z89" i="25"/>
  <c r="AG91" i="24"/>
  <c r="R89" i="24"/>
  <c r="AF90" i="25"/>
  <c r="AE89" i="25"/>
  <c r="AR91" i="24"/>
  <c r="AC89" i="24"/>
  <c r="AD91" i="24"/>
  <c r="S89" i="24"/>
  <c r="AE91" i="25"/>
  <c r="AC91" i="24"/>
  <c r="AA89" i="25"/>
  <c r="AC89" i="25"/>
  <c r="AF91" i="25"/>
  <c r="D314" i="14"/>
  <c r="AF89" i="24"/>
  <c r="AB91" i="25"/>
  <c r="AQ91" i="25"/>
  <c r="R90" i="24"/>
  <c r="AB89" i="24"/>
  <c r="P91" i="25"/>
  <c r="AQ89" i="25"/>
  <c r="AH91" i="24"/>
  <c r="Y91" i="25"/>
  <c r="AE89" i="24"/>
  <c r="AS89" i="25"/>
  <c r="P89" i="25"/>
  <c r="AD89" i="24"/>
  <c r="AD89" i="25"/>
  <c r="X89" i="25"/>
  <c r="C89" i="25" l="1"/>
  <c r="AW89" i="11"/>
  <c r="AO89" i="13"/>
  <c r="AY89" i="12"/>
  <c r="AQ90" i="6"/>
  <c r="AY90" i="8"/>
  <c r="AP90" i="5"/>
  <c r="AR90" i="7"/>
  <c r="AY90" i="12"/>
  <c r="AW90" i="11"/>
  <c r="AO90" i="13"/>
  <c r="C89" i="24"/>
  <c r="Q89" i="24" s="1"/>
  <c r="H89" i="24" s="1"/>
  <c r="AJ89" i="24" s="1"/>
  <c r="AQ89" i="6"/>
  <c r="AR89" i="7"/>
  <c r="AP89" i="5"/>
  <c r="AY89" i="8"/>
  <c r="V86" i="25"/>
  <c r="AY88" i="11"/>
  <c r="AQ88" i="13"/>
  <c r="BA88" i="12"/>
  <c r="BA88" i="8"/>
  <c r="AS88" i="6"/>
  <c r="AR88" i="5"/>
  <c r="AT88" i="7"/>
  <c r="AX88" i="11"/>
  <c r="AP88" i="13"/>
  <c r="AZ88" i="12"/>
  <c r="AR88" i="6"/>
  <c r="AS88" i="7"/>
  <c r="AZ88" i="8"/>
  <c r="AQ88" i="5"/>
  <c r="X87" i="19"/>
  <c r="X88" i="19" s="1"/>
  <c r="O86" i="19"/>
  <c r="J86" i="19"/>
  <c r="N86" i="19"/>
  <c r="N89" i="25" s="1"/>
  <c r="K86" i="19"/>
  <c r="M88" i="19"/>
  <c r="I88" i="19"/>
  <c r="AE89" i="7"/>
  <c r="T89" i="6"/>
  <c r="I89" i="6" s="1"/>
  <c r="Q89" i="5"/>
  <c r="H89" i="5" s="1"/>
  <c r="O89" i="13"/>
  <c r="G89" i="13" s="1"/>
  <c r="U89" i="8"/>
  <c r="I89" i="8" s="1"/>
  <c r="AH89" i="11"/>
  <c r="AI89" i="12"/>
  <c r="AO90" i="24"/>
  <c r="A92" i="24"/>
  <c r="A92" i="25"/>
  <c r="H90" i="19"/>
  <c r="H91" i="19" s="1"/>
  <c r="B91" i="25"/>
  <c r="AM91" i="25" s="1"/>
  <c r="AL91" i="25"/>
  <c r="B91" i="24"/>
  <c r="V91" i="24" s="1"/>
  <c r="AO91" i="24"/>
  <c r="W91" i="24"/>
  <c r="AN91" i="24"/>
  <c r="AM91" i="24"/>
  <c r="T89" i="19"/>
  <c r="J87" i="12"/>
  <c r="W87" i="12" s="1"/>
  <c r="J86" i="7"/>
  <c r="J87" i="13"/>
  <c r="AC88" i="13"/>
  <c r="AD88" i="13"/>
  <c r="AH88" i="13"/>
  <c r="L88" i="13" s="1"/>
  <c r="O88" i="13"/>
  <c r="G88" i="13" s="1"/>
  <c r="R88" i="13"/>
  <c r="H88" i="13" s="1"/>
  <c r="AB88" i="13" s="1"/>
  <c r="AI88" i="11"/>
  <c r="O88" i="11"/>
  <c r="G88" i="11" s="1"/>
  <c r="AP88" i="11"/>
  <c r="L88" i="11" s="1"/>
  <c r="AH88" i="11"/>
  <c r="AG88" i="11"/>
  <c r="AF88" i="11"/>
  <c r="R88" i="11"/>
  <c r="H88" i="11" s="1"/>
  <c r="J87" i="11"/>
  <c r="W87" i="11" s="1"/>
  <c r="J86" i="8"/>
  <c r="AL86" i="8" s="1"/>
  <c r="K86" i="8" s="1"/>
  <c r="K87" i="6"/>
  <c r="W86" i="5"/>
  <c r="Y87" i="7"/>
  <c r="AF87" i="7"/>
  <c r="K87" i="7" s="1"/>
  <c r="X87" i="7"/>
  <c r="AI88" i="8"/>
  <c r="U88" i="8"/>
  <c r="I88" i="8" s="1"/>
  <c r="AJ88" i="8"/>
  <c r="Q88" i="8"/>
  <c r="H88" i="8" s="1"/>
  <c r="O88" i="8"/>
  <c r="G88" i="8" s="1"/>
  <c r="AK88" i="8"/>
  <c r="AJ88" i="12"/>
  <c r="AR88" i="12"/>
  <c r="L88" i="12" s="1"/>
  <c r="AI88" i="12"/>
  <c r="AH88" i="12"/>
  <c r="O88" i="12"/>
  <c r="G88" i="12" s="1"/>
  <c r="AG88" i="12"/>
  <c r="R88" i="12"/>
  <c r="H88" i="12" s="1"/>
  <c r="AK88" i="12"/>
  <c r="Q88" i="6"/>
  <c r="H88" i="6" s="1"/>
  <c r="O88" i="6"/>
  <c r="G88" i="6" s="1"/>
  <c r="W88" i="6"/>
  <c r="J88" i="6" s="1"/>
  <c r="T88" i="6"/>
  <c r="I88" i="6" s="1"/>
  <c r="AG88" i="6"/>
  <c r="AF88" i="6"/>
  <c r="AE88" i="6"/>
  <c r="AC88" i="6"/>
  <c r="AD88" i="6"/>
  <c r="AA87" i="8"/>
  <c r="Z87" i="8"/>
  <c r="AE87" i="5"/>
  <c r="K87" i="5" s="1"/>
  <c r="Q88" i="7"/>
  <c r="H88" i="7" s="1"/>
  <c r="O88" i="7"/>
  <c r="G88" i="7" s="1"/>
  <c r="AE88" i="7"/>
  <c r="T88" i="7"/>
  <c r="I88" i="7" s="1"/>
  <c r="AH88" i="7" s="1"/>
  <c r="AD88" i="5"/>
  <c r="O88" i="5"/>
  <c r="G88" i="5" s="1"/>
  <c r="T88" i="5"/>
  <c r="I88" i="5" s="1"/>
  <c r="Q88" i="5"/>
  <c r="H88" i="5" s="1"/>
  <c r="AC88" i="5"/>
  <c r="W86" i="25"/>
  <c r="AG87" i="25"/>
  <c r="J87" i="25" s="1"/>
  <c r="D84" i="25"/>
  <c r="AM89" i="25"/>
  <c r="J52" i="11"/>
  <c r="J66" i="11"/>
  <c r="J47" i="11"/>
  <c r="J49" i="11"/>
  <c r="J9" i="11"/>
  <c r="J61" i="11"/>
  <c r="J8" i="11"/>
  <c r="J65" i="11"/>
  <c r="J45" i="11"/>
  <c r="J10" i="11"/>
  <c r="J14" i="11"/>
  <c r="J31" i="11"/>
  <c r="W31" i="11" s="1"/>
  <c r="J56" i="11"/>
  <c r="J23" i="11"/>
  <c r="J74" i="11"/>
  <c r="W74" i="11" s="1"/>
  <c r="J51" i="11"/>
  <c r="W51" i="11" s="1"/>
  <c r="J48" i="11"/>
  <c r="J13" i="11"/>
  <c r="J11" i="11"/>
  <c r="J58" i="11"/>
  <c r="J20" i="11"/>
  <c r="W20" i="11" s="1"/>
  <c r="J68" i="11"/>
  <c r="W68" i="11" s="1"/>
  <c r="J55" i="11"/>
  <c r="J29" i="11"/>
  <c r="J70" i="11"/>
  <c r="J60" i="11"/>
  <c r="W60" i="11" s="1"/>
  <c r="J39" i="11"/>
  <c r="J22" i="11"/>
  <c r="J21" i="11"/>
  <c r="J53" i="11"/>
  <c r="J69" i="11"/>
  <c r="W69" i="11" s="1"/>
  <c r="J43" i="11"/>
  <c r="W43" i="11" s="1"/>
  <c r="J44" i="11"/>
  <c r="J71" i="11"/>
  <c r="J28" i="11"/>
  <c r="J54" i="11"/>
  <c r="J73" i="11"/>
  <c r="J16" i="11"/>
  <c r="J12" i="11"/>
  <c r="J40" i="11"/>
  <c r="J42" i="11"/>
  <c r="J38" i="11"/>
  <c r="J18" i="11"/>
  <c r="J37" i="11"/>
  <c r="J46" i="11"/>
  <c r="J26" i="11"/>
  <c r="J34" i="11"/>
  <c r="J64" i="11"/>
  <c r="J67" i="11"/>
  <c r="J33" i="11"/>
  <c r="W33" i="11" s="1"/>
  <c r="J25" i="11"/>
  <c r="J32" i="11"/>
  <c r="J15" i="11"/>
  <c r="W15" i="11" s="1"/>
  <c r="J63" i="11"/>
  <c r="J35" i="11"/>
  <c r="J24" i="11"/>
  <c r="J59" i="11"/>
  <c r="W59" i="11" s="1"/>
  <c r="J17" i="11"/>
  <c r="J50" i="11"/>
  <c r="J62" i="11"/>
  <c r="J27" i="11"/>
  <c r="J36" i="11"/>
  <c r="J41" i="11"/>
  <c r="J57" i="11"/>
  <c r="J19" i="11"/>
  <c r="J30" i="11"/>
  <c r="J7" i="11"/>
  <c r="W7" i="11" s="1"/>
  <c r="AM88" i="24"/>
  <c r="W89" i="24"/>
  <c r="AN89" i="24"/>
  <c r="AJ88" i="24"/>
  <c r="AM89" i="24"/>
  <c r="AI88" i="24"/>
  <c r="AK88" i="25"/>
  <c r="U88" i="24"/>
  <c r="I88" i="24" s="1"/>
  <c r="O87" i="25"/>
  <c r="G87" i="25" s="1"/>
  <c r="N88" i="25"/>
  <c r="E87" i="24"/>
  <c r="AO88" i="25"/>
  <c r="AP88" i="25" s="1"/>
  <c r="K88" i="25" s="1"/>
  <c r="AP88" i="24"/>
  <c r="AQ88" i="24" s="1"/>
  <c r="L88" i="24" s="1"/>
  <c r="N88" i="24"/>
  <c r="O88" i="24" s="1"/>
  <c r="G88" i="24" s="1"/>
  <c r="AI88" i="25"/>
  <c r="R88" i="25"/>
  <c r="H88" i="25" s="1"/>
  <c r="AH88" i="25"/>
  <c r="AR88" i="25"/>
  <c r="L88" i="25" s="1"/>
  <c r="AR89" i="25"/>
  <c r="L89" i="25" s="1"/>
  <c r="AL89" i="25"/>
  <c r="R89" i="25"/>
  <c r="V89" i="24"/>
  <c r="AI89" i="25"/>
  <c r="AJ89" i="25"/>
  <c r="AH89" i="25"/>
  <c r="S89" i="25"/>
  <c r="AK89" i="25"/>
  <c r="B90" i="24"/>
  <c r="B90" i="25"/>
  <c r="AN90" i="25" s="1"/>
  <c r="C90" i="24"/>
  <c r="C90" i="25"/>
  <c r="I85" i="25"/>
  <c r="M85" i="25" s="1"/>
  <c r="F85" i="25" s="1"/>
  <c r="P82" i="19" s="1"/>
  <c r="AA87" i="24"/>
  <c r="H67" i="11"/>
  <c r="Y92" i="25"/>
  <c r="Z92" i="25"/>
  <c r="R92" i="24"/>
  <c r="AA92" i="25"/>
  <c r="AB92" i="25"/>
  <c r="AE90" i="25"/>
  <c r="AE90" i="24"/>
  <c r="AB92" i="24"/>
  <c r="AD92" i="24"/>
  <c r="AE92" i="24"/>
  <c r="T90" i="24"/>
  <c r="T92" i="24"/>
  <c r="AS90" i="25"/>
  <c r="X90" i="25"/>
  <c r="AF92" i="25"/>
  <c r="AC90" i="24"/>
  <c r="P92" i="25"/>
  <c r="X92" i="25"/>
  <c r="AR92" i="24"/>
  <c r="P90" i="25"/>
  <c r="AS92" i="25"/>
  <c r="AB90" i="25"/>
  <c r="AR90" i="24"/>
  <c r="AF92" i="24"/>
  <c r="AG92" i="24"/>
  <c r="AQ92" i="25"/>
  <c r="AC92" i="25"/>
  <c r="AC90" i="25"/>
  <c r="D315" i="14"/>
  <c r="Q90" i="25"/>
  <c r="D316" i="9"/>
  <c r="AA90" i="25"/>
  <c r="AE92" i="25"/>
  <c r="S92" i="24"/>
  <c r="Y90" i="25"/>
  <c r="D317" i="9"/>
  <c r="AC92" i="24"/>
  <c r="AD90" i="25"/>
  <c r="Z90" i="25"/>
  <c r="AF90" i="24"/>
  <c r="AH92" i="24"/>
  <c r="D316" i="14"/>
  <c r="AD90" i="24"/>
  <c r="Q92" i="25"/>
  <c r="S90" i="24"/>
  <c r="AD92" i="25"/>
  <c r="AG90" i="24"/>
  <c r="C91" i="24" l="1"/>
  <c r="AI91" i="24" s="1"/>
  <c r="AY91" i="8"/>
  <c r="AR91" i="7"/>
  <c r="AP91" i="5"/>
  <c r="AQ91" i="6"/>
  <c r="AI89" i="24"/>
  <c r="C91" i="25"/>
  <c r="R91" i="25" s="1"/>
  <c r="AY91" i="12"/>
  <c r="AW91" i="11"/>
  <c r="AO91" i="13"/>
  <c r="U89" i="24"/>
  <c r="I89" i="24" s="1"/>
  <c r="O89" i="25"/>
  <c r="G89" i="25" s="1"/>
  <c r="E89" i="25"/>
  <c r="O88" i="25"/>
  <c r="G88" i="25" s="1"/>
  <c r="E88" i="25"/>
  <c r="V7" i="11"/>
  <c r="V87" i="25"/>
  <c r="AO89" i="25"/>
  <c r="AP89" i="25" s="1"/>
  <c r="K89" i="25" s="1"/>
  <c r="AQ89" i="13"/>
  <c r="AY89" i="11"/>
  <c r="BA89" i="12"/>
  <c r="BA89" i="8"/>
  <c r="AT89" i="7"/>
  <c r="AS89" i="6"/>
  <c r="AR89" i="5"/>
  <c r="AX89" i="11"/>
  <c r="AP89" i="13"/>
  <c r="AZ89" i="12"/>
  <c r="AQ89" i="5"/>
  <c r="AZ89" i="8"/>
  <c r="AR89" i="6"/>
  <c r="AS89" i="7"/>
  <c r="M89" i="19"/>
  <c r="I89" i="19"/>
  <c r="A94" i="25"/>
  <c r="H92" i="19"/>
  <c r="A94" i="24"/>
  <c r="N88" i="19"/>
  <c r="K88" i="19"/>
  <c r="J88" i="19"/>
  <c r="O88" i="19"/>
  <c r="AO91" i="25" s="1"/>
  <c r="AP91" i="25" s="1"/>
  <c r="K91" i="25" s="1"/>
  <c r="K87" i="19"/>
  <c r="J87" i="19"/>
  <c r="N87" i="19"/>
  <c r="O87" i="19"/>
  <c r="AP89" i="24"/>
  <c r="AQ89" i="24" s="1"/>
  <c r="L89" i="24" s="1"/>
  <c r="N89" i="24"/>
  <c r="O89" i="24" s="1"/>
  <c r="G89" i="24" s="1"/>
  <c r="T89" i="7"/>
  <c r="I89" i="7" s="1"/>
  <c r="AH89" i="7" s="1"/>
  <c r="Q89" i="7"/>
  <c r="H89" i="7" s="1"/>
  <c r="AL91" i="24"/>
  <c r="O89" i="7"/>
  <c r="G89" i="7" s="1"/>
  <c r="W89" i="6"/>
  <c r="J89" i="6" s="1"/>
  <c r="O89" i="5"/>
  <c r="G89" i="5" s="1"/>
  <c r="X89" i="5" s="1"/>
  <c r="Q89" i="6"/>
  <c r="H89" i="6" s="1"/>
  <c r="AG89" i="6"/>
  <c r="AG89" i="7"/>
  <c r="AC89" i="5"/>
  <c r="O89" i="6"/>
  <c r="G89" i="6" s="1"/>
  <c r="AR89" i="12"/>
  <c r="L89" i="12" s="1"/>
  <c r="AD89" i="5"/>
  <c r="AF89" i="6"/>
  <c r="AD89" i="6"/>
  <c r="AC89" i="6"/>
  <c r="O89" i="12"/>
  <c r="G89" i="12" s="1"/>
  <c r="AK89" i="12"/>
  <c r="AG89" i="12"/>
  <c r="AE89" i="6"/>
  <c r="AH89" i="12"/>
  <c r="R89" i="12"/>
  <c r="H89" i="12" s="1"/>
  <c r="AG89" i="11"/>
  <c r="AH89" i="13"/>
  <c r="L89" i="13" s="1"/>
  <c r="AD89" i="13"/>
  <c r="R89" i="13"/>
  <c r="H89" i="13" s="1"/>
  <c r="AB89" i="13" s="1"/>
  <c r="AJ89" i="8"/>
  <c r="AC89" i="13"/>
  <c r="Q89" i="8"/>
  <c r="H89" i="8" s="1"/>
  <c r="Z89" i="8" s="1"/>
  <c r="AP89" i="11"/>
  <c r="L89" i="11" s="1"/>
  <c r="O89" i="11"/>
  <c r="G89" i="11" s="1"/>
  <c r="AK89" i="8"/>
  <c r="R89" i="11"/>
  <c r="H89" i="11" s="1"/>
  <c r="AI89" i="8"/>
  <c r="AI89" i="11"/>
  <c r="O89" i="8"/>
  <c r="G89" i="8" s="1"/>
  <c r="AF89" i="11"/>
  <c r="T89" i="5"/>
  <c r="I89" i="5" s="1"/>
  <c r="AE89" i="5" s="1"/>
  <c r="AN91" i="25"/>
  <c r="AI91" i="25"/>
  <c r="AJ89" i="12"/>
  <c r="S91" i="25"/>
  <c r="U91" i="24"/>
  <c r="I91" i="24" s="1"/>
  <c r="AK91" i="24" s="1"/>
  <c r="Q91" i="24"/>
  <c r="H91" i="24" s="1"/>
  <c r="AJ91" i="24" s="1"/>
  <c r="T90" i="19"/>
  <c r="C92" i="25"/>
  <c r="AJ92" i="25" s="1"/>
  <c r="X89" i="19"/>
  <c r="A93" i="25"/>
  <c r="A93" i="24"/>
  <c r="B92" i="25"/>
  <c r="S92" i="25" s="1"/>
  <c r="AL92" i="25"/>
  <c r="B92" i="24"/>
  <c r="V92" i="24" s="1"/>
  <c r="AM92" i="24"/>
  <c r="AO92" i="24"/>
  <c r="AN92" i="24"/>
  <c r="W92" i="24"/>
  <c r="J87" i="7"/>
  <c r="J88" i="13"/>
  <c r="W88" i="13" s="1"/>
  <c r="W87" i="5"/>
  <c r="O90" i="8"/>
  <c r="G90" i="8" s="1"/>
  <c r="U90" i="8"/>
  <c r="I90" i="8" s="1"/>
  <c r="Q90" i="8"/>
  <c r="H90" i="8" s="1"/>
  <c r="AK90" i="8"/>
  <c r="AJ90" i="8"/>
  <c r="AI90" i="8"/>
  <c r="J88" i="12"/>
  <c r="V88" i="12" s="1"/>
  <c r="W90" i="6"/>
  <c r="J90" i="6" s="1"/>
  <c r="AG90" i="6"/>
  <c r="AF90" i="6"/>
  <c r="AC90" i="6"/>
  <c r="AD90" i="6"/>
  <c r="O90" i="6"/>
  <c r="G90" i="6" s="1"/>
  <c r="T90" i="6"/>
  <c r="I90" i="6" s="1"/>
  <c r="AE90" i="6"/>
  <c r="Q90" i="6"/>
  <c r="H90" i="6" s="1"/>
  <c r="J87" i="8"/>
  <c r="AL87" i="8" s="1"/>
  <c r="K87" i="8" s="1"/>
  <c r="AA88" i="8"/>
  <c r="Z88" i="8"/>
  <c r="T90" i="7"/>
  <c r="I90" i="7" s="1"/>
  <c r="AH90" i="7" s="1"/>
  <c r="Q90" i="7"/>
  <c r="H90" i="7" s="1"/>
  <c r="AE90" i="7"/>
  <c r="AG90" i="7"/>
  <c r="O90" i="7"/>
  <c r="G90" i="7" s="1"/>
  <c r="AF88" i="7"/>
  <c r="K88" i="7" s="1"/>
  <c r="Y88" i="7"/>
  <c r="X88" i="7"/>
  <c r="AE88" i="5"/>
  <c r="K88" i="5" s="1"/>
  <c r="X88" i="5"/>
  <c r="AI90" i="11"/>
  <c r="R90" i="11"/>
  <c r="H90" i="11" s="1"/>
  <c r="O90" i="11"/>
  <c r="G90" i="11" s="1"/>
  <c r="AP90" i="11"/>
  <c r="L90" i="11" s="1"/>
  <c r="AF90" i="11"/>
  <c r="AH90" i="11"/>
  <c r="AG90" i="11"/>
  <c r="K88" i="6"/>
  <c r="M88" i="6" s="1"/>
  <c r="F88" i="6" s="1"/>
  <c r="D88" i="6" s="1"/>
  <c r="J88" i="11"/>
  <c r="V88" i="11" s="1"/>
  <c r="AD90" i="5"/>
  <c r="O90" i="5"/>
  <c r="G90" i="5" s="1"/>
  <c r="T90" i="5"/>
  <c r="I90" i="5" s="1"/>
  <c r="Q90" i="5"/>
  <c r="H90" i="5" s="1"/>
  <c r="AC90" i="5"/>
  <c r="AI90" i="12"/>
  <c r="AH90" i="12"/>
  <c r="AR90" i="12"/>
  <c r="L90" i="12" s="1"/>
  <c r="AK90" i="12"/>
  <c r="AJ90" i="12"/>
  <c r="R90" i="12"/>
  <c r="H90" i="12" s="1"/>
  <c r="O90" i="12"/>
  <c r="G90" i="12" s="1"/>
  <c r="AG90" i="12"/>
  <c r="AC90" i="13"/>
  <c r="O90" i="13"/>
  <c r="G90" i="13" s="1"/>
  <c r="AD90" i="13"/>
  <c r="R90" i="13"/>
  <c r="H90" i="13" s="1"/>
  <c r="AB90" i="13" s="1"/>
  <c r="AH90" i="13"/>
  <c r="L90" i="13" s="1"/>
  <c r="W87" i="25"/>
  <c r="AG88" i="25"/>
  <c r="J88" i="25" s="1"/>
  <c r="AM90" i="25"/>
  <c r="AA88" i="24"/>
  <c r="I86" i="25"/>
  <c r="M86" i="25" s="1"/>
  <c r="F86" i="25" s="1"/>
  <c r="P83" i="19" s="1"/>
  <c r="W90" i="24"/>
  <c r="AN90" i="24"/>
  <c r="AK88" i="24"/>
  <c r="AM90" i="24"/>
  <c r="E88" i="24"/>
  <c r="D85" i="25"/>
  <c r="H89" i="25"/>
  <c r="AI90" i="25"/>
  <c r="U90" i="24"/>
  <c r="AJ90" i="25"/>
  <c r="AH90" i="25"/>
  <c r="V90" i="24"/>
  <c r="Q90" i="24"/>
  <c r="H90" i="24" s="1"/>
  <c r="AJ90" i="24" s="1"/>
  <c r="AR90" i="25"/>
  <c r="L90" i="25" s="1"/>
  <c r="AI90" i="24"/>
  <c r="S90" i="25"/>
  <c r="R90" i="25"/>
  <c r="AK90" i="25"/>
  <c r="AL90" i="25"/>
  <c r="AI7" i="6"/>
  <c r="AQ72" i="8"/>
  <c r="L72" i="8" s="1"/>
  <c r="AI84" i="6"/>
  <c r="L84" i="6" s="1"/>
  <c r="AI72" i="6"/>
  <c r="L72" i="6" s="1"/>
  <c r="AI83" i="6"/>
  <c r="L83" i="6" s="1"/>
  <c r="AH84" i="5"/>
  <c r="L84" i="5" s="1"/>
  <c r="AJ87" i="7"/>
  <c r="L87" i="7" s="1"/>
  <c r="AI66" i="6"/>
  <c r="L66" i="6" s="1"/>
  <c r="AH86" i="5"/>
  <c r="L86" i="5" s="1"/>
  <c r="AQ66" i="8"/>
  <c r="L66" i="8" s="1"/>
  <c r="AQ83" i="8"/>
  <c r="L83" i="8" s="1"/>
  <c r="AJ82" i="7"/>
  <c r="L82" i="7" s="1"/>
  <c r="AH85" i="5"/>
  <c r="L85" i="5" s="1"/>
  <c r="AJ73" i="7"/>
  <c r="L73" i="7" s="1"/>
  <c r="AH62" i="5"/>
  <c r="L62" i="5" s="1"/>
  <c r="AJ66" i="7"/>
  <c r="L66" i="7" s="1"/>
  <c r="AQ87" i="8"/>
  <c r="L87" i="8" s="1"/>
  <c r="AI62" i="6"/>
  <c r="L62" i="6" s="1"/>
  <c r="AQ73" i="8"/>
  <c r="L73" i="8" s="1"/>
  <c r="AQ62" i="8"/>
  <c r="L62" i="8" s="1"/>
  <c r="AH87" i="5"/>
  <c r="L87" i="5" s="1"/>
  <c r="AH66" i="5"/>
  <c r="L66" i="5" s="1"/>
  <c r="AQ84" i="8"/>
  <c r="L84" i="8" s="1"/>
  <c r="AI87" i="6"/>
  <c r="L87" i="6" s="1"/>
  <c r="AJ86" i="7"/>
  <c r="L86" i="7" s="1"/>
  <c r="AH83" i="5"/>
  <c r="L83" i="5" s="1"/>
  <c r="AI73" i="6"/>
  <c r="L73" i="6" s="1"/>
  <c r="AI82" i="6"/>
  <c r="L82" i="6" s="1"/>
  <c r="AH72" i="5"/>
  <c r="L72" i="5" s="1"/>
  <c r="AI59" i="6"/>
  <c r="L59" i="6" s="1"/>
  <c r="AH73" i="5"/>
  <c r="L73" i="5" s="1"/>
  <c r="AJ84" i="7"/>
  <c r="L84" i="7" s="1"/>
  <c r="AQ85" i="8"/>
  <c r="L85" i="8" s="1"/>
  <c r="AJ62" i="7"/>
  <c r="L62" i="7" s="1"/>
  <c r="AQ86" i="8"/>
  <c r="L86" i="8" s="1"/>
  <c r="AJ72" i="7"/>
  <c r="L72" i="7" s="1"/>
  <c r="AQ59" i="8"/>
  <c r="L59" i="8" s="1"/>
  <c r="AJ83" i="7"/>
  <c r="L83" i="7" s="1"/>
  <c r="AI86" i="6"/>
  <c r="L86" i="6" s="1"/>
  <c r="AJ85" i="7"/>
  <c r="L85" i="7" s="1"/>
  <c r="AH59" i="5"/>
  <c r="L59" i="5" s="1"/>
  <c r="AI85" i="6"/>
  <c r="L85" i="6" s="1"/>
  <c r="AQ82" i="8"/>
  <c r="L82" i="8" s="1"/>
  <c r="AH82" i="5"/>
  <c r="L82" i="5" s="1"/>
  <c r="W18" i="11"/>
  <c r="W44" i="11"/>
  <c r="W50" i="11"/>
  <c r="W13" i="11"/>
  <c r="W16" i="11"/>
  <c r="W58" i="11"/>
  <c r="W64" i="11"/>
  <c r="W65" i="11"/>
  <c r="W25" i="11"/>
  <c r="W63" i="11"/>
  <c r="W47" i="11"/>
  <c r="W19" i="11"/>
  <c r="W37" i="11"/>
  <c r="W35" i="11"/>
  <c r="W56" i="11"/>
  <c r="W21" i="11"/>
  <c r="W23" i="11"/>
  <c r="W34" i="11"/>
  <c r="W24" i="11"/>
  <c r="W71" i="11"/>
  <c r="W52" i="11"/>
  <c r="W45" i="11"/>
  <c r="W55" i="11"/>
  <c r="W26" i="11"/>
  <c r="W12" i="11"/>
  <c r="W70" i="11"/>
  <c r="W40" i="11"/>
  <c r="W48" i="11"/>
  <c r="W38" i="11"/>
  <c r="W36" i="11"/>
  <c r="W62" i="11"/>
  <c r="W29" i="11"/>
  <c r="W66" i="11"/>
  <c r="W61" i="11"/>
  <c r="W28" i="11"/>
  <c r="W54" i="11"/>
  <c r="W27" i="11"/>
  <c r="W10" i="11"/>
  <c r="W8" i="11"/>
  <c r="W17" i="11"/>
  <c r="W46" i="11"/>
  <c r="W73" i="11"/>
  <c r="W32" i="11"/>
  <c r="W39" i="11"/>
  <c r="W14" i="11"/>
  <c r="W30" i="11"/>
  <c r="W22" i="11"/>
  <c r="W11" i="11"/>
  <c r="W49" i="11"/>
  <c r="W9" i="11"/>
  <c r="W53" i="11"/>
  <c r="W41" i="11"/>
  <c r="W42" i="11"/>
  <c r="W57" i="11"/>
  <c r="W67" i="11"/>
  <c r="B787" i="21"/>
  <c r="B774" i="21"/>
  <c r="C785" i="21"/>
  <c r="H1034" i="21"/>
  <c r="C783" i="21"/>
  <c r="AB93" i="25"/>
  <c r="E776" i="21"/>
  <c r="D773" i="21"/>
  <c r="C778" i="21"/>
  <c r="E781" i="21"/>
  <c r="C780" i="21"/>
  <c r="E785" i="21"/>
  <c r="E775" i="21"/>
  <c r="E309" i="9"/>
  <c r="E788" i="21"/>
  <c r="D776" i="21"/>
  <c r="H1035" i="21"/>
  <c r="B786" i="21"/>
  <c r="D778" i="21"/>
  <c r="E301" i="9"/>
  <c r="E299" i="9"/>
  <c r="B778" i="21"/>
  <c r="E773" i="21"/>
  <c r="B784" i="21"/>
  <c r="D775" i="21"/>
  <c r="AC93" i="24"/>
  <c r="AE93" i="25"/>
  <c r="E307" i="9"/>
  <c r="C781" i="21"/>
  <c r="D777" i="21"/>
  <c r="B777" i="21"/>
  <c r="C782" i="21"/>
  <c r="AE93" i="24"/>
  <c r="B783" i="21"/>
  <c r="D782" i="21"/>
  <c r="E772" i="21"/>
  <c r="B779" i="21"/>
  <c r="D787" i="21"/>
  <c r="E303" i="9"/>
  <c r="E786" i="21"/>
  <c r="Z93" i="25"/>
  <c r="B773" i="21"/>
  <c r="E311" i="9"/>
  <c r="B780" i="21"/>
  <c r="B782" i="21"/>
  <c r="AH93" i="24"/>
  <c r="D784" i="21"/>
  <c r="E787" i="21"/>
  <c r="C788" i="21"/>
  <c r="AC93" i="25"/>
  <c r="E774" i="21"/>
  <c r="E777" i="21"/>
  <c r="C772" i="21"/>
  <c r="C774" i="21"/>
  <c r="E313" i="9"/>
  <c r="AD93" i="24"/>
  <c r="D779" i="21"/>
  <c r="D788" i="21"/>
  <c r="D786" i="21"/>
  <c r="E305" i="9"/>
  <c r="E783" i="21"/>
  <c r="D780" i="21"/>
  <c r="E784" i="21"/>
  <c r="E782" i="21"/>
  <c r="AF93" i="25"/>
  <c r="E306" i="9"/>
  <c r="B781" i="21"/>
  <c r="E304" i="9"/>
  <c r="C777" i="21"/>
  <c r="AD93" i="25"/>
  <c r="E302" i="9"/>
  <c r="B776" i="21"/>
  <c r="D781" i="21"/>
  <c r="C779" i="21"/>
  <c r="E300" i="9"/>
  <c r="E310" i="9"/>
  <c r="C786" i="21"/>
  <c r="C784" i="21"/>
  <c r="E779" i="21"/>
  <c r="D785" i="21"/>
  <c r="AA93" i="25"/>
  <c r="C775" i="21"/>
  <c r="E308" i="9"/>
  <c r="AF93" i="24"/>
  <c r="B785" i="21"/>
  <c r="E778" i="21"/>
  <c r="E314" i="9"/>
  <c r="B775" i="21"/>
  <c r="C787" i="21"/>
  <c r="E780" i="21"/>
  <c r="D774" i="21"/>
  <c r="C776" i="21"/>
  <c r="AG93" i="24"/>
  <c r="Y93" i="25"/>
  <c r="D783" i="21"/>
  <c r="E312" i="9"/>
  <c r="Q93" i="25"/>
  <c r="V88" i="25" l="1"/>
  <c r="AK91" i="25"/>
  <c r="AH91" i="25"/>
  <c r="AJ91" i="25"/>
  <c r="AR91" i="25"/>
  <c r="L91" i="25" s="1"/>
  <c r="AG91" i="25"/>
  <c r="C92" i="24"/>
  <c r="AI92" i="24" s="1"/>
  <c r="AY92" i="8"/>
  <c r="AR92" i="7"/>
  <c r="AP92" i="5"/>
  <c r="AQ92" i="6"/>
  <c r="AY92" i="12"/>
  <c r="AW92" i="11"/>
  <c r="AO92" i="13"/>
  <c r="V88" i="13"/>
  <c r="I88" i="13" s="1"/>
  <c r="M88" i="13" s="1"/>
  <c r="F88" i="13" s="1"/>
  <c r="D88" i="13" s="1"/>
  <c r="BA91" i="12"/>
  <c r="AY91" i="11"/>
  <c r="AQ91" i="13"/>
  <c r="AP91" i="24"/>
  <c r="AQ91" i="24" s="1"/>
  <c r="L91" i="24" s="1"/>
  <c r="BA91" i="8"/>
  <c r="AR91" i="5"/>
  <c r="AS91" i="6"/>
  <c r="AT91" i="7"/>
  <c r="AO90" i="25"/>
  <c r="AP90" i="25" s="1"/>
  <c r="K90" i="25" s="1"/>
  <c r="BA90" i="12"/>
  <c r="AQ90" i="13"/>
  <c r="AY90" i="11"/>
  <c r="AR90" i="5"/>
  <c r="AT90" i="7"/>
  <c r="BA90" i="8"/>
  <c r="AS90" i="6"/>
  <c r="N91" i="25"/>
  <c r="AP91" i="13"/>
  <c r="AZ91" i="12"/>
  <c r="AX91" i="11"/>
  <c r="N90" i="25"/>
  <c r="AP90" i="13"/>
  <c r="AZ90" i="12"/>
  <c r="AX90" i="11"/>
  <c r="AS90" i="7"/>
  <c r="AQ90" i="5"/>
  <c r="AZ90" i="8"/>
  <c r="AR90" i="6"/>
  <c r="N91" i="24"/>
  <c r="O91" i="24" s="1"/>
  <c r="G91" i="24" s="1"/>
  <c r="AA91" i="24" s="1"/>
  <c r="AZ91" i="8"/>
  <c r="AR91" i="6"/>
  <c r="AQ91" i="5"/>
  <c r="AS91" i="7"/>
  <c r="AP90" i="24"/>
  <c r="AQ90" i="24" s="1"/>
  <c r="L90" i="24" s="1"/>
  <c r="E89" i="24"/>
  <c r="N90" i="24"/>
  <c r="O90" i="24" s="1"/>
  <c r="G90" i="24" s="1"/>
  <c r="AA89" i="24"/>
  <c r="M90" i="19"/>
  <c r="T91" i="19"/>
  <c r="I90" i="19"/>
  <c r="A95" i="25"/>
  <c r="H93" i="19"/>
  <c r="A95" i="24"/>
  <c r="N89" i="19"/>
  <c r="J89" i="19"/>
  <c r="K89" i="19"/>
  <c r="O89" i="19"/>
  <c r="Y89" i="7"/>
  <c r="AF89" i="7"/>
  <c r="K89" i="7" s="1"/>
  <c r="X89" i="7"/>
  <c r="K89" i="5"/>
  <c r="W89" i="5" s="1"/>
  <c r="J89" i="5" s="1"/>
  <c r="K89" i="6"/>
  <c r="M89" i="6" s="1"/>
  <c r="F89" i="6" s="1"/>
  <c r="D89" i="6" s="1"/>
  <c r="J89" i="13"/>
  <c r="V89" i="13" s="1"/>
  <c r="J89" i="12"/>
  <c r="W89" i="12" s="1"/>
  <c r="J89" i="11"/>
  <c r="W89" i="11" s="1"/>
  <c r="AA89" i="8"/>
  <c r="J89" i="8" s="1"/>
  <c r="AL89" i="8" s="1"/>
  <c r="K89" i="8" s="1"/>
  <c r="M89" i="8" s="1"/>
  <c r="F89" i="8" s="1"/>
  <c r="D89" i="8" s="1"/>
  <c r="R92" i="25"/>
  <c r="H92" i="25" s="1"/>
  <c r="AI92" i="25"/>
  <c r="AL92" i="24"/>
  <c r="K91" i="24"/>
  <c r="Z91" i="24" s="1"/>
  <c r="AK92" i="25"/>
  <c r="AR92" i="25"/>
  <c r="L92" i="25" s="1"/>
  <c r="AN92" i="25"/>
  <c r="Q92" i="24"/>
  <c r="H92" i="24" s="1"/>
  <c r="AJ92" i="24" s="1"/>
  <c r="AM92" i="25"/>
  <c r="AH92" i="25"/>
  <c r="H91" i="25"/>
  <c r="X90" i="19"/>
  <c r="B93" i="24"/>
  <c r="V93" i="24" s="1"/>
  <c r="AM93" i="24"/>
  <c r="AN93" i="24"/>
  <c r="W93" i="24"/>
  <c r="AO93" i="24"/>
  <c r="B93" i="25"/>
  <c r="AM93" i="25" s="1"/>
  <c r="AL93" i="25"/>
  <c r="R16" i="23"/>
  <c r="E16" i="23"/>
  <c r="W88" i="12"/>
  <c r="I88" i="12" s="1"/>
  <c r="M88" i="12" s="1"/>
  <c r="J88" i="7"/>
  <c r="M88" i="7" s="1"/>
  <c r="F88" i="7" s="1"/>
  <c r="D88" i="7" s="1"/>
  <c r="J88" i="8"/>
  <c r="AL88" i="8" s="1"/>
  <c r="K88" i="8" s="1"/>
  <c r="M88" i="8" s="1"/>
  <c r="F88" i="8" s="1"/>
  <c r="D88" i="8" s="1"/>
  <c r="W88" i="5"/>
  <c r="J88" i="5" s="1"/>
  <c r="J90" i="13"/>
  <c r="W90" i="13" s="1"/>
  <c r="AE90" i="5"/>
  <c r="K90" i="5" s="1"/>
  <c r="J90" i="11"/>
  <c r="V90" i="11" s="1"/>
  <c r="AF90" i="7"/>
  <c r="K90" i="7" s="1"/>
  <c r="X90" i="7"/>
  <c r="Y90" i="7"/>
  <c r="X90" i="5"/>
  <c r="K90" i="6"/>
  <c r="M90" i="6" s="1"/>
  <c r="F90" i="6" s="1"/>
  <c r="D90" i="6" s="1"/>
  <c r="J90" i="12"/>
  <c r="W90" i="12" s="1"/>
  <c r="W88" i="11"/>
  <c r="I88" i="11" s="1"/>
  <c r="M88" i="11" s="1"/>
  <c r="F88" i="11" s="1"/>
  <c r="D88" i="11" s="1"/>
  <c r="Z90" i="8"/>
  <c r="AA90" i="8"/>
  <c r="W88" i="25"/>
  <c r="AG89" i="25"/>
  <c r="J89" i="25" s="1"/>
  <c r="W89" i="25" s="1"/>
  <c r="D86" i="25"/>
  <c r="AK89" i="24"/>
  <c r="I87" i="25"/>
  <c r="M87" i="25" s="1"/>
  <c r="F87" i="25" s="1"/>
  <c r="P84" i="19" s="1"/>
  <c r="H90" i="25"/>
  <c r="I90" i="24"/>
  <c r="E71" i="6"/>
  <c r="E73" i="6"/>
  <c r="E72" i="7"/>
  <c r="E71" i="8"/>
  <c r="E72" i="8"/>
  <c r="AN7" i="11"/>
  <c r="K7" i="11" s="1"/>
  <c r="AP7" i="12"/>
  <c r="K7" i="12" s="1"/>
  <c r="AF7" i="13"/>
  <c r="K7" i="13" s="1"/>
  <c r="AP8" i="12"/>
  <c r="K8" i="12" s="1"/>
  <c r="AN8" i="11"/>
  <c r="K8" i="11" s="1"/>
  <c r="AF8" i="13"/>
  <c r="K8" i="13" s="1"/>
  <c r="AP9" i="12"/>
  <c r="K9" i="12" s="1"/>
  <c r="AN10" i="11"/>
  <c r="K10" i="11" s="1"/>
  <c r="AF10" i="13"/>
  <c r="K10" i="13" s="1"/>
  <c r="AF9" i="13"/>
  <c r="K9" i="13" s="1"/>
  <c r="AN9" i="11"/>
  <c r="K9" i="11" s="1"/>
  <c r="AP10" i="12"/>
  <c r="K10" i="12" s="1"/>
  <c r="AP11" i="12"/>
  <c r="K11" i="12" s="1"/>
  <c r="AF11" i="13"/>
  <c r="K11" i="13" s="1"/>
  <c r="O81" i="6"/>
  <c r="G81" i="6" s="1"/>
  <c r="E81" i="6"/>
  <c r="E86" i="7"/>
  <c r="O86" i="7"/>
  <c r="G86" i="7" s="1"/>
  <c r="M86" i="7" s="1"/>
  <c r="F86" i="7" s="1"/>
  <c r="D86" i="7" s="1"/>
  <c r="E80" i="5"/>
  <c r="O80" i="5"/>
  <c r="G80" i="5" s="1"/>
  <c r="X80" i="5" s="1"/>
  <c r="J80" i="5" s="1"/>
  <c r="O78" i="5"/>
  <c r="G78" i="5" s="1"/>
  <c r="X78" i="5" s="1"/>
  <c r="J78" i="5" s="1"/>
  <c r="E78" i="5"/>
  <c r="O80" i="6"/>
  <c r="G80" i="6" s="1"/>
  <c r="E80" i="6"/>
  <c r="E82" i="5"/>
  <c r="O82" i="5"/>
  <c r="G82" i="5" s="1"/>
  <c r="O76" i="5"/>
  <c r="G76" i="5" s="1"/>
  <c r="X76" i="5" s="1"/>
  <c r="J76" i="5" s="1"/>
  <c r="E76" i="5"/>
  <c r="E82" i="8"/>
  <c r="O82" i="8"/>
  <c r="G82" i="8" s="1"/>
  <c r="M82" i="8" s="1"/>
  <c r="F82" i="8" s="1"/>
  <c r="D82" i="8" s="1"/>
  <c r="O79" i="5"/>
  <c r="G79" i="5" s="1"/>
  <c r="E82" i="6"/>
  <c r="O82" i="6"/>
  <c r="G82" i="6" s="1"/>
  <c r="M82" i="6" s="1"/>
  <c r="F82" i="6" s="1"/>
  <c r="D82" i="6" s="1"/>
  <c r="E83" i="6"/>
  <c r="O83" i="6"/>
  <c r="G83" i="6" s="1"/>
  <c r="M83" i="6" s="1"/>
  <c r="F83" i="6" s="1"/>
  <c r="D83" i="6" s="1"/>
  <c r="E73" i="8"/>
  <c r="O73" i="8"/>
  <c r="G73" i="8" s="1"/>
  <c r="M73" i="8" s="1"/>
  <c r="F73" i="8" s="1"/>
  <c r="D73" i="8" s="1"/>
  <c r="E83" i="7"/>
  <c r="O83" i="7"/>
  <c r="G83" i="7" s="1"/>
  <c r="M83" i="7" s="1"/>
  <c r="F83" i="7" s="1"/>
  <c r="D83" i="7" s="1"/>
  <c r="O77" i="8"/>
  <c r="G77" i="8" s="1"/>
  <c r="E77" i="8"/>
  <c r="O74" i="6"/>
  <c r="G74" i="6" s="1"/>
  <c r="E74" i="6"/>
  <c r="E75" i="6"/>
  <c r="O75" i="6"/>
  <c r="G75" i="6" s="1"/>
  <c r="E76" i="6"/>
  <c r="O76" i="6"/>
  <c r="G76" i="6" s="1"/>
  <c r="E82" i="7"/>
  <c r="O82" i="7"/>
  <c r="G82" i="7" s="1"/>
  <c r="M82" i="7" s="1"/>
  <c r="F82" i="7" s="1"/>
  <c r="D82" i="7" s="1"/>
  <c r="E84" i="7"/>
  <c r="O84" i="7"/>
  <c r="G84" i="7" s="1"/>
  <c r="M84" i="7" s="1"/>
  <c r="F84" i="7" s="1"/>
  <c r="D84" i="7" s="1"/>
  <c r="E75" i="5"/>
  <c r="O75" i="5"/>
  <c r="G75" i="5" s="1"/>
  <c r="X75" i="5" s="1"/>
  <c r="J75" i="5" s="1"/>
  <c r="E79" i="8"/>
  <c r="O79" i="8"/>
  <c r="G79" i="8" s="1"/>
  <c r="E85" i="5"/>
  <c r="O85" i="5"/>
  <c r="G85" i="5" s="1"/>
  <c r="E81" i="5"/>
  <c r="O81" i="5"/>
  <c r="G81" i="5" s="1"/>
  <c r="X81" i="5" s="1"/>
  <c r="J81" i="5" s="1"/>
  <c r="E80" i="7"/>
  <c r="O80" i="7"/>
  <c r="G80" i="7" s="1"/>
  <c r="E74" i="7"/>
  <c r="O74" i="7"/>
  <c r="G74" i="7" s="1"/>
  <c r="E86" i="5"/>
  <c r="O86" i="5"/>
  <c r="G86" i="5" s="1"/>
  <c r="E87" i="5"/>
  <c r="O87" i="5"/>
  <c r="G87" i="5" s="1"/>
  <c r="E84" i="6"/>
  <c r="O84" i="6"/>
  <c r="G84" i="6" s="1"/>
  <c r="M84" i="6" s="1"/>
  <c r="F84" i="6" s="1"/>
  <c r="D84" i="6" s="1"/>
  <c r="E81" i="8"/>
  <c r="O81" i="8"/>
  <c r="G81" i="8" s="1"/>
  <c r="E77" i="7"/>
  <c r="O77" i="7"/>
  <c r="G77" i="7" s="1"/>
  <c r="E75" i="8"/>
  <c r="O75" i="8"/>
  <c r="G75" i="8" s="1"/>
  <c r="O79" i="7"/>
  <c r="G79" i="7" s="1"/>
  <c r="E79" i="7"/>
  <c r="O78" i="8"/>
  <c r="G78" i="8" s="1"/>
  <c r="E78" i="8"/>
  <c r="E86" i="6"/>
  <c r="O86" i="6"/>
  <c r="G86" i="6" s="1"/>
  <c r="M86" i="6" s="1"/>
  <c r="F86" i="6" s="1"/>
  <c r="D86" i="6" s="1"/>
  <c r="E87" i="7"/>
  <c r="O87" i="7"/>
  <c r="G87" i="7" s="1"/>
  <c r="M87" i="7" s="1"/>
  <c r="F87" i="7" s="1"/>
  <c r="D87" i="7" s="1"/>
  <c r="E85" i="6"/>
  <c r="O85" i="6"/>
  <c r="G85" i="6" s="1"/>
  <c r="M85" i="6" s="1"/>
  <c r="F85" i="6" s="1"/>
  <c r="D85" i="6" s="1"/>
  <c r="O76" i="7"/>
  <c r="G76" i="7" s="1"/>
  <c r="E76" i="7"/>
  <c r="E84" i="8"/>
  <c r="O84" i="8"/>
  <c r="G84" i="8" s="1"/>
  <c r="M84" i="8" s="1"/>
  <c r="F84" i="8" s="1"/>
  <c r="D84" i="8" s="1"/>
  <c r="E76" i="8"/>
  <c r="O76" i="8"/>
  <c r="G76" i="8" s="1"/>
  <c r="E75" i="7"/>
  <c r="O75" i="7"/>
  <c r="G75" i="7" s="1"/>
  <c r="E86" i="8"/>
  <c r="O86" i="8"/>
  <c r="G86" i="8" s="1"/>
  <c r="M86" i="8" s="1"/>
  <c r="F86" i="8" s="1"/>
  <c r="D86" i="8" s="1"/>
  <c r="E81" i="7"/>
  <c r="O81" i="7"/>
  <c r="G81" i="7" s="1"/>
  <c r="O77" i="6"/>
  <c r="G77" i="6" s="1"/>
  <c r="E77" i="6"/>
  <c r="E78" i="7"/>
  <c r="O78" i="7"/>
  <c r="G78" i="7" s="1"/>
  <c r="E77" i="5"/>
  <c r="O77" i="5"/>
  <c r="G77" i="5" s="1"/>
  <c r="X77" i="5" s="1"/>
  <c r="J77" i="5" s="1"/>
  <c r="O74" i="8"/>
  <c r="G74" i="8" s="1"/>
  <c r="E74" i="8"/>
  <c r="O73" i="7"/>
  <c r="G73" i="7" s="1"/>
  <c r="M73" i="7" s="1"/>
  <c r="F73" i="7" s="1"/>
  <c r="D73" i="7" s="1"/>
  <c r="E73" i="7"/>
  <c r="O78" i="6"/>
  <c r="G78" i="6" s="1"/>
  <c r="E78" i="6"/>
  <c r="E74" i="5"/>
  <c r="O74" i="5"/>
  <c r="G74" i="5" s="1"/>
  <c r="X74" i="5" s="1"/>
  <c r="J74" i="5" s="1"/>
  <c r="E87" i="8"/>
  <c r="O87" i="8"/>
  <c r="G87" i="8" s="1"/>
  <c r="M87" i="8" s="1"/>
  <c r="F87" i="8" s="1"/>
  <c r="D87" i="8" s="1"/>
  <c r="E83" i="5"/>
  <c r="O83" i="5"/>
  <c r="G83" i="5" s="1"/>
  <c r="E79" i="6"/>
  <c r="O79" i="6"/>
  <c r="G79" i="6" s="1"/>
  <c r="E83" i="8"/>
  <c r="O83" i="8"/>
  <c r="G83" i="8" s="1"/>
  <c r="M83" i="8" s="1"/>
  <c r="F83" i="8" s="1"/>
  <c r="D83" i="8" s="1"/>
  <c r="E73" i="5"/>
  <c r="E85" i="7"/>
  <c r="O85" i="7"/>
  <c r="G85" i="7" s="1"/>
  <c r="M85" i="7" s="1"/>
  <c r="F85" i="7" s="1"/>
  <c r="D85" i="7" s="1"/>
  <c r="E85" i="8"/>
  <c r="O85" i="8"/>
  <c r="G85" i="8" s="1"/>
  <c r="M85" i="8" s="1"/>
  <c r="F85" i="8" s="1"/>
  <c r="D85" i="8" s="1"/>
  <c r="E72" i="5"/>
  <c r="E84" i="5"/>
  <c r="O84" i="5"/>
  <c r="G84" i="5" s="1"/>
  <c r="E87" i="6"/>
  <c r="O87" i="6"/>
  <c r="G87" i="6" s="1"/>
  <c r="M87" i="6" s="1"/>
  <c r="F87" i="6" s="1"/>
  <c r="D87" i="6" s="1"/>
  <c r="O80" i="8"/>
  <c r="G80" i="8" s="1"/>
  <c r="E80" i="8"/>
  <c r="AN38" i="11"/>
  <c r="K38" i="11" s="1"/>
  <c r="AN42" i="11"/>
  <c r="K42" i="11" s="1"/>
  <c r="AP22" i="12"/>
  <c r="K22" i="12" s="1"/>
  <c r="AN16" i="11"/>
  <c r="K16" i="11" s="1"/>
  <c r="AF35" i="13"/>
  <c r="K35" i="13" s="1"/>
  <c r="AN34" i="11"/>
  <c r="K34" i="11" s="1"/>
  <c r="AN74" i="11"/>
  <c r="K74" i="11" s="1"/>
  <c r="AP52" i="12"/>
  <c r="K52" i="12" s="1"/>
  <c r="AP13" i="12"/>
  <c r="K13" i="12" s="1"/>
  <c r="AN83" i="11"/>
  <c r="K83" i="11" s="1"/>
  <c r="AP85" i="12"/>
  <c r="K85" i="12" s="1"/>
  <c r="AP75" i="12"/>
  <c r="K75" i="12" s="1"/>
  <c r="AF60" i="13"/>
  <c r="K60" i="13" s="1"/>
  <c r="AF39" i="13"/>
  <c r="K39" i="13" s="1"/>
  <c r="AP67" i="12"/>
  <c r="K67" i="12" s="1"/>
  <c r="AP82" i="12"/>
  <c r="K82" i="12" s="1"/>
  <c r="AN61" i="11"/>
  <c r="K61" i="11" s="1"/>
  <c r="AF59" i="13"/>
  <c r="K59" i="13" s="1"/>
  <c r="AF66" i="13"/>
  <c r="K66" i="13" s="1"/>
  <c r="AF31" i="13"/>
  <c r="K31" i="13" s="1"/>
  <c r="AF23" i="13"/>
  <c r="K23" i="13" s="1"/>
  <c r="AB23" i="13" s="1"/>
  <c r="J23" i="13" s="1"/>
  <c r="AF86" i="13"/>
  <c r="K86" i="13" s="1"/>
  <c r="AN11" i="11"/>
  <c r="K11" i="11" s="1"/>
  <c r="AF43" i="13"/>
  <c r="K43" i="13" s="1"/>
  <c r="AN18" i="11"/>
  <c r="K18" i="11" s="1"/>
  <c r="AP31" i="12"/>
  <c r="K31" i="12" s="1"/>
  <c r="AP66" i="12"/>
  <c r="K66" i="12" s="1"/>
  <c r="AF34" i="13"/>
  <c r="K34" i="13" s="1"/>
  <c r="AF41" i="13"/>
  <c r="K41" i="13" s="1"/>
  <c r="AN75" i="11"/>
  <c r="K75" i="11" s="1"/>
  <c r="AF14" i="13"/>
  <c r="K14" i="13" s="1"/>
  <c r="AN35" i="11"/>
  <c r="K35" i="11" s="1"/>
  <c r="AP40" i="12"/>
  <c r="K40" i="12" s="1"/>
  <c r="AF73" i="13"/>
  <c r="K73" i="13" s="1"/>
  <c r="AP29" i="12"/>
  <c r="K29" i="12" s="1"/>
  <c r="AN69" i="11"/>
  <c r="K69" i="11" s="1"/>
  <c r="AP46" i="12"/>
  <c r="K46" i="12" s="1"/>
  <c r="AF55" i="13"/>
  <c r="K55" i="13" s="1"/>
  <c r="AN57" i="11"/>
  <c r="K57" i="11" s="1"/>
  <c r="AN77" i="11"/>
  <c r="K77" i="11" s="1"/>
  <c r="AN64" i="11"/>
  <c r="K64" i="11" s="1"/>
  <c r="AN85" i="11"/>
  <c r="K85" i="11" s="1"/>
  <c r="AF42" i="13"/>
  <c r="K42" i="13" s="1"/>
  <c r="AF51" i="13"/>
  <c r="K51" i="13" s="1"/>
  <c r="AF36" i="13"/>
  <c r="K36" i="13" s="1"/>
  <c r="AN67" i="11"/>
  <c r="K67" i="11" s="1"/>
  <c r="AF67" i="13"/>
  <c r="K67" i="13" s="1"/>
  <c r="AP87" i="12"/>
  <c r="K87" i="12" s="1"/>
  <c r="AF64" i="13"/>
  <c r="K64" i="13" s="1"/>
  <c r="AP42" i="12"/>
  <c r="K42" i="12" s="1"/>
  <c r="AF44" i="13"/>
  <c r="K44" i="13" s="1"/>
  <c r="AP47" i="12"/>
  <c r="K47" i="12" s="1"/>
  <c r="AF53" i="13"/>
  <c r="K53" i="13" s="1"/>
  <c r="AN84" i="11"/>
  <c r="K84" i="11" s="1"/>
  <c r="AF72" i="13"/>
  <c r="K72" i="13" s="1"/>
  <c r="AF49" i="13"/>
  <c r="K49" i="13" s="1"/>
  <c r="AP73" i="12"/>
  <c r="K73" i="12" s="1"/>
  <c r="AN70" i="11"/>
  <c r="K70" i="11" s="1"/>
  <c r="AN62" i="11"/>
  <c r="K62" i="11" s="1"/>
  <c r="AN46" i="11"/>
  <c r="K46" i="11" s="1"/>
  <c r="AN76" i="11"/>
  <c r="K76" i="11" s="1"/>
  <c r="AF80" i="13"/>
  <c r="K80" i="13" s="1"/>
  <c r="AF32" i="13"/>
  <c r="K32" i="13" s="1"/>
  <c r="AF21" i="13"/>
  <c r="K21" i="13" s="1"/>
  <c r="AP12" i="12"/>
  <c r="K12" i="12" s="1"/>
  <c r="AF17" i="13"/>
  <c r="K17" i="13" s="1"/>
  <c r="AF29" i="13"/>
  <c r="K29" i="13" s="1"/>
  <c r="AN28" i="11"/>
  <c r="K28" i="11" s="1"/>
  <c r="AP64" i="12"/>
  <c r="K64" i="12" s="1"/>
  <c r="AF15" i="13"/>
  <c r="K15" i="13" s="1"/>
  <c r="AF58" i="13"/>
  <c r="K58" i="13" s="1"/>
  <c r="AB58" i="13" s="1"/>
  <c r="J58" i="13" s="1"/>
  <c r="AF71" i="13"/>
  <c r="K71" i="13" s="1"/>
  <c r="AN23" i="11"/>
  <c r="K23" i="11" s="1"/>
  <c r="AP36" i="12"/>
  <c r="K36" i="12" s="1"/>
  <c r="AP71" i="12"/>
  <c r="K71" i="12" s="1"/>
  <c r="AN63" i="11"/>
  <c r="K63" i="11" s="1"/>
  <c r="AP21" i="12"/>
  <c r="K21" i="12" s="1"/>
  <c r="AP65" i="12"/>
  <c r="K65" i="12" s="1"/>
  <c r="AF45" i="13"/>
  <c r="K45" i="13" s="1"/>
  <c r="AF74" i="13"/>
  <c r="K74" i="13" s="1"/>
  <c r="AF52" i="13"/>
  <c r="K52" i="13" s="1"/>
  <c r="AN40" i="11"/>
  <c r="K40" i="11" s="1"/>
  <c r="AF69" i="13"/>
  <c r="K69" i="13" s="1"/>
  <c r="AN13" i="11"/>
  <c r="K13" i="11" s="1"/>
  <c r="AF54" i="13"/>
  <c r="K54" i="13" s="1"/>
  <c r="AN55" i="11"/>
  <c r="K55" i="11" s="1"/>
  <c r="AP23" i="12"/>
  <c r="K23" i="12" s="1"/>
  <c r="AN50" i="11"/>
  <c r="K50" i="11" s="1"/>
  <c r="AN41" i="11"/>
  <c r="K41" i="11" s="1"/>
  <c r="AF57" i="13"/>
  <c r="K57" i="13" s="1"/>
  <c r="AP55" i="12"/>
  <c r="K55" i="12" s="1"/>
  <c r="AP59" i="12"/>
  <c r="K59" i="12" s="1"/>
  <c r="AN29" i="11"/>
  <c r="K29" i="11" s="1"/>
  <c r="AN47" i="11"/>
  <c r="K47" i="11" s="1"/>
  <c r="AP43" i="12"/>
  <c r="K43" i="12" s="1"/>
  <c r="AN53" i="11"/>
  <c r="K53" i="11" s="1"/>
  <c r="AP37" i="12"/>
  <c r="K37" i="12" s="1"/>
  <c r="AF46" i="13"/>
  <c r="K46" i="13" s="1"/>
  <c r="AN30" i="11"/>
  <c r="K30" i="11" s="1"/>
  <c r="AF81" i="13"/>
  <c r="K81" i="13" s="1"/>
  <c r="AP30" i="12"/>
  <c r="K30" i="12" s="1"/>
  <c r="AP34" i="12"/>
  <c r="K34" i="12" s="1"/>
  <c r="AF30" i="13"/>
  <c r="K30" i="13" s="1"/>
  <c r="AP53" i="12"/>
  <c r="K53" i="12" s="1"/>
  <c r="AP70" i="12"/>
  <c r="K70" i="12" s="1"/>
  <c r="AF76" i="13"/>
  <c r="K76" i="13" s="1"/>
  <c r="AF25" i="13"/>
  <c r="K25" i="13" s="1"/>
  <c r="AB25" i="13" s="1"/>
  <c r="J25" i="13" s="1"/>
  <c r="AF79" i="13"/>
  <c r="K79" i="13" s="1"/>
  <c r="AF63" i="13"/>
  <c r="K63" i="13" s="1"/>
  <c r="AN44" i="11"/>
  <c r="K44" i="11" s="1"/>
  <c r="AN17" i="11"/>
  <c r="K17" i="11" s="1"/>
  <c r="AP38" i="12"/>
  <c r="K38" i="12" s="1"/>
  <c r="AN60" i="11"/>
  <c r="K60" i="11" s="1"/>
  <c r="AP24" i="12"/>
  <c r="K24" i="12" s="1"/>
  <c r="AP60" i="12"/>
  <c r="K60" i="12" s="1"/>
  <c r="AN71" i="11"/>
  <c r="K71" i="11" s="1"/>
  <c r="AP76" i="12"/>
  <c r="K76" i="12" s="1"/>
  <c r="AP80" i="12"/>
  <c r="K80" i="12" s="1"/>
  <c r="AN15" i="11"/>
  <c r="K15" i="11" s="1"/>
  <c r="AP49" i="12"/>
  <c r="K49" i="12" s="1"/>
  <c r="AF82" i="13"/>
  <c r="K82" i="13" s="1"/>
  <c r="AP14" i="12"/>
  <c r="K14" i="12" s="1"/>
  <c r="AF22" i="13"/>
  <c r="K22" i="13" s="1"/>
  <c r="AP15" i="12"/>
  <c r="K15" i="12" s="1"/>
  <c r="AF85" i="13"/>
  <c r="K85" i="13" s="1"/>
  <c r="AN26" i="11"/>
  <c r="K26" i="11" s="1"/>
  <c r="AP54" i="12"/>
  <c r="K54" i="12" s="1"/>
  <c r="AP18" i="12"/>
  <c r="K18" i="12" s="1"/>
  <c r="AF24" i="13"/>
  <c r="K24" i="13" s="1"/>
  <c r="AB24" i="13" s="1"/>
  <c r="J24" i="13" s="1"/>
  <c r="AF48" i="13"/>
  <c r="K48" i="13" s="1"/>
  <c r="AP44" i="12"/>
  <c r="K44" i="12" s="1"/>
  <c r="AN78" i="11"/>
  <c r="K78" i="11" s="1"/>
  <c r="AN79" i="11"/>
  <c r="K79" i="11" s="1"/>
  <c r="AP50" i="12"/>
  <c r="K50" i="12" s="1"/>
  <c r="AF19" i="13"/>
  <c r="K19" i="13" s="1"/>
  <c r="AF75" i="13"/>
  <c r="K75" i="13" s="1"/>
  <c r="AN12" i="11"/>
  <c r="K12" i="11" s="1"/>
  <c r="AF28" i="13"/>
  <c r="K28" i="13" s="1"/>
  <c r="AB28" i="13" s="1"/>
  <c r="J28" i="13" s="1"/>
  <c r="AP68" i="12"/>
  <c r="K68" i="12" s="1"/>
  <c r="AN39" i="11"/>
  <c r="K39" i="11" s="1"/>
  <c r="AN36" i="11"/>
  <c r="K36" i="11" s="1"/>
  <c r="AP41" i="12"/>
  <c r="K41" i="12" s="1"/>
  <c r="AF65" i="13"/>
  <c r="K65" i="13" s="1"/>
  <c r="AN21" i="11"/>
  <c r="K21" i="11" s="1"/>
  <c r="AP81" i="12"/>
  <c r="K81" i="12" s="1"/>
  <c r="AP39" i="12"/>
  <c r="K39" i="12" s="1"/>
  <c r="AF12" i="13"/>
  <c r="K12" i="13" s="1"/>
  <c r="AN43" i="11"/>
  <c r="K43" i="11" s="1"/>
  <c r="AF70" i="13"/>
  <c r="K70" i="13" s="1"/>
  <c r="AN31" i="11"/>
  <c r="K31" i="11" s="1"/>
  <c r="AF37" i="13"/>
  <c r="K37" i="13" s="1"/>
  <c r="AN25" i="11"/>
  <c r="K25" i="11" s="1"/>
  <c r="AF84" i="13"/>
  <c r="K84" i="13" s="1"/>
  <c r="AN80" i="11"/>
  <c r="K80" i="11" s="1"/>
  <c r="AP27" i="12"/>
  <c r="K27" i="12" s="1"/>
  <c r="AP77" i="12"/>
  <c r="K77" i="12" s="1"/>
  <c r="AN82" i="11"/>
  <c r="K82" i="11" s="1"/>
  <c r="AF40" i="13"/>
  <c r="K40" i="13" s="1"/>
  <c r="AN54" i="11"/>
  <c r="K54" i="11" s="1"/>
  <c r="AP19" i="12"/>
  <c r="K19" i="12" s="1"/>
  <c r="AN14" i="11"/>
  <c r="K14" i="11" s="1"/>
  <c r="AF27" i="13"/>
  <c r="K27" i="13" s="1"/>
  <c r="AB27" i="13" s="1"/>
  <c r="J27" i="13" s="1"/>
  <c r="AN68" i="11"/>
  <c r="K68" i="11" s="1"/>
  <c r="AN51" i="11"/>
  <c r="K51" i="11" s="1"/>
  <c r="AN37" i="11"/>
  <c r="K37" i="11" s="1"/>
  <c r="AN20" i="11"/>
  <c r="K20" i="11" s="1"/>
  <c r="AF47" i="13"/>
  <c r="K47" i="13" s="1"/>
  <c r="AF13" i="13"/>
  <c r="K13" i="13" s="1"/>
  <c r="AF56" i="13"/>
  <c r="K56" i="13" s="1"/>
  <c r="AN56" i="11"/>
  <c r="K56" i="11" s="1"/>
  <c r="AP69" i="12"/>
  <c r="K69" i="12" s="1"/>
  <c r="AP16" i="12"/>
  <c r="K16" i="12" s="1"/>
  <c r="AF38" i="13"/>
  <c r="K38" i="13" s="1"/>
  <c r="AP56" i="12"/>
  <c r="K56" i="12" s="1"/>
  <c r="AN81" i="11"/>
  <c r="K81" i="11" s="1"/>
  <c r="AP84" i="12"/>
  <c r="K84" i="12" s="1"/>
  <c r="AP35" i="12"/>
  <c r="K35" i="12" s="1"/>
  <c r="AN33" i="11"/>
  <c r="K33" i="11" s="1"/>
  <c r="AN27" i="11"/>
  <c r="K27" i="11" s="1"/>
  <c r="AN19" i="11"/>
  <c r="K19" i="11" s="1"/>
  <c r="AP17" i="12"/>
  <c r="K17" i="12" s="1"/>
  <c r="AP48" i="12"/>
  <c r="K48" i="12" s="1"/>
  <c r="AF18" i="13"/>
  <c r="K18" i="13" s="1"/>
  <c r="AF26" i="13"/>
  <c r="K26" i="13" s="1"/>
  <c r="AB26" i="13" s="1"/>
  <c r="J26" i="13" s="1"/>
  <c r="AF77" i="13"/>
  <c r="K77" i="13" s="1"/>
  <c r="AF16" i="13"/>
  <c r="K16" i="13" s="1"/>
  <c r="AP74" i="12"/>
  <c r="K74" i="12" s="1"/>
  <c r="AN59" i="11"/>
  <c r="K59" i="11" s="1"/>
  <c r="AP57" i="12"/>
  <c r="K57" i="12" s="1"/>
  <c r="AP61" i="12"/>
  <c r="K61" i="12" s="1"/>
  <c r="AF20" i="13"/>
  <c r="K20" i="13" s="1"/>
  <c r="AP28" i="12"/>
  <c r="K28" i="12" s="1"/>
  <c r="AN66" i="11"/>
  <c r="K66" i="11" s="1"/>
  <c r="AN58" i="11"/>
  <c r="K58" i="11" s="1"/>
  <c r="AN52" i="11"/>
  <c r="K52" i="11" s="1"/>
  <c r="AP78" i="12"/>
  <c r="K78" i="12" s="1"/>
  <c r="AN48" i="11"/>
  <c r="K48" i="11" s="1"/>
  <c r="AP63" i="12"/>
  <c r="K63" i="12" s="1"/>
  <c r="AN24" i="11"/>
  <c r="K24" i="11" s="1"/>
  <c r="AF61" i="13"/>
  <c r="K61" i="13" s="1"/>
  <c r="AP33" i="12"/>
  <c r="K33" i="12" s="1"/>
  <c r="AF83" i="13"/>
  <c r="K83" i="13" s="1"/>
  <c r="AF87" i="13"/>
  <c r="K87" i="13" s="1"/>
  <c r="AN49" i="11"/>
  <c r="K49" i="11" s="1"/>
  <c r="AP26" i="12"/>
  <c r="K26" i="12" s="1"/>
  <c r="AN22" i="11"/>
  <c r="K22" i="11" s="1"/>
  <c r="AN45" i="11"/>
  <c r="K45" i="11" s="1"/>
  <c r="AP58" i="12"/>
  <c r="K58" i="12" s="1"/>
  <c r="AN87" i="11"/>
  <c r="K87" i="11" s="1"/>
  <c r="AP32" i="12"/>
  <c r="K32" i="12" s="1"/>
  <c r="AN65" i="11"/>
  <c r="K65" i="11" s="1"/>
  <c r="AF68" i="13"/>
  <c r="K68" i="13" s="1"/>
  <c r="AP86" i="12"/>
  <c r="K86" i="12" s="1"/>
  <c r="AN32" i="11"/>
  <c r="K32" i="11" s="1"/>
  <c r="AP20" i="12"/>
  <c r="K20" i="12" s="1"/>
  <c r="AF62" i="13"/>
  <c r="K62" i="13" s="1"/>
  <c r="AN73" i="11"/>
  <c r="K73" i="11" s="1"/>
  <c r="AP62" i="12"/>
  <c r="K62" i="12" s="1"/>
  <c r="AF33" i="13"/>
  <c r="K33" i="13" s="1"/>
  <c r="AP79" i="12"/>
  <c r="K79" i="12" s="1"/>
  <c r="AP72" i="12"/>
  <c r="K72" i="12" s="1"/>
  <c r="AP25" i="12"/>
  <c r="K25" i="12" s="1"/>
  <c r="AP45" i="12"/>
  <c r="K45" i="12" s="1"/>
  <c r="AN86" i="11"/>
  <c r="K86" i="11" s="1"/>
  <c r="AN72" i="11"/>
  <c r="K72" i="11" s="1"/>
  <c r="AF78" i="13"/>
  <c r="K78" i="13" s="1"/>
  <c r="AP51" i="12"/>
  <c r="K51" i="12" s="1"/>
  <c r="AF50" i="13"/>
  <c r="K50" i="13" s="1"/>
  <c r="AP83" i="12"/>
  <c r="K83" i="12" s="1"/>
  <c r="Q744" i="21"/>
  <c r="R721" i="21"/>
  <c r="R779" i="21"/>
  <c r="E241" i="14"/>
  <c r="E280" i="14"/>
  <c r="R726" i="21"/>
  <c r="P764" i="21"/>
  <c r="C90" i="14"/>
  <c r="R775" i="21"/>
  <c r="E243" i="14"/>
  <c r="E274" i="14"/>
  <c r="E234" i="14"/>
  <c r="P748" i="21"/>
  <c r="E277" i="14"/>
  <c r="Q788" i="21"/>
  <c r="E298" i="14"/>
  <c r="R770" i="21"/>
  <c r="Q741" i="21"/>
  <c r="Q743" i="21"/>
  <c r="E306" i="14"/>
  <c r="E278" i="14"/>
  <c r="E288" i="14"/>
  <c r="R752" i="21"/>
  <c r="Q783" i="21"/>
  <c r="Q1037" i="21"/>
  <c r="R771" i="21"/>
  <c r="R735" i="21"/>
  <c r="P779" i="21"/>
  <c r="E261" i="14"/>
  <c r="Q771" i="21"/>
  <c r="R750" i="21"/>
  <c r="E270" i="14"/>
  <c r="P766" i="21"/>
  <c r="Q768" i="21"/>
  <c r="R729" i="21"/>
  <c r="P752" i="21"/>
  <c r="Q731" i="21"/>
  <c r="E262" i="14"/>
  <c r="Q787" i="21"/>
  <c r="R733" i="21"/>
  <c r="E267" i="14"/>
  <c r="Q786" i="21"/>
  <c r="P747" i="21"/>
  <c r="Q790" i="21"/>
  <c r="E251" i="14"/>
  <c r="P757" i="21"/>
  <c r="R788" i="21"/>
  <c r="E312" i="14"/>
  <c r="P789" i="21"/>
  <c r="Q752" i="21"/>
  <c r="E25" i="14"/>
  <c r="Q750" i="21"/>
  <c r="Q757" i="21"/>
  <c r="E291" i="14"/>
  <c r="R761" i="21"/>
  <c r="Q778" i="21"/>
  <c r="E264" i="14"/>
  <c r="E313" i="14"/>
  <c r="P749" i="21"/>
  <c r="H1033" i="21"/>
  <c r="P776" i="21"/>
  <c r="R757" i="21"/>
  <c r="P768" i="21"/>
  <c r="E285" i="14"/>
  <c r="Q779" i="21"/>
  <c r="R772" i="21"/>
  <c r="E295" i="14"/>
  <c r="R744" i="21"/>
  <c r="Q756" i="21"/>
  <c r="R732" i="21"/>
  <c r="E283" i="14"/>
  <c r="Q763" i="21"/>
  <c r="R758" i="21"/>
  <c r="R760" i="21"/>
  <c r="P783" i="21"/>
  <c r="R723" i="21"/>
  <c r="P769" i="21"/>
  <c r="Q774" i="21"/>
  <c r="P763" i="21"/>
  <c r="Q775" i="21"/>
  <c r="E242" i="14"/>
  <c r="E248" i="14"/>
  <c r="R754" i="21"/>
  <c r="E290" i="14"/>
  <c r="R762" i="21"/>
  <c r="Q759" i="21"/>
  <c r="E265" i="14"/>
  <c r="E299" i="14"/>
  <c r="R718" i="21"/>
  <c r="E255" i="14"/>
  <c r="Q785" i="21"/>
  <c r="P767" i="21"/>
  <c r="E90" i="14"/>
  <c r="E271" i="14"/>
  <c r="R755" i="21"/>
  <c r="E287" i="14"/>
  <c r="E282" i="14"/>
  <c r="R720" i="21"/>
  <c r="R782" i="21"/>
  <c r="Q729" i="21"/>
  <c r="H1037" i="21"/>
  <c r="R725" i="21"/>
  <c r="Q726" i="21"/>
  <c r="R763" i="21"/>
  <c r="G90" i="14"/>
  <c r="J90" i="14"/>
  <c r="R784" i="21"/>
  <c r="E249" i="14"/>
  <c r="E275" i="14"/>
  <c r="D25" i="14"/>
  <c r="H90" i="14"/>
  <c r="E296" i="14"/>
  <c r="E256" i="14"/>
  <c r="R765" i="21"/>
  <c r="Q760" i="21"/>
  <c r="R719" i="21"/>
  <c r="E307" i="14"/>
  <c r="Q746" i="21"/>
  <c r="E233" i="14"/>
  <c r="E250" i="14"/>
  <c r="R716" i="21"/>
  <c r="P756" i="21"/>
  <c r="E276" i="14"/>
  <c r="P760" i="21"/>
  <c r="R722" i="21"/>
  <c r="E292" i="14"/>
  <c r="R710" i="21"/>
  <c r="E300" i="14"/>
  <c r="Q767" i="21"/>
  <c r="P770" i="21"/>
  <c r="E246" i="14"/>
  <c r="Q755" i="21"/>
  <c r="R740" i="21"/>
  <c r="R734" i="21"/>
  <c r="Q758" i="21"/>
  <c r="P777" i="21"/>
  <c r="P774" i="21"/>
  <c r="Q770" i="21"/>
  <c r="E245" i="14"/>
  <c r="Q776" i="21"/>
  <c r="Q736" i="21"/>
  <c r="E308" i="14"/>
  <c r="R751" i="21"/>
  <c r="Q789" i="21"/>
  <c r="P754" i="21"/>
  <c r="Q773" i="21"/>
  <c r="R774" i="21"/>
  <c r="E258" i="14"/>
  <c r="E301" i="14"/>
  <c r="E272" i="14"/>
  <c r="R773" i="21"/>
  <c r="Q777" i="21"/>
  <c r="P786" i="21"/>
  <c r="Q769" i="21"/>
  <c r="R787" i="21"/>
  <c r="B581" i="21"/>
  <c r="R745" i="21"/>
  <c r="E293" i="14"/>
  <c r="P778" i="21"/>
  <c r="R780" i="21"/>
  <c r="K90" i="14"/>
  <c r="E310" i="14"/>
  <c r="P782" i="21"/>
  <c r="P771" i="21"/>
  <c r="Q761" i="21"/>
  <c r="C581" i="21"/>
  <c r="E281" i="14"/>
  <c r="R778" i="21"/>
  <c r="P755" i="21"/>
  <c r="E286" i="14"/>
  <c r="Q772" i="21"/>
  <c r="E247" i="14"/>
  <c r="R711" i="21"/>
  <c r="P780" i="21"/>
  <c r="C25" i="14"/>
  <c r="E254" i="14"/>
  <c r="E294" i="14"/>
  <c r="Q733" i="21"/>
  <c r="P772" i="21"/>
  <c r="Q782" i="21"/>
  <c r="E581" i="21"/>
  <c r="E273" i="14"/>
  <c r="E257" i="14"/>
  <c r="P785" i="21"/>
  <c r="E266" i="14"/>
  <c r="P787" i="21"/>
  <c r="E236" i="14"/>
  <c r="P753" i="21"/>
  <c r="R715" i="21"/>
  <c r="E237" i="14"/>
  <c r="P746" i="21"/>
  <c r="R742" i="21"/>
  <c r="R776" i="21"/>
  <c r="R739" i="21"/>
  <c r="Q734" i="21"/>
  <c r="E268" i="14"/>
  <c r="R790" i="21"/>
  <c r="R731" i="21"/>
  <c r="Q747" i="21"/>
  <c r="Q727" i="21"/>
  <c r="R738" i="21"/>
  <c r="R768" i="21"/>
  <c r="E252" i="14"/>
  <c r="P775" i="21"/>
  <c r="R747" i="21"/>
  <c r="E305" i="14"/>
  <c r="P759" i="21"/>
  <c r="Q723" i="21"/>
  <c r="R766" i="21"/>
  <c r="P788" i="21"/>
  <c r="R753" i="21"/>
  <c r="R728" i="21"/>
  <c r="I90" i="14"/>
  <c r="Q766" i="21"/>
  <c r="D90" i="14"/>
  <c r="P751" i="21"/>
  <c r="R724" i="21"/>
  <c r="P758" i="21"/>
  <c r="E284" i="14"/>
  <c r="Q765" i="21"/>
  <c r="P750" i="21"/>
  <c r="E260" i="14"/>
  <c r="Q751" i="21"/>
  <c r="Q753" i="21"/>
  <c r="R764" i="21"/>
  <c r="R767" i="21"/>
  <c r="Q725" i="21"/>
  <c r="R789" i="21"/>
  <c r="E302" i="14"/>
  <c r="E289" i="14"/>
  <c r="E279" i="14"/>
  <c r="F90" i="14"/>
  <c r="P745" i="21"/>
  <c r="R769" i="21"/>
  <c r="Q732" i="21"/>
  <c r="R783" i="21"/>
  <c r="R736" i="21"/>
  <c r="E263" i="14"/>
  <c r="Q764" i="21"/>
  <c r="P784" i="21"/>
  <c r="R713" i="21"/>
  <c r="Q781" i="21"/>
  <c r="Q784" i="21"/>
  <c r="R786" i="21"/>
  <c r="P762" i="21"/>
  <c r="R737" i="21"/>
  <c r="E240" i="14"/>
  <c r="Q742" i="21"/>
  <c r="R717" i="21"/>
  <c r="R746" i="21"/>
  <c r="P773" i="21"/>
  <c r="R714" i="21"/>
  <c r="Q748" i="21"/>
  <c r="R712" i="21"/>
  <c r="R781" i="21"/>
  <c r="E304" i="14"/>
  <c r="Q730" i="21"/>
  <c r="E297" i="14"/>
  <c r="D581" i="21"/>
  <c r="E303" i="14"/>
  <c r="R727" i="21"/>
  <c r="E309" i="14"/>
  <c r="Q728" i="21"/>
  <c r="E311" i="14"/>
  <c r="R759" i="21"/>
  <c r="P781" i="21"/>
  <c r="E269" i="14"/>
  <c r="R730" i="21"/>
  <c r="R743" i="21"/>
  <c r="E239" i="14"/>
  <c r="R785" i="21"/>
  <c r="E235" i="14"/>
  <c r="R748" i="21"/>
  <c r="E253" i="14"/>
  <c r="P765" i="21"/>
  <c r="Q749" i="21"/>
  <c r="R741" i="21"/>
  <c r="Q745" i="21"/>
  <c r="E244" i="14"/>
  <c r="R749" i="21"/>
  <c r="E259" i="14"/>
  <c r="Q762" i="21"/>
  <c r="Q754" i="21"/>
  <c r="Q780" i="21"/>
  <c r="Q724" i="21"/>
  <c r="R756" i="21"/>
  <c r="E238" i="14"/>
  <c r="R777" i="21"/>
  <c r="I88" i="25" l="1"/>
  <c r="M88" i="25" s="1"/>
  <c r="F88" i="25" s="1"/>
  <c r="P85" i="19" s="1"/>
  <c r="J91" i="25"/>
  <c r="W91" i="25" s="1"/>
  <c r="U92" i="24"/>
  <c r="I92" i="24" s="1"/>
  <c r="AK92" i="24" s="1"/>
  <c r="K92" i="24" s="1"/>
  <c r="Z92" i="24" s="1"/>
  <c r="C93" i="24"/>
  <c r="AI93" i="24" s="1"/>
  <c r="AY93" i="8"/>
  <c r="AR93" i="7"/>
  <c r="AP93" i="5"/>
  <c r="AQ93" i="6"/>
  <c r="AO93" i="13"/>
  <c r="AY93" i="12"/>
  <c r="AW93" i="11"/>
  <c r="O90" i="25"/>
  <c r="G90" i="25" s="1"/>
  <c r="E90" i="25"/>
  <c r="O91" i="25"/>
  <c r="G91" i="25" s="1"/>
  <c r="E91" i="25"/>
  <c r="U1158" i="21"/>
  <c r="U1157" i="21"/>
  <c r="U1159" i="21"/>
  <c r="V89" i="25"/>
  <c r="I89" i="25" s="1"/>
  <c r="M89" i="25" s="1"/>
  <c r="F89" i="25" s="1"/>
  <c r="P86" i="19" s="1"/>
  <c r="V90" i="13"/>
  <c r="I90" i="13" s="1"/>
  <c r="M90" i="13" s="1"/>
  <c r="F90" i="13" s="1"/>
  <c r="D90" i="13" s="1"/>
  <c r="V89" i="12"/>
  <c r="I89" i="12" s="1"/>
  <c r="M89" i="12" s="1"/>
  <c r="V90" i="12"/>
  <c r="I90" i="12" s="1"/>
  <c r="AG92" i="25"/>
  <c r="J92" i="25" s="1"/>
  <c r="V89" i="11"/>
  <c r="I89" i="11" s="1"/>
  <c r="M89" i="11" s="1"/>
  <c r="F89" i="11" s="1"/>
  <c r="D89" i="11" s="1"/>
  <c r="AP92" i="24"/>
  <c r="AQ92" i="24" s="1"/>
  <c r="L92" i="24" s="1"/>
  <c r="BA92" i="8"/>
  <c r="AS92" i="6"/>
  <c r="AR92" i="5"/>
  <c r="AT92" i="7"/>
  <c r="AO92" i="25"/>
  <c r="AP92" i="25" s="1"/>
  <c r="K92" i="25" s="1"/>
  <c r="AY92" i="11"/>
  <c r="BA92" i="12"/>
  <c r="AQ92" i="13"/>
  <c r="N92" i="25"/>
  <c r="E92" i="25" s="1"/>
  <c r="AX92" i="11"/>
  <c r="AP92" i="13"/>
  <c r="AZ92" i="12"/>
  <c r="E90" i="24"/>
  <c r="N92" i="24"/>
  <c r="E92" i="24" s="1"/>
  <c r="AS92" i="7"/>
  <c r="AR92" i="6"/>
  <c r="AZ92" i="8"/>
  <c r="AQ92" i="5"/>
  <c r="J91" i="24"/>
  <c r="M91" i="24" s="1"/>
  <c r="F91" i="24" s="1"/>
  <c r="L88" i="19" s="1"/>
  <c r="E91" i="24"/>
  <c r="O90" i="19"/>
  <c r="AO93" i="25" s="1"/>
  <c r="AP93" i="25" s="1"/>
  <c r="K93" i="25" s="1"/>
  <c r="N90" i="19"/>
  <c r="K90" i="19"/>
  <c r="J90" i="19"/>
  <c r="X91" i="19"/>
  <c r="A96" i="25"/>
  <c r="A96" i="24"/>
  <c r="I1183" i="21"/>
  <c r="I91" i="19"/>
  <c r="M91" i="19"/>
  <c r="T92" i="19"/>
  <c r="I1198" i="21"/>
  <c r="J89" i="7"/>
  <c r="M89" i="7" s="1"/>
  <c r="F89" i="7" s="1"/>
  <c r="D89" i="7" s="1"/>
  <c r="W89" i="13"/>
  <c r="I89" i="13" s="1"/>
  <c r="M89" i="13" s="1"/>
  <c r="F89" i="13" s="1"/>
  <c r="D89" i="13" s="1"/>
  <c r="H1179" i="21"/>
  <c r="I1179" i="21" s="1"/>
  <c r="H1196" i="21"/>
  <c r="I1196" i="21" s="1"/>
  <c r="S93" i="25"/>
  <c r="AN93" i="25"/>
  <c r="I1197" i="21"/>
  <c r="H1195" i="21"/>
  <c r="I1195" i="21" s="1"/>
  <c r="H1192" i="21"/>
  <c r="I1192" i="21" s="1"/>
  <c r="H1177" i="21"/>
  <c r="H1193" i="21"/>
  <c r="I1193" i="21" s="1"/>
  <c r="C93" i="25"/>
  <c r="H1181" i="21"/>
  <c r="H1194" i="21"/>
  <c r="I1194" i="21" s="1"/>
  <c r="H1178" i="21"/>
  <c r="H1191" i="21"/>
  <c r="I1191" i="21" s="1"/>
  <c r="H1180" i="21"/>
  <c r="J90" i="8"/>
  <c r="AL90" i="8" s="1"/>
  <c r="K90" i="8" s="1"/>
  <c r="W90" i="5"/>
  <c r="J90" i="5" s="1"/>
  <c r="F88" i="12"/>
  <c r="W90" i="11"/>
  <c r="I90" i="11" s="1"/>
  <c r="M90" i="11" s="1"/>
  <c r="F90" i="11" s="1"/>
  <c r="D90" i="11" s="1"/>
  <c r="J90" i="7"/>
  <c r="M90" i="7" s="1"/>
  <c r="F90" i="7" s="1"/>
  <c r="D90" i="7" s="1"/>
  <c r="M89" i="5"/>
  <c r="F89" i="5" s="1"/>
  <c r="M88" i="5"/>
  <c r="F88" i="5" s="1"/>
  <c r="AG90" i="25"/>
  <c r="J90" i="25" s="1"/>
  <c r="U1156" i="21"/>
  <c r="U1155" i="21"/>
  <c r="U1154" i="21"/>
  <c r="X79" i="5"/>
  <c r="J79" i="5" s="1"/>
  <c r="D87" i="25"/>
  <c r="AK90" i="24"/>
  <c r="AA90" i="24"/>
  <c r="O12" i="13"/>
  <c r="G12" i="13" s="1"/>
  <c r="V12" i="13" s="1"/>
  <c r="O11" i="13"/>
  <c r="G11" i="13" s="1"/>
  <c r="V11" i="13" s="1"/>
  <c r="O7" i="13"/>
  <c r="G7" i="13" s="1"/>
  <c r="V7" i="13" s="1"/>
  <c r="O9" i="12"/>
  <c r="G9" i="12" s="1"/>
  <c r="V9" i="12" s="1"/>
  <c r="O7" i="12"/>
  <c r="G7" i="12" s="1"/>
  <c r="V7" i="12" s="1"/>
  <c r="O11" i="11"/>
  <c r="G11" i="11" s="1"/>
  <c r="V11" i="11" s="1"/>
  <c r="O9" i="13"/>
  <c r="G9" i="13" s="1"/>
  <c r="V9" i="13" s="1"/>
  <c r="O8" i="11"/>
  <c r="G8" i="11" s="1"/>
  <c r="V8" i="11" s="1"/>
  <c r="O10" i="11"/>
  <c r="G10" i="11" s="1"/>
  <c r="O9" i="11"/>
  <c r="G9" i="11" s="1"/>
  <c r="V9" i="11" s="1"/>
  <c r="O11" i="12"/>
  <c r="G11" i="12" s="1"/>
  <c r="V11" i="12" s="1"/>
  <c r="O10" i="12"/>
  <c r="G10" i="12" s="1"/>
  <c r="V10" i="12" s="1"/>
  <c r="O8" i="13"/>
  <c r="G8" i="13" s="1"/>
  <c r="V8" i="13" s="1"/>
  <c r="O7" i="11"/>
  <c r="G7" i="11" s="1"/>
  <c r="O8" i="12"/>
  <c r="G8" i="12" s="1"/>
  <c r="V8" i="12" s="1"/>
  <c r="O10" i="13"/>
  <c r="G10" i="13" s="1"/>
  <c r="V10" i="13" s="1"/>
  <c r="U1099" i="21"/>
  <c r="U1075" i="21"/>
  <c r="U1135" i="21"/>
  <c r="U1123" i="21"/>
  <c r="U1147" i="21"/>
  <c r="U1087" i="21"/>
  <c r="U1111" i="21"/>
  <c r="U1070" i="21"/>
  <c r="U1130" i="21"/>
  <c r="U1118" i="21"/>
  <c r="U1082" i="21"/>
  <c r="U1142" i="21"/>
  <c r="U1106" i="21"/>
  <c r="U1094" i="21"/>
  <c r="U1125" i="21"/>
  <c r="U1089" i="21"/>
  <c r="U1137" i="21"/>
  <c r="U1101" i="21"/>
  <c r="U1149" i="21"/>
  <c r="U1113" i="21"/>
  <c r="U1077" i="21"/>
  <c r="U1073" i="21"/>
  <c r="U1145" i="21"/>
  <c r="U1133" i="21"/>
  <c r="U1121" i="21"/>
  <c r="U1085" i="21"/>
  <c r="U1097" i="21"/>
  <c r="U1109" i="21"/>
  <c r="U1138" i="21"/>
  <c r="U1126" i="21"/>
  <c r="U1102" i="21"/>
  <c r="U1078" i="21"/>
  <c r="U1090" i="21"/>
  <c r="U1114" i="21"/>
  <c r="U1150" i="21"/>
  <c r="U1144" i="21"/>
  <c r="U1096" i="21"/>
  <c r="U1072" i="21"/>
  <c r="U1108" i="21"/>
  <c r="U1120" i="21"/>
  <c r="U1132" i="21"/>
  <c r="U1084" i="21"/>
  <c r="U1110" i="21"/>
  <c r="U1086" i="21"/>
  <c r="U1134" i="21"/>
  <c r="U1122" i="21"/>
  <c r="U1098" i="21"/>
  <c r="U1146" i="21"/>
  <c r="U1074" i="21"/>
  <c r="U1083" i="21"/>
  <c r="U1107" i="21"/>
  <c r="U1095" i="21"/>
  <c r="U1143" i="21"/>
  <c r="U1131" i="21"/>
  <c r="U1071" i="21"/>
  <c r="U1119" i="21"/>
  <c r="U1124" i="21"/>
  <c r="U1136" i="21"/>
  <c r="U1112" i="21"/>
  <c r="U1100" i="21"/>
  <c r="U1088" i="21"/>
  <c r="U1148" i="21"/>
  <c r="U1076" i="21"/>
  <c r="O63" i="13"/>
  <c r="G63" i="13" s="1"/>
  <c r="V63" i="13" s="1"/>
  <c r="O76" i="13"/>
  <c r="G76" i="13" s="1"/>
  <c r="O64" i="13"/>
  <c r="G64" i="13" s="1"/>
  <c r="V64" i="13" s="1"/>
  <c r="O52" i="11"/>
  <c r="G52" i="11" s="1"/>
  <c r="V52" i="11" s="1"/>
  <c r="O14" i="12"/>
  <c r="G14" i="12" s="1"/>
  <c r="V14" i="12" s="1"/>
  <c r="O71" i="13"/>
  <c r="G71" i="13" s="1"/>
  <c r="V71" i="13" s="1"/>
  <c r="O54" i="13"/>
  <c r="G54" i="13" s="1"/>
  <c r="V54" i="13" s="1"/>
  <c r="O65" i="13"/>
  <c r="G65" i="13" s="1"/>
  <c r="V65" i="13" s="1"/>
  <c r="O44" i="12"/>
  <c r="G44" i="12" s="1"/>
  <c r="O61" i="13"/>
  <c r="G61" i="13" s="1"/>
  <c r="V61" i="13" s="1"/>
  <c r="O27" i="11"/>
  <c r="G27" i="11" s="1"/>
  <c r="V27" i="11" s="1"/>
  <c r="O38" i="13"/>
  <c r="G38" i="13" s="1"/>
  <c r="V38" i="13" s="1"/>
  <c r="O81" i="12"/>
  <c r="G81" i="12" s="1"/>
  <c r="V81" i="12" s="1"/>
  <c r="O29" i="12"/>
  <c r="G29" i="12" s="1"/>
  <c r="V29" i="12" s="1"/>
  <c r="O43" i="12"/>
  <c r="G43" i="12" s="1"/>
  <c r="O50" i="12"/>
  <c r="G50" i="12" s="1"/>
  <c r="V50" i="12" s="1"/>
  <c r="O87" i="13"/>
  <c r="G87" i="13" s="1"/>
  <c r="V87" i="13" s="1"/>
  <c r="O71" i="12"/>
  <c r="G71" i="12" s="1"/>
  <c r="V71" i="12" s="1"/>
  <c r="O40" i="13"/>
  <c r="G40" i="13" s="1"/>
  <c r="V40" i="13" s="1"/>
  <c r="O61" i="11"/>
  <c r="G61" i="11" s="1"/>
  <c r="V61" i="11" s="1"/>
  <c r="O64" i="11"/>
  <c r="G64" i="11" s="1"/>
  <c r="V64" i="11" s="1"/>
  <c r="O23" i="11"/>
  <c r="G23" i="11" s="1"/>
  <c r="V23" i="11" s="1"/>
  <c r="O87" i="11"/>
  <c r="G87" i="11" s="1"/>
  <c r="V87" i="11" s="1"/>
  <c r="O59" i="11"/>
  <c r="G59" i="11" s="1"/>
  <c r="V59" i="11" s="1"/>
  <c r="O50" i="13"/>
  <c r="G50" i="13" s="1"/>
  <c r="V50" i="13" s="1"/>
  <c r="O65" i="12"/>
  <c r="G65" i="12" s="1"/>
  <c r="V65" i="12" s="1"/>
  <c r="O38" i="12"/>
  <c r="G38" i="12" s="1"/>
  <c r="V38" i="12" s="1"/>
  <c r="O42" i="12"/>
  <c r="G42" i="12" s="1"/>
  <c r="V42" i="12" s="1"/>
  <c r="O54" i="11"/>
  <c r="G54" i="11" s="1"/>
  <c r="V54" i="11" s="1"/>
  <c r="O70" i="12"/>
  <c r="G70" i="12" s="1"/>
  <c r="V70" i="12" s="1"/>
  <c r="O55" i="12"/>
  <c r="G55" i="12" s="1"/>
  <c r="V55" i="12" s="1"/>
  <c r="O33" i="11"/>
  <c r="G33" i="11" s="1"/>
  <c r="O85" i="13"/>
  <c r="G85" i="13" s="1"/>
  <c r="V85" i="13" s="1"/>
  <c r="O67" i="12"/>
  <c r="G67" i="12" s="1"/>
  <c r="V67" i="12" s="1"/>
  <c r="O42" i="11"/>
  <c r="G42" i="11" s="1"/>
  <c r="V42" i="11" s="1"/>
  <c r="O74" i="11"/>
  <c r="G74" i="11" s="1"/>
  <c r="V74" i="11" s="1"/>
  <c r="O15" i="13"/>
  <c r="G15" i="13" s="1"/>
  <c r="V15" i="13" s="1"/>
  <c r="O36" i="11"/>
  <c r="G36" i="11" s="1"/>
  <c r="V36" i="11" s="1"/>
  <c r="O58" i="12"/>
  <c r="G58" i="12" s="1"/>
  <c r="V58" i="12" s="1"/>
  <c r="O80" i="12"/>
  <c r="G80" i="12" s="1"/>
  <c r="V80" i="12" s="1"/>
  <c r="O81" i="11"/>
  <c r="G81" i="11" s="1"/>
  <c r="V81" i="11" s="1"/>
  <c r="O26" i="12"/>
  <c r="G26" i="12" s="1"/>
  <c r="V26" i="12" s="1"/>
  <c r="O28" i="13"/>
  <c r="G28" i="13" s="1"/>
  <c r="V28" i="13" s="1"/>
  <c r="O84" i="13"/>
  <c r="G84" i="13" s="1"/>
  <c r="V84" i="13" s="1"/>
  <c r="O39" i="13"/>
  <c r="G39" i="13" s="1"/>
  <c r="V39" i="13" s="1"/>
  <c r="O76" i="11"/>
  <c r="G76" i="11" s="1"/>
  <c r="V76" i="11" s="1"/>
  <c r="O76" i="12"/>
  <c r="G76" i="12" s="1"/>
  <c r="V76" i="12" s="1"/>
  <c r="O79" i="13"/>
  <c r="G79" i="13" s="1"/>
  <c r="V79" i="13" s="1"/>
  <c r="O78" i="11"/>
  <c r="G78" i="11" s="1"/>
  <c r="V78" i="11" s="1"/>
  <c r="O18" i="12"/>
  <c r="G18" i="12" s="1"/>
  <c r="V18" i="12" s="1"/>
  <c r="O34" i="12"/>
  <c r="G34" i="12" s="1"/>
  <c r="V34" i="12" s="1"/>
  <c r="O67" i="11"/>
  <c r="G67" i="11" s="1"/>
  <c r="V67" i="11" s="1"/>
  <c r="O87" i="12"/>
  <c r="G87" i="12" s="1"/>
  <c r="V87" i="12" s="1"/>
  <c r="O17" i="13"/>
  <c r="G17" i="13" s="1"/>
  <c r="V17" i="13" s="1"/>
  <c r="O82" i="11"/>
  <c r="G82" i="11" s="1"/>
  <c r="V82" i="11" s="1"/>
  <c r="O55" i="13"/>
  <c r="G55" i="13" s="1"/>
  <c r="V55" i="13" s="1"/>
  <c r="O14" i="11"/>
  <c r="G14" i="11" s="1"/>
  <c r="V14" i="11" s="1"/>
  <c r="O68" i="12"/>
  <c r="G68" i="12" s="1"/>
  <c r="V68" i="12" s="1"/>
  <c r="X83" i="5"/>
  <c r="J83" i="5" s="1"/>
  <c r="X82" i="5"/>
  <c r="J82" i="5" s="1"/>
  <c r="O49" i="13"/>
  <c r="G49" i="13" s="1"/>
  <c r="V49" i="13" s="1"/>
  <c r="O21" i="13"/>
  <c r="G21" i="13" s="1"/>
  <c r="V21" i="13" s="1"/>
  <c r="O31" i="13"/>
  <c r="G31" i="13" s="1"/>
  <c r="V31" i="13" s="1"/>
  <c r="O48" i="11"/>
  <c r="G48" i="11" s="1"/>
  <c r="V48" i="11" s="1"/>
  <c r="O23" i="12"/>
  <c r="G23" i="12" s="1"/>
  <c r="V23" i="12" s="1"/>
  <c r="O77" i="12"/>
  <c r="G77" i="12" s="1"/>
  <c r="V77" i="12" s="1"/>
  <c r="O25" i="11"/>
  <c r="G25" i="11" s="1"/>
  <c r="V25" i="11" s="1"/>
  <c r="O40" i="12"/>
  <c r="G40" i="12" s="1"/>
  <c r="V40" i="12" s="1"/>
  <c r="O54" i="12"/>
  <c r="G54" i="12" s="1"/>
  <c r="O74" i="12"/>
  <c r="G74" i="12" s="1"/>
  <c r="V74" i="12" s="1"/>
  <c r="O63" i="12"/>
  <c r="G63" i="12" s="1"/>
  <c r="V63" i="12" s="1"/>
  <c r="O32" i="13"/>
  <c r="G32" i="13" s="1"/>
  <c r="V32" i="13" s="1"/>
  <c r="O18" i="13"/>
  <c r="G18" i="13" s="1"/>
  <c r="V18" i="13" s="1"/>
  <c r="O13" i="13"/>
  <c r="G13" i="13" s="1"/>
  <c r="V13" i="13" s="1"/>
  <c r="O80" i="13"/>
  <c r="G80" i="13" s="1"/>
  <c r="V80" i="13" s="1"/>
  <c r="O45" i="11"/>
  <c r="G45" i="11" s="1"/>
  <c r="V45" i="11" s="1"/>
  <c r="O28" i="12"/>
  <c r="G28" i="12" s="1"/>
  <c r="V28" i="12" s="1"/>
  <c r="O80" i="11"/>
  <c r="G80" i="11" s="1"/>
  <c r="V80" i="11" s="1"/>
  <c r="O68" i="13"/>
  <c r="G68" i="13" s="1"/>
  <c r="V68" i="13" s="1"/>
  <c r="O22" i="12"/>
  <c r="G22" i="12" s="1"/>
  <c r="V22" i="12" s="1"/>
  <c r="O55" i="11"/>
  <c r="G55" i="11" s="1"/>
  <c r="O15" i="12"/>
  <c r="G15" i="12" s="1"/>
  <c r="V15" i="12" s="1"/>
  <c r="O32" i="11"/>
  <c r="G32" i="11" s="1"/>
  <c r="V32" i="11" s="1"/>
  <c r="O37" i="11"/>
  <c r="G37" i="11" s="1"/>
  <c r="V37" i="11" s="1"/>
  <c r="O36" i="12"/>
  <c r="G36" i="12" s="1"/>
  <c r="V36" i="12" s="1"/>
  <c r="X84" i="5"/>
  <c r="J84" i="5" s="1"/>
  <c r="O47" i="12"/>
  <c r="G47" i="12" s="1"/>
  <c r="V47" i="12" s="1"/>
  <c r="O46" i="11"/>
  <c r="G46" i="11" s="1"/>
  <c r="V46" i="11" s="1"/>
  <c r="O62" i="12"/>
  <c r="G62" i="12" s="1"/>
  <c r="V62" i="12" s="1"/>
  <c r="O51" i="13"/>
  <c r="G51" i="13" s="1"/>
  <c r="V51" i="13" s="1"/>
  <c r="O85" i="12"/>
  <c r="G85" i="12" s="1"/>
  <c r="V85" i="12" s="1"/>
  <c r="O75" i="13"/>
  <c r="G75" i="13" s="1"/>
  <c r="V75" i="13" s="1"/>
  <c r="O30" i="13"/>
  <c r="G30" i="13" s="1"/>
  <c r="V30" i="13" s="1"/>
  <c r="O24" i="13"/>
  <c r="G24" i="13" s="1"/>
  <c r="V24" i="13" s="1"/>
  <c r="O86" i="12"/>
  <c r="G86" i="12" s="1"/>
  <c r="V86" i="12" s="1"/>
  <c r="O71" i="11"/>
  <c r="G71" i="11" s="1"/>
  <c r="V71" i="11" s="1"/>
  <c r="O72" i="12"/>
  <c r="G72" i="12" s="1"/>
  <c r="V72" i="12" s="1"/>
  <c r="O62" i="13"/>
  <c r="G62" i="13" s="1"/>
  <c r="V62" i="13" s="1"/>
  <c r="O21" i="11"/>
  <c r="G21" i="11" s="1"/>
  <c r="V21" i="11" s="1"/>
  <c r="O58" i="11"/>
  <c r="G58" i="11" s="1"/>
  <c r="V58" i="11" s="1"/>
  <c r="O16" i="11"/>
  <c r="G16" i="11" s="1"/>
  <c r="O40" i="11"/>
  <c r="G40" i="11" s="1"/>
  <c r="V40" i="11" s="1"/>
  <c r="O84" i="11"/>
  <c r="G84" i="11" s="1"/>
  <c r="V84" i="11" s="1"/>
  <c r="O86" i="13"/>
  <c r="G86" i="13" s="1"/>
  <c r="V86" i="13" s="1"/>
  <c r="O83" i="12"/>
  <c r="G83" i="12" s="1"/>
  <c r="V83" i="12" s="1"/>
  <c r="O28" i="11"/>
  <c r="G28" i="11" s="1"/>
  <c r="V28" i="11" s="1"/>
  <c r="O53" i="13"/>
  <c r="G53" i="13" s="1"/>
  <c r="V53" i="13" s="1"/>
  <c r="O44" i="11"/>
  <c r="G44" i="11" s="1"/>
  <c r="V44" i="11" s="1"/>
  <c r="O66" i="13"/>
  <c r="G66" i="13" s="1"/>
  <c r="V66" i="13" s="1"/>
  <c r="O50" i="11"/>
  <c r="G50" i="11" s="1"/>
  <c r="O29" i="11"/>
  <c r="G29" i="11" s="1"/>
  <c r="V29" i="11" s="1"/>
  <c r="O22" i="11"/>
  <c r="G22" i="11" s="1"/>
  <c r="V22" i="11" s="1"/>
  <c r="O26" i="11"/>
  <c r="G26" i="11" s="1"/>
  <c r="V26" i="11" s="1"/>
  <c r="O33" i="13"/>
  <c r="G33" i="13" s="1"/>
  <c r="V33" i="13" s="1"/>
  <c r="O37" i="12"/>
  <c r="G37" i="12" s="1"/>
  <c r="V37" i="12" s="1"/>
  <c r="O60" i="12"/>
  <c r="G60" i="12" s="1"/>
  <c r="V60" i="12" s="1"/>
  <c r="X87" i="5"/>
  <c r="J87" i="5" s="1"/>
  <c r="M87" i="5" s="1"/>
  <c r="X85" i="5"/>
  <c r="J85" i="5" s="1"/>
  <c r="O74" i="13"/>
  <c r="G74" i="13" s="1"/>
  <c r="V74" i="13" s="1"/>
  <c r="O39" i="11"/>
  <c r="G39" i="11" s="1"/>
  <c r="V39" i="11" s="1"/>
  <c r="O35" i="13"/>
  <c r="G35" i="13" s="1"/>
  <c r="V35" i="13" s="1"/>
  <c r="O85" i="11"/>
  <c r="G85" i="11" s="1"/>
  <c r="V85" i="11" s="1"/>
  <c r="O19" i="11"/>
  <c r="G19" i="11" s="1"/>
  <c r="V19" i="11" s="1"/>
  <c r="O51" i="12"/>
  <c r="G51" i="12" s="1"/>
  <c r="V51" i="12" s="1"/>
  <c r="O46" i="12"/>
  <c r="G46" i="12" s="1"/>
  <c r="O72" i="13"/>
  <c r="G72" i="13" s="1"/>
  <c r="V72" i="13" s="1"/>
  <c r="O61" i="12"/>
  <c r="G61" i="12" s="1"/>
  <c r="V61" i="12" s="1"/>
  <c r="O72" i="11"/>
  <c r="G72" i="11" s="1"/>
  <c r="V72" i="11" s="1"/>
  <c r="O86" i="11"/>
  <c r="G86" i="11" s="1"/>
  <c r="V86" i="11" s="1"/>
  <c r="O60" i="13"/>
  <c r="G60" i="13" s="1"/>
  <c r="V60" i="13" s="1"/>
  <c r="O27" i="12"/>
  <c r="G27" i="12" s="1"/>
  <c r="V27" i="12" s="1"/>
  <c r="O81" i="13"/>
  <c r="G81" i="13" s="1"/>
  <c r="V81" i="13" s="1"/>
  <c r="O73" i="11"/>
  <c r="G73" i="11" s="1"/>
  <c r="V73" i="11" s="1"/>
  <c r="O63" i="11"/>
  <c r="G63" i="11" s="1"/>
  <c r="V63" i="11" s="1"/>
  <c r="O75" i="11"/>
  <c r="G75" i="11" s="1"/>
  <c r="V75" i="11" s="1"/>
  <c r="O15" i="11"/>
  <c r="G15" i="11" s="1"/>
  <c r="V15" i="11" s="1"/>
  <c r="O53" i="12"/>
  <c r="G53" i="12" s="1"/>
  <c r="V53" i="12" s="1"/>
  <c r="O77" i="13"/>
  <c r="G77" i="13" s="1"/>
  <c r="V77" i="13" s="1"/>
  <c r="O83" i="11"/>
  <c r="G83" i="11" s="1"/>
  <c r="V83" i="11" s="1"/>
  <c r="O24" i="12"/>
  <c r="G24" i="12" s="1"/>
  <c r="V24" i="12" s="1"/>
  <c r="O69" i="11"/>
  <c r="G69" i="11" s="1"/>
  <c r="V69" i="11" s="1"/>
  <c r="O34" i="13"/>
  <c r="G34" i="13" s="1"/>
  <c r="V34" i="13" s="1"/>
  <c r="O56" i="11"/>
  <c r="G56" i="11" s="1"/>
  <c r="V56" i="11" s="1"/>
  <c r="O22" i="13"/>
  <c r="G22" i="13" s="1"/>
  <c r="V22" i="13" s="1"/>
  <c r="O56" i="12"/>
  <c r="G56" i="12" s="1"/>
  <c r="V56" i="12" s="1"/>
  <c r="O84" i="12"/>
  <c r="G84" i="12" s="1"/>
  <c r="V84" i="12" s="1"/>
  <c r="O62" i="11"/>
  <c r="G62" i="11" s="1"/>
  <c r="V62" i="11" s="1"/>
  <c r="O20" i="11"/>
  <c r="G20" i="11" s="1"/>
  <c r="O20" i="13"/>
  <c r="G20" i="13" s="1"/>
  <c r="V20" i="13" s="1"/>
  <c r="O59" i="12"/>
  <c r="G59" i="12" s="1"/>
  <c r="V59" i="12" s="1"/>
  <c r="O26" i="13"/>
  <c r="G26" i="13" s="1"/>
  <c r="V26" i="13" s="1"/>
  <c r="O82" i="12"/>
  <c r="G82" i="12" s="1"/>
  <c r="V82" i="12" s="1"/>
  <c r="O38" i="11"/>
  <c r="G38" i="11" s="1"/>
  <c r="V38" i="11" s="1"/>
  <c r="O64" i="12"/>
  <c r="G64" i="12" s="1"/>
  <c r="V64" i="12" s="1"/>
  <c r="O31" i="11"/>
  <c r="G31" i="11" s="1"/>
  <c r="V31" i="11" s="1"/>
  <c r="O13" i="12"/>
  <c r="G13" i="12" s="1"/>
  <c r="V13" i="12" s="1"/>
  <c r="O57" i="13"/>
  <c r="G57" i="13" s="1"/>
  <c r="V57" i="13" s="1"/>
  <c r="O57" i="11"/>
  <c r="G57" i="11" s="1"/>
  <c r="V57" i="11" s="1"/>
  <c r="O20" i="12"/>
  <c r="G20" i="12" s="1"/>
  <c r="V20" i="12" s="1"/>
  <c r="O13" i="11"/>
  <c r="G13" i="11" s="1"/>
  <c r="O49" i="12"/>
  <c r="G49" i="12" s="1"/>
  <c r="O78" i="12"/>
  <c r="G78" i="12" s="1"/>
  <c r="V78" i="12" s="1"/>
  <c r="O58" i="13"/>
  <c r="G58" i="13" s="1"/>
  <c r="V58" i="13" s="1"/>
  <c r="O30" i="12"/>
  <c r="G30" i="12" s="1"/>
  <c r="V30" i="12" s="1"/>
  <c r="O79" i="11"/>
  <c r="G79" i="11" s="1"/>
  <c r="V79" i="11" s="1"/>
  <c r="O48" i="13"/>
  <c r="G48" i="13" s="1"/>
  <c r="V48" i="13" s="1"/>
  <c r="O41" i="11"/>
  <c r="G41" i="11" s="1"/>
  <c r="V41" i="11" s="1"/>
  <c r="O75" i="12"/>
  <c r="G75" i="12" s="1"/>
  <c r="V75" i="12" s="1"/>
  <c r="O32" i="12"/>
  <c r="G32" i="12" s="1"/>
  <c r="V32" i="12" s="1"/>
  <c r="O83" i="13"/>
  <c r="G83" i="13" s="1"/>
  <c r="V83" i="13" s="1"/>
  <c r="O69" i="13"/>
  <c r="G69" i="13" s="1"/>
  <c r="V69" i="13" s="1"/>
  <c r="O65" i="11"/>
  <c r="G65" i="11" s="1"/>
  <c r="V65" i="11" s="1"/>
  <c r="O66" i="12"/>
  <c r="G66" i="12" s="1"/>
  <c r="V66" i="12" s="1"/>
  <c r="O56" i="13"/>
  <c r="G56" i="13" s="1"/>
  <c r="V56" i="13" s="1"/>
  <c r="O66" i="11"/>
  <c r="G66" i="11" s="1"/>
  <c r="V66" i="11" s="1"/>
  <c r="O34" i="11"/>
  <c r="G34" i="11" s="1"/>
  <c r="O30" i="11"/>
  <c r="G30" i="11" s="1"/>
  <c r="V30" i="11" s="1"/>
  <c r="O57" i="12"/>
  <c r="G57" i="12" s="1"/>
  <c r="V57" i="12" s="1"/>
  <c r="O41" i="13"/>
  <c r="G41" i="13" s="1"/>
  <c r="V41" i="13" s="1"/>
  <c r="O60" i="11"/>
  <c r="G60" i="11" s="1"/>
  <c r="V60" i="11" s="1"/>
  <c r="O33" i="12"/>
  <c r="G33" i="12" s="1"/>
  <c r="V33" i="12" s="1"/>
  <c r="O46" i="13"/>
  <c r="G46" i="13" s="1"/>
  <c r="V46" i="13" s="1"/>
  <c r="O43" i="11"/>
  <c r="G43" i="11" s="1"/>
  <c r="V43" i="11" s="1"/>
  <c r="O70" i="11"/>
  <c r="G70" i="11" s="1"/>
  <c r="V70" i="11" s="1"/>
  <c r="O25" i="13"/>
  <c r="G25" i="13" s="1"/>
  <c r="V25" i="13" s="1"/>
  <c r="O23" i="13"/>
  <c r="G23" i="13" s="1"/>
  <c r="V23" i="13" s="1"/>
  <c r="O45" i="13"/>
  <c r="G45" i="13" s="1"/>
  <c r="V45" i="13" s="1"/>
  <c r="O47" i="13"/>
  <c r="G47" i="13" s="1"/>
  <c r="V47" i="13" s="1"/>
  <c r="O25" i="12"/>
  <c r="G25" i="12" s="1"/>
  <c r="O59" i="13"/>
  <c r="G59" i="13" s="1"/>
  <c r="V59" i="13" s="1"/>
  <c r="O17" i="11"/>
  <c r="G17" i="11" s="1"/>
  <c r="V17" i="11" s="1"/>
  <c r="O51" i="11"/>
  <c r="G51" i="11" s="1"/>
  <c r="V51" i="11" s="1"/>
  <c r="O17" i="12"/>
  <c r="G17" i="12" s="1"/>
  <c r="V17" i="12" s="1"/>
  <c r="O12" i="11"/>
  <c r="G12" i="11" s="1"/>
  <c r="V12" i="11" s="1"/>
  <c r="O37" i="13"/>
  <c r="G37" i="13" s="1"/>
  <c r="V37" i="13" s="1"/>
  <c r="O24" i="11"/>
  <c r="G24" i="11" s="1"/>
  <c r="V24" i="11" s="1"/>
  <c r="O48" i="12"/>
  <c r="G48" i="12" s="1"/>
  <c r="O47" i="11"/>
  <c r="G47" i="11" s="1"/>
  <c r="V47" i="11" s="1"/>
  <c r="O42" i="13"/>
  <c r="G42" i="13" s="1"/>
  <c r="V42" i="13" s="1"/>
  <c r="O78" i="13"/>
  <c r="G78" i="13" s="1"/>
  <c r="V78" i="13" s="1"/>
  <c r="O49" i="11"/>
  <c r="G49" i="11" s="1"/>
  <c r="V49" i="11" s="1"/>
  <c r="O19" i="13"/>
  <c r="G19" i="13" s="1"/>
  <c r="V19" i="13" s="1"/>
  <c r="O16" i="13"/>
  <c r="G16" i="13" s="1"/>
  <c r="V16" i="13" s="1"/>
  <c r="O82" i="13"/>
  <c r="G82" i="13" s="1"/>
  <c r="V82" i="13" s="1"/>
  <c r="O31" i="12"/>
  <c r="G31" i="12" s="1"/>
  <c r="O53" i="11"/>
  <c r="G53" i="11" s="1"/>
  <c r="V53" i="11" s="1"/>
  <c r="O27" i="13"/>
  <c r="G27" i="13" s="1"/>
  <c r="V27" i="13" s="1"/>
  <c r="O70" i="13"/>
  <c r="G70" i="13" s="1"/>
  <c r="V70" i="13" s="1"/>
  <c r="O73" i="12"/>
  <c r="G73" i="12" s="1"/>
  <c r="V73" i="12" s="1"/>
  <c r="O21" i="12"/>
  <c r="G21" i="12" s="1"/>
  <c r="V21" i="12" s="1"/>
  <c r="O16" i="12"/>
  <c r="G16" i="12" s="1"/>
  <c r="V16" i="12" s="1"/>
  <c r="O67" i="13"/>
  <c r="G67" i="13" s="1"/>
  <c r="V67" i="13" s="1"/>
  <c r="O12" i="12"/>
  <c r="G12" i="12" s="1"/>
  <c r="V12" i="12" s="1"/>
  <c r="O79" i="12"/>
  <c r="G79" i="12" s="1"/>
  <c r="V79" i="12" s="1"/>
  <c r="O43" i="13"/>
  <c r="G43" i="13" s="1"/>
  <c r="V43" i="13" s="1"/>
  <c r="O69" i="12"/>
  <c r="G69" i="12" s="1"/>
  <c r="V69" i="12" s="1"/>
  <c r="O35" i="12"/>
  <c r="G35" i="12" s="1"/>
  <c r="V35" i="12" s="1"/>
  <c r="O52" i="13"/>
  <c r="G52" i="13" s="1"/>
  <c r="V52" i="13" s="1"/>
  <c r="O41" i="12"/>
  <c r="G41" i="12" s="1"/>
  <c r="O29" i="13"/>
  <c r="G29" i="13" s="1"/>
  <c r="V29" i="13" s="1"/>
  <c r="O52" i="12"/>
  <c r="G52" i="12" s="1"/>
  <c r="V52" i="12" s="1"/>
  <c r="O18" i="11"/>
  <c r="G18" i="11" s="1"/>
  <c r="V18" i="11" s="1"/>
  <c r="O36" i="13"/>
  <c r="G36" i="13" s="1"/>
  <c r="V36" i="13" s="1"/>
  <c r="O73" i="13"/>
  <c r="G73" i="13" s="1"/>
  <c r="V73" i="13" s="1"/>
  <c r="O19" i="12"/>
  <c r="G19" i="12" s="1"/>
  <c r="V19" i="12" s="1"/>
  <c r="O39" i="12"/>
  <c r="G39" i="12" s="1"/>
  <c r="V39" i="12" s="1"/>
  <c r="O14" i="13"/>
  <c r="G14" i="13" s="1"/>
  <c r="V14" i="13" s="1"/>
  <c r="O45" i="12"/>
  <c r="G45" i="12" s="1"/>
  <c r="V45" i="12" s="1"/>
  <c r="O35" i="11"/>
  <c r="G35" i="11" s="1"/>
  <c r="V35" i="11" s="1"/>
  <c r="O44" i="13"/>
  <c r="G44" i="13" s="1"/>
  <c r="V44" i="13" s="1"/>
  <c r="O77" i="11"/>
  <c r="G77" i="11" s="1"/>
  <c r="V77" i="11" s="1"/>
  <c r="O68" i="11"/>
  <c r="G68" i="11" s="1"/>
  <c r="V68" i="11" s="1"/>
  <c r="X86" i="5"/>
  <c r="J86" i="5" s="1"/>
  <c r="M86" i="5" s="1"/>
  <c r="F86" i="5" s="1"/>
  <c r="D544" i="21"/>
  <c r="E897" i="21"/>
  <c r="P896" i="21"/>
  <c r="C545" i="21"/>
  <c r="C896" i="21"/>
  <c r="C894" i="21"/>
  <c r="C314" i="14"/>
  <c r="B543" i="21"/>
  <c r="C897" i="21"/>
  <c r="C543" i="21"/>
  <c r="B1004" i="21"/>
  <c r="K89" i="14"/>
  <c r="J89" i="14"/>
  <c r="C540" i="21"/>
  <c r="I89" i="14"/>
  <c r="R1003" i="21"/>
  <c r="E1003" i="21"/>
  <c r="D540" i="21"/>
  <c r="G89" i="14"/>
  <c r="C539" i="21"/>
  <c r="E894" i="21"/>
  <c r="D290" i="9"/>
  <c r="S896" i="21"/>
  <c r="F894" i="21"/>
  <c r="F89" i="14"/>
  <c r="T1003" i="21"/>
  <c r="F897" i="21"/>
  <c r="D292" i="9"/>
  <c r="C313" i="9"/>
  <c r="D539" i="21"/>
  <c r="E896" i="21"/>
  <c r="D293" i="9"/>
  <c r="D287" i="9"/>
  <c r="D291" i="9"/>
  <c r="T896" i="21"/>
  <c r="H89" i="14"/>
  <c r="D286" i="9"/>
  <c r="D896" i="21"/>
  <c r="B897" i="21"/>
  <c r="C541" i="21"/>
  <c r="D289" i="9"/>
  <c r="D543" i="21"/>
  <c r="D545" i="21"/>
  <c r="Q896" i="21"/>
  <c r="P1003" i="21"/>
  <c r="F896" i="21"/>
  <c r="V896" i="21"/>
  <c r="G894" i="21"/>
  <c r="C1003" i="21"/>
  <c r="F1004" i="21"/>
  <c r="B542" i="21"/>
  <c r="E1004" i="21"/>
  <c r="D542" i="21"/>
  <c r="D897" i="21"/>
  <c r="G897" i="21"/>
  <c r="R896" i="21"/>
  <c r="B896" i="21"/>
  <c r="H758" i="21"/>
  <c r="D1001" i="21"/>
  <c r="D1003" i="21"/>
  <c r="D1004" i="21"/>
  <c r="B544" i="21"/>
  <c r="S1003" i="21"/>
  <c r="B1001" i="21"/>
  <c r="B541" i="21"/>
  <c r="Q1033" i="21"/>
  <c r="C315" i="9"/>
  <c r="E1001" i="21"/>
  <c r="U896" i="21"/>
  <c r="G896" i="21"/>
  <c r="B539" i="21"/>
  <c r="C316" i="9"/>
  <c r="B545" i="21"/>
  <c r="D894" i="21"/>
  <c r="C542" i="21"/>
  <c r="C1001" i="21"/>
  <c r="U757" i="21"/>
  <c r="H759" i="21"/>
  <c r="F1003" i="21"/>
  <c r="G1004" i="21"/>
  <c r="B894" i="21"/>
  <c r="Q1003" i="21"/>
  <c r="H896" i="21"/>
  <c r="H894" i="21"/>
  <c r="C1004" i="21"/>
  <c r="G1003" i="21"/>
  <c r="H756" i="21"/>
  <c r="H1036" i="21"/>
  <c r="B540" i="21"/>
  <c r="C544" i="21"/>
  <c r="U1003" i="21"/>
  <c r="F1001" i="21"/>
  <c r="D288" i="9"/>
  <c r="H897" i="21"/>
  <c r="B1003" i="21"/>
  <c r="D541" i="21"/>
  <c r="Q93" i="24" l="1"/>
  <c r="H93" i="24" s="1"/>
  <c r="AJ93" i="24" s="1"/>
  <c r="D88" i="25"/>
  <c r="V91" i="25"/>
  <c r="I91" i="25" s="1"/>
  <c r="M91" i="25" s="1"/>
  <c r="F91" i="25" s="1"/>
  <c r="V90" i="25"/>
  <c r="U93" i="24"/>
  <c r="I93" i="24" s="1"/>
  <c r="AK93" i="24" s="1"/>
  <c r="C94" i="25"/>
  <c r="AO94" i="13"/>
  <c r="AY94" i="12"/>
  <c r="AW94" i="11"/>
  <c r="C94" i="24"/>
  <c r="AY94" i="8"/>
  <c r="AR94" i="7"/>
  <c r="AP94" i="5"/>
  <c r="AQ94" i="6"/>
  <c r="O92" i="25"/>
  <c r="G92" i="25" s="1"/>
  <c r="V92" i="25" s="1"/>
  <c r="T1157" i="21"/>
  <c r="T1158" i="21"/>
  <c r="T1159" i="21"/>
  <c r="W76" i="13"/>
  <c r="V76" i="13"/>
  <c r="V31" i="12"/>
  <c r="I31" i="12" s="1"/>
  <c r="M31" i="12" s="1"/>
  <c r="F31" i="12" s="1"/>
  <c r="V48" i="12"/>
  <c r="I48" i="12" s="1"/>
  <c r="M48" i="12" s="1"/>
  <c r="F48" i="12" s="1"/>
  <c r="D48" i="12" s="1"/>
  <c r="V49" i="12"/>
  <c r="I49" i="12" s="1"/>
  <c r="M49" i="12" s="1"/>
  <c r="F49" i="12" s="1"/>
  <c r="V43" i="12"/>
  <c r="I43" i="12" s="1"/>
  <c r="M43" i="12" s="1"/>
  <c r="F43" i="12" s="1"/>
  <c r="V25" i="12"/>
  <c r="I25" i="12" s="1"/>
  <c r="M25" i="12" s="1"/>
  <c r="F25" i="12" s="1"/>
  <c r="V46" i="12"/>
  <c r="I46" i="12" s="1"/>
  <c r="M46" i="12" s="1"/>
  <c r="F46" i="12" s="1"/>
  <c r="D46" i="12" s="1"/>
  <c r="V41" i="12"/>
  <c r="I41" i="12" s="1"/>
  <c r="M41" i="12" s="1"/>
  <c r="F41" i="12" s="1"/>
  <c r="V54" i="12"/>
  <c r="I54" i="12" s="1"/>
  <c r="M54" i="12" s="1"/>
  <c r="F54" i="12" s="1"/>
  <c r="V44" i="12"/>
  <c r="I44" i="12" s="1"/>
  <c r="M44" i="12" s="1"/>
  <c r="F44" i="12" s="1"/>
  <c r="V33" i="11"/>
  <c r="I33" i="11" s="1"/>
  <c r="M33" i="11" s="1"/>
  <c r="F33" i="11" s="1"/>
  <c r="D33" i="11" s="1"/>
  <c r="V34" i="11"/>
  <c r="I34" i="11" s="1"/>
  <c r="M34" i="11" s="1"/>
  <c r="F34" i="11" s="1"/>
  <c r="D34" i="11" s="1"/>
  <c r="V13" i="11"/>
  <c r="I13" i="11" s="1"/>
  <c r="M13" i="11" s="1"/>
  <c r="F13" i="11" s="1"/>
  <c r="D13" i="11" s="1"/>
  <c r="V20" i="11"/>
  <c r="I20" i="11" s="1"/>
  <c r="M20" i="11" s="1"/>
  <c r="F20" i="11" s="1"/>
  <c r="D20" i="11" s="1"/>
  <c r="V55" i="11"/>
  <c r="I55" i="11" s="1"/>
  <c r="M55" i="11" s="1"/>
  <c r="F55" i="11" s="1"/>
  <c r="D55" i="11" s="1"/>
  <c r="V16" i="11"/>
  <c r="I16" i="11" s="1"/>
  <c r="M16" i="11" s="1"/>
  <c r="F16" i="11" s="1"/>
  <c r="D16" i="11" s="1"/>
  <c r="V50" i="11"/>
  <c r="I50" i="11" s="1"/>
  <c r="M50" i="11" s="1"/>
  <c r="F50" i="11" s="1"/>
  <c r="D50" i="11" s="1"/>
  <c r="V10" i="11"/>
  <c r="I10" i="11" s="1"/>
  <c r="M10" i="11" s="1"/>
  <c r="F10" i="11" s="1"/>
  <c r="D10" i="11" s="1"/>
  <c r="W92" i="25"/>
  <c r="AP93" i="24"/>
  <c r="AQ93" i="24" s="1"/>
  <c r="L93" i="24" s="1"/>
  <c r="BA93" i="8"/>
  <c r="AT93" i="7"/>
  <c r="AR93" i="5"/>
  <c r="AS93" i="6"/>
  <c r="AQ93" i="13"/>
  <c r="AY93" i="11"/>
  <c r="BA93" i="12"/>
  <c r="N93" i="25"/>
  <c r="AX93" i="11"/>
  <c r="AP93" i="13"/>
  <c r="AZ93" i="12"/>
  <c r="O92" i="24"/>
  <c r="G92" i="24" s="1"/>
  <c r="AA92" i="24" s="1"/>
  <c r="J92" i="24" s="1"/>
  <c r="M92" i="24" s="1"/>
  <c r="F92" i="24" s="1"/>
  <c r="N93" i="24"/>
  <c r="E93" i="24" s="1"/>
  <c r="AQ93" i="5"/>
  <c r="AS93" i="7"/>
  <c r="AZ93" i="8"/>
  <c r="AR93" i="6"/>
  <c r="D91" i="24"/>
  <c r="I92" i="19"/>
  <c r="M92" i="19"/>
  <c r="T93" i="19"/>
  <c r="O91" i="19"/>
  <c r="AO94" i="25" s="1"/>
  <c r="AP94" i="25" s="1"/>
  <c r="K94" i="25" s="1"/>
  <c r="X92" i="19"/>
  <c r="N91" i="19"/>
  <c r="N94" i="25" s="1"/>
  <c r="K91" i="19"/>
  <c r="AP94" i="24" s="1"/>
  <c r="AQ94" i="24" s="1"/>
  <c r="L94" i="24" s="1"/>
  <c r="J91" i="19"/>
  <c r="N94" i="24" s="1"/>
  <c r="K1183" i="21"/>
  <c r="J1183" i="21"/>
  <c r="K1179" i="21"/>
  <c r="J1179" i="21"/>
  <c r="AI93" i="25"/>
  <c r="AJ93" i="25"/>
  <c r="AK93" i="25"/>
  <c r="AH93" i="25"/>
  <c r="AR93" i="25"/>
  <c r="L93" i="25" s="1"/>
  <c r="R93" i="25"/>
  <c r="H93" i="25" s="1"/>
  <c r="I1176" i="21"/>
  <c r="K1176" i="21"/>
  <c r="J1176" i="21"/>
  <c r="J1182" i="21"/>
  <c r="I1182" i="21"/>
  <c r="K1182" i="21"/>
  <c r="K1178" i="21"/>
  <c r="J1178" i="21"/>
  <c r="I1178" i="21"/>
  <c r="W20" i="19"/>
  <c r="J1180" i="21"/>
  <c r="I1180" i="21"/>
  <c r="K1180" i="21"/>
  <c r="J1181" i="21"/>
  <c r="K1181" i="21"/>
  <c r="I1181" i="21"/>
  <c r="I1177" i="21"/>
  <c r="J1177" i="21"/>
  <c r="K1177" i="21"/>
  <c r="M90" i="8"/>
  <c r="F90" i="8" s="1"/>
  <c r="D90" i="8" s="1"/>
  <c r="I1004" i="21"/>
  <c r="J897" i="21"/>
  <c r="L897" i="21"/>
  <c r="K897" i="21"/>
  <c r="I897" i="21"/>
  <c r="H1004" i="21"/>
  <c r="W1003" i="21"/>
  <c r="X896" i="21"/>
  <c r="W896" i="21"/>
  <c r="V1003" i="21"/>
  <c r="Z896" i="21"/>
  <c r="Y896" i="21"/>
  <c r="I1003" i="21"/>
  <c r="J896" i="21"/>
  <c r="K896" i="21"/>
  <c r="L896" i="21"/>
  <c r="H1003" i="21"/>
  <c r="I896" i="21"/>
  <c r="D89" i="5"/>
  <c r="F89" i="12"/>
  <c r="M90" i="12"/>
  <c r="F90" i="12" s="1"/>
  <c r="D88" i="12"/>
  <c r="D88" i="5"/>
  <c r="M90" i="5"/>
  <c r="F90" i="5" s="1"/>
  <c r="W90" i="25"/>
  <c r="I43" i="11"/>
  <c r="M43" i="11" s="1"/>
  <c r="F43" i="11" s="1"/>
  <c r="D43" i="11" s="1"/>
  <c r="I61" i="11"/>
  <c r="M61" i="11" s="1"/>
  <c r="F61" i="11" s="1"/>
  <c r="D61" i="11" s="1"/>
  <c r="I18" i="11"/>
  <c r="M18" i="11" s="1"/>
  <c r="F18" i="11" s="1"/>
  <c r="D18" i="11" s="1"/>
  <c r="I53" i="11"/>
  <c r="M53" i="11" s="1"/>
  <c r="F53" i="11" s="1"/>
  <c r="D53" i="11" s="1"/>
  <c r="I47" i="11"/>
  <c r="M47" i="11" s="1"/>
  <c r="F47" i="11" s="1"/>
  <c r="D47" i="11" s="1"/>
  <c r="I12" i="11"/>
  <c r="M12" i="11" s="1"/>
  <c r="F12" i="11" s="1"/>
  <c r="D12" i="11" s="1"/>
  <c r="I85" i="11"/>
  <c r="M85" i="11" s="1"/>
  <c r="F85" i="11" s="1"/>
  <c r="D85" i="11" s="1"/>
  <c r="I26" i="11"/>
  <c r="M26" i="11" s="1"/>
  <c r="F26" i="11" s="1"/>
  <c r="D26" i="11" s="1"/>
  <c r="I67" i="11"/>
  <c r="M67" i="11" s="1"/>
  <c r="F67" i="11" s="1"/>
  <c r="D67" i="11" s="1"/>
  <c r="I59" i="11"/>
  <c r="M59" i="11" s="1"/>
  <c r="F59" i="11" s="1"/>
  <c r="D59" i="11" s="1"/>
  <c r="I52" i="11"/>
  <c r="M52" i="11" s="1"/>
  <c r="F52" i="11" s="1"/>
  <c r="D52" i="11" s="1"/>
  <c r="I57" i="11"/>
  <c r="M57" i="11" s="1"/>
  <c r="F57" i="11" s="1"/>
  <c r="D57" i="11" s="1"/>
  <c r="I63" i="11"/>
  <c r="M63" i="11" s="1"/>
  <c r="F63" i="11" s="1"/>
  <c r="D63" i="11" s="1"/>
  <c r="I37" i="11"/>
  <c r="M37" i="11" s="1"/>
  <c r="F37" i="11" s="1"/>
  <c r="D37" i="11" s="1"/>
  <c r="I45" i="11"/>
  <c r="M45" i="11" s="1"/>
  <c r="F45" i="11" s="1"/>
  <c r="D45" i="11" s="1"/>
  <c r="I48" i="11"/>
  <c r="M48" i="11" s="1"/>
  <c r="F48" i="11" s="1"/>
  <c r="D48" i="11" s="1"/>
  <c r="I82" i="11"/>
  <c r="M82" i="11" s="1"/>
  <c r="F82" i="11" s="1"/>
  <c r="D82" i="11" s="1"/>
  <c r="I87" i="11"/>
  <c r="M87" i="11" s="1"/>
  <c r="F87" i="11" s="1"/>
  <c r="D87" i="11" s="1"/>
  <c r="I27" i="11"/>
  <c r="M27" i="11" s="1"/>
  <c r="F27" i="11" s="1"/>
  <c r="D27" i="11" s="1"/>
  <c r="I74" i="11"/>
  <c r="M74" i="11" s="1"/>
  <c r="F74" i="11" s="1"/>
  <c r="D74" i="11" s="1"/>
  <c r="I35" i="11"/>
  <c r="M35" i="11" s="1"/>
  <c r="F35" i="11" s="1"/>
  <c r="D35" i="11" s="1"/>
  <c r="I49" i="11"/>
  <c r="M49" i="11" s="1"/>
  <c r="F49" i="11" s="1"/>
  <c r="D49" i="11" s="1"/>
  <c r="I58" i="11"/>
  <c r="M58" i="11" s="1"/>
  <c r="F58" i="11" s="1"/>
  <c r="D58" i="11" s="1"/>
  <c r="I42" i="11"/>
  <c r="M42" i="11" s="1"/>
  <c r="F42" i="11" s="1"/>
  <c r="D42" i="11" s="1"/>
  <c r="I79" i="11"/>
  <c r="I69" i="11"/>
  <c r="M69" i="11" s="1"/>
  <c r="F69" i="11" s="1"/>
  <c r="D69" i="11" s="1"/>
  <c r="I32" i="11"/>
  <c r="M32" i="11" s="1"/>
  <c r="F32" i="11" s="1"/>
  <c r="D32" i="11" s="1"/>
  <c r="I25" i="11"/>
  <c r="M25" i="11" s="1"/>
  <c r="F25" i="11" s="1"/>
  <c r="D25" i="11" s="1"/>
  <c r="I23" i="11"/>
  <c r="M23" i="11" s="1"/>
  <c r="F23" i="11" s="1"/>
  <c r="D23" i="11" s="1"/>
  <c r="I24" i="11"/>
  <c r="M24" i="11" s="1"/>
  <c r="F24" i="11" s="1"/>
  <c r="D24" i="11" s="1"/>
  <c r="I51" i="11"/>
  <c r="M51" i="11" s="1"/>
  <c r="F51" i="11" s="1"/>
  <c r="D51" i="11" s="1"/>
  <c r="I70" i="11"/>
  <c r="M70" i="11" s="1"/>
  <c r="F70" i="11" s="1"/>
  <c r="D70" i="11" s="1"/>
  <c r="I15" i="11"/>
  <c r="M15" i="11" s="1"/>
  <c r="F15" i="11" s="1"/>
  <c r="D15" i="11" s="1"/>
  <c r="I72" i="11"/>
  <c r="M72" i="11" s="1"/>
  <c r="F72" i="11" s="1"/>
  <c r="D72" i="11" s="1"/>
  <c r="I39" i="11"/>
  <c r="M39" i="11" s="1"/>
  <c r="F39" i="11" s="1"/>
  <c r="D39" i="11" s="1"/>
  <c r="I29" i="11"/>
  <c r="M29" i="11" s="1"/>
  <c r="F29" i="11" s="1"/>
  <c r="D29" i="11" s="1"/>
  <c r="I84" i="11"/>
  <c r="M84" i="11" s="1"/>
  <c r="F84" i="11" s="1"/>
  <c r="D84" i="11" s="1"/>
  <c r="I21" i="11"/>
  <c r="M21" i="11" s="1"/>
  <c r="F21" i="11" s="1"/>
  <c r="D21" i="11" s="1"/>
  <c r="I76" i="11"/>
  <c r="M76" i="11" s="1"/>
  <c r="F76" i="11" s="1"/>
  <c r="D76" i="11" s="1"/>
  <c r="I11" i="11"/>
  <c r="M11" i="11" s="1"/>
  <c r="F11" i="11" s="1"/>
  <c r="D11" i="11" s="1"/>
  <c r="I44" i="11"/>
  <c r="M44" i="11" s="1"/>
  <c r="F44" i="11" s="1"/>
  <c r="D44" i="11" s="1"/>
  <c r="I36" i="11"/>
  <c r="M36" i="11" s="1"/>
  <c r="F36" i="11" s="1"/>
  <c r="D36" i="11" s="1"/>
  <c r="I7" i="11"/>
  <c r="M7" i="11" s="1"/>
  <c r="F7" i="11" s="1"/>
  <c r="D7" i="11" s="1"/>
  <c r="I14" i="11"/>
  <c r="M14" i="11" s="1"/>
  <c r="F14" i="11" s="1"/>
  <c r="D14" i="11" s="1"/>
  <c r="I54" i="11"/>
  <c r="M54" i="11" s="1"/>
  <c r="F54" i="11" s="1"/>
  <c r="D54" i="11" s="1"/>
  <c r="I64" i="11"/>
  <c r="M64" i="11" s="1"/>
  <c r="F64" i="11" s="1"/>
  <c r="D64" i="11" s="1"/>
  <c r="I62" i="11"/>
  <c r="M62" i="11" s="1"/>
  <c r="F62" i="11" s="1"/>
  <c r="D62" i="11" s="1"/>
  <c r="I75" i="11"/>
  <c r="M75" i="11" s="1"/>
  <c r="F75" i="11" s="1"/>
  <c r="D75" i="11" s="1"/>
  <c r="I30" i="11"/>
  <c r="M30" i="11" s="1"/>
  <c r="F30" i="11" s="1"/>
  <c r="D30" i="11" s="1"/>
  <c r="I38" i="11"/>
  <c r="M38" i="11" s="1"/>
  <c r="F38" i="11" s="1"/>
  <c r="D38" i="11" s="1"/>
  <c r="I73" i="11"/>
  <c r="M73" i="11" s="1"/>
  <c r="F73" i="11" s="1"/>
  <c r="D73" i="11" s="1"/>
  <c r="I86" i="11"/>
  <c r="M86" i="11" s="1"/>
  <c r="F86" i="11" s="1"/>
  <c r="D86" i="11" s="1"/>
  <c r="I22" i="11"/>
  <c r="M22" i="11" s="1"/>
  <c r="F22" i="11" s="1"/>
  <c r="D22" i="11" s="1"/>
  <c r="I71" i="11"/>
  <c r="M71" i="11" s="1"/>
  <c r="F71" i="11" s="1"/>
  <c r="D71" i="11" s="1"/>
  <c r="I46" i="11"/>
  <c r="M46" i="11" s="1"/>
  <c r="F46" i="11" s="1"/>
  <c r="D46" i="11" s="1"/>
  <c r="I9" i="11"/>
  <c r="M9" i="11" s="1"/>
  <c r="F9" i="11" s="1"/>
  <c r="D9" i="11" s="1"/>
  <c r="I68" i="11"/>
  <c r="M68" i="11" s="1"/>
  <c r="F68" i="11" s="1"/>
  <c r="D68" i="11" s="1"/>
  <c r="I60" i="11"/>
  <c r="M60" i="11" s="1"/>
  <c r="F60" i="11" s="1"/>
  <c r="D60" i="11" s="1"/>
  <c r="I65" i="11"/>
  <c r="M65" i="11" s="1"/>
  <c r="F65" i="11" s="1"/>
  <c r="D65" i="11" s="1"/>
  <c r="I77" i="11"/>
  <c r="M77" i="11" s="1"/>
  <c r="F77" i="11" s="1"/>
  <c r="D77" i="11" s="1"/>
  <c r="I17" i="11"/>
  <c r="M17" i="11" s="1"/>
  <c r="F17" i="11" s="1"/>
  <c r="D17" i="11" s="1"/>
  <c r="I66" i="11"/>
  <c r="M66" i="11" s="1"/>
  <c r="F66" i="11" s="1"/>
  <c r="D66" i="11" s="1"/>
  <c r="I41" i="11"/>
  <c r="M41" i="11" s="1"/>
  <c r="F41" i="11" s="1"/>
  <c r="D41" i="11" s="1"/>
  <c r="I31" i="11"/>
  <c r="M31" i="11" s="1"/>
  <c r="F31" i="11" s="1"/>
  <c r="D31" i="11" s="1"/>
  <c r="I56" i="11"/>
  <c r="M56" i="11" s="1"/>
  <c r="F56" i="11" s="1"/>
  <c r="D56" i="11" s="1"/>
  <c r="I83" i="11"/>
  <c r="M83" i="11" s="1"/>
  <c r="F83" i="11" s="1"/>
  <c r="D83" i="11" s="1"/>
  <c r="I19" i="11"/>
  <c r="M19" i="11" s="1"/>
  <c r="F19" i="11" s="1"/>
  <c r="D19" i="11" s="1"/>
  <c r="I28" i="11"/>
  <c r="M28" i="11" s="1"/>
  <c r="F28" i="11" s="1"/>
  <c r="D28" i="11" s="1"/>
  <c r="I40" i="11"/>
  <c r="M40" i="11" s="1"/>
  <c r="F40" i="11" s="1"/>
  <c r="D40" i="11" s="1"/>
  <c r="I80" i="11"/>
  <c r="M80" i="11" s="1"/>
  <c r="F80" i="11" s="1"/>
  <c r="D80" i="11" s="1"/>
  <c r="I78" i="11"/>
  <c r="M78" i="11" s="1"/>
  <c r="F78" i="11" s="1"/>
  <c r="D78" i="11" s="1"/>
  <c r="I81" i="11"/>
  <c r="M81" i="11" s="1"/>
  <c r="F81" i="11" s="1"/>
  <c r="D81" i="11" s="1"/>
  <c r="I8" i="11"/>
  <c r="M8" i="11" s="1"/>
  <c r="F8" i="11" s="1"/>
  <c r="D8" i="11" s="1"/>
  <c r="D89" i="25"/>
  <c r="C546" i="21"/>
  <c r="D546" i="21"/>
  <c r="B546" i="21"/>
  <c r="W12" i="13"/>
  <c r="I12" i="13" s="1"/>
  <c r="M12" i="13" s="1"/>
  <c r="F12" i="13" s="1"/>
  <c r="D12" i="13" s="1"/>
  <c r="F87" i="5"/>
  <c r="I10" i="12"/>
  <c r="M10" i="12" s="1"/>
  <c r="I8" i="12"/>
  <c r="M8" i="12" s="1"/>
  <c r="I11" i="12"/>
  <c r="M11" i="12" s="1"/>
  <c r="W9" i="13"/>
  <c r="W7" i="13"/>
  <c r="W10" i="13"/>
  <c r="I9" i="12"/>
  <c r="M9" i="12" s="1"/>
  <c r="W8" i="13"/>
  <c r="I7" i="12"/>
  <c r="W11" i="13"/>
  <c r="T1111" i="21"/>
  <c r="T1147" i="21"/>
  <c r="T1075" i="21"/>
  <c r="T1087" i="21"/>
  <c r="T1135" i="21"/>
  <c r="T1123" i="21"/>
  <c r="T1099" i="21"/>
  <c r="T1137" i="21"/>
  <c r="T1089" i="21"/>
  <c r="T1077" i="21"/>
  <c r="T1149" i="21"/>
  <c r="T1101" i="21"/>
  <c r="T1125" i="21"/>
  <c r="T1113" i="21"/>
  <c r="T1124" i="21"/>
  <c r="T1112" i="21"/>
  <c r="T1076" i="21"/>
  <c r="T1136" i="21"/>
  <c r="T1100" i="21"/>
  <c r="T1148" i="21"/>
  <c r="T1088" i="21"/>
  <c r="T1145" i="21"/>
  <c r="T1073" i="21"/>
  <c r="T1121" i="21"/>
  <c r="T1097" i="21"/>
  <c r="T1085" i="21"/>
  <c r="T1133" i="21"/>
  <c r="T1109" i="21"/>
  <c r="T1150" i="21"/>
  <c r="T1078" i="21"/>
  <c r="T1102" i="21"/>
  <c r="T1090" i="21"/>
  <c r="T1126" i="21"/>
  <c r="T1138" i="21"/>
  <c r="T1114" i="21"/>
  <c r="I894" i="21"/>
  <c r="T1098" i="21"/>
  <c r="T1074" i="21"/>
  <c r="T1110" i="21"/>
  <c r="T1146" i="21"/>
  <c r="T1134" i="21"/>
  <c r="T1086" i="21"/>
  <c r="T1122" i="21"/>
  <c r="K894" i="21"/>
  <c r="L894" i="21"/>
  <c r="J894" i="21"/>
  <c r="I57" i="12"/>
  <c r="I78" i="12"/>
  <c r="M78" i="12" s="1"/>
  <c r="I81" i="12"/>
  <c r="M81" i="12" s="1"/>
  <c r="W63" i="13"/>
  <c r="W70" i="13"/>
  <c r="W47" i="13"/>
  <c r="I33" i="12"/>
  <c r="W83" i="13"/>
  <c r="W48" i="13"/>
  <c r="I64" i="12"/>
  <c r="M64" i="12" s="1"/>
  <c r="F64" i="12" s="1"/>
  <c r="D64" i="12" s="1"/>
  <c r="I59" i="12"/>
  <c r="M59" i="12" s="1"/>
  <c r="I84" i="12"/>
  <c r="M84" i="12" s="1"/>
  <c r="W34" i="13"/>
  <c r="W53" i="13"/>
  <c r="I86" i="12"/>
  <c r="I85" i="12"/>
  <c r="W80" i="13"/>
  <c r="I34" i="12"/>
  <c r="M34" i="12" s="1"/>
  <c r="I58" i="12"/>
  <c r="M58" i="12" s="1"/>
  <c r="I50" i="12"/>
  <c r="M50" i="12" s="1"/>
  <c r="W38" i="13"/>
  <c r="W27" i="13"/>
  <c r="I32" i="12"/>
  <c r="M32" i="12" s="1"/>
  <c r="W57" i="13"/>
  <c r="W20" i="13"/>
  <c r="W77" i="13"/>
  <c r="W60" i="13"/>
  <c r="W72" i="13"/>
  <c r="I37" i="12"/>
  <c r="M37" i="12" s="1"/>
  <c r="I47" i="12"/>
  <c r="M47" i="12" s="1"/>
  <c r="W68" i="13"/>
  <c r="I63" i="12"/>
  <c r="W31" i="13"/>
  <c r="M83" i="5"/>
  <c r="I76" i="12"/>
  <c r="M76" i="12" s="1"/>
  <c r="W28" i="13"/>
  <c r="I55" i="12"/>
  <c r="I42" i="12"/>
  <c r="M42" i="12" s="1"/>
  <c r="W65" i="13"/>
  <c r="W73" i="13"/>
  <c r="I27" i="12"/>
  <c r="M27" i="12" s="1"/>
  <c r="W74" i="13"/>
  <c r="W84" i="13"/>
  <c r="W14" i="13"/>
  <c r="W42" i="13"/>
  <c r="W24" i="13"/>
  <c r="I77" i="12"/>
  <c r="M77" i="12" s="1"/>
  <c r="F77" i="12" s="1"/>
  <c r="W52" i="13"/>
  <c r="I21" i="12"/>
  <c r="M21" i="12" s="1"/>
  <c r="I56" i="12"/>
  <c r="M56" i="12" s="1"/>
  <c r="W62" i="13"/>
  <c r="W13" i="13"/>
  <c r="I68" i="12"/>
  <c r="M68" i="12" s="1"/>
  <c r="I18" i="12"/>
  <c r="M18" i="12" s="1"/>
  <c r="I26" i="12"/>
  <c r="W40" i="13"/>
  <c r="W59" i="13"/>
  <c r="I75" i="12"/>
  <c r="M75" i="12" s="1"/>
  <c r="I82" i="12"/>
  <c r="M82" i="12" s="1"/>
  <c r="W22" i="13"/>
  <c r="I24" i="12"/>
  <c r="M24" i="12" s="1"/>
  <c r="W81" i="13"/>
  <c r="W35" i="13"/>
  <c r="W30" i="13"/>
  <c r="I36" i="12"/>
  <c r="I28" i="12"/>
  <c r="M28" i="12" s="1"/>
  <c r="I23" i="12"/>
  <c r="M23" i="12" s="1"/>
  <c r="W49" i="13"/>
  <c r="I87" i="12"/>
  <c r="W39" i="13"/>
  <c r="W15" i="13"/>
  <c r="I70" i="12"/>
  <c r="I29" i="12"/>
  <c r="M29" i="12" s="1"/>
  <c r="I45" i="12"/>
  <c r="M45" i="12" s="1"/>
  <c r="F45" i="12" s="1"/>
  <c r="D45" i="12" s="1"/>
  <c r="W56" i="13"/>
  <c r="I61" i="12"/>
  <c r="M82" i="5"/>
  <c r="F82" i="5" s="1"/>
  <c r="W79" i="13"/>
  <c r="I80" i="12"/>
  <c r="M80" i="12" s="1"/>
  <c r="W36" i="13"/>
  <c r="I69" i="12"/>
  <c r="M69" i="12" s="1"/>
  <c r="W82" i="13"/>
  <c r="W43" i="13"/>
  <c r="I66" i="12"/>
  <c r="M66" i="12" s="1"/>
  <c r="M85" i="5"/>
  <c r="F85" i="5" s="1"/>
  <c r="W54" i="13"/>
  <c r="I30" i="12"/>
  <c r="I13" i="12"/>
  <c r="M13" i="12" s="1"/>
  <c r="W33" i="13"/>
  <c r="M84" i="5"/>
  <c r="I74" i="12"/>
  <c r="M74" i="12" s="1"/>
  <c r="I67" i="12"/>
  <c r="I19" i="12"/>
  <c r="M19" i="12" s="1"/>
  <c r="W58" i="13"/>
  <c r="I20" i="12"/>
  <c r="M20" i="12" s="1"/>
  <c r="W26" i="13"/>
  <c r="W66" i="13"/>
  <c r="I83" i="12"/>
  <c r="M83" i="12" s="1"/>
  <c r="I72" i="12"/>
  <c r="M72" i="12" s="1"/>
  <c r="I62" i="12"/>
  <c r="M62" i="12" s="1"/>
  <c r="W18" i="13"/>
  <c r="W85" i="13"/>
  <c r="I65" i="12"/>
  <c r="I71" i="12"/>
  <c r="M71" i="12" s="1"/>
  <c r="W61" i="13"/>
  <c r="W71" i="13"/>
  <c r="W29" i="13"/>
  <c r="W67" i="13"/>
  <c r="W78" i="13"/>
  <c r="W44" i="13"/>
  <c r="I16" i="12"/>
  <c r="M16" i="12" s="1"/>
  <c r="W16" i="13"/>
  <c r="W37" i="13"/>
  <c r="I53" i="12"/>
  <c r="W51" i="13"/>
  <c r="I15" i="12"/>
  <c r="M15" i="12" s="1"/>
  <c r="W21" i="13"/>
  <c r="W17" i="13"/>
  <c r="D86" i="5"/>
  <c r="I39" i="12"/>
  <c r="M39" i="12" s="1"/>
  <c r="I79" i="12"/>
  <c r="M79" i="12" s="1"/>
  <c r="F79" i="12" s="1"/>
  <c r="W45" i="13"/>
  <c r="I38" i="12"/>
  <c r="M38" i="12" s="1"/>
  <c r="W64" i="13"/>
  <c r="I52" i="12"/>
  <c r="M52" i="12" s="1"/>
  <c r="W19" i="13"/>
  <c r="I35" i="12"/>
  <c r="M35" i="12" s="1"/>
  <c r="I12" i="12"/>
  <c r="W23" i="13"/>
  <c r="W41" i="13"/>
  <c r="I73" i="12"/>
  <c r="I17" i="12"/>
  <c r="M17" i="12" s="1"/>
  <c r="W25" i="13"/>
  <c r="W46" i="13"/>
  <c r="W69" i="13"/>
  <c r="I51" i="12"/>
  <c r="M51" i="12" s="1"/>
  <c r="I60" i="12"/>
  <c r="W86" i="13"/>
  <c r="W75" i="13"/>
  <c r="I22" i="12"/>
  <c r="W32" i="13"/>
  <c r="I40" i="12"/>
  <c r="M40" i="12" s="1"/>
  <c r="W55" i="13"/>
  <c r="W50" i="13"/>
  <c r="W87" i="13"/>
  <c r="I14" i="12"/>
  <c r="M14" i="12" s="1"/>
  <c r="AG66" i="7"/>
  <c r="T66" i="7"/>
  <c r="I66" i="7" s="1"/>
  <c r="AH66" i="7" s="1"/>
  <c r="AE66" i="7"/>
  <c r="Q66" i="7"/>
  <c r="H66" i="7" s="1"/>
  <c r="T38" i="6"/>
  <c r="I38" i="6" s="1"/>
  <c r="AG38" i="6"/>
  <c r="AC38" i="6"/>
  <c r="AF38" i="6"/>
  <c r="AD38" i="6"/>
  <c r="AE38" i="6"/>
  <c r="Q38" i="6"/>
  <c r="H38" i="6" s="1"/>
  <c r="W38" i="6"/>
  <c r="J38" i="6" s="1"/>
  <c r="AF32" i="6"/>
  <c r="T32" i="6"/>
  <c r="I32" i="6" s="1"/>
  <c r="Q32" i="6"/>
  <c r="H32" i="6" s="1"/>
  <c r="W32" i="6"/>
  <c r="J32" i="6" s="1"/>
  <c r="AC32" i="6"/>
  <c r="AD32" i="6"/>
  <c r="AE32" i="6"/>
  <c r="AG32" i="6"/>
  <c r="AE16" i="6"/>
  <c r="AD16" i="6"/>
  <c r="AG16" i="6"/>
  <c r="W16" i="6"/>
  <c r="J16" i="6" s="1"/>
  <c r="AC16" i="6"/>
  <c r="Q16" i="6"/>
  <c r="H16" i="6" s="1"/>
  <c r="T16" i="6"/>
  <c r="I16" i="6" s="1"/>
  <c r="AF16" i="6"/>
  <c r="AE7" i="7"/>
  <c r="T7" i="7"/>
  <c r="I7" i="7" s="1"/>
  <c r="AH7" i="7" s="1"/>
  <c r="Q7" i="7"/>
  <c r="H7" i="7" s="1"/>
  <c r="Q58" i="7"/>
  <c r="H58" i="7" s="1"/>
  <c r="T58" i="7"/>
  <c r="I58" i="7" s="1"/>
  <c r="AH58" i="7" s="1"/>
  <c r="AG58" i="7"/>
  <c r="AE58" i="7"/>
  <c r="AE53" i="6"/>
  <c r="AG53" i="6"/>
  <c r="AD53" i="6"/>
  <c r="AF53" i="6"/>
  <c r="Q53" i="6"/>
  <c r="H53" i="6" s="1"/>
  <c r="T53" i="6"/>
  <c r="I53" i="6" s="1"/>
  <c r="AC53" i="6"/>
  <c r="W53" i="6"/>
  <c r="J53" i="6" s="1"/>
  <c r="U52" i="8"/>
  <c r="I52" i="8" s="1"/>
  <c r="AK52" i="8"/>
  <c r="AI52" i="8"/>
  <c r="Q52" i="8"/>
  <c r="H52" i="8" s="1"/>
  <c r="AJ52" i="8"/>
  <c r="AG51" i="6"/>
  <c r="T51" i="6"/>
  <c r="I51" i="6" s="1"/>
  <c r="AE51" i="6"/>
  <c r="Q51" i="6"/>
  <c r="H51" i="6" s="1"/>
  <c r="W51" i="6"/>
  <c r="J51" i="6" s="1"/>
  <c r="AD51" i="6"/>
  <c r="AC51" i="6"/>
  <c r="AF51" i="6"/>
  <c r="AG46" i="7"/>
  <c r="AE46" i="7"/>
  <c r="T46" i="7"/>
  <c r="I46" i="7" s="1"/>
  <c r="AH46" i="7" s="1"/>
  <c r="Q46" i="7"/>
  <c r="H46" i="7" s="1"/>
  <c r="AI43" i="8"/>
  <c r="U43" i="8"/>
  <c r="I43" i="8" s="1"/>
  <c r="AK43" i="8"/>
  <c r="Q43" i="8"/>
  <c r="H43" i="8" s="1"/>
  <c r="AJ43" i="8"/>
  <c r="T42" i="7"/>
  <c r="I42" i="7" s="1"/>
  <c r="AH42" i="7" s="1"/>
  <c r="AE42" i="7"/>
  <c r="AG42" i="7"/>
  <c r="Q42" i="7"/>
  <c r="H42" i="7" s="1"/>
  <c r="AD37" i="6"/>
  <c r="AG37" i="6"/>
  <c r="AE37" i="6"/>
  <c r="AF37" i="6"/>
  <c r="AC37" i="6"/>
  <c r="Q37" i="6"/>
  <c r="H37" i="6" s="1"/>
  <c r="T37" i="6"/>
  <c r="I37" i="6" s="1"/>
  <c r="W37" i="6"/>
  <c r="J37" i="6" s="1"/>
  <c r="AG34" i="7"/>
  <c r="Q34" i="7"/>
  <c r="H34" i="7" s="1"/>
  <c r="AE34" i="7"/>
  <c r="T34" i="7"/>
  <c r="I34" i="7" s="1"/>
  <c r="AH34" i="7" s="1"/>
  <c r="T30" i="7"/>
  <c r="I30" i="7" s="1"/>
  <c r="AH30" i="7" s="1"/>
  <c r="AE30" i="7"/>
  <c r="AG30" i="7"/>
  <c r="Q30" i="7"/>
  <c r="H30" i="7" s="1"/>
  <c r="AI29" i="8"/>
  <c r="AJ29" i="8"/>
  <c r="U29" i="8"/>
  <c r="I29" i="8" s="1"/>
  <c r="Q29" i="8"/>
  <c r="H29" i="8" s="1"/>
  <c r="AK29" i="8"/>
  <c r="AG26" i="7"/>
  <c r="T26" i="7"/>
  <c r="I26" i="7" s="1"/>
  <c r="AH26" i="7" s="1"/>
  <c r="Q26" i="7"/>
  <c r="H26" i="7" s="1"/>
  <c r="AE26" i="7"/>
  <c r="W24" i="6"/>
  <c r="J24" i="6" s="1"/>
  <c r="AD24" i="6"/>
  <c r="AC24" i="6"/>
  <c r="T24" i="6"/>
  <c r="I24" i="6" s="1"/>
  <c r="AE24" i="6"/>
  <c r="AG24" i="6"/>
  <c r="Q24" i="6"/>
  <c r="H24" i="6" s="1"/>
  <c r="AF24" i="6"/>
  <c r="AE22" i="6"/>
  <c r="AG22" i="6"/>
  <c r="AD22" i="6"/>
  <c r="Q22" i="6"/>
  <c r="H22" i="6" s="1"/>
  <c r="AF22" i="6"/>
  <c r="T22" i="6"/>
  <c r="I22" i="6" s="1"/>
  <c r="AC22" i="6"/>
  <c r="W22" i="6"/>
  <c r="J22" i="6" s="1"/>
  <c r="U18" i="8"/>
  <c r="I18" i="8" s="1"/>
  <c r="Q18" i="8"/>
  <c r="H18" i="8" s="1"/>
  <c r="AI18" i="8"/>
  <c r="AK18" i="8"/>
  <c r="AJ18" i="8"/>
  <c r="Q15" i="7"/>
  <c r="H15" i="7" s="1"/>
  <c r="AE15" i="7"/>
  <c r="T15" i="7"/>
  <c r="I15" i="7" s="1"/>
  <c r="AH15" i="7" s="1"/>
  <c r="U16" i="8"/>
  <c r="I16" i="8" s="1"/>
  <c r="AK16" i="8"/>
  <c r="Q16" i="8"/>
  <c r="H16" i="8" s="1"/>
  <c r="AJ16" i="8"/>
  <c r="AI16" i="8"/>
  <c r="AE12" i="7"/>
  <c r="T12" i="7"/>
  <c r="I12" i="7" s="1"/>
  <c r="AH12" i="7" s="1"/>
  <c r="Q12" i="7"/>
  <c r="H12" i="7" s="1"/>
  <c r="AE11" i="7"/>
  <c r="T11" i="7"/>
  <c r="I11" i="7" s="1"/>
  <c r="AH11" i="7" s="1"/>
  <c r="Q11" i="7"/>
  <c r="H11" i="7" s="1"/>
  <c r="AE8" i="7"/>
  <c r="T8" i="7"/>
  <c r="I8" i="7" s="1"/>
  <c r="AH8" i="7" s="1"/>
  <c r="Q8" i="7"/>
  <c r="H8" i="7" s="1"/>
  <c r="AI61" i="8"/>
  <c r="AJ61" i="8"/>
  <c r="U61" i="8"/>
  <c r="I61" i="8" s="1"/>
  <c r="AK61" i="8"/>
  <c r="Q61" i="8"/>
  <c r="H61" i="8" s="1"/>
  <c r="AE61" i="7"/>
  <c r="AG61" i="7"/>
  <c r="Q61" i="7"/>
  <c r="H61" i="7" s="1"/>
  <c r="T61" i="7"/>
  <c r="I61" i="7" s="1"/>
  <c r="AH61" i="7" s="1"/>
  <c r="AD60" i="6"/>
  <c r="W60" i="6"/>
  <c r="J60" i="6" s="1"/>
  <c r="T60" i="6"/>
  <c r="I60" i="6" s="1"/>
  <c r="AC60" i="6"/>
  <c r="AE60" i="6"/>
  <c r="AF60" i="6"/>
  <c r="AG60" i="6"/>
  <c r="Q60" i="6"/>
  <c r="H60" i="6" s="1"/>
  <c r="Q56" i="8"/>
  <c r="H56" i="8" s="1"/>
  <c r="AK56" i="8"/>
  <c r="U56" i="8"/>
  <c r="I56" i="8" s="1"/>
  <c r="AJ56" i="8"/>
  <c r="AI56" i="8"/>
  <c r="Q56" i="6"/>
  <c r="H56" i="6" s="1"/>
  <c r="AF56" i="6"/>
  <c r="AC56" i="6"/>
  <c r="T56" i="6"/>
  <c r="I56" i="6" s="1"/>
  <c r="AG56" i="6"/>
  <c r="AE56" i="6"/>
  <c r="W56" i="6"/>
  <c r="J56" i="6" s="1"/>
  <c r="AD56" i="6"/>
  <c r="AC52" i="6"/>
  <c r="AE52" i="6"/>
  <c r="Q52" i="6"/>
  <c r="H52" i="6" s="1"/>
  <c r="AD52" i="6"/>
  <c r="AG52" i="6"/>
  <c r="AF52" i="6"/>
  <c r="W52" i="6"/>
  <c r="J52" i="6" s="1"/>
  <c r="T52" i="6"/>
  <c r="I52" i="6" s="1"/>
  <c r="Q48" i="7"/>
  <c r="H48" i="7" s="1"/>
  <c r="T48" i="7"/>
  <c r="I48" i="7" s="1"/>
  <c r="AH48" i="7" s="1"/>
  <c r="AG48" i="7"/>
  <c r="AE48" i="7"/>
  <c r="AK48" i="8"/>
  <c r="Q48" i="8"/>
  <c r="H48" i="8" s="1"/>
  <c r="AI48" i="8"/>
  <c r="AJ48" i="8"/>
  <c r="U48" i="8"/>
  <c r="I48" i="8" s="1"/>
  <c r="Q47" i="8"/>
  <c r="H47" i="8" s="1"/>
  <c r="U47" i="8"/>
  <c r="I47" i="8" s="1"/>
  <c r="AJ47" i="8"/>
  <c r="AI47" i="8"/>
  <c r="AK47" i="8"/>
  <c r="AE44" i="7"/>
  <c r="Q44" i="7"/>
  <c r="H44" i="7" s="1"/>
  <c r="AG44" i="7"/>
  <c r="T44" i="7"/>
  <c r="I44" i="7" s="1"/>
  <c r="AH44" i="7" s="1"/>
  <c r="Q41" i="7"/>
  <c r="H41" i="7" s="1"/>
  <c r="AG41" i="7"/>
  <c r="AE41" i="7"/>
  <c r="T41" i="7"/>
  <c r="I41" i="7" s="1"/>
  <c r="AH41" i="7" s="1"/>
  <c r="AC35" i="6"/>
  <c r="AE35" i="6"/>
  <c r="Q35" i="6"/>
  <c r="H35" i="6" s="1"/>
  <c r="AG35" i="6"/>
  <c r="T35" i="6"/>
  <c r="I35" i="6" s="1"/>
  <c r="W35" i="6"/>
  <c r="J35" i="6" s="1"/>
  <c r="AD35" i="6"/>
  <c r="AF35" i="6"/>
  <c r="AE36" i="7"/>
  <c r="T36" i="7"/>
  <c r="I36" i="7" s="1"/>
  <c r="AH36" i="7" s="1"/>
  <c r="AG36" i="7"/>
  <c r="Q36" i="7"/>
  <c r="H36" i="7" s="1"/>
  <c r="U31" i="8"/>
  <c r="I31" i="8" s="1"/>
  <c r="AI31" i="8"/>
  <c r="AK31" i="8"/>
  <c r="AJ31" i="8"/>
  <c r="Q31" i="8"/>
  <c r="H31" i="8" s="1"/>
  <c r="AD26" i="6"/>
  <c r="AE26" i="6"/>
  <c r="W26" i="6"/>
  <c r="J26" i="6" s="1"/>
  <c r="Q26" i="6"/>
  <c r="H26" i="6" s="1"/>
  <c r="AF26" i="6"/>
  <c r="T26" i="6"/>
  <c r="I26" i="6" s="1"/>
  <c r="AG26" i="6"/>
  <c r="AC26" i="6"/>
  <c r="T28" i="7"/>
  <c r="I28" i="7" s="1"/>
  <c r="AH28" i="7" s="1"/>
  <c r="Q28" i="7"/>
  <c r="H28" i="7" s="1"/>
  <c r="AE28" i="7"/>
  <c r="AG28" i="7"/>
  <c r="AF23" i="6"/>
  <c r="T23" i="6"/>
  <c r="I23" i="6" s="1"/>
  <c r="AC23" i="6"/>
  <c r="AD23" i="6"/>
  <c r="AE23" i="6"/>
  <c r="AG23" i="6"/>
  <c r="W23" i="6"/>
  <c r="J23" i="6" s="1"/>
  <c r="Q23" i="6"/>
  <c r="H23" i="6" s="1"/>
  <c r="AE18" i="7"/>
  <c r="Q18" i="7"/>
  <c r="H18" i="7" s="1"/>
  <c r="T18" i="7"/>
  <c r="I18" i="7" s="1"/>
  <c r="AH18" i="7" s="1"/>
  <c r="AE16" i="7"/>
  <c r="T16" i="7"/>
  <c r="I16" i="7" s="1"/>
  <c r="AH16" i="7" s="1"/>
  <c r="Q16" i="7"/>
  <c r="H16" i="7" s="1"/>
  <c r="T14" i="6"/>
  <c r="I14" i="6" s="1"/>
  <c r="Q14" i="6"/>
  <c r="H14" i="6" s="1"/>
  <c r="AG14" i="6"/>
  <c r="AD14" i="6"/>
  <c r="AE14" i="6"/>
  <c r="AF14" i="6"/>
  <c r="AC14" i="6"/>
  <c r="W14" i="6"/>
  <c r="J14" i="6" s="1"/>
  <c r="AE9" i="7"/>
  <c r="T9" i="7"/>
  <c r="I9" i="7" s="1"/>
  <c r="AH9" i="7" s="1"/>
  <c r="Q9" i="7"/>
  <c r="H9" i="7" s="1"/>
  <c r="AI9" i="8"/>
  <c r="Q9" i="8"/>
  <c r="H9" i="8" s="1"/>
  <c r="U9" i="8"/>
  <c r="I9" i="8" s="1"/>
  <c r="AK9" i="8"/>
  <c r="AJ9" i="8"/>
  <c r="T57" i="7"/>
  <c r="I57" i="7" s="1"/>
  <c r="AH57" i="7" s="1"/>
  <c r="Q57" i="7"/>
  <c r="H57" i="7" s="1"/>
  <c r="AE57" i="7"/>
  <c r="AG57" i="7"/>
  <c r="AJ39" i="8"/>
  <c r="AI39" i="8"/>
  <c r="U39" i="8"/>
  <c r="I39" i="8" s="1"/>
  <c r="AK39" i="8"/>
  <c r="Q39" i="8"/>
  <c r="H39" i="8" s="1"/>
  <c r="T28" i="6"/>
  <c r="I28" i="6" s="1"/>
  <c r="AC28" i="6"/>
  <c r="Q28" i="6"/>
  <c r="H28" i="6" s="1"/>
  <c r="AG28" i="6"/>
  <c r="AF28" i="6"/>
  <c r="W28" i="6"/>
  <c r="J28" i="6" s="1"/>
  <c r="AD28" i="6"/>
  <c r="AE28" i="6"/>
  <c r="U20" i="8"/>
  <c r="I20" i="8" s="1"/>
  <c r="AJ20" i="8"/>
  <c r="AI20" i="8"/>
  <c r="Q20" i="8"/>
  <c r="H20" i="8" s="1"/>
  <c r="AK20" i="8"/>
  <c r="AC12" i="6"/>
  <c r="T12" i="6"/>
  <c r="I12" i="6" s="1"/>
  <c r="AG12" i="6"/>
  <c r="AD12" i="6"/>
  <c r="AE12" i="6"/>
  <c r="W12" i="6"/>
  <c r="J12" i="6" s="1"/>
  <c r="AF12" i="6"/>
  <c r="Q12" i="6"/>
  <c r="H12" i="6" s="1"/>
  <c r="AE65" i="7"/>
  <c r="AG65" i="7"/>
  <c r="T65" i="7"/>
  <c r="I65" i="7" s="1"/>
  <c r="AH65" i="7" s="1"/>
  <c r="Q65" i="7"/>
  <c r="H65" i="7" s="1"/>
  <c r="T59" i="7"/>
  <c r="I59" i="7" s="1"/>
  <c r="AH59" i="7" s="1"/>
  <c r="AG59" i="7"/>
  <c r="Q59" i="7"/>
  <c r="H59" i="7" s="1"/>
  <c r="AE59" i="7"/>
  <c r="AE54" i="7"/>
  <c r="T54" i="7"/>
  <c r="I54" i="7" s="1"/>
  <c r="AH54" i="7" s="1"/>
  <c r="Q54" i="7"/>
  <c r="H54" i="7" s="1"/>
  <c r="AG54" i="7"/>
  <c r="Q41" i="8"/>
  <c r="H41" i="8" s="1"/>
  <c r="AI41" i="8"/>
  <c r="AK41" i="8"/>
  <c r="AJ41" i="8"/>
  <c r="U41" i="8"/>
  <c r="I41" i="8" s="1"/>
  <c r="AK36" i="8"/>
  <c r="U36" i="8"/>
  <c r="I36" i="8" s="1"/>
  <c r="AJ36" i="8"/>
  <c r="AI36" i="8"/>
  <c r="Q36" i="8"/>
  <c r="H36" i="8" s="1"/>
  <c r="AE31" i="6"/>
  <c r="AD31" i="6"/>
  <c r="T31" i="6"/>
  <c r="I31" i="6" s="1"/>
  <c r="AF31" i="6"/>
  <c r="W31" i="6"/>
  <c r="J31" i="6" s="1"/>
  <c r="Q31" i="6"/>
  <c r="H31" i="6" s="1"/>
  <c r="AG31" i="6"/>
  <c r="AC31" i="6"/>
  <c r="Q22" i="8"/>
  <c r="H22" i="8" s="1"/>
  <c r="AI22" i="8"/>
  <c r="U22" i="8"/>
  <c r="I22" i="8" s="1"/>
  <c r="AJ22" i="8"/>
  <c r="AK22" i="8"/>
  <c r="T17" i="7"/>
  <c r="I17" i="7" s="1"/>
  <c r="AH17" i="7" s="1"/>
  <c r="AE17" i="7"/>
  <c r="Q17" i="7"/>
  <c r="H17" i="7" s="1"/>
  <c r="AK66" i="8"/>
  <c r="AJ66" i="8"/>
  <c r="AI66" i="8"/>
  <c r="Q66" i="8"/>
  <c r="H66" i="8" s="1"/>
  <c r="U66" i="8"/>
  <c r="I66" i="8" s="1"/>
  <c r="U57" i="8"/>
  <c r="I57" i="8" s="1"/>
  <c r="AK57" i="8"/>
  <c r="AI57" i="8"/>
  <c r="Q57" i="8"/>
  <c r="H57" i="8" s="1"/>
  <c r="AJ57" i="8"/>
  <c r="AG56" i="7"/>
  <c r="AE56" i="7"/>
  <c r="Q56" i="7"/>
  <c r="H56" i="7" s="1"/>
  <c r="T56" i="7"/>
  <c r="I56" i="7" s="1"/>
  <c r="AH56" i="7" s="1"/>
  <c r="AG43" i="7"/>
  <c r="T43" i="7"/>
  <c r="I43" i="7" s="1"/>
  <c r="AH43" i="7" s="1"/>
  <c r="Q43" i="7"/>
  <c r="H43" i="7" s="1"/>
  <c r="AE43" i="7"/>
  <c r="AG36" i="6"/>
  <c r="AD36" i="6"/>
  <c r="T36" i="6"/>
  <c r="I36" i="6" s="1"/>
  <c r="W36" i="6"/>
  <c r="J36" i="6" s="1"/>
  <c r="AE36" i="6"/>
  <c r="Q36" i="6"/>
  <c r="H36" i="6" s="1"/>
  <c r="AF36" i="6"/>
  <c r="AC36" i="6"/>
  <c r="AK27" i="8"/>
  <c r="Q27" i="8"/>
  <c r="H27" i="8" s="1"/>
  <c r="AJ27" i="8"/>
  <c r="AI27" i="8"/>
  <c r="U27" i="8"/>
  <c r="I27" i="8" s="1"/>
  <c r="AE21" i="7"/>
  <c r="T21" i="7"/>
  <c r="I21" i="7" s="1"/>
  <c r="AH21" i="7" s="1"/>
  <c r="Q21" i="7"/>
  <c r="H21" i="7" s="1"/>
  <c r="Q13" i="6"/>
  <c r="H13" i="6" s="1"/>
  <c r="W13" i="6"/>
  <c r="J13" i="6" s="1"/>
  <c r="AG13" i="6"/>
  <c r="AE13" i="6"/>
  <c r="AC13" i="6"/>
  <c r="AD13" i="6"/>
  <c r="T13" i="6"/>
  <c r="I13" i="6" s="1"/>
  <c r="AF13" i="6"/>
  <c r="AE61" i="6"/>
  <c r="AD61" i="6"/>
  <c r="Q61" i="6"/>
  <c r="H61" i="6" s="1"/>
  <c r="AC61" i="6"/>
  <c r="AG61" i="6"/>
  <c r="T61" i="6"/>
  <c r="I61" i="6" s="1"/>
  <c r="W61" i="6"/>
  <c r="J61" i="6" s="1"/>
  <c r="AF61" i="6"/>
  <c r="AJ59" i="8"/>
  <c r="AI59" i="8"/>
  <c r="U59" i="8"/>
  <c r="I59" i="8" s="1"/>
  <c r="Q59" i="8"/>
  <c r="H59" i="8" s="1"/>
  <c r="AK59" i="8"/>
  <c r="AG62" i="6"/>
  <c r="W62" i="6"/>
  <c r="J62" i="6" s="1"/>
  <c r="AE62" i="6"/>
  <c r="T62" i="6"/>
  <c r="I62" i="6" s="1"/>
  <c r="AC62" i="6"/>
  <c r="Q62" i="6"/>
  <c r="H62" i="6" s="1"/>
  <c r="AF62" i="6"/>
  <c r="AD62" i="6"/>
  <c r="AI54" i="8"/>
  <c r="AJ54" i="8"/>
  <c r="U54" i="8"/>
  <c r="I54" i="8" s="1"/>
  <c r="Q54" i="8"/>
  <c r="H54" i="8" s="1"/>
  <c r="AK54" i="8"/>
  <c r="AD54" i="6"/>
  <c r="AF54" i="6"/>
  <c r="AC54" i="6"/>
  <c r="Q54" i="6"/>
  <c r="H54" i="6" s="1"/>
  <c r="AE54" i="6"/>
  <c r="W54" i="6"/>
  <c r="J54" i="6" s="1"/>
  <c r="AG54" i="6"/>
  <c r="T54" i="6"/>
  <c r="I54" i="6" s="1"/>
  <c r="U50" i="8"/>
  <c r="I50" i="8" s="1"/>
  <c r="AJ50" i="8"/>
  <c r="AK50" i="8"/>
  <c r="AI50" i="8"/>
  <c r="Q50" i="8"/>
  <c r="H50" i="8" s="1"/>
  <c r="AF50" i="6"/>
  <c r="Q50" i="6"/>
  <c r="H50" i="6" s="1"/>
  <c r="T50" i="6"/>
  <c r="I50" i="6" s="1"/>
  <c r="AC50" i="6"/>
  <c r="AE50" i="6"/>
  <c r="W50" i="6"/>
  <c r="J50" i="6" s="1"/>
  <c r="AD50" i="6"/>
  <c r="AG50" i="6"/>
  <c r="AE47" i="7"/>
  <c r="AG47" i="7"/>
  <c r="Q47" i="7"/>
  <c r="H47" i="7" s="1"/>
  <c r="T47" i="7"/>
  <c r="I47" i="7" s="1"/>
  <c r="AH47" i="7" s="1"/>
  <c r="AC44" i="6"/>
  <c r="AF44" i="6"/>
  <c r="Q44" i="6"/>
  <c r="H44" i="6" s="1"/>
  <c r="AE44" i="6"/>
  <c r="T44" i="6"/>
  <c r="I44" i="6" s="1"/>
  <c r="AD44" i="6"/>
  <c r="AG44" i="6"/>
  <c r="W44" i="6"/>
  <c r="J44" i="6" s="1"/>
  <c r="AJ42" i="8"/>
  <c r="Q42" i="8"/>
  <c r="H42" i="8" s="1"/>
  <c r="AI42" i="8"/>
  <c r="U42" i="8"/>
  <c r="I42" i="8" s="1"/>
  <c r="AK42" i="8"/>
  <c r="AE40" i="7"/>
  <c r="T40" i="7"/>
  <c r="I40" i="7" s="1"/>
  <c r="AH40" i="7" s="1"/>
  <c r="Q40" i="7"/>
  <c r="H40" i="7" s="1"/>
  <c r="AG40" i="7"/>
  <c r="AG39" i="7"/>
  <c r="AE39" i="7"/>
  <c r="Q39" i="7"/>
  <c r="H39" i="7" s="1"/>
  <c r="T39" i="7"/>
  <c r="I39" i="7" s="1"/>
  <c r="AH39" i="7" s="1"/>
  <c r="T37" i="7"/>
  <c r="I37" i="7" s="1"/>
  <c r="AH37" i="7" s="1"/>
  <c r="Q37" i="7"/>
  <c r="H37" i="7" s="1"/>
  <c r="AE37" i="7"/>
  <c r="AG37" i="7"/>
  <c r="AE33" i="7"/>
  <c r="Q33" i="7"/>
  <c r="H33" i="7" s="1"/>
  <c r="AG33" i="7"/>
  <c r="T33" i="7"/>
  <c r="I33" i="7" s="1"/>
  <c r="AH33" i="7" s="1"/>
  <c r="AJ26" i="8"/>
  <c r="AK26" i="8"/>
  <c r="U26" i="8"/>
  <c r="I26" i="8" s="1"/>
  <c r="AI26" i="8"/>
  <c r="Q26" i="8"/>
  <c r="H26" i="8" s="1"/>
  <c r="W25" i="6"/>
  <c r="J25" i="6" s="1"/>
  <c r="AD25" i="6"/>
  <c r="Q25" i="6"/>
  <c r="H25" i="6" s="1"/>
  <c r="AF25" i="6"/>
  <c r="AE25" i="6"/>
  <c r="AC25" i="6"/>
  <c r="AG25" i="6"/>
  <c r="T25" i="6"/>
  <c r="I25" i="6" s="1"/>
  <c r="Q22" i="7"/>
  <c r="H22" i="7" s="1"/>
  <c r="AG22" i="7"/>
  <c r="T22" i="7"/>
  <c r="I22" i="7" s="1"/>
  <c r="AH22" i="7" s="1"/>
  <c r="AE22" i="7"/>
  <c r="AK21" i="8"/>
  <c r="AI21" i="8"/>
  <c r="U21" i="8"/>
  <c r="I21" i="8" s="1"/>
  <c r="Q21" i="8"/>
  <c r="H21" i="8" s="1"/>
  <c r="AJ21" i="8"/>
  <c r="Q20" i="7"/>
  <c r="H20" i="7" s="1"/>
  <c r="AE20" i="7"/>
  <c r="T20" i="7"/>
  <c r="I20" i="7" s="1"/>
  <c r="AH20" i="7" s="1"/>
  <c r="AG11" i="6"/>
  <c r="AD11" i="6"/>
  <c r="Q11" i="6"/>
  <c r="H11" i="6" s="1"/>
  <c r="AE11" i="6"/>
  <c r="W11" i="6"/>
  <c r="J11" i="6" s="1"/>
  <c r="AC11" i="6"/>
  <c r="AF11" i="6"/>
  <c r="T11" i="6"/>
  <c r="I11" i="6" s="1"/>
  <c r="AE8" i="6"/>
  <c r="T8" i="6"/>
  <c r="I8" i="6" s="1"/>
  <c r="Q8" i="6"/>
  <c r="H8" i="6" s="1"/>
  <c r="AC8" i="6"/>
  <c r="AF8" i="6"/>
  <c r="AG8" i="6"/>
  <c r="AD8" i="6"/>
  <c r="W8" i="6"/>
  <c r="J8" i="6" s="1"/>
  <c r="AE66" i="6"/>
  <c r="T66" i="6"/>
  <c r="I66" i="6" s="1"/>
  <c r="W66" i="6"/>
  <c r="J66" i="6" s="1"/>
  <c r="Q66" i="6"/>
  <c r="H66" i="6" s="1"/>
  <c r="AF66" i="6"/>
  <c r="AG66" i="6"/>
  <c r="AD66" i="6"/>
  <c r="AC66" i="6"/>
  <c r="AG60" i="7"/>
  <c r="AE60" i="7"/>
  <c r="T60" i="7"/>
  <c r="I60" i="7" s="1"/>
  <c r="AH60" i="7" s="1"/>
  <c r="Q60" i="7"/>
  <c r="H60" i="7" s="1"/>
  <c r="AE50" i="7"/>
  <c r="AG50" i="7"/>
  <c r="T50" i="7"/>
  <c r="I50" i="7" s="1"/>
  <c r="AH50" i="7" s="1"/>
  <c r="Q50" i="7"/>
  <c r="H50" i="7" s="1"/>
  <c r="T40" i="6"/>
  <c r="I40" i="6" s="1"/>
  <c r="AC40" i="6"/>
  <c r="AF40" i="6"/>
  <c r="Q40" i="6"/>
  <c r="H40" i="6" s="1"/>
  <c r="AG40" i="6"/>
  <c r="AE40" i="6"/>
  <c r="W40" i="6"/>
  <c r="J40" i="6" s="1"/>
  <c r="AD40" i="6"/>
  <c r="AF27" i="6"/>
  <c r="AC27" i="6"/>
  <c r="Q27" i="6"/>
  <c r="H27" i="6" s="1"/>
  <c r="W27" i="6"/>
  <c r="J27" i="6" s="1"/>
  <c r="AE27" i="6"/>
  <c r="AG27" i="6"/>
  <c r="AD27" i="6"/>
  <c r="T27" i="6"/>
  <c r="I27" i="6" s="1"/>
  <c r="AG10" i="6"/>
  <c r="Q10" i="6"/>
  <c r="H10" i="6" s="1"/>
  <c r="AC10" i="6"/>
  <c r="AF10" i="6"/>
  <c r="W10" i="6"/>
  <c r="J10" i="6" s="1"/>
  <c r="AE10" i="6"/>
  <c r="AD10" i="6"/>
  <c r="T10" i="6"/>
  <c r="I10" i="6" s="1"/>
  <c r="AJ60" i="8"/>
  <c r="U60" i="8"/>
  <c r="I60" i="8" s="1"/>
  <c r="AI60" i="8"/>
  <c r="AK60" i="8"/>
  <c r="Q60" i="8"/>
  <c r="H60" i="8" s="1"/>
  <c r="AJ53" i="8"/>
  <c r="Q53" i="8"/>
  <c r="H53" i="8" s="1"/>
  <c r="AK53" i="8"/>
  <c r="AI53" i="8"/>
  <c r="U53" i="8"/>
  <c r="I53" i="8" s="1"/>
  <c r="AJ49" i="8"/>
  <c r="Q49" i="8"/>
  <c r="H49" i="8" s="1"/>
  <c r="AI49" i="8"/>
  <c r="AK49" i="8"/>
  <c r="U49" i="8"/>
  <c r="I49" i="8" s="1"/>
  <c r="AC42" i="6"/>
  <c r="AF42" i="6"/>
  <c r="AG42" i="6"/>
  <c r="AE42" i="6"/>
  <c r="Q42" i="6"/>
  <c r="H42" i="6" s="1"/>
  <c r="W42" i="6"/>
  <c r="J42" i="6" s="1"/>
  <c r="T42" i="6"/>
  <c r="I42" i="6" s="1"/>
  <c r="AD42" i="6"/>
  <c r="AC33" i="6"/>
  <c r="W33" i="6"/>
  <c r="J33" i="6" s="1"/>
  <c r="AD33" i="6"/>
  <c r="T33" i="6"/>
  <c r="I33" i="6" s="1"/>
  <c r="AG33" i="6"/>
  <c r="Q33" i="6"/>
  <c r="H33" i="6" s="1"/>
  <c r="AE33" i="6"/>
  <c r="AF33" i="6"/>
  <c r="AC18" i="6"/>
  <c r="AF18" i="6"/>
  <c r="W18" i="6"/>
  <c r="J18" i="6" s="1"/>
  <c r="AG18" i="6"/>
  <c r="T18" i="6"/>
  <c r="I18" i="6" s="1"/>
  <c r="AE18" i="6"/>
  <c r="Q18" i="6"/>
  <c r="H18" i="6" s="1"/>
  <c r="AD18" i="6"/>
  <c r="AK13" i="8"/>
  <c r="Q13" i="8"/>
  <c r="H13" i="8" s="1"/>
  <c r="AJ13" i="8"/>
  <c r="AI13" i="8"/>
  <c r="U13" i="8"/>
  <c r="I13" i="8" s="1"/>
  <c r="U8" i="8"/>
  <c r="I8" i="8" s="1"/>
  <c r="AI8" i="8"/>
  <c r="Q8" i="8"/>
  <c r="H8" i="8" s="1"/>
  <c r="AJ8" i="8"/>
  <c r="AK8" i="8"/>
  <c r="AJ63" i="8"/>
  <c r="U63" i="8"/>
  <c r="I63" i="8" s="1"/>
  <c r="Q63" i="8"/>
  <c r="H63" i="8" s="1"/>
  <c r="AK63" i="8"/>
  <c r="AI63" i="8"/>
  <c r="AC58" i="6"/>
  <c r="W58" i="6"/>
  <c r="J58" i="6" s="1"/>
  <c r="AE58" i="6"/>
  <c r="AG58" i="6"/>
  <c r="Q58" i="6"/>
  <c r="H58" i="6" s="1"/>
  <c r="AD58" i="6"/>
  <c r="AF58" i="6"/>
  <c r="T58" i="6"/>
  <c r="I58" i="6" s="1"/>
  <c r="Q51" i="7"/>
  <c r="H51" i="7" s="1"/>
  <c r="AG51" i="7"/>
  <c r="T51" i="7"/>
  <c r="I51" i="7" s="1"/>
  <c r="AH51" i="7" s="1"/>
  <c r="AE51" i="7"/>
  <c r="AF46" i="6"/>
  <c r="W46" i="6"/>
  <c r="J46" i="6" s="1"/>
  <c r="AE46" i="6"/>
  <c r="AC46" i="6"/>
  <c r="AD46" i="6"/>
  <c r="AG46" i="6"/>
  <c r="Q46" i="6"/>
  <c r="H46" i="6" s="1"/>
  <c r="T46" i="6"/>
  <c r="I46" i="6" s="1"/>
  <c r="AE32" i="7"/>
  <c r="T32" i="7"/>
  <c r="I32" i="7" s="1"/>
  <c r="AH32" i="7" s="1"/>
  <c r="Q32" i="7"/>
  <c r="H32" i="7" s="1"/>
  <c r="AG32" i="7"/>
  <c r="T19" i="6"/>
  <c r="I19" i="6" s="1"/>
  <c r="W19" i="6"/>
  <c r="J19" i="6" s="1"/>
  <c r="AF19" i="6"/>
  <c r="AE19" i="6"/>
  <c r="Q19" i="6"/>
  <c r="H19" i="6" s="1"/>
  <c r="AD19" i="6"/>
  <c r="AC19" i="6"/>
  <c r="AG19" i="6"/>
  <c r="Q15" i="8"/>
  <c r="H15" i="8" s="1"/>
  <c r="AI15" i="8"/>
  <c r="AJ15" i="8"/>
  <c r="U15" i="8"/>
  <c r="I15" i="8" s="1"/>
  <c r="AK15" i="8"/>
  <c r="U11" i="8"/>
  <c r="I11" i="8" s="1"/>
  <c r="AK11" i="8"/>
  <c r="AI11" i="8"/>
  <c r="Q11" i="8"/>
  <c r="H11" i="8" s="1"/>
  <c r="AJ11" i="8"/>
  <c r="AF7" i="6"/>
  <c r="AE7" i="6"/>
  <c r="AC7" i="6"/>
  <c r="AG7" i="6"/>
  <c r="T7" i="6"/>
  <c r="I7" i="6" s="1"/>
  <c r="W7" i="6"/>
  <c r="J7" i="6" s="1"/>
  <c r="AD7" i="6"/>
  <c r="Q7" i="6"/>
  <c r="H7" i="6" s="1"/>
  <c r="T64" i="6"/>
  <c r="I64" i="6" s="1"/>
  <c r="Q64" i="6"/>
  <c r="H64" i="6" s="1"/>
  <c r="W64" i="6"/>
  <c r="J64" i="6" s="1"/>
  <c r="AF64" i="6"/>
  <c r="AG64" i="6"/>
  <c r="AE64" i="6"/>
  <c r="AD64" i="6"/>
  <c r="AC64" i="6"/>
  <c r="AE63" i="7"/>
  <c r="T63" i="7"/>
  <c r="I63" i="7" s="1"/>
  <c r="AH63" i="7" s="1"/>
  <c r="AG63" i="7"/>
  <c r="Q63" i="7"/>
  <c r="H63" i="7" s="1"/>
  <c r="AG62" i="7"/>
  <c r="T62" i="7"/>
  <c r="I62" i="7" s="1"/>
  <c r="AH62" i="7" s="1"/>
  <c r="Q62" i="7"/>
  <c r="H62" i="7" s="1"/>
  <c r="AE62" i="7"/>
  <c r="AE59" i="6"/>
  <c r="W59" i="6"/>
  <c r="J59" i="6" s="1"/>
  <c r="AF59" i="6"/>
  <c r="AG59" i="6"/>
  <c r="Q59" i="6"/>
  <c r="H59" i="6" s="1"/>
  <c r="AC59" i="6"/>
  <c r="T59" i="6"/>
  <c r="I59" i="6" s="1"/>
  <c r="AD59" i="6"/>
  <c r="AD57" i="6"/>
  <c r="W57" i="6"/>
  <c r="J57" i="6" s="1"/>
  <c r="Q57" i="6"/>
  <c r="H57" i="6" s="1"/>
  <c r="AE57" i="6"/>
  <c r="AC57" i="6"/>
  <c r="AF57" i="6"/>
  <c r="AG57" i="6"/>
  <c r="T57" i="6"/>
  <c r="I57" i="6" s="1"/>
  <c r="AF55" i="6"/>
  <c r="AG55" i="6"/>
  <c r="AC55" i="6"/>
  <c r="W55" i="6"/>
  <c r="J55" i="6" s="1"/>
  <c r="AE55" i="6"/>
  <c r="AD55" i="6"/>
  <c r="T55" i="6"/>
  <c r="I55" i="6" s="1"/>
  <c r="Q55" i="6"/>
  <c r="H55" i="6" s="1"/>
  <c r="AJ51" i="8"/>
  <c r="AI51" i="8"/>
  <c r="Q51" i="8"/>
  <c r="H51" i="8" s="1"/>
  <c r="AK51" i="8"/>
  <c r="U51" i="8"/>
  <c r="I51" i="8" s="1"/>
  <c r="AG48" i="6"/>
  <c r="W48" i="6"/>
  <c r="J48" i="6" s="1"/>
  <c r="AE48" i="6"/>
  <c r="AC48" i="6"/>
  <c r="AD48" i="6"/>
  <c r="Q48" i="6"/>
  <c r="H48" i="6" s="1"/>
  <c r="T48" i="6"/>
  <c r="I48" i="6" s="1"/>
  <c r="AF48" i="6"/>
  <c r="AJ44" i="8"/>
  <c r="U44" i="8"/>
  <c r="I44" i="8" s="1"/>
  <c r="Q44" i="8"/>
  <c r="H44" i="8" s="1"/>
  <c r="AK44" i="8"/>
  <c r="AI44" i="8"/>
  <c r="AE43" i="6"/>
  <c r="AG43" i="6"/>
  <c r="Q43" i="6"/>
  <c r="H43" i="6" s="1"/>
  <c r="AC43" i="6"/>
  <c r="AD43" i="6"/>
  <c r="AF43" i="6"/>
  <c r="T43" i="6"/>
  <c r="I43" i="6" s="1"/>
  <c r="W43" i="6"/>
  <c r="J43" i="6" s="1"/>
  <c r="AI40" i="8"/>
  <c r="AJ40" i="8"/>
  <c r="U40" i="8"/>
  <c r="I40" i="8" s="1"/>
  <c r="Q40" i="8"/>
  <c r="H40" i="8" s="1"/>
  <c r="AK40" i="8"/>
  <c r="T39" i="6"/>
  <c r="I39" i="6" s="1"/>
  <c r="Q39" i="6"/>
  <c r="H39" i="6" s="1"/>
  <c r="AE39" i="6"/>
  <c r="AF39" i="6"/>
  <c r="W39" i="6"/>
  <c r="J39" i="6" s="1"/>
  <c r="AC39" i="6"/>
  <c r="AD39" i="6"/>
  <c r="AG39" i="6"/>
  <c r="AI35" i="8"/>
  <c r="Q35" i="8"/>
  <c r="H35" i="8" s="1"/>
  <c r="AK35" i="8"/>
  <c r="AJ35" i="8"/>
  <c r="U35" i="8"/>
  <c r="I35" i="8" s="1"/>
  <c r="AD34" i="6"/>
  <c r="W34" i="6"/>
  <c r="J34" i="6" s="1"/>
  <c r="AC34" i="6"/>
  <c r="AF34" i="6"/>
  <c r="AE34" i="6"/>
  <c r="AG34" i="6"/>
  <c r="Q34" i="6"/>
  <c r="H34" i="6" s="1"/>
  <c r="T34" i="6"/>
  <c r="I34" i="6" s="1"/>
  <c r="T35" i="7"/>
  <c r="I35" i="7" s="1"/>
  <c r="AH35" i="7" s="1"/>
  <c r="AE35" i="7"/>
  <c r="AG35" i="7"/>
  <c r="Q35" i="7"/>
  <c r="H35" i="7" s="1"/>
  <c r="AG29" i="7"/>
  <c r="Q29" i="7"/>
  <c r="H29" i="7" s="1"/>
  <c r="T29" i="7"/>
  <c r="I29" i="7" s="1"/>
  <c r="AH29" i="7" s="1"/>
  <c r="AE29" i="7"/>
  <c r="Q27" i="7"/>
  <c r="H27" i="7" s="1"/>
  <c r="AG27" i="7"/>
  <c r="T27" i="7"/>
  <c r="I27" i="7" s="1"/>
  <c r="AH27" i="7" s="1"/>
  <c r="AE27" i="7"/>
  <c r="AJ25" i="8"/>
  <c r="Q25" i="8"/>
  <c r="H25" i="8" s="1"/>
  <c r="AK25" i="8"/>
  <c r="AI25" i="8"/>
  <c r="U25" i="8"/>
  <c r="I25" i="8" s="1"/>
  <c r="AD21" i="6"/>
  <c r="AE21" i="6"/>
  <c r="AF21" i="6"/>
  <c r="W21" i="6"/>
  <c r="J21" i="6" s="1"/>
  <c r="T21" i="6"/>
  <c r="I21" i="6" s="1"/>
  <c r="Q21" i="6"/>
  <c r="H21" i="6" s="1"/>
  <c r="AG21" i="6"/>
  <c r="AC21" i="6"/>
  <c r="AF20" i="6"/>
  <c r="AG20" i="6"/>
  <c r="Q20" i="6"/>
  <c r="H20" i="6" s="1"/>
  <c r="AD20" i="6"/>
  <c r="T20" i="6"/>
  <c r="I20" i="6" s="1"/>
  <c r="AE20" i="6"/>
  <c r="AC20" i="6"/>
  <c r="W20" i="6"/>
  <c r="J20" i="6" s="1"/>
  <c r="U17" i="8"/>
  <c r="I17" i="8" s="1"/>
  <c r="Q17" i="8"/>
  <c r="H17" i="8" s="1"/>
  <c r="AI17" i="8"/>
  <c r="AJ17" i="8"/>
  <c r="AK17" i="8"/>
  <c r="AE15" i="6"/>
  <c r="T15" i="6"/>
  <c r="I15" i="6" s="1"/>
  <c r="Q15" i="6"/>
  <c r="H15" i="6" s="1"/>
  <c r="AC15" i="6"/>
  <c r="AD15" i="6"/>
  <c r="W15" i="6"/>
  <c r="J15" i="6" s="1"/>
  <c r="AG15" i="6"/>
  <c r="AF15" i="6"/>
  <c r="AK12" i="8"/>
  <c r="AI12" i="8"/>
  <c r="U12" i="8"/>
  <c r="I12" i="8" s="1"/>
  <c r="Q12" i="8"/>
  <c r="H12" i="8" s="1"/>
  <c r="AJ12" i="8"/>
  <c r="U10" i="8"/>
  <c r="I10" i="8" s="1"/>
  <c r="Q10" i="8"/>
  <c r="H10" i="8" s="1"/>
  <c r="AJ10" i="8"/>
  <c r="AK10" i="8"/>
  <c r="AI10" i="8"/>
  <c r="Q10" i="7"/>
  <c r="H10" i="7" s="1"/>
  <c r="AE10" i="7"/>
  <c r="T10" i="7"/>
  <c r="I10" i="7" s="1"/>
  <c r="AH10" i="7" s="1"/>
  <c r="AE64" i="7"/>
  <c r="T64" i="7"/>
  <c r="I64" i="7" s="1"/>
  <c r="AH64" i="7" s="1"/>
  <c r="AG64" i="7"/>
  <c r="Q64" i="7"/>
  <c r="H64" i="7" s="1"/>
  <c r="Q46" i="8"/>
  <c r="H46" i="8" s="1"/>
  <c r="AK46" i="8"/>
  <c r="AI46" i="8"/>
  <c r="AJ46" i="8"/>
  <c r="U46" i="8"/>
  <c r="I46" i="8" s="1"/>
  <c r="AG38" i="7"/>
  <c r="T38" i="7"/>
  <c r="I38" i="7" s="1"/>
  <c r="AH38" i="7" s="1"/>
  <c r="AE38" i="7"/>
  <c r="Q38" i="7"/>
  <c r="H38" i="7" s="1"/>
  <c r="W30" i="6"/>
  <c r="J30" i="6" s="1"/>
  <c r="AF30" i="6"/>
  <c r="AE30" i="6"/>
  <c r="T30" i="6"/>
  <c r="I30" i="6" s="1"/>
  <c r="AC30" i="6"/>
  <c r="AD30" i="6"/>
  <c r="AG30" i="6"/>
  <c r="Q30" i="6"/>
  <c r="H30" i="6" s="1"/>
  <c r="Q14" i="7"/>
  <c r="H14" i="7" s="1"/>
  <c r="T14" i="7"/>
  <c r="I14" i="7" s="1"/>
  <c r="AH14" i="7" s="1"/>
  <c r="AE14" i="7"/>
  <c r="AJ65" i="8"/>
  <c r="AK65" i="8"/>
  <c r="U65" i="8"/>
  <c r="I65" i="8" s="1"/>
  <c r="AI65" i="8"/>
  <c r="Q65" i="8"/>
  <c r="H65" i="8" s="1"/>
  <c r="W63" i="6"/>
  <c r="J63" i="6" s="1"/>
  <c r="Q63" i="6"/>
  <c r="H63" i="6" s="1"/>
  <c r="AG63" i="6"/>
  <c r="T63" i="6"/>
  <c r="I63" i="6" s="1"/>
  <c r="AE63" i="6"/>
  <c r="AF63" i="6"/>
  <c r="AC63" i="6"/>
  <c r="AD63" i="6"/>
  <c r="AJ55" i="8"/>
  <c r="AK55" i="8"/>
  <c r="Q55" i="8"/>
  <c r="H55" i="8" s="1"/>
  <c r="AI55" i="8"/>
  <c r="U55" i="8"/>
  <c r="I55" i="8" s="1"/>
  <c r="AE52" i="7"/>
  <c r="AG52" i="7"/>
  <c r="Q52" i="7"/>
  <c r="H52" i="7" s="1"/>
  <c r="T52" i="7"/>
  <c r="I52" i="7" s="1"/>
  <c r="AH52" i="7" s="1"/>
  <c r="U45" i="8"/>
  <c r="I45" i="8" s="1"/>
  <c r="AJ45" i="8"/>
  <c r="Q45" i="8"/>
  <c r="H45" i="8" s="1"/>
  <c r="AK45" i="8"/>
  <c r="AI45" i="8"/>
  <c r="U34" i="8"/>
  <c r="I34" i="8" s="1"/>
  <c r="AK34" i="8"/>
  <c r="AJ34" i="8"/>
  <c r="Q34" i="8"/>
  <c r="H34" i="8" s="1"/>
  <c r="AI34" i="8"/>
  <c r="W29" i="6"/>
  <c r="J29" i="6" s="1"/>
  <c r="AD29" i="6"/>
  <c r="AE29" i="6"/>
  <c r="AC29" i="6"/>
  <c r="AF29" i="6"/>
  <c r="T29" i="6"/>
  <c r="I29" i="6" s="1"/>
  <c r="Q29" i="6"/>
  <c r="H29" i="6" s="1"/>
  <c r="AG29" i="6"/>
  <c r="AG23" i="7"/>
  <c r="AE23" i="7"/>
  <c r="Q23" i="7"/>
  <c r="H23" i="7" s="1"/>
  <c r="T23" i="7"/>
  <c r="I23" i="7" s="1"/>
  <c r="AH23" i="7" s="1"/>
  <c r="U7" i="8"/>
  <c r="I7" i="8" s="1"/>
  <c r="AI7" i="8"/>
  <c r="Q7" i="8"/>
  <c r="H7" i="8" s="1"/>
  <c r="AK7" i="8"/>
  <c r="AJ7" i="8"/>
  <c r="AG53" i="7"/>
  <c r="AE53" i="7"/>
  <c r="Q53" i="7"/>
  <c r="H53" i="7" s="1"/>
  <c r="T53" i="7"/>
  <c r="I53" i="7" s="1"/>
  <c r="AH53" i="7" s="1"/>
  <c r="AC49" i="6"/>
  <c r="W49" i="6"/>
  <c r="J49" i="6" s="1"/>
  <c r="AG49" i="6"/>
  <c r="AE49" i="6"/>
  <c r="Q49" i="6"/>
  <c r="H49" i="6" s="1"/>
  <c r="AD49" i="6"/>
  <c r="AF49" i="6"/>
  <c r="T49" i="6"/>
  <c r="I49" i="6" s="1"/>
  <c r="Q45" i="7"/>
  <c r="H45" i="7" s="1"/>
  <c r="AE45" i="7"/>
  <c r="T45" i="7"/>
  <c r="I45" i="7" s="1"/>
  <c r="AH45" i="7" s="1"/>
  <c r="AG45" i="7"/>
  <c r="AK37" i="8"/>
  <c r="Q37" i="8"/>
  <c r="H37" i="8" s="1"/>
  <c r="U37" i="8"/>
  <c r="I37" i="8" s="1"/>
  <c r="AJ37" i="8"/>
  <c r="AI37" i="8"/>
  <c r="AJ30" i="8"/>
  <c r="U30" i="8"/>
  <c r="I30" i="8" s="1"/>
  <c r="AK30" i="8"/>
  <c r="Q30" i="8"/>
  <c r="H30" i="8" s="1"/>
  <c r="AI30" i="8"/>
  <c r="Q24" i="8"/>
  <c r="H24" i="8" s="1"/>
  <c r="U24" i="8"/>
  <c r="I24" i="8" s="1"/>
  <c r="AK24" i="8"/>
  <c r="AJ24" i="8"/>
  <c r="AI24" i="8"/>
  <c r="AC65" i="6"/>
  <c r="Q65" i="6"/>
  <c r="H65" i="6" s="1"/>
  <c r="T65" i="6"/>
  <c r="I65" i="6" s="1"/>
  <c r="AE65" i="6"/>
  <c r="AF65" i="6"/>
  <c r="AD65" i="6"/>
  <c r="W65" i="6"/>
  <c r="J65" i="6" s="1"/>
  <c r="AG65" i="6"/>
  <c r="Q64" i="8"/>
  <c r="H64" i="8" s="1"/>
  <c r="AJ64" i="8"/>
  <c r="AK64" i="8"/>
  <c r="U64" i="8"/>
  <c r="I64" i="8" s="1"/>
  <c r="AI64" i="8"/>
  <c r="U58" i="8"/>
  <c r="I58" i="8" s="1"/>
  <c r="AK58" i="8"/>
  <c r="AI58" i="8"/>
  <c r="AJ58" i="8"/>
  <c r="Q58" i="8"/>
  <c r="H58" i="8" s="1"/>
  <c r="AK62" i="8"/>
  <c r="AI62" i="8"/>
  <c r="U62" i="8"/>
  <c r="I62" i="8" s="1"/>
  <c r="AJ62" i="8"/>
  <c r="Q62" i="8"/>
  <c r="H62" i="8" s="1"/>
  <c r="T55" i="7"/>
  <c r="I55" i="7" s="1"/>
  <c r="AH55" i="7" s="1"/>
  <c r="Q55" i="7"/>
  <c r="H55" i="7" s="1"/>
  <c r="AG55" i="7"/>
  <c r="AE55" i="7"/>
  <c r="AE49" i="7"/>
  <c r="T49" i="7"/>
  <c r="I49" i="7" s="1"/>
  <c r="AH49" i="7" s="1"/>
  <c r="Q49" i="7"/>
  <c r="H49" i="7" s="1"/>
  <c r="AG49" i="7"/>
  <c r="Q47" i="6"/>
  <c r="H47" i="6" s="1"/>
  <c r="AD47" i="6"/>
  <c r="W47" i="6"/>
  <c r="J47" i="6" s="1"/>
  <c r="AF47" i="6"/>
  <c r="AE47" i="6"/>
  <c r="T47" i="6"/>
  <c r="I47" i="6" s="1"/>
  <c r="AG47" i="6"/>
  <c r="AC47" i="6"/>
  <c r="AG45" i="6"/>
  <c r="AD45" i="6"/>
  <c r="W45" i="6"/>
  <c r="J45" i="6" s="1"/>
  <c r="AE45" i="6"/>
  <c r="AC45" i="6"/>
  <c r="Q45" i="6"/>
  <c r="H45" i="6" s="1"/>
  <c r="AF45" i="6"/>
  <c r="T45" i="6"/>
  <c r="I45" i="6" s="1"/>
  <c r="AG41" i="6"/>
  <c r="AD41" i="6"/>
  <c r="AF41" i="6"/>
  <c r="AE41" i="6"/>
  <c r="T41" i="6"/>
  <c r="I41" i="6" s="1"/>
  <c r="Q41" i="6"/>
  <c r="H41" i="6" s="1"/>
  <c r="AC41" i="6"/>
  <c r="W41" i="6"/>
  <c r="J41" i="6" s="1"/>
  <c r="AK38" i="8"/>
  <c r="Q38" i="8"/>
  <c r="H38" i="8" s="1"/>
  <c r="AI38" i="8"/>
  <c r="AJ38" i="8"/>
  <c r="U38" i="8"/>
  <c r="I38" i="8" s="1"/>
  <c r="AJ33" i="8"/>
  <c r="Q33" i="8"/>
  <c r="H33" i="8" s="1"/>
  <c r="AK33" i="8"/>
  <c r="AI33" i="8"/>
  <c r="U33" i="8"/>
  <c r="I33" i="8" s="1"/>
  <c r="AJ32" i="8"/>
  <c r="AI32" i="8"/>
  <c r="Q32" i="8"/>
  <c r="H32" i="8" s="1"/>
  <c r="U32" i="8"/>
  <c r="I32" i="8" s="1"/>
  <c r="AK32" i="8"/>
  <c r="AG31" i="7"/>
  <c r="Q31" i="7"/>
  <c r="H31" i="7" s="1"/>
  <c r="T31" i="7"/>
  <c r="I31" i="7" s="1"/>
  <c r="AH31" i="7" s="1"/>
  <c r="AE31" i="7"/>
  <c r="AJ28" i="8"/>
  <c r="U28" i="8"/>
  <c r="I28" i="8" s="1"/>
  <c r="AI28" i="8"/>
  <c r="Q28" i="8"/>
  <c r="H28" i="8" s="1"/>
  <c r="AK28" i="8"/>
  <c r="Q25" i="7"/>
  <c r="H25" i="7" s="1"/>
  <c r="AE25" i="7"/>
  <c r="AG25" i="7"/>
  <c r="T25" i="7"/>
  <c r="I25" i="7" s="1"/>
  <c r="AH25" i="7" s="1"/>
  <c r="AG24" i="7"/>
  <c r="AE24" i="7"/>
  <c r="T24" i="7"/>
  <c r="I24" i="7" s="1"/>
  <c r="AH24" i="7" s="1"/>
  <c r="Q24" i="7"/>
  <c r="H24" i="7" s="1"/>
  <c r="AI23" i="8"/>
  <c r="Q23" i="8"/>
  <c r="H23" i="8" s="1"/>
  <c r="U23" i="8"/>
  <c r="I23" i="8" s="1"/>
  <c r="AK23" i="8"/>
  <c r="AJ23" i="8"/>
  <c r="Q19" i="7"/>
  <c r="H19" i="7" s="1"/>
  <c r="AE19" i="7"/>
  <c r="T19" i="7"/>
  <c r="I19" i="7" s="1"/>
  <c r="AH19" i="7" s="1"/>
  <c r="U19" i="8"/>
  <c r="I19" i="8" s="1"/>
  <c r="AK19" i="8"/>
  <c r="AI19" i="8"/>
  <c r="AJ19" i="8"/>
  <c r="Q19" i="8"/>
  <c r="H19" i="8" s="1"/>
  <c r="Q17" i="6"/>
  <c r="H17" i="6" s="1"/>
  <c r="AG17" i="6"/>
  <c r="AE17" i="6"/>
  <c r="T17" i="6"/>
  <c r="I17" i="6" s="1"/>
  <c r="W17" i="6"/>
  <c r="J17" i="6" s="1"/>
  <c r="AF17" i="6"/>
  <c r="AC17" i="6"/>
  <c r="AD17" i="6"/>
  <c r="Q14" i="8"/>
  <c r="H14" i="8" s="1"/>
  <c r="U14" i="8"/>
  <c r="I14" i="8" s="1"/>
  <c r="AK14" i="8"/>
  <c r="AI14" i="8"/>
  <c r="AJ14" i="8"/>
  <c r="Q13" i="7"/>
  <c r="H13" i="7" s="1"/>
  <c r="AE13" i="7"/>
  <c r="T13" i="7"/>
  <c r="I13" i="7" s="1"/>
  <c r="AH13" i="7" s="1"/>
  <c r="AD9" i="6"/>
  <c r="AC9" i="6"/>
  <c r="AG9" i="6"/>
  <c r="Q9" i="6"/>
  <c r="H9" i="6" s="1"/>
  <c r="AE9" i="6"/>
  <c r="W9" i="6"/>
  <c r="J9" i="6" s="1"/>
  <c r="T9" i="6"/>
  <c r="I9" i="6" s="1"/>
  <c r="AF9" i="6"/>
  <c r="T49" i="5"/>
  <c r="I49" i="5" s="1"/>
  <c r="AE49" i="5" s="1"/>
  <c r="AC49" i="5"/>
  <c r="Q49" i="5"/>
  <c r="H49" i="5" s="1"/>
  <c r="AD49" i="5"/>
  <c r="Q33" i="5"/>
  <c r="H33" i="5" s="1"/>
  <c r="AC33" i="5"/>
  <c r="AD33" i="5"/>
  <c r="T33" i="5"/>
  <c r="I33" i="5" s="1"/>
  <c r="AE33" i="5" s="1"/>
  <c r="Q25" i="5"/>
  <c r="H25" i="5" s="1"/>
  <c r="T25" i="5"/>
  <c r="I25" i="5" s="1"/>
  <c r="AE25" i="5" s="1"/>
  <c r="AC25" i="5"/>
  <c r="AD25" i="5"/>
  <c r="T60" i="5"/>
  <c r="I60" i="5" s="1"/>
  <c r="Q60" i="5"/>
  <c r="H60" i="5" s="1"/>
  <c r="AD60" i="5"/>
  <c r="AC60" i="5"/>
  <c r="AC36" i="5"/>
  <c r="AD36" i="5"/>
  <c r="Q36" i="5"/>
  <c r="H36" i="5" s="1"/>
  <c r="T36" i="5"/>
  <c r="I36" i="5" s="1"/>
  <c r="AE36" i="5" s="1"/>
  <c r="T65" i="5"/>
  <c r="AD65" i="5"/>
  <c r="AC65" i="5"/>
  <c r="Q65" i="5"/>
  <c r="H65" i="5" s="1"/>
  <c r="Q32" i="5"/>
  <c r="H32" i="5" s="1"/>
  <c r="T32" i="5"/>
  <c r="I32" i="5" s="1"/>
  <c r="AE32" i="5" s="1"/>
  <c r="AC32" i="5"/>
  <c r="AD32" i="5"/>
  <c r="AC40" i="5"/>
  <c r="AD40" i="5"/>
  <c r="T40" i="5"/>
  <c r="I40" i="5" s="1"/>
  <c r="AE40" i="5" s="1"/>
  <c r="Q40" i="5"/>
  <c r="H40" i="5" s="1"/>
  <c r="AC26" i="5"/>
  <c r="Q26" i="5"/>
  <c r="H26" i="5" s="1"/>
  <c r="AD26" i="5"/>
  <c r="T26" i="5"/>
  <c r="I26" i="5" s="1"/>
  <c r="AE26" i="5" s="1"/>
  <c r="AC59" i="5"/>
  <c r="AD59" i="5"/>
  <c r="T59" i="5"/>
  <c r="I59" i="5" s="1"/>
  <c r="Q59" i="5"/>
  <c r="H59" i="5" s="1"/>
  <c r="Q61" i="5"/>
  <c r="H61" i="5" s="1"/>
  <c r="AD61" i="5"/>
  <c r="T61" i="5"/>
  <c r="I61" i="5" s="1"/>
  <c r="AC61" i="5"/>
  <c r="AC53" i="5"/>
  <c r="T53" i="5"/>
  <c r="I53" i="5" s="1"/>
  <c r="AE53" i="5" s="1"/>
  <c r="Q53" i="5"/>
  <c r="H53" i="5" s="1"/>
  <c r="AD53" i="5"/>
  <c r="AC51" i="5"/>
  <c r="T51" i="5"/>
  <c r="I51" i="5" s="1"/>
  <c r="AE51" i="5" s="1"/>
  <c r="AD51" i="5"/>
  <c r="Q51" i="5"/>
  <c r="H51" i="5" s="1"/>
  <c r="T45" i="5"/>
  <c r="I45" i="5" s="1"/>
  <c r="AE45" i="5" s="1"/>
  <c r="Q45" i="5"/>
  <c r="H45" i="5" s="1"/>
  <c r="AC45" i="5"/>
  <c r="AD45" i="5"/>
  <c r="T43" i="5"/>
  <c r="I43" i="5" s="1"/>
  <c r="AE43" i="5" s="1"/>
  <c r="Q43" i="5"/>
  <c r="H43" i="5" s="1"/>
  <c r="AD43" i="5"/>
  <c r="AC43" i="5"/>
  <c r="AC38" i="5"/>
  <c r="T38" i="5"/>
  <c r="I38" i="5" s="1"/>
  <c r="AE38" i="5" s="1"/>
  <c r="AD38" i="5"/>
  <c r="Q38" i="5"/>
  <c r="H38" i="5" s="1"/>
  <c r="AD8" i="5"/>
  <c r="AC8" i="5"/>
  <c r="T8" i="5"/>
  <c r="I8" i="5" s="1"/>
  <c r="AE8" i="5" s="1"/>
  <c r="Q8" i="5"/>
  <c r="H8" i="5" s="1"/>
  <c r="T58" i="5"/>
  <c r="I58" i="5" s="1"/>
  <c r="AE58" i="5" s="1"/>
  <c r="AC58" i="5"/>
  <c r="Q58" i="5"/>
  <c r="H58" i="5" s="1"/>
  <c r="AD58" i="5"/>
  <c r="Q44" i="5"/>
  <c r="H44" i="5" s="1"/>
  <c r="T44" i="5"/>
  <c r="I44" i="5" s="1"/>
  <c r="AE44" i="5" s="1"/>
  <c r="AD44" i="5"/>
  <c r="AC44" i="5"/>
  <c r="AD24" i="5"/>
  <c r="T24" i="5"/>
  <c r="I24" i="5" s="1"/>
  <c r="AE24" i="5" s="1"/>
  <c r="AC24" i="5"/>
  <c r="Q24" i="5"/>
  <c r="H24" i="5" s="1"/>
  <c r="AC63" i="5"/>
  <c r="T63" i="5"/>
  <c r="I63" i="5" s="1"/>
  <c r="Q63" i="5"/>
  <c r="H63" i="5" s="1"/>
  <c r="AD63" i="5"/>
  <c r="AC41" i="5"/>
  <c r="AD41" i="5"/>
  <c r="T41" i="5"/>
  <c r="I41" i="5" s="1"/>
  <c r="AE41" i="5" s="1"/>
  <c r="Q41" i="5"/>
  <c r="H41" i="5" s="1"/>
  <c r="AC39" i="5"/>
  <c r="Q39" i="5"/>
  <c r="H39" i="5" s="1"/>
  <c r="T39" i="5"/>
  <c r="I39" i="5" s="1"/>
  <c r="AE39" i="5" s="1"/>
  <c r="AD39" i="5"/>
  <c r="AD23" i="5"/>
  <c r="T23" i="5"/>
  <c r="I23" i="5" s="1"/>
  <c r="AE23" i="5" s="1"/>
  <c r="Q23" i="5"/>
  <c r="H23" i="5" s="1"/>
  <c r="AC23" i="5"/>
  <c r="Q62" i="5"/>
  <c r="H62" i="5" s="1"/>
  <c r="AD62" i="5"/>
  <c r="AC62" i="5"/>
  <c r="T62" i="5"/>
  <c r="I62" i="5" s="1"/>
  <c r="Q48" i="5"/>
  <c r="H48" i="5" s="1"/>
  <c r="AD48" i="5"/>
  <c r="T48" i="5"/>
  <c r="I48" i="5" s="1"/>
  <c r="AE48" i="5" s="1"/>
  <c r="AC48" i="5"/>
  <c r="Q11" i="5"/>
  <c r="H11" i="5" s="1"/>
  <c r="AC11" i="5"/>
  <c r="AD11" i="5"/>
  <c r="T11" i="5"/>
  <c r="I11" i="5" s="1"/>
  <c r="AE11" i="5" s="1"/>
  <c r="T47" i="5"/>
  <c r="I47" i="5" s="1"/>
  <c r="AE47" i="5" s="1"/>
  <c r="AC47" i="5"/>
  <c r="AD47" i="5"/>
  <c r="Q47" i="5"/>
  <c r="H47" i="5" s="1"/>
  <c r="Q42" i="5"/>
  <c r="H42" i="5" s="1"/>
  <c r="AC42" i="5"/>
  <c r="AD42" i="5"/>
  <c r="T42" i="5"/>
  <c r="I42" i="5" s="1"/>
  <c r="AE42" i="5" s="1"/>
  <c r="AD28" i="5"/>
  <c r="AC28" i="5"/>
  <c r="Q28" i="5"/>
  <c r="H28" i="5" s="1"/>
  <c r="T28" i="5"/>
  <c r="I28" i="5" s="1"/>
  <c r="AE28" i="5" s="1"/>
  <c r="T22" i="5"/>
  <c r="I22" i="5" s="1"/>
  <c r="AE22" i="5" s="1"/>
  <c r="AD22" i="5"/>
  <c r="AC22" i="5"/>
  <c r="Q22" i="5"/>
  <c r="H22" i="5" s="1"/>
  <c r="Q16" i="5"/>
  <c r="H16" i="5" s="1"/>
  <c r="AD16" i="5"/>
  <c r="T16" i="5"/>
  <c r="I16" i="5" s="1"/>
  <c r="AE16" i="5" s="1"/>
  <c r="AC16" i="5"/>
  <c r="T12" i="5"/>
  <c r="I12" i="5" s="1"/>
  <c r="AE12" i="5" s="1"/>
  <c r="Q12" i="5"/>
  <c r="H12" i="5" s="1"/>
  <c r="AD12" i="5"/>
  <c r="AC12" i="5"/>
  <c r="T55" i="5"/>
  <c r="AC55" i="5"/>
  <c r="AD55" i="5"/>
  <c r="Q55" i="5"/>
  <c r="H55" i="5" s="1"/>
  <c r="Q57" i="5"/>
  <c r="H57" i="5" s="1"/>
  <c r="T57" i="5"/>
  <c r="I57" i="5" s="1"/>
  <c r="AE57" i="5" s="1"/>
  <c r="AD57" i="5"/>
  <c r="AC57" i="5"/>
  <c r="AD64" i="5"/>
  <c r="AC64" i="5"/>
  <c r="T64" i="5"/>
  <c r="I64" i="5" s="1"/>
  <c r="Q64" i="5"/>
  <c r="H64" i="5" s="1"/>
  <c r="T29" i="5"/>
  <c r="I29" i="5" s="1"/>
  <c r="AE29" i="5" s="1"/>
  <c r="AC29" i="5"/>
  <c r="AD29" i="5"/>
  <c r="Q29" i="5"/>
  <c r="H29" i="5" s="1"/>
  <c r="AC14" i="5"/>
  <c r="T14" i="5"/>
  <c r="I14" i="5" s="1"/>
  <c r="AE14" i="5" s="1"/>
  <c r="AD14" i="5"/>
  <c r="Q14" i="5"/>
  <c r="H14" i="5" s="1"/>
  <c r="Q56" i="5"/>
  <c r="H56" i="5" s="1"/>
  <c r="AC56" i="5"/>
  <c r="AD56" i="5"/>
  <c r="T56" i="5"/>
  <c r="I56" i="5" s="1"/>
  <c r="AE56" i="5" s="1"/>
  <c r="T35" i="5"/>
  <c r="I35" i="5" s="1"/>
  <c r="AE35" i="5" s="1"/>
  <c r="Q35" i="5"/>
  <c r="H35" i="5" s="1"/>
  <c r="AD35" i="5"/>
  <c r="AC35" i="5"/>
  <c r="Q31" i="5"/>
  <c r="H31" i="5" s="1"/>
  <c r="T31" i="5"/>
  <c r="I31" i="5" s="1"/>
  <c r="AE31" i="5" s="1"/>
  <c r="AD31" i="5"/>
  <c r="AC31" i="5"/>
  <c r="Q30" i="5"/>
  <c r="H30" i="5" s="1"/>
  <c r="AD30" i="5"/>
  <c r="T30" i="5"/>
  <c r="I30" i="5" s="1"/>
  <c r="AE30" i="5" s="1"/>
  <c r="AC30" i="5"/>
  <c r="AC20" i="5"/>
  <c r="Q20" i="5"/>
  <c r="H20" i="5" s="1"/>
  <c r="AD20" i="5"/>
  <c r="T20" i="5"/>
  <c r="I20" i="5" s="1"/>
  <c r="AE20" i="5" s="1"/>
  <c r="T15" i="5"/>
  <c r="I15" i="5" s="1"/>
  <c r="AE15" i="5" s="1"/>
  <c r="Q15" i="5"/>
  <c r="H15" i="5" s="1"/>
  <c r="AC15" i="5"/>
  <c r="AD15" i="5"/>
  <c r="AD13" i="5"/>
  <c r="T13" i="5"/>
  <c r="I13" i="5" s="1"/>
  <c r="AE13" i="5" s="1"/>
  <c r="Q13" i="5"/>
  <c r="H13" i="5" s="1"/>
  <c r="AC13" i="5"/>
  <c r="Q9" i="5"/>
  <c r="H9" i="5" s="1"/>
  <c r="AC9" i="5"/>
  <c r="AD9" i="5"/>
  <c r="T9" i="5"/>
  <c r="I9" i="5" s="1"/>
  <c r="AE9" i="5" s="1"/>
  <c r="Q54" i="5"/>
  <c r="H54" i="5" s="1"/>
  <c r="T54" i="5"/>
  <c r="I54" i="5" s="1"/>
  <c r="AE54" i="5" s="1"/>
  <c r="AD54" i="5"/>
  <c r="AC54" i="5"/>
  <c r="AD17" i="5"/>
  <c r="AC17" i="5"/>
  <c r="Q17" i="5"/>
  <c r="H17" i="5" s="1"/>
  <c r="T17" i="5"/>
  <c r="I17" i="5" s="1"/>
  <c r="AE17" i="5" s="1"/>
  <c r="AC46" i="5"/>
  <c r="T46" i="5"/>
  <c r="I46" i="5" s="1"/>
  <c r="AE46" i="5" s="1"/>
  <c r="Q46" i="5"/>
  <c r="H46" i="5" s="1"/>
  <c r="AD46" i="5"/>
  <c r="T34" i="5"/>
  <c r="I34" i="5" s="1"/>
  <c r="AE34" i="5" s="1"/>
  <c r="Q34" i="5"/>
  <c r="H34" i="5" s="1"/>
  <c r="AD34" i="5"/>
  <c r="AC34" i="5"/>
  <c r="Q18" i="5"/>
  <c r="H18" i="5" s="1"/>
  <c r="AC18" i="5"/>
  <c r="T18" i="5"/>
  <c r="I18" i="5" s="1"/>
  <c r="AE18" i="5" s="1"/>
  <c r="AD18" i="5"/>
  <c r="AD19" i="5"/>
  <c r="AC19" i="5"/>
  <c r="Q19" i="5"/>
  <c r="H19" i="5" s="1"/>
  <c r="T19" i="5"/>
  <c r="I19" i="5" s="1"/>
  <c r="AE19" i="5" s="1"/>
  <c r="Q7" i="5"/>
  <c r="H7" i="5" s="1"/>
  <c r="T7" i="5"/>
  <c r="I7" i="5" s="1"/>
  <c r="AE7" i="5" s="1"/>
  <c r="AD7" i="5"/>
  <c r="AC7" i="5"/>
  <c r="AD37" i="5"/>
  <c r="Q37" i="5"/>
  <c r="H37" i="5" s="1"/>
  <c r="T37" i="5"/>
  <c r="I37" i="5" s="1"/>
  <c r="AE37" i="5" s="1"/>
  <c r="AC37" i="5"/>
  <c r="T66" i="5"/>
  <c r="I66" i="5" s="1"/>
  <c r="AC66" i="5"/>
  <c r="Q66" i="5"/>
  <c r="H66" i="5" s="1"/>
  <c r="AD66" i="5"/>
  <c r="AC52" i="5"/>
  <c r="T52" i="5"/>
  <c r="I52" i="5" s="1"/>
  <c r="AE52" i="5" s="1"/>
  <c r="AD52" i="5"/>
  <c r="Q52" i="5"/>
  <c r="H52" i="5" s="1"/>
  <c r="Q50" i="5"/>
  <c r="H50" i="5" s="1"/>
  <c r="T50" i="5"/>
  <c r="I50" i="5" s="1"/>
  <c r="AE50" i="5" s="1"/>
  <c r="AC50" i="5"/>
  <c r="AD50" i="5"/>
  <c r="AC27" i="5"/>
  <c r="T27" i="5"/>
  <c r="I27" i="5" s="1"/>
  <c r="AE27" i="5" s="1"/>
  <c r="Q27" i="5"/>
  <c r="H27" i="5" s="1"/>
  <c r="AD27" i="5"/>
  <c r="AC21" i="5"/>
  <c r="AD21" i="5"/>
  <c r="Q21" i="5"/>
  <c r="H21" i="5" s="1"/>
  <c r="T21" i="5"/>
  <c r="I21" i="5" s="1"/>
  <c r="AE21" i="5" s="1"/>
  <c r="Q10" i="5"/>
  <c r="H10" i="5" s="1"/>
  <c r="T10" i="5"/>
  <c r="I10" i="5" s="1"/>
  <c r="AE10" i="5" s="1"/>
  <c r="AD10" i="5"/>
  <c r="AC10" i="5"/>
  <c r="H757" i="21"/>
  <c r="S1005" i="21"/>
  <c r="U758" i="21"/>
  <c r="F1005" i="21"/>
  <c r="R960" i="21"/>
  <c r="C275" i="14"/>
  <c r="E898" i="21"/>
  <c r="P1004" i="21"/>
  <c r="U713" i="21"/>
  <c r="C274" i="14"/>
  <c r="D1005" i="21"/>
  <c r="U712" i="21"/>
  <c r="C895" i="21"/>
  <c r="B1005" i="21"/>
  <c r="C267" i="14"/>
  <c r="T1005" i="21"/>
  <c r="P898" i="21"/>
  <c r="U1004" i="21"/>
  <c r="S897" i="21"/>
  <c r="E1005" i="21"/>
  <c r="C257" i="14"/>
  <c r="P897" i="21"/>
  <c r="C316" i="14"/>
  <c r="Q1005" i="21"/>
  <c r="S1004" i="21"/>
  <c r="U897" i="21"/>
  <c r="U759" i="21"/>
  <c r="U700" i="21"/>
  <c r="T1004" i="21"/>
  <c r="T897" i="21"/>
  <c r="C270" i="14"/>
  <c r="G898" i="21"/>
  <c r="C269" i="14"/>
  <c r="Q897" i="21"/>
  <c r="H760" i="21"/>
  <c r="V897" i="21"/>
  <c r="C893" i="21"/>
  <c r="U717" i="21"/>
  <c r="R897" i="21"/>
  <c r="P1005" i="21"/>
  <c r="Q898" i="21"/>
  <c r="C898" i="21"/>
  <c r="P885" i="21"/>
  <c r="B898" i="21"/>
  <c r="U718" i="21"/>
  <c r="F898" i="21"/>
  <c r="C251" i="14"/>
  <c r="C317" i="9"/>
  <c r="U898" i="21"/>
  <c r="C1005" i="21"/>
  <c r="U710" i="21"/>
  <c r="R1004" i="21"/>
  <c r="U715" i="21"/>
  <c r="G1001" i="21"/>
  <c r="G1005" i="21"/>
  <c r="C280" i="14"/>
  <c r="R1005" i="21"/>
  <c r="D898" i="21"/>
  <c r="S898" i="21"/>
  <c r="U723" i="21"/>
  <c r="R898" i="21"/>
  <c r="H898" i="21"/>
  <c r="C272" i="14"/>
  <c r="T898" i="21"/>
  <c r="C315" i="14"/>
  <c r="B895" i="21"/>
  <c r="V898" i="21"/>
  <c r="U694" i="21"/>
  <c r="I90" i="25" l="1"/>
  <c r="M90" i="25" s="1"/>
  <c r="F90" i="25" s="1"/>
  <c r="P87" i="19" s="1"/>
  <c r="C95" i="24"/>
  <c r="AY95" i="8"/>
  <c r="AR95" i="7"/>
  <c r="AP95" i="5"/>
  <c r="AQ95" i="6"/>
  <c r="U94" i="24"/>
  <c r="I94" i="24" s="1"/>
  <c r="AK94" i="24" s="1"/>
  <c r="AI94" i="24"/>
  <c r="Q94" i="24"/>
  <c r="H94" i="24" s="1"/>
  <c r="AJ94" i="24"/>
  <c r="C95" i="25"/>
  <c r="AW95" i="11"/>
  <c r="AO95" i="13"/>
  <c r="AY95" i="12"/>
  <c r="AH94" i="25"/>
  <c r="R94" i="25"/>
  <c r="H94" i="25" s="1"/>
  <c r="AJ94" i="25"/>
  <c r="AR94" i="25"/>
  <c r="L94" i="25" s="1"/>
  <c r="AG94" i="25"/>
  <c r="AI94" i="25"/>
  <c r="AK94" i="25"/>
  <c r="O94" i="25"/>
  <c r="G94" i="25" s="1"/>
  <c r="E94" i="25"/>
  <c r="O93" i="25"/>
  <c r="G93" i="25" s="1"/>
  <c r="E93" i="25"/>
  <c r="I76" i="13"/>
  <c r="M76" i="13" s="1"/>
  <c r="F76" i="13" s="1"/>
  <c r="D76" i="13" s="1"/>
  <c r="O94" i="24"/>
  <c r="G94" i="24" s="1"/>
  <c r="AA94" i="24" s="1"/>
  <c r="E94" i="24"/>
  <c r="O93" i="24"/>
  <c r="G93" i="24" s="1"/>
  <c r="AA93" i="24" s="1"/>
  <c r="D43" i="12"/>
  <c r="D49" i="12"/>
  <c r="D25" i="12"/>
  <c r="D44" i="12"/>
  <c r="D54" i="12"/>
  <c r="D41" i="12"/>
  <c r="D31" i="12"/>
  <c r="I92" i="25"/>
  <c r="M92" i="25" s="1"/>
  <c r="F92" i="25" s="1"/>
  <c r="P89" i="19" s="1"/>
  <c r="AQ94" i="13"/>
  <c r="BA94" i="12"/>
  <c r="AY94" i="11"/>
  <c r="BA94" i="8"/>
  <c r="AS94" i="6"/>
  <c r="AT94" i="7"/>
  <c r="AR94" i="5"/>
  <c r="AP94" i="13"/>
  <c r="AZ94" i="12"/>
  <c r="AX94" i="11"/>
  <c r="AS94" i="7"/>
  <c r="AZ94" i="8"/>
  <c r="AQ94" i="5"/>
  <c r="AR94" i="6"/>
  <c r="O92" i="19"/>
  <c r="AO95" i="25" s="1"/>
  <c r="AP95" i="25" s="1"/>
  <c r="K95" i="25" s="1"/>
  <c r="X93" i="19"/>
  <c r="N92" i="19"/>
  <c r="N95" i="25" s="1"/>
  <c r="K92" i="19"/>
  <c r="AP95" i="24" s="1"/>
  <c r="AQ95" i="24" s="1"/>
  <c r="L95" i="24" s="1"/>
  <c r="J92" i="19"/>
  <c r="N95" i="24" s="1"/>
  <c r="I93" i="19"/>
  <c r="M93" i="19"/>
  <c r="D91" i="25"/>
  <c r="P88" i="19"/>
  <c r="D92" i="24"/>
  <c r="L89" i="19"/>
  <c r="AG93" i="25"/>
  <c r="J93" i="25" s="1"/>
  <c r="W4" i="19"/>
  <c r="W11" i="19" s="1"/>
  <c r="AL62" i="24"/>
  <c r="K62" i="24" s="1"/>
  <c r="J898" i="21"/>
  <c r="I1005" i="21"/>
  <c r="L898" i="21"/>
  <c r="K898" i="21"/>
  <c r="I898" i="21"/>
  <c r="H1005" i="21"/>
  <c r="X898" i="21"/>
  <c r="Z898" i="21"/>
  <c r="Y898" i="21"/>
  <c r="W898" i="21"/>
  <c r="X897" i="21"/>
  <c r="Y897" i="21"/>
  <c r="Z897" i="21"/>
  <c r="W897" i="21"/>
  <c r="V1004" i="21"/>
  <c r="D90" i="5"/>
  <c r="D90" i="12"/>
  <c r="D89" i="12"/>
  <c r="M79" i="11"/>
  <c r="I1001" i="21"/>
  <c r="H1001" i="21"/>
  <c r="D87" i="5"/>
  <c r="F1034" i="21"/>
  <c r="U887" i="21"/>
  <c r="F890" i="21"/>
  <c r="U1005" i="21"/>
  <c r="G92" i="14"/>
  <c r="Q1004" i="21"/>
  <c r="H893" i="21"/>
  <c r="D90" i="25" l="1"/>
  <c r="V93" i="25"/>
  <c r="K94" i="24"/>
  <c r="Z94" i="24" s="1"/>
  <c r="J94" i="24" s="1"/>
  <c r="M94" i="24" s="1"/>
  <c r="F94" i="24" s="1"/>
  <c r="D94" i="24" s="1"/>
  <c r="AK95" i="25"/>
  <c r="AI95" i="25"/>
  <c r="AR95" i="25"/>
  <c r="L95" i="25" s="1"/>
  <c r="AH95" i="25"/>
  <c r="R95" i="25"/>
  <c r="H95" i="25" s="1"/>
  <c r="AJ95" i="25"/>
  <c r="AG95" i="25"/>
  <c r="C96" i="24"/>
  <c r="AP96" i="5"/>
  <c r="AY96" i="8"/>
  <c r="AQ96" i="6"/>
  <c r="AR96" i="7"/>
  <c r="J94" i="25"/>
  <c r="V94" i="25" s="1"/>
  <c r="C96" i="25"/>
  <c r="AW96" i="11"/>
  <c r="AO96" i="13"/>
  <c r="AY96" i="12"/>
  <c r="AJ95" i="24"/>
  <c r="Q95" i="24"/>
  <c r="H95" i="24" s="1"/>
  <c r="AI95" i="24"/>
  <c r="U95" i="24"/>
  <c r="I95" i="24" s="1"/>
  <c r="AK95" i="24" s="1"/>
  <c r="O95" i="25"/>
  <c r="G95" i="25" s="1"/>
  <c r="E95" i="25"/>
  <c r="W1158" i="21"/>
  <c r="E95" i="24"/>
  <c r="O95" i="24"/>
  <c r="G95" i="24" s="1"/>
  <c r="AA95" i="24" s="1"/>
  <c r="D92" i="25"/>
  <c r="BA95" i="8"/>
  <c r="AR95" i="5"/>
  <c r="AT95" i="7"/>
  <c r="AS95" i="6"/>
  <c r="BA95" i="12"/>
  <c r="AQ95" i="13"/>
  <c r="AY95" i="11"/>
  <c r="AP95" i="13"/>
  <c r="AZ95" i="12"/>
  <c r="AX95" i="11"/>
  <c r="AQ95" i="5"/>
  <c r="AZ95" i="8"/>
  <c r="AR95" i="6"/>
  <c r="AS95" i="7"/>
  <c r="N93" i="19"/>
  <c r="N96" i="25" s="1"/>
  <c r="J93" i="19"/>
  <c r="N96" i="24" s="1"/>
  <c r="K93" i="19"/>
  <c r="AP96" i="24" s="1"/>
  <c r="AQ96" i="24" s="1"/>
  <c r="L96" i="24" s="1"/>
  <c r="V1005" i="21"/>
  <c r="W1005" i="21"/>
  <c r="W1004" i="21"/>
  <c r="P979" i="21"/>
  <c r="T885" i="21"/>
  <c r="R872" i="21"/>
  <c r="P872" i="21"/>
  <c r="F1002" i="21"/>
  <c r="H87" i="14"/>
  <c r="D1000" i="21"/>
  <c r="P887" i="21"/>
  <c r="H890" i="21"/>
  <c r="C312" i="9"/>
  <c r="C1000" i="21"/>
  <c r="E1002" i="21"/>
  <c r="Q979" i="21"/>
  <c r="E1000" i="21"/>
  <c r="Q853" i="21"/>
  <c r="T887" i="21"/>
  <c r="S853" i="21"/>
  <c r="D997" i="21"/>
  <c r="G895" i="21"/>
  <c r="B890" i="21"/>
  <c r="R994" i="21"/>
  <c r="G87" i="14"/>
  <c r="C303" i="14"/>
  <c r="V885" i="21"/>
  <c r="Q872" i="21"/>
  <c r="S992" i="21"/>
  <c r="V872" i="21"/>
  <c r="B1000" i="21"/>
  <c r="R887" i="21"/>
  <c r="M85" i="9"/>
  <c r="S885" i="21"/>
  <c r="T853" i="21"/>
  <c r="P960" i="21"/>
  <c r="G890" i="21"/>
  <c r="T992" i="21"/>
  <c r="R979" i="21"/>
  <c r="C309" i="9"/>
  <c r="C997" i="21"/>
  <c r="H752" i="21"/>
  <c r="I87" i="14"/>
  <c r="J87" i="14"/>
  <c r="V853" i="21"/>
  <c r="F1000" i="21"/>
  <c r="E997" i="21"/>
  <c r="T872" i="21"/>
  <c r="G893" i="21"/>
  <c r="B893" i="21"/>
  <c r="D895" i="21"/>
  <c r="H895" i="21"/>
  <c r="C1002" i="21"/>
  <c r="Q887" i="21"/>
  <c r="P853" i="21"/>
  <c r="K87" i="14"/>
  <c r="U994" i="21"/>
  <c r="Q885" i="21"/>
  <c r="F893" i="21"/>
  <c r="E895" i="21"/>
  <c r="D890" i="21"/>
  <c r="S994" i="21"/>
  <c r="Q960" i="21"/>
  <c r="U885" i="21"/>
  <c r="P992" i="21"/>
  <c r="R853" i="21"/>
  <c r="H92" i="14"/>
  <c r="S979" i="21"/>
  <c r="U979" i="21"/>
  <c r="F895" i="21"/>
  <c r="G1000" i="21"/>
  <c r="R992" i="21"/>
  <c r="D1002" i="21"/>
  <c r="R885" i="21"/>
  <c r="D893" i="21"/>
  <c r="S872" i="21"/>
  <c r="C890" i="21"/>
  <c r="F92" i="14"/>
  <c r="B997" i="21"/>
  <c r="U748" i="21"/>
  <c r="E893" i="21"/>
  <c r="C305" i="14"/>
  <c r="H755" i="21"/>
  <c r="U746" i="21"/>
  <c r="U714" i="21"/>
  <c r="S887" i="21"/>
  <c r="F87" i="14"/>
  <c r="E890" i="21"/>
  <c r="U960" i="21"/>
  <c r="V887" i="21"/>
  <c r="B1002" i="21"/>
  <c r="Q994" i="21"/>
  <c r="Q992" i="21"/>
  <c r="P994" i="21"/>
  <c r="U992" i="21"/>
  <c r="C314" i="9"/>
  <c r="S960" i="21"/>
  <c r="C290" i="14"/>
  <c r="G997" i="21"/>
  <c r="T994" i="21"/>
  <c r="U733" i="21"/>
  <c r="W94" i="25" l="1"/>
  <c r="I94" i="25" s="1"/>
  <c r="M94" i="25" s="1"/>
  <c r="F94" i="25" s="1"/>
  <c r="P91" i="19" s="1"/>
  <c r="AJ96" i="24"/>
  <c r="U96" i="24"/>
  <c r="I96" i="24" s="1"/>
  <c r="AK96" i="24" s="1"/>
  <c r="AI96" i="24"/>
  <c r="Q96" i="24"/>
  <c r="H96" i="24" s="1"/>
  <c r="AK96" i="25"/>
  <c r="AH96" i="25"/>
  <c r="AR96" i="25"/>
  <c r="L96" i="25" s="1"/>
  <c r="AI96" i="25"/>
  <c r="AJ96" i="25"/>
  <c r="AG96" i="25"/>
  <c r="R96" i="25"/>
  <c r="H96" i="25" s="1"/>
  <c r="J95" i="25"/>
  <c r="V95" i="25" s="1"/>
  <c r="K95" i="24"/>
  <c r="Z95" i="24" s="1"/>
  <c r="J95" i="24" s="1"/>
  <c r="M95" i="24" s="1"/>
  <c r="F95" i="24" s="1"/>
  <c r="O96" i="25"/>
  <c r="G96" i="25" s="1"/>
  <c r="E96" i="25"/>
  <c r="W1157" i="21"/>
  <c r="R1158" i="21"/>
  <c r="W1159" i="21"/>
  <c r="R1157" i="21"/>
  <c r="R1159" i="21"/>
  <c r="E96" i="24"/>
  <c r="O96" i="24"/>
  <c r="G96" i="24" s="1"/>
  <c r="AA96" i="24" s="1"/>
  <c r="L91" i="19"/>
  <c r="AT96" i="7"/>
  <c r="AS96" i="6"/>
  <c r="BA96" i="8"/>
  <c r="AR96" i="5"/>
  <c r="AP96" i="13"/>
  <c r="AZ96" i="12"/>
  <c r="AX96" i="11"/>
  <c r="AZ96" i="8"/>
  <c r="AS96" i="7"/>
  <c r="AR96" i="6"/>
  <c r="AQ96" i="5"/>
  <c r="W93" i="25"/>
  <c r="I93" i="25" s="1"/>
  <c r="M93" i="25" s="1"/>
  <c r="F93" i="25" s="1"/>
  <c r="P90" i="19" s="1"/>
  <c r="Z62" i="24"/>
  <c r="J62" i="24" s="1"/>
  <c r="M62" i="24" s="1"/>
  <c r="F62" i="24" s="1"/>
  <c r="L59" i="19" s="1"/>
  <c r="F79" i="11"/>
  <c r="D79" i="11" s="1"/>
  <c r="E1152" i="21"/>
  <c r="I71" i="13"/>
  <c r="M71" i="13" s="1"/>
  <c r="I63" i="13"/>
  <c r="M63" i="13" s="1"/>
  <c r="I51" i="13"/>
  <c r="M51" i="13" s="1"/>
  <c r="F51" i="13" s="1"/>
  <c r="D51" i="13" s="1"/>
  <c r="I9" i="13"/>
  <c r="M9" i="13" s="1"/>
  <c r="F9" i="13" s="1"/>
  <c r="D9" i="13" s="1"/>
  <c r="F9" i="12"/>
  <c r="D9" i="12" s="1"/>
  <c r="I28" i="13"/>
  <c r="M28" i="13" s="1"/>
  <c r="I79" i="13"/>
  <c r="M79" i="13" s="1"/>
  <c r="I895" i="21"/>
  <c r="J895" i="21"/>
  <c r="K895" i="21"/>
  <c r="L895" i="21"/>
  <c r="F17" i="12"/>
  <c r="I83" i="13"/>
  <c r="M83" i="13" s="1"/>
  <c r="F83" i="13" s="1"/>
  <c r="D83" i="13" s="1"/>
  <c r="I23" i="13"/>
  <c r="M23" i="13" s="1"/>
  <c r="F23" i="13" s="1"/>
  <c r="D23" i="13" s="1"/>
  <c r="I59" i="13"/>
  <c r="M59" i="13" s="1"/>
  <c r="I31" i="13"/>
  <c r="M31" i="13" s="1"/>
  <c r="F31" i="13" s="1"/>
  <c r="D31" i="13" s="1"/>
  <c r="I55" i="13"/>
  <c r="M55" i="13" s="1"/>
  <c r="F55" i="13" s="1"/>
  <c r="D55" i="13" s="1"/>
  <c r="I45" i="13"/>
  <c r="M45" i="13" s="1"/>
  <c r="F75" i="12"/>
  <c r="D75" i="12" s="1"/>
  <c r="I61" i="13"/>
  <c r="M61" i="13" s="1"/>
  <c r="I33" i="13"/>
  <c r="F69" i="12"/>
  <c r="D69" i="12" s="1"/>
  <c r="I82" i="13"/>
  <c r="M82" i="13" s="1"/>
  <c r="F82" i="13" s="1"/>
  <c r="D82" i="13" s="1"/>
  <c r="I84" i="13"/>
  <c r="M84" i="13" s="1"/>
  <c r="F84" i="13" s="1"/>
  <c r="D84" i="13" s="1"/>
  <c r="F14" i="12"/>
  <c r="I58" i="13"/>
  <c r="M58" i="13" s="1"/>
  <c r="I73" i="13"/>
  <c r="M73" i="13" s="1"/>
  <c r="F73" i="13" s="1"/>
  <c r="D73" i="13" s="1"/>
  <c r="F47" i="12"/>
  <c r="D47" i="12" s="1"/>
  <c r="I48" i="13"/>
  <c r="M48" i="13" s="1"/>
  <c r="F48" i="13" s="1"/>
  <c r="D48" i="13" s="1"/>
  <c r="F56" i="12"/>
  <c r="I65" i="13"/>
  <c r="M65" i="13" s="1"/>
  <c r="F65" i="13" s="1"/>
  <c r="D65" i="13" s="1"/>
  <c r="F8" i="12"/>
  <c r="D8" i="12" s="1"/>
  <c r="I8" i="13"/>
  <c r="I7" i="13"/>
  <c r="M7" i="13" s="1"/>
  <c r="M12" i="12"/>
  <c r="F12" i="12" s="1"/>
  <c r="D12" i="12" s="1"/>
  <c r="F15" i="12"/>
  <c r="D15" i="12" s="1"/>
  <c r="F80" i="12"/>
  <c r="D80" i="12" s="1"/>
  <c r="M55" i="12"/>
  <c r="F55" i="12" s="1"/>
  <c r="F72" i="12"/>
  <c r="F24" i="12"/>
  <c r="F21" i="12"/>
  <c r="I75" i="13"/>
  <c r="M75" i="13" s="1"/>
  <c r="I46" i="13"/>
  <c r="M46" i="13" s="1"/>
  <c r="F46" i="13" s="1"/>
  <c r="D46" i="13" s="1"/>
  <c r="I41" i="13"/>
  <c r="M41" i="13" s="1"/>
  <c r="F35" i="12"/>
  <c r="D35" i="12" s="1"/>
  <c r="I37" i="13"/>
  <c r="M37" i="13" s="1"/>
  <c r="I78" i="13"/>
  <c r="M78" i="13" s="1"/>
  <c r="F78" i="13" s="1"/>
  <c r="D78" i="13" s="1"/>
  <c r="I56" i="13"/>
  <c r="I38" i="13"/>
  <c r="M38" i="13" s="1"/>
  <c r="F38" i="13" s="1"/>
  <c r="D38" i="13" s="1"/>
  <c r="I70" i="13"/>
  <c r="M70" i="13" s="1"/>
  <c r="F70" i="13" s="1"/>
  <c r="D70" i="13" s="1"/>
  <c r="I11" i="13"/>
  <c r="F28" i="12"/>
  <c r="D28" i="12" s="1"/>
  <c r="F68" i="12"/>
  <c r="D68" i="12" s="1"/>
  <c r="I52" i="13"/>
  <c r="M52" i="13" s="1"/>
  <c r="F52" i="13" s="1"/>
  <c r="D52" i="13" s="1"/>
  <c r="I14" i="13"/>
  <c r="M14" i="13" s="1"/>
  <c r="F14" i="13" s="1"/>
  <c r="D14" i="13" s="1"/>
  <c r="I68" i="13"/>
  <c r="M68" i="13" s="1"/>
  <c r="F68" i="13" s="1"/>
  <c r="D68" i="13" s="1"/>
  <c r="I60" i="13"/>
  <c r="M7" i="12"/>
  <c r="F10" i="12"/>
  <c r="I15" i="13"/>
  <c r="M15" i="13" s="1"/>
  <c r="F15" i="13" s="1"/>
  <c r="D15" i="13" s="1"/>
  <c r="F59" i="12"/>
  <c r="I50" i="13"/>
  <c r="M50" i="13" s="1"/>
  <c r="F50" i="13" s="1"/>
  <c r="D50" i="13" s="1"/>
  <c r="F52" i="12"/>
  <c r="D52" i="12" s="1"/>
  <c r="F71" i="12"/>
  <c r="F19" i="12"/>
  <c r="D19" i="12" s="1"/>
  <c r="F13" i="12"/>
  <c r="D13" i="12" s="1"/>
  <c r="I39" i="13"/>
  <c r="M39" i="13" s="1"/>
  <c r="F39" i="13" s="1"/>
  <c r="D39" i="13" s="1"/>
  <c r="F82" i="12"/>
  <c r="D82" i="12" s="1"/>
  <c r="I40" i="13"/>
  <c r="M40" i="13" s="1"/>
  <c r="F40" i="13" s="1"/>
  <c r="D40" i="13" s="1"/>
  <c r="I27" i="13"/>
  <c r="M27" i="13" s="1"/>
  <c r="F27" i="13" s="1"/>
  <c r="D27" i="13" s="1"/>
  <c r="F81" i="12"/>
  <c r="D81" i="12" s="1"/>
  <c r="I10" i="13"/>
  <c r="M10" i="13" s="1"/>
  <c r="F10" i="13" s="1"/>
  <c r="D10" i="13" s="1"/>
  <c r="F11" i="12"/>
  <c r="K890" i="21"/>
  <c r="L890" i="21"/>
  <c r="J890" i="21"/>
  <c r="I890" i="21"/>
  <c r="R1077" i="21"/>
  <c r="R1125" i="21"/>
  <c r="R1089" i="21"/>
  <c r="R1137" i="21"/>
  <c r="R1149" i="21"/>
  <c r="R1101" i="21"/>
  <c r="R1113" i="21"/>
  <c r="W1135" i="21"/>
  <c r="W1075" i="21"/>
  <c r="W1087" i="21"/>
  <c r="W1111" i="21"/>
  <c r="W1099" i="21"/>
  <c r="W1147" i="21"/>
  <c r="W1123" i="21"/>
  <c r="R1098" i="21"/>
  <c r="R1110" i="21"/>
  <c r="R1122" i="21"/>
  <c r="R1146" i="21"/>
  <c r="R1086" i="21"/>
  <c r="R1134" i="21"/>
  <c r="R1074" i="21"/>
  <c r="G93" i="14"/>
  <c r="Y885" i="21"/>
  <c r="Z885" i="21"/>
  <c r="X885" i="21"/>
  <c r="W992" i="21"/>
  <c r="R1135" i="21"/>
  <c r="R1123" i="21"/>
  <c r="R1087" i="21"/>
  <c r="R1147" i="21"/>
  <c r="R1099" i="21"/>
  <c r="R1075" i="21"/>
  <c r="R1111" i="21"/>
  <c r="H93" i="14"/>
  <c r="L893" i="21"/>
  <c r="K893" i="21"/>
  <c r="I1000" i="21"/>
  <c r="J893" i="21"/>
  <c r="I893" i="21"/>
  <c r="H1000" i="21"/>
  <c r="W885" i="21"/>
  <c r="V992" i="21"/>
  <c r="Z872" i="21"/>
  <c r="Y872" i="21"/>
  <c r="X872" i="21"/>
  <c r="W979" i="21"/>
  <c r="Z887" i="21"/>
  <c r="Y887" i="21"/>
  <c r="X887" i="21"/>
  <c r="W994" i="21"/>
  <c r="X853" i="21"/>
  <c r="W960" i="21"/>
  <c r="Z853" i="21"/>
  <c r="Y853" i="21"/>
  <c r="W887" i="21"/>
  <c r="V994" i="21"/>
  <c r="W853" i="21"/>
  <c r="V960" i="21"/>
  <c r="W1110" i="21"/>
  <c r="W1146" i="21"/>
  <c r="W1122" i="21"/>
  <c r="W1134" i="21"/>
  <c r="W1086" i="21"/>
  <c r="W1098" i="21"/>
  <c r="W1074" i="21"/>
  <c r="W1121" i="21"/>
  <c r="W1073" i="21"/>
  <c r="W1145" i="21"/>
  <c r="W1085" i="21"/>
  <c r="W1133" i="21"/>
  <c r="W1109" i="21"/>
  <c r="W1097" i="21"/>
  <c r="R1114" i="21"/>
  <c r="R1078" i="21"/>
  <c r="R1138" i="21"/>
  <c r="R1150" i="21"/>
  <c r="R1102" i="21"/>
  <c r="R1090" i="21"/>
  <c r="R1126" i="21"/>
  <c r="R1145" i="21"/>
  <c r="R1097" i="21"/>
  <c r="F93" i="14"/>
  <c r="R1073" i="21"/>
  <c r="R1133" i="21"/>
  <c r="R1109" i="21"/>
  <c r="R1121" i="21"/>
  <c r="R1085" i="21"/>
  <c r="R1124" i="21"/>
  <c r="R1136" i="21"/>
  <c r="R1148" i="21"/>
  <c r="R1112" i="21"/>
  <c r="R1076" i="21"/>
  <c r="R1088" i="21"/>
  <c r="R1100" i="21"/>
  <c r="W872" i="21"/>
  <c r="V979" i="21"/>
  <c r="F76" i="12"/>
  <c r="F34" i="12"/>
  <c r="D82" i="5"/>
  <c r="M67" i="12"/>
  <c r="F18" i="12"/>
  <c r="M63" i="12"/>
  <c r="F63" i="12" s="1"/>
  <c r="F58" i="12"/>
  <c r="M86" i="12"/>
  <c r="F40" i="12"/>
  <c r="F51" i="12"/>
  <c r="I67" i="13"/>
  <c r="M67" i="13" s="1"/>
  <c r="F67" i="13" s="1"/>
  <c r="D67" i="13" s="1"/>
  <c r="F62" i="12"/>
  <c r="F74" i="12"/>
  <c r="F29" i="12"/>
  <c r="I22" i="13"/>
  <c r="D77" i="12"/>
  <c r="F27" i="12"/>
  <c r="F42" i="12"/>
  <c r="D85" i="5"/>
  <c r="I25" i="13"/>
  <c r="M25" i="13" s="1"/>
  <c r="F25" i="13" s="1"/>
  <c r="D25" i="13" s="1"/>
  <c r="I30" i="13"/>
  <c r="M30" i="13" s="1"/>
  <c r="F30" i="13" s="1"/>
  <c r="D30" i="13" s="1"/>
  <c r="I81" i="13"/>
  <c r="M81" i="13" s="1"/>
  <c r="F81" i="13" s="1"/>
  <c r="D81" i="13" s="1"/>
  <c r="I62" i="13"/>
  <c r="M62" i="13" s="1"/>
  <c r="F62" i="13" s="1"/>
  <c r="D62" i="13" s="1"/>
  <c r="I72" i="13"/>
  <c r="M72" i="13" s="1"/>
  <c r="F72" i="13" s="1"/>
  <c r="D72" i="13" s="1"/>
  <c r="I20" i="13"/>
  <c r="I53" i="13"/>
  <c r="I47" i="13"/>
  <c r="M47" i="13" s="1"/>
  <c r="F47" i="13" s="1"/>
  <c r="D47" i="13" s="1"/>
  <c r="I85" i="13"/>
  <c r="I32" i="13"/>
  <c r="M32" i="13" s="1"/>
  <c r="F32" i="13" s="1"/>
  <c r="D32" i="13" s="1"/>
  <c r="I86" i="13"/>
  <c r="M86" i="13" s="1"/>
  <c r="F86" i="13" s="1"/>
  <c r="D86" i="13" s="1"/>
  <c r="I64" i="13"/>
  <c r="M64" i="13" s="1"/>
  <c r="F64" i="13" s="1"/>
  <c r="D64" i="13" s="1"/>
  <c r="I44" i="13"/>
  <c r="M44" i="13" s="1"/>
  <c r="F44" i="13" s="1"/>
  <c r="D44" i="13" s="1"/>
  <c r="I54" i="13"/>
  <c r="M54" i="13" s="1"/>
  <c r="F54" i="13" s="1"/>
  <c r="D54" i="13" s="1"/>
  <c r="I43" i="13"/>
  <c r="M43" i="13" s="1"/>
  <c r="F43" i="13" s="1"/>
  <c r="D43" i="13" s="1"/>
  <c r="I36" i="13"/>
  <c r="M70" i="12"/>
  <c r="I24" i="13"/>
  <c r="M24" i="13" s="1"/>
  <c r="F24" i="13" s="1"/>
  <c r="D24" i="13" s="1"/>
  <c r="I57" i="13"/>
  <c r="M57" i="13" s="1"/>
  <c r="F57" i="13" s="1"/>
  <c r="D57" i="13" s="1"/>
  <c r="F78" i="12"/>
  <c r="F20" i="12"/>
  <c r="D79" i="12"/>
  <c r="F84" i="5"/>
  <c r="I69" i="13"/>
  <c r="F38" i="12"/>
  <c r="I17" i="13"/>
  <c r="I16" i="13"/>
  <c r="M16" i="13" s="1"/>
  <c r="F16" i="13" s="1"/>
  <c r="D16" i="13" s="1"/>
  <c r="I49" i="13"/>
  <c r="M49" i="13" s="1"/>
  <c r="F49" i="13" s="1"/>
  <c r="D49" i="13" s="1"/>
  <c r="F37" i="12"/>
  <c r="F50" i="12"/>
  <c r="I80" i="13"/>
  <c r="I34" i="13"/>
  <c r="M34" i="13" s="1"/>
  <c r="F34" i="13" s="1"/>
  <c r="D34" i="13" s="1"/>
  <c r="M30" i="12"/>
  <c r="F30" i="12" s="1"/>
  <c r="I29" i="13"/>
  <c r="I66" i="13"/>
  <c r="M66" i="13" s="1"/>
  <c r="F66" i="13" s="1"/>
  <c r="D66" i="13" s="1"/>
  <c r="M87" i="12"/>
  <c r="F83" i="5"/>
  <c r="I87" i="13"/>
  <c r="M87" i="13" s="1"/>
  <c r="F87" i="13" s="1"/>
  <c r="D87" i="13" s="1"/>
  <c r="M22" i="12"/>
  <c r="F22" i="12" s="1"/>
  <c r="M60" i="12"/>
  <c r="F60" i="12" s="1"/>
  <c r="M73" i="12"/>
  <c r="I19" i="13"/>
  <c r="F39" i="12"/>
  <c r="I21" i="13"/>
  <c r="M21" i="13" s="1"/>
  <c r="F21" i="13" s="1"/>
  <c r="D21" i="13" s="1"/>
  <c r="M53" i="12"/>
  <c r="F16" i="12"/>
  <c r="M65" i="12"/>
  <c r="F65" i="12" s="1"/>
  <c r="I18" i="13"/>
  <c r="M18" i="13" s="1"/>
  <c r="F18" i="13" s="1"/>
  <c r="D18" i="13" s="1"/>
  <c r="F83" i="12"/>
  <c r="I26" i="13"/>
  <c r="M26" i="13" s="1"/>
  <c r="F26" i="13" s="1"/>
  <c r="D26" i="13" s="1"/>
  <c r="F66" i="12"/>
  <c r="M61" i="12"/>
  <c r="F23" i="12"/>
  <c r="M36" i="12"/>
  <c r="I35" i="13"/>
  <c r="M35" i="13" s="1"/>
  <c r="F35" i="13" s="1"/>
  <c r="D35" i="13" s="1"/>
  <c r="M26" i="12"/>
  <c r="I13" i="13"/>
  <c r="M13" i="13" s="1"/>
  <c r="F13" i="13" s="1"/>
  <c r="D13" i="13" s="1"/>
  <c r="I42" i="13"/>
  <c r="M42" i="13" s="1"/>
  <c r="F42" i="13" s="1"/>
  <c r="D42" i="13" s="1"/>
  <c r="I74" i="13"/>
  <c r="I77" i="13"/>
  <c r="M77" i="13" s="1"/>
  <c r="F77" i="13" s="1"/>
  <c r="D77" i="13" s="1"/>
  <c r="F32" i="12"/>
  <c r="M85" i="12"/>
  <c r="F84" i="12"/>
  <c r="M33" i="12"/>
  <c r="F33" i="12" s="1"/>
  <c r="M57" i="12"/>
  <c r="K45" i="6"/>
  <c r="K20" i="6"/>
  <c r="K8" i="6"/>
  <c r="K54" i="6"/>
  <c r="K13" i="6"/>
  <c r="K28" i="6"/>
  <c r="Z43" i="8"/>
  <c r="K55" i="6"/>
  <c r="K56" i="6"/>
  <c r="K22" i="6"/>
  <c r="Z14" i="8"/>
  <c r="AA14" i="8"/>
  <c r="Y52" i="7"/>
  <c r="AF52" i="7"/>
  <c r="K52" i="7" s="1"/>
  <c r="X52" i="7"/>
  <c r="Z42" i="8"/>
  <c r="AA42" i="8"/>
  <c r="K10" i="6"/>
  <c r="Y24" i="7"/>
  <c r="X24" i="7"/>
  <c r="AF24" i="7"/>
  <c r="K24" i="7" s="1"/>
  <c r="K47" i="6"/>
  <c r="Z62" i="8"/>
  <c r="AA62" i="8"/>
  <c r="Z7" i="8"/>
  <c r="AA7" i="8"/>
  <c r="Z34" i="8"/>
  <c r="AA34" i="8"/>
  <c r="AA12" i="8"/>
  <c r="Z12" i="8"/>
  <c r="K15" i="6"/>
  <c r="Z40" i="8"/>
  <c r="AA40" i="8"/>
  <c r="K43" i="6"/>
  <c r="K59" i="6"/>
  <c r="K46" i="6"/>
  <c r="K11" i="6"/>
  <c r="Y20" i="7"/>
  <c r="AF20" i="7"/>
  <c r="AG20" i="7"/>
  <c r="X20" i="7"/>
  <c r="AF39" i="7"/>
  <c r="K39" i="7" s="1"/>
  <c r="X39" i="7"/>
  <c r="Y39" i="7"/>
  <c r="Z50" i="8"/>
  <c r="AA50" i="8"/>
  <c r="AF43" i="7"/>
  <c r="K43" i="7" s="1"/>
  <c r="Y43" i="7"/>
  <c r="X43" i="7"/>
  <c r="AA57" i="8"/>
  <c r="Z57" i="8"/>
  <c r="AA22" i="8"/>
  <c r="Z22" i="8"/>
  <c r="Y59" i="7"/>
  <c r="AF59" i="7"/>
  <c r="K59" i="7" s="1"/>
  <c r="X59" i="7"/>
  <c r="AA20" i="8"/>
  <c r="Z20" i="8"/>
  <c r="Z9" i="8"/>
  <c r="AA9" i="8"/>
  <c r="K23" i="6"/>
  <c r="Z48" i="8"/>
  <c r="AA48" i="8"/>
  <c r="AA18" i="8"/>
  <c r="Z18" i="8"/>
  <c r="AA43" i="8"/>
  <c r="AF58" i="7"/>
  <c r="K58" i="7" s="1"/>
  <c r="Y58" i="7"/>
  <c r="X58" i="7"/>
  <c r="K9" i="6"/>
  <c r="Z28" i="8"/>
  <c r="AA28" i="8"/>
  <c r="Z33" i="8"/>
  <c r="AA33" i="8"/>
  <c r="K41" i="6"/>
  <c r="AF49" i="7"/>
  <c r="K49" i="7" s="1"/>
  <c r="X49" i="7"/>
  <c r="Y49" i="7"/>
  <c r="X45" i="7"/>
  <c r="AF45" i="7"/>
  <c r="K45" i="7" s="1"/>
  <c r="Y45" i="7"/>
  <c r="K49" i="6"/>
  <c r="X14" i="7"/>
  <c r="AF14" i="7"/>
  <c r="AG14" i="7"/>
  <c r="Y14" i="7"/>
  <c r="Y10" i="7"/>
  <c r="AG10" i="7"/>
  <c r="X10" i="7"/>
  <c r="AF10" i="7"/>
  <c r="K21" i="6"/>
  <c r="X27" i="7"/>
  <c r="Y27" i="7"/>
  <c r="AF27" i="7"/>
  <c r="K27" i="7" s="1"/>
  <c r="K39" i="6"/>
  <c r="K57" i="6"/>
  <c r="K19" i="6"/>
  <c r="AF32" i="7"/>
  <c r="K32" i="7" s="1"/>
  <c r="Y32" i="7"/>
  <c r="X32" i="7"/>
  <c r="AA60" i="8"/>
  <c r="Z60" i="8"/>
  <c r="AF22" i="7"/>
  <c r="K22" i="7" s="1"/>
  <c r="X22" i="7"/>
  <c r="Y22" i="7"/>
  <c r="AF33" i="7"/>
  <c r="K33" i="7" s="1"/>
  <c r="Y33" i="7"/>
  <c r="X33" i="7"/>
  <c r="X17" i="7"/>
  <c r="Y17" i="7"/>
  <c r="AG17" i="7"/>
  <c r="AF17" i="7"/>
  <c r="K31" i="6"/>
  <c r="AA36" i="8"/>
  <c r="Z36" i="8"/>
  <c r="X18" i="7"/>
  <c r="Y18" i="7"/>
  <c r="AG18" i="7"/>
  <c r="AF18" i="7"/>
  <c r="X34" i="7"/>
  <c r="Y34" i="7"/>
  <c r="AF34" i="7"/>
  <c r="K34" i="7" s="1"/>
  <c r="K51" i="6"/>
  <c r="Z52" i="8"/>
  <c r="AA52" i="8"/>
  <c r="AG7" i="7"/>
  <c r="AF7" i="7"/>
  <c r="X7" i="7"/>
  <c r="Y7" i="7"/>
  <c r="K38" i="6"/>
  <c r="Y19" i="7"/>
  <c r="X19" i="7"/>
  <c r="AG19" i="7"/>
  <c r="AF19" i="7"/>
  <c r="X38" i="7"/>
  <c r="Y38" i="7"/>
  <c r="AF38" i="7"/>
  <c r="K38" i="7" s="1"/>
  <c r="AA49" i="8"/>
  <c r="Z49" i="8"/>
  <c r="Z26" i="8"/>
  <c r="AA26" i="8"/>
  <c r="X9" i="7"/>
  <c r="Y9" i="7"/>
  <c r="AG9" i="7"/>
  <c r="AF9" i="7"/>
  <c r="AA56" i="8"/>
  <c r="Z56" i="8"/>
  <c r="AA19" i="8"/>
  <c r="Z19" i="8"/>
  <c r="X53" i="7"/>
  <c r="AF53" i="7"/>
  <c r="K53" i="7" s="1"/>
  <c r="Y53" i="7"/>
  <c r="K63" i="6"/>
  <c r="X64" i="7"/>
  <c r="AF64" i="7"/>
  <c r="K64" i="7" s="1"/>
  <c r="Y64" i="7"/>
  <c r="Z59" i="8"/>
  <c r="AA59" i="8"/>
  <c r="AF26" i="7"/>
  <c r="K26" i="7" s="1"/>
  <c r="X26" i="7"/>
  <c r="Y26" i="7"/>
  <c r="X42" i="7"/>
  <c r="AF42" i="7"/>
  <c r="K42" i="7" s="1"/>
  <c r="Y42" i="7"/>
  <c r="K17" i="6"/>
  <c r="AA25" i="8"/>
  <c r="Z25" i="8"/>
  <c r="AF56" i="7"/>
  <c r="K56" i="7" s="1"/>
  <c r="Y56" i="7"/>
  <c r="X56" i="7"/>
  <c r="Y54" i="7"/>
  <c r="X54" i="7"/>
  <c r="AF54" i="7"/>
  <c r="K54" i="7" s="1"/>
  <c r="X61" i="7"/>
  <c r="Y61" i="7"/>
  <c r="AF61" i="7"/>
  <c r="K61" i="7" s="1"/>
  <c r="AF15" i="7"/>
  <c r="Y15" i="7"/>
  <c r="AG15" i="7"/>
  <c r="X15" i="7"/>
  <c r="AF13" i="7"/>
  <c r="Y13" i="7"/>
  <c r="AG13" i="7"/>
  <c r="X13" i="7"/>
  <c r="Z58" i="8"/>
  <c r="AA58" i="8"/>
  <c r="Z30" i="8"/>
  <c r="AA30" i="8"/>
  <c r="K30" i="6"/>
  <c r="AA10" i="8"/>
  <c r="Z10" i="8"/>
  <c r="AA35" i="8"/>
  <c r="Z35" i="8"/>
  <c r="K48" i="6"/>
  <c r="Z13" i="8"/>
  <c r="AA13" i="8"/>
  <c r="X37" i="7"/>
  <c r="Y37" i="7"/>
  <c r="AF37" i="7"/>
  <c r="K37" i="7" s="1"/>
  <c r="Y47" i="7"/>
  <c r="AF47" i="7"/>
  <c r="K47" i="7" s="1"/>
  <c r="X47" i="7"/>
  <c r="K62" i="6"/>
  <c r="AA27" i="8"/>
  <c r="Z27" i="8"/>
  <c r="Z66" i="8"/>
  <c r="AA66" i="8"/>
  <c r="AG16" i="7"/>
  <c r="X16" i="7"/>
  <c r="Y16" i="7"/>
  <c r="AF16" i="7"/>
  <c r="AF28" i="7"/>
  <c r="K28" i="7" s="1"/>
  <c r="Y28" i="7"/>
  <c r="X28" i="7"/>
  <c r="X48" i="7"/>
  <c r="Y48" i="7"/>
  <c r="AF48" i="7"/>
  <c r="K48" i="7" s="1"/>
  <c r="K52" i="6"/>
  <c r="X63" i="7"/>
  <c r="AF63" i="7"/>
  <c r="K63" i="7" s="1"/>
  <c r="Y63" i="7"/>
  <c r="Y60" i="7"/>
  <c r="AF60" i="7"/>
  <c r="K60" i="7" s="1"/>
  <c r="X60" i="7"/>
  <c r="Z41" i="8"/>
  <c r="AA41" i="8"/>
  <c r="Y12" i="7"/>
  <c r="AG12" i="7"/>
  <c r="X12" i="7"/>
  <c r="AF12" i="7"/>
  <c r="Z32" i="8"/>
  <c r="AA32" i="8"/>
  <c r="Z24" i="8"/>
  <c r="AA24" i="8"/>
  <c r="K29" i="6"/>
  <c r="AA51" i="8"/>
  <c r="Z51" i="8"/>
  <c r="K7" i="6"/>
  <c r="K61" i="6"/>
  <c r="X65" i="7"/>
  <c r="Y65" i="7"/>
  <c r="AF65" i="7"/>
  <c r="K65" i="7" s="1"/>
  <c r="AF30" i="7"/>
  <c r="K30" i="7" s="1"/>
  <c r="Y30" i="7"/>
  <c r="X30" i="7"/>
  <c r="AF23" i="7"/>
  <c r="K23" i="7" s="1"/>
  <c r="X23" i="7"/>
  <c r="Y23" i="7"/>
  <c r="K27" i="6"/>
  <c r="K25" i="6"/>
  <c r="AF40" i="7"/>
  <c r="K40" i="7" s="1"/>
  <c r="Y40" i="7"/>
  <c r="X40" i="7"/>
  <c r="K50" i="6"/>
  <c r="AA47" i="8"/>
  <c r="Z47" i="8"/>
  <c r="AF66" i="7"/>
  <c r="K66" i="7" s="1"/>
  <c r="X66" i="7"/>
  <c r="Y66" i="7"/>
  <c r="Z23" i="8"/>
  <c r="AA23" i="8"/>
  <c r="Z38" i="8"/>
  <c r="AA38" i="8"/>
  <c r="X55" i="7"/>
  <c r="Y55" i="7"/>
  <c r="AF55" i="7"/>
  <c r="K55" i="7" s="1"/>
  <c r="AA64" i="8"/>
  <c r="Z64" i="8"/>
  <c r="K65" i="6"/>
  <c r="Z45" i="8"/>
  <c r="AA45" i="8"/>
  <c r="X35" i="7"/>
  <c r="AF35" i="7"/>
  <c r="K35" i="7" s="1"/>
  <c r="Y35" i="7"/>
  <c r="AA44" i="8"/>
  <c r="Z44" i="8"/>
  <c r="K64" i="6"/>
  <c r="K18" i="6"/>
  <c r="K33" i="6"/>
  <c r="K42" i="6"/>
  <c r="AF50" i="7"/>
  <c r="K50" i="7" s="1"/>
  <c r="X50" i="7"/>
  <c r="Y50" i="7"/>
  <c r="K66" i="6"/>
  <c r="AA54" i="8"/>
  <c r="Z54" i="8"/>
  <c r="K12" i="6"/>
  <c r="K14" i="6"/>
  <c r="Y44" i="7"/>
  <c r="AF44" i="7"/>
  <c r="K44" i="7" s="1"/>
  <c r="X44" i="7"/>
  <c r="K37" i="6"/>
  <c r="K53" i="6"/>
  <c r="Z65" i="8"/>
  <c r="AA65" i="8"/>
  <c r="AA46" i="8"/>
  <c r="Z46" i="8"/>
  <c r="Z63" i="8"/>
  <c r="AA63" i="8"/>
  <c r="AA21" i="8"/>
  <c r="Z21" i="8"/>
  <c r="K44" i="6"/>
  <c r="Y57" i="7"/>
  <c r="AF57" i="7"/>
  <c r="K57" i="7" s="1"/>
  <c r="X57" i="7"/>
  <c r="X41" i="7"/>
  <c r="Y41" i="7"/>
  <c r="AF41" i="7"/>
  <c r="K41" i="7" s="1"/>
  <c r="Z37" i="8"/>
  <c r="AA37" i="8"/>
  <c r="Y29" i="7"/>
  <c r="X29" i="7"/>
  <c r="AF29" i="7"/>
  <c r="K29" i="7" s="1"/>
  <c r="K40" i="6"/>
  <c r="AA39" i="8"/>
  <c r="Z39" i="8"/>
  <c r="Y36" i="7"/>
  <c r="X36" i="7"/>
  <c r="AF36" i="7"/>
  <c r="K36" i="7" s="1"/>
  <c r="X8" i="7"/>
  <c r="AG8" i="7"/>
  <c r="AF8" i="7"/>
  <c r="Y8" i="7"/>
  <c r="AF46" i="7"/>
  <c r="K46" i="7" s="1"/>
  <c r="Y46" i="7"/>
  <c r="X46" i="7"/>
  <c r="AF25" i="7"/>
  <c r="K25" i="7" s="1"/>
  <c r="X25" i="7"/>
  <c r="Y25" i="7"/>
  <c r="AF31" i="7"/>
  <c r="K31" i="7" s="1"/>
  <c r="X31" i="7"/>
  <c r="Y31" i="7"/>
  <c r="Z55" i="8"/>
  <c r="AA55" i="8"/>
  <c r="Z17" i="8"/>
  <c r="AA17" i="8"/>
  <c r="K34" i="6"/>
  <c r="X62" i="7"/>
  <c r="Y62" i="7"/>
  <c r="AF62" i="7"/>
  <c r="K62" i="7" s="1"/>
  <c r="AA11" i="8"/>
  <c r="Z11" i="8"/>
  <c r="AA15" i="8"/>
  <c r="Z15" i="8"/>
  <c r="Y51" i="7"/>
  <c r="X51" i="7"/>
  <c r="AF51" i="7"/>
  <c r="K51" i="7" s="1"/>
  <c r="K58" i="6"/>
  <c r="Z8" i="8"/>
  <c r="AA8" i="8"/>
  <c r="AA53" i="8"/>
  <c r="Z53" i="8"/>
  <c r="Y21" i="7"/>
  <c r="X21" i="7"/>
  <c r="AG21" i="7"/>
  <c r="AF21" i="7"/>
  <c r="K36" i="6"/>
  <c r="K26" i="6"/>
  <c r="Z31" i="8"/>
  <c r="AA31" i="8"/>
  <c r="K35" i="6"/>
  <c r="K60" i="6"/>
  <c r="Z61" i="8"/>
  <c r="AA61" i="8"/>
  <c r="AF11" i="7"/>
  <c r="X11" i="7"/>
  <c r="AG11" i="7"/>
  <c r="Y11" i="7"/>
  <c r="Z16" i="8"/>
  <c r="AA16" i="8"/>
  <c r="K24" i="6"/>
  <c r="Z29" i="8"/>
  <c r="AA29" i="8"/>
  <c r="K16" i="6"/>
  <c r="K32" i="6"/>
  <c r="K41" i="5"/>
  <c r="W41" i="5" s="1"/>
  <c r="K8" i="5"/>
  <c r="W8" i="5" s="1"/>
  <c r="K26" i="5"/>
  <c r="W26" i="5" s="1"/>
  <c r="K31" i="5"/>
  <c r="W31" i="5" s="1"/>
  <c r="K28" i="5"/>
  <c r="W28" i="5" s="1"/>
  <c r="K23" i="5"/>
  <c r="W23" i="5" s="1"/>
  <c r="K34" i="5"/>
  <c r="W34" i="5" s="1"/>
  <c r="K9" i="5"/>
  <c r="W9" i="5" s="1"/>
  <c r="K11" i="5"/>
  <c r="W11" i="5" s="1"/>
  <c r="K51" i="5"/>
  <c r="W51" i="5" s="1"/>
  <c r="K19" i="5"/>
  <c r="W19" i="5" s="1"/>
  <c r="K21" i="5"/>
  <c r="W21" i="5" s="1"/>
  <c r="K27" i="5"/>
  <c r="W27" i="5" s="1"/>
  <c r="K7" i="5"/>
  <c r="W7" i="5" s="1"/>
  <c r="K13" i="5"/>
  <c r="W13" i="5" s="1"/>
  <c r="K20" i="5"/>
  <c r="W20" i="5" s="1"/>
  <c r="K16" i="5"/>
  <c r="W16" i="5" s="1"/>
  <c r="K22" i="5"/>
  <c r="W22" i="5" s="1"/>
  <c r="K58" i="5"/>
  <c r="W58" i="5" s="1"/>
  <c r="K43" i="5"/>
  <c r="W43" i="5" s="1"/>
  <c r="K40" i="5"/>
  <c r="W40" i="5" s="1"/>
  <c r="K56" i="5"/>
  <c r="W56" i="5" s="1"/>
  <c r="K33" i="5"/>
  <c r="W33" i="5" s="1"/>
  <c r="E1128" i="21"/>
  <c r="E1140" i="21"/>
  <c r="E1092" i="21"/>
  <c r="E1080" i="21"/>
  <c r="E1104" i="21"/>
  <c r="E1116" i="21"/>
  <c r="AE63" i="5"/>
  <c r="K63" i="5" s="1"/>
  <c r="K18" i="5"/>
  <c r="W18" i="5" s="1"/>
  <c r="K29" i="5"/>
  <c r="W29" i="5" s="1"/>
  <c r="K25" i="5"/>
  <c r="W25" i="5" s="1"/>
  <c r="AE64" i="5"/>
  <c r="K64" i="5" s="1"/>
  <c r="K10" i="5"/>
  <c r="W10" i="5" s="1"/>
  <c r="K54" i="5"/>
  <c r="W54" i="5" s="1"/>
  <c r="K30" i="5"/>
  <c r="W30" i="5" s="1"/>
  <c r="K12" i="5"/>
  <c r="W12" i="5" s="1"/>
  <c r="K42" i="5"/>
  <c r="W42" i="5" s="1"/>
  <c r="K17" i="5"/>
  <c r="W17" i="5" s="1"/>
  <c r="K15" i="5"/>
  <c r="W15" i="5" s="1"/>
  <c r="K47" i="5"/>
  <c r="W47" i="5" s="1"/>
  <c r="I55" i="5"/>
  <c r="K52" i="5"/>
  <c r="W52" i="5" s="1"/>
  <c r="AE61" i="5"/>
  <c r="K61" i="5" s="1"/>
  <c r="K37" i="5"/>
  <c r="W37" i="5" s="1"/>
  <c r="K14" i="5"/>
  <c r="W14" i="5" s="1"/>
  <c r="K45" i="5"/>
  <c r="W45" i="5" s="1"/>
  <c r="K38" i="5"/>
  <c r="W38" i="5" s="1"/>
  <c r="K57" i="5"/>
  <c r="W57" i="5" s="1"/>
  <c r="AE62" i="5"/>
  <c r="K62" i="5" s="1"/>
  <c r="K44" i="5"/>
  <c r="W44" i="5" s="1"/>
  <c r="K50" i="5"/>
  <c r="W50" i="5" s="1"/>
  <c r="K46" i="5"/>
  <c r="W46" i="5" s="1"/>
  <c r="K39" i="5"/>
  <c r="W39" i="5" s="1"/>
  <c r="K24" i="5"/>
  <c r="W24" i="5" s="1"/>
  <c r="K53" i="5"/>
  <c r="W53" i="5" s="1"/>
  <c r="I65" i="5"/>
  <c r="K49" i="5"/>
  <c r="W49" i="5" s="1"/>
  <c r="AE66" i="5"/>
  <c r="K66" i="5" s="1"/>
  <c r="W66" i="5" s="1"/>
  <c r="K35" i="5"/>
  <c r="W35" i="5" s="1"/>
  <c r="K48" i="5"/>
  <c r="W48" i="5" s="1"/>
  <c r="AE59" i="5"/>
  <c r="K59" i="5" s="1"/>
  <c r="W59" i="5" s="1"/>
  <c r="K32" i="5"/>
  <c r="W32" i="5" s="1"/>
  <c r="K36" i="5"/>
  <c r="W36" i="5" s="1"/>
  <c r="AE60" i="5"/>
  <c r="K60" i="5" s="1"/>
  <c r="W60" i="5" s="1"/>
  <c r="P990" i="21"/>
  <c r="G1002" i="21"/>
  <c r="D318" i="14"/>
  <c r="Q1035" i="21"/>
  <c r="J96" i="25" l="1"/>
  <c r="W96" i="25" s="1"/>
  <c r="D94" i="25"/>
  <c r="W95" i="25"/>
  <c r="I95" i="25" s="1"/>
  <c r="M95" i="25" s="1"/>
  <c r="F95" i="25" s="1"/>
  <c r="K96" i="24"/>
  <c r="Z96" i="24" s="1"/>
  <c r="J96" i="24" s="1"/>
  <c r="M96" i="24" s="1"/>
  <c r="F96" i="24" s="1"/>
  <c r="D95" i="24"/>
  <c r="L92" i="19"/>
  <c r="H1002" i="21"/>
  <c r="I1002" i="21"/>
  <c r="F997" i="21"/>
  <c r="D317" i="14"/>
  <c r="P967" i="21"/>
  <c r="R874" i="21"/>
  <c r="D319" i="14"/>
  <c r="G891" i="21"/>
  <c r="P870" i="21"/>
  <c r="C237" i="14"/>
  <c r="Q876" i="21"/>
  <c r="V96" i="25" l="1"/>
  <c r="I96" i="25" s="1"/>
  <c r="M96" i="25" s="1"/>
  <c r="F96" i="25" s="1"/>
  <c r="D96" i="25" s="1"/>
  <c r="D95" i="25"/>
  <c r="P92" i="19"/>
  <c r="D96" i="24"/>
  <c r="L93" i="19"/>
  <c r="D93" i="25"/>
  <c r="D62" i="24"/>
  <c r="AR91" i="12"/>
  <c r="L91" i="12" s="1"/>
  <c r="AJ91" i="12"/>
  <c r="AK91" i="12"/>
  <c r="AH91" i="12"/>
  <c r="O91" i="12"/>
  <c r="G91" i="12" s="1"/>
  <c r="AG91" i="12"/>
  <c r="R91" i="12"/>
  <c r="AI91" i="12"/>
  <c r="AF91" i="11"/>
  <c r="O91" i="11"/>
  <c r="G91" i="11" s="1"/>
  <c r="AI91" i="11"/>
  <c r="R91" i="11"/>
  <c r="AP91" i="11"/>
  <c r="L91" i="11" s="1"/>
  <c r="AH91" i="11"/>
  <c r="AG91" i="11"/>
  <c r="AH93" i="13"/>
  <c r="L93" i="13" s="1"/>
  <c r="R93" i="13"/>
  <c r="H93" i="13" s="1"/>
  <c r="AB93" i="13" s="1"/>
  <c r="AC93" i="13"/>
  <c r="AD93" i="13"/>
  <c r="O93" i="13"/>
  <c r="G93" i="13" s="1"/>
  <c r="R93" i="12"/>
  <c r="AG93" i="12"/>
  <c r="AJ93" i="12"/>
  <c r="O93" i="12"/>
  <c r="G93" i="12" s="1"/>
  <c r="AK93" i="12"/>
  <c r="AR93" i="12"/>
  <c r="L93" i="12" s="1"/>
  <c r="AI93" i="12"/>
  <c r="AH93" i="12"/>
  <c r="R92" i="13"/>
  <c r="H92" i="13" s="1"/>
  <c r="AB92" i="13" s="1"/>
  <c r="O92" i="13"/>
  <c r="G92" i="13" s="1"/>
  <c r="AD92" i="13"/>
  <c r="AC92" i="13"/>
  <c r="AH92" i="13"/>
  <c r="L92" i="13" s="1"/>
  <c r="AF92" i="11"/>
  <c r="AP92" i="11"/>
  <c r="L92" i="11" s="1"/>
  <c r="AH92" i="11"/>
  <c r="O92" i="11"/>
  <c r="G92" i="11" s="1"/>
  <c r="AI92" i="11"/>
  <c r="R92" i="11"/>
  <c r="H92" i="11" s="1"/>
  <c r="AG92" i="11"/>
  <c r="O92" i="12"/>
  <c r="G92" i="12" s="1"/>
  <c r="AK92" i="12"/>
  <c r="AG92" i="12"/>
  <c r="AJ92" i="12"/>
  <c r="R92" i="12"/>
  <c r="AI92" i="12"/>
  <c r="AR92" i="12"/>
  <c r="L92" i="12" s="1"/>
  <c r="AH92" i="12"/>
  <c r="R93" i="11"/>
  <c r="H93" i="11" s="1"/>
  <c r="AP93" i="11"/>
  <c r="L93" i="11" s="1"/>
  <c r="AG93" i="11"/>
  <c r="AH93" i="11"/>
  <c r="O93" i="11"/>
  <c r="G93" i="11" s="1"/>
  <c r="AF93" i="11"/>
  <c r="AI93" i="11"/>
  <c r="AH91" i="13"/>
  <c r="L91" i="13" s="1"/>
  <c r="R91" i="13"/>
  <c r="O91" i="13"/>
  <c r="G91" i="13" s="1"/>
  <c r="AC91" i="13"/>
  <c r="AD91" i="13"/>
  <c r="F71" i="13"/>
  <c r="D71" i="13" s="1"/>
  <c r="F28" i="13"/>
  <c r="D28" i="13" s="1"/>
  <c r="H997" i="21"/>
  <c r="I997" i="21"/>
  <c r="D86" i="14"/>
  <c r="E89" i="14"/>
  <c r="E21" i="14"/>
  <c r="E86" i="14"/>
  <c r="C21" i="14"/>
  <c r="C89" i="14"/>
  <c r="D21" i="14"/>
  <c r="C24" i="14"/>
  <c r="E91" i="14"/>
  <c r="D24" i="14"/>
  <c r="D26" i="14"/>
  <c r="C86" i="14"/>
  <c r="D89" i="14"/>
  <c r="D91" i="14"/>
  <c r="E24" i="14"/>
  <c r="E26" i="14"/>
  <c r="C91" i="14"/>
  <c r="C26" i="14"/>
  <c r="P93" i="19" l="1"/>
  <c r="J91" i="11"/>
  <c r="J93" i="13"/>
  <c r="W93" i="13" s="1"/>
  <c r="V1119" i="21"/>
  <c r="V1155" i="21"/>
  <c r="V1095" i="21"/>
  <c r="V1071" i="21"/>
  <c r="V1143" i="21"/>
  <c r="V1107" i="21"/>
  <c r="V1083" i="21"/>
  <c r="V1131" i="21"/>
  <c r="Q1143" i="21"/>
  <c r="Q1083" i="21"/>
  <c r="Q1095" i="21"/>
  <c r="Q1155" i="21"/>
  <c r="Q1119" i="21"/>
  <c r="Q1131" i="21"/>
  <c r="Q1071" i="21"/>
  <c r="Q1107" i="21"/>
  <c r="Q1156" i="21"/>
  <c r="Q1132" i="21"/>
  <c r="Q1120" i="21"/>
  <c r="Q1072" i="21"/>
  <c r="Q1096" i="21"/>
  <c r="Q1108" i="21"/>
  <c r="Q1144" i="21"/>
  <c r="Q1084" i="21"/>
  <c r="T1070" i="21"/>
  <c r="T1106" i="21"/>
  <c r="T1082" i="21"/>
  <c r="T1118" i="21"/>
  <c r="T1142" i="21"/>
  <c r="T1154" i="21"/>
  <c r="T1094" i="21"/>
  <c r="T1130" i="21"/>
  <c r="T1143" i="21"/>
  <c r="T1071" i="21"/>
  <c r="T1083" i="21"/>
  <c r="T1119" i="21"/>
  <c r="T1155" i="21"/>
  <c r="T1107" i="21"/>
  <c r="T1095" i="21"/>
  <c r="T1131" i="21"/>
  <c r="T1072" i="21"/>
  <c r="T1156" i="21"/>
  <c r="T1120" i="21"/>
  <c r="T1108" i="21"/>
  <c r="T1084" i="21"/>
  <c r="T1132" i="21"/>
  <c r="T1144" i="21"/>
  <c r="T1096" i="21"/>
  <c r="Q1130" i="21"/>
  <c r="Q1118" i="21"/>
  <c r="Q1082" i="21"/>
  <c r="Q1106" i="21"/>
  <c r="Q1154" i="21"/>
  <c r="Q1094" i="21"/>
  <c r="Q1142" i="21"/>
  <c r="Q1070" i="21"/>
  <c r="V1108" i="21"/>
  <c r="V1072" i="21"/>
  <c r="V1096" i="21"/>
  <c r="V1120" i="21"/>
  <c r="V1132" i="21"/>
  <c r="V1156" i="21"/>
  <c r="V1084" i="21"/>
  <c r="V1144" i="21"/>
  <c r="V1082" i="21"/>
  <c r="V1106" i="21"/>
  <c r="V1142" i="21"/>
  <c r="V1070" i="21"/>
  <c r="V1154" i="21"/>
  <c r="V1130" i="21"/>
  <c r="V1094" i="21"/>
  <c r="V1118" i="21"/>
  <c r="H92" i="12"/>
  <c r="J92" i="13"/>
  <c r="V92" i="13" s="1"/>
  <c r="H93" i="12"/>
  <c r="H91" i="13"/>
  <c r="AB91" i="13" s="1"/>
  <c r="J91" i="13" s="1"/>
  <c r="H91" i="12"/>
  <c r="J93" i="11"/>
  <c r="W93" i="11" s="1"/>
  <c r="J93" i="12"/>
  <c r="J91" i="12"/>
  <c r="H91" i="11"/>
  <c r="J92" i="12"/>
  <c r="J92" i="11"/>
  <c r="V92" i="11" s="1"/>
  <c r="F63" i="13"/>
  <c r="D63" i="13" s="1"/>
  <c r="F59" i="13"/>
  <c r="D59" i="13" s="1"/>
  <c r="D17" i="12"/>
  <c r="F58" i="13"/>
  <c r="D58" i="13" s="1"/>
  <c r="F41" i="13"/>
  <c r="D41" i="13" s="1"/>
  <c r="F45" i="13"/>
  <c r="D45" i="13" s="1"/>
  <c r="M33" i="13"/>
  <c r="F33" i="13" s="1"/>
  <c r="D33" i="13" s="1"/>
  <c r="F61" i="13"/>
  <c r="D61" i="13" s="1"/>
  <c r="F37" i="13"/>
  <c r="D37" i="13" s="1"/>
  <c r="D55" i="12"/>
  <c r="D59" i="12"/>
  <c r="F7" i="13"/>
  <c r="D7" i="13" s="1"/>
  <c r="D56" i="12"/>
  <c r="D71" i="12"/>
  <c r="D14" i="12"/>
  <c r="M8" i="13"/>
  <c r="F8" i="13" s="1"/>
  <c r="D8" i="13" s="1"/>
  <c r="F75" i="13"/>
  <c r="D75" i="13" s="1"/>
  <c r="D21" i="12"/>
  <c r="D11" i="12"/>
  <c r="M60" i="13"/>
  <c r="F60" i="13" s="1"/>
  <c r="D60" i="13" s="1"/>
  <c r="D24" i="12"/>
  <c r="M56" i="13"/>
  <c r="F56" i="13" s="1"/>
  <c r="D56" i="13" s="1"/>
  <c r="D10" i="12"/>
  <c r="M11" i="13"/>
  <c r="F11" i="13" s="1"/>
  <c r="D11" i="13" s="1"/>
  <c r="D72" i="12"/>
  <c r="F7" i="12"/>
  <c r="D65" i="12"/>
  <c r="D22" i="12"/>
  <c r="M19" i="13"/>
  <c r="F19" i="13" s="1"/>
  <c r="D19" i="13" s="1"/>
  <c r="D37" i="12"/>
  <c r="D18" i="12"/>
  <c r="F85" i="12"/>
  <c r="F26" i="12"/>
  <c r="D83" i="12"/>
  <c r="D20" i="12"/>
  <c r="M22" i="13"/>
  <c r="F22" i="13" s="1"/>
  <c r="D22" i="13" s="1"/>
  <c r="D32" i="12"/>
  <c r="D78" i="12"/>
  <c r="D29" i="12"/>
  <c r="D51" i="12"/>
  <c r="D63" i="12"/>
  <c r="D16" i="12"/>
  <c r="D33" i="12"/>
  <c r="D40" i="12"/>
  <c r="F57" i="12"/>
  <c r="F61" i="12"/>
  <c r="F53" i="12"/>
  <c r="D83" i="5"/>
  <c r="D38" i="12"/>
  <c r="M53" i="13"/>
  <c r="F53" i="13" s="1"/>
  <c r="D53" i="13" s="1"/>
  <c r="F86" i="12"/>
  <c r="D84" i="12"/>
  <c r="D34" i="12"/>
  <c r="D23" i="12"/>
  <c r="D30" i="12"/>
  <c r="M74" i="13"/>
  <c r="F74" i="13" s="1"/>
  <c r="D74" i="13" s="1"/>
  <c r="D66" i="12"/>
  <c r="F87" i="12"/>
  <c r="M80" i="13"/>
  <c r="F73" i="12"/>
  <c r="F79" i="13"/>
  <c r="D79" i="13" s="1"/>
  <c r="F70" i="12"/>
  <c r="M20" i="13"/>
  <c r="F20" i="13" s="1"/>
  <c r="D20" i="13" s="1"/>
  <c r="D42" i="12"/>
  <c r="D58" i="12"/>
  <c r="M29" i="13"/>
  <c r="F29" i="13" s="1"/>
  <c r="D29" i="13" s="1"/>
  <c r="D60" i="12"/>
  <c r="M85" i="13"/>
  <c r="F85" i="13" s="1"/>
  <c r="D85" i="13" s="1"/>
  <c r="F36" i="12"/>
  <c r="D84" i="5"/>
  <c r="D74" i="12"/>
  <c r="M17" i="13"/>
  <c r="F17" i="13" s="1"/>
  <c r="D17" i="13" s="1"/>
  <c r="D62" i="12"/>
  <c r="F67" i="12"/>
  <c r="D39" i="12"/>
  <c r="D50" i="12"/>
  <c r="M69" i="13"/>
  <c r="F69" i="13" s="1"/>
  <c r="D69" i="13" s="1"/>
  <c r="M36" i="13"/>
  <c r="F36" i="13" s="1"/>
  <c r="D36" i="13" s="1"/>
  <c r="D27" i="12"/>
  <c r="D76" i="12"/>
  <c r="J46" i="8"/>
  <c r="AL46" i="8" s="1"/>
  <c r="K46" i="8" s="1"/>
  <c r="K9" i="7"/>
  <c r="J47" i="8"/>
  <c r="AL47" i="8" s="1"/>
  <c r="K47" i="8" s="1"/>
  <c r="K20" i="7"/>
  <c r="J27" i="8"/>
  <c r="AL27" i="8" s="1"/>
  <c r="K27" i="8" s="1"/>
  <c r="J22" i="8"/>
  <c r="AL22" i="8" s="1"/>
  <c r="K22" i="8" s="1"/>
  <c r="K21" i="7"/>
  <c r="J54" i="7"/>
  <c r="J24" i="7"/>
  <c r="J49" i="8"/>
  <c r="AL49" i="8" s="1"/>
  <c r="K49" i="8" s="1"/>
  <c r="J43" i="8"/>
  <c r="AL43" i="8" s="1"/>
  <c r="K43" i="8" s="1"/>
  <c r="J46" i="7"/>
  <c r="J36" i="7"/>
  <c r="K19" i="7"/>
  <c r="J20" i="7"/>
  <c r="K11" i="7"/>
  <c r="J10" i="8"/>
  <c r="AL10" i="8" s="1"/>
  <c r="K10" i="8" s="1"/>
  <c r="K18" i="7"/>
  <c r="K12" i="7"/>
  <c r="K8" i="7"/>
  <c r="K10" i="7"/>
  <c r="K7" i="7"/>
  <c r="J53" i="8"/>
  <c r="AL53" i="8" s="1"/>
  <c r="K53" i="8" s="1"/>
  <c r="J15" i="8"/>
  <c r="AL15" i="8" s="1"/>
  <c r="K15" i="8" s="1"/>
  <c r="K16" i="7"/>
  <c r="J59" i="8"/>
  <c r="AL59" i="8" s="1"/>
  <c r="K59" i="8" s="1"/>
  <c r="J19" i="8"/>
  <c r="AL19" i="8" s="1"/>
  <c r="K19" i="8" s="1"/>
  <c r="K14" i="7"/>
  <c r="J32" i="8"/>
  <c r="AL32" i="8" s="1"/>
  <c r="K32" i="8" s="1"/>
  <c r="J65" i="8"/>
  <c r="AL65" i="8" s="1"/>
  <c r="K65" i="8" s="1"/>
  <c r="J10" i="7"/>
  <c r="J64" i="8"/>
  <c r="AL64" i="8" s="1"/>
  <c r="K64" i="8" s="1"/>
  <c r="J30" i="7"/>
  <c r="J51" i="8"/>
  <c r="AL51" i="8" s="1"/>
  <c r="K51" i="8" s="1"/>
  <c r="J12" i="7"/>
  <c r="J13" i="7"/>
  <c r="K17" i="7"/>
  <c r="J17" i="7"/>
  <c r="J62" i="8"/>
  <c r="AL62" i="8" s="1"/>
  <c r="K62" i="8" s="1"/>
  <c r="J21" i="7"/>
  <c r="J45" i="8"/>
  <c r="AL45" i="8" s="1"/>
  <c r="K45" i="8" s="1"/>
  <c r="J65" i="7"/>
  <c r="J47" i="7"/>
  <c r="K15" i="7"/>
  <c r="J56" i="8"/>
  <c r="AL56" i="8" s="1"/>
  <c r="K56" i="8" s="1"/>
  <c r="J26" i="8"/>
  <c r="AL26" i="8" s="1"/>
  <c r="K26" i="8" s="1"/>
  <c r="J33" i="7"/>
  <c r="J58" i="7"/>
  <c r="J48" i="8"/>
  <c r="AL48" i="8" s="1"/>
  <c r="K48" i="8" s="1"/>
  <c r="J12" i="8"/>
  <c r="AL12" i="8" s="1"/>
  <c r="K12" i="8" s="1"/>
  <c r="J41" i="7"/>
  <c r="J48" i="7"/>
  <c r="J58" i="8"/>
  <c r="AL58" i="8" s="1"/>
  <c r="K58" i="8" s="1"/>
  <c r="J50" i="7"/>
  <c r="J66" i="8"/>
  <c r="AL66" i="8" s="1"/>
  <c r="K66" i="8" s="1"/>
  <c r="J33" i="8"/>
  <c r="AL33" i="8" s="1"/>
  <c r="K33" i="8" s="1"/>
  <c r="J39" i="7"/>
  <c r="J29" i="8"/>
  <c r="AL29" i="8" s="1"/>
  <c r="K29" i="8" s="1"/>
  <c r="K13" i="7"/>
  <c r="J7" i="7"/>
  <c r="J34" i="7"/>
  <c r="J61" i="8"/>
  <c r="AL61" i="8" s="1"/>
  <c r="K61" i="8" s="1"/>
  <c r="J11" i="8"/>
  <c r="AL11" i="8" s="1"/>
  <c r="K11" i="8" s="1"/>
  <c r="J53" i="7"/>
  <c r="J9" i="7"/>
  <c r="J28" i="8"/>
  <c r="AL28" i="8" s="1"/>
  <c r="K28" i="8" s="1"/>
  <c r="J18" i="8"/>
  <c r="AL18" i="8" s="1"/>
  <c r="K18" i="8" s="1"/>
  <c r="J43" i="7"/>
  <c r="J31" i="7"/>
  <c r="J57" i="7"/>
  <c r="J66" i="7"/>
  <c r="J41" i="8"/>
  <c r="AL41" i="8" s="1"/>
  <c r="K41" i="8" s="1"/>
  <c r="J18" i="7"/>
  <c r="J59" i="7"/>
  <c r="J7" i="8"/>
  <c r="AL7" i="8" s="1"/>
  <c r="K7" i="8" s="1"/>
  <c r="J52" i="7"/>
  <c r="J16" i="8"/>
  <c r="AL16" i="8" s="1"/>
  <c r="K16" i="8" s="1"/>
  <c r="J17" i="8"/>
  <c r="AL17" i="8" s="1"/>
  <c r="K17" i="8" s="1"/>
  <c r="J39" i="8"/>
  <c r="AL39" i="8" s="1"/>
  <c r="K39" i="8" s="1"/>
  <c r="J37" i="8"/>
  <c r="AL37" i="8" s="1"/>
  <c r="K37" i="8" s="1"/>
  <c r="J63" i="8"/>
  <c r="AL63" i="8" s="1"/>
  <c r="K63" i="8" s="1"/>
  <c r="J44" i="7"/>
  <c r="J44" i="8"/>
  <c r="AL44" i="8" s="1"/>
  <c r="K44" i="8" s="1"/>
  <c r="J55" i="7"/>
  <c r="J60" i="7"/>
  <c r="J37" i="7"/>
  <c r="J56" i="7"/>
  <c r="J32" i="7"/>
  <c r="J27" i="7"/>
  <c r="J49" i="7"/>
  <c r="J14" i="7"/>
  <c r="J25" i="7"/>
  <c r="J38" i="8"/>
  <c r="AL38" i="8" s="1"/>
  <c r="K38" i="8" s="1"/>
  <c r="J16" i="7"/>
  <c r="J11" i="7"/>
  <c r="J31" i="8"/>
  <c r="AL31" i="8" s="1"/>
  <c r="K31" i="8" s="1"/>
  <c r="J55" i="8"/>
  <c r="AL55" i="8" s="1"/>
  <c r="K55" i="8" s="1"/>
  <c r="J23" i="7"/>
  <c r="J24" i="8"/>
  <c r="AL24" i="8" s="1"/>
  <c r="K24" i="8" s="1"/>
  <c r="J13" i="8"/>
  <c r="AL13" i="8" s="1"/>
  <c r="K13" i="8" s="1"/>
  <c r="J30" i="8"/>
  <c r="AL30" i="8" s="1"/>
  <c r="K30" i="8" s="1"/>
  <c r="J61" i="7"/>
  <c r="J42" i="7"/>
  <c r="J36" i="8"/>
  <c r="AL36" i="8" s="1"/>
  <c r="K36" i="8" s="1"/>
  <c r="J22" i="7"/>
  <c r="J38" i="7"/>
  <c r="J8" i="7"/>
  <c r="J9" i="8"/>
  <c r="AL9" i="8" s="1"/>
  <c r="K9" i="8" s="1"/>
  <c r="J50" i="8"/>
  <c r="AL50" i="8" s="1"/>
  <c r="K50" i="8" s="1"/>
  <c r="J40" i="8"/>
  <c r="AL40" i="8" s="1"/>
  <c r="K40" i="8" s="1"/>
  <c r="J34" i="8"/>
  <c r="AL34" i="8" s="1"/>
  <c r="K34" i="8" s="1"/>
  <c r="J8" i="8"/>
  <c r="AL8" i="8" s="1"/>
  <c r="K8" i="8" s="1"/>
  <c r="J51" i="7"/>
  <c r="J62" i="7"/>
  <c r="J29" i="7"/>
  <c r="J21" i="8"/>
  <c r="AL21" i="8" s="1"/>
  <c r="K21" i="8" s="1"/>
  <c r="J54" i="8"/>
  <c r="AL54" i="8" s="1"/>
  <c r="K54" i="8" s="1"/>
  <c r="J35" i="7"/>
  <c r="J23" i="8"/>
  <c r="AL23" i="8" s="1"/>
  <c r="K23" i="8" s="1"/>
  <c r="J40" i="7"/>
  <c r="J63" i="7"/>
  <c r="J28" i="7"/>
  <c r="J35" i="8"/>
  <c r="AL35" i="8" s="1"/>
  <c r="K35" i="8" s="1"/>
  <c r="J15" i="7"/>
  <c r="J25" i="8"/>
  <c r="AL25" i="8" s="1"/>
  <c r="K25" i="8" s="1"/>
  <c r="J26" i="7"/>
  <c r="J64" i="7"/>
  <c r="J19" i="7"/>
  <c r="J52" i="8"/>
  <c r="AL52" i="8" s="1"/>
  <c r="K52" i="8" s="1"/>
  <c r="J60" i="8"/>
  <c r="AL60" i="8" s="1"/>
  <c r="K60" i="8" s="1"/>
  <c r="J45" i="7"/>
  <c r="J20" i="8"/>
  <c r="AL20" i="8" s="1"/>
  <c r="K20" i="8" s="1"/>
  <c r="J57" i="8"/>
  <c r="AL57" i="8" s="1"/>
  <c r="K57" i="8" s="1"/>
  <c r="J42" i="8"/>
  <c r="AL42" i="8" s="1"/>
  <c r="K42" i="8" s="1"/>
  <c r="J14" i="8"/>
  <c r="AL14" i="8" s="1"/>
  <c r="K14" i="8" s="1"/>
  <c r="AE55" i="5"/>
  <c r="K55" i="5" s="1"/>
  <c r="W55" i="5" s="1"/>
  <c r="AE65" i="5"/>
  <c r="K65" i="5" s="1"/>
  <c r="W63" i="5"/>
  <c r="W61" i="5"/>
  <c r="W64" i="5"/>
  <c r="W62" i="5"/>
  <c r="U676" i="21"/>
  <c r="V93" i="12" l="1"/>
  <c r="V91" i="11"/>
  <c r="V91" i="12"/>
  <c r="V91" i="13"/>
  <c r="V93" i="13"/>
  <c r="I93" i="13" s="1"/>
  <c r="M93" i="13" s="1"/>
  <c r="F93" i="13" s="1"/>
  <c r="D93" i="13" s="1"/>
  <c r="V92" i="12"/>
  <c r="V93" i="11"/>
  <c r="I93" i="11" s="1"/>
  <c r="M93" i="11" s="1"/>
  <c r="F93" i="11" s="1"/>
  <c r="D93" i="11" s="1"/>
  <c r="W91" i="13"/>
  <c r="W91" i="11"/>
  <c r="O92" i="8"/>
  <c r="G92" i="8" s="1"/>
  <c r="AJ92" i="8"/>
  <c r="AK92" i="8"/>
  <c r="U92" i="8"/>
  <c r="I92" i="8" s="1"/>
  <c r="AI92" i="8"/>
  <c r="Q92" i="8"/>
  <c r="H92" i="8" s="1"/>
  <c r="T92" i="5"/>
  <c r="I92" i="5" s="1"/>
  <c r="O92" i="5"/>
  <c r="G92" i="5" s="1"/>
  <c r="AC92" i="5"/>
  <c r="AD92" i="5"/>
  <c r="Q92" i="5"/>
  <c r="H92" i="5" s="1"/>
  <c r="O92" i="7"/>
  <c r="G92" i="7" s="1"/>
  <c r="Q92" i="7"/>
  <c r="H92" i="7" s="1"/>
  <c r="T92" i="7"/>
  <c r="I92" i="7" s="1"/>
  <c r="AH92" i="7" s="1"/>
  <c r="AE92" i="7"/>
  <c r="AG92" i="7"/>
  <c r="T93" i="7"/>
  <c r="I93" i="7" s="1"/>
  <c r="AH93" i="7" s="1"/>
  <c r="O93" i="7"/>
  <c r="G93" i="7" s="1"/>
  <c r="AE93" i="7"/>
  <c r="Q93" i="7"/>
  <c r="H93" i="7" s="1"/>
  <c r="AG93" i="7"/>
  <c r="Q91" i="7"/>
  <c r="H91" i="7" s="1"/>
  <c r="AG91" i="7"/>
  <c r="O91" i="7"/>
  <c r="G91" i="7" s="1"/>
  <c r="T91" i="7"/>
  <c r="I91" i="7" s="1"/>
  <c r="AH91" i="7" s="1"/>
  <c r="AE91" i="7"/>
  <c r="W92" i="12"/>
  <c r="W92" i="13"/>
  <c r="I92" i="13" s="1"/>
  <c r="M92" i="13" s="1"/>
  <c r="F92" i="13" s="1"/>
  <c r="D92" i="13" s="1"/>
  <c r="W91" i="12"/>
  <c r="Q93" i="8"/>
  <c r="H93" i="8" s="1"/>
  <c r="O93" i="8"/>
  <c r="G93" i="8" s="1"/>
  <c r="AK93" i="8"/>
  <c r="AI93" i="8"/>
  <c r="AJ93" i="8"/>
  <c r="U93" i="8"/>
  <c r="I93" i="8" s="1"/>
  <c r="AG93" i="6"/>
  <c r="AF93" i="6"/>
  <c r="Q93" i="6"/>
  <c r="H93" i="6" s="1"/>
  <c r="T93" i="6"/>
  <c r="I93" i="6" s="1"/>
  <c r="AD93" i="6"/>
  <c r="O93" i="6"/>
  <c r="G93" i="6" s="1"/>
  <c r="AE93" i="6"/>
  <c r="W93" i="6"/>
  <c r="J93" i="6" s="1"/>
  <c r="Q91" i="5"/>
  <c r="H91" i="5" s="1"/>
  <c r="T91" i="5"/>
  <c r="I91" i="5" s="1"/>
  <c r="AC91" i="5"/>
  <c r="AD91" i="5"/>
  <c r="O91" i="5"/>
  <c r="G91" i="5" s="1"/>
  <c r="Q93" i="5"/>
  <c r="H93" i="5" s="1"/>
  <c r="AC93" i="5"/>
  <c r="O93" i="5"/>
  <c r="G93" i="5" s="1"/>
  <c r="T93" i="5"/>
  <c r="I93" i="5" s="1"/>
  <c r="AD93" i="5"/>
  <c r="AD92" i="6"/>
  <c r="AC92" i="6"/>
  <c r="O92" i="6"/>
  <c r="G92" i="6" s="1"/>
  <c r="T92" i="6"/>
  <c r="I92" i="6" s="1"/>
  <c r="AG92" i="6"/>
  <c r="W92" i="6"/>
  <c r="J92" i="6" s="1"/>
  <c r="Q92" i="6"/>
  <c r="H92" i="6" s="1"/>
  <c r="AF92" i="6"/>
  <c r="AE92" i="6"/>
  <c r="AG91" i="6"/>
  <c r="AD91" i="6"/>
  <c r="AF91" i="6"/>
  <c r="Q91" i="6"/>
  <c r="H91" i="6" s="1"/>
  <c r="O91" i="6"/>
  <c r="G91" i="6" s="1"/>
  <c r="T91" i="6"/>
  <c r="I91" i="6" s="1"/>
  <c r="AC91" i="6"/>
  <c r="W91" i="6"/>
  <c r="J91" i="6" s="1"/>
  <c r="AE91" i="6"/>
  <c r="U91" i="8"/>
  <c r="I91" i="8" s="1"/>
  <c r="AK91" i="8"/>
  <c r="AJ91" i="8"/>
  <c r="O91" i="8"/>
  <c r="G91" i="8" s="1"/>
  <c r="Q91" i="8"/>
  <c r="H91" i="8" s="1"/>
  <c r="AI91" i="8"/>
  <c r="W92" i="11"/>
  <c r="I92" i="11" s="1"/>
  <c r="M92" i="11" s="1"/>
  <c r="F92" i="11" s="1"/>
  <c r="D92" i="11" s="1"/>
  <c r="W93" i="12"/>
  <c r="D7" i="12"/>
  <c r="D36" i="12"/>
  <c r="D67" i="12"/>
  <c r="D70" i="12"/>
  <c r="D26" i="12"/>
  <c r="D85" i="12"/>
  <c r="D61" i="12"/>
  <c r="F80" i="13"/>
  <c r="D80" i="13" s="1"/>
  <c r="D57" i="12"/>
  <c r="D87" i="12"/>
  <c r="D86" i="12"/>
  <c r="D53" i="12"/>
  <c r="D73" i="12"/>
  <c r="AQ81" i="8"/>
  <c r="L81" i="8" s="1"/>
  <c r="M81" i="8" s="1"/>
  <c r="F81" i="8" s="1"/>
  <c r="D81" i="8" s="1"/>
  <c r="AJ81" i="7"/>
  <c r="L81" i="7" s="1"/>
  <c r="M81" i="7" s="1"/>
  <c r="F81" i="7" s="1"/>
  <c r="D81" i="7" s="1"/>
  <c r="AJ59" i="7"/>
  <c r="L59" i="7" s="1"/>
  <c r="AI81" i="6"/>
  <c r="L81" i="6" s="1"/>
  <c r="M81" i="6" s="1"/>
  <c r="F81" i="6" s="1"/>
  <c r="D81" i="6" s="1"/>
  <c r="E66" i="8"/>
  <c r="O66" i="8"/>
  <c r="G66" i="8" s="1"/>
  <c r="E50" i="6"/>
  <c r="O50" i="6"/>
  <c r="G50" i="6" s="1"/>
  <c r="E43" i="7"/>
  <c r="O43" i="7"/>
  <c r="G43" i="7" s="1"/>
  <c r="E21" i="8"/>
  <c r="O21" i="8"/>
  <c r="G21" i="8" s="1"/>
  <c r="E15" i="8"/>
  <c r="O15" i="8"/>
  <c r="G15" i="8" s="1"/>
  <c r="AE69" i="6"/>
  <c r="T69" i="6"/>
  <c r="I69" i="6" s="1"/>
  <c r="AG69" i="6"/>
  <c r="AC69" i="6"/>
  <c r="Q69" i="6"/>
  <c r="H69" i="6" s="1"/>
  <c r="AF69" i="6"/>
  <c r="W69" i="6"/>
  <c r="J69" i="6" s="1"/>
  <c r="AD69" i="6"/>
  <c r="E69" i="8"/>
  <c r="O69" i="8"/>
  <c r="G69" i="8" s="1"/>
  <c r="E62" i="8"/>
  <c r="O62" i="8"/>
  <c r="G62" i="8" s="1"/>
  <c r="E55" i="8"/>
  <c r="O55" i="8"/>
  <c r="G55" i="8" s="1"/>
  <c r="E48" i="8"/>
  <c r="O48" i="8"/>
  <c r="G48" i="8" s="1"/>
  <c r="E46" i="6"/>
  <c r="O46" i="6"/>
  <c r="G46" i="6" s="1"/>
  <c r="E44" i="7"/>
  <c r="O44" i="7"/>
  <c r="G44" i="7" s="1"/>
  <c r="E38" i="7"/>
  <c r="O38" i="7"/>
  <c r="G38" i="7" s="1"/>
  <c r="E36" i="7"/>
  <c r="O36" i="7"/>
  <c r="G36" i="7" s="1"/>
  <c r="E36" i="6"/>
  <c r="O36" i="6"/>
  <c r="G36" i="6" s="1"/>
  <c r="E33" i="7"/>
  <c r="O33" i="7"/>
  <c r="G33" i="7" s="1"/>
  <c r="E28" i="6"/>
  <c r="O28" i="6"/>
  <c r="G28" i="6" s="1"/>
  <c r="E30" i="8"/>
  <c r="O30" i="8"/>
  <c r="G30" i="8" s="1"/>
  <c r="E27" i="8"/>
  <c r="O27" i="8"/>
  <c r="G27" i="8" s="1"/>
  <c r="E23" i="6"/>
  <c r="O23" i="6"/>
  <c r="G23" i="6" s="1"/>
  <c r="E22" i="6"/>
  <c r="O22" i="6"/>
  <c r="G22" i="6" s="1"/>
  <c r="E18" i="8"/>
  <c r="O18" i="8"/>
  <c r="G18" i="8" s="1"/>
  <c r="E19" i="8"/>
  <c r="O19" i="8"/>
  <c r="G19" i="8" s="1"/>
  <c r="E13" i="7"/>
  <c r="O13" i="7"/>
  <c r="G13" i="7" s="1"/>
  <c r="E9" i="7"/>
  <c r="O9" i="7"/>
  <c r="G9" i="7" s="1"/>
  <c r="E8" i="6"/>
  <c r="O8" i="6"/>
  <c r="G8" i="6" s="1"/>
  <c r="AK72" i="8"/>
  <c r="Q72" i="8"/>
  <c r="H72" i="8" s="1"/>
  <c r="AJ72" i="8"/>
  <c r="AI72" i="8"/>
  <c r="U72" i="8"/>
  <c r="I72" i="8" s="1"/>
  <c r="O72" i="8"/>
  <c r="G72" i="8" s="1"/>
  <c r="AJ69" i="8"/>
  <c r="AI69" i="8"/>
  <c r="U69" i="8"/>
  <c r="I69" i="8" s="1"/>
  <c r="Q69" i="8"/>
  <c r="H69" i="8" s="1"/>
  <c r="AK69" i="8"/>
  <c r="Q68" i="7"/>
  <c r="H68" i="7" s="1"/>
  <c r="AE68" i="7"/>
  <c r="T68" i="7"/>
  <c r="I68" i="7" s="1"/>
  <c r="AH68" i="7" s="1"/>
  <c r="AG68" i="7"/>
  <c r="E71" i="7"/>
  <c r="O71" i="7"/>
  <c r="G71" i="7" s="1"/>
  <c r="E65" i="6"/>
  <c r="O65" i="6"/>
  <c r="G65" i="6" s="1"/>
  <c r="E66" i="6"/>
  <c r="O66" i="6"/>
  <c r="G66" i="6" s="1"/>
  <c r="E62" i="7"/>
  <c r="O62" i="7"/>
  <c r="G62" i="7" s="1"/>
  <c r="M62" i="7" s="1"/>
  <c r="E60" i="6"/>
  <c r="O60" i="6"/>
  <c r="G60" i="6" s="1"/>
  <c r="E58" i="8"/>
  <c r="O58" i="8"/>
  <c r="G58" i="8" s="1"/>
  <c r="E57" i="8"/>
  <c r="O57" i="8"/>
  <c r="G57" i="8" s="1"/>
  <c r="E54" i="6"/>
  <c r="O54" i="6"/>
  <c r="G54" i="6" s="1"/>
  <c r="E51" i="8"/>
  <c r="O51" i="8"/>
  <c r="G51" i="8" s="1"/>
  <c r="E51" i="6"/>
  <c r="O51" i="6"/>
  <c r="G51" i="6" s="1"/>
  <c r="E49" i="8"/>
  <c r="O49" i="8"/>
  <c r="G49" i="8" s="1"/>
  <c r="E45" i="7"/>
  <c r="O45" i="7"/>
  <c r="G45" i="7" s="1"/>
  <c r="E41" i="7"/>
  <c r="O41" i="7"/>
  <c r="G41" i="7" s="1"/>
  <c r="E40" i="6"/>
  <c r="O40" i="6"/>
  <c r="G40" i="6" s="1"/>
  <c r="E36" i="8"/>
  <c r="O36" i="8"/>
  <c r="G36" i="8" s="1"/>
  <c r="E35" i="7"/>
  <c r="O35" i="7"/>
  <c r="G35" i="7" s="1"/>
  <c r="E32" i="7"/>
  <c r="O32" i="7"/>
  <c r="G32" i="7" s="1"/>
  <c r="E30" i="6"/>
  <c r="O30" i="6"/>
  <c r="G30" i="6" s="1"/>
  <c r="E27" i="6"/>
  <c r="O27" i="6"/>
  <c r="G27" i="6" s="1"/>
  <c r="E26" i="8"/>
  <c r="O26" i="8"/>
  <c r="G26" i="8" s="1"/>
  <c r="E25" i="8"/>
  <c r="O25" i="8"/>
  <c r="G25" i="8" s="1"/>
  <c r="E23" i="7"/>
  <c r="O23" i="7"/>
  <c r="G23" i="7" s="1"/>
  <c r="E20" i="8"/>
  <c r="O20" i="8"/>
  <c r="G20" i="8" s="1"/>
  <c r="E18" i="7"/>
  <c r="O18" i="7"/>
  <c r="G18" i="7" s="1"/>
  <c r="E16" i="8"/>
  <c r="O16" i="8"/>
  <c r="G16" i="8" s="1"/>
  <c r="E16" i="7"/>
  <c r="O16" i="7"/>
  <c r="G16" i="7" s="1"/>
  <c r="E12" i="7"/>
  <c r="O12" i="7"/>
  <c r="G12" i="7" s="1"/>
  <c r="E10" i="8"/>
  <c r="O10" i="8"/>
  <c r="G10" i="8" s="1"/>
  <c r="E9" i="6"/>
  <c r="O9" i="6"/>
  <c r="G9" i="6" s="1"/>
  <c r="Q71" i="8"/>
  <c r="H71" i="8" s="1"/>
  <c r="AI71" i="8"/>
  <c r="AJ71" i="8"/>
  <c r="AK71" i="8"/>
  <c r="U71" i="8"/>
  <c r="I71" i="8" s="1"/>
  <c r="O71" i="8"/>
  <c r="G71" i="8" s="1"/>
  <c r="E70" i="7"/>
  <c r="O70" i="7"/>
  <c r="G70" i="7" s="1"/>
  <c r="E62" i="6"/>
  <c r="O62" i="6"/>
  <c r="G62" i="6" s="1"/>
  <c r="E54" i="8"/>
  <c r="O54" i="8"/>
  <c r="G54" i="8" s="1"/>
  <c r="E47" i="7"/>
  <c r="O47" i="7"/>
  <c r="G47" i="7" s="1"/>
  <c r="E35" i="6"/>
  <c r="O35" i="6"/>
  <c r="G35" i="6" s="1"/>
  <c r="E27" i="7"/>
  <c r="O27" i="7"/>
  <c r="G27" i="7" s="1"/>
  <c r="AF70" i="6"/>
  <c r="AC70" i="6"/>
  <c r="W70" i="6"/>
  <c r="J70" i="6" s="1"/>
  <c r="Q70" i="6"/>
  <c r="H70" i="6" s="1"/>
  <c r="AG70" i="6"/>
  <c r="AD70" i="6"/>
  <c r="AE70" i="6"/>
  <c r="T70" i="6"/>
  <c r="I70" i="6" s="1"/>
  <c r="E70" i="8"/>
  <c r="O70" i="8"/>
  <c r="G70" i="8" s="1"/>
  <c r="E67" i="7"/>
  <c r="O67" i="7"/>
  <c r="G67" i="7" s="1"/>
  <c r="E61" i="7"/>
  <c r="O61" i="7"/>
  <c r="G61" i="7" s="1"/>
  <c r="E52" i="7"/>
  <c r="O52" i="7"/>
  <c r="G52" i="7" s="1"/>
  <c r="E46" i="8"/>
  <c r="O46" i="8"/>
  <c r="G46" i="8" s="1"/>
  <c r="E43" i="6"/>
  <c r="O43" i="6"/>
  <c r="G43" i="6" s="1"/>
  <c r="E35" i="8"/>
  <c r="O35" i="8"/>
  <c r="G35" i="8" s="1"/>
  <c r="E29" i="6"/>
  <c r="O29" i="6"/>
  <c r="G29" i="6" s="1"/>
  <c r="E22" i="8"/>
  <c r="O22" i="8"/>
  <c r="G22" i="8" s="1"/>
  <c r="E17" i="8"/>
  <c r="O17" i="8"/>
  <c r="G17" i="8" s="1"/>
  <c r="E11" i="6"/>
  <c r="O11" i="6"/>
  <c r="G11" i="6" s="1"/>
  <c r="AE70" i="7"/>
  <c r="T70" i="7"/>
  <c r="I70" i="7" s="1"/>
  <c r="AH70" i="7" s="1"/>
  <c r="AG70" i="7"/>
  <c r="Q70" i="7"/>
  <c r="H70" i="7" s="1"/>
  <c r="E68" i="6"/>
  <c r="O68" i="6"/>
  <c r="G68" i="6" s="1"/>
  <c r="E63" i="6"/>
  <c r="O63" i="6"/>
  <c r="G63" i="6" s="1"/>
  <c r="E54" i="7"/>
  <c r="O54" i="7"/>
  <c r="G54" i="7" s="1"/>
  <c r="E26" i="6"/>
  <c r="O26" i="6"/>
  <c r="G26" i="6" s="1"/>
  <c r="E14" i="7"/>
  <c r="O14" i="7"/>
  <c r="G14" i="7" s="1"/>
  <c r="E7" i="8"/>
  <c r="O7" i="8"/>
  <c r="G7" i="8" s="1"/>
  <c r="AE67" i="7"/>
  <c r="T67" i="7"/>
  <c r="AG67" i="7"/>
  <c r="Q67" i="7"/>
  <c r="H67" i="7" s="1"/>
  <c r="E65" i="7"/>
  <c r="O65" i="7"/>
  <c r="G65" i="7" s="1"/>
  <c r="E58" i="6"/>
  <c r="O58" i="6"/>
  <c r="G58" i="6" s="1"/>
  <c r="E56" i="6"/>
  <c r="O56" i="6"/>
  <c r="G56" i="6" s="1"/>
  <c r="E55" i="6"/>
  <c r="O55" i="6"/>
  <c r="G55" i="6" s="1"/>
  <c r="E52" i="6"/>
  <c r="O52" i="6"/>
  <c r="G52" i="6" s="1"/>
  <c r="E47" i="6"/>
  <c r="O47" i="6"/>
  <c r="G47" i="6" s="1"/>
  <c r="E50" i="8"/>
  <c r="O50" i="8"/>
  <c r="G50" i="8" s="1"/>
  <c r="E45" i="6"/>
  <c r="O45" i="6"/>
  <c r="G45" i="6" s="1"/>
  <c r="E42" i="6"/>
  <c r="O42" i="6"/>
  <c r="G42" i="6" s="1"/>
  <c r="E41" i="8"/>
  <c r="O41" i="8"/>
  <c r="G41" i="8" s="1"/>
  <c r="E39" i="8"/>
  <c r="O39" i="8"/>
  <c r="G39" i="8" s="1"/>
  <c r="E39" i="6"/>
  <c r="O39" i="6"/>
  <c r="G39" i="6" s="1"/>
  <c r="E32" i="8"/>
  <c r="O32" i="8"/>
  <c r="G32" i="8" s="1"/>
  <c r="E33" i="6"/>
  <c r="O33" i="6"/>
  <c r="G33" i="6" s="1"/>
  <c r="E30" i="7"/>
  <c r="O30" i="7"/>
  <c r="G30" i="7" s="1"/>
  <c r="E26" i="7"/>
  <c r="O26" i="7"/>
  <c r="G26" i="7" s="1"/>
  <c r="E24" i="7"/>
  <c r="O24" i="7"/>
  <c r="G24" i="7" s="1"/>
  <c r="E23" i="8"/>
  <c r="O23" i="8"/>
  <c r="G23" i="8" s="1"/>
  <c r="E19" i="7"/>
  <c r="O19" i="7"/>
  <c r="G19" i="7" s="1"/>
  <c r="E17" i="7"/>
  <c r="O17" i="7"/>
  <c r="G17" i="7" s="1"/>
  <c r="E14" i="8"/>
  <c r="O14" i="8"/>
  <c r="G14" i="8" s="1"/>
  <c r="E10" i="7"/>
  <c r="O10" i="7"/>
  <c r="G10" i="7" s="1"/>
  <c r="AJ67" i="8"/>
  <c r="AK67" i="8"/>
  <c r="Q67" i="8"/>
  <c r="H67" i="8" s="1"/>
  <c r="AI67" i="8"/>
  <c r="U67" i="8"/>
  <c r="E64" i="8"/>
  <c r="O64" i="8"/>
  <c r="G64" i="8" s="1"/>
  <c r="E57" i="7"/>
  <c r="O57" i="7"/>
  <c r="G57" i="7" s="1"/>
  <c r="E51" i="7"/>
  <c r="O51" i="7"/>
  <c r="G51" i="7" s="1"/>
  <c r="E42" i="8"/>
  <c r="O42" i="8"/>
  <c r="G42" i="8" s="1"/>
  <c r="E25" i="6"/>
  <c r="O25" i="6"/>
  <c r="G25" i="6" s="1"/>
  <c r="E15" i="6"/>
  <c r="O15" i="6"/>
  <c r="G15" i="6" s="1"/>
  <c r="AE69" i="7"/>
  <c r="AG69" i="7"/>
  <c r="Q69" i="7"/>
  <c r="H69" i="7" s="1"/>
  <c r="T69" i="7"/>
  <c r="I69" i="7" s="1"/>
  <c r="AH69" i="7" s="1"/>
  <c r="E59" i="6"/>
  <c r="O59" i="6"/>
  <c r="G59" i="6" s="1"/>
  <c r="E70" i="6"/>
  <c r="O70" i="6"/>
  <c r="G70" i="6" s="1"/>
  <c r="E61" i="6"/>
  <c r="O61" i="6"/>
  <c r="G61" i="6" s="1"/>
  <c r="E56" i="7"/>
  <c r="O56" i="7"/>
  <c r="G56" i="7" s="1"/>
  <c r="E50" i="7"/>
  <c r="O50" i="7"/>
  <c r="G50" i="7" s="1"/>
  <c r="E44" i="8"/>
  <c r="O44" i="8"/>
  <c r="G44" i="8" s="1"/>
  <c r="E37" i="6"/>
  <c r="O37" i="6"/>
  <c r="G37" i="6" s="1"/>
  <c r="E24" i="8"/>
  <c r="O24" i="8"/>
  <c r="G24" i="8" s="1"/>
  <c r="E13" i="6"/>
  <c r="O13" i="6"/>
  <c r="G13" i="6" s="1"/>
  <c r="E8" i="7"/>
  <c r="O8" i="7"/>
  <c r="G8" i="7" s="1"/>
  <c r="AK68" i="8"/>
  <c r="U68" i="8"/>
  <c r="I68" i="8" s="1"/>
  <c r="Q68" i="8"/>
  <c r="H68" i="8" s="1"/>
  <c r="AI68" i="8"/>
  <c r="AJ68" i="8"/>
  <c r="E64" i="7"/>
  <c r="O64" i="7"/>
  <c r="G64" i="7" s="1"/>
  <c r="E60" i="8"/>
  <c r="O60" i="8"/>
  <c r="G60" i="8" s="1"/>
  <c r="E48" i="7"/>
  <c r="O48" i="7"/>
  <c r="G48" i="7" s="1"/>
  <c r="E38" i="6"/>
  <c r="O38" i="6"/>
  <c r="G38" i="6" s="1"/>
  <c r="E31" i="6"/>
  <c r="O31" i="6"/>
  <c r="G31" i="6" s="1"/>
  <c r="E10" i="6"/>
  <c r="O10" i="6"/>
  <c r="G10" i="6" s="1"/>
  <c r="AK70" i="8"/>
  <c r="Q70" i="8"/>
  <c r="H70" i="8" s="1"/>
  <c r="AI70" i="8"/>
  <c r="U70" i="8"/>
  <c r="I70" i="8" s="1"/>
  <c r="AJ70" i="8"/>
  <c r="E72" i="6"/>
  <c r="O72" i="6"/>
  <c r="G72" i="6" s="1"/>
  <c r="M72" i="6" s="1"/>
  <c r="F72" i="6" s="1"/>
  <c r="D72" i="6" s="1"/>
  <c r="E67" i="6"/>
  <c r="O67" i="6"/>
  <c r="G67" i="6" s="1"/>
  <c r="E67" i="8"/>
  <c r="O67" i="8"/>
  <c r="G67" i="8" s="1"/>
  <c r="E66" i="7"/>
  <c r="O66" i="7"/>
  <c r="G66" i="7" s="1"/>
  <c r="E63" i="8"/>
  <c r="O63" i="8"/>
  <c r="G63" i="8" s="1"/>
  <c r="E59" i="8"/>
  <c r="O59" i="8"/>
  <c r="G59" i="8" s="1"/>
  <c r="E56" i="8"/>
  <c r="O56" i="8"/>
  <c r="G56" i="8" s="1"/>
  <c r="E53" i="7"/>
  <c r="O53" i="7"/>
  <c r="G53" i="7" s="1"/>
  <c r="E49" i="7"/>
  <c r="O49" i="7"/>
  <c r="G49" i="7" s="1"/>
  <c r="E44" i="6"/>
  <c r="O44" i="6"/>
  <c r="G44" i="6" s="1"/>
  <c r="E43" i="8"/>
  <c r="O43" i="8"/>
  <c r="G43" i="8" s="1"/>
  <c r="E40" i="8"/>
  <c r="O40" i="8"/>
  <c r="G40" i="8" s="1"/>
  <c r="E38" i="8"/>
  <c r="O38" i="8"/>
  <c r="G38" i="8" s="1"/>
  <c r="E37" i="7"/>
  <c r="O37" i="7"/>
  <c r="G37" i="7" s="1"/>
  <c r="E34" i="8"/>
  <c r="O34" i="8"/>
  <c r="G34" i="8" s="1"/>
  <c r="E29" i="8"/>
  <c r="O29" i="8"/>
  <c r="G29" i="8" s="1"/>
  <c r="E22" i="7"/>
  <c r="O22" i="7"/>
  <c r="G22" i="7" s="1"/>
  <c r="E21" i="6"/>
  <c r="O21" i="6"/>
  <c r="G21" i="6" s="1"/>
  <c r="E18" i="6"/>
  <c r="O18" i="6"/>
  <c r="G18" i="6" s="1"/>
  <c r="E14" i="6"/>
  <c r="O14" i="6"/>
  <c r="G14" i="6" s="1"/>
  <c r="E9" i="8"/>
  <c r="O9" i="8"/>
  <c r="G9" i="8" s="1"/>
  <c r="AE72" i="7"/>
  <c r="AG72" i="7"/>
  <c r="T72" i="7"/>
  <c r="I72" i="7" s="1"/>
  <c r="AH72" i="7" s="1"/>
  <c r="Q72" i="7"/>
  <c r="H72" i="7" s="1"/>
  <c r="O72" i="7"/>
  <c r="G72" i="7" s="1"/>
  <c r="AF67" i="6"/>
  <c r="W67" i="6"/>
  <c r="J67" i="6" s="1"/>
  <c r="Q67" i="6"/>
  <c r="H67" i="6" s="1"/>
  <c r="T67" i="6"/>
  <c r="AD67" i="6"/>
  <c r="AE67" i="6"/>
  <c r="AC67" i="6"/>
  <c r="AG67" i="6"/>
  <c r="E68" i="7"/>
  <c r="O68" i="7"/>
  <c r="G68" i="7" s="1"/>
  <c r="E61" i="8"/>
  <c r="O61" i="8"/>
  <c r="G61" i="8" s="1"/>
  <c r="E46" i="7"/>
  <c r="O46" i="7"/>
  <c r="G46" i="7" s="1"/>
  <c r="E41" i="6"/>
  <c r="O41" i="6"/>
  <c r="G41" i="6" s="1"/>
  <c r="E32" i="6"/>
  <c r="O32" i="6"/>
  <c r="G32" i="6" s="1"/>
  <c r="E20" i="6"/>
  <c r="O20" i="6"/>
  <c r="G20" i="6" s="1"/>
  <c r="E15" i="7"/>
  <c r="O15" i="7"/>
  <c r="G15" i="7" s="1"/>
  <c r="E11" i="7"/>
  <c r="O11" i="7"/>
  <c r="G11" i="7" s="1"/>
  <c r="E8" i="8"/>
  <c r="O8" i="8"/>
  <c r="G8" i="8" s="1"/>
  <c r="E7" i="6"/>
  <c r="O7" i="6"/>
  <c r="G7" i="6" s="1"/>
  <c r="E60" i="7"/>
  <c r="O60" i="7"/>
  <c r="G60" i="7" s="1"/>
  <c r="E69" i="6"/>
  <c r="O69" i="6"/>
  <c r="G69" i="6" s="1"/>
  <c r="E64" i="6"/>
  <c r="O64" i="6"/>
  <c r="G64" i="6" s="1"/>
  <c r="E57" i="6"/>
  <c r="O57" i="6"/>
  <c r="G57" i="6" s="1"/>
  <c r="E53" i="8"/>
  <c r="O53" i="8"/>
  <c r="G53" i="8" s="1"/>
  <c r="E45" i="8"/>
  <c r="O45" i="8"/>
  <c r="G45" i="8" s="1"/>
  <c r="E33" i="8"/>
  <c r="O33" i="8"/>
  <c r="G33" i="8" s="1"/>
  <c r="E24" i="6"/>
  <c r="O24" i="6"/>
  <c r="G24" i="6" s="1"/>
  <c r="E19" i="6"/>
  <c r="O19" i="6"/>
  <c r="G19" i="6" s="1"/>
  <c r="E11" i="8"/>
  <c r="O11" i="8"/>
  <c r="G11" i="8" s="1"/>
  <c r="AD73" i="6"/>
  <c r="AC73" i="6"/>
  <c r="AE73" i="6"/>
  <c r="AG73" i="6"/>
  <c r="AF73" i="6"/>
  <c r="Q73" i="6"/>
  <c r="H73" i="6" s="1"/>
  <c r="W73" i="6"/>
  <c r="J73" i="6" s="1"/>
  <c r="T73" i="6"/>
  <c r="I73" i="6" s="1"/>
  <c r="O73" i="6"/>
  <c r="G73" i="6" s="1"/>
  <c r="E63" i="7"/>
  <c r="O63" i="7"/>
  <c r="G63" i="7" s="1"/>
  <c r="E52" i="8"/>
  <c r="O52" i="8"/>
  <c r="G52" i="8" s="1"/>
  <c r="E48" i="6"/>
  <c r="O48" i="6"/>
  <c r="G48" i="6" s="1"/>
  <c r="E39" i="7"/>
  <c r="O39" i="7"/>
  <c r="G39" i="7" s="1"/>
  <c r="E34" i="6"/>
  <c r="O34" i="6"/>
  <c r="G34" i="6" s="1"/>
  <c r="E29" i="7"/>
  <c r="O29" i="7"/>
  <c r="G29" i="7" s="1"/>
  <c r="E16" i="6"/>
  <c r="O16" i="6"/>
  <c r="G16" i="6" s="1"/>
  <c r="Q71" i="6"/>
  <c r="H71" i="6" s="1"/>
  <c r="AC71" i="6"/>
  <c r="AE71" i="6"/>
  <c r="AG71" i="6"/>
  <c r="AF71" i="6"/>
  <c r="T71" i="6"/>
  <c r="I71" i="6" s="1"/>
  <c r="AD71" i="6"/>
  <c r="W71" i="6"/>
  <c r="J71" i="6" s="1"/>
  <c r="O71" i="6"/>
  <c r="G71" i="6" s="1"/>
  <c r="E69" i="7"/>
  <c r="O69" i="7"/>
  <c r="G69" i="7" s="1"/>
  <c r="E68" i="8"/>
  <c r="O68" i="8"/>
  <c r="G68" i="8" s="1"/>
  <c r="E65" i="8"/>
  <c r="O65" i="8"/>
  <c r="G65" i="8" s="1"/>
  <c r="E59" i="7"/>
  <c r="O59" i="7"/>
  <c r="G59" i="7" s="1"/>
  <c r="E58" i="7"/>
  <c r="O58" i="7"/>
  <c r="G58" i="7" s="1"/>
  <c r="E55" i="7"/>
  <c r="O55" i="7"/>
  <c r="G55" i="7" s="1"/>
  <c r="E53" i="6"/>
  <c r="O53" i="6"/>
  <c r="G53" i="6" s="1"/>
  <c r="E49" i="6"/>
  <c r="O49" i="6"/>
  <c r="G49" i="6" s="1"/>
  <c r="E47" i="8"/>
  <c r="O47" i="8"/>
  <c r="G47" i="8" s="1"/>
  <c r="E42" i="7"/>
  <c r="O42" i="7"/>
  <c r="G42" i="7" s="1"/>
  <c r="E40" i="7"/>
  <c r="O40" i="7"/>
  <c r="G40" i="7" s="1"/>
  <c r="E37" i="8"/>
  <c r="O37" i="8"/>
  <c r="G37" i="8" s="1"/>
  <c r="E34" i="7"/>
  <c r="O34" i="7"/>
  <c r="G34" i="7" s="1"/>
  <c r="E31" i="8"/>
  <c r="O31" i="8"/>
  <c r="G31" i="8" s="1"/>
  <c r="E31" i="7"/>
  <c r="O31" i="7"/>
  <c r="G31" i="7" s="1"/>
  <c r="E28" i="7"/>
  <c r="O28" i="7"/>
  <c r="G28" i="7" s="1"/>
  <c r="E28" i="8"/>
  <c r="O28" i="8"/>
  <c r="G28" i="8" s="1"/>
  <c r="E25" i="7"/>
  <c r="O25" i="7"/>
  <c r="G25" i="7" s="1"/>
  <c r="E20" i="7"/>
  <c r="O20" i="7"/>
  <c r="G20" i="7" s="1"/>
  <c r="E21" i="7"/>
  <c r="O21" i="7"/>
  <c r="G21" i="7" s="1"/>
  <c r="E17" i="6"/>
  <c r="O17" i="6"/>
  <c r="G17" i="6" s="1"/>
  <c r="E13" i="8"/>
  <c r="O13" i="8"/>
  <c r="G13" i="8" s="1"/>
  <c r="E12" i="6"/>
  <c r="O12" i="6"/>
  <c r="G12" i="6" s="1"/>
  <c r="E12" i="8"/>
  <c r="O12" i="8"/>
  <c r="G12" i="8" s="1"/>
  <c r="E7" i="7"/>
  <c r="O7" i="7"/>
  <c r="G7" i="7" s="1"/>
  <c r="Q71" i="7"/>
  <c r="H71" i="7" s="1"/>
  <c r="AE71" i="7"/>
  <c r="AG71" i="7"/>
  <c r="T71" i="7"/>
  <c r="I71" i="7" s="1"/>
  <c r="AH71" i="7" s="1"/>
  <c r="AC68" i="6"/>
  <c r="W68" i="6"/>
  <c r="J68" i="6" s="1"/>
  <c r="Q68" i="6"/>
  <c r="H68" i="6" s="1"/>
  <c r="AD68" i="6"/>
  <c r="AG68" i="6"/>
  <c r="AF68" i="6"/>
  <c r="AE68" i="6"/>
  <c r="T68" i="6"/>
  <c r="I68" i="6" s="1"/>
  <c r="E27" i="5"/>
  <c r="O27" i="5"/>
  <c r="G27" i="5" s="1"/>
  <c r="X27" i="5" s="1"/>
  <c r="J27" i="5" s="1"/>
  <c r="E40" i="5"/>
  <c r="O40" i="5"/>
  <c r="G40" i="5" s="1"/>
  <c r="X40" i="5" s="1"/>
  <c r="J40" i="5" s="1"/>
  <c r="E33" i="5"/>
  <c r="O33" i="5"/>
  <c r="G33" i="5" s="1"/>
  <c r="X33" i="5" s="1"/>
  <c r="J33" i="5" s="1"/>
  <c r="E28" i="5"/>
  <c r="O28" i="5"/>
  <c r="G28" i="5" s="1"/>
  <c r="X28" i="5" s="1"/>
  <c r="J28" i="5" s="1"/>
  <c r="E20" i="5"/>
  <c r="O20" i="5"/>
  <c r="G20" i="5" s="1"/>
  <c r="X20" i="5" s="1"/>
  <c r="J20" i="5" s="1"/>
  <c r="E67" i="5"/>
  <c r="E57" i="5"/>
  <c r="O57" i="5"/>
  <c r="G57" i="5" s="1"/>
  <c r="X57" i="5" s="1"/>
  <c r="J57" i="5" s="1"/>
  <c r="E55" i="5"/>
  <c r="O55" i="5"/>
  <c r="G55" i="5" s="1"/>
  <c r="E49" i="5"/>
  <c r="O49" i="5"/>
  <c r="G49" i="5" s="1"/>
  <c r="X49" i="5" s="1"/>
  <c r="J49" i="5" s="1"/>
  <c r="E43" i="5"/>
  <c r="O43" i="5"/>
  <c r="G43" i="5" s="1"/>
  <c r="E44" i="5"/>
  <c r="O44" i="5"/>
  <c r="G44" i="5" s="1"/>
  <c r="X44" i="5" s="1"/>
  <c r="J44" i="5" s="1"/>
  <c r="E36" i="5"/>
  <c r="O36" i="5"/>
  <c r="G36" i="5" s="1"/>
  <c r="X36" i="5" s="1"/>
  <c r="J36" i="5" s="1"/>
  <c r="E26" i="5"/>
  <c r="O26" i="5"/>
  <c r="G26" i="5" s="1"/>
  <c r="X26" i="5" s="1"/>
  <c r="J26" i="5" s="1"/>
  <c r="E24" i="5"/>
  <c r="O24" i="5"/>
  <c r="G24" i="5" s="1"/>
  <c r="X24" i="5" s="1"/>
  <c r="J24" i="5" s="1"/>
  <c r="E22" i="5"/>
  <c r="O22" i="5"/>
  <c r="G22" i="5" s="1"/>
  <c r="X22" i="5" s="1"/>
  <c r="J22" i="5" s="1"/>
  <c r="E21" i="5"/>
  <c r="O21" i="5"/>
  <c r="G21" i="5" s="1"/>
  <c r="X21" i="5" s="1"/>
  <c r="J21" i="5" s="1"/>
  <c r="E14" i="5"/>
  <c r="O14" i="5"/>
  <c r="G14" i="5" s="1"/>
  <c r="X14" i="5" s="1"/>
  <c r="J14" i="5" s="1"/>
  <c r="E11" i="5"/>
  <c r="O11" i="5"/>
  <c r="G11" i="5" s="1"/>
  <c r="X11" i="5" s="1"/>
  <c r="J11" i="5" s="1"/>
  <c r="E37" i="5"/>
  <c r="O37" i="5"/>
  <c r="G37" i="5" s="1"/>
  <c r="X37" i="5" s="1"/>
  <c r="J37" i="5" s="1"/>
  <c r="E13" i="5"/>
  <c r="O13" i="5"/>
  <c r="G13" i="5" s="1"/>
  <c r="X13" i="5" s="1"/>
  <c r="J13" i="5" s="1"/>
  <c r="E8" i="5"/>
  <c r="O8" i="5"/>
  <c r="G8" i="5" s="1"/>
  <c r="X8" i="5" s="1"/>
  <c r="J8" i="5" s="1"/>
  <c r="E10" i="5"/>
  <c r="O10" i="5"/>
  <c r="G10" i="5" s="1"/>
  <c r="X10" i="5" s="1"/>
  <c r="J10" i="5" s="1"/>
  <c r="E31" i="5"/>
  <c r="O31" i="5"/>
  <c r="G31" i="5" s="1"/>
  <c r="X31" i="5" s="1"/>
  <c r="J31" i="5" s="1"/>
  <c r="E16" i="5"/>
  <c r="O16" i="5"/>
  <c r="G16" i="5" s="1"/>
  <c r="X16" i="5" s="1"/>
  <c r="J16" i="5" s="1"/>
  <c r="E12" i="5"/>
  <c r="O12" i="5"/>
  <c r="G12" i="5" s="1"/>
  <c r="X12" i="5" s="1"/>
  <c r="J12" i="5" s="1"/>
  <c r="E63" i="5"/>
  <c r="O63" i="5"/>
  <c r="G63" i="5" s="1"/>
  <c r="X63" i="5" s="1"/>
  <c r="J63" i="5" s="1"/>
  <c r="E39" i="5"/>
  <c r="O39" i="5"/>
  <c r="G39" i="5" s="1"/>
  <c r="X39" i="5" s="1"/>
  <c r="J39" i="5" s="1"/>
  <c r="E17" i="5"/>
  <c r="O17" i="5"/>
  <c r="G17" i="5" s="1"/>
  <c r="X17" i="5" s="1"/>
  <c r="J17" i="5" s="1"/>
  <c r="O7" i="5"/>
  <c r="G7" i="5" s="1"/>
  <c r="E59" i="5"/>
  <c r="O59" i="5"/>
  <c r="G59" i="5" s="1"/>
  <c r="X59" i="5" s="1"/>
  <c r="J59" i="5" s="1"/>
  <c r="M59" i="5" s="1"/>
  <c r="E54" i="5"/>
  <c r="O54" i="5"/>
  <c r="G54" i="5" s="1"/>
  <c r="X54" i="5" s="1"/>
  <c r="J54" i="5" s="1"/>
  <c r="E34" i="5"/>
  <c r="O34" i="5"/>
  <c r="G34" i="5" s="1"/>
  <c r="X34" i="5" s="1"/>
  <c r="J34" i="5" s="1"/>
  <c r="E32" i="5"/>
  <c r="O32" i="5"/>
  <c r="G32" i="5" s="1"/>
  <c r="X32" i="5" s="1"/>
  <c r="J32" i="5" s="1"/>
  <c r="E29" i="5"/>
  <c r="O29" i="5"/>
  <c r="G29" i="5" s="1"/>
  <c r="X29" i="5" s="1"/>
  <c r="J29" i="5" s="1"/>
  <c r="E18" i="5"/>
  <c r="O18" i="5"/>
  <c r="G18" i="5" s="1"/>
  <c r="X18" i="5" s="1"/>
  <c r="J18" i="5" s="1"/>
  <c r="E64" i="5"/>
  <c r="O64" i="5"/>
  <c r="G64" i="5" s="1"/>
  <c r="X64" i="5" s="1"/>
  <c r="J64" i="5" s="1"/>
  <c r="E58" i="5"/>
  <c r="O58" i="5"/>
  <c r="G58" i="5" s="1"/>
  <c r="X58" i="5" s="1"/>
  <c r="J58" i="5" s="1"/>
  <c r="E52" i="5"/>
  <c r="O52" i="5"/>
  <c r="G52" i="5" s="1"/>
  <c r="X52" i="5" s="1"/>
  <c r="J52" i="5" s="1"/>
  <c r="E35" i="5"/>
  <c r="O35" i="5"/>
  <c r="G35" i="5" s="1"/>
  <c r="X35" i="5" s="1"/>
  <c r="J35" i="5" s="1"/>
  <c r="E30" i="5"/>
  <c r="O30" i="5"/>
  <c r="G30" i="5" s="1"/>
  <c r="X30" i="5" s="1"/>
  <c r="J30" i="5" s="1"/>
  <c r="E19" i="5"/>
  <c r="O19" i="5"/>
  <c r="G19" i="5" s="1"/>
  <c r="E66" i="5"/>
  <c r="O66" i="5"/>
  <c r="G66" i="5" s="1"/>
  <c r="E60" i="5"/>
  <c r="O60" i="5"/>
  <c r="G60" i="5" s="1"/>
  <c r="X60" i="5" s="1"/>
  <c r="J60" i="5" s="1"/>
  <c r="E45" i="5"/>
  <c r="O45" i="5"/>
  <c r="G45" i="5" s="1"/>
  <c r="X45" i="5" s="1"/>
  <c r="J45" i="5" s="1"/>
  <c r="E68" i="5"/>
  <c r="E56" i="5"/>
  <c r="O56" i="5"/>
  <c r="G56" i="5" s="1"/>
  <c r="X56" i="5" s="1"/>
  <c r="J56" i="5" s="1"/>
  <c r="E42" i="5"/>
  <c r="O42" i="5"/>
  <c r="G42" i="5" s="1"/>
  <c r="X42" i="5" s="1"/>
  <c r="J42" i="5" s="1"/>
  <c r="E25" i="5"/>
  <c r="O25" i="5"/>
  <c r="G25" i="5" s="1"/>
  <c r="X25" i="5" s="1"/>
  <c r="J25" i="5" s="1"/>
  <c r="E15" i="5"/>
  <c r="O15" i="5"/>
  <c r="G15" i="5" s="1"/>
  <c r="X15" i="5" s="1"/>
  <c r="J15" i="5" s="1"/>
  <c r="E70" i="5"/>
  <c r="E62" i="5"/>
  <c r="O62" i="5"/>
  <c r="G62" i="5" s="1"/>
  <c r="X62" i="5" s="1"/>
  <c r="J62" i="5" s="1"/>
  <c r="M62" i="5" s="1"/>
  <c r="E51" i="5"/>
  <c r="O51" i="5"/>
  <c r="G51" i="5" s="1"/>
  <c r="X51" i="5" s="1"/>
  <c r="J51" i="5" s="1"/>
  <c r="E61" i="5"/>
  <c r="O61" i="5"/>
  <c r="G61" i="5" s="1"/>
  <c r="X61" i="5" s="1"/>
  <c r="J61" i="5" s="1"/>
  <c r="E47" i="5"/>
  <c r="O47" i="5"/>
  <c r="G47" i="5" s="1"/>
  <c r="X47" i="5" s="1"/>
  <c r="J47" i="5" s="1"/>
  <c r="E23" i="5"/>
  <c r="O23" i="5"/>
  <c r="G23" i="5" s="1"/>
  <c r="X23" i="5" s="1"/>
  <c r="J23" i="5" s="1"/>
  <c r="E9" i="5"/>
  <c r="O9" i="5"/>
  <c r="G9" i="5" s="1"/>
  <c r="X9" i="5" s="1"/>
  <c r="J9" i="5" s="1"/>
  <c r="E71" i="5"/>
  <c r="E50" i="5"/>
  <c r="O50" i="5"/>
  <c r="G50" i="5" s="1"/>
  <c r="X50" i="5" s="1"/>
  <c r="J50" i="5" s="1"/>
  <c r="E65" i="5"/>
  <c r="O65" i="5"/>
  <c r="G65" i="5" s="1"/>
  <c r="X65" i="5" s="1"/>
  <c r="E53" i="5"/>
  <c r="O53" i="5"/>
  <c r="G53" i="5" s="1"/>
  <c r="X53" i="5" s="1"/>
  <c r="J53" i="5" s="1"/>
  <c r="E48" i="5"/>
  <c r="O48" i="5"/>
  <c r="G48" i="5" s="1"/>
  <c r="X48" i="5" s="1"/>
  <c r="J48" i="5" s="1"/>
  <c r="E41" i="5"/>
  <c r="O41" i="5"/>
  <c r="G41" i="5" s="1"/>
  <c r="X41" i="5" s="1"/>
  <c r="J41" i="5" s="1"/>
  <c r="E69" i="5"/>
  <c r="E46" i="5"/>
  <c r="O46" i="5"/>
  <c r="G46" i="5" s="1"/>
  <c r="X46" i="5" s="1"/>
  <c r="J46" i="5" s="1"/>
  <c r="E38" i="5"/>
  <c r="O38" i="5"/>
  <c r="G38" i="5" s="1"/>
  <c r="X38" i="5" s="1"/>
  <c r="J38" i="5" s="1"/>
  <c r="O67" i="5"/>
  <c r="G67" i="5" s="1"/>
  <c r="O69" i="5"/>
  <c r="G69" i="5" s="1"/>
  <c r="X69" i="5" s="1"/>
  <c r="O68" i="5"/>
  <c r="G68" i="5" s="1"/>
  <c r="X68" i="5" s="1"/>
  <c r="O70" i="5"/>
  <c r="G70" i="5" s="1"/>
  <c r="AD73" i="5"/>
  <c r="T73" i="5"/>
  <c r="I73" i="5" s="1"/>
  <c r="AC73" i="5"/>
  <c r="Q73" i="5"/>
  <c r="H73" i="5" s="1"/>
  <c r="O73" i="5"/>
  <c r="G73" i="5" s="1"/>
  <c r="Q72" i="5"/>
  <c r="H72" i="5" s="1"/>
  <c r="T72" i="5"/>
  <c r="I72" i="5" s="1"/>
  <c r="AC72" i="5"/>
  <c r="AD72" i="5"/>
  <c r="O72" i="5"/>
  <c r="G72" i="5" s="1"/>
  <c r="T70" i="5"/>
  <c r="I70" i="5" s="1"/>
  <c r="AE70" i="5" s="1"/>
  <c r="AD70" i="5"/>
  <c r="Q70" i="5"/>
  <c r="H70" i="5" s="1"/>
  <c r="AC70" i="5"/>
  <c r="Q71" i="5"/>
  <c r="H71" i="5" s="1"/>
  <c r="T71" i="5"/>
  <c r="I71" i="5" s="1"/>
  <c r="AE71" i="5" s="1"/>
  <c r="AD71" i="5"/>
  <c r="AC71" i="5"/>
  <c r="T68" i="5"/>
  <c r="I68" i="5" s="1"/>
  <c r="AE68" i="5" s="1"/>
  <c r="AD68" i="5"/>
  <c r="AC68" i="5"/>
  <c r="Q68" i="5"/>
  <c r="H68" i="5" s="1"/>
  <c r="AC69" i="5"/>
  <c r="AD69" i="5"/>
  <c r="Q69" i="5"/>
  <c r="H69" i="5" s="1"/>
  <c r="T69" i="5"/>
  <c r="I69" i="5" s="1"/>
  <c r="AE69" i="5" s="1"/>
  <c r="O71" i="5"/>
  <c r="G71" i="5" s="1"/>
  <c r="X71" i="5" s="1"/>
  <c r="AD67" i="5"/>
  <c r="T67" i="5"/>
  <c r="Q67" i="5"/>
  <c r="H67" i="5" s="1"/>
  <c r="AC67" i="5"/>
  <c r="W65" i="5"/>
  <c r="C83" i="9"/>
  <c r="U751" i="21"/>
  <c r="S870" i="21"/>
  <c r="G999" i="21"/>
  <c r="E763" i="21"/>
  <c r="C252" i="14"/>
  <c r="U699" i="21"/>
  <c r="U970" i="21"/>
  <c r="R941" i="21"/>
  <c r="Q1000" i="21"/>
  <c r="P923" i="21"/>
  <c r="U735" i="21"/>
  <c r="S951" i="21"/>
  <c r="P955" i="21"/>
  <c r="Q924" i="21"/>
  <c r="P984" i="21"/>
  <c r="S879" i="21"/>
  <c r="R867" i="21"/>
  <c r="R948" i="21"/>
  <c r="R985" i="21"/>
  <c r="E262" i="9"/>
  <c r="R991" i="21"/>
  <c r="S939" i="21"/>
  <c r="S868" i="21"/>
  <c r="U883" i="21"/>
  <c r="S996" i="21"/>
  <c r="B576" i="21"/>
  <c r="S989" i="21"/>
  <c r="S942" i="21"/>
  <c r="D27" i="9"/>
  <c r="C292" i="14"/>
  <c r="R876" i="21"/>
  <c r="C298" i="14"/>
  <c r="E27" i="9"/>
  <c r="G892" i="21"/>
  <c r="U999" i="21"/>
  <c r="E261" i="9"/>
  <c r="E764" i="21"/>
  <c r="P881" i="21"/>
  <c r="V890" i="21"/>
  <c r="P924" i="21"/>
  <c r="U986" i="21"/>
  <c r="P883" i="21"/>
  <c r="V891" i="21"/>
  <c r="Q875" i="21"/>
  <c r="Q927" i="21"/>
  <c r="C248" i="14"/>
  <c r="R943" i="21"/>
  <c r="S895" i="21"/>
  <c r="Q970" i="21"/>
  <c r="E283" i="9"/>
  <c r="S983" i="21"/>
  <c r="C771" i="21"/>
  <c r="Q949" i="21"/>
  <c r="R967" i="21"/>
  <c r="E243" i="9"/>
  <c r="Q943" i="21"/>
  <c r="R998" i="21"/>
  <c r="H753" i="21"/>
  <c r="Q951" i="21"/>
  <c r="T1000" i="21"/>
  <c r="U878" i="21"/>
  <c r="D764" i="21"/>
  <c r="B770" i="21"/>
  <c r="T869" i="21"/>
  <c r="C250" i="14"/>
  <c r="C299" i="14"/>
  <c r="S892" i="21"/>
  <c r="E244" i="9"/>
  <c r="R986" i="21"/>
  <c r="P893" i="21"/>
  <c r="P926" i="21"/>
  <c r="D296" i="9"/>
  <c r="T883" i="21"/>
  <c r="S888" i="21"/>
  <c r="U738" i="21"/>
  <c r="E257" i="9"/>
  <c r="E260" i="9"/>
  <c r="R936" i="21"/>
  <c r="C234" i="14"/>
  <c r="S867" i="21"/>
  <c r="S952" i="21"/>
  <c r="T990" i="21"/>
  <c r="U936" i="21"/>
  <c r="U692" i="21"/>
  <c r="P944" i="21"/>
  <c r="P868" i="21"/>
  <c r="B891" i="21"/>
  <c r="Q980" i="21"/>
  <c r="U977" i="21"/>
  <c r="C311" i="9"/>
  <c r="D766" i="21"/>
  <c r="U1001" i="21"/>
  <c r="T983" i="21"/>
  <c r="U929" i="21"/>
  <c r="P974" i="21"/>
  <c r="C763" i="21"/>
  <c r="U687" i="21"/>
  <c r="Q999" i="21"/>
  <c r="B580" i="21"/>
  <c r="Q891" i="21"/>
  <c r="U711" i="21"/>
  <c r="C304" i="14"/>
  <c r="D294" i="9"/>
  <c r="T882" i="21"/>
  <c r="D770" i="21"/>
  <c r="U708" i="21"/>
  <c r="E279" i="9"/>
  <c r="T879" i="21"/>
  <c r="E766" i="21"/>
  <c r="R966" i="21"/>
  <c r="D761" i="21"/>
  <c r="G1034" i="21"/>
  <c r="R878" i="21"/>
  <c r="U680" i="21"/>
  <c r="S933" i="21"/>
  <c r="T997" i="21"/>
  <c r="D318" i="9"/>
  <c r="R884" i="21"/>
  <c r="U722" i="21"/>
  <c r="D762" i="21"/>
  <c r="P965" i="21"/>
  <c r="R980" i="21"/>
  <c r="U875" i="21"/>
  <c r="S864" i="21"/>
  <c r="C249" i="14"/>
  <c r="G1033" i="21"/>
  <c r="T995" i="21"/>
  <c r="C285" i="14"/>
  <c r="P1000" i="21"/>
  <c r="U923" i="21"/>
  <c r="U948" i="21"/>
  <c r="U755" i="21"/>
  <c r="U706" i="21"/>
  <c r="C287" i="14"/>
  <c r="U756" i="21"/>
  <c r="P888" i="21"/>
  <c r="R952" i="21"/>
  <c r="E580" i="21"/>
  <c r="U683" i="21"/>
  <c r="V877" i="21"/>
  <c r="C26" i="9"/>
  <c r="S886" i="21"/>
  <c r="R971" i="21"/>
  <c r="P871" i="21"/>
  <c r="P966" i="21"/>
  <c r="E249" i="9"/>
  <c r="S880" i="21"/>
  <c r="U968" i="21"/>
  <c r="G998" i="21"/>
  <c r="S876" i="21"/>
  <c r="R988" i="21"/>
  <c r="S971" i="21"/>
  <c r="B761" i="21"/>
  <c r="Q931" i="21"/>
  <c r="U966" i="21"/>
  <c r="U935" i="21"/>
  <c r="R923" i="21"/>
  <c r="R879" i="21"/>
  <c r="U686" i="21"/>
  <c r="C999" i="21"/>
  <c r="E278" i="9"/>
  <c r="P957" i="21"/>
  <c r="E280" i="9"/>
  <c r="U886" i="21"/>
  <c r="U891" i="21"/>
  <c r="S893" i="21"/>
  <c r="F999" i="21"/>
  <c r="S990" i="21"/>
  <c r="E577" i="21"/>
  <c r="E238" i="9"/>
  <c r="C767" i="21"/>
  <c r="C264" i="14"/>
  <c r="E291" i="9"/>
  <c r="C255" i="14"/>
  <c r="V886" i="21"/>
  <c r="P993" i="21"/>
  <c r="T987" i="21"/>
  <c r="U689" i="21"/>
  <c r="P929" i="21"/>
  <c r="R891" i="21"/>
  <c r="Q957" i="21"/>
  <c r="E272" i="9"/>
  <c r="U984" i="21"/>
  <c r="E248" i="9"/>
  <c r="S1002" i="21"/>
  <c r="R892" i="21"/>
  <c r="E578" i="21"/>
  <c r="D772" i="21"/>
  <c r="U942" i="21"/>
  <c r="T982" i="21"/>
  <c r="E266" i="9"/>
  <c r="D299" i="9"/>
  <c r="V889" i="21"/>
  <c r="S966" i="21"/>
  <c r="P942" i="21"/>
  <c r="P879" i="21"/>
  <c r="C311" i="14"/>
  <c r="E23" i="14"/>
  <c r="S931" i="21"/>
  <c r="D765" i="21"/>
  <c r="Q938" i="21"/>
  <c r="P935" i="21"/>
  <c r="D26" i="9"/>
  <c r="Q948" i="21"/>
  <c r="C281" i="14"/>
  <c r="E286" i="9"/>
  <c r="P985" i="21"/>
  <c r="E276" i="9"/>
  <c r="R924" i="21"/>
  <c r="C301" i="14"/>
  <c r="C283" i="14"/>
  <c r="R895" i="21"/>
  <c r="C256" i="14"/>
  <c r="P869" i="21"/>
  <c r="R981" i="21"/>
  <c r="Q878" i="21"/>
  <c r="E268" i="9"/>
  <c r="S877" i="21"/>
  <c r="C243" i="14"/>
  <c r="B892" i="21"/>
  <c r="R929" i="21"/>
  <c r="S957" i="21"/>
  <c r="D998" i="21"/>
  <c r="U976" i="21"/>
  <c r="U737" i="21"/>
  <c r="V874" i="21"/>
  <c r="U995" i="21"/>
  <c r="B575" i="21"/>
  <c r="Q955" i="21"/>
  <c r="U939" i="21"/>
  <c r="Q890" i="21"/>
  <c r="D297" i="9"/>
  <c r="T874" i="21"/>
  <c r="E295" i="9"/>
  <c r="P953" i="21"/>
  <c r="V880" i="21"/>
  <c r="V879" i="21"/>
  <c r="U704" i="21"/>
  <c r="Q870" i="21"/>
  <c r="S944" i="21"/>
  <c r="Q977" i="21"/>
  <c r="Q976" i="21"/>
  <c r="C765" i="21"/>
  <c r="R945" i="21"/>
  <c r="S938" i="21"/>
  <c r="P983" i="21"/>
  <c r="D578" i="21"/>
  <c r="T875" i="21"/>
  <c r="E254" i="9"/>
  <c r="R987" i="21"/>
  <c r="P978" i="21"/>
  <c r="P875" i="21"/>
  <c r="S1001" i="21"/>
  <c r="R877" i="21"/>
  <c r="U951" i="21"/>
  <c r="S935" i="21"/>
  <c r="S975" i="21"/>
  <c r="C308" i="14"/>
  <c r="P954" i="21"/>
  <c r="D769" i="21"/>
  <c r="C1033" i="21"/>
  <c r="P939" i="21"/>
  <c r="C289" i="14"/>
  <c r="S998" i="21"/>
  <c r="R954" i="21"/>
  <c r="E258" i="9"/>
  <c r="R935" i="21"/>
  <c r="V892" i="21"/>
  <c r="U957" i="21"/>
  <c r="F21" i="9"/>
  <c r="C88" i="14"/>
  <c r="S871" i="21"/>
  <c r="C21" i="9"/>
  <c r="V882" i="21"/>
  <c r="V884" i="21"/>
  <c r="P951" i="21"/>
  <c r="U890" i="21"/>
  <c r="C306" i="14"/>
  <c r="S980" i="21"/>
  <c r="P873" i="21"/>
  <c r="U720" i="21"/>
  <c r="C580" i="21"/>
  <c r="U697" i="21"/>
  <c r="U727" i="21"/>
  <c r="E767" i="21"/>
  <c r="Q873" i="21"/>
  <c r="C309" i="14"/>
  <c r="P975" i="21"/>
  <c r="P927" i="21"/>
  <c r="Q975" i="21"/>
  <c r="C238" i="14"/>
  <c r="R926" i="21"/>
  <c r="R978" i="21"/>
  <c r="S878" i="21"/>
  <c r="B577" i="21"/>
  <c r="E298" i="9"/>
  <c r="S991" i="21"/>
  <c r="T993" i="21"/>
  <c r="C246" i="14"/>
  <c r="U952" i="21"/>
  <c r="R995" i="21"/>
  <c r="T873" i="21"/>
  <c r="E235" i="9"/>
  <c r="Q993" i="21"/>
  <c r="E23" i="9"/>
  <c r="E250" i="9"/>
  <c r="U729" i="21"/>
  <c r="R974" i="21"/>
  <c r="P876" i="21"/>
  <c r="S884" i="21"/>
  <c r="V893" i="21"/>
  <c r="U740" i="21"/>
  <c r="U933" i="21"/>
  <c r="P976" i="21"/>
  <c r="U736" i="21"/>
  <c r="E264" i="9"/>
  <c r="U726" i="21"/>
  <c r="Q880" i="21"/>
  <c r="S978" i="21"/>
  <c r="U732" i="21"/>
  <c r="U894" i="21"/>
  <c r="B998" i="21"/>
  <c r="R1002" i="21"/>
  <c r="C769" i="21"/>
  <c r="T892" i="21"/>
  <c r="S988" i="21"/>
  <c r="U745" i="21"/>
  <c r="D891" i="21"/>
  <c r="Q974" i="21"/>
  <c r="Q893" i="21"/>
  <c r="E576" i="21"/>
  <c r="U949" i="21"/>
  <c r="P894" i="21"/>
  <c r="R965" i="21"/>
  <c r="P995" i="21"/>
  <c r="U965" i="21"/>
  <c r="R955" i="21"/>
  <c r="E253" i="9"/>
  <c r="D24" i="9"/>
  <c r="B766" i="21"/>
  <c r="C297" i="14"/>
  <c r="C276" i="14"/>
  <c r="U922" i="21"/>
  <c r="Q922" i="21"/>
  <c r="S883" i="21"/>
  <c r="U895" i="21"/>
  <c r="C27" i="9"/>
  <c r="U893" i="21"/>
  <c r="T889" i="21"/>
  <c r="R997" i="21"/>
  <c r="V894" i="21"/>
  <c r="R996" i="21"/>
  <c r="C286" i="14"/>
  <c r="Q968" i="21"/>
  <c r="U753" i="21"/>
  <c r="C253" i="14"/>
  <c r="T998" i="21"/>
  <c r="S954" i="21"/>
  <c r="U981" i="21"/>
  <c r="C300" i="14"/>
  <c r="E245" i="9"/>
  <c r="E761" i="21"/>
  <c r="B764" i="21"/>
  <c r="D579" i="21"/>
  <c r="P865" i="21"/>
  <c r="C247" i="14"/>
  <c r="P892" i="21"/>
  <c r="T985" i="21"/>
  <c r="U881" i="21"/>
  <c r="P890" i="21"/>
  <c r="C579" i="21"/>
  <c r="U978" i="21"/>
  <c r="U750" i="21"/>
  <c r="Q1001" i="21"/>
  <c r="U967" i="21"/>
  <c r="R989" i="21"/>
  <c r="S881" i="21"/>
  <c r="C282" i="14"/>
  <c r="S997" i="21"/>
  <c r="P880" i="21"/>
  <c r="U971" i="21"/>
  <c r="E277" i="9"/>
  <c r="U731" i="21"/>
  <c r="U989" i="21"/>
  <c r="U695" i="21"/>
  <c r="U982" i="21"/>
  <c r="U884" i="21"/>
  <c r="D575" i="21"/>
  <c r="E765" i="21"/>
  <c r="S999" i="21"/>
  <c r="S973" i="21"/>
  <c r="U691" i="21"/>
  <c r="V868" i="21"/>
  <c r="R1001" i="21"/>
  <c r="C279" i="14"/>
  <c r="U693" i="21"/>
  <c r="C761" i="21"/>
  <c r="U876" i="21"/>
  <c r="Q952" i="21"/>
  <c r="V871" i="21"/>
  <c r="E575" i="21"/>
  <c r="B578" i="21"/>
  <c r="T878" i="21"/>
  <c r="D768" i="21"/>
  <c r="C278" i="14"/>
  <c r="C296" i="14"/>
  <c r="T880" i="21"/>
  <c r="U945" i="21"/>
  <c r="P973" i="21"/>
  <c r="P933" i="21"/>
  <c r="S976" i="21"/>
  <c r="C575" i="21"/>
  <c r="S937" i="21"/>
  <c r="T986" i="21"/>
  <c r="C236" i="14"/>
  <c r="C284" i="14"/>
  <c r="U990" i="21"/>
  <c r="Q926" i="21"/>
  <c r="F27" i="9"/>
  <c r="R886" i="21"/>
  <c r="E26" i="9"/>
  <c r="Q998" i="21"/>
  <c r="U696" i="21"/>
  <c r="Q879" i="21"/>
  <c r="Q987" i="21"/>
  <c r="Q966" i="21"/>
  <c r="P884" i="21"/>
  <c r="T890" i="21"/>
  <c r="D320" i="9"/>
  <c r="R870" i="21"/>
  <c r="S874" i="21"/>
  <c r="C241" i="14"/>
  <c r="Q892" i="21"/>
  <c r="C302" i="14"/>
  <c r="E252" i="9"/>
  <c r="Q936" i="21"/>
  <c r="U679" i="21"/>
  <c r="P889" i="21"/>
  <c r="R881" i="21"/>
  <c r="P987" i="21"/>
  <c r="B999" i="21"/>
  <c r="E256" i="9"/>
  <c r="P971" i="21"/>
  <c r="R968" i="21"/>
  <c r="U985" i="21"/>
  <c r="D295" i="9"/>
  <c r="R977" i="21"/>
  <c r="P886" i="21"/>
  <c r="B772" i="21"/>
  <c r="S891" i="21"/>
  <c r="U943" i="21"/>
  <c r="B579" i="21"/>
  <c r="P941" i="21"/>
  <c r="Q937" i="21"/>
  <c r="S993" i="21"/>
  <c r="Q996" i="21"/>
  <c r="F26" i="9"/>
  <c r="R993" i="21"/>
  <c r="P945" i="21"/>
  <c r="P943" i="21"/>
  <c r="S927" i="21"/>
  <c r="R938" i="21"/>
  <c r="Q981" i="21"/>
  <c r="T881" i="21"/>
  <c r="C762" i="21"/>
  <c r="P882" i="21"/>
  <c r="R990" i="21"/>
  <c r="C294" i="14"/>
  <c r="Q944" i="21"/>
  <c r="Q991" i="21"/>
  <c r="S873" i="21"/>
  <c r="U721" i="21"/>
  <c r="R984" i="21"/>
  <c r="E769" i="21"/>
  <c r="R953" i="21"/>
  <c r="S889" i="21"/>
  <c r="E292" i="9"/>
  <c r="U998" i="21"/>
  <c r="B762" i="21"/>
  <c r="E246" i="9"/>
  <c r="E281" i="9"/>
  <c r="R949" i="21"/>
  <c r="C254" i="14"/>
  <c r="Q894" i="21"/>
  <c r="U728" i="21"/>
  <c r="P968" i="21"/>
  <c r="C242" i="14"/>
  <c r="R880" i="21"/>
  <c r="S986" i="21"/>
  <c r="T891" i="21"/>
  <c r="C295" i="14"/>
  <c r="C244" i="14"/>
  <c r="E771" i="21"/>
  <c r="S965" i="21"/>
  <c r="Q923" i="21"/>
  <c r="U973" i="21"/>
  <c r="T870" i="21"/>
  <c r="Q954" i="21"/>
  <c r="Q867" i="21"/>
  <c r="Q945" i="21"/>
  <c r="U926" i="21"/>
  <c r="R939" i="21"/>
  <c r="T893" i="21"/>
  <c r="E284" i="9"/>
  <c r="P989" i="21"/>
  <c r="U924" i="21"/>
  <c r="D319" i="9"/>
  <c r="E267" i="9"/>
  <c r="Q929" i="21"/>
  <c r="P997" i="21"/>
  <c r="V876" i="21"/>
  <c r="Q989" i="21"/>
  <c r="R973" i="21"/>
  <c r="H754" i="21"/>
  <c r="S982" i="21"/>
  <c r="Q942" i="21"/>
  <c r="B769" i="21"/>
  <c r="Q973" i="21"/>
  <c r="U931" i="21"/>
  <c r="U705" i="21"/>
  <c r="R983" i="21"/>
  <c r="E288" i="9"/>
  <c r="U955" i="21"/>
  <c r="U754" i="21"/>
  <c r="E768" i="21"/>
  <c r="E285" i="9"/>
  <c r="E282" i="9"/>
  <c r="Q985" i="21"/>
  <c r="Q941" i="21"/>
  <c r="U747" i="21"/>
  <c r="E770" i="21"/>
  <c r="E21" i="9"/>
  <c r="S967" i="21"/>
  <c r="T876" i="21"/>
  <c r="Q965" i="21"/>
  <c r="E255" i="9"/>
  <c r="E296" i="9"/>
  <c r="C764" i="21"/>
  <c r="S923" i="21"/>
  <c r="U685" i="21"/>
  <c r="Q967" i="21"/>
  <c r="U937" i="21"/>
  <c r="S941" i="21"/>
  <c r="C577" i="21"/>
  <c r="C235" i="14"/>
  <c r="E999" i="21"/>
  <c r="Q895" i="21"/>
  <c r="Q871" i="21"/>
  <c r="S974" i="21"/>
  <c r="U1002" i="21"/>
  <c r="P991" i="21"/>
  <c r="C266" i="14"/>
  <c r="T877" i="21"/>
  <c r="U741" i="21"/>
  <c r="D300" i="9"/>
  <c r="P863" i="21"/>
  <c r="R922" i="21"/>
  <c r="C273" i="14"/>
  <c r="U734" i="21"/>
  <c r="U938" i="21"/>
  <c r="Q933" i="21"/>
  <c r="R889" i="21"/>
  <c r="E290" i="9"/>
  <c r="E762" i="21"/>
  <c r="C576" i="21"/>
  <c r="S985" i="21"/>
  <c r="R888" i="21"/>
  <c r="U889" i="21"/>
  <c r="C240" i="14"/>
  <c r="C310" i="9"/>
  <c r="U927" i="21"/>
  <c r="Q886" i="21"/>
  <c r="U739" i="21"/>
  <c r="Q972" i="21"/>
  <c r="E270" i="9"/>
  <c r="U954" i="21"/>
  <c r="U742" i="21"/>
  <c r="U996" i="21"/>
  <c r="T888" i="21"/>
  <c r="P999" i="21"/>
  <c r="P982" i="21"/>
  <c r="T988" i="21"/>
  <c r="S981" i="21"/>
  <c r="U698" i="21"/>
  <c r="Q881" i="21"/>
  <c r="E88" i="14"/>
  <c r="C291" i="14"/>
  <c r="P936" i="21"/>
  <c r="U688" i="21"/>
  <c r="P874" i="21"/>
  <c r="B765" i="21"/>
  <c r="I92" i="14"/>
  <c r="P980" i="21"/>
  <c r="Q978" i="21"/>
  <c r="Q935" i="21"/>
  <c r="F891" i="21"/>
  <c r="P922" i="21"/>
  <c r="T867" i="21"/>
  <c r="D999" i="21"/>
  <c r="P986" i="21"/>
  <c r="C766" i="21"/>
  <c r="S972" i="21"/>
  <c r="B768" i="21"/>
  <c r="S866" i="21"/>
  <c r="U991" i="21"/>
  <c r="Q888" i="21"/>
  <c r="V881" i="21"/>
  <c r="T1002" i="21"/>
  <c r="U880" i="21"/>
  <c r="E1033" i="21"/>
  <c r="E242" i="9"/>
  <c r="Q868" i="21"/>
  <c r="R937" i="21"/>
  <c r="U702" i="21"/>
  <c r="R1000" i="21"/>
  <c r="R882" i="21"/>
  <c r="P988" i="21"/>
  <c r="S955" i="21"/>
  <c r="Q883" i="21"/>
  <c r="S970" i="21"/>
  <c r="P895" i="21"/>
  <c r="V815" i="21"/>
  <c r="R868" i="21"/>
  <c r="P972" i="21"/>
  <c r="E579" i="21"/>
  <c r="Q983" i="21"/>
  <c r="Q877" i="21"/>
  <c r="C312" i="14"/>
  <c r="S987" i="21"/>
  <c r="T894" i="21"/>
  <c r="U882" i="21"/>
  <c r="C293" i="14"/>
  <c r="S949" i="21"/>
  <c r="U709" i="21"/>
  <c r="V869" i="21"/>
  <c r="U941" i="21"/>
  <c r="S865" i="21"/>
  <c r="U682" i="21"/>
  <c r="D580" i="21"/>
  <c r="R942" i="21"/>
  <c r="P937" i="21"/>
  <c r="U974" i="21"/>
  <c r="B767" i="21"/>
  <c r="E293" i="9"/>
  <c r="R970" i="21"/>
  <c r="E263" i="9"/>
  <c r="C578" i="21"/>
  <c r="E251" i="9"/>
  <c r="U744" i="21"/>
  <c r="P970" i="21"/>
  <c r="E892" i="21"/>
  <c r="Q986" i="21"/>
  <c r="E760" i="21"/>
  <c r="P938" i="21"/>
  <c r="R976" i="21"/>
  <c r="D576" i="21"/>
  <c r="S943" i="21"/>
  <c r="V873" i="21"/>
  <c r="T815" i="21"/>
  <c r="P977" i="21"/>
  <c r="U953" i="21"/>
  <c r="J92" i="14"/>
  <c r="C770" i="21"/>
  <c r="V883" i="21"/>
  <c r="C313" i="14"/>
  <c r="U980" i="21"/>
  <c r="E241" i="9"/>
  <c r="Q884" i="21"/>
  <c r="T991" i="21"/>
  <c r="U678" i="21"/>
  <c r="S945" i="21"/>
  <c r="E259" i="9"/>
  <c r="E297" i="9"/>
  <c r="P948" i="21"/>
  <c r="V895" i="21"/>
  <c r="T886" i="21"/>
  <c r="Q971" i="21"/>
  <c r="R890" i="21"/>
  <c r="T989" i="21"/>
  <c r="R975" i="21"/>
  <c r="P878" i="21"/>
  <c r="D892" i="21"/>
  <c r="Q997" i="21"/>
  <c r="U681" i="21"/>
  <c r="T871" i="21"/>
  <c r="Q939" i="21"/>
  <c r="B763" i="21"/>
  <c r="F892" i="21"/>
  <c r="S953" i="21"/>
  <c r="U972" i="21"/>
  <c r="T884" i="21"/>
  <c r="Q995" i="21"/>
  <c r="D577" i="21"/>
  <c r="R871" i="21"/>
  <c r="D23" i="14"/>
  <c r="D760" i="21"/>
  <c r="C23" i="14"/>
  <c r="S995" i="21"/>
  <c r="U724" i="21"/>
  <c r="S890" i="21"/>
  <c r="T868" i="21"/>
  <c r="T996" i="21"/>
  <c r="U944" i="21"/>
  <c r="F1033" i="21"/>
  <c r="C277" i="14"/>
  <c r="S875" i="21"/>
  <c r="U701" i="21"/>
  <c r="T999" i="21"/>
  <c r="S869" i="21"/>
  <c r="C760" i="21"/>
  <c r="R957" i="21"/>
  <c r="U730" i="21"/>
  <c r="U993" i="21"/>
  <c r="P931" i="21"/>
  <c r="E240" i="9"/>
  <c r="F998" i="21"/>
  <c r="U983" i="21"/>
  <c r="E998" i="21"/>
  <c r="C259" i="14"/>
  <c r="S936" i="21"/>
  <c r="E239" i="9"/>
  <c r="H892" i="21"/>
  <c r="S922" i="21"/>
  <c r="D767" i="21"/>
  <c r="E265" i="9"/>
  <c r="C233" i="14"/>
  <c r="U725" i="21"/>
  <c r="S894" i="21"/>
  <c r="P1001" i="21"/>
  <c r="S984" i="21"/>
  <c r="E271" i="9"/>
  <c r="R869" i="21"/>
  <c r="C268" i="14"/>
  <c r="V870" i="21"/>
  <c r="E287" i="9"/>
  <c r="U716" i="21"/>
  <c r="C768" i="21"/>
  <c r="R873" i="21"/>
  <c r="C245" i="14"/>
  <c r="S948" i="21"/>
  <c r="D21" i="9"/>
  <c r="U703" i="21"/>
  <c r="C288" i="14"/>
  <c r="Q882" i="21"/>
  <c r="R893" i="21"/>
  <c r="V888" i="21"/>
  <c r="C310" i="14"/>
  <c r="V878" i="21"/>
  <c r="U677" i="21"/>
  <c r="R931" i="21"/>
  <c r="R927" i="21"/>
  <c r="F1037" i="21"/>
  <c r="P867" i="21"/>
  <c r="V875" i="21"/>
  <c r="U749" i="21"/>
  <c r="U987" i="21"/>
  <c r="P949" i="21"/>
  <c r="Q984" i="21"/>
  <c r="U888" i="21"/>
  <c r="C891" i="21"/>
  <c r="E294" i="9"/>
  <c r="P864" i="21"/>
  <c r="U690" i="21"/>
  <c r="F1035" i="21"/>
  <c r="B771" i="21"/>
  <c r="C773" i="21"/>
  <c r="E275" i="9"/>
  <c r="U975" i="21"/>
  <c r="C892" i="21"/>
  <c r="E273" i="9"/>
  <c r="D298" i="9"/>
  <c r="C23" i="9"/>
  <c r="Q1039" i="21"/>
  <c r="C998" i="21"/>
  <c r="B760" i="21"/>
  <c r="D763" i="21"/>
  <c r="R875" i="21"/>
  <c r="U684" i="21"/>
  <c r="T1001" i="21"/>
  <c r="S882" i="21"/>
  <c r="U877" i="21"/>
  <c r="S977" i="21"/>
  <c r="E274" i="9"/>
  <c r="P877" i="21"/>
  <c r="Q889" i="21"/>
  <c r="D23" i="9"/>
  <c r="E234" i="9"/>
  <c r="P981" i="21"/>
  <c r="R933" i="21"/>
  <c r="S1000" i="21"/>
  <c r="U707" i="21"/>
  <c r="F23" i="9"/>
  <c r="U1000" i="21"/>
  <c r="P866" i="21"/>
  <c r="E269" i="9"/>
  <c r="Q953" i="21"/>
  <c r="S863" i="21"/>
  <c r="P891" i="21"/>
  <c r="Q982" i="21"/>
  <c r="S929" i="21"/>
  <c r="S924" i="21"/>
  <c r="P952" i="21"/>
  <c r="U879" i="21"/>
  <c r="E247" i="9"/>
  <c r="C265" i="14"/>
  <c r="E237" i="9"/>
  <c r="P1002" i="21"/>
  <c r="H891" i="21"/>
  <c r="Q988" i="21"/>
  <c r="U988" i="21"/>
  <c r="T984" i="21"/>
  <c r="E891" i="21"/>
  <c r="V867" i="21"/>
  <c r="T895" i="21"/>
  <c r="Q874" i="21"/>
  <c r="C239" i="14"/>
  <c r="R951" i="21"/>
  <c r="D771" i="21"/>
  <c r="U719" i="21"/>
  <c r="R944" i="21"/>
  <c r="R883" i="21"/>
  <c r="D88" i="14"/>
  <c r="Q990" i="21"/>
  <c r="R894" i="21"/>
  <c r="C307" i="14"/>
  <c r="R972" i="21"/>
  <c r="U752" i="21"/>
  <c r="U997" i="21"/>
  <c r="S968" i="21"/>
  <c r="P996" i="21"/>
  <c r="Q869" i="21"/>
  <c r="R999" i="21"/>
  <c r="E289" i="9"/>
  <c r="R982" i="21"/>
  <c r="U892" i="21"/>
  <c r="E236" i="9"/>
  <c r="U743" i="21"/>
  <c r="Q1002" i="21"/>
  <c r="P998" i="21"/>
  <c r="S926" i="21"/>
  <c r="K92" i="14"/>
  <c r="I91" i="11" l="1"/>
  <c r="M91" i="11" s="1"/>
  <c r="W985" i="21"/>
  <c r="W993" i="21"/>
  <c r="W933" i="21"/>
  <c r="V957" i="21"/>
  <c r="X870" i="21"/>
  <c r="V966" i="21"/>
  <c r="X873" i="21"/>
  <c r="W893" i="21"/>
  <c r="V987" i="21"/>
  <c r="Y868" i="21"/>
  <c r="Z868" i="21"/>
  <c r="Z866" i="21"/>
  <c r="Y866" i="21"/>
  <c r="W954" i="21"/>
  <c r="K891" i="21"/>
  <c r="L891" i="21"/>
  <c r="V980" i="21"/>
  <c r="X893" i="21"/>
  <c r="Y867" i="21"/>
  <c r="Z867" i="21"/>
  <c r="W937" i="21"/>
  <c r="X888" i="21"/>
  <c r="Y865" i="21"/>
  <c r="Z865" i="21"/>
  <c r="Y884" i="21"/>
  <c r="Z884" i="21"/>
  <c r="V955" i="21"/>
  <c r="W973" i="21"/>
  <c r="W869" i="21"/>
  <c r="X894" i="21"/>
  <c r="W868" i="21"/>
  <c r="V968" i="21"/>
  <c r="V999" i="21"/>
  <c r="W891" i="21"/>
  <c r="W966" i="21"/>
  <c r="W929" i="21"/>
  <c r="W945" i="21"/>
  <c r="S1156" i="21"/>
  <c r="S1084" i="21"/>
  <c r="S1144" i="21"/>
  <c r="S1072" i="21"/>
  <c r="S1120" i="21"/>
  <c r="S1108" i="21"/>
  <c r="S1132" i="21"/>
  <c r="S1096" i="21"/>
  <c r="V929" i="21"/>
  <c r="V981" i="21"/>
  <c r="W883" i="21"/>
  <c r="V991" i="21"/>
  <c r="W926" i="21"/>
  <c r="W871" i="21"/>
  <c r="V993" i="21"/>
  <c r="J892" i="21"/>
  <c r="V974" i="21"/>
  <c r="V923" i="21"/>
  <c r="Z893" i="21"/>
  <c r="Y893" i="21"/>
  <c r="W875" i="21"/>
  <c r="X867" i="21"/>
  <c r="W886" i="21"/>
  <c r="H998" i="21"/>
  <c r="V951" i="21"/>
  <c r="V985" i="21"/>
  <c r="W936" i="21"/>
  <c r="Y886" i="21"/>
  <c r="Z886" i="21"/>
  <c r="W982" i="21"/>
  <c r="W884" i="21"/>
  <c r="W977" i="21"/>
  <c r="V983" i="21"/>
  <c r="J891" i="21"/>
  <c r="V989" i="21"/>
  <c r="V931" i="21"/>
  <c r="V939" i="21"/>
  <c r="V977" i="21"/>
  <c r="W867" i="21"/>
  <c r="W978" i="21"/>
  <c r="W870" i="21"/>
  <c r="W989" i="21"/>
  <c r="W986" i="21"/>
  <c r="W998" i="21"/>
  <c r="V997" i="21"/>
  <c r="V938" i="21"/>
  <c r="X877" i="21"/>
  <c r="W951" i="21"/>
  <c r="W880" i="21"/>
  <c r="V986" i="21"/>
  <c r="W976" i="21"/>
  <c r="W878" i="21"/>
  <c r="V970" i="21"/>
  <c r="X883" i="21"/>
  <c r="V937" i="21"/>
  <c r="W949" i="21"/>
  <c r="V926" i="21"/>
  <c r="W1002" i="21"/>
  <c r="V1000" i="21"/>
  <c r="X881" i="21"/>
  <c r="V941" i="21"/>
  <c r="W968" i="21"/>
  <c r="V1002" i="21"/>
  <c r="V988" i="21"/>
  <c r="W999" i="21"/>
  <c r="Y875" i="21"/>
  <c r="Z875" i="21"/>
  <c r="W894" i="21"/>
  <c r="W927" i="21"/>
  <c r="V975" i="21"/>
  <c r="W967" i="21"/>
  <c r="V927" i="21"/>
  <c r="V936" i="21"/>
  <c r="X868" i="21"/>
  <c r="Y871" i="21"/>
  <c r="Z871" i="21"/>
  <c r="V990" i="21"/>
  <c r="W980" i="21"/>
  <c r="W948" i="21"/>
  <c r="I998" i="21"/>
  <c r="W944" i="21"/>
  <c r="V982" i="21"/>
  <c r="W1090" i="21"/>
  <c r="W1138" i="21"/>
  <c r="W1114" i="21"/>
  <c r="K93" i="14"/>
  <c r="W1102" i="21"/>
  <c r="W1126" i="21"/>
  <c r="W1078" i="21"/>
  <c r="W1150" i="21"/>
  <c r="V954" i="21"/>
  <c r="W975" i="21"/>
  <c r="W873" i="21"/>
  <c r="Y889" i="21"/>
  <c r="Z889" i="21"/>
  <c r="V933" i="21"/>
  <c r="X869" i="21"/>
  <c r="V935" i="21"/>
  <c r="W922" i="21"/>
  <c r="W882" i="21"/>
  <c r="V967" i="21"/>
  <c r="W890" i="21"/>
  <c r="X892" i="21"/>
  <c r="W990" i="21"/>
  <c r="W1113" i="21"/>
  <c r="J93" i="14"/>
  <c r="W1089" i="21"/>
  <c r="W1101" i="21"/>
  <c r="W1149" i="21"/>
  <c r="W1125" i="21"/>
  <c r="W1077" i="21"/>
  <c r="W1137" i="21"/>
  <c r="Z880" i="21"/>
  <c r="Y880" i="21"/>
  <c r="V922" i="21"/>
  <c r="V976" i="21"/>
  <c r="W879" i="21"/>
  <c r="Q1040" i="21"/>
  <c r="Q1055" i="21" s="1"/>
  <c r="W942" i="21"/>
  <c r="V998" i="21"/>
  <c r="W939" i="21"/>
  <c r="X874" i="21"/>
  <c r="V944" i="21"/>
  <c r="V996" i="21"/>
  <c r="W888" i="21"/>
  <c r="H999" i="21"/>
  <c r="W991" i="21"/>
  <c r="X876" i="21"/>
  <c r="Z890" i="21"/>
  <c r="Y890" i="21"/>
  <c r="X879" i="21"/>
  <c r="S1142" i="21"/>
  <c r="S1082" i="21"/>
  <c r="S1106" i="21"/>
  <c r="S1130" i="21"/>
  <c r="S1118" i="21"/>
  <c r="S1070" i="21"/>
  <c r="S1154" i="21"/>
  <c r="S1094" i="21"/>
  <c r="Z876" i="21"/>
  <c r="Y876" i="21"/>
  <c r="W877" i="21"/>
  <c r="Y877" i="21"/>
  <c r="Z877" i="21"/>
  <c r="V952" i="21"/>
  <c r="V995" i="21"/>
  <c r="W935" i="21"/>
  <c r="W983" i="21"/>
  <c r="Y869" i="21"/>
  <c r="Z869" i="21"/>
  <c r="Z892" i="21"/>
  <c r="Y892" i="21"/>
  <c r="Y873" i="21"/>
  <c r="Z873" i="21"/>
  <c r="X884" i="21"/>
  <c r="W988" i="21"/>
  <c r="S1071" i="21"/>
  <c r="S1155" i="21"/>
  <c r="S1107" i="21"/>
  <c r="S1095" i="21"/>
  <c r="S1083" i="21"/>
  <c r="S1131" i="21"/>
  <c r="S1143" i="21"/>
  <c r="S1119" i="21"/>
  <c r="W957" i="21"/>
  <c r="W1001" i="21"/>
  <c r="W971" i="21"/>
  <c r="W955" i="21"/>
  <c r="W984" i="21"/>
  <c r="Y874" i="21"/>
  <c r="Z874" i="21"/>
  <c r="W874" i="21"/>
  <c r="I892" i="21"/>
  <c r="W965" i="21"/>
  <c r="Y888" i="21"/>
  <c r="Z888" i="21"/>
  <c r="W931" i="21"/>
  <c r="W889" i="21"/>
  <c r="V945" i="21"/>
  <c r="V953" i="21"/>
  <c r="V978" i="21"/>
  <c r="W892" i="21"/>
  <c r="Z878" i="21"/>
  <c r="Y878" i="21"/>
  <c r="I891" i="21"/>
  <c r="W974" i="21"/>
  <c r="Z863" i="21"/>
  <c r="Y863" i="21"/>
  <c r="W1000" i="21"/>
  <c r="Z891" i="21"/>
  <c r="Y891" i="21"/>
  <c r="Y895" i="21"/>
  <c r="Z895" i="21"/>
  <c r="Y883" i="21"/>
  <c r="Z883" i="21"/>
  <c r="Z894" i="21"/>
  <c r="Y894" i="21"/>
  <c r="W895" i="21"/>
  <c r="Y881" i="21"/>
  <c r="Z881" i="21"/>
  <c r="W941" i="21"/>
  <c r="X890" i="21"/>
  <c r="X880" i="21"/>
  <c r="I999" i="21"/>
  <c r="W943" i="21"/>
  <c r="X882" i="21"/>
  <c r="X878" i="21"/>
  <c r="V1001" i="21"/>
  <c r="V943" i="21"/>
  <c r="W970" i="21"/>
  <c r="V948" i="21"/>
  <c r="W953" i="21"/>
  <c r="W1088" i="21"/>
  <c r="I93" i="14"/>
  <c r="W1136" i="21"/>
  <c r="W1100" i="21"/>
  <c r="W1112" i="21"/>
  <c r="W1076" i="21"/>
  <c r="W1124" i="21"/>
  <c r="W1148" i="21"/>
  <c r="V942" i="21"/>
  <c r="V971" i="21"/>
  <c r="W995" i="21"/>
  <c r="V965" i="21"/>
  <c r="W924" i="21"/>
  <c r="W997" i="21"/>
  <c r="Z864" i="21"/>
  <c r="Y864" i="21"/>
  <c r="W987" i="21"/>
  <c r="X889" i="21"/>
  <c r="X875" i="21"/>
  <c r="Y879" i="21"/>
  <c r="Z879" i="21"/>
  <c r="Y882" i="21"/>
  <c r="Z882" i="21"/>
  <c r="X891" i="21"/>
  <c r="W923" i="21"/>
  <c r="V949" i="21"/>
  <c r="W996" i="21"/>
  <c r="V984" i="21"/>
  <c r="Z870" i="21"/>
  <c r="Y870" i="21"/>
  <c r="W981" i="21"/>
  <c r="W881" i="21"/>
  <c r="X886" i="21"/>
  <c r="V973" i="21"/>
  <c r="X871" i="21"/>
  <c r="W938" i="21"/>
  <c r="L892" i="21"/>
  <c r="K892" i="21"/>
  <c r="V924" i="21"/>
  <c r="W952" i="21"/>
  <c r="W876" i="21"/>
  <c r="X895" i="21"/>
  <c r="B582" i="21"/>
  <c r="I91" i="13"/>
  <c r="M91" i="13" s="1"/>
  <c r="I93" i="12"/>
  <c r="M93" i="12" s="1"/>
  <c r="I92" i="12"/>
  <c r="AE93" i="5"/>
  <c r="K93" i="5" s="1"/>
  <c r="K91" i="6"/>
  <c r="M91" i="6" s="1"/>
  <c r="F91" i="6" s="1"/>
  <c r="D91" i="6" s="1"/>
  <c r="AF93" i="7"/>
  <c r="K93" i="7" s="1"/>
  <c r="Y93" i="7"/>
  <c r="X93" i="7"/>
  <c r="Z91" i="8"/>
  <c r="AA91" i="8"/>
  <c r="AE91" i="5"/>
  <c r="K91" i="5" s="1"/>
  <c r="Z93" i="8"/>
  <c r="AA93" i="8"/>
  <c r="X93" i="5"/>
  <c r="Y91" i="7"/>
  <c r="AF91" i="7"/>
  <c r="K91" i="7" s="1"/>
  <c r="X91" i="7"/>
  <c r="X92" i="5"/>
  <c r="K93" i="6"/>
  <c r="M93" i="6" s="1"/>
  <c r="F93" i="6" s="1"/>
  <c r="D93" i="6" s="1"/>
  <c r="AE92" i="5"/>
  <c r="K92" i="5" s="1"/>
  <c r="X91" i="5"/>
  <c r="I91" i="12"/>
  <c r="K92" i="6"/>
  <c r="M92" i="6" s="1"/>
  <c r="F92" i="6" s="1"/>
  <c r="D92" i="6" s="1"/>
  <c r="AF92" i="7"/>
  <c r="K92" i="7" s="1"/>
  <c r="Y92" i="7"/>
  <c r="X92" i="7"/>
  <c r="Z92" i="8"/>
  <c r="AA92" i="8"/>
  <c r="W972" i="21"/>
  <c r="V972" i="21"/>
  <c r="X67" i="5"/>
  <c r="D582" i="21"/>
  <c r="E582" i="21"/>
  <c r="C582" i="21"/>
  <c r="X7" i="5"/>
  <c r="J7" i="5" s="1"/>
  <c r="I67" i="8"/>
  <c r="AA67" i="8" s="1"/>
  <c r="I67" i="7"/>
  <c r="AH67" i="7" s="1"/>
  <c r="I67" i="6"/>
  <c r="AH81" i="5"/>
  <c r="L81" i="5" s="1"/>
  <c r="M59" i="8"/>
  <c r="F59" i="8" s="1"/>
  <c r="D59" i="8" s="1"/>
  <c r="Z69" i="8"/>
  <c r="AA69" i="8"/>
  <c r="X71" i="7"/>
  <c r="Y71" i="7"/>
  <c r="AF71" i="7"/>
  <c r="K71" i="7" s="1"/>
  <c r="Z70" i="8"/>
  <c r="AA70" i="8"/>
  <c r="AA71" i="8"/>
  <c r="Z71" i="8"/>
  <c r="K70" i="6"/>
  <c r="K73" i="6"/>
  <c r="M73" i="6" s="1"/>
  <c r="F73" i="6" s="1"/>
  <c r="D73" i="6" s="1"/>
  <c r="K69" i="6"/>
  <c r="M59" i="7"/>
  <c r="F59" i="7" s="1"/>
  <c r="D59" i="7" s="1"/>
  <c r="M66" i="7"/>
  <c r="F66" i="7" s="1"/>
  <c r="D66" i="7" s="1"/>
  <c r="Z68" i="8"/>
  <c r="AA68" i="8"/>
  <c r="M66" i="6"/>
  <c r="F66" i="6" s="1"/>
  <c r="D66" i="6" s="1"/>
  <c r="AA72" i="8"/>
  <c r="Z72" i="8"/>
  <c r="X70" i="7"/>
  <c r="AF70" i="7"/>
  <c r="K70" i="7" s="1"/>
  <c r="Y70" i="7"/>
  <c r="K68" i="6"/>
  <c r="M62" i="6"/>
  <c r="F62" i="6" s="1"/>
  <c r="D62" i="6" s="1"/>
  <c r="F62" i="7"/>
  <c r="D62" i="7" s="1"/>
  <c r="M66" i="8"/>
  <c r="F66" i="8" s="1"/>
  <c r="D66" i="8" s="1"/>
  <c r="X69" i="7"/>
  <c r="AF69" i="7"/>
  <c r="K69" i="7" s="1"/>
  <c r="Y69" i="7"/>
  <c r="M59" i="6"/>
  <c r="F59" i="6" s="1"/>
  <c r="D59" i="6" s="1"/>
  <c r="K71" i="6"/>
  <c r="K67" i="6"/>
  <c r="X72" i="7"/>
  <c r="AF72" i="7"/>
  <c r="K72" i="7" s="1"/>
  <c r="Y72" i="7"/>
  <c r="AF67" i="7"/>
  <c r="X68" i="7"/>
  <c r="Y68" i="7"/>
  <c r="AF68" i="7"/>
  <c r="K68" i="7" s="1"/>
  <c r="M62" i="8"/>
  <c r="F62" i="8" s="1"/>
  <c r="D62" i="8" s="1"/>
  <c r="X66" i="5"/>
  <c r="J66" i="5" s="1"/>
  <c r="J65" i="5"/>
  <c r="X19" i="5"/>
  <c r="J19" i="5" s="1"/>
  <c r="X43" i="5"/>
  <c r="J43" i="5" s="1"/>
  <c r="F59" i="5"/>
  <c r="X55" i="5"/>
  <c r="J55" i="5" s="1"/>
  <c r="X70" i="5"/>
  <c r="I67" i="5"/>
  <c r="K68" i="5"/>
  <c r="W68" i="5" s="1"/>
  <c r="J68" i="5" s="1"/>
  <c r="K69" i="5"/>
  <c r="W69" i="5" s="1"/>
  <c r="J69" i="5" s="1"/>
  <c r="K70" i="5"/>
  <c r="W70" i="5" s="1"/>
  <c r="X72" i="5"/>
  <c r="AE73" i="5"/>
  <c r="K73" i="5" s="1"/>
  <c r="W73" i="5" s="1"/>
  <c r="K71" i="5"/>
  <c r="W71" i="5" s="1"/>
  <c r="J71" i="5" s="1"/>
  <c r="AE72" i="5"/>
  <c r="K72" i="5" s="1"/>
  <c r="X73" i="5"/>
  <c r="F62" i="5"/>
  <c r="C870" i="21"/>
  <c r="G974" i="21"/>
  <c r="E870" i="21"/>
  <c r="F867" i="21"/>
  <c r="H867" i="21"/>
  <c r="B867" i="21"/>
  <c r="E974" i="21"/>
  <c r="C977" i="21"/>
  <c r="G977" i="21"/>
  <c r="F974" i="21"/>
  <c r="B870" i="21"/>
  <c r="E867" i="21"/>
  <c r="C286" i="9"/>
  <c r="F977" i="21"/>
  <c r="C867" i="21"/>
  <c r="D977" i="21"/>
  <c r="E22" i="14"/>
  <c r="B977" i="21"/>
  <c r="C22" i="14"/>
  <c r="H729" i="21"/>
  <c r="C87" i="14"/>
  <c r="H870" i="21"/>
  <c r="H732" i="21"/>
  <c r="C27" i="14"/>
  <c r="D22" i="14"/>
  <c r="E27" i="14"/>
  <c r="C289" i="9"/>
  <c r="E92" i="14"/>
  <c r="G870" i="21"/>
  <c r="G1035" i="21"/>
  <c r="D87" i="14"/>
  <c r="E87" i="14"/>
  <c r="F870" i="21"/>
  <c r="E977" i="21"/>
  <c r="D870" i="21"/>
  <c r="G867" i="21"/>
  <c r="D867" i="21"/>
  <c r="R1084" i="21" l="1"/>
  <c r="R1120" i="21"/>
  <c r="R1072" i="21"/>
  <c r="R1132" i="21"/>
  <c r="R1108" i="21"/>
  <c r="R1096" i="21"/>
  <c r="R1156" i="21"/>
  <c r="R1144" i="21"/>
  <c r="J92" i="7"/>
  <c r="M92" i="7" s="1"/>
  <c r="F92" i="7" s="1"/>
  <c r="D92" i="7" s="1"/>
  <c r="R1155" i="21"/>
  <c r="R1119" i="21"/>
  <c r="R1095" i="21"/>
  <c r="R1143" i="21"/>
  <c r="R1107" i="21"/>
  <c r="R1083" i="21"/>
  <c r="R1131" i="21"/>
  <c r="R1071" i="21"/>
  <c r="M92" i="12"/>
  <c r="F92" i="12" s="1"/>
  <c r="W1156" i="21"/>
  <c r="W1144" i="21"/>
  <c r="W1096" i="21"/>
  <c r="W1072" i="21"/>
  <c r="W1108" i="21"/>
  <c r="W1120" i="21"/>
  <c r="W1132" i="21"/>
  <c r="W1084" i="21"/>
  <c r="E93" i="14"/>
  <c r="R1130" i="21"/>
  <c r="R1106" i="21"/>
  <c r="R1082" i="21"/>
  <c r="R1118" i="21"/>
  <c r="R1142" i="21"/>
  <c r="R1094" i="21"/>
  <c r="R1154" i="21"/>
  <c r="R1070" i="21"/>
  <c r="W92" i="5"/>
  <c r="J92" i="5" s="1"/>
  <c r="J91" i="8"/>
  <c r="AL91" i="8" s="1"/>
  <c r="K91" i="8" s="1"/>
  <c r="M91" i="8" s="1"/>
  <c r="F91" i="8" s="1"/>
  <c r="D91" i="8" s="1"/>
  <c r="F91" i="13"/>
  <c r="D91" i="13" s="1"/>
  <c r="F93" i="12"/>
  <c r="J91" i="7"/>
  <c r="M91" i="7" s="1"/>
  <c r="F91" i="7" s="1"/>
  <c r="D91" i="7" s="1"/>
  <c r="J93" i="8"/>
  <c r="J92" i="8"/>
  <c r="W91" i="5"/>
  <c r="J91" i="5" s="1"/>
  <c r="W93" i="5"/>
  <c r="J93" i="5" s="1"/>
  <c r="M91" i="12"/>
  <c r="F91" i="12" s="1"/>
  <c r="F91" i="11"/>
  <c r="D91" i="11" s="1"/>
  <c r="J93" i="7"/>
  <c r="M93" i="7" s="1"/>
  <c r="F93" i="7" s="1"/>
  <c r="D93" i="7" s="1"/>
  <c r="Z67" i="8"/>
  <c r="J67" i="8" s="1"/>
  <c r="X67" i="7"/>
  <c r="K67" i="7"/>
  <c r="Y67" i="7"/>
  <c r="M81" i="5"/>
  <c r="F81" i="5" s="1"/>
  <c r="D81" i="5" s="1"/>
  <c r="J71" i="8"/>
  <c r="AL71" i="8" s="1"/>
  <c r="K71" i="8" s="1"/>
  <c r="J72" i="8"/>
  <c r="AL72" i="8" s="1"/>
  <c r="J69" i="7"/>
  <c r="J70" i="8"/>
  <c r="J70" i="7"/>
  <c r="J68" i="8"/>
  <c r="J69" i="8"/>
  <c r="J72" i="7"/>
  <c r="J68" i="7"/>
  <c r="J71" i="7"/>
  <c r="J867" i="21"/>
  <c r="I867" i="21"/>
  <c r="L867" i="21"/>
  <c r="K867" i="21"/>
  <c r="H974" i="21"/>
  <c r="D59" i="5"/>
  <c r="M66" i="5"/>
  <c r="AE67" i="5"/>
  <c r="K67" i="5" s="1"/>
  <c r="J70" i="5"/>
  <c r="J73" i="5"/>
  <c r="M73" i="5" s="1"/>
  <c r="W72" i="5"/>
  <c r="J72" i="5" s="1"/>
  <c r="J870" i="21"/>
  <c r="I977" i="21"/>
  <c r="K870" i="21"/>
  <c r="L870" i="21"/>
  <c r="I870" i="21"/>
  <c r="H977" i="21"/>
  <c r="D62" i="5"/>
  <c r="D974" i="21"/>
  <c r="C974" i="21"/>
  <c r="V900" i="21"/>
  <c r="Q900" i="21"/>
  <c r="U1008" i="21"/>
  <c r="R901" i="21"/>
  <c r="U901" i="21"/>
  <c r="U762" i="21"/>
  <c r="T899" i="21"/>
  <c r="S899" i="21"/>
  <c r="U1006" i="21"/>
  <c r="T1006" i="21"/>
  <c r="U1007" i="21"/>
  <c r="S1008" i="21"/>
  <c r="T901" i="21"/>
  <c r="S1006" i="21"/>
  <c r="R1006" i="21"/>
  <c r="T900" i="21"/>
  <c r="C319" i="14"/>
  <c r="H889" i="21"/>
  <c r="U900" i="21"/>
  <c r="P1006" i="21"/>
  <c r="P901" i="21"/>
  <c r="R1008" i="21"/>
  <c r="Q899" i="21"/>
  <c r="Q1008" i="21"/>
  <c r="S1007" i="21"/>
  <c r="T1008" i="21"/>
  <c r="S900" i="21"/>
  <c r="V899" i="21"/>
  <c r="P900" i="21"/>
  <c r="U899" i="21"/>
  <c r="D27" i="14"/>
  <c r="U761" i="21"/>
  <c r="C317" i="14"/>
  <c r="P899" i="21"/>
  <c r="R899" i="21"/>
  <c r="C92" i="14"/>
  <c r="R900" i="21"/>
  <c r="B974" i="21"/>
  <c r="C318" i="14"/>
  <c r="Q1006" i="21"/>
  <c r="T1007" i="21"/>
  <c r="R1007" i="21"/>
  <c r="D92" i="14"/>
  <c r="V901" i="21"/>
  <c r="S901" i="21"/>
  <c r="U760" i="21"/>
  <c r="P1007" i="21"/>
  <c r="Q901" i="21"/>
  <c r="P1008" i="21"/>
  <c r="Q1007" i="21"/>
  <c r="Z900" i="21" l="1"/>
  <c r="Y900" i="21"/>
  <c r="W1007" i="21"/>
  <c r="X900" i="21"/>
  <c r="W900" i="21"/>
  <c r="V1007" i="21"/>
  <c r="W1083" i="21"/>
  <c r="W1095" i="21"/>
  <c r="W1155" i="21"/>
  <c r="W1071" i="21"/>
  <c r="W1131" i="21"/>
  <c r="W1107" i="21"/>
  <c r="W1119" i="21"/>
  <c r="W1143" i="21"/>
  <c r="D93" i="14"/>
  <c r="D92" i="12"/>
  <c r="W1006" i="21"/>
  <c r="X899" i="21"/>
  <c r="Z899" i="21"/>
  <c r="Y899" i="21"/>
  <c r="W899" i="21"/>
  <c r="V1006" i="21"/>
  <c r="W1106" i="21"/>
  <c r="W1154" i="21"/>
  <c r="W1094" i="21"/>
  <c r="W1070" i="21"/>
  <c r="W1130" i="21"/>
  <c r="W1082" i="21"/>
  <c r="W1118" i="21"/>
  <c r="W1142" i="21"/>
  <c r="C93" i="14"/>
  <c r="X901" i="21"/>
  <c r="W1008" i="21"/>
  <c r="Z901" i="21"/>
  <c r="Y901" i="21"/>
  <c r="V1008" i="21"/>
  <c r="W901" i="21"/>
  <c r="D91" i="12"/>
  <c r="AL93" i="8"/>
  <c r="K93" i="8" s="1"/>
  <c r="M93" i="8" s="1"/>
  <c r="D93" i="12"/>
  <c r="M93" i="5"/>
  <c r="F93" i="5" s="1"/>
  <c r="M92" i="5"/>
  <c r="F92" i="5" s="1"/>
  <c r="M91" i="5"/>
  <c r="F91" i="5" s="1"/>
  <c r="AL92" i="8"/>
  <c r="K92" i="8" s="1"/>
  <c r="M92" i="8" s="1"/>
  <c r="F92" i="8" s="1"/>
  <c r="D92" i="8" s="1"/>
  <c r="I974" i="21"/>
  <c r="F899" i="21"/>
  <c r="C901" i="21"/>
  <c r="H751" i="21"/>
  <c r="E1008" i="21"/>
  <c r="E889" i="21"/>
  <c r="G1006" i="21"/>
  <c r="E996" i="21"/>
  <c r="F900" i="21"/>
  <c r="D1007" i="21"/>
  <c r="G901" i="21"/>
  <c r="F1006" i="21"/>
  <c r="C899" i="21"/>
  <c r="E899" i="21"/>
  <c r="F901" i="21"/>
  <c r="C889" i="21"/>
  <c r="F24" i="9"/>
  <c r="H901" i="21"/>
  <c r="G1008" i="21"/>
  <c r="D900" i="21"/>
  <c r="F1007" i="21"/>
  <c r="H761" i="21"/>
  <c r="G996" i="21"/>
  <c r="E1007" i="21"/>
  <c r="E901" i="21"/>
  <c r="F1036" i="21"/>
  <c r="H900" i="21"/>
  <c r="C308" i="9"/>
  <c r="B1008" i="21"/>
  <c r="B899" i="21"/>
  <c r="H899" i="21"/>
  <c r="G889" i="21"/>
  <c r="B1006" i="21"/>
  <c r="D899" i="21"/>
  <c r="B900" i="21"/>
  <c r="G1007" i="21"/>
  <c r="C319" i="9"/>
  <c r="H763" i="21"/>
  <c r="C318" i="9"/>
  <c r="H762" i="21"/>
  <c r="C1006" i="21"/>
  <c r="B889" i="21"/>
  <c r="D1008" i="21"/>
  <c r="C900" i="21"/>
  <c r="E1006" i="21"/>
  <c r="C1008" i="21"/>
  <c r="B1007" i="21"/>
  <c r="C320" i="9"/>
  <c r="C1007" i="21"/>
  <c r="C996" i="21"/>
  <c r="E900" i="21"/>
  <c r="B996" i="21"/>
  <c r="G900" i="21"/>
  <c r="D901" i="21"/>
  <c r="F1008" i="21"/>
  <c r="F889" i="21"/>
  <c r="B901" i="21"/>
  <c r="D996" i="21"/>
  <c r="G899" i="21"/>
  <c r="D889" i="21"/>
  <c r="D1006" i="21"/>
  <c r="G1037" i="21"/>
  <c r="D93" i="5" l="1"/>
  <c r="K901" i="21"/>
  <c r="F93" i="8"/>
  <c r="D93" i="8" s="1"/>
  <c r="I1007" i="21"/>
  <c r="J900" i="21"/>
  <c r="K900" i="21"/>
  <c r="L900" i="21"/>
  <c r="I900" i="21"/>
  <c r="H1007" i="21"/>
  <c r="J899" i="21"/>
  <c r="I1006" i="21"/>
  <c r="K899" i="21"/>
  <c r="L899" i="21"/>
  <c r="I899" i="21"/>
  <c r="H1006" i="21"/>
  <c r="I1008" i="21"/>
  <c r="J901" i="21"/>
  <c r="L901" i="21"/>
  <c r="I901" i="21"/>
  <c r="H1008" i="21"/>
  <c r="D92" i="5"/>
  <c r="D91" i="5"/>
  <c r="K72" i="8"/>
  <c r="M72" i="8" s="1"/>
  <c r="F72" i="8" s="1"/>
  <c r="D72" i="8" s="1"/>
  <c r="J67" i="7"/>
  <c r="AL67" i="8"/>
  <c r="K67" i="8" s="1"/>
  <c r="J889" i="21"/>
  <c r="I889" i="21"/>
  <c r="K889" i="21"/>
  <c r="L889" i="21"/>
  <c r="AL69" i="8"/>
  <c r="K69" i="8" s="1"/>
  <c r="AL70" i="8"/>
  <c r="K70" i="8" s="1"/>
  <c r="M72" i="7"/>
  <c r="F72" i="7" s="1"/>
  <c r="D72" i="7" s="1"/>
  <c r="AL68" i="8"/>
  <c r="K68" i="8" s="1"/>
  <c r="F66" i="5"/>
  <c r="W67" i="5"/>
  <c r="J67" i="5" s="1"/>
  <c r="F73" i="5"/>
  <c r="M72" i="5"/>
  <c r="R1041" i="21"/>
  <c r="F996" i="21"/>
  <c r="C874" i="21"/>
  <c r="G881" i="21"/>
  <c r="H996" i="21" l="1"/>
  <c r="I996" i="21"/>
  <c r="B988" i="21"/>
  <c r="D981" i="21"/>
  <c r="H874" i="21"/>
  <c r="C24" i="9"/>
  <c r="B881" i="21"/>
  <c r="D988" i="21"/>
  <c r="C300" i="9"/>
  <c r="C293" i="9"/>
  <c r="H736" i="21"/>
  <c r="E24" i="9"/>
  <c r="C881" i="21"/>
  <c r="H881" i="21"/>
  <c r="C988" i="21"/>
  <c r="D874" i="21"/>
  <c r="E881" i="21"/>
  <c r="B981" i="21"/>
  <c r="G988" i="21"/>
  <c r="F981" i="21"/>
  <c r="E988" i="21"/>
  <c r="E874" i="21"/>
  <c r="G874" i="21"/>
  <c r="D881" i="21"/>
  <c r="H743" i="21"/>
  <c r="F881" i="21"/>
  <c r="B874" i="21"/>
  <c r="F874" i="21"/>
  <c r="F988" i="21"/>
  <c r="AL90" i="24" l="1"/>
  <c r="K90" i="24" s="1"/>
  <c r="J874" i="21"/>
  <c r="L874" i="21"/>
  <c r="K874" i="21"/>
  <c r="I874" i="21"/>
  <c r="D66" i="5"/>
  <c r="I881" i="21"/>
  <c r="H988" i="21"/>
  <c r="K881" i="21"/>
  <c r="L881" i="21"/>
  <c r="I988" i="21"/>
  <c r="J881" i="21"/>
  <c r="D73" i="5"/>
  <c r="F72" i="5"/>
  <c r="R1042" i="21"/>
  <c r="G981" i="21"/>
  <c r="H742" i="21"/>
  <c r="G1036" i="21"/>
  <c r="C981" i="21"/>
  <c r="E981" i="21"/>
  <c r="Z90" i="24" l="1"/>
  <c r="J90" i="24" s="1"/>
  <c r="M90" i="24" s="1"/>
  <c r="F90" i="24" s="1"/>
  <c r="L87" i="19" s="1"/>
  <c r="I981" i="21"/>
  <c r="H981" i="21"/>
  <c r="F880" i="21"/>
  <c r="E987" i="21"/>
  <c r="H880" i="21"/>
  <c r="B880" i="21"/>
  <c r="C880" i="21"/>
  <c r="B987" i="21"/>
  <c r="D880" i="21"/>
  <c r="C299" i="9"/>
  <c r="C987" i="21"/>
  <c r="G880" i="21"/>
  <c r="E880" i="21"/>
  <c r="D90" i="24" l="1"/>
  <c r="J880" i="21"/>
  <c r="K880" i="21"/>
  <c r="L880" i="21"/>
  <c r="I880" i="21"/>
  <c r="D72" i="5"/>
  <c r="D28" i="14"/>
  <c r="D29" i="14" s="1"/>
  <c r="C28" i="14"/>
  <c r="C33" i="14" s="1"/>
  <c r="C34" i="14" s="1"/>
  <c r="E28" i="14"/>
  <c r="S1041" i="21"/>
  <c r="F987" i="21"/>
  <c r="G987" i="21"/>
  <c r="D987" i="21"/>
  <c r="C31" i="14" l="1"/>
  <c r="C32" i="14"/>
  <c r="C29" i="14"/>
  <c r="E32" i="14"/>
  <c r="E29" i="14"/>
  <c r="H987" i="21"/>
  <c r="I987" i="21"/>
  <c r="AQ51" i="8"/>
  <c r="L51" i="8" s="1"/>
  <c r="M51" i="8" s="1"/>
  <c r="F51" i="8" s="1"/>
  <c r="D51" i="8" s="1"/>
  <c r="AQ33" i="8"/>
  <c r="L33" i="8" s="1"/>
  <c r="M33" i="8" s="1"/>
  <c r="F33" i="8" s="1"/>
  <c r="D33" i="8" s="1"/>
  <c r="AQ48" i="8"/>
  <c r="L48" i="8" s="1"/>
  <c r="M48" i="8" s="1"/>
  <c r="F48" i="8" s="1"/>
  <c r="D48" i="8" s="1"/>
  <c r="AQ13" i="8"/>
  <c r="L13" i="8" s="1"/>
  <c r="M13" i="8" s="1"/>
  <c r="F13" i="8" s="1"/>
  <c r="D13" i="8" s="1"/>
  <c r="AQ38" i="8"/>
  <c r="L38" i="8" s="1"/>
  <c r="M38" i="8" s="1"/>
  <c r="F38" i="8" s="1"/>
  <c r="D38" i="8" s="1"/>
  <c r="AJ38" i="7"/>
  <c r="L38" i="7" s="1"/>
  <c r="M38" i="7" s="1"/>
  <c r="F38" i="7" s="1"/>
  <c r="D38" i="7" s="1"/>
  <c r="AJ33" i="7"/>
  <c r="L33" i="7" s="1"/>
  <c r="M33" i="7" s="1"/>
  <c r="F33" i="7" s="1"/>
  <c r="D33" i="7" s="1"/>
  <c r="AJ48" i="7"/>
  <c r="L48" i="7" s="1"/>
  <c r="M48" i="7" s="1"/>
  <c r="F48" i="7" s="1"/>
  <c r="D48" i="7" s="1"/>
  <c r="AJ13" i="7"/>
  <c r="L13" i="7" s="1"/>
  <c r="M13" i="7" s="1"/>
  <c r="F13" i="7" s="1"/>
  <c r="D13" i="7" s="1"/>
  <c r="AJ51" i="7"/>
  <c r="L51" i="7" s="1"/>
  <c r="M51" i="7" s="1"/>
  <c r="F51" i="7" s="1"/>
  <c r="D51" i="7" s="1"/>
  <c r="AI38" i="6"/>
  <c r="L38" i="6" s="1"/>
  <c r="M38" i="6" s="1"/>
  <c r="F38" i="6" s="1"/>
  <c r="D38" i="6" s="1"/>
  <c r="AI33" i="6"/>
  <c r="L33" i="6" s="1"/>
  <c r="M33" i="6" s="1"/>
  <c r="F33" i="6" s="1"/>
  <c r="D33" i="6" s="1"/>
  <c r="AI51" i="6"/>
  <c r="L51" i="6" s="1"/>
  <c r="M51" i="6" s="1"/>
  <c r="F51" i="6" s="1"/>
  <c r="D51" i="6" s="1"/>
  <c r="AI13" i="6"/>
  <c r="L13" i="6" s="1"/>
  <c r="M13" i="6" s="1"/>
  <c r="F13" i="6" s="1"/>
  <c r="D13" i="6" s="1"/>
  <c r="AI48" i="6"/>
  <c r="L48" i="6" s="1"/>
  <c r="M48" i="6" s="1"/>
  <c r="F48" i="6" s="1"/>
  <c r="D48" i="6" s="1"/>
  <c r="D31" i="14"/>
  <c r="D32" i="14"/>
  <c r="E31" i="14"/>
  <c r="E33" i="14"/>
  <c r="E34" i="14" s="1"/>
  <c r="D33" i="14"/>
  <c r="D34" i="14" s="1"/>
  <c r="S1042" i="21"/>
  <c r="Q1050" i="21"/>
  <c r="Q1054" i="21"/>
  <c r="Q1051" i="21"/>
  <c r="Q1053" i="21"/>
  <c r="Q1052" i="21"/>
  <c r="Q1056" i="21"/>
  <c r="AH13" i="5" l="1"/>
  <c r="L13" i="5" s="1"/>
  <c r="M13" i="5" s="1"/>
  <c r="F13" i="5" s="1"/>
  <c r="D13" i="5" s="1"/>
  <c r="AH33" i="5"/>
  <c r="L33" i="5" s="1"/>
  <c r="M33" i="5" s="1"/>
  <c r="F33" i="5" s="1"/>
  <c r="D33" i="5" s="1"/>
  <c r="AH48" i="5"/>
  <c r="L48" i="5" s="1"/>
  <c r="M48" i="5" s="1"/>
  <c r="F48" i="5" s="1"/>
  <c r="D48" i="5" s="1"/>
  <c r="AH51" i="5"/>
  <c r="L51" i="5" s="1"/>
  <c r="M51" i="5" s="1"/>
  <c r="F51" i="5" s="1"/>
  <c r="D51" i="5" s="1"/>
  <c r="AH38" i="5"/>
  <c r="L38" i="5" s="1"/>
  <c r="M38" i="5" s="1"/>
  <c r="F38" i="5" s="1"/>
  <c r="D38" i="5" s="1"/>
  <c r="T1041" i="21"/>
  <c r="Q1057" i="21"/>
  <c r="T1042" i="21" l="1"/>
  <c r="AQ17" i="8" l="1"/>
  <c r="L17" i="8" s="1"/>
  <c r="M17" i="8" s="1"/>
  <c r="F17" i="8" s="1"/>
  <c r="D17" i="8" s="1"/>
  <c r="AJ17" i="7"/>
  <c r="L17" i="7" s="1"/>
  <c r="M17" i="7" s="1"/>
  <c r="F17" i="7" s="1"/>
  <c r="D17" i="7" s="1"/>
  <c r="AI17" i="6"/>
  <c r="L17" i="6" s="1"/>
  <c r="M17" i="6" s="1"/>
  <c r="F17" i="6" s="1"/>
  <c r="D17" i="6" s="1"/>
  <c r="U1041" i="21"/>
  <c r="U1042" i="21" s="1"/>
  <c r="V1041" i="21" s="1"/>
  <c r="V1042" i="21" l="1"/>
  <c r="AH17" i="5"/>
  <c r="L17" i="5" s="1"/>
  <c r="V1033" i="21"/>
  <c r="W1041" i="21" l="1"/>
  <c r="AQ42" i="8"/>
  <c r="L42" i="8" s="1"/>
  <c r="M42" i="8" s="1"/>
  <c r="F42" i="8" s="1"/>
  <c r="D42" i="8" s="1"/>
  <c r="AJ42" i="7"/>
  <c r="L42" i="7" s="1"/>
  <c r="M42" i="7" s="1"/>
  <c r="F42" i="7" s="1"/>
  <c r="D42" i="7" s="1"/>
  <c r="AI42" i="6"/>
  <c r="L42" i="6" s="1"/>
  <c r="M17" i="5"/>
  <c r="F17" i="5" s="1"/>
  <c r="W1042" i="21" l="1"/>
  <c r="M42" i="6"/>
  <c r="F42" i="6" s="1"/>
  <c r="D42" i="6" s="1"/>
  <c r="D17" i="5"/>
  <c r="AH42" i="5"/>
  <c r="L42" i="5" s="1"/>
  <c r="W1037" i="21"/>
  <c r="W1036" i="21"/>
  <c r="W1034" i="21"/>
  <c r="W1038" i="21"/>
  <c r="W1035" i="21"/>
  <c r="W1033" i="21"/>
  <c r="W1039" i="21"/>
  <c r="W1040" i="21" l="1"/>
  <c r="W1054" i="21" s="1"/>
  <c r="AQ49" i="8"/>
  <c r="L49" i="8" s="1"/>
  <c r="M49" i="8" s="1"/>
  <c r="F49" i="8" s="1"/>
  <c r="D49" i="8" s="1"/>
  <c r="AJ49" i="7"/>
  <c r="L49" i="7" s="1"/>
  <c r="M49" i="7" s="1"/>
  <c r="F49" i="7" s="1"/>
  <c r="D49" i="7" s="1"/>
  <c r="AI49" i="6"/>
  <c r="L49" i="6" s="1"/>
  <c r="M49" i="6" s="1"/>
  <c r="F49" i="6" s="1"/>
  <c r="D49" i="6" s="1"/>
  <c r="M42" i="5"/>
  <c r="F42" i="5" s="1"/>
  <c r="W1053" i="21" l="1"/>
  <c r="W1050" i="21"/>
  <c r="W1052" i="21"/>
  <c r="W1055" i="21"/>
  <c r="W1056" i="21"/>
  <c r="W1051" i="21"/>
  <c r="D42" i="5"/>
  <c r="AH49" i="5"/>
  <c r="L49" i="5" s="1"/>
  <c r="W1057" i="21" l="1"/>
  <c r="AQ31" i="8"/>
  <c r="L31" i="8" s="1"/>
  <c r="M31" i="8" s="1"/>
  <c r="F31" i="8" s="1"/>
  <c r="D31" i="8" s="1"/>
  <c r="AQ27" i="8"/>
  <c r="L27" i="8" s="1"/>
  <c r="M27" i="8" s="1"/>
  <c r="F27" i="8" s="1"/>
  <c r="D27" i="8" s="1"/>
  <c r="AQ56" i="8"/>
  <c r="L56" i="8" s="1"/>
  <c r="M56" i="8" s="1"/>
  <c r="F56" i="8" s="1"/>
  <c r="D56" i="8" s="1"/>
  <c r="AQ57" i="8"/>
  <c r="L57" i="8" s="1"/>
  <c r="M57" i="8" s="1"/>
  <c r="F57" i="8" s="1"/>
  <c r="D57" i="8" s="1"/>
  <c r="AQ46" i="8"/>
  <c r="L46" i="8" s="1"/>
  <c r="M46" i="8" s="1"/>
  <c r="F46" i="8" s="1"/>
  <c r="D46" i="8" s="1"/>
  <c r="AQ55" i="8"/>
  <c r="L55" i="8" s="1"/>
  <c r="M55" i="8" s="1"/>
  <c r="F55" i="8" s="1"/>
  <c r="AQ28" i="8"/>
  <c r="L28" i="8" s="1"/>
  <c r="M28" i="8" s="1"/>
  <c r="F28" i="8" s="1"/>
  <c r="D28" i="8" s="1"/>
  <c r="AQ20" i="8"/>
  <c r="L20" i="8" s="1"/>
  <c r="M20" i="8" s="1"/>
  <c r="F20" i="8" s="1"/>
  <c r="D20" i="8" s="1"/>
  <c r="AJ55" i="7"/>
  <c r="L55" i="7" s="1"/>
  <c r="M55" i="7" s="1"/>
  <c r="F55" i="7" s="1"/>
  <c r="D55" i="7" s="1"/>
  <c r="AJ27" i="7"/>
  <c r="L27" i="7" s="1"/>
  <c r="M27" i="7" s="1"/>
  <c r="F27" i="7" s="1"/>
  <c r="D27" i="7" s="1"/>
  <c r="AJ20" i="7"/>
  <c r="L20" i="7" s="1"/>
  <c r="M20" i="7" s="1"/>
  <c r="F20" i="7" s="1"/>
  <c r="D20" i="7" s="1"/>
  <c r="AJ28" i="7"/>
  <c r="L28" i="7" s="1"/>
  <c r="M28" i="7" s="1"/>
  <c r="F28" i="7" s="1"/>
  <c r="D28" i="7" s="1"/>
  <c r="AJ46" i="7"/>
  <c r="L46" i="7" s="1"/>
  <c r="M46" i="7" s="1"/>
  <c r="F46" i="7" s="1"/>
  <c r="D46" i="7" s="1"/>
  <c r="AJ31" i="7"/>
  <c r="L31" i="7" s="1"/>
  <c r="M31" i="7" s="1"/>
  <c r="F31" i="7" s="1"/>
  <c r="D31" i="7" s="1"/>
  <c r="AJ57" i="7"/>
  <c r="L57" i="7" s="1"/>
  <c r="M57" i="7" s="1"/>
  <c r="F57" i="7" s="1"/>
  <c r="D57" i="7" s="1"/>
  <c r="AJ56" i="7"/>
  <c r="L56" i="7" s="1"/>
  <c r="M56" i="7" s="1"/>
  <c r="F56" i="7" s="1"/>
  <c r="D56" i="7" s="1"/>
  <c r="AI27" i="6"/>
  <c r="L27" i="6" s="1"/>
  <c r="M27" i="6" s="1"/>
  <c r="F27" i="6" s="1"/>
  <c r="D27" i="6" s="1"/>
  <c r="AI56" i="6"/>
  <c r="L56" i="6" s="1"/>
  <c r="M56" i="6" s="1"/>
  <c r="F56" i="6" s="1"/>
  <c r="D56" i="6" s="1"/>
  <c r="AI20" i="6"/>
  <c r="L20" i="6" s="1"/>
  <c r="M20" i="6" s="1"/>
  <c r="F20" i="6" s="1"/>
  <c r="D20" i="6" s="1"/>
  <c r="AI57" i="6"/>
  <c r="L57" i="6" s="1"/>
  <c r="M57" i="6" s="1"/>
  <c r="F57" i="6" s="1"/>
  <c r="D57" i="6" s="1"/>
  <c r="AI28" i="6"/>
  <c r="L28" i="6" s="1"/>
  <c r="M28" i="6" s="1"/>
  <c r="F28" i="6" s="1"/>
  <c r="D28" i="6" s="1"/>
  <c r="AI31" i="6"/>
  <c r="L31" i="6" s="1"/>
  <c r="M31" i="6" s="1"/>
  <c r="F31" i="6" s="1"/>
  <c r="AI46" i="6"/>
  <c r="L46" i="6" s="1"/>
  <c r="M46" i="6" s="1"/>
  <c r="F46" i="6" s="1"/>
  <c r="D46" i="6" s="1"/>
  <c r="AI55" i="6"/>
  <c r="L55" i="6" s="1"/>
  <c r="M55" i="6" s="1"/>
  <c r="F55" i="6" s="1"/>
  <c r="M49" i="5"/>
  <c r="AH28" i="5" l="1"/>
  <c r="L28" i="5" s="1"/>
  <c r="AH31" i="5"/>
  <c r="L31" i="5" s="1"/>
  <c r="F49" i="5"/>
  <c r="AH56" i="5"/>
  <c r="L56" i="5" s="1"/>
  <c r="AH46" i="5"/>
  <c r="L46" i="5" s="1"/>
  <c r="AH55" i="5"/>
  <c r="L55" i="5" s="1"/>
  <c r="AH27" i="5"/>
  <c r="L27" i="5" s="1"/>
  <c r="AH20" i="5"/>
  <c r="L20" i="5" s="1"/>
  <c r="AH57" i="5"/>
  <c r="L57" i="5" s="1"/>
  <c r="D31" i="6"/>
  <c r="D55" i="8"/>
  <c r="D55" i="6"/>
  <c r="M46" i="5" l="1"/>
  <c r="F46" i="5" s="1"/>
  <c r="M56" i="5"/>
  <c r="F56" i="5" s="1"/>
  <c r="M31" i="5"/>
  <c r="F31" i="5" s="1"/>
  <c r="M57" i="5"/>
  <c r="F57" i="5" s="1"/>
  <c r="M20" i="5"/>
  <c r="F20" i="5" s="1"/>
  <c r="M27" i="5"/>
  <c r="M55" i="5"/>
  <c r="F55" i="5" s="1"/>
  <c r="M28" i="5"/>
  <c r="F28" i="5" s="1"/>
  <c r="D49" i="5"/>
  <c r="D31" i="5" l="1"/>
  <c r="D28" i="5"/>
  <c r="D56" i="5"/>
  <c r="AQ18" i="8"/>
  <c r="L18" i="8" s="1"/>
  <c r="M18" i="8" s="1"/>
  <c r="F18" i="8" s="1"/>
  <c r="D18" i="8" s="1"/>
  <c r="AQ40" i="8"/>
  <c r="L40" i="8" s="1"/>
  <c r="M40" i="8" s="1"/>
  <c r="F40" i="8" s="1"/>
  <c r="D40" i="8" s="1"/>
  <c r="AJ40" i="7"/>
  <c r="L40" i="7" s="1"/>
  <c r="M40" i="7" s="1"/>
  <c r="F40" i="7" s="1"/>
  <c r="D40" i="7" s="1"/>
  <c r="AJ18" i="7"/>
  <c r="L18" i="7" s="1"/>
  <c r="M18" i="7" s="1"/>
  <c r="F18" i="7" s="1"/>
  <c r="D18" i="7" s="1"/>
  <c r="AI40" i="6"/>
  <c r="L40" i="6" s="1"/>
  <c r="M40" i="6" s="1"/>
  <c r="F40" i="6" s="1"/>
  <c r="D40" i="6" s="1"/>
  <c r="AI18" i="6"/>
  <c r="L18" i="6" s="1"/>
  <c r="M18" i="6" s="1"/>
  <c r="F18" i="6" s="1"/>
  <c r="D18" i="6" s="1"/>
  <c r="D57" i="5"/>
  <c r="F27" i="5"/>
  <c r="D20" i="5"/>
  <c r="D55" i="5"/>
  <c r="D46" i="5"/>
  <c r="S826" i="21"/>
  <c r="B749" i="21"/>
  <c r="F841" i="21"/>
  <c r="E738" i="21"/>
  <c r="D25" i="9"/>
  <c r="R963" i="21"/>
  <c r="C953" i="21"/>
  <c r="U959" i="21"/>
  <c r="R844" i="21"/>
  <c r="B972" i="21"/>
  <c r="C247" i="9"/>
  <c r="P848" i="21"/>
  <c r="G964" i="21"/>
  <c r="P829" i="21"/>
  <c r="B720" i="21"/>
  <c r="P961" i="21"/>
  <c r="C841" i="21"/>
  <c r="L85" i="9"/>
  <c r="C714" i="21"/>
  <c r="R940" i="21"/>
  <c r="G88" i="9"/>
  <c r="E948" i="21"/>
  <c r="C726" i="21"/>
  <c r="D717" i="21"/>
  <c r="R856" i="21"/>
  <c r="H857" i="21"/>
  <c r="P761" i="21"/>
  <c r="R848" i="21"/>
  <c r="D240" i="9"/>
  <c r="D746" i="21"/>
  <c r="T845" i="21"/>
  <c r="R826" i="21"/>
  <c r="H89" i="9"/>
  <c r="R947" i="21"/>
  <c r="Q846" i="21"/>
  <c r="P831" i="21"/>
  <c r="E732" i="21"/>
  <c r="B948" i="21"/>
  <c r="E943" i="21"/>
  <c r="B743" i="21"/>
  <c r="D244" i="9"/>
  <c r="S820" i="21"/>
  <c r="V838" i="21"/>
  <c r="P835" i="21"/>
  <c r="T846" i="21"/>
  <c r="V830" i="21"/>
  <c r="P958" i="21"/>
  <c r="C1034" i="21"/>
  <c r="R847" i="21"/>
  <c r="D732" i="21"/>
  <c r="Q737" i="21"/>
  <c r="D266" i="9"/>
  <c r="D755" i="21"/>
  <c r="B835" i="21"/>
  <c r="C716" i="21"/>
  <c r="F88" i="9"/>
  <c r="B971" i="21"/>
  <c r="V850" i="21"/>
  <c r="T859" i="21"/>
  <c r="V848" i="21"/>
  <c r="C863" i="21"/>
  <c r="Q841" i="21"/>
  <c r="S964" i="21"/>
  <c r="V840" i="21"/>
  <c r="H835" i="21"/>
  <c r="U1038" i="21"/>
  <c r="I83" i="9"/>
  <c r="D750" i="21"/>
  <c r="U928" i="21"/>
  <c r="H683" i="21"/>
  <c r="P720" i="21"/>
  <c r="V828" i="21"/>
  <c r="E709" i="21"/>
  <c r="H712" i="21"/>
  <c r="Q717" i="21"/>
  <c r="H841" i="21"/>
  <c r="G89" i="9"/>
  <c r="H846" i="21"/>
  <c r="T1034" i="21"/>
  <c r="C269" i="9"/>
  <c r="R925" i="21"/>
  <c r="F22" i="9"/>
  <c r="P717" i="21"/>
  <c r="S962" i="21"/>
  <c r="D963" i="21"/>
  <c r="Q834" i="21"/>
  <c r="B928" i="21"/>
  <c r="U932" i="21"/>
  <c r="B724" i="21"/>
  <c r="G928" i="21"/>
  <c r="B716" i="21"/>
  <c r="V824" i="21"/>
  <c r="P732" i="21"/>
  <c r="S833" i="21"/>
  <c r="T851" i="21"/>
  <c r="C754" i="21"/>
  <c r="B753" i="21"/>
  <c r="Q961" i="21"/>
  <c r="F846" i="21"/>
  <c r="V1038" i="21"/>
  <c r="D747" i="21"/>
  <c r="C856" i="21"/>
  <c r="P837" i="21"/>
  <c r="C89" i="9"/>
  <c r="E22" i="9"/>
  <c r="G864" i="21"/>
  <c r="D714" i="21"/>
  <c r="Q816" i="21"/>
  <c r="E729" i="21"/>
  <c r="Q849" i="21"/>
  <c r="Q950" i="21"/>
  <c r="D728" i="21"/>
  <c r="S861" i="21"/>
  <c r="C864" i="21"/>
  <c r="H88" i="9"/>
  <c r="C717" i="21"/>
  <c r="Q863" i="21"/>
  <c r="Q714" i="21"/>
  <c r="R839" i="21"/>
  <c r="E720" i="21"/>
  <c r="B714" i="21"/>
  <c r="C260" i="9"/>
  <c r="B715" i="21"/>
  <c r="V817" i="21"/>
  <c r="R1037" i="21"/>
  <c r="P950" i="21"/>
  <c r="E718" i="21"/>
  <c r="S934" i="21"/>
  <c r="D257" i="9"/>
  <c r="G943" i="21"/>
  <c r="R822" i="21"/>
  <c r="S837" i="21"/>
  <c r="S816" i="21"/>
  <c r="Q866" i="21"/>
  <c r="C865" i="21"/>
  <c r="R1033" i="21"/>
  <c r="C759" i="21"/>
  <c r="R1038" i="21"/>
  <c r="F854" i="21"/>
  <c r="P840" i="21"/>
  <c r="U946" i="21"/>
  <c r="D835" i="21"/>
  <c r="E864" i="21"/>
  <c r="D260" i="9"/>
  <c r="S856" i="21"/>
  <c r="H859" i="21"/>
  <c r="P823" i="21"/>
  <c r="T1033" i="21"/>
  <c r="B726" i="21"/>
  <c r="R861" i="21"/>
  <c r="D864" i="21"/>
  <c r="R850" i="21"/>
  <c r="F928" i="21"/>
  <c r="E839" i="21"/>
  <c r="C255" i="9"/>
  <c r="C839" i="21"/>
  <c r="P738" i="21"/>
  <c r="B759" i="21"/>
  <c r="D241" i="9"/>
  <c r="T852" i="21"/>
  <c r="S848" i="21"/>
  <c r="Q861" i="21"/>
  <c r="C265" i="9"/>
  <c r="T1035" i="21"/>
  <c r="R934" i="21"/>
  <c r="G85" i="9"/>
  <c r="S850" i="21"/>
  <c r="S925" i="21"/>
  <c r="D253" i="9"/>
  <c r="B846" i="21"/>
  <c r="C731" i="21"/>
  <c r="L88" i="9"/>
  <c r="G828" i="21"/>
  <c r="M88" i="9"/>
  <c r="D828" i="21"/>
  <c r="G963" i="21"/>
  <c r="B932" i="21"/>
  <c r="U1037" i="21"/>
  <c r="B718" i="21"/>
  <c r="C748" i="21"/>
  <c r="V860" i="21"/>
  <c r="S958" i="21"/>
  <c r="C718" i="21"/>
  <c r="G970" i="21"/>
  <c r="D846" i="21"/>
  <c r="Q821" i="21"/>
  <c r="F828" i="21"/>
  <c r="E1034" i="21"/>
  <c r="P836" i="21"/>
  <c r="M86" i="9"/>
  <c r="E728" i="21"/>
  <c r="E750" i="21"/>
  <c r="Q829" i="21"/>
  <c r="P964" i="21"/>
  <c r="D711" i="21"/>
  <c r="T826" i="21"/>
  <c r="V837" i="21"/>
  <c r="R859" i="21"/>
  <c r="F85" i="9"/>
  <c r="S1035" i="21"/>
  <c r="B709" i="21"/>
  <c r="U969" i="21"/>
  <c r="P830" i="21"/>
  <c r="B839" i="21"/>
  <c r="E711" i="21"/>
  <c r="G972" i="21"/>
  <c r="B1034" i="21"/>
  <c r="C943" i="21"/>
  <c r="R862" i="21"/>
  <c r="D239" i="9"/>
  <c r="B746" i="21"/>
  <c r="V839" i="21"/>
  <c r="T839" i="21"/>
  <c r="V865" i="21"/>
  <c r="P946" i="21"/>
  <c r="F25" i="9"/>
  <c r="D932" i="21"/>
  <c r="R865" i="21"/>
  <c r="F86" i="9"/>
  <c r="Q956" i="21"/>
  <c r="D22" i="9"/>
  <c r="D275" i="9"/>
  <c r="S847" i="21"/>
  <c r="T825" i="21"/>
  <c r="G932" i="21"/>
  <c r="D727" i="21"/>
  <c r="Q860" i="21"/>
  <c r="G856" i="21"/>
  <c r="V866" i="21"/>
  <c r="C712" i="21"/>
  <c r="B935" i="21"/>
  <c r="D757" i="21"/>
  <c r="B754" i="21"/>
  <c r="D740" i="21"/>
  <c r="C275" i="9"/>
  <c r="D86" i="9"/>
  <c r="C722" i="21"/>
  <c r="D948" i="21"/>
  <c r="B943" i="21"/>
  <c r="T840" i="21"/>
  <c r="V833" i="21"/>
  <c r="E751" i="21"/>
  <c r="B733" i="21"/>
  <c r="E1035" i="21"/>
  <c r="D89" i="9"/>
  <c r="P833" i="21"/>
  <c r="V841" i="21"/>
  <c r="Q858" i="21"/>
  <c r="P824" i="21"/>
  <c r="J86" i="9"/>
  <c r="U962" i="21"/>
  <c r="H821" i="21"/>
  <c r="T834" i="21"/>
  <c r="H725" i="21"/>
  <c r="F961" i="21"/>
  <c r="D971" i="21"/>
  <c r="S1037" i="21"/>
  <c r="P852" i="21"/>
  <c r="I89" i="9"/>
  <c r="G957" i="21"/>
  <c r="T819" i="21"/>
  <c r="D821" i="21"/>
  <c r="B758" i="21"/>
  <c r="B1035" i="21"/>
  <c r="F825" i="21"/>
  <c r="C742" i="21"/>
  <c r="P940" i="21"/>
  <c r="G935" i="21"/>
  <c r="S859" i="21"/>
  <c r="Q815" i="21"/>
  <c r="V836" i="21"/>
  <c r="Q712" i="21"/>
  <c r="E745" i="21"/>
  <c r="T847" i="21"/>
  <c r="D261" i="9"/>
  <c r="Q862" i="21"/>
  <c r="B857" i="21"/>
  <c r="B1033" i="21"/>
  <c r="B731" i="21"/>
  <c r="G846" i="21"/>
  <c r="D733" i="21"/>
  <c r="D961" i="21"/>
  <c r="F946" i="21"/>
  <c r="P834" i="21"/>
  <c r="T830" i="21"/>
  <c r="H86" i="9"/>
  <c r="V846" i="21"/>
  <c r="F836" i="21"/>
  <c r="Q820" i="21"/>
  <c r="D735" i="21"/>
  <c r="Q848" i="21"/>
  <c r="H836" i="21"/>
  <c r="H850" i="21"/>
  <c r="B963" i="21"/>
  <c r="C751" i="21"/>
  <c r="P969" i="21"/>
  <c r="B747" i="21"/>
  <c r="F932" i="21"/>
  <c r="C966" i="21"/>
  <c r="B748" i="21"/>
  <c r="V827" i="21"/>
  <c r="B752" i="21"/>
  <c r="Q855" i="21"/>
  <c r="D957" i="21"/>
  <c r="R950" i="21"/>
  <c r="P861" i="21"/>
  <c r="B1037" i="21"/>
  <c r="E971" i="21"/>
  <c r="D246" i="9"/>
  <c r="J83" i="9"/>
  <c r="D731" i="21"/>
  <c r="E737" i="21"/>
  <c r="V852" i="21"/>
  <c r="F935" i="21"/>
  <c r="R815" i="21"/>
  <c r="P856" i="21"/>
  <c r="P736" i="21"/>
  <c r="S843" i="21"/>
  <c r="Q716" i="21"/>
  <c r="H697" i="21"/>
  <c r="Q836" i="21"/>
  <c r="E722" i="21"/>
  <c r="D736" i="21"/>
  <c r="B750" i="21"/>
  <c r="S839" i="21"/>
  <c r="Q713" i="21"/>
  <c r="C733" i="21"/>
  <c r="D276" i="9"/>
  <c r="U1036" i="21"/>
  <c r="E744" i="21"/>
  <c r="S840" i="21"/>
  <c r="P828" i="21"/>
  <c r="Q817" i="21"/>
  <c r="C260" i="14"/>
  <c r="P819" i="21"/>
  <c r="V819" i="21"/>
  <c r="G825" i="21"/>
  <c r="T863" i="21"/>
  <c r="G86" i="9"/>
  <c r="R829" i="21"/>
  <c r="V855" i="21"/>
  <c r="B725" i="21"/>
  <c r="Q720" i="21"/>
  <c r="R817" i="21"/>
  <c r="R863" i="21"/>
  <c r="B713" i="21"/>
  <c r="P862" i="21"/>
  <c r="P724" i="21"/>
  <c r="K83" i="9"/>
  <c r="Q825" i="21"/>
  <c r="D856" i="21"/>
  <c r="H687" i="21"/>
  <c r="C723" i="21"/>
  <c r="P842" i="21"/>
  <c r="S835" i="21"/>
  <c r="V844" i="21"/>
  <c r="D836" i="21"/>
  <c r="T842" i="21"/>
  <c r="U956" i="21"/>
  <c r="D283" i="9"/>
  <c r="R827" i="21"/>
  <c r="J85" i="9"/>
  <c r="D745" i="21"/>
  <c r="L89" i="9"/>
  <c r="U1035" i="21"/>
  <c r="C273" i="9"/>
  <c r="S849" i="21"/>
  <c r="P832" i="21"/>
  <c r="F966" i="21"/>
  <c r="N85" i="9"/>
  <c r="P855" i="21"/>
  <c r="S959" i="21"/>
  <c r="V859" i="21"/>
  <c r="Q827" i="21"/>
  <c r="E946" i="21"/>
  <c r="B735" i="21"/>
  <c r="T862" i="21"/>
  <c r="R961" i="21"/>
  <c r="C741" i="21"/>
  <c r="D284" i="9"/>
  <c r="E1036" i="21"/>
  <c r="Q823" i="21"/>
  <c r="T1038" i="21"/>
  <c r="E749" i="21"/>
  <c r="P925" i="21"/>
  <c r="Q819" i="21"/>
  <c r="P725" i="21"/>
  <c r="D235" i="9"/>
  <c r="D277" i="9"/>
  <c r="D970" i="21"/>
  <c r="C846" i="21"/>
  <c r="K88" i="9"/>
  <c r="F89" i="9"/>
  <c r="P817" i="21"/>
  <c r="S1033" i="21"/>
  <c r="D946" i="21"/>
  <c r="T829" i="21"/>
  <c r="B859" i="21"/>
  <c r="E859" i="21"/>
  <c r="V851" i="21"/>
  <c r="P838" i="21"/>
  <c r="C736" i="21"/>
  <c r="C282" i="9"/>
  <c r="C724" i="21"/>
  <c r="R855" i="21"/>
  <c r="D269" i="9"/>
  <c r="D238" i="9"/>
  <c r="R860" i="21"/>
  <c r="E83" i="9"/>
  <c r="D742" i="21"/>
  <c r="T838" i="21"/>
  <c r="H865" i="21"/>
  <c r="S857" i="21"/>
  <c r="S846" i="21"/>
  <c r="Q710" i="21"/>
  <c r="E748" i="21"/>
  <c r="D716" i="21"/>
  <c r="E757" i="21"/>
  <c r="C750" i="21"/>
  <c r="P963" i="21"/>
  <c r="T857" i="21"/>
  <c r="D863" i="21"/>
  <c r="F957" i="21"/>
  <c r="T818" i="21"/>
  <c r="Q735" i="21"/>
  <c r="D259" i="9"/>
  <c r="T816" i="21"/>
  <c r="R832" i="21"/>
  <c r="B730" i="21"/>
  <c r="E863" i="21"/>
  <c r="D713" i="21"/>
  <c r="R828" i="21"/>
  <c r="S818" i="21"/>
  <c r="N88" i="9"/>
  <c r="E736" i="21"/>
  <c r="G946" i="21"/>
  <c r="E742" i="21"/>
  <c r="R840" i="21"/>
  <c r="Q847" i="21"/>
  <c r="C752" i="21"/>
  <c r="R821" i="21"/>
  <c r="H85" i="9"/>
  <c r="B711" i="21"/>
  <c r="P841" i="21"/>
  <c r="H856" i="21"/>
  <c r="Q958" i="21"/>
  <c r="D718" i="21"/>
  <c r="C744" i="21"/>
  <c r="D754" i="21"/>
  <c r="G961" i="21"/>
  <c r="H708" i="21"/>
  <c r="H825" i="21"/>
  <c r="D249" i="9"/>
  <c r="P858" i="21"/>
  <c r="T849" i="21"/>
  <c r="B717" i="21"/>
  <c r="D271" i="9"/>
  <c r="S822" i="21"/>
  <c r="E856" i="21"/>
  <c r="Q964" i="21"/>
  <c r="B854" i="21"/>
  <c r="D859" i="21"/>
  <c r="C22" i="9"/>
  <c r="S940" i="21"/>
  <c r="F859" i="21"/>
  <c r="P859" i="21"/>
  <c r="Q822" i="21"/>
  <c r="V849" i="21"/>
  <c r="B721" i="21"/>
  <c r="Q854" i="21"/>
  <c r="D759" i="21"/>
  <c r="D953" i="21"/>
  <c r="P712" i="21"/>
  <c r="D857" i="21"/>
  <c r="D741" i="21"/>
  <c r="D734" i="21"/>
  <c r="D710" i="21"/>
  <c r="C715" i="21"/>
  <c r="P727" i="21"/>
  <c r="E964" i="21"/>
  <c r="T835" i="21"/>
  <c r="G971" i="21"/>
  <c r="E739" i="21"/>
  <c r="S836" i="21"/>
  <c r="R841" i="21"/>
  <c r="C254" i="9"/>
  <c r="E846" i="21"/>
  <c r="F821" i="21"/>
  <c r="Q722" i="21"/>
  <c r="Q719" i="21"/>
  <c r="D248" i="9"/>
  <c r="Q925" i="21"/>
  <c r="T823" i="21"/>
  <c r="C758" i="21"/>
  <c r="E740" i="21"/>
  <c r="F850" i="21"/>
  <c r="C737" i="21"/>
  <c r="V825" i="21"/>
  <c r="R858" i="21"/>
  <c r="E719" i="21"/>
  <c r="Q718" i="21"/>
  <c r="B757" i="21"/>
  <c r="D720" i="21"/>
  <c r="E935" i="21"/>
  <c r="P721" i="21"/>
  <c r="D234" i="9"/>
  <c r="H716" i="21"/>
  <c r="S831" i="21"/>
  <c r="S956" i="21"/>
  <c r="G859" i="21"/>
  <c r="E972" i="21"/>
  <c r="E835" i="21"/>
  <c r="C738" i="21"/>
  <c r="D942" i="21"/>
  <c r="F964" i="21"/>
  <c r="S961" i="21"/>
  <c r="D943" i="21"/>
  <c r="P827" i="21"/>
  <c r="V822" i="21"/>
  <c r="U925" i="21"/>
  <c r="F856" i="21"/>
  <c r="Q928" i="21"/>
  <c r="D254" i="9"/>
  <c r="P934" i="21"/>
  <c r="S851" i="21"/>
  <c r="N86" i="9"/>
  <c r="S821" i="21"/>
  <c r="E746" i="21"/>
  <c r="B836" i="21"/>
  <c r="D251" i="9"/>
  <c r="D850" i="21"/>
  <c r="Q843" i="21"/>
  <c r="T820" i="21"/>
  <c r="C970" i="21"/>
  <c r="C278" i="9"/>
  <c r="B722" i="21"/>
  <c r="B739" i="21"/>
  <c r="R1034" i="21"/>
  <c r="V834" i="21"/>
  <c r="E857" i="21"/>
  <c r="Q739" i="21"/>
  <c r="S947" i="21"/>
  <c r="V847" i="21"/>
  <c r="G857" i="21"/>
  <c r="C972" i="21"/>
  <c r="R820" i="21"/>
  <c r="F963" i="21"/>
  <c r="R838" i="21"/>
  <c r="S1039" i="21"/>
  <c r="B865" i="21"/>
  <c r="B727" i="21"/>
  <c r="S844" i="21"/>
  <c r="E747" i="21"/>
  <c r="P860" i="21"/>
  <c r="R845" i="21"/>
  <c r="D724" i="21"/>
  <c r="E724" i="21"/>
  <c r="R816" i="21"/>
  <c r="S834" i="21"/>
  <c r="P822" i="21"/>
  <c r="K85" i="9"/>
  <c r="P815" i="21"/>
  <c r="S928" i="21"/>
  <c r="V816" i="21"/>
  <c r="P718" i="21"/>
  <c r="T1036" i="21"/>
  <c r="C713" i="21"/>
  <c r="D1033" i="21"/>
  <c r="E821" i="21"/>
  <c r="C745" i="21"/>
  <c r="S845" i="21"/>
  <c r="C825" i="21"/>
  <c r="D282" i="9"/>
  <c r="T1039" i="21"/>
  <c r="G836" i="21"/>
  <c r="H698" i="21"/>
  <c r="P714" i="21"/>
  <c r="I85" i="9"/>
  <c r="H726" i="21"/>
  <c r="V820" i="21"/>
  <c r="T865" i="21"/>
  <c r="G821" i="21"/>
  <c r="D743" i="21"/>
  <c r="D719" i="21"/>
  <c r="J89" i="9"/>
  <c r="D281" i="9"/>
  <c r="V818" i="21"/>
  <c r="D721" i="21"/>
  <c r="D255" i="9"/>
  <c r="P740" i="21"/>
  <c r="E850" i="21"/>
  <c r="E953" i="21"/>
  <c r="E753" i="21"/>
  <c r="V856" i="21"/>
  <c r="D285" i="9"/>
  <c r="K86" i="9"/>
  <c r="S838" i="21"/>
  <c r="N89" i="9"/>
  <c r="G835" i="21"/>
  <c r="Q824" i="21"/>
  <c r="R956" i="21"/>
  <c r="Q826" i="21"/>
  <c r="E714" i="21"/>
  <c r="S829" i="21"/>
  <c r="D250" i="9"/>
  <c r="F948" i="21"/>
  <c r="Q859" i="21"/>
  <c r="B961" i="21"/>
  <c r="S860" i="21"/>
  <c r="L86" i="9"/>
  <c r="S930" i="21"/>
  <c r="C836" i="21"/>
  <c r="C743" i="21"/>
  <c r="P723" i="21"/>
  <c r="G865" i="21"/>
  <c r="D751" i="21"/>
  <c r="C961" i="21"/>
  <c r="H83" i="9"/>
  <c r="V858" i="21"/>
  <c r="P843" i="21"/>
  <c r="S825" i="21"/>
  <c r="E756" i="21"/>
  <c r="Q830" i="21"/>
  <c r="Q963" i="21"/>
  <c r="Q865" i="21"/>
  <c r="Q832" i="21"/>
  <c r="R930" i="21"/>
  <c r="V835" i="21"/>
  <c r="E721" i="21"/>
  <c r="B946" i="21"/>
  <c r="B738" i="21"/>
  <c r="B719" i="21"/>
  <c r="D236" i="9"/>
  <c r="C727" i="21"/>
  <c r="V821" i="21"/>
  <c r="C1035" i="21"/>
  <c r="C835" i="21"/>
  <c r="C258" i="14"/>
  <c r="P818" i="21"/>
  <c r="C857" i="21"/>
  <c r="E854" i="21"/>
  <c r="C747" i="21"/>
  <c r="S858" i="21"/>
  <c r="Q959" i="21"/>
  <c r="I88" i="9"/>
  <c r="R834" i="21"/>
  <c r="P821" i="21"/>
  <c r="P713" i="21"/>
  <c r="E932" i="21"/>
  <c r="U950" i="21"/>
  <c r="P734" i="21"/>
  <c r="T844" i="21"/>
  <c r="S969" i="21"/>
  <c r="T848" i="21"/>
  <c r="B737" i="21"/>
  <c r="D237" i="9"/>
  <c r="P959" i="21"/>
  <c r="P947" i="21"/>
  <c r="R846" i="21"/>
  <c r="U930" i="21"/>
  <c r="R825" i="21"/>
  <c r="D83" i="9"/>
  <c r="D730" i="21"/>
  <c r="E758" i="21"/>
  <c r="T843" i="21"/>
  <c r="R818" i="21"/>
  <c r="B856" i="21"/>
  <c r="Q857" i="21"/>
  <c r="R831" i="21"/>
  <c r="H703" i="21"/>
  <c r="C948" i="21"/>
  <c r="V862" i="21"/>
  <c r="D715" i="21"/>
  <c r="E731" i="21"/>
  <c r="B864" i="21"/>
  <c r="E88" i="9"/>
  <c r="G83" i="9"/>
  <c r="C728" i="21"/>
  <c r="R864" i="21"/>
  <c r="D729" i="21"/>
  <c r="R932" i="21"/>
  <c r="U940" i="21"/>
  <c r="D865" i="21"/>
  <c r="D280" i="9"/>
  <c r="P731" i="21"/>
  <c r="E963" i="21"/>
  <c r="I86" i="9"/>
  <c r="Q840" i="21"/>
  <c r="S932" i="21"/>
  <c r="B712" i="21"/>
  <c r="H719" i="21"/>
  <c r="C821" i="21"/>
  <c r="R866" i="21"/>
  <c r="G948" i="21"/>
  <c r="C854" i="21"/>
  <c r="C261" i="14"/>
  <c r="T855" i="21"/>
  <c r="Q828" i="21"/>
  <c r="C711" i="21"/>
  <c r="D258" i="9"/>
  <c r="C283" i="9"/>
  <c r="C720" i="21"/>
  <c r="P849" i="21"/>
  <c r="U1034" i="21"/>
  <c r="D744" i="21"/>
  <c r="D748" i="21"/>
  <c r="C725" i="21"/>
  <c r="D262" i="9"/>
  <c r="T864" i="21"/>
  <c r="D723" i="21"/>
  <c r="C756" i="21"/>
  <c r="Q715" i="21"/>
  <c r="P733" i="21"/>
  <c r="D256" i="9"/>
  <c r="E86" i="9"/>
  <c r="T822" i="21"/>
  <c r="D758" i="21"/>
  <c r="D839" i="21"/>
  <c r="D247" i="9"/>
  <c r="T861" i="21"/>
  <c r="D739" i="21"/>
  <c r="T850" i="21"/>
  <c r="P726" i="21"/>
  <c r="B850" i="21"/>
  <c r="T1037" i="21"/>
  <c r="F835" i="21"/>
  <c r="B970" i="21"/>
  <c r="R836" i="21"/>
  <c r="E754" i="21"/>
  <c r="P741" i="21"/>
  <c r="C746" i="21"/>
  <c r="B732" i="21"/>
  <c r="C740" i="21"/>
  <c r="R962" i="21"/>
  <c r="M84" i="9"/>
  <c r="D88" i="9"/>
  <c r="B863" i="21"/>
  <c r="B734" i="21"/>
  <c r="E713" i="21"/>
  <c r="P739" i="21"/>
  <c r="R958" i="21"/>
  <c r="H701" i="21"/>
  <c r="B966" i="21"/>
  <c r="E716" i="21"/>
  <c r="E928" i="21"/>
  <c r="G863" i="21"/>
  <c r="D265" i="9"/>
  <c r="C1037" i="21"/>
  <c r="S855" i="21"/>
  <c r="B741" i="21"/>
  <c r="Q835" i="21"/>
  <c r="B821" i="21"/>
  <c r="V857" i="21"/>
  <c r="T833" i="21"/>
  <c r="E825" i="21"/>
  <c r="C957" i="21"/>
  <c r="B756" i="21"/>
  <c r="Q940" i="21"/>
  <c r="E725" i="21"/>
  <c r="T824" i="21"/>
  <c r="E865" i="21"/>
  <c r="Q837" i="21"/>
  <c r="D854" i="21"/>
  <c r="C935" i="21"/>
  <c r="Q738" i="21"/>
  <c r="P744" i="21"/>
  <c r="B953" i="21"/>
  <c r="Q721" i="21"/>
  <c r="S1036" i="21"/>
  <c r="B728" i="21"/>
  <c r="G953" i="21"/>
  <c r="V832" i="21"/>
  <c r="D245" i="9"/>
  <c r="C276" i="9"/>
  <c r="D270" i="9"/>
  <c r="P711" i="21"/>
  <c r="C244" i="9"/>
  <c r="C88" i="9"/>
  <c r="K89" i="9"/>
  <c r="E726" i="21"/>
  <c r="S823" i="21"/>
  <c r="G966" i="21"/>
  <c r="P715" i="21"/>
  <c r="T817" i="21"/>
  <c r="C262" i="14"/>
  <c r="Q969" i="21"/>
  <c r="P932" i="21"/>
  <c r="D964" i="21"/>
  <c r="E710" i="21"/>
  <c r="L83" i="9"/>
  <c r="P956" i="21"/>
  <c r="U1033" i="21"/>
  <c r="C284" i="9"/>
  <c r="C710" i="21"/>
  <c r="T858" i="21"/>
  <c r="C240" i="9"/>
  <c r="D709" i="21"/>
  <c r="E752" i="21"/>
  <c r="S842" i="21"/>
  <c r="C85" i="9"/>
  <c r="C721" i="21"/>
  <c r="F83" i="9"/>
  <c r="D242" i="9"/>
  <c r="M89" i="9"/>
  <c r="Q932" i="21"/>
  <c r="E723" i="21"/>
  <c r="P820" i="21"/>
  <c r="B841" i="21"/>
  <c r="R1036" i="21"/>
  <c r="F953" i="21"/>
  <c r="C719" i="21"/>
  <c r="F857" i="21"/>
  <c r="B723" i="21"/>
  <c r="G850" i="21"/>
  <c r="R854" i="21"/>
  <c r="B942" i="21"/>
  <c r="E730" i="21"/>
  <c r="B710" i="21"/>
  <c r="D841" i="21"/>
  <c r="C749" i="21"/>
  <c r="R823" i="21"/>
  <c r="D737" i="21"/>
  <c r="E741" i="21"/>
  <c r="D825" i="21"/>
  <c r="R964" i="21"/>
  <c r="B964" i="21"/>
  <c r="E970" i="21"/>
  <c r="V845" i="21"/>
  <c r="V826" i="21"/>
  <c r="U947" i="21"/>
  <c r="P728" i="21"/>
  <c r="C753" i="21"/>
  <c r="C25" i="9"/>
  <c r="B828" i="21"/>
  <c r="S817" i="21"/>
  <c r="E743" i="21"/>
  <c r="D252" i="9"/>
  <c r="Q833" i="21"/>
  <c r="D722" i="21"/>
  <c r="F839" i="21"/>
  <c r="B744" i="21"/>
  <c r="Q864" i="21"/>
  <c r="H854" i="21"/>
  <c r="D273" i="9"/>
  <c r="E841" i="21"/>
  <c r="R837" i="21"/>
  <c r="R849" i="21"/>
  <c r="P716" i="21"/>
  <c r="P845" i="21"/>
  <c r="D268" i="9"/>
  <c r="J88" i="9"/>
  <c r="H721" i="21"/>
  <c r="T841" i="21"/>
  <c r="H828" i="21"/>
  <c r="Q947" i="21"/>
  <c r="C828" i="21"/>
  <c r="E759" i="21"/>
  <c r="T827" i="21"/>
  <c r="E717" i="21"/>
  <c r="G841" i="21"/>
  <c r="D278" i="9"/>
  <c r="P844" i="21"/>
  <c r="T828" i="21"/>
  <c r="D749" i="21"/>
  <c r="C859" i="21"/>
  <c r="C271" i="14"/>
  <c r="S841" i="21"/>
  <c r="E733" i="21"/>
  <c r="E942" i="21"/>
  <c r="V842" i="21"/>
  <c r="Q711" i="21"/>
  <c r="T837" i="21"/>
  <c r="P847" i="21"/>
  <c r="B745" i="21"/>
  <c r="H864" i="21"/>
  <c r="F971" i="21"/>
  <c r="U961" i="21"/>
  <c r="V864" i="21"/>
  <c r="D726" i="21"/>
  <c r="S1034" i="21"/>
  <c r="S815" i="21"/>
  <c r="R1035" i="21"/>
  <c r="U964" i="21"/>
  <c r="R852" i="21"/>
  <c r="C735" i="21"/>
  <c r="R830" i="21"/>
  <c r="V861" i="21"/>
  <c r="V863" i="21"/>
  <c r="D263" i="9"/>
  <c r="D279" i="9"/>
  <c r="E836" i="21"/>
  <c r="D752" i="21"/>
  <c r="R843" i="21"/>
  <c r="D267" i="9"/>
  <c r="Q818" i="21"/>
  <c r="V854" i="21"/>
  <c r="B825" i="21"/>
  <c r="D738" i="21"/>
  <c r="Q856" i="21"/>
  <c r="E957" i="21"/>
  <c r="C739" i="21"/>
  <c r="B740" i="21"/>
  <c r="B729" i="21"/>
  <c r="D753" i="21"/>
  <c r="B736" i="21"/>
  <c r="P928" i="21"/>
  <c r="R1039" i="21"/>
  <c r="F970" i="21"/>
  <c r="E828" i="21"/>
  <c r="D972" i="21"/>
  <c r="S830" i="21"/>
  <c r="P846" i="21"/>
  <c r="H839" i="21"/>
  <c r="T821" i="21"/>
  <c r="Q850" i="21"/>
  <c r="Q962" i="21"/>
  <c r="T856" i="21"/>
  <c r="C963" i="21"/>
  <c r="C757" i="21"/>
  <c r="Q946" i="21"/>
  <c r="E712" i="21"/>
  <c r="E755" i="21"/>
  <c r="G854" i="21"/>
  <c r="C928" i="21"/>
  <c r="Q842" i="21"/>
  <c r="T832" i="21"/>
  <c r="Q934" i="21"/>
  <c r="R819" i="21"/>
  <c r="S832" i="21"/>
  <c r="V1036" i="21"/>
  <c r="P930" i="21"/>
  <c r="D756" i="21"/>
  <c r="D1037" i="21"/>
  <c r="T866" i="21"/>
  <c r="D272" i="9"/>
  <c r="D1034" i="21"/>
  <c r="S862" i="21"/>
  <c r="D1035" i="21"/>
  <c r="U958" i="21"/>
  <c r="S963" i="21"/>
  <c r="C942" i="21"/>
  <c r="E961" i="21"/>
  <c r="F865" i="21"/>
  <c r="S946" i="21"/>
  <c r="D264" i="9"/>
  <c r="Q740" i="21"/>
  <c r="P719" i="21"/>
  <c r="P857" i="21"/>
  <c r="Q845" i="21"/>
  <c r="S852" i="21"/>
  <c r="T836" i="21"/>
  <c r="E85" i="9"/>
  <c r="F943" i="21"/>
  <c r="C730" i="21"/>
  <c r="C732" i="21"/>
  <c r="H690" i="21"/>
  <c r="S824" i="21"/>
  <c r="H727" i="21"/>
  <c r="B957" i="21"/>
  <c r="P737" i="21"/>
  <c r="U963" i="21"/>
  <c r="P742" i="21"/>
  <c r="E1037" i="21"/>
  <c r="D966" i="21"/>
  <c r="Q831" i="21"/>
  <c r="E727" i="21"/>
  <c r="F863" i="21"/>
  <c r="C932" i="21"/>
  <c r="B751" i="21"/>
  <c r="E966" i="21"/>
  <c r="H718" i="21"/>
  <c r="C971" i="21"/>
  <c r="R928" i="21"/>
  <c r="F972" i="21"/>
  <c r="D935" i="21"/>
  <c r="P850" i="21"/>
  <c r="R842" i="21"/>
  <c r="B1036" i="21"/>
  <c r="P722" i="21"/>
  <c r="R946" i="21"/>
  <c r="C263" i="14"/>
  <c r="D725" i="21"/>
  <c r="P743" i="21"/>
  <c r="V1034" i="21"/>
  <c r="P839" i="21"/>
  <c r="P730" i="21"/>
  <c r="C1036" i="21"/>
  <c r="P854" i="21"/>
  <c r="T854" i="21"/>
  <c r="Q852" i="21"/>
  <c r="P825" i="21"/>
  <c r="R851" i="21"/>
  <c r="S828" i="21"/>
  <c r="R959" i="21"/>
  <c r="E715" i="21"/>
  <c r="C734" i="21"/>
  <c r="S819" i="21"/>
  <c r="Q838" i="21"/>
  <c r="P729" i="21"/>
  <c r="P851" i="21"/>
  <c r="D274" i="9"/>
  <c r="D243" i="9"/>
  <c r="T860" i="21"/>
  <c r="M83" i="9"/>
  <c r="E89" i="9"/>
  <c r="D928" i="21"/>
  <c r="H863" i="21"/>
  <c r="P735" i="21"/>
  <c r="N83" i="9"/>
  <c r="V1039" i="21"/>
  <c r="V1037" i="21"/>
  <c r="E734" i="21"/>
  <c r="C729" i="21"/>
  <c r="B742" i="21"/>
  <c r="Q844" i="21"/>
  <c r="Q839" i="21"/>
  <c r="V823" i="21"/>
  <c r="C86" i="9"/>
  <c r="R835" i="21"/>
  <c r="C964" i="21"/>
  <c r="C258" i="9"/>
  <c r="E735" i="21"/>
  <c r="R969" i="21"/>
  <c r="Q930" i="21"/>
  <c r="G839" i="21"/>
  <c r="C850" i="21"/>
  <c r="S950" i="21"/>
  <c r="P826" i="21"/>
  <c r="U1039" i="21"/>
  <c r="V831" i="21"/>
  <c r="R824" i="21"/>
  <c r="D1036" i="21"/>
  <c r="S1038" i="21"/>
  <c r="D85" i="9"/>
  <c r="V1035" i="21"/>
  <c r="D712" i="21"/>
  <c r="E25" i="9"/>
  <c r="V843" i="21"/>
  <c r="B755" i="21"/>
  <c r="F864" i="21"/>
  <c r="R833" i="21"/>
  <c r="C709" i="21"/>
  <c r="S854" i="21"/>
  <c r="T831" i="21"/>
  <c r="R857" i="21"/>
  <c r="P816" i="21"/>
  <c r="U934" i="21"/>
  <c r="V829" i="21"/>
  <c r="C946" i="21"/>
  <c r="Q851" i="21"/>
  <c r="S827" i="21"/>
  <c r="P962" i="21"/>
  <c r="C755" i="21"/>
  <c r="C1158" i="21" l="1"/>
  <c r="E1158" i="21"/>
  <c r="C1159" i="21"/>
  <c r="E1159" i="21"/>
  <c r="H1158" i="21"/>
  <c r="I1158" i="21"/>
  <c r="H1159" i="21"/>
  <c r="I1157" i="21"/>
  <c r="C1157" i="21"/>
  <c r="F1158" i="21"/>
  <c r="E1157" i="21"/>
  <c r="F1159" i="21"/>
  <c r="H1157" i="21"/>
  <c r="I1159" i="21"/>
  <c r="F1157" i="21"/>
  <c r="I854" i="21"/>
  <c r="H943" i="21"/>
  <c r="J854" i="21"/>
  <c r="L865" i="21"/>
  <c r="K865" i="21"/>
  <c r="L836" i="21"/>
  <c r="K836" i="21"/>
  <c r="I863" i="21"/>
  <c r="I836" i="21"/>
  <c r="I970" i="21"/>
  <c r="I828" i="21"/>
  <c r="I839" i="21"/>
  <c r="J865" i="21"/>
  <c r="H961" i="21"/>
  <c r="H946" i="21"/>
  <c r="I971" i="21"/>
  <c r="K863" i="21"/>
  <c r="L863" i="21"/>
  <c r="L864" i="21"/>
  <c r="K864" i="21"/>
  <c r="I961" i="21"/>
  <c r="J839" i="21"/>
  <c r="H970" i="21"/>
  <c r="I972" i="21"/>
  <c r="I865" i="21"/>
  <c r="J863" i="21"/>
  <c r="I943" i="21"/>
  <c r="J828" i="21"/>
  <c r="I864" i="21"/>
  <c r="L828" i="21"/>
  <c r="K828" i="21"/>
  <c r="H935" i="21"/>
  <c r="I935" i="21"/>
  <c r="L839" i="21"/>
  <c r="K839" i="21"/>
  <c r="H972" i="21"/>
  <c r="J836" i="21"/>
  <c r="L854" i="21"/>
  <c r="K854" i="21"/>
  <c r="I946" i="21"/>
  <c r="H971" i="21"/>
  <c r="X840" i="21"/>
  <c r="W850" i="21"/>
  <c r="W816" i="21"/>
  <c r="H953" i="21"/>
  <c r="H963" i="21"/>
  <c r="H1096" i="21"/>
  <c r="H1120" i="21"/>
  <c r="H1108" i="21"/>
  <c r="H1132" i="21"/>
  <c r="H1144" i="21"/>
  <c r="H1084" i="21"/>
  <c r="H1072" i="21"/>
  <c r="H1156" i="21"/>
  <c r="Y839" i="21"/>
  <c r="Z839" i="21"/>
  <c r="X839" i="21"/>
  <c r="X838" i="21"/>
  <c r="H964" i="21"/>
  <c r="E1087" i="21"/>
  <c r="E1111" i="21"/>
  <c r="E1075" i="21"/>
  <c r="E1099" i="21"/>
  <c r="E1135" i="21"/>
  <c r="E1123" i="21"/>
  <c r="E1147" i="21"/>
  <c r="W832" i="21"/>
  <c r="V946" i="21"/>
  <c r="I1101" i="21"/>
  <c r="I1149" i="21"/>
  <c r="I1113" i="21"/>
  <c r="I1077" i="21"/>
  <c r="I1125" i="21"/>
  <c r="I1089" i="21"/>
  <c r="I1137" i="21"/>
  <c r="I964" i="21"/>
  <c r="Z816" i="21"/>
  <c r="Y816" i="21"/>
  <c r="X831" i="21"/>
  <c r="I963" i="21"/>
  <c r="I850" i="21"/>
  <c r="W841" i="21"/>
  <c r="E1086" i="21"/>
  <c r="E1122" i="21"/>
  <c r="E1110" i="21"/>
  <c r="E1146" i="21"/>
  <c r="E1074" i="21"/>
  <c r="E1134" i="21"/>
  <c r="E1098" i="21"/>
  <c r="V958" i="21"/>
  <c r="F1089" i="21"/>
  <c r="F1077" i="21"/>
  <c r="F1113" i="21"/>
  <c r="F1149" i="21"/>
  <c r="F1125" i="21"/>
  <c r="F1101" i="21"/>
  <c r="F1137" i="21"/>
  <c r="W934" i="21"/>
  <c r="X819" i="21"/>
  <c r="X857" i="21"/>
  <c r="W831" i="21"/>
  <c r="Z836" i="21"/>
  <c r="Y836" i="21"/>
  <c r="W845" i="21"/>
  <c r="W950" i="21"/>
  <c r="V964" i="21"/>
  <c r="F1097" i="21"/>
  <c r="F1109" i="21"/>
  <c r="F1145" i="21"/>
  <c r="F1085" i="21"/>
  <c r="F1133" i="21"/>
  <c r="F1073" i="21"/>
  <c r="F1121" i="21"/>
  <c r="J841" i="21"/>
  <c r="C1148" i="21"/>
  <c r="C1100" i="21"/>
  <c r="C1136" i="21"/>
  <c r="C1088" i="21"/>
  <c r="C1112" i="21"/>
  <c r="C1076" i="21"/>
  <c r="C1124" i="21"/>
  <c r="W843" i="21"/>
  <c r="H1143" i="21"/>
  <c r="H1119" i="21"/>
  <c r="H1071" i="21"/>
  <c r="H1107" i="21"/>
  <c r="H1095" i="21"/>
  <c r="H1155" i="21"/>
  <c r="H1083" i="21"/>
  <c r="H1131" i="21"/>
  <c r="W819" i="21"/>
  <c r="H928" i="21"/>
  <c r="I1136" i="21"/>
  <c r="I1112" i="21"/>
  <c r="I1124" i="21"/>
  <c r="I1148" i="21"/>
  <c r="I1088" i="21"/>
  <c r="I1076" i="21"/>
  <c r="I1100" i="21"/>
  <c r="J850" i="21"/>
  <c r="L859" i="21"/>
  <c r="K859" i="21"/>
  <c r="F1153" i="21"/>
  <c r="F1081" i="21"/>
  <c r="F1129" i="21"/>
  <c r="F1105" i="21"/>
  <c r="F1117" i="21"/>
  <c r="F1141" i="21"/>
  <c r="F1093" i="21"/>
  <c r="Y861" i="21"/>
  <c r="Z861" i="21"/>
  <c r="W822" i="21"/>
  <c r="W824" i="21"/>
  <c r="H1117" i="21"/>
  <c r="H1153" i="21"/>
  <c r="H1081" i="21"/>
  <c r="H1105" i="21"/>
  <c r="H1129" i="21"/>
  <c r="H1141" i="21"/>
  <c r="H1093" i="21"/>
  <c r="H1138" i="21"/>
  <c r="H1090" i="21"/>
  <c r="H1102" i="21"/>
  <c r="H1114" i="21"/>
  <c r="H1126" i="21"/>
  <c r="H1078" i="21"/>
  <c r="H1150" i="21"/>
  <c r="Y858" i="21"/>
  <c r="Z858" i="21"/>
  <c r="W959" i="21"/>
  <c r="H1098" i="21"/>
  <c r="H1074" i="21"/>
  <c r="H1134" i="21"/>
  <c r="H1086" i="21"/>
  <c r="H1146" i="21"/>
  <c r="H1110" i="21"/>
  <c r="H1122" i="21"/>
  <c r="W932" i="21"/>
  <c r="W969" i="21"/>
  <c r="W847" i="21"/>
  <c r="Y835" i="21"/>
  <c r="Z835" i="21"/>
  <c r="K821" i="21"/>
  <c r="L821" i="21"/>
  <c r="H1100" i="21"/>
  <c r="H1088" i="21"/>
  <c r="H1112" i="21"/>
  <c r="H1124" i="21"/>
  <c r="H1076" i="21"/>
  <c r="H1136" i="21"/>
  <c r="H1148" i="21"/>
  <c r="W858" i="21"/>
  <c r="W856" i="21"/>
  <c r="D1152" i="21"/>
  <c r="D1116" i="21"/>
  <c r="D1104" i="21"/>
  <c r="D1140" i="21"/>
  <c r="D1080" i="21"/>
  <c r="D1092" i="21"/>
  <c r="D1128" i="21"/>
  <c r="X816" i="21"/>
  <c r="F1130" i="21"/>
  <c r="F1106" i="21"/>
  <c r="F1142" i="21"/>
  <c r="F1154" i="21"/>
  <c r="F1118" i="21"/>
  <c r="F1082" i="21"/>
  <c r="F1070" i="21"/>
  <c r="F1094" i="21"/>
  <c r="Z823" i="21"/>
  <c r="Y823" i="21"/>
  <c r="I1085" i="21"/>
  <c r="I1133" i="21"/>
  <c r="I1097" i="21"/>
  <c r="I1109" i="21"/>
  <c r="I1121" i="21"/>
  <c r="I1073" i="21"/>
  <c r="I1145" i="21"/>
  <c r="K857" i="21"/>
  <c r="L857" i="21"/>
  <c r="I1103" i="21"/>
  <c r="I1091" i="21"/>
  <c r="I1151" i="21"/>
  <c r="I1079" i="21"/>
  <c r="I1115" i="21"/>
  <c r="I1139" i="21"/>
  <c r="I1127" i="21"/>
  <c r="C1106" i="21"/>
  <c r="C1070" i="21"/>
  <c r="C1154" i="21"/>
  <c r="C1142" i="21"/>
  <c r="C1094" i="21"/>
  <c r="C1082" i="21"/>
  <c r="C1118" i="21"/>
  <c r="C1130" i="21"/>
  <c r="J864" i="21"/>
  <c r="V950" i="21"/>
  <c r="W963" i="21"/>
  <c r="F1100" i="21"/>
  <c r="F1076" i="21"/>
  <c r="F1112" i="21"/>
  <c r="F1148" i="21"/>
  <c r="F1136" i="21"/>
  <c r="F1088" i="21"/>
  <c r="F1124" i="21"/>
  <c r="X860" i="21"/>
  <c r="V959" i="21"/>
  <c r="W940" i="21"/>
  <c r="X835" i="21"/>
  <c r="K850" i="21"/>
  <c r="L850" i="21"/>
  <c r="W828" i="21"/>
  <c r="W829" i="21"/>
  <c r="Z857" i="21"/>
  <c r="Y857" i="21"/>
  <c r="W826" i="21"/>
  <c r="W958" i="21"/>
  <c r="W964" i="21"/>
  <c r="C1145" i="21"/>
  <c r="C1085" i="21"/>
  <c r="C1121" i="21"/>
  <c r="C1133" i="21"/>
  <c r="C1109" i="21"/>
  <c r="C1097" i="21"/>
  <c r="C1073" i="21"/>
  <c r="H1106" i="21"/>
  <c r="H1118" i="21"/>
  <c r="H1154" i="21"/>
  <c r="H1082" i="21"/>
  <c r="H1070" i="21"/>
  <c r="H1094" i="21"/>
  <c r="H1130" i="21"/>
  <c r="H1142" i="21"/>
  <c r="X823" i="21"/>
  <c r="F1119" i="21"/>
  <c r="F1155" i="21"/>
  <c r="F1083" i="21"/>
  <c r="F1131" i="21"/>
  <c r="F1143" i="21"/>
  <c r="F1071" i="21"/>
  <c r="F1107" i="21"/>
  <c r="F1095" i="21"/>
  <c r="I957" i="21"/>
  <c r="X849" i="21"/>
  <c r="W848" i="21"/>
  <c r="X855" i="21"/>
  <c r="Z846" i="21"/>
  <c r="Y846" i="21"/>
  <c r="I841" i="21"/>
  <c r="V969" i="21"/>
  <c r="W815" i="21"/>
  <c r="W852" i="21"/>
  <c r="Z854" i="21"/>
  <c r="Y854" i="21"/>
  <c r="X858" i="21"/>
  <c r="I846" i="21"/>
  <c r="X850" i="21"/>
  <c r="Z828" i="21"/>
  <c r="Y828" i="21"/>
  <c r="V963" i="21"/>
  <c r="W821" i="21"/>
  <c r="X859" i="21"/>
  <c r="X828" i="21"/>
  <c r="X846" i="21"/>
  <c r="X832" i="21"/>
  <c r="U1040" i="21"/>
  <c r="U1051" i="21" s="1"/>
  <c r="X833" i="21"/>
  <c r="W820" i="21"/>
  <c r="X861" i="21"/>
  <c r="J859" i="21"/>
  <c r="W839" i="21"/>
  <c r="X815" i="21"/>
  <c r="H1149" i="21"/>
  <c r="H1077" i="21"/>
  <c r="H1089" i="21"/>
  <c r="H1101" i="21"/>
  <c r="H1137" i="21"/>
  <c r="H1113" i="21"/>
  <c r="H1125" i="21"/>
  <c r="Z815" i="21"/>
  <c r="Y815" i="21"/>
  <c r="X847" i="21"/>
  <c r="Y832" i="21"/>
  <c r="Z832" i="21"/>
  <c r="X821" i="21"/>
  <c r="W844" i="21"/>
  <c r="X837" i="21"/>
  <c r="W851" i="21"/>
  <c r="E1155" i="21"/>
  <c r="E1083" i="21"/>
  <c r="E1107" i="21"/>
  <c r="E1143" i="21"/>
  <c r="E1131" i="21"/>
  <c r="E1095" i="21"/>
  <c r="E1119" i="21"/>
  <c r="E1071" i="21"/>
  <c r="W846" i="21"/>
  <c r="W823" i="21"/>
  <c r="E1156" i="21"/>
  <c r="E1108" i="21"/>
  <c r="E1132" i="21"/>
  <c r="E1120" i="21"/>
  <c r="E1084" i="21"/>
  <c r="E1096" i="21"/>
  <c r="E1072" i="21"/>
  <c r="E1144" i="21"/>
  <c r="Y848" i="21"/>
  <c r="Z848" i="21"/>
  <c r="F1152" i="21"/>
  <c r="F1116" i="21"/>
  <c r="F1128" i="21"/>
  <c r="F1080" i="21"/>
  <c r="F1092" i="21"/>
  <c r="F1140" i="21"/>
  <c r="F1104" i="21"/>
  <c r="H1085" i="21"/>
  <c r="H1133" i="21"/>
  <c r="H1145" i="21"/>
  <c r="H1121" i="21"/>
  <c r="H1097" i="21"/>
  <c r="H1073" i="21"/>
  <c r="H1109" i="21"/>
  <c r="C1090" i="21"/>
  <c r="C1138" i="21"/>
  <c r="C1126" i="21"/>
  <c r="C1114" i="21"/>
  <c r="C1102" i="21"/>
  <c r="C1150" i="21"/>
  <c r="C1078" i="21"/>
  <c r="V932" i="21"/>
  <c r="F1150" i="21"/>
  <c r="F1090" i="21"/>
  <c r="F1078" i="21"/>
  <c r="F1114" i="21"/>
  <c r="F1138" i="21"/>
  <c r="F1102" i="21"/>
  <c r="F1126" i="21"/>
  <c r="S1040" i="21"/>
  <c r="S1051" i="21" s="1"/>
  <c r="X862" i="21"/>
  <c r="I1092" i="21"/>
  <c r="I1080" i="21"/>
  <c r="I1116" i="21"/>
  <c r="I1104" i="21"/>
  <c r="I1140" i="21"/>
  <c r="I1152" i="21"/>
  <c r="I1128" i="21"/>
  <c r="W833" i="21"/>
  <c r="E1090" i="21"/>
  <c r="E1138" i="21"/>
  <c r="E1078" i="21"/>
  <c r="E1114" i="21"/>
  <c r="E1126" i="21"/>
  <c r="E1150" i="21"/>
  <c r="E1102" i="21"/>
  <c r="W863" i="21"/>
  <c r="I859" i="21"/>
  <c r="Z860" i="21"/>
  <c r="Y860" i="21"/>
  <c r="J857" i="21"/>
  <c r="I1147" i="21"/>
  <c r="I1075" i="21"/>
  <c r="I1135" i="21"/>
  <c r="I1087" i="21"/>
  <c r="I1111" i="21"/>
  <c r="I1099" i="21"/>
  <c r="I1123" i="21"/>
  <c r="C1103" i="21"/>
  <c r="C1079" i="21"/>
  <c r="C1139" i="21"/>
  <c r="C1091" i="21"/>
  <c r="C1151" i="21"/>
  <c r="C1115" i="21"/>
  <c r="C1127" i="21"/>
  <c r="Z862" i="21"/>
  <c r="Y862" i="21"/>
  <c r="W956" i="21"/>
  <c r="X834" i="21"/>
  <c r="W855" i="21"/>
  <c r="I1094" i="21"/>
  <c r="I1082" i="21"/>
  <c r="I1154" i="21"/>
  <c r="I1070" i="21"/>
  <c r="I1106" i="21"/>
  <c r="I1142" i="21"/>
  <c r="I1118" i="21"/>
  <c r="I1130" i="21"/>
  <c r="J856" i="21"/>
  <c r="Y827" i="21"/>
  <c r="Z827" i="21"/>
  <c r="H948" i="21"/>
  <c r="Y842" i="21"/>
  <c r="Z842" i="21"/>
  <c r="W840" i="21"/>
  <c r="X826" i="21"/>
  <c r="W835" i="21"/>
  <c r="X864" i="21"/>
  <c r="X830" i="21"/>
  <c r="Y825" i="21"/>
  <c r="Z825" i="21"/>
  <c r="E1151" i="21"/>
  <c r="E1139" i="21"/>
  <c r="E1091" i="21"/>
  <c r="E1115" i="21"/>
  <c r="E1079" i="21"/>
  <c r="E1103" i="21"/>
  <c r="E1127" i="21"/>
  <c r="Y818" i="21"/>
  <c r="Z818" i="21"/>
  <c r="Z859" i="21"/>
  <c r="Y859" i="21"/>
  <c r="W827" i="21"/>
  <c r="Y837" i="21"/>
  <c r="Z837" i="21"/>
  <c r="I1096" i="21"/>
  <c r="I1108" i="21"/>
  <c r="I1072" i="21"/>
  <c r="I1120" i="21"/>
  <c r="I1144" i="21"/>
  <c r="I1132" i="21"/>
  <c r="I1156" i="21"/>
  <c r="I1084" i="21"/>
  <c r="W836" i="21"/>
  <c r="Y841" i="21"/>
  <c r="Z841" i="21"/>
  <c r="Z850" i="21"/>
  <c r="Y850" i="21"/>
  <c r="W830" i="21"/>
  <c r="I966" i="21"/>
  <c r="I928" i="21"/>
  <c r="I856" i="21"/>
  <c r="I932" i="21"/>
  <c r="W818" i="21"/>
  <c r="V940" i="21"/>
  <c r="W854" i="21"/>
  <c r="W861" i="21"/>
  <c r="L841" i="21"/>
  <c r="K841" i="21"/>
  <c r="V956" i="21"/>
  <c r="W961" i="21"/>
  <c r="C1084" i="21"/>
  <c r="C1132" i="21"/>
  <c r="C1108" i="21"/>
  <c r="C1120" i="21"/>
  <c r="C1096" i="21"/>
  <c r="C1144" i="21"/>
  <c r="C1156" i="21"/>
  <c r="C1072" i="21"/>
  <c r="Z819" i="21"/>
  <c r="Y819" i="21"/>
  <c r="Y847" i="21"/>
  <c r="Z847" i="21"/>
  <c r="X854" i="21"/>
  <c r="X836" i="21"/>
  <c r="V928" i="21"/>
  <c r="Y852" i="21"/>
  <c r="Z852" i="21"/>
  <c r="Z824" i="21"/>
  <c r="Y824" i="21"/>
  <c r="I821" i="21"/>
  <c r="Z844" i="21"/>
  <c r="Y844" i="21"/>
  <c r="Y843" i="21"/>
  <c r="Z843" i="21"/>
  <c r="X818" i="21"/>
  <c r="W862" i="21"/>
  <c r="W860" i="21"/>
  <c r="I1078" i="21"/>
  <c r="I1126" i="21"/>
  <c r="I1090" i="21"/>
  <c r="I1114" i="21"/>
  <c r="I1102" i="21"/>
  <c r="I1138" i="21"/>
  <c r="I1150" i="21"/>
  <c r="K825" i="21"/>
  <c r="L825" i="21"/>
  <c r="W825" i="21"/>
  <c r="X824" i="21"/>
  <c r="W864" i="21"/>
  <c r="X863" i="21"/>
  <c r="W865" i="21"/>
  <c r="L846" i="21"/>
  <c r="K846" i="21"/>
  <c r="I948" i="21"/>
  <c r="Y849" i="21"/>
  <c r="Z849" i="21"/>
  <c r="I1143" i="21"/>
  <c r="I1095" i="21"/>
  <c r="I1107" i="21"/>
  <c r="I1119" i="21"/>
  <c r="I1155" i="21"/>
  <c r="I1071" i="21"/>
  <c r="I1131" i="21"/>
  <c r="I1083" i="21"/>
  <c r="Y826" i="21"/>
  <c r="Z826" i="21"/>
  <c r="Y855" i="21"/>
  <c r="Z855" i="21"/>
  <c r="V962" i="21"/>
  <c r="W857" i="21"/>
  <c r="W925" i="21"/>
  <c r="Z831" i="21"/>
  <c r="Y831" i="21"/>
  <c r="Y817" i="21"/>
  <c r="Z817" i="21"/>
  <c r="H1092" i="21"/>
  <c r="H1152" i="21"/>
  <c r="H1104" i="21"/>
  <c r="H1128" i="21"/>
  <c r="H1116" i="21"/>
  <c r="H1080" i="21"/>
  <c r="H1140" i="21"/>
  <c r="X845" i="21"/>
  <c r="X852" i="21"/>
  <c r="H966" i="21"/>
  <c r="K856" i="21"/>
  <c r="L856" i="21"/>
  <c r="W947" i="21"/>
  <c r="H932" i="21"/>
  <c r="V1040" i="21"/>
  <c r="V1052" i="21" s="1"/>
  <c r="Y822" i="21"/>
  <c r="Z822" i="21"/>
  <c r="J846" i="21"/>
  <c r="Z840" i="21"/>
  <c r="Y840" i="21"/>
  <c r="W849" i="21"/>
  <c r="C1101" i="21"/>
  <c r="C1077" i="21"/>
  <c r="C1089" i="21"/>
  <c r="C1125" i="21"/>
  <c r="C1149" i="21"/>
  <c r="C1137" i="21"/>
  <c r="C1113" i="21"/>
  <c r="X825" i="21"/>
  <c r="E1077" i="21"/>
  <c r="E1101" i="21"/>
  <c r="E1149" i="21"/>
  <c r="E1137" i="21"/>
  <c r="E1113" i="21"/>
  <c r="E1125" i="21"/>
  <c r="E1089" i="21"/>
  <c r="H1147" i="21"/>
  <c r="H1111" i="21"/>
  <c r="H1123" i="21"/>
  <c r="H1099" i="21"/>
  <c r="H1075" i="21"/>
  <c r="H1135" i="21"/>
  <c r="H1087" i="21"/>
  <c r="X842" i="21"/>
  <c r="C1081" i="21"/>
  <c r="C1093" i="21"/>
  <c r="C1141" i="21"/>
  <c r="C1153" i="21"/>
  <c r="C1129" i="21"/>
  <c r="C1105" i="21"/>
  <c r="C1117" i="21"/>
  <c r="X817" i="21"/>
  <c r="X843" i="21"/>
  <c r="E1081" i="21"/>
  <c r="E1117" i="21"/>
  <c r="E1141" i="21"/>
  <c r="E1105" i="21"/>
  <c r="E1153" i="21"/>
  <c r="E1093" i="21"/>
  <c r="E1129" i="21"/>
  <c r="V930" i="21"/>
  <c r="F1087" i="21"/>
  <c r="F1123" i="21"/>
  <c r="F1111" i="21"/>
  <c r="F1135" i="21"/>
  <c r="F1075" i="21"/>
  <c r="F1099" i="21"/>
  <c r="F1147" i="21"/>
  <c r="V961" i="21"/>
  <c r="X856" i="21"/>
  <c r="J821" i="21"/>
  <c r="I1153" i="21"/>
  <c r="I1141" i="21"/>
  <c r="I1105" i="21"/>
  <c r="I1117" i="21"/>
  <c r="I1081" i="21"/>
  <c r="I1129" i="21"/>
  <c r="I1093" i="21"/>
  <c r="F1110" i="21"/>
  <c r="F1098" i="21"/>
  <c r="F1074" i="21"/>
  <c r="F1122" i="21"/>
  <c r="F1134" i="21"/>
  <c r="F1146" i="21"/>
  <c r="F1086" i="21"/>
  <c r="I953" i="21"/>
  <c r="W866" i="21"/>
  <c r="H1103" i="21"/>
  <c r="H1091" i="21"/>
  <c r="H1079" i="21"/>
  <c r="H1115" i="21"/>
  <c r="H1151" i="21"/>
  <c r="H1127" i="21"/>
  <c r="H1139" i="21"/>
  <c r="E1094" i="21"/>
  <c r="E1154" i="21"/>
  <c r="E1130" i="21"/>
  <c r="E1070" i="21"/>
  <c r="E1142" i="21"/>
  <c r="E1082" i="21"/>
  <c r="E1118" i="21"/>
  <c r="E1106" i="21"/>
  <c r="W859" i="21"/>
  <c r="F1096" i="21"/>
  <c r="F1072" i="21"/>
  <c r="F1144" i="21"/>
  <c r="F1084" i="21"/>
  <c r="F1132" i="21"/>
  <c r="F1120" i="21"/>
  <c r="F1156" i="21"/>
  <c r="F1108" i="21"/>
  <c r="X829" i="21"/>
  <c r="Z845" i="21"/>
  <c r="Y845" i="21"/>
  <c r="W837" i="21"/>
  <c r="C1146" i="21"/>
  <c r="C1086" i="21"/>
  <c r="C1098" i="21"/>
  <c r="C1134" i="21"/>
  <c r="C1074" i="21"/>
  <c r="C1122" i="21"/>
  <c r="C1110" i="21"/>
  <c r="Z834" i="21"/>
  <c r="Y834" i="21"/>
  <c r="X848" i="21"/>
  <c r="W817" i="21"/>
  <c r="R1040" i="21"/>
  <c r="R1053" i="21" s="1"/>
  <c r="I825" i="21"/>
  <c r="X822" i="21"/>
  <c r="V925" i="21"/>
  <c r="Z851" i="21"/>
  <c r="Y851" i="21"/>
  <c r="C1075" i="21"/>
  <c r="C1147" i="21"/>
  <c r="C1123" i="21"/>
  <c r="C1099" i="21"/>
  <c r="C1135" i="21"/>
  <c r="C1111" i="21"/>
  <c r="C1087" i="21"/>
  <c r="Z820" i="21"/>
  <c r="Y820" i="21"/>
  <c r="Z856" i="21"/>
  <c r="Y856" i="21"/>
  <c r="W946" i="21"/>
  <c r="Y833" i="21"/>
  <c r="Z833" i="21"/>
  <c r="X844" i="21"/>
  <c r="X865" i="21"/>
  <c r="Y829" i="21"/>
  <c r="Z829" i="21"/>
  <c r="W928" i="21"/>
  <c r="W834" i="21"/>
  <c r="Y838" i="21"/>
  <c r="Z838" i="21"/>
  <c r="X820" i="21"/>
  <c r="T1040" i="21"/>
  <c r="T1055" i="21" s="1"/>
  <c r="C1119" i="21"/>
  <c r="C1095" i="21"/>
  <c r="C1143" i="21"/>
  <c r="C1155" i="21"/>
  <c r="C1071" i="21"/>
  <c r="C1083" i="21"/>
  <c r="C1107" i="21"/>
  <c r="C1131" i="21"/>
  <c r="W842" i="21"/>
  <c r="F1079" i="21"/>
  <c r="F1103" i="21"/>
  <c r="F1091" i="21"/>
  <c r="F1139" i="21"/>
  <c r="F1115" i="21"/>
  <c r="F1151" i="21"/>
  <c r="F1127" i="21"/>
  <c r="J825" i="21"/>
  <c r="I1098" i="21"/>
  <c r="I1134" i="21"/>
  <c r="I1086" i="21"/>
  <c r="I1122" i="21"/>
  <c r="I1074" i="21"/>
  <c r="I1146" i="21"/>
  <c r="I1110" i="21"/>
  <c r="V934" i="21"/>
  <c r="X841" i="21"/>
  <c r="W838" i="21"/>
  <c r="C1140" i="21"/>
  <c r="C1116" i="21"/>
  <c r="C1080" i="21"/>
  <c r="C1128" i="21"/>
  <c r="C1152" i="21"/>
  <c r="C1104" i="21"/>
  <c r="C1092" i="21"/>
  <c r="Z821" i="21"/>
  <c r="Y821" i="21"/>
  <c r="X851" i="21"/>
  <c r="E1073" i="21"/>
  <c r="E1145" i="21"/>
  <c r="E1085" i="21"/>
  <c r="E1097" i="21"/>
  <c r="E1121" i="21"/>
  <c r="E1109" i="21"/>
  <c r="E1133" i="21"/>
  <c r="V947" i="21"/>
  <c r="X827" i="21"/>
  <c r="Y830" i="21"/>
  <c r="Z830" i="21"/>
  <c r="W930" i="21"/>
  <c r="I857" i="21"/>
  <c r="H957" i="21"/>
  <c r="E1112" i="21"/>
  <c r="E1100" i="21"/>
  <c r="E1136" i="21"/>
  <c r="E1076" i="21"/>
  <c r="E1124" i="21"/>
  <c r="E1088" i="21"/>
  <c r="E1148" i="21"/>
  <c r="X866" i="21"/>
  <c r="W962" i="21"/>
  <c r="I835" i="21"/>
  <c r="J835" i="21"/>
  <c r="L835" i="21"/>
  <c r="K835" i="21"/>
  <c r="AH40" i="5"/>
  <c r="L40" i="5" s="1"/>
  <c r="D27" i="5"/>
  <c r="AH18" i="5"/>
  <c r="L18" i="5" s="1"/>
  <c r="G942" i="21"/>
  <c r="H84" i="9"/>
  <c r="E84" i="9"/>
  <c r="L87" i="9"/>
  <c r="J84" i="9"/>
  <c r="I87" i="9"/>
  <c r="E87" i="9"/>
  <c r="J87" i="9"/>
  <c r="K87" i="9"/>
  <c r="D87" i="9"/>
  <c r="C84" i="9"/>
  <c r="K84" i="9"/>
  <c r="G87" i="9"/>
  <c r="G84" i="9"/>
  <c r="D84" i="9"/>
  <c r="N84" i="9"/>
  <c r="F84" i="9"/>
  <c r="F87" i="9"/>
  <c r="N87" i="9"/>
  <c r="C87" i="9"/>
  <c r="I84" i="9"/>
  <c r="H87" i="9"/>
  <c r="L84" i="9"/>
  <c r="M87" i="9"/>
  <c r="F942" i="21"/>
  <c r="D1158" i="21" l="1"/>
  <c r="G1159" i="21"/>
  <c r="D1157" i="21"/>
  <c r="G1157" i="21"/>
  <c r="G1158" i="21"/>
  <c r="D1159" i="21"/>
  <c r="U1054" i="21"/>
  <c r="U1055" i="21"/>
  <c r="S1052" i="21"/>
  <c r="U1056" i="21"/>
  <c r="R1051" i="21"/>
  <c r="T1053" i="21"/>
  <c r="R1055" i="21"/>
  <c r="T1052" i="21"/>
  <c r="S1056" i="21"/>
  <c r="R1052" i="21"/>
  <c r="T1056" i="21"/>
  <c r="V1055" i="21"/>
  <c r="V1054" i="21"/>
  <c r="S1054" i="21"/>
  <c r="U1052" i="21"/>
  <c r="T1051" i="21"/>
  <c r="U1053" i="21"/>
  <c r="V1051" i="21"/>
  <c r="S1055" i="21"/>
  <c r="R1054" i="21"/>
  <c r="D1087" i="21"/>
  <c r="D1075" i="21"/>
  <c r="D1135" i="21"/>
  <c r="D1147" i="21"/>
  <c r="D1123" i="21"/>
  <c r="D1099" i="21"/>
  <c r="D1111" i="21"/>
  <c r="D1095" i="21"/>
  <c r="D1083" i="21"/>
  <c r="D1143" i="21"/>
  <c r="D1119" i="21"/>
  <c r="D1131" i="21"/>
  <c r="D1155" i="21"/>
  <c r="D1107" i="21"/>
  <c r="D1071" i="21"/>
  <c r="D1101" i="21"/>
  <c r="D1125" i="21"/>
  <c r="D1077" i="21"/>
  <c r="D1089" i="21"/>
  <c r="D1113" i="21"/>
  <c r="D1137" i="21"/>
  <c r="D1149" i="21"/>
  <c r="D1151" i="21"/>
  <c r="D1139" i="21"/>
  <c r="D1091" i="21"/>
  <c r="D1115" i="21"/>
  <c r="D1127" i="21"/>
  <c r="D1079" i="21"/>
  <c r="D1103" i="21"/>
  <c r="G1095" i="21"/>
  <c r="G1131" i="21"/>
  <c r="G1107" i="21"/>
  <c r="G1155" i="21"/>
  <c r="G1143" i="21"/>
  <c r="G1119" i="21"/>
  <c r="G1071" i="21"/>
  <c r="G1083" i="21"/>
  <c r="D1142" i="21"/>
  <c r="D1082" i="21"/>
  <c r="D1070" i="21"/>
  <c r="D1154" i="21"/>
  <c r="D1130" i="21"/>
  <c r="D1118" i="21"/>
  <c r="D1106" i="21"/>
  <c r="D1094" i="21"/>
  <c r="D1090" i="21"/>
  <c r="D1102" i="21"/>
  <c r="D1138" i="21"/>
  <c r="D1126" i="21"/>
  <c r="D1078" i="21"/>
  <c r="D1150" i="21"/>
  <c r="D1114" i="21"/>
  <c r="D1156" i="21"/>
  <c r="D1072" i="21"/>
  <c r="D1108" i="21"/>
  <c r="D1120" i="21"/>
  <c r="D1084" i="21"/>
  <c r="D1132" i="21"/>
  <c r="D1144" i="21"/>
  <c r="D1096" i="21"/>
  <c r="G1094" i="21"/>
  <c r="G1142" i="21"/>
  <c r="G1130" i="21"/>
  <c r="G1106" i="21"/>
  <c r="G1118" i="21"/>
  <c r="G1082" i="21"/>
  <c r="G1154" i="21"/>
  <c r="G1070" i="21"/>
  <c r="D1110" i="21"/>
  <c r="D1098" i="21"/>
  <c r="D1146" i="21"/>
  <c r="D1122" i="21"/>
  <c r="D1134" i="21"/>
  <c r="D1074" i="21"/>
  <c r="D1086" i="21"/>
  <c r="G1075" i="21"/>
  <c r="G1099" i="21"/>
  <c r="G1147" i="21"/>
  <c r="G1111" i="21"/>
  <c r="G1135" i="21"/>
  <c r="G1123" i="21"/>
  <c r="G1087" i="21"/>
  <c r="G1140" i="21"/>
  <c r="G1128" i="21"/>
  <c r="G1092" i="21"/>
  <c r="G1080" i="21"/>
  <c r="G1116" i="21"/>
  <c r="G1104" i="21"/>
  <c r="G1152" i="21"/>
  <c r="G1085" i="21"/>
  <c r="G1121" i="21"/>
  <c r="G1109" i="21"/>
  <c r="G1073" i="21"/>
  <c r="G1133" i="21"/>
  <c r="G1097" i="21"/>
  <c r="G1145" i="21"/>
  <c r="G1093" i="21"/>
  <c r="G1117" i="21"/>
  <c r="G1141" i="21"/>
  <c r="G1153" i="21"/>
  <c r="G1105" i="21"/>
  <c r="G1081" i="21"/>
  <c r="G1129" i="21"/>
  <c r="G1120" i="21"/>
  <c r="G1096" i="21"/>
  <c r="G1156" i="21"/>
  <c r="G1144" i="21"/>
  <c r="G1108" i="21"/>
  <c r="G1132" i="21"/>
  <c r="G1084" i="21"/>
  <c r="G1072" i="21"/>
  <c r="G1151" i="21"/>
  <c r="G1091" i="21"/>
  <c r="G1115" i="21"/>
  <c r="G1103" i="21"/>
  <c r="G1127" i="21"/>
  <c r="G1079" i="21"/>
  <c r="G1139" i="21"/>
  <c r="G1089" i="21"/>
  <c r="G1113" i="21"/>
  <c r="G1137" i="21"/>
  <c r="G1149" i="21"/>
  <c r="G1101" i="21"/>
  <c r="G1125" i="21"/>
  <c r="G1077" i="21"/>
  <c r="G1136" i="21"/>
  <c r="G1112" i="21"/>
  <c r="G1088" i="21"/>
  <c r="G1100" i="21"/>
  <c r="G1148" i="21"/>
  <c r="G1124" i="21"/>
  <c r="G1076" i="21"/>
  <c r="G1134" i="21"/>
  <c r="G1086" i="21"/>
  <c r="G1146" i="21"/>
  <c r="G1110" i="21"/>
  <c r="G1122" i="21"/>
  <c r="G1074" i="21"/>
  <c r="G1098" i="21"/>
  <c r="D1085" i="21"/>
  <c r="D1133" i="21"/>
  <c r="D1121" i="21"/>
  <c r="D1145" i="21"/>
  <c r="D1097" i="21"/>
  <c r="D1073" i="21"/>
  <c r="D1109" i="21"/>
  <c r="G1078" i="21"/>
  <c r="G1126" i="21"/>
  <c r="G1138" i="21"/>
  <c r="G1102" i="21"/>
  <c r="G1090" i="21"/>
  <c r="G1114" i="21"/>
  <c r="G1150" i="21"/>
  <c r="D1081" i="21"/>
  <c r="D1141" i="21"/>
  <c r="D1105" i="21"/>
  <c r="D1093" i="21"/>
  <c r="D1117" i="21"/>
  <c r="D1129" i="21"/>
  <c r="D1153" i="21"/>
  <c r="D1076" i="21"/>
  <c r="D1088" i="21"/>
  <c r="D1136" i="21"/>
  <c r="D1100" i="21"/>
  <c r="D1124" i="21"/>
  <c r="D1148" i="21"/>
  <c r="D1112" i="21"/>
  <c r="T1054" i="21"/>
  <c r="T1050" i="21"/>
  <c r="U1050" i="21"/>
  <c r="R1050" i="21"/>
  <c r="R1056" i="21"/>
  <c r="S1050" i="21"/>
  <c r="V1053" i="21"/>
  <c r="V1050" i="21"/>
  <c r="S1053" i="21"/>
  <c r="V1056" i="21"/>
  <c r="I942" i="21"/>
  <c r="H942" i="21"/>
  <c r="M18" i="5"/>
  <c r="F18" i="5" s="1"/>
  <c r="M40" i="5"/>
  <c r="F40" i="5" s="1"/>
  <c r="B955" i="21"/>
  <c r="C955" i="21"/>
  <c r="C933" i="21"/>
  <c r="D848" i="21"/>
  <c r="C826" i="21"/>
  <c r="C848" i="21"/>
  <c r="E826" i="21"/>
  <c r="D826" i="21"/>
  <c r="G955" i="21"/>
  <c r="G826" i="21"/>
  <c r="B848" i="21"/>
  <c r="H710" i="21"/>
  <c r="B933" i="21"/>
  <c r="F955" i="21"/>
  <c r="B826" i="21"/>
  <c r="D933" i="21"/>
  <c r="H826" i="21"/>
  <c r="E848" i="21"/>
  <c r="D955" i="21"/>
  <c r="F848" i="21"/>
  <c r="F826" i="21"/>
  <c r="F933" i="21"/>
  <c r="C245" i="9"/>
  <c r="G848" i="21"/>
  <c r="E933" i="21"/>
  <c r="H848" i="21"/>
  <c r="E955" i="21"/>
  <c r="H688" i="21"/>
  <c r="C267" i="9"/>
  <c r="R1057" i="21" l="1"/>
  <c r="U1057" i="21"/>
  <c r="V1057" i="21"/>
  <c r="S1057" i="21"/>
  <c r="T1057" i="21"/>
  <c r="AQ54" i="8"/>
  <c r="L54" i="8" s="1"/>
  <c r="M54" i="8" s="1"/>
  <c r="F54" i="8" s="1"/>
  <c r="D54" i="8" s="1"/>
  <c r="AQ30" i="8"/>
  <c r="L30" i="8" s="1"/>
  <c r="M30" i="8" s="1"/>
  <c r="F30" i="8" s="1"/>
  <c r="D30" i="8" s="1"/>
  <c r="AJ54" i="7"/>
  <c r="L54" i="7" s="1"/>
  <c r="M54" i="7" s="1"/>
  <c r="F54" i="7" s="1"/>
  <c r="D54" i="7" s="1"/>
  <c r="AJ30" i="7"/>
  <c r="L30" i="7" s="1"/>
  <c r="M30" i="7" s="1"/>
  <c r="F30" i="7" s="1"/>
  <c r="D30" i="7" s="1"/>
  <c r="AI54" i="6"/>
  <c r="L54" i="6" s="1"/>
  <c r="M54" i="6" s="1"/>
  <c r="F54" i="6" s="1"/>
  <c r="D54" i="6" s="1"/>
  <c r="AI30" i="6"/>
  <c r="L30" i="6" s="1"/>
  <c r="M30" i="6" s="1"/>
  <c r="F30" i="6" s="1"/>
  <c r="D30" i="6" s="1"/>
  <c r="J848" i="21"/>
  <c r="K848" i="21"/>
  <c r="L848" i="21"/>
  <c r="I848" i="21"/>
  <c r="H955" i="21"/>
  <c r="I955" i="21"/>
  <c r="I826" i="21"/>
  <c r="K826" i="21"/>
  <c r="L826" i="21"/>
  <c r="J826" i="21"/>
  <c r="D40" i="5"/>
  <c r="D18" i="5"/>
  <c r="G933" i="21"/>
  <c r="I933" i="21" l="1"/>
  <c r="H933" i="21"/>
  <c r="AH54" i="5"/>
  <c r="L54" i="5" s="1"/>
  <c r="AH30" i="5"/>
  <c r="L30" i="5" s="1"/>
  <c r="M30" i="5" l="1"/>
  <c r="F30" i="5" s="1"/>
  <c r="M54" i="5"/>
  <c r="F54" i="5" s="1"/>
  <c r="B969" i="21"/>
  <c r="D862" i="21"/>
  <c r="C838" i="21"/>
  <c r="C969" i="21"/>
  <c r="D838" i="21"/>
  <c r="G838" i="21"/>
  <c r="D945" i="21"/>
  <c r="B945" i="21"/>
  <c r="H838" i="21"/>
  <c r="F945" i="21"/>
  <c r="B838" i="21"/>
  <c r="C257" i="9"/>
  <c r="E945" i="21"/>
  <c r="F838" i="21"/>
  <c r="D969" i="21"/>
  <c r="C281" i="9"/>
  <c r="C945" i="21"/>
  <c r="E969" i="21"/>
  <c r="G945" i="21"/>
  <c r="G862" i="21"/>
  <c r="H700" i="21"/>
  <c r="G969" i="21"/>
  <c r="F969" i="21"/>
  <c r="H862" i="21"/>
  <c r="E838" i="21"/>
  <c r="F862" i="21"/>
  <c r="C862" i="21"/>
  <c r="B862" i="21"/>
  <c r="E862" i="21"/>
  <c r="H724" i="21"/>
  <c r="D30" i="5" l="1"/>
  <c r="D54" i="5"/>
  <c r="AQ50" i="8"/>
  <c r="L50" i="8" s="1"/>
  <c r="M50" i="8" s="1"/>
  <c r="F50" i="8" s="1"/>
  <c r="D50" i="8" s="1"/>
  <c r="AQ12" i="8"/>
  <c r="L12" i="8" s="1"/>
  <c r="M12" i="8" s="1"/>
  <c r="F12" i="8" s="1"/>
  <c r="D12" i="8" s="1"/>
  <c r="AQ16" i="8"/>
  <c r="L16" i="8" s="1"/>
  <c r="M16" i="8" s="1"/>
  <c r="F16" i="8" s="1"/>
  <c r="D16" i="8" s="1"/>
  <c r="AQ52" i="8"/>
  <c r="L52" i="8" s="1"/>
  <c r="M52" i="8" s="1"/>
  <c r="F52" i="8" s="1"/>
  <c r="D52" i="8" s="1"/>
  <c r="AQ8" i="8"/>
  <c r="L8" i="8" s="1"/>
  <c r="M8" i="8" s="1"/>
  <c r="F8" i="8" s="1"/>
  <c r="D8" i="8" s="1"/>
  <c r="AQ43" i="8"/>
  <c r="L43" i="8" s="1"/>
  <c r="M43" i="8" s="1"/>
  <c r="F43" i="8" s="1"/>
  <c r="AQ23" i="8"/>
  <c r="L23" i="8" s="1"/>
  <c r="M23" i="8" s="1"/>
  <c r="F23" i="8" s="1"/>
  <c r="D23" i="8" s="1"/>
  <c r="AQ41" i="8"/>
  <c r="L41" i="8" s="1"/>
  <c r="M41" i="8" s="1"/>
  <c r="F41" i="8" s="1"/>
  <c r="D41" i="8" s="1"/>
  <c r="AQ44" i="8"/>
  <c r="L44" i="8" s="1"/>
  <c r="M44" i="8" s="1"/>
  <c r="F44" i="8" s="1"/>
  <c r="D44" i="8" s="1"/>
  <c r="AQ58" i="8"/>
  <c r="L58" i="8" s="1"/>
  <c r="M58" i="8" s="1"/>
  <c r="F58" i="8" s="1"/>
  <c r="D58" i="8" s="1"/>
  <c r="AQ39" i="8"/>
  <c r="L39" i="8" s="1"/>
  <c r="M39" i="8" s="1"/>
  <c r="F39" i="8" s="1"/>
  <c r="D39" i="8" s="1"/>
  <c r="AQ32" i="8"/>
  <c r="L32" i="8" s="1"/>
  <c r="M32" i="8" s="1"/>
  <c r="F32" i="8" s="1"/>
  <c r="D32" i="8" s="1"/>
  <c r="AQ9" i="8"/>
  <c r="L9" i="8" s="1"/>
  <c r="M9" i="8" s="1"/>
  <c r="F9" i="8" s="1"/>
  <c r="D9" i="8" s="1"/>
  <c r="AQ11" i="8"/>
  <c r="AQ21" i="8"/>
  <c r="L21" i="8" s="1"/>
  <c r="M21" i="8" s="1"/>
  <c r="F21" i="8" s="1"/>
  <c r="D21" i="8" s="1"/>
  <c r="AQ29" i="8"/>
  <c r="L29" i="8" s="1"/>
  <c r="M29" i="8" s="1"/>
  <c r="F29" i="8" s="1"/>
  <c r="D29" i="8" s="1"/>
  <c r="AQ34" i="8"/>
  <c r="L34" i="8" s="1"/>
  <c r="M34" i="8" s="1"/>
  <c r="F34" i="8" s="1"/>
  <c r="D34" i="8" s="1"/>
  <c r="AQ47" i="8"/>
  <c r="L47" i="8" s="1"/>
  <c r="M47" i="8" s="1"/>
  <c r="F47" i="8" s="1"/>
  <c r="D47" i="8" s="1"/>
  <c r="AQ14" i="8"/>
  <c r="L14" i="8" s="1"/>
  <c r="M14" i="8" s="1"/>
  <c r="F14" i="8" s="1"/>
  <c r="D14" i="8" s="1"/>
  <c r="AQ35" i="8"/>
  <c r="L35" i="8" s="1"/>
  <c r="M35" i="8" s="1"/>
  <c r="F35" i="8" s="1"/>
  <c r="D35" i="8" s="1"/>
  <c r="AJ34" i="7"/>
  <c r="L34" i="7" s="1"/>
  <c r="M34" i="7" s="1"/>
  <c r="F34" i="7" s="1"/>
  <c r="D34" i="7" s="1"/>
  <c r="AJ29" i="7"/>
  <c r="L29" i="7" s="1"/>
  <c r="M29" i="7" s="1"/>
  <c r="F29" i="7" s="1"/>
  <c r="D29" i="7" s="1"/>
  <c r="AJ23" i="7"/>
  <c r="L23" i="7" s="1"/>
  <c r="M23" i="7" s="1"/>
  <c r="F23" i="7" s="1"/>
  <c r="D23" i="7" s="1"/>
  <c r="AJ41" i="7"/>
  <c r="L41" i="7" s="1"/>
  <c r="M41" i="7" s="1"/>
  <c r="F41" i="7" s="1"/>
  <c r="D41" i="7" s="1"/>
  <c r="AJ9" i="7"/>
  <c r="L9" i="7" s="1"/>
  <c r="M9" i="7" s="1"/>
  <c r="F9" i="7" s="1"/>
  <c r="D9" i="7" s="1"/>
  <c r="AJ50" i="7"/>
  <c r="L50" i="7" s="1"/>
  <c r="M50" i="7" s="1"/>
  <c r="F50" i="7" s="1"/>
  <c r="D50" i="7" s="1"/>
  <c r="AJ43" i="7"/>
  <c r="L43" i="7" s="1"/>
  <c r="M43" i="7" s="1"/>
  <c r="F43" i="7" s="1"/>
  <c r="AJ32" i="7"/>
  <c r="L32" i="7" s="1"/>
  <c r="M32" i="7" s="1"/>
  <c r="F32" i="7" s="1"/>
  <c r="D32" i="7" s="1"/>
  <c r="AJ21" i="7"/>
  <c r="L21" i="7" s="1"/>
  <c r="M21" i="7" s="1"/>
  <c r="F21" i="7" s="1"/>
  <c r="D21" i="7" s="1"/>
  <c r="AJ16" i="7"/>
  <c r="L16" i="7" s="1"/>
  <c r="M16" i="7" s="1"/>
  <c r="F16" i="7" s="1"/>
  <c r="D16" i="7" s="1"/>
  <c r="AJ52" i="7"/>
  <c r="L52" i="7" s="1"/>
  <c r="M52" i="7" s="1"/>
  <c r="F52" i="7" s="1"/>
  <c r="D52" i="7" s="1"/>
  <c r="AJ14" i="7"/>
  <c r="L14" i="7" s="1"/>
  <c r="M14" i="7" s="1"/>
  <c r="F14" i="7" s="1"/>
  <c r="D14" i="7" s="1"/>
  <c r="AJ35" i="7"/>
  <c r="L35" i="7" s="1"/>
  <c r="M35" i="7" s="1"/>
  <c r="F35" i="7" s="1"/>
  <c r="D35" i="7" s="1"/>
  <c r="AJ12" i="7"/>
  <c r="L12" i="7" s="1"/>
  <c r="M12" i="7" s="1"/>
  <c r="F12" i="7" s="1"/>
  <c r="D12" i="7" s="1"/>
  <c r="AJ44" i="7"/>
  <c r="L44" i="7" s="1"/>
  <c r="M44" i="7" s="1"/>
  <c r="F44" i="7" s="1"/>
  <c r="D44" i="7" s="1"/>
  <c r="AJ58" i="7"/>
  <c r="L58" i="7" s="1"/>
  <c r="M58" i="7" s="1"/>
  <c r="F58" i="7" s="1"/>
  <c r="D58" i="7" s="1"/>
  <c r="AJ47" i="7"/>
  <c r="L47" i="7" s="1"/>
  <c r="M47" i="7" s="1"/>
  <c r="F47" i="7" s="1"/>
  <c r="D47" i="7" s="1"/>
  <c r="AJ8" i="7"/>
  <c r="L8" i="7" s="1"/>
  <c r="M8" i="7" s="1"/>
  <c r="F8" i="7" s="1"/>
  <c r="D8" i="7" s="1"/>
  <c r="AJ39" i="7"/>
  <c r="L39" i="7" s="1"/>
  <c r="M39" i="7" s="1"/>
  <c r="F39" i="7" s="1"/>
  <c r="D39" i="7" s="1"/>
  <c r="AJ11" i="7"/>
  <c r="L11" i="7" s="1"/>
  <c r="M11" i="7" s="1"/>
  <c r="F11" i="7" s="1"/>
  <c r="D11" i="7" s="1"/>
  <c r="AI32" i="6"/>
  <c r="L32" i="6" s="1"/>
  <c r="M32" i="6" s="1"/>
  <c r="F32" i="6" s="1"/>
  <c r="AI9" i="6"/>
  <c r="L9" i="6" s="1"/>
  <c r="M9" i="6" s="1"/>
  <c r="F9" i="6" s="1"/>
  <c r="D9" i="6" s="1"/>
  <c r="AI29" i="6"/>
  <c r="L29" i="6" s="1"/>
  <c r="M29" i="6" s="1"/>
  <c r="F29" i="6" s="1"/>
  <c r="D29" i="6" s="1"/>
  <c r="AI21" i="6"/>
  <c r="L21" i="6" s="1"/>
  <c r="M21" i="6" s="1"/>
  <c r="F21" i="6" s="1"/>
  <c r="D21" i="6" s="1"/>
  <c r="AI41" i="6"/>
  <c r="L41" i="6" s="1"/>
  <c r="M41" i="6" s="1"/>
  <c r="F41" i="6" s="1"/>
  <c r="D41" i="6" s="1"/>
  <c r="AI12" i="6"/>
  <c r="L12" i="6" s="1"/>
  <c r="M12" i="6" s="1"/>
  <c r="F12" i="6" s="1"/>
  <c r="D12" i="6" s="1"/>
  <c r="AI50" i="6"/>
  <c r="L50" i="6" s="1"/>
  <c r="M50" i="6" s="1"/>
  <c r="F50" i="6" s="1"/>
  <c r="D50" i="6" s="1"/>
  <c r="AI16" i="6"/>
  <c r="L16" i="6" s="1"/>
  <c r="M16" i="6" s="1"/>
  <c r="F16" i="6" s="1"/>
  <c r="D16" i="6" s="1"/>
  <c r="AI34" i="6"/>
  <c r="L34" i="6" s="1"/>
  <c r="M34" i="6" s="1"/>
  <c r="F34" i="6" s="1"/>
  <c r="D34" i="6" s="1"/>
  <c r="AI52" i="6"/>
  <c r="L52" i="6" s="1"/>
  <c r="M52" i="6" s="1"/>
  <c r="F52" i="6" s="1"/>
  <c r="D52" i="6" s="1"/>
  <c r="AI14" i="6"/>
  <c r="L14" i="6" s="1"/>
  <c r="M14" i="6" s="1"/>
  <c r="F14" i="6" s="1"/>
  <c r="D14" i="6" s="1"/>
  <c r="AI35" i="6"/>
  <c r="L35" i="6" s="1"/>
  <c r="M35" i="6" s="1"/>
  <c r="F35" i="6" s="1"/>
  <c r="D35" i="6" s="1"/>
  <c r="AI11" i="6"/>
  <c r="L11" i="6" s="1"/>
  <c r="M11" i="6" s="1"/>
  <c r="F11" i="6" s="1"/>
  <c r="D11" i="6" s="1"/>
  <c r="AI47" i="6"/>
  <c r="L47" i="6" s="1"/>
  <c r="M47" i="6" s="1"/>
  <c r="F47" i="6" s="1"/>
  <c r="D47" i="6" s="1"/>
  <c r="AI8" i="6"/>
  <c r="L8" i="6" s="1"/>
  <c r="M8" i="6" s="1"/>
  <c r="F8" i="6" s="1"/>
  <c r="D8" i="6" s="1"/>
  <c r="AI58" i="6"/>
  <c r="L58" i="6" s="1"/>
  <c r="M58" i="6" s="1"/>
  <c r="F58" i="6" s="1"/>
  <c r="AI39" i="6"/>
  <c r="L39" i="6" s="1"/>
  <c r="M39" i="6" s="1"/>
  <c r="F39" i="6" s="1"/>
  <c r="D39" i="6" s="1"/>
  <c r="AI23" i="6"/>
  <c r="L23" i="6" s="1"/>
  <c r="M23" i="6" s="1"/>
  <c r="F23" i="6" s="1"/>
  <c r="D23" i="6" s="1"/>
  <c r="AI44" i="6"/>
  <c r="L44" i="6" s="1"/>
  <c r="M44" i="6" s="1"/>
  <c r="F44" i="6" s="1"/>
  <c r="D44" i="6" s="1"/>
  <c r="AI43" i="6"/>
  <c r="L43" i="6" s="1"/>
  <c r="M43" i="6" s="1"/>
  <c r="F43" i="6" s="1"/>
  <c r="J838" i="21"/>
  <c r="K838" i="21"/>
  <c r="L838" i="21"/>
  <c r="H945" i="21"/>
  <c r="I838" i="21"/>
  <c r="I945" i="21"/>
  <c r="I862" i="21"/>
  <c r="K862" i="21"/>
  <c r="L862" i="21"/>
  <c r="H969" i="21"/>
  <c r="J862" i="21"/>
  <c r="I969" i="21"/>
  <c r="L11" i="8" l="1"/>
  <c r="M11" i="8" s="1"/>
  <c r="F11" i="8" s="1"/>
  <c r="D11" i="8" s="1"/>
  <c r="AQ37" i="8"/>
  <c r="L37" i="8" s="1"/>
  <c r="M37" i="8" s="1"/>
  <c r="F37" i="8" s="1"/>
  <c r="D37" i="8" s="1"/>
  <c r="AJ37" i="7"/>
  <c r="L37" i="7" s="1"/>
  <c r="M37" i="7" s="1"/>
  <c r="F37" i="7" s="1"/>
  <c r="D37" i="7" s="1"/>
  <c r="AI37" i="6"/>
  <c r="L37" i="6" s="1"/>
  <c r="M37" i="6" s="1"/>
  <c r="F37" i="6" s="1"/>
  <c r="D37" i="6" s="1"/>
  <c r="AH8" i="5"/>
  <c r="L8" i="5" s="1"/>
  <c r="AH29" i="5"/>
  <c r="L29" i="5" s="1"/>
  <c r="AH41" i="5"/>
  <c r="L41" i="5" s="1"/>
  <c r="AH14" i="5"/>
  <c r="L14" i="5" s="1"/>
  <c r="AH12" i="5"/>
  <c r="L12" i="5" s="1"/>
  <c r="AH52" i="5"/>
  <c r="L52" i="5" s="1"/>
  <c r="AH39" i="5"/>
  <c r="L39" i="5" s="1"/>
  <c r="AH44" i="5"/>
  <c r="L44" i="5" s="1"/>
  <c r="AH58" i="5"/>
  <c r="L58" i="5" s="1"/>
  <c r="AH21" i="5"/>
  <c r="L21" i="5" s="1"/>
  <c r="AH47" i="5"/>
  <c r="L47" i="5" s="1"/>
  <c r="AH23" i="5"/>
  <c r="L23" i="5" s="1"/>
  <c r="AH35" i="5"/>
  <c r="L35" i="5" s="1"/>
  <c r="AH50" i="5"/>
  <c r="L50" i="5" s="1"/>
  <c r="AH16" i="5"/>
  <c r="L16" i="5" s="1"/>
  <c r="AH11" i="5"/>
  <c r="L11" i="5" s="1"/>
  <c r="AH43" i="5"/>
  <c r="L43" i="5" s="1"/>
  <c r="AH34" i="5"/>
  <c r="L34" i="5" s="1"/>
  <c r="AH9" i="5"/>
  <c r="L9" i="5" s="1"/>
  <c r="AH32" i="5"/>
  <c r="L32" i="5" s="1"/>
  <c r="D32" i="6"/>
  <c r="D43" i="7"/>
  <c r="D43" i="6"/>
  <c r="D43" i="8"/>
  <c r="D58" i="6"/>
  <c r="AQ22" i="8" l="1"/>
  <c r="L22" i="8" s="1"/>
  <c r="M22" i="8" s="1"/>
  <c r="F22" i="8" s="1"/>
  <c r="D22" i="8" s="1"/>
  <c r="AQ19" i="8"/>
  <c r="L19" i="8" s="1"/>
  <c r="M19" i="8" s="1"/>
  <c r="F19" i="8" s="1"/>
  <c r="AQ25" i="8"/>
  <c r="L25" i="8" s="1"/>
  <c r="M25" i="8" s="1"/>
  <c r="F25" i="8" s="1"/>
  <c r="D25" i="8" s="1"/>
  <c r="AQ26" i="8"/>
  <c r="L26" i="8" s="1"/>
  <c r="M26" i="8" s="1"/>
  <c r="F26" i="8" s="1"/>
  <c r="D26" i="8" s="1"/>
  <c r="AQ45" i="8"/>
  <c r="L45" i="8" s="1"/>
  <c r="M45" i="8" s="1"/>
  <c r="F45" i="8" s="1"/>
  <c r="AQ36" i="8"/>
  <c r="L36" i="8" s="1"/>
  <c r="M36" i="8" s="1"/>
  <c r="F36" i="8" s="1"/>
  <c r="AQ53" i="8"/>
  <c r="L53" i="8" s="1"/>
  <c r="M53" i="8" s="1"/>
  <c r="F53" i="8" s="1"/>
  <c r="D53" i="8" s="1"/>
  <c r="AJ22" i="7"/>
  <c r="L22" i="7" s="1"/>
  <c r="M22" i="7" s="1"/>
  <c r="F22" i="7" s="1"/>
  <c r="D22" i="7" s="1"/>
  <c r="AJ19" i="7"/>
  <c r="L19" i="7" s="1"/>
  <c r="M19" i="7" s="1"/>
  <c r="F19" i="7" s="1"/>
  <c r="D19" i="7" s="1"/>
  <c r="AJ25" i="7"/>
  <c r="L25" i="7" s="1"/>
  <c r="M25" i="7" s="1"/>
  <c r="F25" i="7" s="1"/>
  <c r="D25" i="7" s="1"/>
  <c r="AJ53" i="7"/>
  <c r="L53" i="7" s="1"/>
  <c r="M53" i="7" s="1"/>
  <c r="F53" i="7" s="1"/>
  <c r="D53" i="7" s="1"/>
  <c r="AJ36" i="7"/>
  <c r="L36" i="7" s="1"/>
  <c r="M36" i="7" s="1"/>
  <c r="F36" i="7" s="1"/>
  <c r="AJ26" i="7"/>
  <c r="L26" i="7" s="1"/>
  <c r="M26" i="7" s="1"/>
  <c r="F26" i="7" s="1"/>
  <c r="D26" i="7" s="1"/>
  <c r="AJ45" i="7"/>
  <c r="L45" i="7" s="1"/>
  <c r="M45" i="7" s="1"/>
  <c r="F45" i="7" s="1"/>
  <c r="AI36" i="6"/>
  <c r="L36" i="6" s="1"/>
  <c r="M36" i="6" s="1"/>
  <c r="F36" i="6" s="1"/>
  <c r="AI19" i="6"/>
  <c r="L19" i="6" s="1"/>
  <c r="M19" i="6" s="1"/>
  <c r="F19" i="6" s="1"/>
  <c r="AI22" i="6"/>
  <c r="L22" i="6" s="1"/>
  <c r="M22" i="6" s="1"/>
  <c r="F22" i="6" s="1"/>
  <c r="D22" i="6" s="1"/>
  <c r="AI25" i="6"/>
  <c r="L25" i="6" s="1"/>
  <c r="M25" i="6" s="1"/>
  <c r="F25" i="6" s="1"/>
  <c r="D25" i="6" s="1"/>
  <c r="AI53" i="6"/>
  <c r="L53" i="6" s="1"/>
  <c r="M53" i="6" s="1"/>
  <c r="F53" i="6" s="1"/>
  <c r="D53" i="6" s="1"/>
  <c r="AI45" i="6"/>
  <c r="L45" i="6" s="1"/>
  <c r="M45" i="6" s="1"/>
  <c r="F45" i="6" s="1"/>
  <c r="AI26" i="6"/>
  <c r="L26" i="6" s="1"/>
  <c r="M26" i="6" s="1"/>
  <c r="F26" i="6" s="1"/>
  <c r="D26" i="6" s="1"/>
  <c r="M43" i="5"/>
  <c r="F43" i="5" s="1"/>
  <c r="M8" i="5"/>
  <c r="F8" i="5" s="1"/>
  <c r="M11" i="5"/>
  <c r="M44" i="5"/>
  <c r="F44" i="5" s="1"/>
  <c r="M16" i="5"/>
  <c r="M39" i="5"/>
  <c r="M50" i="5"/>
  <c r="F50" i="5" s="1"/>
  <c r="M52" i="5"/>
  <c r="F52" i="5" s="1"/>
  <c r="M35" i="5"/>
  <c r="F35" i="5" s="1"/>
  <c r="M12" i="5"/>
  <c r="F12" i="5" s="1"/>
  <c r="M58" i="5"/>
  <c r="F58" i="5" s="1"/>
  <c r="M32" i="5"/>
  <c r="F32" i="5" s="1"/>
  <c r="M23" i="5"/>
  <c r="F23" i="5" s="1"/>
  <c r="M14" i="5"/>
  <c r="M9" i="5"/>
  <c r="F9" i="5" s="1"/>
  <c r="M47" i="5"/>
  <c r="M41" i="5"/>
  <c r="F41" i="5" s="1"/>
  <c r="M34" i="5"/>
  <c r="M21" i="5"/>
  <c r="F21" i="5" s="1"/>
  <c r="M29" i="5"/>
  <c r="F29" i="5" s="1"/>
  <c r="AH37" i="5"/>
  <c r="L37" i="5" s="1"/>
  <c r="F820" i="21"/>
  <c r="C849" i="21"/>
  <c r="D840" i="21"/>
  <c r="C250" i="9"/>
  <c r="H831" i="21"/>
  <c r="C852" i="21"/>
  <c r="B852" i="21"/>
  <c r="E924" i="21"/>
  <c r="C268" i="9"/>
  <c r="G973" i="21"/>
  <c r="F816" i="21"/>
  <c r="D843" i="21"/>
  <c r="G866" i="21"/>
  <c r="C973" i="21"/>
  <c r="C248" i="9"/>
  <c r="B923" i="21"/>
  <c r="B837" i="21"/>
  <c r="D829" i="21"/>
  <c r="D852" i="21"/>
  <c r="C236" i="9"/>
  <c r="F840" i="21"/>
  <c r="E851" i="21"/>
  <c r="D820" i="21"/>
  <c r="C820" i="21"/>
  <c r="D817" i="21"/>
  <c r="F956" i="21"/>
  <c r="C279" i="9"/>
  <c r="C860" i="21"/>
  <c r="G959" i="21"/>
  <c r="G950" i="21"/>
  <c r="G924" i="21"/>
  <c r="F950" i="21"/>
  <c r="B947" i="21"/>
  <c r="D944" i="21"/>
  <c r="H852" i="21"/>
  <c r="F967" i="21"/>
  <c r="B927" i="21"/>
  <c r="E936" i="21"/>
  <c r="B860" i="21"/>
  <c r="D967" i="21"/>
  <c r="D938" i="21"/>
  <c r="H678" i="21"/>
  <c r="F831" i="21"/>
  <c r="B829" i="21"/>
  <c r="C235" i="9"/>
  <c r="G816" i="21"/>
  <c r="D924" i="21"/>
  <c r="H851" i="21"/>
  <c r="F924" i="21"/>
  <c r="H728" i="21"/>
  <c r="D866" i="21"/>
  <c r="E959" i="21"/>
  <c r="F851" i="21"/>
  <c r="F973" i="21"/>
  <c r="C817" i="21"/>
  <c r="D947" i="21"/>
  <c r="G843" i="21"/>
  <c r="C927" i="21"/>
  <c r="F866" i="21"/>
  <c r="D851" i="21"/>
  <c r="E965" i="21"/>
  <c r="F852" i="21"/>
  <c r="F923" i="21"/>
  <c r="E967" i="21"/>
  <c r="C947" i="21"/>
  <c r="B924" i="21"/>
  <c r="E837" i="21"/>
  <c r="H837" i="21"/>
  <c r="D923" i="21"/>
  <c r="H866" i="21"/>
  <c r="C831" i="21"/>
  <c r="F860" i="21"/>
  <c r="H682" i="21"/>
  <c r="E973" i="21"/>
  <c r="G944" i="21"/>
  <c r="C262" i="9"/>
  <c r="H699" i="21"/>
  <c r="D950" i="21"/>
  <c r="C277" i="9"/>
  <c r="C944" i="21"/>
  <c r="G829" i="21"/>
  <c r="E923" i="21"/>
  <c r="B967" i="21"/>
  <c r="C959" i="21"/>
  <c r="H693" i="21"/>
  <c r="F959" i="21"/>
  <c r="F938" i="21"/>
  <c r="E820" i="21"/>
  <c r="F817" i="21"/>
  <c r="H858" i="21"/>
  <c r="E816" i="21"/>
  <c r="B956" i="21"/>
  <c r="C829" i="21"/>
  <c r="E840" i="21"/>
  <c r="C256" i="9"/>
  <c r="H705" i="21"/>
  <c r="B965" i="21"/>
  <c r="F849" i="21"/>
  <c r="D849" i="21"/>
  <c r="B973" i="21"/>
  <c r="F829" i="21"/>
  <c r="E849" i="21"/>
  <c r="C936" i="21"/>
  <c r="D831" i="21"/>
  <c r="B851" i="21"/>
  <c r="G852" i="21"/>
  <c r="D837" i="21"/>
  <c r="B936" i="21"/>
  <c r="G860" i="21"/>
  <c r="D927" i="21"/>
  <c r="E944" i="21"/>
  <c r="G958" i="21"/>
  <c r="H817" i="21"/>
  <c r="C285" i="9"/>
  <c r="G858" i="21"/>
  <c r="B944" i="21"/>
  <c r="B938" i="21"/>
  <c r="C816" i="21"/>
  <c r="H820" i="21"/>
  <c r="G851" i="21"/>
  <c r="H713" i="21"/>
  <c r="E831" i="21"/>
  <c r="D936" i="21"/>
  <c r="F936" i="21"/>
  <c r="C938" i="21"/>
  <c r="D816" i="21"/>
  <c r="B817" i="21"/>
  <c r="C866" i="21"/>
  <c r="H702" i="21"/>
  <c r="E956" i="21"/>
  <c r="F944" i="21"/>
  <c r="G849" i="21"/>
  <c r="D858" i="21"/>
  <c r="G956" i="21"/>
  <c r="D956" i="21"/>
  <c r="H816" i="21"/>
  <c r="D959" i="21"/>
  <c r="G840" i="21"/>
  <c r="C965" i="21"/>
  <c r="C950" i="21"/>
  <c r="F858" i="21"/>
  <c r="C840" i="21"/>
  <c r="B820" i="21"/>
  <c r="E852" i="21"/>
  <c r="B866" i="21"/>
  <c r="H843" i="21"/>
  <c r="E950" i="21"/>
  <c r="G831" i="21"/>
  <c r="C239" i="9"/>
  <c r="H722" i="21"/>
  <c r="B831" i="21"/>
  <c r="G817" i="21"/>
  <c r="E958" i="21"/>
  <c r="H711" i="21"/>
  <c r="C967" i="21"/>
  <c r="D958" i="21"/>
  <c r="G965" i="21"/>
  <c r="E858" i="21"/>
  <c r="G927" i="21"/>
  <c r="E843" i="21"/>
  <c r="C923" i="21"/>
  <c r="C271" i="9"/>
  <c r="G923" i="21"/>
  <c r="F947" i="21"/>
  <c r="E938" i="21"/>
  <c r="H860" i="21"/>
  <c r="F837" i="21"/>
  <c r="C851" i="21"/>
  <c r="H691" i="21"/>
  <c r="B958" i="21"/>
  <c r="D860" i="21"/>
  <c r="B843" i="21"/>
  <c r="G938" i="21"/>
  <c r="B816" i="21"/>
  <c r="F965" i="21"/>
  <c r="C858" i="21"/>
  <c r="B840" i="21"/>
  <c r="F843" i="21"/>
  <c r="C837" i="21"/>
  <c r="E866" i="21"/>
  <c r="H829" i="21"/>
  <c r="C924" i="21"/>
  <c r="E817" i="21"/>
  <c r="H679" i="21"/>
  <c r="E829" i="21"/>
  <c r="B849" i="21"/>
  <c r="C259" i="9"/>
  <c r="B858" i="21"/>
  <c r="D965" i="21"/>
  <c r="C958" i="21"/>
  <c r="E860" i="21"/>
  <c r="H720" i="21"/>
  <c r="H849" i="21"/>
  <c r="C270" i="9"/>
  <c r="G947" i="21"/>
  <c r="E927" i="21"/>
  <c r="H840" i="21"/>
  <c r="H714" i="21"/>
  <c r="G837" i="21"/>
  <c r="G936" i="21"/>
  <c r="B959" i="21"/>
  <c r="C843" i="21"/>
  <c r="G820" i="21"/>
  <c r="F927" i="21"/>
  <c r="D52" i="5" l="1"/>
  <c r="D35" i="5"/>
  <c r="D21" i="5"/>
  <c r="D32" i="5"/>
  <c r="D43" i="5"/>
  <c r="D12" i="5"/>
  <c r="D44" i="5"/>
  <c r="D23" i="5"/>
  <c r="E524" i="21"/>
  <c r="E511" i="21" s="1"/>
  <c r="D36" i="8"/>
  <c r="D45" i="8"/>
  <c r="E525" i="21"/>
  <c r="E512" i="21" s="1"/>
  <c r="D45" i="7"/>
  <c r="D525" i="21"/>
  <c r="D512" i="21" s="1"/>
  <c r="D36" i="7"/>
  <c r="D524" i="21"/>
  <c r="D511" i="21" s="1"/>
  <c r="I866" i="21"/>
  <c r="J866" i="21"/>
  <c r="H973" i="21"/>
  <c r="L866" i="21"/>
  <c r="K866" i="21"/>
  <c r="J858" i="21"/>
  <c r="L858" i="21"/>
  <c r="K858" i="21"/>
  <c r="I965" i="21"/>
  <c r="I858" i="21"/>
  <c r="H965" i="21"/>
  <c r="K837" i="21"/>
  <c r="L837" i="21"/>
  <c r="J837" i="21"/>
  <c r="H944" i="21"/>
  <c r="I944" i="21"/>
  <c r="I837" i="21"/>
  <c r="H924" i="21"/>
  <c r="L817" i="21"/>
  <c r="K817" i="21"/>
  <c r="J817" i="21"/>
  <c r="I924" i="21"/>
  <c r="I817" i="21"/>
  <c r="L816" i="21"/>
  <c r="K816" i="21"/>
  <c r="I923" i="21"/>
  <c r="H923" i="21"/>
  <c r="I816" i="21"/>
  <c r="J816" i="21"/>
  <c r="J831" i="21"/>
  <c r="I938" i="21"/>
  <c r="L831" i="21"/>
  <c r="K831" i="21"/>
  <c r="H938" i="21"/>
  <c r="I831" i="21"/>
  <c r="J843" i="21"/>
  <c r="I843" i="21"/>
  <c r="L843" i="21"/>
  <c r="K843" i="21"/>
  <c r="H950" i="21"/>
  <c r="J849" i="21"/>
  <c r="I849" i="21"/>
  <c r="H956" i="21"/>
  <c r="K849" i="21"/>
  <c r="L849" i="21"/>
  <c r="H959" i="21"/>
  <c r="I959" i="21"/>
  <c r="I852" i="21"/>
  <c r="J852" i="21"/>
  <c r="L852" i="21"/>
  <c r="K852" i="21"/>
  <c r="L840" i="21"/>
  <c r="K840" i="21"/>
  <c r="I840" i="21"/>
  <c r="J840" i="21"/>
  <c r="J860" i="21"/>
  <c r="L860" i="21"/>
  <c r="K860" i="21"/>
  <c r="I860" i="21"/>
  <c r="I936" i="21"/>
  <c r="J829" i="21"/>
  <c r="I829" i="21"/>
  <c r="H936" i="21"/>
  <c r="K829" i="21"/>
  <c r="L829" i="21"/>
  <c r="J820" i="21"/>
  <c r="K820" i="21"/>
  <c r="L820" i="21"/>
  <c r="I927" i="21"/>
  <c r="H927" i="21"/>
  <c r="I820" i="21"/>
  <c r="I851" i="21"/>
  <c r="K851" i="21"/>
  <c r="L851" i="21"/>
  <c r="J851" i="21"/>
  <c r="D58" i="5"/>
  <c r="D50" i="5"/>
  <c r="M37" i="5"/>
  <c r="F37" i="5" s="1"/>
  <c r="D37" i="5" s="1"/>
  <c r="F47" i="5"/>
  <c r="D29" i="5"/>
  <c r="D9" i="5"/>
  <c r="AH19" i="5"/>
  <c r="L19" i="5" s="1"/>
  <c r="D8" i="5"/>
  <c r="AH22" i="5"/>
  <c r="L22" i="5" s="1"/>
  <c r="F34" i="5"/>
  <c r="AH36" i="5"/>
  <c r="L36" i="5" s="1"/>
  <c r="AH25" i="5"/>
  <c r="L25" i="5" s="1"/>
  <c r="D41" i="5"/>
  <c r="F11" i="5"/>
  <c r="AH45" i="5"/>
  <c r="L45" i="5" s="1"/>
  <c r="AH53" i="5"/>
  <c r="L53" i="5" s="1"/>
  <c r="F39" i="5"/>
  <c r="AH26" i="5"/>
  <c r="L26" i="5" s="1"/>
  <c r="F14" i="5"/>
  <c r="F16" i="5"/>
  <c r="D45" i="6"/>
  <c r="C525" i="21"/>
  <c r="C512" i="21" s="1"/>
  <c r="D36" i="6"/>
  <c r="C524" i="21"/>
  <c r="C511" i="21" s="1"/>
  <c r="D19" i="8"/>
  <c r="D19" i="6"/>
  <c r="C956" i="21"/>
  <c r="F958" i="21"/>
  <c r="G967" i="21"/>
  <c r="H824" i="21"/>
  <c r="E947" i="21"/>
  <c r="H958" i="21" l="1"/>
  <c r="I958" i="21"/>
  <c r="H947" i="21"/>
  <c r="I947" i="21"/>
  <c r="H967" i="21"/>
  <c r="I967" i="21"/>
  <c r="I956" i="21"/>
  <c r="C855" i="21"/>
  <c r="D973" i="21"/>
  <c r="F824" i="21"/>
  <c r="F822" i="21"/>
  <c r="B950" i="21"/>
  <c r="I950" i="21" l="1"/>
  <c r="I973" i="21"/>
  <c r="G847" i="21"/>
  <c r="D952" i="21"/>
  <c r="B842" i="21"/>
  <c r="E929" i="21"/>
  <c r="C822" i="21"/>
  <c r="G954" i="21"/>
  <c r="H717" i="21"/>
  <c r="H681" i="21"/>
  <c r="D824" i="21"/>
  <c r="D1038" i="21"/>
  <c r="C847" i="21"/>
  <c r="C931" i="21"/>
  <c r="H822" i="21"/>
  <c r="C949" i="21"/>
  <c r="H686" i="21"/>
  <c r="C238" i="9"/>
  <c r="E954" i="21"/>
  <c r="E952" i="21"/>
  <c r="F842" i="21"/>
  <c r="C266" i="9"/>
  <c r="B929" i="21"/>
  <c r="C261" i="9"/>
  <c r="G842" i="21"/>
  <c r="H819" i="21"/>
  <c r="F954" i="21"/>
  <c r="E845" i="21"/>
  <c r="H709" i="21"/>
  <c r="C954" i="21"/>
  <c r="B954" i="21"/>
  <c r="G926" i="21"/>
  <c r="C845" i="21"/>
  <c r="F962" i="21"/>
  <c r="H855" i="21"/>
  <c r="D855" i="21"/>
  <c r="C243" i="9"/>
  <c r="E842" i="21"/>
  <c r="D949" i="21"/>
  <c r="F931" i="21"/>
  <c r="H684" i="21"/>
  <c r="F819" i="21"/>
  <c r="D822" i="21"/>
  <c r="G949" i="21"/>
  <c r="B949" i="21"/>
  <c r="B824" i="21"/>
  <c r="E847" i="21"/>
  <c r="H845" i="21"/>
  <c r="D926" i="21"/>
  <c r="G952" i="21"/>
  <c r="E949" i="21"/>
  <c r="E962" i="21"/>
  <c r="B962" i="21"/>
  <c r="F855" i="21"/>
  <c r="B847" i="21"/>
  <c r="C962" i="21"/>
  <c r="G824" i="21"/>
  <c r="C274" i="9"/>
  <c r="H707" i="21"/>
  <c r="F926" i="21"/>
  <c r="B845" i="21"/>
  <c r="D847" i="21"/>
  <c r="G845" i="21"/>
  <c r="D819" i="21"/>
  <c r="D962" i="21"/>
  <c r="F952" i="21"/>
  <c r="B819" i="21"/>
  <c r="C264" i="9"/>
  <c r="G822" i="21"/>
  <c r="H847" i="21"/>
  <c r="E819" i="21"/>
  <c r="C952" i="21"/>
  <c r="D842" i="21"/>
  <c r="G855" i="21"/>
  <c r="B822" i="21"/>
  <c r="B855" i="21"/>
  <c r="G819" i="21"/>
  <c r="E926" i="21"/>
  <c r="C842" i="21"/>
  <c r="H704" i="21"/>
  <c r="C824" i="21"/>
  <c r="B952" i="21"/>
  <c r="C819" i="21"/>
  <c r="G962" i="21"/>
  <c r="C926" i="21"/>
  <c r="D845" i="21"/>
  <c r="F845" i="21"/>
  <c r="D931" i="21"/>
  <c r="E824" i="21"/>
  <c r="H842" i="21"/>
  <c r="E855" i="21"/>
  <c r="C241" i="9"/>
  <c r="G931" i="21"/>
  <c r="E931" i="21"/>
  <c r="B926" i="21"/>
  <c r="F847" i="21"/>
  <c r="E822" i="21"/>
  <c r="E1038" i="21"/>
  <c r="J842" i="21" l="1"/>
  <c r="I842" i="21"/>
  <c r="L842" i="21"/>
  <c r="K842" i="21"/>
  <c r="L824" i="21"/>
  <c r="K824" i="21"/>
  <c r="J824" i="21"/>
  <c r="H931" i="21"/>
  <c r="I824" i="21"/>
  <c r="H952" i="21"/>
  <c r="J845" i="21"/>
  <c r="I952" i="21"/>
  <c r="I845" i="21"/>
  <c r="K845" i="21"/>
  <c r="L845" i="21"/>
  <c r="J822" i="21"/>
  <c r="L822" i="21"/>
  <c r="K822" i="21"/>
  <c r="I822" i="21"/>
  <c r="J819" i="21"/>
  <c r="I926" i="21"/>
  <c r="K819" i="21"/>
  <c r="L819" i="21"/>
  <c r="I819" i="21"/>
  <c r="H926" i="21"/>
  <c r="J847" i="21"/>
  <c r="H954" i="21"/>
  <c r="I847" i="21"/>
  <c r="K847" i="21"/>
  <c r="L847" i="21"/>
  <c r="I962" i="21"/>
  <c r="K855" i="21"/>
  <c r="L855" i="21"/>
  <c r="I855" i="21"/>
  <c r="J855" i="21"/>
  <c r="H962" i="21"/>
  <c r="M22" i="5"/>
  <c r="F22" i="5" s="1"/>
  <c r="M25" i="5"/>
  <c r="F25" i="5" s="1"/>
  <c r="M36" i="5"/>
  <c r="M53" i="5"/>
  <c r="M45" i="5"/>
  <c r="M19" i="5"/>
  <c r="F19" i="5" s="1"/>
  <c r="D34" i="5"/>
  <c r="D16" i="5"/>
  <c r="D14" i="5"/>
  <c r="D11" i="5"/>
  <c r="M26" i="5"/>
  <c r="D39" i="5"/>
  <c r="D47" i="5"/>
  <c r="F949" i="21"/>
  <c r="D954" i="21"/>
  <c r="G830" i="21"/>
  <c r="B931" i="21"/>
  <c r="I954" i="21" l="1"/>
  <c r="I931" i="21"/>
  <c r="I949" i="21"/>
  <c r="H949" i="21"/>
  <c r="F929" i="21"/>
  <c r="B827" i="21"/>
  <c r="G934" i="21"/>
  <c r="H833" i="21"/>
  <c r="G929" i="21"/>
  <c r="C252" i="9"/>
  <c r="C929" i="21"/>
  <c r="D929" i="21"/>
  <c r="E830" i="21"/>
  <c r="B830" i="21"/>
  <c r="B833" i="21"/>
  <c r="D833" i="21"/>
  <c r="H929" i="21" l="1"/>
  <c r="I929" i="21"/>
  <c r="F830" i="21"/>
  <c r="B940" i="21"/>
  <c r="F827" i="21"/>
  <c r="E833" i="21"/>
  <c r="C833" i="21"/>
  <c r="D934" i="21"/>
  <c r="C249" i="9"/>
  <c r="H827" i="21"/>
  <c r="D940" i="21"/>
  <c r="C827" i="21"/>
  <c r="C830" i="21"/>
  <c r="E937" i="21"/>
  <c r="F940" i="21"/>
  <c r="E1039" i="21"/>
  <c r="E934" i="21"/>
  <c r="H830" i="21"/>
  <c r="F833" i="21"/>
  <c r="B937" i="21"/>
  <c r="G940" i="21"/>
  <c r="H689" i="21"/>
  <c r="F934" i="21"/>
  <c r="B934" i="21"/>
  <c r="G937" i="21"/>
  <c r="G827" i="21"/>
  <c r="H692" i="21"/>
  <c r="D937" i="21"/>
  <c r="D827" i="21"/>
  <c r="G833" i="21"/>
  <c r="E827" i="21"/>
  <c r="D830" i="21"/>
  <c r="H695" i="21"/>
  <c r="C246" i="9"/>
  <c r="D19" i="5" l="1"/>
  <c r="D22" i="5"/>
  <c r="AQ24" i="8"/>
  <c r="L24" i="8" s="1"/>
  <c r="M24" i="8" s="1"/>
  <c r="F24" i="8" s="1"/>
  <c r="AJ24" i="7"/>
  <c r="L24" i="7" s="1"/>
  <c r="M24" i="7" s="1"/>
  <c r="F24" i="7" s="1"/>
  <c r="AI24" i="6"/>
  <c r="L24" i="6" s="1"/>
  <c r="M24" i="6" s="1"/>
  <c r="F24" i="6" s="1"/>
  <c r="K833" i="21"/>
  <c r="L833" i="21"/>
  <c r="J833" i="21"/>
  <c r="I833" i="21"/>
  <c r="J830" i="21"/>
  <c r="I830" i="21"/>
  <c r="K830" i="21"/>
  <c r="L830" i="21"/>
  <c r="E1040" i="21"/>
  <c r="E1052" i="21" s="1"/>
  <c r="J827" i="21"/>
  <c r="L827" i="21"/>
  <c r="K827" i="21"/>
  <c r="I827" i="21"/>
  <c r="H934" i="21"/>
  <c r="D25" i="5"/>
  <c r="F36" i="5"/>
  <c r="F45" i="5"/>
  <c r="F26" i="5"/>
  <c r="F53" i="5"/>
  <c r="C844" i="21"/>
  <c r="D1039" i="21"/>
  <c r="F937" i="21"/>
  <c r="C940" i="21"/>
  <c r="E940" i="21"/>
  <c r="D1040" i="21" l="1"/>
  <c r="D1049" i="21" s="1"/>
  <c r="H940" i="21"/>
  <c r="I940" i="21"/>
  <c r="C937" i="21"/>
  <c r="C934" i="21"/>
  <c r="I934" i="21" l="1"/>
  <c r="H937" i="21"/>
  <c r="I937" i="21"/>
  <c r="G834" i="21"/>
  <c r="E844" i="21"/>
  <c r="C853" i="21"/>
  <c r="D951" i="21"/>
  <c r="H861" i="21"/>
  <c r="E941" i="21"/>
  <c r="B834" i="21"/>
  <c r="C834" i="21"/>
  <c r="D861" i="21"/>
  <c r="B844" i="21"/>
  <c r="E853" i="21"/>
  <c r="C263" i="9"/>
  <c r="H723" i="21"/>
  <c r="C280" i="9"/>
  <c r="H696" i="21"/>
  <c r="G951" i="21"/>
  <c r="G968" i="21"/>
  <c r="C960" i="21"/>
  <c r="B951" i="21"/>
  <c r="D853" i="21"/>
  <c r="D941" i="21"/>
  <c r="G844" i="21"/>
  <c r="C272" i="9"/>
  <c r="F853" i="21"/>
  <c r="D844" i="21"/>
  <c r="F968" i="21"/>
  <c r="D960" i="21"/>
  <c r="E968" i="21"/>
  <c r="H715" i="21"/>
  <c r="E861" i="21"/>
  <c r="F861" i="21"/>
  <c r="H706" i="21"/>
  <c r="H853" i="21"/>
  <c r="F951" i="21"/>
  <c r="C968" i="21"/>
  <c r="H844" i="21"/>
  <c r="B941" i="21"/>
  <c r="F960" i="21"/>
  <c r="D834" i="21"/>
  <c r="G941" i="21"/>
  <c r="G960" i="21"/>
  <c r="B853" i="21"/>
  <c r="E834" i="21"/>
  <c r="B861" i="21"/>
  <c r="G853" i="21"/>
  <c r="F844" i="21"/>
  <c r="C253" i="9"/>
  <c r="G861" i="21"/>
  <c r="F834" i="21"/>
  <c r="E951" i="21"/>
  <c r="F941" i="21"/>
  <c r="C861" i="21"/>
  <c r="H834" i="21"/>
  <c r="E1046" i="21" l="1"/>
  <c r="D1046" i="21"/>
  <c r="D24" i="8"/>
  <c r="E523" i="21"/>
  <c r="E510" i="21" s="1"/>
  <c r="D1048" i="21"/>
  <c r="D1047" i="21"/>
  <c r="D1052" i="21"/>
  <c r="D24" i="7"/>
  <c r="D523" i="21"/>
  <c r="D510" i="21" s="1"/>
  <c r="D1051" i="21"/>
  <c r="D1050" i="21"/>
  <c r="E1050" i="21"/>
  <c r="E1051" i="21"/>
  <c r="E1049" i="21"/>
  <c r="E1047" i="21"/>
  <c r="E1048" i="21"/>
  <c r="I861" i="21"/>
  <c r="J861" i="21"/>
  <c r="L861" i="21"/>
  <c r="K861" i="21"/>
  <c r="H968" i="21"/>
  <c r="J834" i="21"/>
  <c r="L834" i="21"/>
  <c r="K834" i="21"/>
  <c r="I834" i="21"/>
  <c r="H941" i="21"/>
  <c r="L853" i="21"/>
  <c r="K853" i="21"/>
  <c r="J853" i="21"/>
  <c r="I853" i="21"/>
  <c r="J844" i="21"/>
  <c r="H951" i="21"/>
  <c r="I844" i="21"/>
  <c r="K844" i="21"/>
  <c r="L844" i="21"/>
  <c r="AH24" i="5"/>
  <c r="L24" i="5" s="1"/>
  <c r="D53" i="5"/>
  <c r="D26" i="5"/>
  <c r="B525" i="21"/>
  <c r="B512" i="21" s="1"/>
  <c r="D45" i="5"/>
  <c r="B524" i="21"/>
  <c r="B511" i="21" s="1"/>
  <c r="D36" i="5"/>
  <c r="D24" i="6"/>
  <c r="C523" i="21"/>
  <c r="C510" i="21" s="1"/>
  <c r="C951" i="21"/>
  <c r="D968" i="21"/>
  <c r="C941" i="21"/>
  <c r="I941" i="21" l="1"/>
  <c r="B960" i="21"/>
  <c r="C1038" i="21"/>
  <c r="I951" i="21" l="1"/>
  <c r="AQ70" i="8"/>
  <c r="L70" i="8" s="1"/>
  <c r="M70" i="8" s="1"/>
  <c r="F70" i="8" s="1"/>
  <c r="D70" i="8" s="1"/>
  <c r="AQ71" i="8"/>
  <c r="L71" i="8" s="1"/>
  <c r="M71" i="8" s="1"/>
  <c r="F71" i="8" s="1"/>
  <c r="D71" i="8" s="1"/>
  <c r="AQ78" i="8"/>
  <c r="L78" i="8" s="1"/>
  <c r="M78" i="8" s="1"/>
  <c r="F78" i="8" s="1"/>
  <c r="D78" i="8" s="1"/>
  <c r="AQ80" i="8"/>
  <c r="L80" i="8" s="1"/>
  <c r="M80" i="8" s="1"/>
  <c r="F80" i="8" s="1"/>
  <c r="D80" i="8" s="1"/>
  <c r="AQ75" i="8"/>
  <c r="L75" i="8" s="1"/>
  <c r="M75" i="8" s="1"/>
  <c r="F75" i="8" s="1"/>
  <c r="D75" i="8" s="1"/>
  <c r="AQ64" i="8"/>
  <c r="L64" i="8" s="1"/>
  <c r="M64" i="8" s="1"/>
  <c r="F64" i="8" s="1"/>
  <c r="D64" i="8" s="1"/>
  <c r="D1053" i="21"/>
  <c r="AJ70" i="7"/>
  <c r="L70" i="7" s="1"/>
  <c r="M70" i="7" s="1"/>
  <c r="F70" i="7" s="1"/>
  <c r="D70" i="7" s="1"/>
  <c r="AJ78" i="7"/>
  <c r="L78" i="7" s="1"/>
  <c r="M78" i="7" s="1"/>
  <c r="F78" i="7" s="1"/>
  <c r="D78" i="7" s="1"/>
  <c r="AJ64" i="7"/>
  <c r="L64" i="7" s="1"/>
  <c r="M64" i="7" s="1"/>
  <c r="F64" i="7" s="1"/>
  <c r="D64" i="7" s="1"/>
  <c r="E1053" i="21"/>
  <c r="AJ75" i="7"/>
  <c r="L75" i="7" s="1"/>
  <c r="M75" i="7" s="1"/>
  <c r="F75" i="7" s="1"/>
  <c r="D75" i="7" s="1"/>
  <c r="AJ80" i="7"/>
  <c r="L80" i="7" s="1"/>
  <c r="M80" i="7" s="1"/>
  <c r="F80" i="7" s="1"/>
  <c r="D80" i="7" s="1"/>
  <c r="AJ71" i="7"/>
  <c r="L71" i="7" s="1"/>
  <c r="M71" i="7" s="1"/>
  <c r="F71" i="7" s="1"/>
  <c r="D71" i="7" s="1"/>
  <c r="AI78" i="6"/>
  <c r="L78" i="6" s="1"/>
  <c r="M78" i="6" s="1"/>
  <c r="F78" i="6" s="1"/>
  <c r="D78" i="6" s="1"/>
  <c r="AI70" i="6"/>
  <c r="L70" i="6" s="1"/>
  <c r="M70" i="6" s="1"/>
  <c r="F70" i="6" s="1"/>
  <c r="D70" i="6" s="1"/>
  <c r="AI71" i="6"/>
  <c r="L71" i="6" s="1"/>
  <c r="M71" i="6" s="1"/>
  <c r="F71" i="6" s="1"/>
  <c r="D71" i="6" s="1"/>
  <c r="AI75" i="6"/>
  <c r="L75" i="6" s="1"/>
  <c r="M75" i="6" s="1"/>
  <c r="F75" i="6" s="1"/>
  <c r="D75" i="6" s="1"/>
  <c r="AI80" i="6"/>
  <c r="L80" i="6" s="1"/>
  <c r="M80" i="6" s="1"/>
  <c r="F80" i="6" s="1"/>
  <c r="D80" i="6" s="1"/>
  <c r="AI64" i="6"/>
  <c r="L64" i="6" s="1"/>
  <c r="M64" i="6" s="1"/>
  <c r="F64" i="6" s="1"/>
  <c r="D64" i="6" s="1"/>
  <c r="M24" i="5"/>
  <c r="E960" i="21"/>
  <c r="B968" i="21"/>
  <c r="C1039" i="21"/>
  <c r="I960" i="21" l="1"/>
  <c r="H960" i="21"/>
  <c r="I968" i="21"/>
  <c r="C1040" i="21"/>
  <c r="C1051" i="21" s="1"/>
  <c r="AH78" i="5"/>
  <c r="L78" i="5" s="1"/>
  <c r="AH71" i="5"/>
  <c r="L71" i="5" s="1"/>
  <c r="AH70" i="5"/>
  <c r="L70" i="5" s="1"/>
  <c r="M70" i="5" s="1"/>
  <c r="F70" i="5" s="1"/>
  <c r="D70" i="5" s="1"/>
  <c r="AH75" i="5"/>
  <c r="L75" i="5" s="1"/>
  <c r="AH80" i="5"/>
  <c r="L80" i="5" s="1"/>
  <c r="AH64" i="5"/>
  <c r="L64" i="5" s="1"/>
  <c r="F24" i="5"/>
  <c r="C251" i="9"/>
  <c r="H740" i="21"/>
  <c r="B939" i="21"/>
  <c r="B985" i="21"/>
  <c r="G985" i="21"/>
  <c r="D985" i="21"/>
  <c r="H832" i="21"/>
  <c r="E832" i="21"/>
  <c r="G878" i="21"/>
  <c r="F832" i="21"/>
  <c r="F878" i="21"/>
  <c r="H694" i="21"/>
  <c r="B878" i="21"/>
  <c r="F985" i="21"/>
  <c r="H878" i="21"/>
  <c r="D832" i="21"/>
  <c r="G939" i="21"/>
  <c r="E985" i="21"/>
  <c r="F91" i="9"/>
  <c r="F90" i="9"/>
  <c r="F939" i="21"/>
  <c r="E878" i="21"/>
  <c r="B832" i="21"/>
  <c r="G832" i="21"/>
  <c r="C985" i="21"/>
  <c r="C297" i="9"/>
  <c r="E939" i="21"/>
  <c r="D878" i="21"/>
  <c r="D939" i="21"/>
  <c r="C832" i="21"/>
  <c r="N90" i="9"/>
  <c r="G90" i="9"/>
  <c r="C878" i="21"/>
  <c r="K1157" i="21" l="1"/>
  <c r="J1158" i="21"/>
  <c r="J1157" i="21"/>
  <c r="J1153" i="21"/>
  <c r="J1145" i="21"/>
  <c r="K1145" i="21"/>
  <c r="J1146" i="21"/>
  <c r="C1049" i="21"/>
  <c r="C1052" i="21"/>
  <c r="C1050" i="21"/>
  <c r="C1048" i="21"/>
  <c r="J1134" i="21"/>
  <c r="J1110" i="21"/>
  <c r="J1074" i="21"/>
  <c r="J1122" i="21"/>
  <c r="J1098" i="21"/>
  <c r="J1086" i="21"/>
  <c r="J1129" i="21"/>
  <c r="J1141" i="21"/>
  <c r="J1093" i="21"/>
  <c r="J1105" i="21"/>
  <c r="J1081" i="21"/>
  <c r="J1117" i="21"/>
  <c r="H939" i="21"/>
  <c r="L832" i="21"/>
  <c r="K832" i="21"/>
  <c r="I832" i="21"/>
  <c r="J832" i="21"/>
  <c r="J1085" i="21"/>
  <c r="J1109" i="21"/>
  <c r="J1121" i="21"/>
  <c r="J1097" i="21"/>
  <c r="J1073" i="21"/>
  <c r="J1133" i="21"/>
  <c r="M71" i="5"/>
  <c r="M78" i="5"/>
  <c r="M64" i="5"/>
  <c r="F64" i="5" s="1"/>
  <c r="M80" i="5"/>
  <c r="F80" i="5" s="1"/>
  <c r="M75" i="5"/>
  <c r="B523" i="21"/>
  <c r="B510" i="21" s="1"/>
  <c r="D24" i="5"/>
  <c r="C1047" i="21"/>
  <c r="C1046" i="21"/>
  <c r="K1133" i="21"/>
  <c r="K1073" i="21"/>
  <c r="F92" i="9"/>
  <c r="K1109" i="21"/>
  <c r="K1097" i="21"/>
  <c r="K1085" i="21"/>
  <c r="K1121" i="21"/>
  <c r="L878" i="21"/>
  <c r="K878" i="21"/>
  <c r="I878" i="21"/>
  <c r="H985" i="21"/>
  <c r="I985" i="21"/>
  <c r="J878" i="21"/>
  <c r="G888" i="21"/>
  <c r="I90" i="9"/>
  <c r="J1148" i="21" l="1"/>
  <c r="C888" i="21"/>
  <c r="G995" i="21"/>
  <c r="C939" i="21"/>
  <c r="G872" i="21"/>
  <c r="H90" i="9"/>
  <c r="J1159" i="21" l="1"/>
  <c r="I939" i="21"/>
  <c r="B995" i="21"/>
  <c r="C979" i="21"/>
  <c r="G979" i="21"/>
  <c r="G91" i="9"/>
  <c r="F995" i="21"/>
  <c r="B979" i="21"/>
  <c r="K90" i="9"/>
  <c r="E979" i="21"/>
  <c r="N91" i="9"/>
  <c r="F872" i="21"/>
  <c r="D979" i="21"/>
  <c r="E995" i="21"/>
  <c r="H750" i="21"/>
  <c r="D995" i="21"/>
  <c r="E872" i="21"/>
  <c r="H888" i="21"/>
  <c r="F888" i="21"/>
  <c r="F979" i="21"/>
  <c r="D888" i="21"/>
  <c r="C995" i="21"/>
  <c r="C307" i="9"/>
  <c r="B888" i="21"/>
  <c r="C291" i="9"/>
  <c r="C872" i="21"/>
  <c r="B872" i="21"/>
  <c r="H872" i="21"/>
  <c r="H734" i="21"/>
  <c r="E888" i="21"/>
  <c r="D872" i="21"/>
  <c r="K1158" i="21" l="1"/>
  <c r="K1153" i="21"/>
  <c r="J1150" i="21"/>
  <c r="J1147" i="21"/>
  <c r="K1146" i="21"/>
  <c r="AQ76" i="8"/>
  <c r="L76" i="8" s="1"/>
  <c r="M76" i="8" s="1"/>
  <c r="F76" i="8" s="1"/>
  <c r="D76" i="8" s="1"/>
  <c r="AQ7" i="8"/>
  <c r="L7" i="8" s="1"/>
  <c r="M7" i="8" s="1"/>
  <c r="F7" i="8" s="1"/>
  <c r="AQ63" i="8"/>
  <c r="L63" i="8" s="1"/>
  <c r="M63" i="8" s="1"/>
  <c r="F63" i="8" s="1"/>
  <c r="D63" i="8" s="1"/>
  <c r="AQ79" i="8"/>
  <c r="L79" i="8" s="1"/>
  <c r="M79" i="8" s="1"/>
  <c r="AQ74" i="8"/>
  <c r="L74" i="8" s="1"/>
  <c r="M74" i="8" s="1"/>
  <c r="F74" i="8" s="1"/>
  <c r="D74" i="8" s="1"/>
  <c r="AQ61" i="8"/>
  <c r="L61" i="8" s="1"/>
  <c r="M61" i="8" s="1"/>
  <c r="F61" i="8" s="1"/>
  <c r="D61" i="8" s="1"/>
  <c r="AQ67" i="8"/>
  <c r="L67" i="8" s="1"/>
  <c r="AQ65" i="8"/>
  <c r="L65" i="8" s="1"/>
  <c r="M65" i="8" s="1"/>
  <c r="F65" i="8" s="1"/>
  <c r="D65" i="8" s="1"/>
  <c r="AQ60" i="8"/>
  <c r="L60" i="8" s="1"/>
  <c r="M60" i="8" s="1"/>
  <c r="F60" i="8" s="1"/>
  <c r="AQ15" i="8"/>
  <c r="L15" i="8" s="1"/>
  <c r="M15" i="8" s="1"/>
  <c r="F15" i="8" s="1"/>
  <c r="D15" i="8" s="1"/>
  <c r="AQ77" i="8"/>
  <c r="L77" i="8" s="1"/>
  <c r="M77" i="8" s="1"/>
  <c r="F77" i="8" s="1"/>
  <c r="D77" i="8" s="1"/>
  <c r="AQ68" i="8"/>
  <c r="L68" i="8" s="1"/>
  <c r="M68" i="8" s="1"/>
  <c r="F68" i="8" s="1"/>
  <c r="D68" i="8" s="1"/>
  <c r="AQ69" i="8"/>
  <c r="L69" i="8" s="1"/>
  <c r="M69" i="8" s="1"/>
  <c r="F69" i="8" s="1"/>
  <c r="D69" i="8" s="1"/>
  <c r="AQ10" i="8"/>
  <c r="L10" i="8" s="1"/>
  <c r="M10" i="8" s="1"/>
  <c r="F10" i="8" s="1"/>
  <c r="D10" i="8" s="1"/>
  <c r="AJ7" i="7"/>
  <c r="L7" i="7" s="1"/>
  <c r="M7" i="7" s="1"/>
  <c r="F7" i="7" s="1"/>
  <c r="AJ68" i="7"/>
  <c r="L68" i="7" s="1"/>
  <c r="AJ76" i="7"/>
  <c r="L76" i="7" s="1"/>
  <c r="M76" i="7" s="1"/>
  <c r="F76" i="7" s="1"/>
  <c r="D76" i="7" s="1"/>
  <c r="AJ10" i="7"/>
  <c r="L10" i="7" s="1"/>
  <c r="M10" i="7" s="1"/>
  <c r="F10" i="7" s="1"/>
  <c r="D10" i="7" s="1"/>
  <c r="AJ69" i="7"/>
  <c r="L69" i="7" s="1"/>
  <c r="M69" i="7" s="1"/>
  <c r="F69" i="7" s="1"/>
  <c r="D69" i="7" s="1"/>
  <c r="AJ65" i="7"/>
  <c r="L65" i="7" s="1"/>
  <c r="M65" i="7" s="1"/>
  <c r="F65" i="7" s="1"/>
  <c r="D65" i="7" s="1"/>
  <c r="AJ60" i="7"/>
  <c r="L60" i="7" s="1"/>
  <c r="M60" i="7" s="1"/>
  <c r="F60" i="7" s="1"/>
  <c r="AJ15" i="7"/>
  <c r="L15" i="7" s="1"/>
  <c r="M15" i="7" s="1"/>
  <c r="F15" i="7" s="1"/>
  <c r="D15" i="7" s="1"/>
  <c r="C1053" i="21"/>
  <c r="AJ77" i="7"/>
  <c r="L77" i="7" s="1"/>
  <c r="M77" i="7" s="1"/>
  <c r="F77" i="7" s="1"/>
  <c r="D77" i="7" s="1"/>
  <c r="AJ67" i="7"/>
  <c r="L67" i="7" s="1"/>
  <c r="AJ79" i="7"/>
  <c r="L79" i="7" s="1"/>
  <c r="M79" i="7" s="1"/>
  <c r="F79" i="7" s="1"/>
  <c r="AJ74" i="7"/>
  <c r="L74" i="7" s="1"/>
  <c r="M74" i="7" s="1"/>
  <c r="F74" i="7" s="1"/>
  <c r="D74" i="7" s="1"/>
  <c r="AJ63" i="7"/>
  <c r="L63" i="7" s="1"/>
  <c r="M63" i="7" s="1"/>
  <c r="F63" i="7" s="1"/>
  <c r="D63" i="7" s="1"/>
  <c r="AJ61" i="7"/>
  <c r="L61" i="7" s="1"/>
  <c r="M61" i="7" s="1"/>
  <c r="F61" i="7" s="1"/>
  <c r="D61" i="7" s="1"/>
  <c r="AI10" i="6"/>
  <c r="L10" i="6" s="1"/>
  <c r="M10" i="6" s="1"/>
  <c r="F10" i="6" s="1"/>
  <c r="D10" i="6" s="1"/>
  <c r="AI63" i="6"/>
  <c r="L63" i="6" s="1"/>
  <c r="M63" i="6" s="1"/>
  <c r="F63" i="6" s="1"/>
  <c r="D63" i="6" s="1"/>
  <c r="AI77" i="6"/>
  <c r="L77" i="6" s="1"/>
  <c r="M77" i="6" s="1"/>
  <c r="F77" i="6" s="1"/>
  <c r="D77" i="6" s="1"/>
  <c r="AI68" i="6"/>
  <c r="L68" i="6" s="1"/>
  <c r="M68" i="6" s="1"/>
  <c r="F68" i="6" s="1"/>
  <c r="D68" i="6" s="1"/>
  <c r="AI69" i="6"/>
  <c r="L69" i="6" s="1"/>
  <c r="M69" i="6" s="1"/>
  <c r="F69" i="6" s="1"/>
  <c r="D69" i="6" s="1"/>
  <c r="AI67" i="6"/>
  <c r="L67" i="6" s="1"/>
  <c r="AI74" i="6"/>
  <c r="L74" i="6" s="1"/>
  <c r="M74" i="6" s="1"/>
  <c r="F74" i="6" s="1"/>
  <c r="D74" i="6" s="1"/>
  <c r="L7" i="6"/>
  <c r="M7" i="6" s="1"/>
  <c r="F7" i="6" s="1"/>
  <c r="AI76" i="6"/>
  <c r="L76" i="6" s="1"/>
  <c r="M76" i="6" s="1"/>
  <c r="F76" i="6" s="1"/>
  <c r="D76" i="6" s="1"/>
  <c r="AI61" i="6"/>
  <c r="L61" i="6" s="1"/>
  <c r="M61" i="6" s="1"/>
  <c r="F61" i="6" s="1"/>
  <c r="D61" i="6" s="1"/>
  <c r="AI65" i="6"/>
  <c r="L65" i="6" s="1"/>
  <c r="M65" i="6" s="1"/>
  <c r="F65" i="6" s="1"/>
  <c r="D65" i="6" s="1"/>
  <c r="AI79" i="6"/>
  <c r="L79" i="6" s="1"/>
  <c r="M79" i="6" s="1"/>
  <c r="AI60" i="6"/>
  <c r="L60" i="6" s="1"/>
  <c r="AI15" i="6"/>
  <c r="L15" i="6" s="1"/>
  <c r="M15" i="6" s="1"/>
  <c r="F15" i="6" s="1"/>
  <c r="D15" i="6" s="1"/>
  <c r="I995" i="21"/>
  <c r="I888" i="21"/>
  <c r="J888" i="21"/>
  <c r="L888" i="21"/>
  <c r="K888" i="21"/>
  <c r="H995" i="21"/>
  <c r="K872" i="21"/>
  <c r="L872" i="21"/>
  <c r="I979" i="21"/>
  <c r="H979" i="21"/>
  <c r="I872" i="21"/>
  <c r="J872" i="21"/>
  <c r="K1093" i="21"/>
  <c r="K1129" i="21"/>
  <c r="N92" i="9"/>
  <c r="K1141" i="21"/>
  <c r="K1117" i="21"/>
  <c r="K1081" i="21"/>
  <c r="K1105" i="21"/>
  <c r="K1086" i="21"/>
  <c r="K1098" i="21"/>
  <c r="K1134" i="21"/>
  <c r="K1122" i="21"/>
  <c r="G92" i="9"/>
  <c r="K1110" i="21"/>
  <c r="K1074" i="21"/>
  <c r="D80" i="5"/>
  <c r="F75" i="5"/>
  <c r="F78" i="5"/>
  <c r="D64" i="5"/>
  <c r="F71" i="5"/>
  <c r="J1088" i="21"/>
  <c r="J1112" i="21"/>
  <c r="J1100" i="21"/>
  <c r="J1124" i="21"/>
  <c r="J1136" i="21"/>
  <c r="J1076" i="21"/>
  <c r="J1126" i="21"/>
  <c r="J1114" i="21"/>
  <c r="J1138" i="21"/>
  <c r="J1078" i="21"/>
  <c r="J1102" i="21"/>
  <c r="J1090" i="21"/>
  <c r="J1123" i="21"/>
  <c r="J1111" i="21"/>
  <c r="J1099" i="21"/>
  <c r="J1135" i="21"/>
  <c r="J1075" i="21"/>
  <c r="J1087" i="21"/>
  <c r="F879" i="21"/>
  <c r="B886" i="21"/>
  <c r="D883" i="21"/>
  <c r="D990" i="21"/>
  <c r="E990" i="21"/>
  <c r="B993" i="21"/>
  <c r="E28" i="9"/>
  <c r="C986" i="21"/>
  <c r="C886" i="21"/>
  <c r="B986" i="21"/>
  <c r="H91" i="9"/>
  <c r="D28" i="9"/>
  <c r="H741" i="21"/>
  <c r="D886" i="21"/>
  <c r="G990" i="21"/>
  <c r="E879" i="21"/>
  <c r="C990" i="21"/>
  <c r="F986" i="21"/>
  <c r="D993" i="21"/>
  <c r="B879" i="21"/>
  <c r="G886" i="21"/>
  <c r="B990" i="21"/>
  <c r="C993" i="21"/>
  <c r="H879" i="21"/>
  <c r="C879" i="21"/>
  <c r="C883" i="21"/>
  <c r="G879" i="21"/>
  <c r="E886" i="21"/>
  <c r="K91" i="9"/>
  <c r="H748" i="21"/>
  <c r="H883" i="21"/>
  <c r="F883" i="21"/>
  <c r="G993" i="21"/>
  <c r="C302" i="9"/>
  <c r="E883" i="21"/>
  <c r="F28" i="9"/>
  <c r="H745" i="21"/>
  <c r="I91" i="9"/>
  <c r="F990" i="21"/>
  <c r="G883" i="21"/>
  <c r="D986" i="21"/>
  <c r="H886" i="21"/>
  <c r="C305" i="9"/>
  <c r="F993" i="21"/>
  <c r="G986" i="21"/>
  <c r="D879" i="21"/>
  <c r="E993" i="21"/>
  <c r="C298" i="9"/>
  <c r="F886" i="21"/>
  <c r="B883" i="21"/>
  <c r="E986" i="21"/>
  <c r="K1159" i="21" l="1"/>
  <c r="D79" i="7"/>
  <c r="D528" i="21"/>
  <c r="D515" i="21" s="1"/>
  <c r="K1150" i="21"/>
  <c r="K1148" i="21"/>
  <c r="K1147" i="21"/>
  <c r="D7" i="8"/>
  <c r="E522" i="21"/>
  <c r="E509" i="21" s="1"/>
  <c r="M67" i="8"/>
  <c r="M67" i="7"/>
  <c r="M68" i="7"/>
  <c r="F68" i="7" s="1"/>
  <c r="D68" i="7" s="1"/>
  <c r="D7" i="7"/>
  <c r="D522" i="21"/>
  <c r="D509" i="21" s="1"/>
  <c r="M67" i="6"/>
  <c r="M60" i="6"/>
  <c r="F60" i="6" s="1"/>
  <c r="I879" i="21"/>
  <c r="H986" i="21"/>
  <c r="J879" i="21"/>
  <c r="I986" i="21"/>
  <c r="K879" i="21"/>
  <c r="L879" i="21"/>
  <c r="J886" i="21"/>
  <c r="H993" i="21"/>
  <c r="I993" i="21"/>
  <c r="I886" i="21"/>
  <c r="L886" i="21"/>
  <c r="K886" i="21"/>
  <c r="I883" i="21"/>
  <c r="H990" i="21"/>
  <c r="K883" i="21"/>
  <c r="L883" i="21"/>
  <c r="I990" i="21"/>
  <c r="J883" i="21"/>
  <c r="AH77" i="5"/>
  <c r="L77" i="5" s="1"/>
  <c r="AH60" i="5"/>
  <c r="L60" i="5" s="1"/>
  <c r="M60" i="5" s="1"/>
  <c r="F60" i="5" s="1"/>
  <c r="AH10" i="5"/>
  <c r="L10" i="5" s="1"/>
  <c r="AH79" i="5"/>
  <c r="L79" i="5" s="1"/>
  <c r="M79" i="5" s="1"/>
  <c r="D71" i="5"/>
  <c r="AH67" i="5"/>
  <c r="L67" i="5" s="1"/>
  <c r="AH65" i="5"/>
  <c r="L65" i="5" s="1"/>
  <c r="AH74" i="5"/>
  <c r="L74" i="5" s="1"/>
  <c r="M74" i="5" s="1"/>
  <c r="AH63" i="5"/>
  <c r="L63" i="5" s="1"/>
  <c r="AH76" i="5"/>
  <c r="L76" i="5" s="1"/>
  <c r="AH61" i="5"/>
  <c r="L61" i="5" s="1"/>
  <c r="AH69" i="5"/>
  <c r="L69" i="5" s="1"/>
  <c r="D78" i="5"/>
  <c r="AH68" i="5"/>
  <c r="L68" i="5" s="1"/>
  <c r="D75" i="5"/>
  <c r="AH7" i="5"/>
  <c r="L7" i="5" s="1"/>
  <c r="AH15" i="5"/>
  <c r="L15" i="5" s="1"/>
  <c r="M15" i="5" s="1"/>
  <c r="D60" i="8"/>
  <c r="E526" i="21"/>
  <c r="E513" i="21" s="1"/>
  <c r="D60" i="7"/>
  <c r="D526" i="21"/>
  <c r="D513" i="21" s="1"/>
  <c r="C522" i="21"/>
  <c r="C509" i="21" s="1"/>
  <c r="D7" i="6"/>
  <c r="F79" i="6"/>
  <c r="F79" i="8"/>
  <c r="K1075" i="21"/>
  <c r="K1099" i="21"/>
  <c r="K1087" i="21"/>
  <c r="K1135" i="21"/>
  <c r="K1111" i="21"/>
  <c r="K1123" i="21"/>
  <c r="H92" i="9"/>
  <c r="K1126" i="21"/>
  <c r="K1090" i="21"/>
  <c r="K1102" i="21"/>
  <c r="K1114" i="21"/>
  <c r="K1138" i="21"/>
  <c r="K1078" i="21"/>
  <c r="K92" i="9"/>
  <c r="K1076" i="21"/>
  <c r="K1136" i="21"/>
  <c r="K1100" i="21"/>
  <c r="K1088" i="21"/>
  <c r="K1112" i="21"/>
  <c r="K1124" i="21"/>
  <c r="I92" i="9"/>
  <c r="B975" i="21"/>
  <c r="D975" i="21"/>
  <c r="D868" i="21"/>
  <c r="L90" i="9"/>
  <c r="C868" i="21"/>
  <c r="C90" i="9"/>
  <c r="C28" i="9"/>
  <c r="G1038" i="21"/>
  <c r="H1038" i="21"/>
  <c r="F1038" i="21"/>
  <c r="E975" i="21"/>
  <c r="C287" i="9"/>
  <c r="E29" i="9"/>
  <c r="F29" i="9"/>
  <c r="G975" i="21"/>
  <c r="J91" i="9"/>
  <c r="B868" i="21"/>
  <c r="B1038" i="21"/>
  <c r="F868" i="21"/>
  <c r="D29" i="9"/>
  <c r="F975" i="21"/>
  <c r="J90" i="9"/>
  <c r="M90" i="9"/>
  <c r="E868" i="21"/>
  <c r="G868" i="21"/>
  <c r="E90" i="9"/>
  <c r="H730" i="21"/>
  <c r="C975" i="21"/>
  <c r="H868" i="21"/>
  <c r="D90" i="9"/>
  <c r="J1154" i="21" l="1"/>
  <c r="J1155" i="21"/>
  <c r="J1156" i="21"/>
  <c r="D516" i="21"/>
  <c r="D79" i="8"/>
  <c r="E528" i="21"/>
  <c r="E515" i="21" s="1"/>
  <c r="E516" i="21" s="1"/>
  <c r="D79" i="6"/>
  <c r="C528" i="21"/>
  <c r="C515" i="21" s="1"/>
  <c r="C516" i="21" s="1"/>
  <c r="J1152" i="21"/>
  <c r="J1151" i="21"/>
  <c r="J1149" i="21"/>
  <c r="K1149" i="21"/>
  <c r="C526" i="21"/>
  <c r="C513" i="21" s="1"/>
  <c r="D60" i="6"/>
  <c r="F15" i="5"/>
  <c r="D15" i="5" s="1"/>
  <c r="F30" i="9"/>
  <c r="F67" i="8"/>
  <c r="E527" i="21" s="1"/>
  <c r="E30" i="9"/>
  <c r="F67" i="7"/>
  <c r="D527" i="21" s="1"/>
  <c r="D30" i="9"/>
  <c r="F67" i="6"/>
  <c r="C527" i="21" s="1"/>
  <c r="J1083" i="21"/>
  <c r="J1143" i="21"/>
  <c r="J1071" i="21"/>
  <c r="J1095" i="21"/>
  <c r="J1107" i="21"/>
  <c r="J1119" i="21"/>
  <c r="J1131" i="21"/>
  <c r="J1116" i="21"/>
  <c r="J1092" i="21"/>
  <c r="J1140" i="21"/>
  <c r="J1080" i="21"/>
  <c r="J1128" i="21"/>
  <c r="J1104" i="21"/>
  <c r="J1094" i="21"/>
  <c r="J1070" i="21"/>
  <c r="J1130" i="21"/>
  <c r="J1106" i="21"/>
  <c r="J1082" i="21"/>
  <c r="J1142" i="21"/>
  <c r="J1118" i="21"/>
  <c r="J1127" i="21"/>
  <c r="J1091" i="21"/>
  <c r="J1139" i="21"/>
  <c r="J1103" i="21"/>
  <c r="J1115" i="21"/>
  <c r="J1079" i="21"/>
  <c r="J1084" i="21"/>
  <c r="J1132" i="21"/>
  <c r="J1096" i="21"/>
  <c r="J1108" i="21"/>
  <c r="J1072" i="21"/>
  <c r="J1120" i="21"/>
  <c r="J1144" i="21"/>
  <c r="J1113" i="21"/>
  <c r="J1101" i="21"/>
  <c r="J1089" i="21"/>
  <c r="J1077" i="21"/>
  <c r="J1125" i="21"/>
  <c r="J1137" i="21"/>
  <c r="M7" i="5"/>
  <c r="F7" i="5" s="1"/>
  <c r="M63" i="5"/>
  <c r="F63" i="5" s="1"/>
  <c r="M68" i="5"/>
  <c r="M77" i="5"/>
  <c r="M65" i="5"/>
  <c r="M67" i="5"/>
  <c r="F67" i="5" s="1"/>
  <c r="M61" i="5"/>
  <c r="F61" i="5" s="1"/>
  <c r="M76" i="5"/>
  <c r="M10" i="5"/>
  <c r="F10" i="5" s="1"/>
  <c r="M69" i="5"/>
  <c r="K1137" i="21"/>
  <c r="J92" i="9"/>
  <c r="K1101" i="21"/>
  <c r="K1077" i="21"/>
  <c r="K1125" i="21"/>
  <c r="K1113" i="21"/>
  <c r="K1089" i="21"/>
  <c r="F74" i="5"/>
  <c r="I975" i="21"/>
  <c r="J868" i="21"/>
  <c r="H975" i="21"/>
  <c r="I868" i="21"/>
  <c r="K868" i="21"/>
  <c r="L868" i="21"/>
  <c r="D60" i="5"/>
  <c r="G871" i="21"/>
  <c r="E875" i="21"/>
  <c r="F925" i="21"/>
  <c r="E91" i="9"/>
  <c r="E989" i="21"/>
  <c r="H1039" i="21"/>
  <c r="B925" i="21"/>
  <c r="C29" i="9"/>
  <c r="F989" i="21"/>
  <c r="G976" i="21"/>
  <c r="F976" i="21"/>
  <c r="C288" i="9"/>
  <c r="D976" i="21"/>
  <c r="L91" i="9"/>
  <c r="C976" i="21"/>
  <c r="H744" i="21"/>
  <c r="E869" i="21"/>
  <c r="C925" i="21"/>
  <c r="E930" i="21"/>
  <c r="G875" i="21"/>
  <c r="C930" i="21"/>
  <c r="C823" i="21"/>
  <c r="E976" i="21"/>
  <c r="F871" i="21"/>
  <c r="D818" i="21"/>
  <c r="B982" i="21"/>
  <c r="H871" i="21"/>
  <c r="F882" i="21"/>
  <c r="G982" i="21"/>
  <c r="C882" i="21"/>
  <c r="F1039" i="21"/>
  <c r="D875" i="21"/>
  <c r="H733" i="21"/>
  <c r="G869" i="21"/>
  <c r="D925" i="21"/>
  <c r="B978" i="21"/>
  <c r="E871" i="21"/>
  <c r="B823" i="21"/>
  <c r="B882" i="21"/>
  <c r="D982" i="21"/>
  <c r="G989" i="21"/>
  <c r="G823" i="21"/>
  <c r="B930" i="21"/>
  <c r="C982" i="21"/>
  <c r="D882" i="21"/>
  <c r="F823" i="21"/>
  <c r="B989" i="21"/>
  <c r="H737" i="21"/>
  <c r="E982" i="21"/>
  <c r="B871" i="21"/>
  <c r="C242" i="9"/>
  <c r="C871" i="21"/>
  <c r="F818" i="21"/>
  <c r="C875" i="21"/>
  <c r="H875" i="21"/>
  <c r="E978" i="21"/>
  <c r="C978" i="21"/>
  <c r="E823" i="21"/>
  <c r="F869" i="21"/>
  <c r="G882" i="21"/>
  <c r="C294" i="9"/>
  <c r="B976" i="21"/>
  <c r="E925" i="21"/>
  <c r="F978" i="21"/>
  <c r="D930" i="21"/>
  <c r="M91" i="9"/>
  <c r="G925" i="21"/>
  <c r="G930" i="21"/>
  <c r="C234" i="9"/>
  <c r="C237" i="9"/>
  <c r="C301" i="9"/>
  <c r="B1039" i="21"/>
  <c r="G818" i="21"/>
  <c r="C290" i="9"/>
  <c r="H680" i="21"/>
  <c r="H869" i="21"/>
  <c r="C91" i="9"/>
  <c r="B869" i="21"/>
  <c r="B818" i="21"/>
  <c r="B875" i="21"/>
  <c r="H685" i="21"/>
  <c r="G978" i="21"/>
  <c r="E882" i="21"/>
  <c r="H677" i="21"/>
  <c r="C818" i="21"/>
  <c r="H823" i="21"/>
  <c r="D823" i="21"/>
  <c r="C869" i="21"/>
  <c r="H882" i="21"/>
  <c r="H731" i="21"/>
  <c r="E818" i="21"/>
  <c r="D869" i="21"/>
  <c r="F875" i="21"/>
  <c r="F930" i="21"/>
  <c r="G1039" i="21"/>
  <c r="H818" i="21"/>
  <c r="F982" i="21"/>
  <c r="D91" i="9"/>
  <c r="D871" i="21"/>
  <c r="C30" i="9" l="1"/>
  <c r="K1154" i="21"/>
  <c r="K1155" i="21"/>
  <c r="K1156" i="21"/>
  <c r="D33" i="9"/>
  <c r="E33" i="9"/>
  <c r="E31" i="9"/>
  <c r="F35" i="9"/>
  <c r="F36" i="9" s="1"/>
  <c r="F31" i="9"/>
  <c r="K1151" i="21"/>
  <c r="K1152" i="21"/>
  <c r="H1040" i="21"/>
  <c r="F79" i="5"/>
  <c r="D10" i="5"/>
  <c r="D61" i="5"/>
  <c r="F34" i="9"/>
  <c r="F33" i="9"/>
  <c r="K823" i="21"/>
  <c r="L823" i="21"/>
  <c r="I823" i="21"/>
  <c r="J823" i="21"/>
  <c r="H930" i="21"/>
  <c r="I930" i="21"/>
  <c r="E35" i="9"/>
  <c r="E36" i="9" s="1"/>
  <c r="D34" i="9"/>
  <c r="D31" i="9"/>
  <c r="E34" i="9"/>
  <c r="D35" i="9"/>
  <c r="D36" i="9" s="1"/>
  <c r="D67" i="8"/>
  <c r="E514" i="21"/>
  <c r="D67" i="7"/>
  <c r="D514" i="21"/>
  <c r="D67" i="6"/>
  <c r="C514" i="21"/>
  <c r="J871" i="21"/>
  <c r="K871" i="21"/>
  <c r="L871" i="21"/>
  <c r="I871" i="21"/>
  <c r="H978" i="21"/>
  <c r="K1139" i="21"/>
  <c r="K1127" i="21"/>
  <c r="K1115" i="21"/>
  <c r="K1079" i="21"/>
  <c r="K1103" i="21"/>
  <c r="K1091" i="21"/>
  <c r="L92" i="9"/>
  <c r="K1084" i="21"/>
  <c r="K1120" i="21"/>
  <c r="K1108" i="21"/>
  <c r="K1072" i="21"/>
  <c r="E92" i="9"/>
  <c r="K1144" i="21"/>
  <c r="K1132" i="21"/>
  <c r="K1096" i="21"/>
  <c r="K875" i="21"/>
  <c r="L875" i="21"/>
  <c r="I875" i="21"/>
  <c r="H982" i="21"/>
  <c r="J875" i="21"/>
  <c r="I982" i="21"/>
  <c r="I925" i="21"/>
  <c r="I818" i="21"/>
  <c r="L818" i="21"/>
  <c r="K818" i="21"/>
  <c r="J818" i="21"/>
  <c r="H925" i="21"/>
  <c r="K1070" i="21"/>
  <c r="K1118" i="21"/>
  <c r="K1094" i="21"/>
  <c r="K1082" i="21"/>
  <c r="K1106" i="21"/>
  <c r="K1130" i="21"/>
  <c r="K1142" i="21"/>
  <c r="C92" i="9"/>
  <c r="G1040" i="21"/>
  <c r="G1052" i="21" s="1"/>
  <c r="K1092" i="21"/>
  <c r="K1104" i="21"/>
  <c r="M92" i="9"/>
  <c r="K1140" i="21"/>
  <c r="K1080" i="21"/>
  <c r="K1128" i="21"/>
  <c r="K1116" i="21"/>
  <c r="K1071" i="21"/>
  <c r="D92" i="9"/>
  <c r="K1131" i="21"/>
  <c r="K1119" i="21"/>
  <c r="K1095" i="21"/>
  <c r="K1143" i="21"/>
  <c r="K1107" i="21"/>
  <c r="K1083" i="21"/>
  <c r="I869" i="21"/>
  <c r="J869" i="21"/>
  <c r="I976" i="21"/>
  <c r="H976" i="21"/>
  <c r="K869" i="21"/>
  <c r="L869" i="21"/>
  <c r="F1040" i="21"/>
  <c r="F1047" i="21" s="1"/>
  <c r="B1040" i="21"/>
  <c r="B1052" i="21" s="1"/>
  <c r="D63" i="5"/>
  <c r="F76" i="5"/>
  <c r="F69" i="5"/>
  <c r="D67" i="5"/>
  <c r="F65" i="5"/>
  <c r="B526" i="21" s="1"/>
  <c r="B513" i="21" s="1"/>
  <c r="F77" i="5"/>
  <c r="F68" i="5"/>
  <c r="J882" i="21"/>
  <c r="D74" i="5"/>
  <c r="K882" i="21"/>
  <c r="L882" i="21"/>
  <c r="I882" i="21"/>
  <c r="H989" i="21"/>
  <c r="F887" i="21"/>
  <c r="D978" i="21"/>
  <c r="C989" i="21"/>
  <c r="F994" i="21"/>
  <c r="I978" i="21" l="1"/>
  <c r="C306" i="9"/>
  <c r="B887" i="21"/>
  <c r="H887" i="21"/>
  <c r="D994" i="21"/>
  <c r="H749" i="21"/>
  <c r="B876" i="21"/>
  <c r="E884" i="21"/>
  <c r="D887" i="21"/>
  <c r="E887" i="21"/>
  <c r="D989" i="21"/>
  <c r="G994" i="21"/>
  <c r="G984" i="21"/>
  <c r="C994" i="21"/>
  <c r="G876" i="21"/>
  <c r="C887" i="21"/>
  <c r="E994" i="21"/>
  <c r="G887" i="21"/>
  <c r="B994" i="21"/>
  <c r="O580" i="21" l="1"/>
  <c r="Q580" i="21"/>
  <c r="P580" i="21"/>
  <c r="B527" i="21"/>
  <c r="D79" i="5"/>
  <c r="B528" i="21"/>
  <c r="B515" i="21" s="1"/>
  <c r="C34" i="9"/>
  <c r="C35" i="9"/>
  <c r="C36" i="9" s="1"/>
  <c r="C31" i="9"/>
  <c r="C33" i="9"/>
  <c r="I887" i="21"/>
  <c r="J887" i="21"/>
  <c r="H994" i="21"/>
  <c r="I994" i="21"/>
  <c r="L887" i="21"/>
  <c r="K887" i="21"/>
  <c r="H1046" i="21"/>
  <c r="H1048" i="21"/>
  <c r="H1047" i="21"/>
  <c r="H1050" i="21"/>
  <c r="H1049" i="21"/>
  <c r="H1051" i="21"/>
  <c r="H1052" i="21"/>
  <c r="I989" i="21"/>
  <c r="F992" i="21"/>
  <c r="D876" i="21"/>
  <c r="F873" i="21"/>
  <c r="G983" i="21"/>
  <c r="F991" i="21"/>
  <c r="G815" i="21"/>
  <c r="G873" i="21"/>
  <c r="B991" i="21"/>
  <c r="B984" i="21"/>
  <c r="E922" i="21"/>
  <c r="B877" i="21"/>
  <c r="G884" i="21"/>
  <c r="H815" i="21"/>
  <c r="D873" i="21"/>
  <c r="C876" i="21"/>
  <c r="E984" i="21"/>
  <c r="C885" i="21"/>
  <c r="D884" i="21"/>
  <c r="E876" i="21"/>
  <c r="C992" i="21"/>
  <c r="F885" i="21"/>
  <c r="H747" i="21"/>
  <c r="H876" i="21"/>
  <c r="H884" i="21"/>
  <c r="E980" i="21"/>
  <c r="F876" i="21"/>
  <c r="C991" i="21"/>
  <c r="C984" i="21"/>
  <c r="H873" i="21"/>
  <c r="B885" i="21"/>
  <c r="H738" i="21"/>
  <c r="B815" i="21"/>
  <c r="B873" i="21"/>
  <c r="G992" i="21"/>
  <c r="D992" i="21"/>
  <c r="E815" i="21"/>
  <c r="E885" i="21"/>
  <c r="C884" i="21"/>
  <c r="B983" i="21"/>
  <c r="C304" i="9"/>
  <c r="F980" i="21"/>
  <c r="H735" i="21"/>
  <c r="B992" i="21"/>
  <c r="F983" i="21"/>
  <c r="C980" i="21"/>
  <c r="G991" i="21"/>
  <c r="E877" i="21"/>
  <c r="F984" i="21"/>
  <c r="D922" i="21"/>
  <c r="C815" i="21"/>
  <c r="F877" i="21"/>
  <c r="C983" i="21"/>
  <c r="C292" i="9"/>
  <c r="C877" i="21"/>
  <c r="D885" i="21"/>
  <c r="G885" i="21"/>
  <c r="H885" i="21"/>
  <c r="E983" i="21"/>
  <c r="E873" i="21"/>
  <c r="D815" i="21"/>
  <c r="F884" i="21"/>
  <c r="C922" i="21"/>
  <c r="D983" i="21"/>
  <c r="C296" i="9"/>
  <c r="B980" i="21"/>
  <c r="C303" i="9"/>
  <c r="G877" i="21"/>
  <c r="G922" i="21"/>
  <c r="B884" i="21"/>
  <c r="E992" i="21"/>
  <c r="H746" i="21"/>
  <c r="D984" i="21"/>
  <c r="H739" i="21"/>
  <c r="F922" i="21"/>
  <c r="B922" i="21"/>
  <c r="C295" i="9"/>
  <c r="D991" i="21"/>
  <c r="D877" i="21"/>
  <c r="C873" i="21"/>
  <c r="G980" i="21"/>
  <c r="F815" i="21"/>
  <c r="H877" i="21"/>
  <c r="N580" i="21" l="1"/>
  <c r="H1053" i="21"/>
  <c r="I815" i="21"/>
  <c r="B514" i="21"/>
  <c r="G1049" i="21"/>
  <c r="F1052" i="21"/>
  <c r="F1046" i="21"/>
  <c r="B1047" i="21"/>
  <c r="F1051" i="21"/>
  <c r="F1050" i="21"/>
  <c r="F1049" i="21"/>
  <c r="F1048" i="21"/>
  <c r="B1049" i="21"/>
  <c r="B1051" i="21"/>
  <c r="B1048" i="21"/>
  <c r="G1048" i="21"/>
  <c r="B1050" i="21"/>
  <c r="B1046" i="21"/>
  <c r="H922" i="21"/>
  <c r="L815" i="21"/>
  <c r="K815" i="21"/>
  <c r="I922" i="21"/>
  <c r="J815" i="21"/>
  <c r="H983" i="21"/>
  <c r="K876" i="21"/>
  <c r="L876" i="21"/>
  <c r="J876" i="21"/>
  <c r="I983" i="21"/>
  <c r="I876" i="21"/>
  <c r="H992" i="21"/>
  <c r="L885" i="21"/>
  <c r="K885" i="21"/>
  <c r="I992" i="21"/>
  <c r="J885" i="21"/>
  <c r="I885" i="21"/>
  <c r="H980" i="21"/>
  <c r="J873" i="21"/>
  <c r="I873" i="21"/>
  <c r="L873" i="21"/>
  <c r="K873" i="21"/>
  <c r="L877" i="21"/>
  <c r="K877" i="21"/>
  <c r="I984" i="21"/>
  <c r="J877" i="21"/>
  <c r="H984" i="21"/>
  <c r="I877" i="21"/>
  <c r="I884" i="21"/>
  <c r="L884" i="21"/>
  <c r="K884" i="21"/>
  <c r="J884" i="21"/>
  <c r="B522" i="21"/>
  <c r="B509" i="21" s="1"/>
  <c r="B516" i="21" s="1"/>
  <c r="D7" i="5"/>
  <c r="D68" i="5"/>
  <c r="G1047" i="21"/>
  <c r="D77" i="5"/>
  <c r="G1050" i="21"/>
  <c r="D65" i="5"/>
  <c r="D69" i="5"/>
  <c r="G1051" i="21"/>
  <c r="G1046" i="21"/>
  <c r="D76" i="5"/>
  <c r="E991" i="21"/>
  <c r="D980" i="21"/>
  <c r="AL36" i="24" l="1"/>
  <c r="K36" i="24" s="1"/>
  <c r="AL26" i="24"/>
  <c r="K26" i="24" s="1"/>
  <c r="I980" i="21"/>
  <c r="H991" i="21"/>
  <c r="I991" i="21"/>
  <c r="F1053" i="21"/>
  <c r="B1053" i="21"/>
  <c r="G1053" i="21"/>
  <c r="Z36" i="24" l="1"/>
  <c r="J36" i="24" s="1"/>
  <c r="M36" i="24" s="1"/>
  <c r="F36" i="24" s="1"/>
  <c r="L33" i="19" s="1"/>
  <c r="Z26" i="24"/>
  <c r="J26" i="24" s="1"/>
  <c r="M26" i="24" s="1"/>
  <c r="F26" i="24" s="1"/>
  <c r="L23" i="19" s="1"/>
  <c r="D26" i="24" l="1"/>
  <c r="D36" i="24"/>
  <c r="AL24" i="24" l="1"/>
  <c r="K24" i="24" s="1"/>
  <c r="Z24" i="24" l="1"/>
  <c r="J24" i="24" s="1"/>
  <c r="M24" i="24" s="1"/>
  <c r="F24" i="24" s="1"/>
  <c r="L21" i="19" s="1"/>
  <c r="D24" i="24" l="1"/>
  <c r="AL74" i="24"/>
  <c r="K74" i="24" s="1"/>
  <c r="AL65" i="24"/>
  <c r="K65" i="24" s="1"/>
  <c r="AL77" i="24"/>
  <c r="K77" i="24" s="1"/>
  <c r="AL61" i="24"/>
  <c r="K61" i="24" s="1"/>
  <c r="AL10" i="24"/>
  <c r="K10" i="24" s="1"/>
  <c r="AL63" i="24"/>
  <c r="K63" i="24" s="1"/>
  <c r="AL15" i="24"/>
  <c r="K15" i="24" s="1"/>
  <c r="AL67" i="24"/>
  <c r="K67" i="24" s="1"/>
  <c r="AL68" i="24"/>
  <c r="K68" i="24" s="1"/>
  <c r="Z77" i="24" l="1"/>
  <c r="J77" i="24" s="1"/>
  <c r="M77" i="24" s="1"/>
  <c r="F77" i="24" s="1"/>
  <c r="L74" i="19" s="1"/>
  <c r="Z10" i="24"/>
  <c r="J10" i="24" s="1"/>
  <c r="M10" i="24" s="1"/>
  <c r="F10" i="24" s="1"/>
  <c r="L7" i="19" s="1"/>
  <c r="Z65" i="24"/>
  <c r="J65" i="24" s="1"/>
  <c r="M65" i="24" s="1"/>
  <c r="F65" i="24" s="1"/>
  <c r="L62" i="19" s="1"/>
  <c r="Z68" i="24"/>
  <c r="J68" i="24" s="1"/>
  <c r="M68" i="24" s="1"/>
  <c r="F68" i="24" s="1"/>
  <c r="L65" i="19" s="1"/>
  <c r="Z74" i="24"/>
  <c r="J74" i="24" s="1"/>
  <c r="M74" i="24" s="1"/>
  <c r="F74" i="24" s="1"/>
  <c r="L71" i="19" s="1"/>
  <c r="Z61" i="24"/>
  <c r="J61" i="24" s="1"/>
  <c r="M61" i="24" s="1"/>
  <c r="F61" i="24" s="1"/>
  <c r="L58" i="19" s="1"/>
  <c r="Z63" i="24"/>
  <c r="J63" i="24" s="1"/>
  <c r="M63" i="24" s="1"/>
  <c r="F63" i="24" s="1"/>
  <c r="L60" i="19" s="1"/>
  <c r="Z67" i="24"/>
  <c r="J67" i="24" s="1"/>
  <c r="M67" i="24" s="1"/>
  <c r="F67" i="24" s="1"/>
  <c r="L64" i="19" s="1"/>
  <c r="Z15" i="24"/>
  <c r="J15" i="24" s="1"/>
  <c r="M15" i="24" s="1"/>
  <c r="F15" i="24" s="1"/>
  <c r="L12" i="19" s="1"/>
  <c r="D77" i="24" l="1"/>
  <c r="D67" i="24"/>
  <c r="D63" i="24"/>
  <c r="D15" i="24"/>
  <c r="D61" i="24"/>
  <c r="D74" i="24"/>
  <c r="D68" i="24"/>
  <c r="D65" i="24"/>
  <c r="D10" i="24"/>
  <c r="AL40" i="24"/>
  <c r="K40" i="24" s="1"/>
  <c r="AL48" i="24"/>
  <c r="K48" i="24" s="1"/>
  <c r="AL53" i="24"/>
  <c r="K53" i="24" s="1"/>
  <c r="AL35" i="24"/>
  <c r="K35" i="24" s="1"/>
  <c r="AL44" i="24"/>
  <c r="K44" i="24" s="1"/>
  <c r="AL31" i="24"/>
  <c r="K31" i="24" s="1"/>
  <c r="AL16" i="24"/>
  <c r="K16" i="24" s="1"/>
  <c r="AL27" i="24"/>
  <c r="K27" i="24" s="1"/>
  <c r="AL81" i="24"/>
  <c r="K81" i="24" s="1"/>
  <c r="AL38" i="24"/>
  <c r="K38" i="24" s="1"/>
  <c r="AL46" i="24"/>
  <c r="K46" i="24" s="1"/>
  <c r="AL8" i="24"/>
  <c r="K8" i="24" s="1"/>
  <c r="AL17" i="24"/>
  <c r="K17" i="24" s="1"/>
  <c r="AL9" i="24"/>
  <c r="K9" i="24" s="1"/>
  <c r="AL51" i="24"/>
  <c r="K51" i="24" s="1"/>
  <c r="AL29" i="24"/>
  <c r="K29" i="24" s="1"/>
  <c r="AL39" i="24"/>
  <c r="K39" i="24" s="1"/>
  <c r="AL41" i="24"/>
  <c r="K41" i="24" s="1"/>
  <c r="AL55" i="24"/>
  <c r="K55" i="24" s="1"/>
  <c r="AL58" i="24"/>
  <c r="K58" i="24" s="1"/>
  <c r="AL18" i="24"/>
  <c r="K18" i="24" s="1"/>
  <c r="AL14" i="24"/>
  <c r="K14" i="24" s="1"/>
  <c r="Z14" i="24" l="1"/>
  <c r="J14" i="24" s="1"/>
  <c r="M14" i="24" s="1"/>
  <c r="F14" i="24" s="1"/>
  <c r="L11" i="19" s="1"/>
  <c r="Z17" i="24"/>
  <c r="J17" i="24" s="1"/>
  <c r="M17" i="24" s="1"/>
  <c r="F17" i="24" s="1"/>
  <c r="L14" i="19" s="1"/>
  <c r="Z44" i="24"/>
  <c r="J44" i="24" s="1"/>
  <c r="M44" i="24" s="1"/>
  <c r="F44" i="24" s="1"/>
  <c r="L41" i="19" s="1"/>
  <c r="Z58" i="24"/>
  <c r="J58" i="24" s="1"/>
  <c r="M58" i="24" s="1"/>
  <c r="F58" i="24" s="1"/>
  <c r="L55" i="19" s="1"/>
  <c r="Z8" i="24"/>
  <c r="J8" i="24" s="1"/>
  <c r="M8" i="24" s="1"/>
  <c r="F8" i="24" s="1"/>
  <c r="L5" i="19" s="1"/>
  <c r="Z35" i="24"/>
  <c r="J35" i="24" s="1"/>
  <c r="M35" i="24" s="1"/>
  <c r="F35" i="24" s="1"/>
  <c r="L32" i="19" s="1"/>
  <c r="Z51" i="24"/>
  <c r="J51" i="24" s="1"/>
  <c r="M51" i="24" s="1"/>
  <c r="F51" i="24" s="1"/>
  <c r="L48" i="19" s="1"/>
  <c r="Z9" i="24"/>
  <c r="J9" i="24" s="1"/>
  <c r="M9" i="24" s="1"/>
  <c r="F9" i="24" s="1"/>
  <c r="L6" i="19" s="1"/>
  <c r="Z46" i="24"/>
  <c r="J46" i="24" s="1"/>
  <c r="M46" i="24" s="1"/>
  <c r="F46" i="24" s="1"/>
  <c r="L43" i="19" s="1"/>
  <c r="Z38" i="24"/>
  <c r="J38" i="24" s="1"/>
  <c r="M38" i="24" s="1"/>
  <c r="F38" i="24" s="1"/>
  <c r="L35" i="19" s="1"/>
  <c r="Z39" i="24"/>
  <c r="J39" i="24" s="1"/>
  <c r="M39" i="24" s="1"/>
  <c r="F39" i="24" s="1"/>
  <c r="Z81" i="24"/>
  <c r="J81" i="24" s="1"/>
  <c r="M81" i="24" s="1"/>
  <c r="F81" i="24" s="1"/>
  <c r="L78" i="19" s="1"/>
  <c r="Z40" i="24"/>
  <c r="J40" i="24" s="1"/>
  <c r="M40" i="24" s="1"/>
  <c r="F40" i="24" s="1"/>
  <c r="L37" i="19" s="1"/>
  <c r="Z31" i="24"/>
  <c r="J31" i="24" s="1"/>
  <c r="M31" i="24" s="1"/>
  <c r="F31" i="24" s="1"/>
  <c r="L28" i="19" s="1"/>
  <c r="Z18" i="24"/>
  <c r="J18" i="24" s="1"/>
  <c r="M18" i="24" s="1"/>
  <c r="F18" i="24" s="1"/>
  <c r="L15" i="19" s="1"/>
  <c r="Z55" i="24"/>
  <c r="J55" i="24" s="1"/>
  <c r="M55" i="24" s="1"/>
  <c r="F55" i="24" s="1"/>
  <c r="L52" i="19" s="1"/>
  <c r="Z53" i="24"/>
  <c r="J53" i="24" s="1"/>
  <c r="M53" i="24" s="1"/>
  <c r="F53" i="24" s="1"/>
  <c r="L50" i="19" s="1"/>
  <c r="Z41" i="24"/>
  <c r="J41" i="24" s="1"/>
  <c r="M41" i="24" s="1"/>
  <c r="F41" i="24" s="1"/>
  <c r="L38" i="19" s="1"/>
  <c r="Z48" i="24"/>
  <c r="J48" i="24" s="1"/>
  <c r="M48" i="24" s="1"/>
  <c r="F48" i="24" s="1"/>
  <c r="L45" i="19" s="1"/>
  <c r="Z29" i="24"/>
  <c r="J29" i="24" s="1"/>
  <c r="M29" i="24" s="1"/>
  <c r="F29" i="24" s="1"/>
  <c r="L26" i="19" s="1"/>
  <c r="Z27" i="24"/>
  <c r="J27" i="24" s="1"/>
  <c r="M27" i="24" s="1"/>
  <c r="F27" i="24" s="1"/>
  <c r="L24" i="19" s="1"/>
  <c r="Z16" i="24"/>
  <c r="J16" i="24" s="1"/>
  <c r="M16" i="24" s="1"/>
  <c r="F16" i="24" s="1"/>
  <c r="L13" i="19" s="1"/>
  <c r="D39" i="24" l="1"/>
  <c r="L36" i="19"/>
  <c r="D46" i="24"/>
  <c r="D27" i="24"/>
  <c r="D40" i="24"/>
  <c r="D51" i="24"/>
  <c r="D48" i="24"/>
  <c r="D44" i="24"/>
  <c r="D8" i="24"/>
  <c r="D53" i="24"/>
  <c r="D14" i="24"/>
  <c r="D55" i="24"/>
  <c r="D58" i="24"/>
  <c r="D35" i="24"/>
  <c r="D38" i="24"/>
  <c r="D31" i="24"/>
  <c r="D9" i="24"/>
  <c r="D41" i="24"/>
  <c r="D17" i="24"/>
  <c r="D16" i="24"/>
  <c r="D29" i="24"/>
  <c r="D81" i="24"/>
  <c r="D18" i="24"/>
  <c r="AL73" i="24" l="1"/>
  <c r="K73" i="24" s="1"/>
  <c r="AL56" i="24"/>
  <c r="K56" i="24" s="1"/>
  <c r="AL71" i="24"/>
  <c r="K71" i="24" s="1"/>
  <c r="AL76" i="24"/>
  <c r="K76" i="24" s="1"/>
  <c r="AL72" i="24"/>
  <c r="K72" i="24" s="1"/>
  <c r="AL33" i="24"/>
  <c r="K33" i="24" s="1"/>
  <c r="AL22" i="24"/>
  <c r="K22" i="24" s="1"/>
  <c r="AL42" i="24"/>
  <c r="K42" i="24" s="1"/>
  <c r="Z42" i="24" s="1"/>
  <c r="J42" i="24" s="1"/>
  <c r="M42" i="24" s="1"/>
  <c r="F42" i="24" s="1"/>
  <c r="L39" i="19" s="1"/>
  <c r="AL32" i="24"/>
  <c r="K32" i="24" s="1"/>
  <c r="AL80" i="24"/>
  <c r="K80" i="24" s="1"/>
  <c r="AL78" i="24"/>
  <c r="K78" i="24" s="1"/>
  <c r="AL75" i="24"/>
  <c r="K75" i="24" s="1"/>
  <c r="AL23" i="24"/>
  <c r="K23" i="24" s="1"/>
  <c r="AL21" i="24"/>
  <c r="K21" i="24" s="1"/>
  <c r="AL37" i="24"/>
  <c r="K37" i="24" s="1"/>
  <c r="AL50" i="24"/>
  <c r="K50" i="24" s="1"/>
  <c r="Z50" i="24" s="1"/>
  <c r="J50" i="24" s="1"/>
  <c r="M50" i="24" s="1"/>
  <c r="F50" i="24" s="1"/>
  <c r="AL88" i="24"/>
  <c r="K88" i="24" s="1"/>
  <c r="AL82" i="24"/>
  <c r="K82" i="24" s="1"/>
  <c r="AL12" i="24"/>
  <c r="K12" i="24" s="1"/>
  <c r="AL89" i="24"/>
  <c r="K89" i="24" s="1"/>
  <c r="AL79" i="24"/>
  <c r="K79" i="24" s="1"/>
  <c r="AL43" i="24"/>
  <c r="K43" i="24" s="1"/>
  <c r="AL28" i="24"/>
  <c r="K28" i="24" s="1"/>
  <c r="AL25" i="24"/>
  <c r="K25" i="24" s="1"/>
  <c r="AL69" i="24"/>
  <c r="K69" i="24" s="1"/>
  <c r="AL30" i="24"/>
  <c r="K30" i="24" s="1"/>
  <c r="AL11" i="24"/>
  <c r="K11" i="24" s="1"/>
  <c r="D50" i="24" l="1"/>
  <c r="L47" i="19"/>
  <c r="Z43" i="24"/>
  <c r="J43" i="24" s="1"/>
  <c r="M43" i="24" s="1"/>
  <c r="F43" i="24" s="1"/>
  <c r="L40" i="19" s="1"/>
  <c r="Z21" i="24"/>
  <c r="J21" i="24" s="1"/>
  <c r="M21" i="24" s="1"/>
  <c r="F21" i="24" s="1"/>
  <c r="L18" i="19" s="1"/>
  <c r="Z33" i="24"/>
  <c r="J33" i="24" s="1"/>
  <c r="M33" i="24" s="1"/>
  <c r="F33" i="24" s="1"/>
  <c r="L30" i="19" s="1"/>
  <c r="Z75" i="24"/>
  <c r="J75" i="24" s="1"/>
  <c r="M75" i="24" s="1"/>
  <c r="F75" i="24" s="1"/>
  <c r="L72" i="19" s="1"/>
  <c r="Z82" i="24"/>
  <c r="J82" i="24" s="1"/>
  <c r="M82" i="24" s="1"/>
  <c r="F82" i="24" s="1"/>
  <c r="L79" i="19" s="1"/>
  <c r="Z78" i="24"/>
  <c r="J78" i="24" s="1"/>
  <c r="M78" i="24" s="1"/>
  <c r="F78" i="24" s="1"/>
  <c r="L75" i="19" s="1"/>
  <c r="Z76" i="24"/>
  <c r="J76" i="24" s="1"/>
  <c r="M76" i="24" s="1"/>
  <c r="F76" i="24" s="1"/>
  <c r="L73" i="19" s="1"/>
  <c r="Z37" i="24"/>
  <c r="J37" i="24" s="1"/>
  <c r="M37" i="24" s="1"/>
  <c r="F37" i="24" s="1"/>
  <c r="L34" i="19" s="1"/>
  <c r="Z22" i="24"/>
  <c r="J22" i="24" s="1"/>
  <c r="M22" i="24" s="1"/>
  <c r="F22" i="24" s="1"/>
  <c r="L19" i="19" s="1"/>
  <c r="Z12" i="24"/>
  <c r="J12" i="24" s="1"/>
  <c r="M12" i="24" s="1"/>
  <c r="F12" i="24" s="1"/>
  <c r="L9" i="19" s="1"/>
  <c r="Z69" i="24"/>
  <c r="J69" i="24" s="1"/>
  <c r="M69" i="24" s="1"/>
  <c r="F69" i="24" s="1"/>
  <c r="L66" i="19" s="1"/>
  <c r="Z71" i="24"/>
  <c r="J71" i="24" s="1"/>
  <c r="M71" i="24" s="1"/>
  <c r="F71" i="24" s="1"/>
  <c r="L68" i="19" s="1"/>
  <c r="Z79" i="24"/>
  <c r="J79" i="24" s="1"/>
  <c r="M79" i="24" s="1"/>
  <c r="F79" i="24" s="1"/>
  <c r="L76" i="19" s="1"/>
  <c r="Z23" i="24"/>
  <c r="J23" i="24" s="1"/>
  <c r="M23" i="24" s="1"/>
  <c r="F23" i="24" s="1"/>
  <c r="L20" i="19" s="1"/>
  <c r="Z72" i="24"/>
  <c r="J72" i="24" s="1"/>
  <c r="M72" i="24" s="1"/>
  <c r="F72" i="24" s="1"/>
  <c r="L69" i="19" s="1"/>
  <c r="Z88" i="24"/>
  <c r="J88" i="24" s="1"/>
  <c r="M88" i="24" s="1"/>
  <c r="F88" i="24" s="1"/>
  <c r="L85" i="19" s="1"/>
  <c r="Z25" i="24"/>
  <c r="J25" i="24" s="1"/>
  <c r="M25" i="24" s="1"/>
  <c r="F25" i="24" s="1"/>
  <c r="L22" i="19" s="1"/>
  <c r="Z32" i="24"/>
  <c r="J32" i="24" s="1"/>
  <c r="M32" i="24" s="1"/>
  <c r="F32" i="24" s="1"/>
  <c r="L29" i="19" s="1"/>
  <c r="Z56" i="24"/>
  <c r="J56" i="24" s="1"/>
  <c r="M56" i="24" s="1"/>
  <c r="F56" i="24" s="1"/>
  <c r="L53" i="19" s="1"/>
  <c r="Z89" i="24"/>
  <c r="J89" i="24" s="1"/>
  <c r="M89" i="24" s="1"/>
  <c r="F89" i="24" s="1"/>
  <c r="L86" i="19" s="1"/>
  <c r="Z11" i="24"/>
  <c r="J11" i="24" s="1"/>
  <c r="M11" i="24" s="1"/>
  <c r="F11" i="24" s="1"/>
  <c r="L8" i="19" s="1"/>
  <c r="Z30" i="24"/>
  <c r="J30" i="24" s="1"/>
  <c r="M30" i="24" s="1"/>
  <c r="F30" i="24" s="1"/>
  <c r="L27" i="19" s="1"/>
  <c r="Z80" i="24"/>
  <c r="J80" i="24" s="1"/>
  <c r="M80" i="24" s="1"/>
  <c r="F80" i="24" s="1"/>
  <c r="L77" i="19" s="1"/>
  <c r="Z28" i="24"/>
  <c r="J28" i="24" s="1"/>
  <c r="M28" i="24" s="1"/>
  <c r="F28" i="24" s="1"/>
  <c r="L25" i="19" s="1"/>
  <c r="Z73" i="24"/>
  <c r="J73" i="24" s="1"/>
  <c r="M73" i="24" s="1"/>
  <c r="F73" i="24" s="1"/>
  <c r="L70" i="19" s="1"/>
  <c r="D42" i="24"/>
  <c r="D23" i="24" l="1"/>
  <c r="D78" i="24"/>
  <c r="D30" i="24"/>
  <c r="D32" i="24"/>
  <c r="D21" i="24"/>
  <c r="D12" i="24"/>
  <c r="D79" i="24"/>
  <c r="D71" i="24"/>
  <c r="D69" i="24"/>
  <c r="D25" i="24"/>
  <c r="D33" i="24"/>
  <c r="D82" i="24"/>
  <c r="D75" i="24"/>
  <c r="D72" i="24"/>
  <c r="D11" i="24"/>
  <c r="D37" i="24"/>
  <c r="D56" i="24"/>
  <c r="D73" i="24"/>
  <c r="D28" i="24"/>
  <c r="D80" i="24"/>
  <c r="D88" i="24"/>
  <c r="D22" i="24"/>
  <c r="D89" i="24"/>
  <c r="D76" i="24"/>
  <c r="D43" i="24"/>
  <c r="AL20" i="24"/>
  <c r="K20" i="24" s="1"/>
  <c r="AL83" i="24"/>
  <c r="K83" i="24" s="1"/>
  <c r="AL19" i="24"/>
  <c r="K19" i="24" s="1"/>
  <c r="AL86" i="24"/>
  <c r="K86" i="24" s="1"/>
  <c r="Z86" i="24" l="1"/>
  <c r="J86" i="24" s="1"/>
  <c r="M86" i="24" s="1"/>
  <c r="F86" i="24" s="1"/>
  <c r="L83" i="19" s="1"/>
  <c r="Z83" i="24"/>
  <c r="J83" i="24" s="1"/>
  <c r="M83" i="24" s="1"/>
  <c r="F83" i="24" s="1"/>
  <c r="L80" i="19" s="1"/>
  <c r="Z20" i="24"/>
  <c r="J20" i="24" s="1"/>
  <c r="M20" i="24" s="1"/>
  <c r="F20" i="24" s="1"/>
  <c r="L17" i="19" s="1"/>
  <c r="Z19" i="24"/>
  <c r="J19" i="24" s="1"/>
  <c r="M19" i="24" s="1"/>
  <c r="F19" i="24" s="1"/>
  <c r="L16" i="19" s="1"/>
  <c r="D20" i="24" l="1"/>
  <c r="D19" i="24"/>
  <c r="D83" i="24"/>
  <c r="D86" i="24"/>
  <c r="AL45" i="24"/>
  <c r="K45" i="24" s="1"/>
  <c r="AL54" i="24"/>
  <c r="K54" i="24" s="1"/>
  <c r="AL57" i="24"/>
  <c r="K57" i="24" s="1"/>
  <c r="AL60" i="24"/>
  <c r="K60" i="24" s="1"/>
  <c r="AL84" i="24"/>
  <c r="K84" i="24" s="1"/>
  <c r="AL70" i="24"/>
  <c r="K70" i="24" s="1"/>
  <c r="Z70" i="24" s="1"/>
  <c r="J70" i="24" s="1"/>
  <c r="AL93" i="24"/>
  <c r="K93" i="24" s="1"/>
  <c r="AL49" i="24"/>
  <c r="K49" i="24" s="1"/>
  <c r="AL47" i="24"/>
  <c r="K47" i="24" s="1"/>
  <c r="AL34" i="24"/>
  <c r="K34" i="24" s="1"/>
  <c r="AL66" i="24"/>
  <c r="K66" i="24" s="1"/>
  <c r="AL13" i="24"/>
  <c r="K13" i="24" s="1"/>
  <c r="AL85" i="24"/>
  <c r="K85" i="24" s="1"/>
  <c r="AL64" i="24"/>
  <c r="K64" i="24" s="1"/>
  <c r="Z64" i="24" s="1"/>
  <c r="J64" i="24" s="1"/>
  <c r="M64" i="24" s="1"/>
  <c r="F64" i="24" s="1"/>
  <c r="D64" i="24" l="1"/>
  <c r="L61" i="19"/>
  <c r="Z49" i="24"/>
  <c r="J49" i="24" s="1"/>
  <c r="M49" i="24" s="1"/>
  <c r="F49" i="24" s="1"/>
  <c r="L46" i="19" s="1"/>
  <c r="Z85" i="24"/>
  <c r="J85" i="24" s="1"/>
  <c r="M85" i="24" s="1"/>
  <c r="F85" i="24" s="1"/>
  <c r="L82" i="19" s="1"/>
  <c r="Z84" i="24"/>
  <c r="J84" i="24" s="1"/>
  <c r="M84" i="24" s="1"/>
  <c r="F84" i="24" s="1"/>
  <c r="L81" i="19" s="1"/>
  <c r="Z93" i="24"/>
  <c r="J93" i="24" s="1"/>
  <c r="M93" i="24" s="1"/>
  <c r="F93" i="24" s="1"/>
  <c r="L90" i="19" s="1"/>
  <c r="Z60" i="24"/>
  <c r="J60" i="24" s="1"/>
  <c r="M60" i="24" s="1"/>
  <c r="F60" i="24" s="1"/>
  <c r="L57" i="19" s="1"/>
  <c r="Z66" i="24"/>
  <c r="J66" i="24" s="1"/>
  <c r="M66" i="24" s="1"/>
  <c r="F66" i="24" s="1"/>
  <c r="L63" i="19" s="1"/>
  <c r="Z57" i="24"/>
  <c r="J57" i="24" s="1"/>
  <c r="M57" i="24" s="1"/>
  <c r="F57" i="24" s="1"/>
  <c r="L54" i="19" s="1"/>
  <c r="Z34" i="24"/>
  <c r="J34" i="24" s="1"/>
  <c r="M34" i="24" s="1"/>
  <c r="F34" i="24" s="1"/>
  <c r="L31" i="19" s="1"/>
  <c r="Z13" i="24"/>
  <c r="J13" i="24" s="1"/>
  <c r="M13" i="24" s="1"/>
  <c r="F13" i="24" s="1"/>
  <c r="L10" i="19" s="1"/>
  <c r="Z54" i="24"/>
  <c r="J54" i="24" s="1"/>
  <c r="M54" i="24" s="1"/>
  <c r="F54" i="24" s="1"/>
  <c r="L51" i="19" s="1"/>
  <c r="Z47" i="24"/>
  <c r="J47" i="24" s="1"/>
  <c r="M47" i="24" s="1"/>
  <c r="F47" i="24" s="1"/>
  <c r="L44" i="19" s="1"/>
  <c r="Z45" i="24"/>
  <c r="J45" i="24" s="1"/>
  <c r="M45" i="24" s="1"/>
  <c r="F45" i="24" s="1"/>
  <c r="L42" i="19" s="1"/>
  <c r="M70" i="24"/>
  <c r="F70" i="24" s="1"/>
  <c r="L67" i="19" s="1"/>
  <c r="AL59" i="24"/>
  <c r="K59" i="24" s="1"/>
  <c r="Z59" i="24" s="1"/>
  <c r="J59" i="24" s="1"/>
  <c r="M59" i="24" s="1"/>
  <c r="AL52" i="24"/>
  <c r="K52" i="24" s="1"/>
  <c r="Z52" i="24" s="1"/>
  <c r="J52" i="24" s="1"/>
  <c r="M52" i="24" s="1"/>
  <c r="AL7" i="24"/>
  <c r="K7" i="24" s="1"/>
  <c r="Z7" i="24" s="1"/>
  <c r="J7" i="24" s="1"/>
  <c r="M7" i="24" s="1"/>
  <c r="AL87" i="24"/>
  <c r="K87" i="24" s="1"/>
  <c r="Z87" i="24" s="1"/>
  <c r="J87" i="24" s="1"/>
  <c r="M87" i="24" s="1"/>
  <c r="D34" i="24" l="1"/>
  <c r="D57" i="24"/>
  <c r="D45" i="24"/>
  <c r="D93" i="24"/>
  <c r="D47" i="24"/>
  <c r="D84" i="24"/>
  <c r="D66" i="24"/>
  <c r="D60" i="24"/>
  <c r="D54" i="24"/>
  <c r="D85" i="24"/>
  <c r="D13" i="24"/>
  <c r="D49" i="24"/>
  <c r="D70" i="24"/>
  <c r="F7" i="24"/>
  <c r="L4" i="19" s="1"/>
  <c r="F59" i="24"/>
  <c r="L56" i="19" s="1"/>
  <c r="F87" i="24"/>
  <c r="L84" i="19" s="1"/>
  <c r="F52" i="24"/>
  <c r="L49" i="19" s="1"/>
  <c r="D52" i="24" l="1"/>
  <c r="D87" i="24"/>
  <c r="D59" i="24"/>
  <c r="D7" i="24"/>
</calcChain>
</file>

<file path=xl/comments1.xml><?xml version="1.0" encoding="utf-8"?>
<comments xmlns="http://schemas.openxmlformats.org/spreadsheetml/2006/main">
  <authors>
    <author>James Conville</author>
  </authors>
  <commentList>
    <comment ref="B268" authorId="0">
      <text>
        <r>
          <rPr>
            <b/>
            <sz val="9"/>
            <color indexed="81"/>
            <rFont val="Tahoma"/>
            <family val="2"/>
          </rPr>
          <t>James Conville:</t>
        </r>
        <r>
          <rPr>
            <sz val="9"/>
            <color indexed="81"/>
            <rFont val="Tahoma"/>
            <family val="2"/>
          </rPr>
          <t xml:space="preserve">
See Table 34:
http://oee.nrcan.gc.ca/corporate/statistics/neud/dpa/showTable.cfm?type=CP&amp;sector=res&amp;juris=ab&amp;rn=34&amp;page=0</t>
        </r>
      </text>
    </comment>
    <comment ref="C268" authorId="0">
      <text>
        <r>
          <rPr>
            <b/>
            <sz val="9"/>
            <color indexed="81"/>
            <rFont val="Tahoma"/>
            <family val="2"/>
          </rPr>
          <t>James Conville:</t>
        </r>
        <r>
          <rPr>
            <sz val="9"/>
            <color indexed="81"/>
            <rFont val="Tahoma"/>
            <family val="2"/>
          </rPr>
          <t xml:space="preserve">
See Table 36:
http://oee.nrcan.gc.ca/corporate/statistics/neud/dpa/showTable.cfm?type=CP&amp;sector=res&amp;juris=ab&amp;rn=36&amp;page=0</t>
        </r>
      </text>
    </comment>
    <comment ref="D268" authorId="0">
      <text>
        <r>
          <rPr>
            <b/>
            <sz val="9"/>
            <color indexed="81"/>
            <rFont val="Tahoma"/>
            <family val="2"/>
          </rPr>
          <t>James Conville:</t>
        </r>
        <r>
          <rPr>
            <sz val="9"/>
            <color indexed="81"/>
            <rFont val="Tahoma"/>
            <family val="2"/>
          </rPr>
          <t xml:space="preserve">
See Table 38:
http://oee.nrcan.gc.ca/corporate/statistics/neud/dpa/showTable.cfm?type=CP&amp;sector=res&amp;juris=ab&amp;rn=38&amp;page=0</t>
        </r>
      </text>
    </comment>
  </commentList>
</comments>
</file>

<file path=xl/sharedStrings.xml><?xml version="1.0" encoding="utf-8"?>
<sst xmlns="http://schemas.openxmlformats.org/spreadsheetml/2006/main" count="3044" uniqueCount="679">
  <si>
    <t>Residential Electricity Bills in the</t>
  </si>
  <si>
    <t>Actual RRO Consumption (ENMAX)</t>
  </si>
  <si>
    <t>Expand for</t>
  </si>
  <si>
    <t>Monthly Bill</t>
  </si>
  <si>
    <t>Bill Subtotals</t>
  </si>
  <si>
    <t>Energy Components</t>
  </si>
  <si>
    <t>Transmission Charge</t>
  </si>
  <si>
    <t>Distribution Charge</t>
  </si>
  <si>
    <t>Local Access and Franchise Fees</t>
  </si>
  <si>
    <t>Rate Riders</t>
  </si>
  <si>
    <t>Administration Charge</t>
  </si>
  <si>
    <t>Taxes</t>
  </si>
  <si>
    <t>Monthly Consumption</t>
  </si>
  <si>
    <t>Date</t>
  </si>
  <si>
    <t>Days per Month</t>
  </si>
  <si>
    <t>Total Energy Components</t>
  </si>
  <si>
    <t>Total Transmission Charge</t>
  </si>
  <si>
    <t>Total Distribution Charge</t>
  </si>
  <si>
    <t>Total Local Access and Franchise Fees</t>
  </si>
  <si>
    <t>Total Rate Riders</t>
  </si>
  <si>
    <t>Total Administration Components</t>
  </si>
  <si>
    <t>GST</t>
  </si>
  <si>
    <t>RRO Rate</t>
  </si>
  <si>
    <t>Energy Charge</t>
  </si>
  <si>
    <t>Variable Transmission Charge</t>
  </si>
  <si>
    <t>Local Access Fee (Calgary)</t>
  </si>
  <si>
    <t>DAS Adjustment Rider</t>
  </si>
  <si>
    <t>RRO Non-Energy Rate Rider (Rider Charge)</t>
  </si>
  <si>
    <t>Balancing Pool Allocation Rider</t>
  </si>
  <si>
    <t>Rider Charge</t>
  </si>
  <si>
    <t>GST Rate</t>
  </si>
  <si>
    <t>Provincial RRO Consumption</t>
  </si>
  <si>
    <t>kWh/month</t>
  </si>
  <si>
    <t>¢/kWh</t>
  </si>
  <si>
    <t>$/month</t>
  </si>
  <si>
    <t>$/day</t>
  </si>
  <si>
    <t>%</t>
  </si>
  <si>
    <t>Actual RRO Consumption (EPCOR)</t>
  </si>
  <si>
    <t>Local Access Fee (Edmonton)</t>
  </si>
  <si>
    <t>LAF Charge</t>
  </si>
  <si>
    <t>Balancing Pool Allocation (Rider G)</t>
  </si>
  <si>
    <t>SAS True-up (Rider J)</t>
  </si>
  <si>
    <t>DAS True-up (Rider DJ)</t>
  </si>
  <si>
    <t>Generic Cost of Capital Rider (Rider DG)</t>
  </si>
  <si>
    <t xml:space="preserve"> ¢/kWh</t>
  </si>
  <si>
    <t>Actual RRO Consumption (FORTIS)</t>
  </si>
  <si>
    <t>Distribution Adjustment Rider (DAR)</t>
  </si>
  <si>
    <t>Actual RRO Consumption (ATCO)</t>
  </si>
  <si>
    <t>Balancing Pool Allocation Rider (Rider B)</t>
  </si>
  <si>
    <t>Temporary Adjustment (Rider G)</t>
  </si>
  <si>
    <t>Quarterly SAS Adjustment (Rider S)</t>
  </si>
  <si>
    <t>Interim Adjustment (Rider J)</t>
  </si>
  <si>
    <t>¢/day</t>
  </si>
  <si>
    <t>Column References</t>
  </si>
  <si>
    <t>ENMAX</t>
  </si>
  <si>
    <t>EPCOR</t>
  </si>
  <si>
    <t>FORTIS</t>
  </si>
  <si>
    <t>ATCO</t>
  </si>
  <si>
    <t>Transmission</t>
  </si>
  <si>
    <t>Distribution - Fixed</t>
  </si>
  <si>
    <t>Distribution - Variable</t>
  </si>
  <si>
    <t>Selectable Years:</t>
  </si>
  <si>
    <t>Local Access Fees</t>
  </si>
  <si>
    <t>D&amp;T Riders</t>
  </si>
  <si>
    <t>Balancing Pool Rider</t>
  </si>
  <si>
    <t>Energy Tariff</t>
  </si>
  <si>
    <t xml:space="preserve">Administration </t>
  </si>
  <si>
    <t>Time Series Charges Column ID</t>
  </si>
  <si>
    <t>Monthly Consumption (kWh)</t>
  </si>
  <si>
    <t>RRO Rate (¢/kWh)</t>
  </si>
  <si>
    <t>TOTAL</t>
  </si>
  <si>
    <t>January</t>
  </si>
  <si>
    <t>February</t>
  </si>
  <si>
    <t>March</t>
  </si>
  <si>
    <t>April</t>
  </si>
  <si>
    <t>May</t>
  </si>
  <si>
    <t>June</t>
  </si>
  <si>
    <t>July</t>
  </si>
  <si>
    <t>August</t>
  </si>
  <si>
    <t>September</t>
  </si>
  <si>
    <t>October</t>
  </si>
  <si>
    <t>November</t>
  </si>
  <si>
    <t>December</t>
  </si>
  <si>
    <t>Residential Natural Gas Bills in the</t>
  </si>
  <si>
    <t>Actual DRT Consumption (ATCO-N)</t>
  </si>
  <si>
    <t>DRT Rate (Rider F)</t>
  </si>
  <si>
    <t>Interim Rider for Fixed Charges (Rider S)</t>
  </si>
  <si>
    <t>Interim Rider for Variable Charges (Rider S)</t>
  </si>
  <si>
    <t>Load Balance Rider (Rider L)</t>
  </si>
  <si>
    <t>Transmission Service Charge (Rider T)</t>
  </si>
  <si>
    <t>Weather Deferral Account (Rider W)</t>
  </si>
  <si>
    <t>GJ/month</t>
  </si>
  <si>
    <t>$/GJ</t>
  </si>
  <si>
    <t>Actual DRT Consumption (ATCO-S)</t>
  </si>
  <si>
    <t>Carbon Recovery Charge (Rider H)</t>
  </si>
  <si>
    <t>Actual DRT Consumption (AltaGas)</t>
  </si>
  <si>
    <t>DRT Rate (Rider D)</t>
  </si>
  <si>
    <t>Third Party Transportation Cost Rider (Rider G)</t>
  </si>
  <si>
    <t>Third Party Transportation Cost Rider Charge (Rider G)</t>
  </si>
  <si>
    <t>ATCO-N</t>
  </si>
  <si>
    <t>ATCO-S</t>
  </si>
  <si>
    <t>AltaGas</t>
  </si>
  <si>
    <t>Monthly Consumption (GJ)</t>
  </si>
  <si>
    <t>DRT Rate ($/GJ)</t>
  </si>
  <si>
    <t>Fixed Distribution Charge</t>
  </si>
  <si>
    <t>Variable Distribution Charge</t>
  </si>
  <si>
    <t>Electricity Appendix</t>
  </si>
  <si>
    <t>Natural Gas Appendix</t>
  </si>
  <si>
    <t>ENMAX Appendix</t>
  </si>
  <si>
    <t>EPCOR Appendix</t>
  </si>
  <si>
    <t>FORTIS Appendix</t>
  </si>
  <si>
    <t>ATCO Appendix</t>
  </si>
  <si>
    <t>Rate Information</t>
  </si>
  <si>
    <t>ATCO-N Appendix</t>
  </si>
  <si>
    <t>ATCO-S Appendix</t>
  </si>
  <si>
    <t>AltaGas Appendix</t>
  </si>
  <si>
    <t>Carbon Recovery Rider (Rider H)</t>
  </si>
  <si>
    <t>Deficiency Rider on Distribution Revenues (Rider F)</t>
  </si>
  <si>
    <t>Deficiency Rider on Distribution and Adminstration Revenues (Rider F)</t>
  </si>
  <si>
    <t>Deficiency Rider Charge (Rider F)</t>
  </si>
  <si>
    <t>Load Balance Rider Charge (Rider L)</t>
  </si>
  <si>
    <t>Source</t>
  </si>
  <si>
    <t>A default energy rate based on the month-ahead projected market price. It is eligible to consumers not under contract with a competitive retailer.</t>
  </si>
  <si>
    <t>A pass-through refund of the AESO Consumer Allocation Rider (Rider F), paid to consumers using an energy rate.</t>
  </si>
  <si>
    <t>A charge or refund to account for changes in transmission access costs resulting from a change in AESO rates.</t>
  </si>
  <si>
    <t>Residential consumers fall under Rate Code D100.
The Transmission Charge and Distribution Charge are collectively refered to as the "Distribution Tariff", with an individual component specified as "Distribution Tariff Transmission Component", for example.</t>
  </si>
  <si>
    <t>A non-energy charge or refund to collect the difference between interim rates and final rates, as needed. 
Calculated as a fixed amount paid/refunded per day.</t>
  </si>
  <si>
    <t>A charge or refund to collect the difference between interim rates and final rates, as needed. 
Calculated as a percentage charge of the monthly Total Distribution Charge.</t>
  </si>
  <si>
    <t>A charge by a municipality (collected by the retailer) for the distributor's use of land and/or exclusivity rights.
In Calgary, this is paid as a percentage of both the monthly Total Distribution, Transmission and Rate Rider Charges, as well as a percentage of the monthly Energy Charge.</t>
  </si>
  <si>
    <t>A non-energy daily charge paid towards administration and miscellaneous expenses.</t>
  </si>
  <si>
    <t>A measure of average Consumption per RRO household. 
Calculated as: Total RRO Consumption / Total RRO Sites for the ENMAX Zone.
( Column I divided by Column E)</t>
  </si>
  <si>
    <t>A measure of average Consumption per RRO household. 
Calculated as: Total RRO Consumption / Total RRO Sites for the Province.
( Column I divided by Column E)</t>
  </si>
  <si>
    <t>A measure of average Consumption per RRO household. 
Calculated as: Total RRO Consumption / Total RRO Sites for the EPCOR Zone.
( Column I divided by Column E)</t>
  </si>
  <si>
    <t>A measure of average Consumption per RRO household. 
Calculated as: Total RRO Consumption / Total RRO Sites for the FORTIS Zone.
( Column I divided by Column E)</t>
  </si>
  <si>
    <t>A measure of average Consumption per RRO household. 
Calculated as: Total RRO Consumption / Total RRO Sites for the ATCO Zone.
( Column I divided by Column E)</t>
  </si>
  <si>
    <t>An energy-charge paid towards the recovery of distribution-allocated costs.
Currently calculated using Performance-Based Ratemaking (a form of Price Cap Regulation).
Both distribution charges are collectively refered to as the Distribution Access Service (DAS) charge.</t>
  </si>
  <si>
    <t>An energy-charge paid towards the recovery of transmission-allocated revenue requirement.  
Also refered to as "System Access Service" (SAS) Charge.</t>
  </si>
  <si>
    <t>An energy rate based on the month-ahead projected market price. 
It is eligible by default to consumers not under contract with a competitive retailer.</t>
  </si>
  <si>
    <t>An energy rate based on a rate-setting plan approved by the AUC.
EPCOR purchases 3-month forward contracts as part of its RRO energy procurement.
It is eligible by default to consumers not under contract with a competitive retailer.</t>
  </si>
  <si>
    <t>A charge by a municipality (collected by the retailer) for the distributor's use of land and/or exclusivity rights.
In Edmonton, the Local Access Fee is applied to total monthly consumption, using an energy rate.
As of 2016, Residential Customers are classified as "Distribution Connect Customers".</t>
  </si>
  <si>
    <t>A monthly charge that pays for customer service, bill production and liasing costs.
Includes Competitive Site Count Credit, Annual True-up, Bad Debt Deferral Adjustment.</t>
  </si>
  <si>
    <t>Tax payable to the Government of Canada.</t>
  </si>
  <si>
    <t>A true-up resulting from AUC Generic Cost of Capital decisions for EPCOR Distribution and Transmission systems.
Has not been actively charged to consumers since June 2010, but remains on the DAS tariff as a possible rider.</t>
  </si>
  <si>
    <t xml:space="preserve">A charge or refund to collect the difference between interim transmission (SAS) rates and final transmission (SAS) rates, as needed.
Applied to total monthly consumption using an energy rate. </t>
  </si>
  <si>
    <t xml:space="preserve">A charge or refund to collect the difference between interim distribution (DAS) rates and final distribution (DAS) rates, as needed.
Applied to total monthly consumption using an energy rate. </t>
  </si>
  <si>
    <t xml:space="preserve">A charge or refund to cover EPCOR's AESO Transmission Charges Deferral Account forecast deferral balance. 
Applied to total monthly consumption using an energy rate. </t>
  </si>
  <si>
    <t xml:space="preserve">A pass-through refund of the AESO Consumer Allocation Rider (Rider F), paid to consumers using an energy rate.
Applied to total monthly consumption using an energy rate. </t>
  </si>
  <si>
    <t>An energy charge paid towards the recovery of customer-allocated transmission costs (Rate DTS Charges) on a Cost-of-Service basis.
Also refered to as "System Access Service" (SAS) Charge.</t>
  </si>
  <si>
    <t>A property tax paid to the appropriate municipality.
This is paid as an annually-updated percentage of both the monthly Total Distribution and Transmission Charges.</t>
  </si>
  <si>
    <t>A franchise fee paid to the appropriate municipality, set according to their franchise agreement.
This is paid as a flat percentage of both the monthly Total Distribution and Transmission Charges.</t>
  </si>
  <si>
    <t>An energy-charge paid towards the recovery of distribution-allocated costs.
Currently calculated using Performance-Based Ratemaking (a form of Price Cap Regulation).</t>
  </si>
  <si>
    <t>A daily charge paid towards the recovery of distribution-allocated costs.
Currently calculated using Performance-Based Ratemaking (a form of Price Cap Regulation).
Both distribution charges are collectively refered to as the Distribution Access Service (DAS) charge.</t>
  </si>
  <si>
    <t>A daily charge paid towards the recovery of distribution-allocated costs.
Currently calculated using Performance-Based Ratemaking (a form of Price Cap Regulation).</t>
  </si>
  <si>
    <t>A linear property tax paid to the appropriate municipality.
This is paid as an annually-updated percentage of both the monthly Total Distribution and Transmission Charges.</t>
  </si>
  <si>
    <t>Prior to April 2013, the Base TAR was a component (a "going-in" rate) used solely to calculate the percentage-based QTAR; the Base TAR was not directly billed to consumers in this period.
Currently, Base TAR functions as a Transmission true-up rider. It is calculated using a Performance Based Ratemaking (PBR) form of Price Cap Regulation.</t>
  </si>
  <si>
    <t>This percentage-based QTAR rider was only used before April 2013. It was calculated by adding Quarterly Adjustments (%) to the Base TAR.
The purpose of this rider was to recover net quarterly transmission costs.</t>
  </si>
  <si>
    <t>A charge or refund designed to recover AESO Transmission Access Charges deferrals, paid using an energy rate.</t>
  </si>
  <si>
    <t>A distribution true-up rider, calculated as a percentage of the monthly Distribution Tariff Distribution Component (Total Distribution Charge) revenue.</t>
  </si>
  <si>
    <t>A default energy rate based on the month-ahead projected market price. It is eligible to consumers not under contract with a competitive retailer.
Direct Energy Regulated Services (who provide the energy services) often refers to this rate as the "RRT Rate", or as "Rider P" for certain rate classes.</t>
  </si>
  <si>
    <t>Has not been used between 2012-2016, but remains on the tariff schedule.
Would be used to cover/recover any AUC approved charges or refunds, the balance of which is zero as of December 2015.</t>
  </si>
  <si>
    <t>An energy-based charge or refund used to dispense deferral accounts approved by the AUC.</t>
  </si>
  <si>
    <t>A refund of the AESO Consumer Allocation Rider (Rider F), paid to consumers using an energy rate.</t>
  </si>
  <si>
    <t>Currently calculated using PBR, with a scaling adjustment to account for DTS costs charged by the AESO.
Prior to January 2013, was calculated using Cost-of-Service regulation.</t>
  </si>
  <si>
    <t>An energy charge paid towards the recovery of customer-allocated transmission costs (including Rate DTS Charges) on a Cost-of-Service basis.</t>
  </si>
  <si>
    <t>A monthly charge that pays for customer service and bill preparation.</t>
  </si>
  <si>
    <t>Residential consumers fall under Rate Code "R"
Residential Transmission and Distribution rates are refered to as "SAS-R" and "DAS-R", respectively.</t>
  </si>
  <si>
    <t>A measure of average Consumption per DRT household. 
Calculated as: Total DRT Consumption / Total DRT Sites for the ATCO-N Zone.
( Column I divided by Column E)</t>
  </si>
  <si>
    <t>A measure of average Consumption per DRT household. 
Calculated as: Total DRT Consumption / Total DRT Sites for the ATCO-S Zone.
( Column I divided by Column E)</t>
  </si>
  <si>
    <t>A measure of average Consumption per DRT household. 
Calculated as: Total DRT Consumption / Total DRT Sites for the AltaGas Zone.
( Column I divided by Column E)</t>
  </si>
  <si>
    <t xml:space="preserve">Used to recover/refund unexpected revenue discrepencies due to temperature fluctuations. </t>
  </si>
  <si>
    <t>An energy-based charged used to recover transmission costs; functions similarly to an Electricity "Transmission Charge".</t>
  </si>
  <si>
    <t>An energy-based charge or refund used as a true-up to load balancing costs or revenues.</t>
  </si>
  <si>
    <t>An energy-based charge or refund used to true-up costs associated with regulatory decisions, specifically shortfalls and surpluses resulting from the use of PBR factors.</t>
  </si>
  <si>
    <t>A daily fixed charge or refund used to true-up costs associated with regulatory decisions, specifically shortfalls and surpluses resulting from the use of PBR factors.</t>
  </si>
  <si>
    <t>A daily charge that pays for Direct Energy Regulated Services' bill preparation and customer service costs.</t>
  </si>
  <si>
    <t>A daily charge paid towards the recovery of distribution-allocated costs.
Currently calculated using Performance-Based Ratemaking (a form of Price Cap Regulation).
Prior to January 2013, was calculated using Cost-of-Service regulation.</t>
  </si>
  <si>
    <t>An energy-charge paid towards the recovery of distribution-allocated costs.
Currently calculated using Performance-Based Ratemaking (a form of Price Cap Regulation)
Prior to January 2013, was calculated using Cost-of-Service regulation.</t>
  </si>
  <si>
    <t>A daily charge paid towards ATCO service-related costs.
Currently calculated using Performance-Based Ratemaking (a form of Price Cap Regulation).
Prior to January 2013, was calculated using Cost-of-Service regulation.</t>
  </si>
  <si>
    <t>An energy-charge paid towards the recovery of distribution-allocated costs.
Currently calculated using Performance-Based Ratemaking (a form of Price Cap Regulation), which does not take most costs into account.
Prior to January 2013, was calculated using Cost-of-Service regulation.</t>
  </si>
  <si>
    <t>A daily charge paid towards the recovery of distribution-allocated costs.
Currently calculated using Performance-Based Ratemaking (a form of Price Cap Regulation), which does not take most costs into account.
Prior to January 2013, was calculated using Cost-of-Service regulation.</t>
  </si>
  <si>
    <t>A franchise fee paid to the appropriate municipality, set according to their franchise agreement.
This is paid as a flat percentage of both the monthly Total Distribution and Rate Rider charges.</t>
  </si>
  <si>
    <t>Used to recover costs associated with inappropriate inclusion of the Carbon Storage Facility in the ATCO Rate Base (although the 2012 refund was due to a prior over-collection)
This rider is unique to ATCO-S, and will likely not again be made of use.</t>
  </si>
  <si>
    <t>Also called the Gas Cost Recovery Rate (GCRR); this energy rate recovers the estimated cost of month-ahead natural gas.
The GCRR includes Rate Rider E (Unaccounted-for-Gas Rider) as part of its calculation.</t>
  </si>
  <si>
    <t>An energy-charge paid towards the recovery of distribution costs.
Currently calculated using Performance-Based Ratemaking (a form of Price Cap Regulation), which does not take most costs into account.
Prior to January 2013, was calculated using Cost-of-Service regulation.</t>
  </si>
  <si>
    <t>A daily charge paid towards the recovery of distribution costs.
Currently calculated using Performance-Based Ratemaking (a form of Price Cap Regulation), which does not take most costs into account.
Prior to January 2013, was calculated using Cost-of-Service regulation.</t>
  </si>
  <si>
    <t>A property tax and specific costs paid to the appropriate municipality.
This is paid as an annually-updated percentage of both the monthly Total Distribution and Rate Rider charges.</t>
  </si>
  <si>
    <t>An energy-based charge used to cover costs of third party gas transportation, such as transmission or municipal systems.
The calculation of Rider G includes Rate Rider E (Unaccounted-for-Gas Rider) as part of its calculation.</t>
  </si>
  <si>
    <t>An energy-based charge or refund used as a true-up to load balancing costs or revenues.
Rider L was established on October 31st 2013.</t>
  </si>
  <si>
    <t>A daily charge that pays for AltaGas' bill preparation, customer service and collection costs.</t>
  </si>
  <si>
    <t>A percentage based charge applied to the monthly Total Distribution Charge.
Rider F is used as a recovery or refund mechanism to adjust for differences between interim and final rates. 
Prior to July 2014, all Rider F's were applied to both Distribution and Administrative Charges.</t>
  </si>
  <si>
    <t>A percentage based charge applied to the monthly Total Distribution Charge and Administrative Charge.
Rider F is used as a recovery or refund mechanism to adjust for differences between interim and final rates. 
This Rider F calculation method was changed in July 2014.</t>
  </si>
  <si>
    <t>Date Range</t>
  </si>
  <si>
    <t>Last Year (inclusive):</t>
  </si>
  <si>
    <t>First Year (inclusive):</t>
  </si>
  <si>
    <t>Component</t>
  </si>
  <si>
    <t>Column Number</t>
  </si>
  <si>
    <t>Column Letter</t>
  </si>
  <si>
    <t>Interim Rider Charge (Rider S)</t>
  </si>
  <si>
    <t>Weather Deferral Account Charge (Rider W)</t>
  </si>
  <si>
    <t>High Level</t>
  </si>
  <si>
    <t>Cold Lake</t>
  </si>
  <si>
    <t>Calgary</t>
  </si>
  <si>
    <t>Edmonton</t>
  </si>
  <si>
    <t>Camrose</t>
  </si>
  <si>
    <t>Hines Creek</t>
  </si>
  <si>
    <t>Wood Buffalo</t>
  </si>
  <si>
    <t>St. Albert</t>
  </si>
  <si>
    <t>Grande Prairie</t>
  </si>
  <si>
    <t>Fort Saskatchewan</t>
  </si>
  <si>
    <t>Leduc</t>
  </si>
  <si>
    <t>Airdrie</t>
  </si>
  <si>
    <t>Spruce Grove</t>
  </si>
  <si>
    <t>Lacombe</t>
  </si>
  <si>
    <t>Wetaskiwin</t>
  </si>
  <si>
    <t>Brooks</t>
  </si>
  <si>
    <t>Okotoks</t>
  </si>
  <si>
    <t>Cochrane</t>
  </si>
  <si>
    <t>Stony Plain</t>
  </si>
  <si>
    <t>Hinton</t>
  </si>
  <si>
    <t>Athabasca</t>
  </si>
  <si>
    <t>Banff</t>
  </si>
  <si>
    <t>Fort McMurray</t>
  </si>
  <si>
    <t>Vulcan</t>
  </si>
  <si>
    <t>Chestermere</t>
  </si>
  <si>
    <t>High River</t>
  </si>
  <si>
    <t>Sylvan Lake</t>
  </si>
  <si>
    <t>Canmore</t>
  </si>
  <si>
    <t>Strathmore</t>
  </si>
  <si>
    <t>Beaumont</t>
  </si>
  <si>
    <t>Nobleford</t>
  </si>
  <si>
    <t>Select Consumption Types:</t>
  </si>
  <si>
    <t>Elec</t>
  </si>
  <si>
    <t>CITY</t>
  </si>
  <si>
    <t>TYPE</t>
  </si>
  <si>
    <t>UNIT</t>
  </si>
  <si>
    <t>KEYGROUP</t>
  </si>
  <si>
    <t>Y</t>
  </si>
  <si>
    <t>NG</t>
  </si>
  <si>
    <t>City</t>
  </si>
  <si>
    <t>Electricity Zone</t>
  </si>
  <si>
    <t>NG Zone</t>
  </si>
  <si>
    <t>Key Group? (Y/N)</t>
  </si>
  <si>
    <t>Selected Date Range</t>
  </si>
  <si>
    <t>Lloydminster (AB)</t>
  </si>
  <si>
    <t>Select Your Municipality:</t>
  </si>
  <si>
    <t>Selected Consumption Type:</t>
  </si>
  <si>
    <t>Consumption Type</t>
  </si>
  <si>
    <t>Currently Selected Parameters</t>
  </si>
  <si>
    <t>Municipality</t>
  </si>
  <si>
    <t>Combo</t>
  </si>
  <si>
    <t>Column No.</t>
  </si>
  <si>
    <t>Yes</t>
  </si>
  <si>
    <t>No</t>
  </si>
  <si>
    <t>Use All Months?</t>
  </si>
  <si>
    <t>Yes/No Options</t>
  </si>
  <si>
    <t>Show/Hide Options</t>
  </si>
  <si>
    <t>Show</t>
  </si>
  <si>
    <t>Hide</t>
  </si>
  <si>
    <t>Energy Types</t>
  </si>
  <si>
    <t>Electricity</t>
  </si>
  <si>
    <t>Natural Gas</t>
  </si>
  <si>
    <t>Both</t>
  </si>
  <si>
    <t>Select a Predefined Consumption Level:</t>
  </si>
  <si>
    <t>Predefined Consumption Levels</t>
  </si>
  <si>
    <t>Enter Consumption Manually?</t>
  </si>
  <si>
    <t>Manual Consumption Entry:</t>
  </si>
  <si>
    <t>LEVEL</t>
  </si>
  <si>
    <t>COL</t>
  </si>
  <si>
    <t>Variable Transmission Rate</t>
  </si>
  <si>
    <t>Fixed Distribution Rate</t>
  </si>
  <si>
    <t>Variable Distribution  Rate</t>
  </si>
  <si>
    <t>Fixed Distribution-Service Rate</t>
  </si>
  <si>
    <t>Fixed Distribution-Service Charge</t>
  </si>
  <si>
    <t>RRO Provider Administration Rate</t>
  </si>
  <si>
    <t>RRO Provider Administration Charge</t>
  </si>
  <si>
    <t>Federal Tax Rate</t>
  </si>
  <si>
    <t>Column Translation Table</t>
  </si>
  <si>
    <t>NAME</t>
  </si>
  <si>
    <t>LAF RATE 1</t>
  </si>
  <si>
    <t>LAF RATE 2</t>
  </si>
  <si>
    <t>LAF CHARGE 1</t>
  </si>
  <si>
    <t>LAF CHARGE 2</t>
  </si>
  <si>
    <t>RIDER RATE 1</t>
  </si>
  <si>
    <t>RIDER RATE 2</t>
  </si>
  <si>
    <t>RIDER RATE 3</t>
  </si>
  <si>
    <t>RIDER RATE 4</t>
  </si>
  <si>
    <t>RIDER RATE 5</t>
  </si>
  <si>
    <t>RIDER CHARGE 1</t>
  </si>
  <si>
    <t>RIDER CHARGE 2</t>
  </si>
  <si>
    <t>RIDER CHARGE 3</t>
  </si>
  <si>
    <t>RIDER CHARGE 4</t>
  </si>
  <si>
    <t>RIDER CHARGE 5</t>
  </si>
  <si>
    <t>Municipal Franchise Fee</t>
  </si>
  <si>
    <t>Municipal Assessment Rider (A-1)</t>
  </si>
  <si>
    <t>Municipal Franchise Fee Charge</t>
  </si>
  <si>
    <t>Municipal Assessment Charge (A-1)</t>
  </si>
  <si>
    <t>Quarterly Transmission Adjustment Rider (QTAR) (Original)</t>
  </si>
  <si>
    <t>Quarterly Transmission Adjustment Rider (QTAR) (Revised)</t>
  </si>
  <si>
    <t>DRT Rate</t>
  </si>
  <si>
    <t>Municipal Franchise Fee (Rider A)</t>
  </si>
  <si>
    <t>Municipal Property Tax Fee (Rider B)</t>
  </si>
  <si>
    <t>Municipal Franchise Fee Charge (Rider A)</t>
  </si>
  <si>
    <t>Municipal Property Tax Charge (Rider B)</t>
  </si>
  <si>
    <t>Municipal Franchise Tax (Rider A)</t>
  </si>
  <si>
    <t>Property Tax Rider (Rider B)</t>
  </si>
  <si>
    <t>RIDER RATE 6</t>
  </si>
  <si>
    <t>DRT Provider Administration Rate</t>
  </si>
  <si>
    <t>DRT Provider Administration Charge</t>
  </si>
  <si>
    <t>Municipal Property Tax Fee Charge (Rider B)</t>
  </si>
  <si>
    <t>Municipal Franchise Tax Charge (Rider A)</t>
  </si>
  <si>
    <t>Property Tax Fee Charge (Rider B)</t>
  </si>
  <si>
    <t>Electricity Menu</t>
  </si>
  <si>
    <t>Select Municipality:</t>
  </si>
  <si>
    <t>Zone</t>
  </si>
  <si>
    <t>Cities</t>
  </si>
  <si>
    <t>Detached</t>
  </si>
  <si>
    <t>Attached</t>
  </si>
  <si>
    <t>Apartment</t>
  </si>
  <si>
    <t>Electricity (kWh)</t>
  </si>
  <si>
    <t>Natural Gas (GJ)</t>
  </si>
  <si>
    <t>ENMAX RRO</t>
  </si>
  <si>
    <t>EPCOR RRO</t>
  </si>
  <si>
    <t>FORTIS RRO</t>
  </si>
  <si>
    <t>ATCO RRO</t>
  </si>
  <si>
    <t>ATCO-N DRT</t>
  </si>
  <si>
    <t>ATCO-S DRT</t>
  </si>
  <si>
    <t>AltaGas DRT</t>
  </si>
  <si>
    <t>-</t>
  </si>
  <si>
    <t>Percentage Change in Average RRO</t>
  </si>
  <si>
    <t>Percentage Change in Average DRT</t>
  </si>
  <si>
    <t>Absolute Change in Average RRO</t>
  </si>
  <si>
    <t>2013 to 2014</t>
  </si>
  <si>
    <t>2014 to 2015</t>
  </si>
  <si>
    <t>2012 to 2013</t>
  </si>
  <si>
    <t>Absolute Change in Average DRT</t>
  </si>
  <si>
    <t>2012 Monthly Mean Household Summary</t>
  </si>
  <si>
    <t>Apartment Consumption</t>
  </si>
  <si>
    <t>Detached Home Consumption</t>
  </si>
  <si>
    <t>Attached Home Consumption</t>
  </si>
  <si>
    <t>Detached Home</t>
  </si>
  <si>
    <t>Attached Home</t>
  </si>
  <si>
    <t>Detached_ENMAX</t>
  </si>
  <si>
    <t>Attached_ENMAX</t>
  </si>
  <si>
    <t>Apartment_ENMAX</t>
  </si>
  <si>
    <t>Detached_EPCOR</t>
  </si>
  <si>
    <t>Attached_EPCOR</t>
  </si>
  <si>
    <t>Apartment_EPCOR</t>
  </si>
  <si>
    <t>Detached_FORTIS</t>
  </si>
  <si>
    <t>Attached_FORTIS</t>
  </si>
  <si>
    <t>Apartment_FORTIS</t>
  </si>
  <si>
    <t>Detached_ATCO</t>
  </si>
  <si>
    <t>Attached_ATCO</t>
  </si>
  <si>
    <t>Apartment_ATCO</t>
  </si>
  <si>
    <t>Detached_ATCO-N</t>
  </si>
  <si>
    <t>Attached_ATCO-N</t>
  </si>
  <si>
    <t>Apartment_ATCO-N</t>
  </si>
  <si>
    <t>Detached_ATCO-S</t>
  </si>
  <si>
    <t>Attached_ATCO-S</t>
  </si>
  <si>
    <t>Apartment_ATCO-S</t>
  </si>
  <si>
    <t>Detached_AltaGas</t>
  </si>
  <si>
    <t>Attached_AltaGas</t>
  </si>
  <si>
    <t>Apartment_AltaGas</t>
  </si>
  <si>
    <t>Natural Gas Bill</t>
  </si>
  <si>
    <t>Electricity Bill</t>
  </si>
  <si>
    <t>Appendices</t>
  </si>
  <si>
    <t>Go to Electricity Analysis</t>
  </si>
  <si>
    <t>Go to Natural Gas Analysis</t>
  </si>
  <si>
    <t>Natural Gas Menu</t>
  </si>
  <si>
    <t>Bill Menu Settings</t>
  </si>
  <si>
    <t>Go to Electricity Bill</t>
  </si>
  <si>
    <t>Go to Natural Gas Bill</t>
  </si>
  <si>
    <t>Select the First Period:</t>
  </si>
  <si>
    <t>Select the Last Period:</t>
  </si>
  <si>
    <t>Monthly Natural Gas Bill ($)</t>
  </si>
  <si>
    <t>Manually-Entered Consumption</t>
  </si>
  <si>
    <t>Energy</t>
  </si>
  <si>
    <t>Distribution</t>
  </si>
  <si>
    <t>Administration</t>
  </si>
  <si>
    <t>Other Charges</t>
  </si>
  <si>
    <t>Rate Riders (Charge)</t>
  </si>
  <si>
    <t>Rate Riders (Refund)</t>
  </si>
  <si>
    <t>Component Shares of Total Bill Time Series</t>
  </si>
  <si>
    <t>Graph TITLES</t>
  </si>
  <si>
    <t>Expand for Component Shares (%) of Total Bill Time Series</t>
  </si>
  <si>
    <t>LAF</t>
  </si>
  <si>
    <t xml:space="preserve">A franchise fee paid to the appropriate municipality, set according to their franchise agreement.
Payment of this fee provides AltaGas exclusivity privileges, as well as permission to place facilities on public land
Athabasca pays this  as a flat percentage of all AltaGas revenues, while others pay this on all non-energy revenues. </t>
  </si>
  <si>
    <t>A property tax and specific costs paid to the appropriate municipality, which are levied against AltaGas' land, building, machinery, equipment and linear property (such as pipelines).
This is paid as a flat percentage of all non-tax charges.
Athabasca is exempt from Rider B.</t>
  </si>
  <si>
    <t>Typical residential consumers fall under the "Small General Service - Rate No. 1" classification (applicable to those who consume at most 5326 GJ per year).</t>
  </si>
  <si>
    <t>Maximum Residential Consumption Levels (NG) Verification</t>
  </si>
  <si>
    <t>True Date Range</t>
  </si>
  <si>
    <t>NG Monthly Consumption</t>
  </si>
  <si>
    <t>Year of Date</t>
  </si>
  <si>
    <t>2012 Total</t>
  </si>
  <si>
    <t>2013 Total</t>
  </si>
  <si>
    <t>2014 Total</t>
  </si>
  <si>
    <t>2015 Total</t>
  </si>
  <si>
    <t>2016 Total</t>
  </si>
  <si>
    <t>Calendar Year NG Consumption</t>
  </si>
  <si>
    <t>Years when Classifiable under Residential NG Rates</t>
  </si>
  <si>
    <t>Go To:</t>
  </si>
  <si>
    <t>Navigation Menu</t>
  </si>
  <si>
    <t>Use the +/- Buttons to Expand/Collapse Sections</t>
  </si>
  <si>
    <t>Go to Mechanisms</t>
  </si>
  <si>
    <t>Transmission Charge ($)</t>
  </si>
  <si>
    <t>Distribution Charge ($)</t>
  </si>
  <si>
    <t>Distribution &amp; Transmission Charges ($)</t>
  </si>
  <si>
    <t>Local Access Fees ($)</t>
  </si>
  <si>
    <t>Total Rate Riders ($)</t>
  </si>
  <si>
    <t>D&amp;T Riders ($)</t>
  </si>
  <si>
    <t>Balancing Pool Riders ($)</t>
  </si>
  <si>
    <t>Energy Charge ($)</t>
  </si>
  <si>
    <t>Administration Charge ($)</t>
  </si>
  <si>
    <t>Total GST ($)</t>
  </si>
  <si>
    <t>Total Distribution Charge ($)</t>
  </si>
  <si>
    <t>Fixed Distribution Charge ($)</t>
  </si>
  <si>
    <t>Variable Distribution Charge ($)</t>
  </si>
  <si>
    <t>Fixed Service Charge</t>
  </si>
  <si>
    <t>Distribution Energy Rate</t>
  </si>
  <si>
    <t>Distribution Customer Rate</t>
  </si>
  <si>
    <t>Service Customer Rate</t>
  </si>
  <si>
    <t>Distribution System Usage Rate</t>
  </si>
  <si>
    <t>Distribution Service and Facilities Rate</t>
  </si>
  <si>
    <t>Variable Transmission Energy Rate</t>
  </si>
  <si>
    <t>Distribution System Energy Rate</t>
  </si>
  <si>
    <t>Distribution Fixed Customer Rate</t>
  </si>
  <si>
    <t>Distribution Fixed Rate</t>
  </si>
  <si>
    <t>LAF Wires Component Charge</t>
  </si>
  <si>
    <t>LAF Energy Component Charge</t>
  </si>
  <si>
    <t>Balancing Pool Allocation Charge</t>
  </si>
  <si>
    <t>Base Transmission Adjustment Charge</t>
  </si>
  <si>
    <t>Quarterly Transmission Adjustment Charge</t>
  </si>
  <si>
    <t>Interim Adjustment Charge</t>
  </si>
  <si>
    <t>Base Transmission Adjustment Rider (Base TAR)</t>
  </si>
  <si>
    <t>Distribution Adjustment Charge</t>
  </si>
  <si>
    <t>SAS True-up Charge</t>
  </si>
  <si>
    <t>DAS True-up Charge</t>
  </si>
  <si>
    <t>Generic Cost of Capital Charge</t>
  </si>
  <si>
    <t>Transmission Charge Def. Acct. True-Up Rider (Rider K)</t>
  </si>
  <si>
    <t>Transmission Access Charge Def. Acct. Charge</t>
  </si>
  <si>
    <t>Balancing Pool Allocation Refund Rider</t>
  </si>
  <si>
    <t>Transmission Access Charge Deferral Account Rider</t>
  </si>
  <si>
    <t>Distribution Access Service Adjustment Charge</t>
  </si>
  <si>
    <t>Variable Delivery Rate</t>
  </si>
  <si>
    <t>Fixed Delivery Rate</t>
  </si>
  <si>
    <t>RRO Provider (EPCOR) Administration Rate</t>
  </si>
  <si>
    <t>RRO Provider (DERS) Administration Rate</t>
  </si>
  <si>
    <t>RRO Provider (ENMAX) Administration Rate</t>
  </si>
  <si>
    <t>DRT Provider (DERS) Administration Rate</t>
  </si>
  <si>
    <t>DRT Provider (AltaGas) Administration Rate</t>
  </si>
  <si>
    <t>Transmission Service Rider (Rider T)</t>
  </si>
  <si>
    <t>A franchise fee paid to the appropriate municipality, set according to their franchise agreement.
Calgary and Okotoks are special cases, as they do not charge ATCO Rider B-related fees, and use a special calculation method (Method C) for it's Rider A.
The Calgary and Okotoks LAF is charged as a percentage rate of gross revenues (Distribution, Energy and Rate Rider Charges), while other municipalities are charged at a rate of the sum of Distribution, and Non-Carbon Recovery Rate Rider Charges.</t>
  </si>
  <si>
    <t>A property tax and specific costs paid to the appropriate municipality.
This is paid as an annually-updated percentage of both the monthly Total Distribution and Rate Rider charges.
Calgary and Okotoks pay a larger Rider A (with Method C) in lieu of paying Rider B</t>
  </si>
  <si>
    <t>Distribution (Base) Variable Rate</t>
  </si>
  <si>
    <t>Distribution (Base) Fixed Rate</t>
  </si>
  <si>
    <t>Row Start</t>
  </si>
  <si>
    <t>Row End</t>
  </si>
  <si>
    <t>Percentage Labels</t>
  </si>
  <si>
    <t>Column</t>
  </si>
  <si>
    <r>
      <t>Selected Consumption Type</t>
    </r>
    <r>
      <rPr>
        <b/>
        <sz val="12"/>
        <color theme="0"/>
        <rFont val="Arial"/>
        <family val="2"/>
      </rPr>
      <t>:</t>
    </r>
  </si>
  <si>
    <r>
      <t>Selected Consumption Type</t>
    </r>
    <r>
      <rPr>
        <b/>
        <sz val="12"/>
        <rFont val="Arial"/>
        <family val="2"/>
      </rPr>
      <t>:</t>
    </r>
  </si>
  <si>
    <t>Expand for Interzonal Billing Determinants Time Series</t>
  </si>
  <si>
    <t>Zonal Electricity Billing Determinants Time Series</t>
  </si>
  <si>
    <t>Expand for Zonal Billing Determinants Time Series</t>
  </si>
  <si>
    <t>Selectable Service Zones:</t>
  </si>
  <si>
    <t>Interzonal Natural Gas Billing Determinants Time Series</t>
  </si>
  <si>
    <t>Interzonal Electricity Billing Determinants Time Series</t>
  </si>
  <si>
    <t>Zonal Natural Gas Billing Determinants Time Series</t>
  </si>
  <si>
    <t>Expand for Key Zonal Metrics</t>
  </si>
  <si>
    <t>Key Metrics Dynamic Titles</t>
  </si>
  <si>
    <t>Residential consumers fall under Rate Code "Rate 11"
The Transmission Charge and Distribution Charge are collectively refered to as the "Distribution Tariff", with an individual component specified as "Distribution Tariff Transmission Component", for example.
In the FortisAB Service Zone, EPCOR Energy Alberta GP Inc. is responsible for procurement of energy and responsible (as the Default Supplier) for monthly bill delivery, while FortisAB is responsible for Distribution.</t>
  </si>
  <si>
    <t>Residential consumers fall under Rate Code D11.
In the ATCO Service Region, Direct Energy Regulated Services (DERS) is responsible for procurement of energy and is responsible (as the Default Supplier) for monthly bill delivery, while ATCO is responsible for Distribution and Transmission access.</t>
  </si>
  <si>
    <t>A daily charge that pays for Direct Energy Regulated Services' bill preparation and customer service costs.
This charge is equivalent for both the ATCO-N and ATCO-S service zones.</t>
  </si>
  <si>
    <t>Typical residential consumers fall under the Low Use classification (applicable to those who consume less than 1200 GJ per year).
In the ATCO-S Service Zone, Direct Energy Regulated Services (DERS) is responsible for procurement of energy and is responsible (as the Default Supplier) for monthly bill delivery, while ATCO is responsible for Distribution and Transmission access.</t>
  </si>
  <si>
    <t>Typical residential consumers fall under the Low Use classification  (applicable to those who consume less than 1200 GJ per year).
In the ATCO-N Service Zone, Direct Energy Regulated Services (DERS) is responsible for procurement of energy and is responsible (as the Default Supplier) for monthly bill delivery, while ATCO is responsible for Distribution and Transmission access.</t>
  </si>
  <si>
    <t>ZONE</t>
  </si>
  <si>
    <t>Average RRO, Annually by Electricity Service Zone</t>
  </si>
  <si>
    <t>Average DRT, Annually by Natural Gas Service Zone</t>
  </si>
  <si>
    <t>Service Zone Menu</t>
  </si>
  <si>
    <t>Return to Service Zone Menu (to Reselect Parameters)</t>
  </si>
  <si>
    <t>Return to Service Zone Menu</t>
  </si>
  <si>
    <t>Zonal Time Series Selected Unit</t>
  </si>
  <si>
    <t>Average Monthly Consumption</t>
  </si>
  <si>
    <t>Decrease in Monthly Consumption to reach EPCOR levels</t>
  </si>
  <si>
    <t>Additional Percentage Paid in Bill, Relative to EPCOR</t>
  </si>
  <si>
    <t>Difference in Annual Bills due to Consumption Differences</t>
  </si>
  <si>
    <t>Difference in Annual Bills due to Rate Differences</t>
  </si>
  <si>
    <t>Percentage of Additional Payments due to Rate Differences</t>
  </si>
  <si>
    <t>Percentage of Additional Payments due to Consumption Differences</t>
  </si>
  <si>
    <t>Causes of Annual Bill Differences between Service Zones</t>
  </si>
  <si>
    <t>Miscellaneous Data &amp; Mechanisms</t>
  </si>
  <si>
    <t>Directory</t>
  </si>
  <si>
    <t>a) Local Access Fee Database</t>
  </si>
  <si>
    <t>c) City Service Zone Database, by Zone</t>
  </si>
  <si>
    <t>b) City Service Zone Database, by City</t>
  </si>
  <si>
    <t>1b) City Service Zone Database, by City</t>
  </si>
  <si>
    <t>1c) City Service Zone Database, by Zone</t>
  </si>
  <si>
    <t>1a) Local Access Fee Database</t>
  </si>
  <si>
    <t>3a) Annual Average RROs by Service Zone</t>
  </si>
  <si>
    <t>3b) My Regulated Bill Preset-Consumption Basket Database</t>
  </si>
  <si>
    <t>3c) Interjurisdictional Preset-Consumption Basket Database</t>
  </si>
  <si>
    <t>3d) Average Monthly RRO &amp; DRT Summary</t>
  </si>
  <si>
    <t>4a) Municipality Graphs</t>
  </si>
  <si>
    <t>4b) Disaggregation of Relative Differences in Total Bill between Service Regions</t>
  </si>
  <si>
    <t>4c) Annual Total Cost per kWh Historical (Electricity)</t>
  </si>
  <si>
    <t>5a) My Electricity Bill Name and Variable - Column Retrieval Database</t>
  </si>
  <si>
    <t>5b) My Natural Gas Bill Name and Column Retrieval Database</t>
  </si>
  <si>
    <t>6b) 'NG Analysis' Reference Tools</t>
  </si>
  <si>
    <t>6a) 'Elec. Analysis' Reference Tools</t>
  </si>
  <si>
    <t>6) Analysis Sheets Graph &amp; Table Tools</t>
  </si>
  <si>
    <t>7a) Elec. Analysis Percentage Bill, Monthly</t>
  </si>
  <si>
    <t>7b) NG Analysis Percentage Bill, Monthly</t>
  </si>
  <si>
    <t>7c) Elec. Analysis Percentage Bill, Monthly (OPTION 2 - NO RIDER)</t>
  </si>
  <si>
    <t>7d) NG Analysis Percentage Bill, Monthly (OPTION 2 - NO RIDER)</t>
  </si>
  <si>
    <t>7) Area Chart Bill Percentage Graph Data</t>
  </si>
  <si>
    <t>8a) Stacked Bar Graph by Service Zone, Electricity</t>
  </si>
  <si>
    <t>8b) Stacked Bar Graph by Service Zone, Natural Gas</t>
  </si>
  <si>
    <t>8) Analysis Sheets - Stacked Bar Graphs</t>
  </si>
  <si>
    <t>9a) Monthly RRO Cost Comparison Graph Data</t>
  </si>
  <si>
    <t>9b) Monthly DRT Cost Comparison Graph Data</t>
  </si>
  <si>
    <t>9) Monthly RRO Cost Variation Graphs</t>
  </si>
  <si>
    <t>5) Electricity Bill &amp; Natural Gas Bill Sheets Column Calibration</t>
  </si>
  <si>
    <t>4f) Average Variable &amp; Fixed Costs in the ENMAX Zone by House Type</t>
  </si>
  <si>
    <t>Total</t>
  </si>
  <si>
    <t>TRIP Model Component Projection</t>
  </si>
  <si>
    <t>Provincial DRT Consumption</t>
  </si>
  <si>
    <t>Average Provincial Consumption</t>
  </si>
  <si>
    <t>A measure of average Consumption per DRT household. 
Calculated as: Total DRT Consumption / Total DRT Sites for the Province.
( Column I divided by Column E)</t>
  </si>
  <si>
    <t>4) Report Miscellaneous Data and Graphs</t>
  </si>
  <si>
    <t>3) Household-Preset RRO &amp; DRT Consumption</t>
  </si>
  <si>
    <t>2) Drop Down Options Database</t>
  </si>
  <si>
    <t>1) Municipality Data</t>
  </si>
  <si>
    <t>Detached Total Annual Bill ($)</t>
  </si>
  <si>
    <t>Detached Total Annual Consumption (kWh/year)</t>
  </si>
  <si>
    <t>Apartment Total Annual Bill ($)</t>
  </si>
  <si>
    <t>Apartment Total Annual Consumption (kWh/year)</t>
  </si>
  <si>
    <t>% Change in Detached Annual Consumption</t>
  </si>
  <si>
    <t>% Change in Apartment Annual Consumption</t>
  </si>
  <si>
    <t>Some sources may open an excel window - these can be closed, and a subsequent window will open.
Some .xlsx files used as sources may require an AUC eFiling account for access.
Any lack of information regarding a rate in a given period has been assumed to imply no change from the most recent rate (unless that rate has a specified end date).
Links with no specified page number are used as either general sources, or as an absence indicator. 
Links containing light purple indicate a document that may not always be available in its originally-cited form; for example, a document that is constantly updated with data replaced.</t>
  </si>
  <si>
    <t>Some sources may open an excel window or ATCO log-in screen - these can be closed, and a subsequent window will open.
Some .xlsx files used as sources may require an AUC eFiling account for access.
Any lack of information regarding a rate in a given period has been assumed to imply no change from the most recent rate (unless that rate has a specified end date).
Links with no specified page number are used as either general sources, or as an absence indicator. 
Links containing light purple indicate a document that may not always be available in its originally-cited form; for example, a document that is constantly updated with data replaced.</t>
  </si>
  <si>
    <t>Average Variable Cost</t>
  </si>
  <si>
    <t>Local Access Fee</t>
  </si>
  <si>
    <t>All-In Rate</t>
  </si>
  <si>
    <t>All-In Rate (¢/kWh)</t>
  </si>
  <si>
    <t>All-In Rate ($/GJ)</t>
  </si>
  <si>
    <t xml:space="preserve">Marginal Cost </t>
  </si>
  <si>
    <t>Marginal Cost</t>
  </si>
  <si>
    <t>4e) Marginal Cost (¢/kWh) Historical (Electricity)</t>
  </si>
  <si>
    <t>4d) Marginal Cost ($/GJ) Historical (Natural Gas)</t>
  </si>
  <si>
    <t>Marginal Cost (¢/kWh)</t>
  </si>
  <si>
    <t>Marginal Cost ($/GJ)</t>
  </si>
  <si>
    <t>Annual  Average Marginal Cost per GJ ($/GJ)</t>
  </si>
  <si>
    <t>Annual Average Marginal Cost per kWh</t>
  </si>
  <si>
    <t>Capped</t>
  </si>
  <si>
    <t>Month Begin</t>
  </si>
  <si>
    <t>Energy Rate</t>
  </si>
  <si>
    <t>RRO (Capped)</t>
  </si>
  <si>
    <t>Custom</t>
  </si>
  <si>
    <r>
      <t>Selected Energy Rate</t>
    </r>
    <r>
      <rPr>
        <b/>
        <sz val="12"/>
        <color theme="0"/>
        <rFont val="Arial"/>
        <family val="2"/>
      </rPr>
      <t>:</t>
    </r>
  </si>
  <si>
    <t>Custom Contract</t>
  </si>
  <si>
    <t>Custom Energy Rate</t>
  </si>
  <si>
    <t>Custom Administration Rate</t>
  </si>
  <si>
    <r>
      <t>Selected Energy Rate</t>
    </r>
    <r>
      <rPr>
        <b/>
        <sz val="12"/>
        <rFont val="Arial"/>
        <family val="2"/>
      </rPr>
      <t>:</t>
    </r>
  </si>
  <si>
    <t>Rider X</t>
  </si>
  <si>
    <t>Rider Y</t>
  </si>
  <si>
    <t>Rider X Charge</t>
  </si>
  <si>
    <t>Rider Y Charge</t>
  </si>
  <si>
    <t>DRT Rates</t>
  </si>
  <si>
    <t>12) DRT Rates</t>
  </si>
  <si>
    <t>DRT</t>
  </si>
  <si>
    <t>Selected Energy Rate:</t>
  </si>
  <si>
    <t>Carbon Levy</t>
  </si>
  <si>
    <t>Carbon Levy Rate</t>
  </si>
  <si>
    <t>Carbon Levy Charge</t>
  </si>
  <si>
    <t>Total Carbon Cost</t>
  </si>
  <si>
    <t>2015 to 2016</t>
  </si>
  <si>
    <t>2016 to 2017</t>
  </si>
  <si>
    <t>Carbon</t>
  </si>
  <si>
    <t>2017 Total</t>
  </si>
  <si>
    <t>2018 Total</t>
  </si>
  <si>
    <t>Carbon Charge ($)</t>
  </si>
  <si>
    <t>RIDER CHARGE 6</t>
  </si>
  <si>
    <t>RIDER RATE 7</t>
  </si>
  <si>
    <t>RIDER RATE 8</t>
  </si>
  <si>
    <t>RIDER CHARGE 7</t>
  </si>
  <si>
    <t>CARBON LEVY CHARGE</t>
  </si>
  <si>
    <t>Annual Total Bill ($)</t>
  </si>
  <si>
    <t>All-In Rate ($/kWh)</t>
  </si>
  <si>
    <t>4g) 2017 Component Share of Bill by Region</t>
  </si>
  <si>
    <t>2015 Annual Mean Household Energy Consumption (PJ)</t>
  </si>
  <si>
    <t>2015 Monthly Mean Household Summary</t>
  </si>
  <si>
    <t>2012 to 2015 Monthly Mean Household Summary (abs change)</t>
  </si>
  <si>
    <t>2012 to 2015 Monthly Mean Household Summary (percentage change)</t>
  </si>
  <si>
    <t>13) Administration Rates (RRO Actuals)</t>
  </si>
  <si>
    <t>Select an Electric Energy Rate:</t>
  </si>
  <si>
    <t>Select a Natural Gas Energy Rate:</t>
  </si>
  <si>
    <t>Energy Type:</t>
  </si>
  <si>
    <t>Manual Rate Entry:</t>
  </si>
  <si>
    <t>Service Area</t>
  </si>
  <si>
    <t>Administration Rate Unit</t>
  </si>
  <si>
    <t>Selected Admin Unit</t>
  </si>
  <si>
    <t>Energy Type</t>
  </si>
  <si>
    <t>RRO (Uncapped)</t>
  </si>
  <si>
    <t>11) RRO Energy Rates (Capped and Uncapped)</t>
  </si>
  <si>
    <t>Uncapped</t>
  </si>
  <si>
    <t>Enter Consumption Values Here</t>
  </si>
  <si>
    <t>2015 Detached Average Consumption</t>
  </si>
  <si>
    <t>For a given month and service zone, the average 2015 monthly consumption for Detached Homes was calculated by scaling the actual monthly consumption for that service region by the ratio of the 2015 Detached Home consumption average to the Actual 2015 Annual Provincial Consumption Average.</t>
  </si>
  <si>
    <t>For a given month and service zone, the average 2015 monthly consumption for Attached Homes was calculated by scaling the actual monthly consumption for that service region by the ratio of the 2015 Attached Home consumption average to the Actual 2015 Annual Provincial Consumption Average.</t>
  </si>
  <si>
    <t>For a given month and service zone, the average 2015 monthly consumption for Apartments was calculated by scaling the actual monthly consumption for that service region by the ratio of the 2015 Attached Home consumption average to the Actual 2015 Annual Provincial Consumption Average.</t>
  </si>
  <si>
    <t>A constant monthly consumption value of approximately 611 kWh.
This value has been derived using Natural Resources Canada data on 2015 Detached-Home total annual electricity consumption. The NRCan Annual value is first converted to kWh, then divided by 12 to arrive at the monthly average consumption level.</t>
  </si>
  <si>
    <t>(NONE)</t>
  </si>
  <si>
    <t>To fund DERS' late payment penalty class action lawsuit settlement</t>
  </si>
  <si>
    <t>To compensate DERS for past refunds on miscellaneous energy &amp; non-energy related costs</t>
  </si>
  <si>
    <t>A constant monthly consumption value of approximately 10 GJ.
This value has been derived using Natural Resources Canada data on 2015 Detached-Home total annual electricity consumption. The NRCan Annual value is first converted to GJ, then divided by 12 to arrive at the monthly average consumption level.</t>
  </si>
  <si>
    <t>Enter Custom Energy Rates Here</t>
  </si>
  <si>
    <t>4h) ENMAX Apartment &amp; Detached Total Annual Bills, 2012 - 2017</t>
  </si>
  <si>
    <t>Select Energy Rate:</t>
  </si>
  <si>
    <t>Use the tan drop-down lists to select a Year, Service Zone or Billing Determinant, as applicable. Please note that the Consumption Type, Municipality and Energy Rate parameters are not selectable here, and must be chosen in the 'Service Zone Menu' Sheet. However, the currently selected parameters have been displayed below.</t>
  </si>
  <si>
    <t>Electricity Analysis</t>
  </si>
  <si>
    <t>Natural Gas Analysis</t>
  </si>
  <si>
    <t>Expand for Annual Cost Comparison</t>
  </si>
  <si>
    <t>Annual Cost Component Variation by Service Zone</t>
  </si>
  <si>
    <t>Expand for Annual Cost Component Variation, by Service Zone</t>
  </si>
  <si>
    <t>Expand for Monthly Cost Comparison</t>
  </si>
  <si>
    <t>Personalized Bill Menu</t>
  </si>
  <si>
    <t>Return to Personalized Bill Menu</t>
  </si>
  <si>
    <t>Total Monthly Bill</t>
  </si>
  <si>
    <t>Total Monthly Bill ($)</t>
  </si>
  <si>
    <t>Energy Rate Graph Label</t>
  </si>
  <si>
    <r>
      <t xml:space="preserve">The </t>
    </r>
    <r>
      <rPr>
        <i/>
        <sz val="12"/>
        <color theme="1"/>
        <rFont val="Arial"/>
        <family val="2"/>
      </rPr>
      <t>Personalized Bill</t>
    </r>
    <r>
      <rPr>
        <sz val="12"/>
        <color theme="1"/>
        <rFont val="Arial"/>
        <family val="2"/>
      </rPr>
      <t xml:space="preserve"> sheet of the billing tool allows users to enter additional information to approximate a monthly electricity and/or natural gas residential bill under the Regulated Rate Option (RRO) and Default Rate Tariff (DRT), respectively.
Use the "Bill Menu Settings" box to set the desired parameters for your bill using the tan drop-down lists. These parameters include the applicable Municipality, Date Range, Energy Type(s), Consumption levels and Energy Rate type.
32 Municipalities are available as options, and have been included if their population is 10,000 or greater (in the 2011 Statistics Canada Census), have extreme municipal fees, or are of sufficient regional importanc</t>
    </r>
    <r>
      <rPr>
        <sz val="12"/>
        <rFont val="Arial"/>
        <family val="2"/>
      </rPr>
      <t>e. Red Deer, Medicine Hat, Lethbridge and other wire-owning municipalities have not been included because of differences in rate structure and charges.</t>
    </r>
    <r>
      <rPr>
        <sz val="12"/>
        <color rgb="FFFF0000"/>
        <rFont val="Arial"/>
        <family val="2"/>
      </rPr>
      <t xml:space="preserve"> </t>
    </r>
    <r>
      <rPr>
        <sz val="12"/>
        <color theme="1"/>
        <rFont val="Arial"/>
        <family val="2"/>
      </rPr>
      <t xml:space="preserve">
Consumption can be entered manually, or can be approximated using one of three presets. These presets model consumption around housing type (Attached Home, Detached Home &amp; Apartment), and represent what an average household type would consume in the service zone associated with the selected municipality. These presets are derived from NRCan 2015 Consumption by Household Type data, and have been shaped according to average monthly RRO and DRT consumption by service area.
Users can elect to enter custom energy rates instead of using the regulated rates. In doing so, the user will also be given the ability to enter a corresponding administration rate that applies to their energy contract.
Bill components can be examined in greater detail in the </t>
    </r>
    <r>
      <rPr>
        <i/>
        <sz val="12"/>
        <color theme="1"/>
        <rFont val="Arial"/>
        <family val="2"/>
      </rPr>
      <t>Electricity Bill</t>
    </r>
    <r>
      <rPr>
        <sz val="12"/>
        <color theme="1"/>
        <rFont val="Arial"/>
        <family val="2"/>
      </rPr>
      <t xml:space="preserve"> and </t>
    </r>
    <r>
      <rPr>
        <i/>
        <sz val="12"/>
        <color theme="1"/>
        <rFont val="Arial"/>
        <family val="2"/>
      </rPr>
      <t>Natural Gas Bill</t>
    </r>
    <r>
      <rPr>
        <sz val="12"/>
        <color theme="1"/>
        <rFont val="Arial"/>
        <family val="2"/>
      </rPr>
      <t xml:space="preserve"> sheets.</t>
    </r>
  </si>
  <si>
    <t>10) Natural Gas &amp; Electricity Residential Consumption Applicability Error</t>
  </si>
  <si>
    <t>RRO Eligible?</t>
  </si>
  <si>
    <t>Elec Monthly Consumption</t>
  </si>
  <si>
    <t>Years when Classifiable under RRO Electricity Rates</t>
  </si>
  <si>
    <t>Description</t>
  </si>
  <si>
    <t>Lists sources for electricity billing rates and consumption</t>
  </si>
  <si>
    <t>Lists sources for natural gas billing rates and consumption</t>
  </si>
  <si>
    <t xml:space="preserve">Various technical mechanisms &amp; access fee repository </t>
  </si>
  <si>
    <t>Choose billing parameters to create specific residential electricity &amp; natural gas bills</t>
  </si>
  <si>
    <t>Elec. Analysis</t>
  </si>
  <si>
    <t>NG Analysis</t>
  </si>
  <si>
    <t>Elec. Appendix</t>
  </si>
  <si>
    <t>NG Appendix</t>
  </si>
  <si>
    <t>Misc. Data &amp; Mechanisms</t>
  </si>
  <si>
    <t>Various graphs summarizing billing trends within and between the four electricity service zones</t>
  </si>
  <si>
    <t>Various graphs summarizing billing trends within and between the three natural gas service zones</t>
  </si>
  <si>
    <r>
      <t xml:space="preserve">Residential electricity bills for the ENMAX service zone, using parameters set in the </t>
    </r>
    <r>
      <rPr>
        <i/>
        <sz val="10"/>
        <color theme="1"/>
        <rFont val="Arial"/>
        <family val="2"/>
      </rPr>
      <t>Service Zone Menu</t>
    </r>
  </si>
  <si>
    <r>
      <t xml:space="preserve">Residential electricity bills for the EPCOR service zone, using parameters set in the </t>
    </r>
    <r>
      <rPr>
        <i/>
        <sz val="10"/>
        <color theme="1"/>
        <rFont val="Arial"/>
        <family val="2"/>
      </rPr>
      <t>Service Zone Menu</t>
    </r>
  </si>
  <si>
    <r>
      <t xml:space="preserve">Residential electricity bills for the FortisAlberta service zone, using parameters set in the </t>
    </r>
    <r>
      <rPr>
        <i/>
        <sz val="10"/>
        <color theme="1"/>
        <rFont val="Arial"/>
        <family val="2"/>
      </rPr>
      <t>Service Zone Menu</t>
    </r>
  </si>
  <si>
    <r>
      <t xml:space="preserve">Residential electricity bills for the ATCO service zone, using parameters set in the </t>
    </r>
    <r>
      <rPr>
        <i/>
        <sz val="10"/>
        <color theme="1"/>
        <rFont val="Arial"/>
        <family val="2"/>
      </rPr>
      <t>Service Zone Menu</t>
    </r>
  </si>
  <si>
    <r>
      <t xml:space="preserve">Residential natural gas bills for the ATCO North service zone, using parameters set in the </t>
    </r>
    <r>
      <rPr>
        <i/>
        <sz val="10"/>
        <color theme="1"/>
        <rFont val="Arial"/>
        <family val="2"/>
      </rPr>
      <t>Service Zone Menu</t>
    </r>
  </si>
  <si>
    <r>
      <t xml:space="preserve">Residential natural gas bills for the ATCO South service zone, using parameters set in the </t>
    </r>
    <r>
      <rPr>
        <i/>
        <sz val="10"/>
        <color theme="1"/>
        <rFont val="Arial"/>
        <family val="2"/>
      </rPr>
      <t>Service Zone Menu</t>
    </r>
  </si>
  <si>
    <r>
      <t xml:space="preserve">Residential natural gas bills for the AltaGas service zone, using parameters set in the </t>
    </r>
    <r>
      <rPr>
        <i/>
        <sz val="10"/>
        <color theme="1"/>
        <rFont val="Arial"/>
        <family val="2"/>
      </rPr>
      <t>Service Zone Menu</t>
    </r>
  </si>
  <si>
    <r>
      <t xml:space="preserve">The </t>
    </r>
    <r>
      <rPr>
        <i/>
        <sz val="11"/>
        <color theme="1"/>
        <rFont val="Arial"/>
        <family val="2"/>
      </rPr>
      <t>Service Zone Menu</t>
    </r>
    <r>
      <rPr>
        <sz val="11"/>
        <color theme="1"/>
        <rFont val="Arial"/>
        <family val="2"/>
      </rPr>
      <t xml:space="preserve"> sheet of the billing tool allows users to compare monthly residential electricity and/or natural gas bills (under RRO and DRT) based on consumption levels and municipal characteristics.
The "Electricity Menu" and "Natural Gas Menu" to the right can be used to select varying consumption types and municipalities to be inputted into the region-specific billing sections. These parameters can be selected using the coloured drop-down lists.
Additionally, any manually-entered consumption or custom energy rates from the </t>
    </r>
    <r>
      <rPr>
        <i/>
        <sz val="11"/>
        <color theme="1"/>
        <rFont val="Arial"/>
        <family val="2"/>
      </rPr>
      <t>Personalized Bill Menu</t>
    </r>
    <r>
      <rPr>
        <sz val="11"/>
        <color theme="1"/>
        <rFont val="Arial"/>
        <family val="2"/>
      </rPr>
      <t xml:space="preserve"> can be used in any/all of the service zones in this menu.
The "2015 Detached Average Consumption" type is a uniform monthly consumption level of approximately 611 kWh for electricity and 10 GJ for natural gas across all months and years. These constant consumption values are the same monthly 2015 energy consumption averages derived from Natural Resources Canada data.
Data analysis of the service areas, including component-specific comparisons and trends can be found in the </t>
    </r>
    <r>
      <rPr>
        <i/>
        <sz val="11"/>
        <color theme="1"/>
        <rFont val="Arial"/>
        <family val="2"/>
      </rPr>
      <t>Elec. Analysis</t>
    </r>
    <r>
      <rPr>
        <sz val="11"/>
        <color theme="1"/>
        <rFont val="Arial"/>
        <family val="2"/>
      </rPr>
      <t xml:space="preserve"> and </t>
    </r>
    <r>
      <rPr>
        <i/>
        <sz val="11"/>
        <color theme="1"/>
        <rFont val="Arial"/>
        <family val="2"/>
      </rPr>
      <t>NG Analysis</t>
    </r>
    <r>
      <rPr>
        <sz val="11"/>
        <color theme="1"/>
        <rFont val="Arial"/>
        <family val="2"/>
      </rPr>
      <t xml:space="preserve"> sheets, which make use of the parameters selected in this menu.</t>
    </r>
  </si>
  <si>
    <t>Choose billing parameters to create residential electricity &amp; natural gas bills across service zones</t>
  </si>
  <si>
    <r>
      <t xml:space="preserve">Residential electricity bills for the user's municipality, using parameters set in the </t>
    </r>
    <r>
      <rPr>
        <i/>
        <sz val="12"/>
        <color theme="1"/>
        <rFont val="Arial"/>
        <family val="2"/>
      </rPr>
      <t>Personalized Bill Menu</t>
    </r>
  </si>
  <si>
    <r>
      <t xml:space="preserve">Residential natural gas bills for the user's municipality, using parameters set in the </t>
    </r>
    <r>
      <rPr>
        <i/>
        <sz val="12"/>
        <color theme="1"/>
        <rFont val="Arial"/>
        <family val="2"/>
      </rPr>
      <t>Personalized Bill Menu</t>
    </r>
  </si>
  <si>
    <t>Calculated as the sum of:
1) Gas Cost Flow-through Rate (GCFR or GCRR)
2) Forecast Energy-related Charges
3) Return Margin 
Also refered to as "Deemed Value".
The DRT Rate is administered by Direct Energy Regulated Services (DERS), and is equivalent to that of ATCO-S as of December 2015.</t>
  </si>
  <si>
    <t>Calculated as the sum of:
1) Gas Cost Flow-through Rate (GCFR or GCRR)
2) Forecast Energy-related Charges
3) Return Margin 
Also refered to as "Deemed Value".
The DRT Rate is administered by Direct Energy Regulated Services (DERS) and is equivalent to that of ATCO-S as of December 2015.</t>
  </si>
  <si>
    <t>2017 to 2018</t>
  </si>
  <si>
    <t>Monthly Electricity Access Fees , 2012 - 2018 (Detached Home Consumption)</t>
  </si>
  <si>
    <t>Monthly Natural Gas Access Fees , 2012 - 2018 (Detached Home Consumption)</t>
  </si>
  <si>
    <t>Relative 2018 Annual RRO Electricity Bill - (Service Zone - Specific Consumption, Average Residential Consumer in Service Area)</t>
  </si>
  <si>
    <t xml:space="preserve">Total 2018 Annual Regulated Bill </t>
  </si>
  <si>
    <t>Additional 2018 Annual Bill Payments, Relative to EPCOR</t>
  </si>
  <si>
    <t>Relative 2018 Annual RRO Electricity Bill - (EPCOR Consumption, Average Residential Consumer)</t>
  </si>
  <si>
    <t>Change from 2012 to 2018</t>
  </si>
  <si>
    <t>4g) 2018 Component Share of Bill by Region</t>
  </si>
  <si>
    <t>4f) Average Variable &amp; Fixed Costs in the ENMAX Zone (Capped RRO)</t>
  </si>
  <si>
    <t>Rider Z</t>
  </si>
  <si>
    <t>Rider Z Charge</t>
  </si>
  <si>
    <t>RIDER RATE 9</t>
  </si>
  <si>
    <t>RIDER CHARGE 8</t>
  </si>
  <si>
    <t>2019 Total</t>
  </si>
  <si>
    <t>Calendar Year Elec Consumption</t>
  </si>
  <si>
    <t>To true-up its interim rates for the default rate tariff (DRT) and regulated rate tariff (RRT)</t>
  </si>
  <si>
    <t>Q2 2019 Historical Retail Billing Tool</t>
  </si>
  <si>
    <r>
      <t xml:space="preserve">
The Q2 2019 Historical Retail Billing Tool contains January 2012 - June 2019 data on rates and bill components for residential regulated electricity and natural gas bills (RRO and DRT billing options), and can be used for a variety of personal and research uses. This release of the tool has provided users with the ability to enter their own competitive rate data to gain insight into their historical bill.
The Billing Tool contains 2 main sections:
</t>
    </r>
    <r>
      <rPr>
        <u/>
        <sz val="11"/>
        <color theme="1"/>
        <rFont val="Arial"/>
        <family val="2"/>
      </rPr>
      <t>1) Personalized Bill Section</t>
    </r>
    <r>
      <rPr>
        <sz val="11"/>
        <color theme="1"/>
        <rFont val="Arial"/>
        <family val="2"/>
      </rPr>
      <t xml:space="preserve">: This section is designed for users who want to enter their own consumption or competitive energy rate data for certain years and see what a historical bill might be in their municipality. It can also be used to estimate a user's bill based on their housing characteristics.
The </t>
    </r>
    <r>
      <rPr>
        <i/>
        <sz val="11"/>
        <color theme="1"/>
        <rFont val="Arial"/>
        <family val="2"/>
      </rPr>
      <t>Personalized Bill Menu</t>
    </r>
    <r>
      <rPr>
        <sz val="11"/>
        <color theme="1"/>
        <rFont val="Arial"/>
        <family val="2"/>
      </rPr>
      <t xml:space="preserve"> sheet is used to enter rate or consumption data and choose billing parameters, and provides a general overview of monthly bills using that information.
The </t>
    </r>
    <r>
      <rPr>
        <i/>
        <sz val="11"/>
        <color theme="1"/>
        <rFont val="Arial"/>
        <family val="2"/>
      </rPr>
      <t xml:space="preserve">Electricity Bill </t>
    </r>
    <r>
      <rPr>
        <sz val="11"/>
        <color theme="1"/>
        <rFont val="Arial"/>
        <family val="2"/>
      </rPr>
      <t xml:space="preserve">and </t>
    </r>
    <r>
      <rPr>
        <i/>
        <sz val="11"/>
        <color theme="1"/>
        <rFont val="Arial"/>
        <family val="2"/>
      </rPr>
      <t xml:space="preserve">Natural Gas Bill </t>
    </r>
    <r>
      <rPr>
        <sz val="11"/>
        <color theme="1"/>
        <rFont val="Arial"/>
        <family val="2"/>
      </rPr>
      <t xml:space="preserve">sheets explore these personalized bills in greater depth.
</t>
    </r>
    <r>
      <rPr>
        <u/>
        <sz val="11"/>
        <color theme="1"/>
        <rFont val="Arial"/>
        <family val="2"/>
      </rPr>
      <t>2) Service Zone Section</t>
    </r>
    <r>
      <rPr>
        <sz val="11"/>
        <color theme="1"/>
        <rFont val="Arial"/>
        <family val="2"/>
      </rPr>
      <t xml:space="preserve">: This section allows users to perform deeper analyses and comparisons of retail bills in major service zones. 
The </t>
    </r>
    <r>
      <rPr>
        <i/>
        <sz val="11"/>
        <color theme="1"/>
        <rFont val="Arial"/>
        <family val="2"/>
      </rPr>
      <t>Service Zone Menu</t>
    </r>
    <r>
      <rPr>
        <sz val="11"/>
        <color theme="1"/>
        <rFont val="Arial"/>
        <family val="2"/>
      </rPr>
      <t xml:space="preserve"> sheet is used to adjust the consumption and energy rate data applicable to the four electricity service zones and three natural gas service zones. If so desired, consumption and energy rate data entered by the user in the Personalized Bill Section can be imported to this section using the settings found in this sheet.
Consumption and energy rate data is fed through this menu to the four electricity service zones (</t>
    </r>
    <r>
      <rPr>
        <i/>
        <sz val="11"/>
        <color theme="1"/>
        <rFont val="Arial"/>
        <family val="2"/>
      </rPr>
      <t>ENMAX</t>
    </r>
    <r>
      <rPr>
        <sz val="11"/>
        <color theme="1"/>
        <rFont val="Arial"/>
        <family val="2"/>
      </rPr>
      <t xml:space="preserve">, </t>
    </r>
    <r>
      <rPr>
        <i/>
        <sz val="11"/>
        <color theme="1"/>
        <rFont val="Arial"/>
        <family val="2"/>
      </rPr>
      <t>EPCOR</t>
    </r>
    <r>
      <rPr>
        <sz val="11"/>
        <color theme="1"/>
        <rFont val="Arial"/>
        <family val="2"/>
      </rPr>
      <t xml:space="preserve">, </t>
    </r>
    <r>
      <rPr>
        <i/>
        <sz val="11"/>
        <color theme="1"/>
        <rFont val="Arial"/>
        <family val="2"/>
      </rPr>
      <t>FORTIS</t>
    </r>
    <r>
      <rPr>
        <sz val="11"/>
        <color theme="1"/>
        <rFont val="Arial"/>
        <family val="2"/>
      </rPr>
      <t xml:space="preserve"> and </t>
    </r>
    <r>
      <rPr>
        <i/>
        <sz val="11"/>
        <color theme="1"/>
        <rFont val="Arial"/>
        <family val="2"/>
      </rPr>
      <t>ATCO</t>
    </r>
    <r>
      <rPr>
        <sz val="11"/>
        <color theme="1"/>
        <rFont val="Arial"/>
        <family val="2"/>
      </rPr>
      <t xml:space="preserve"> sheets) and three natural gas service zones (</t>
    </r>
    <r>
      <rPr>
        <i/>
        <sz val="11"/>
        <color theme="1"/>
        <rFont val="Arial"/>
        <family val="2"/>
      </rPr>
      <t>ATCO-N</t>
    </r>
    <r>
      <rPr>
        <sz val="11"/>
        <color theme="1"/>
        <rFont val="Arial"/>
        <family val="2"/>
      </rPr>
      <t xml:space="preserve">, </t>
    </r>
    <r>
      <rPr>
        <i/>
        <sz val="11"/>
        <color theme="1"/>
        <rFont val="Arial"/>
        <family val="2"/>
      </rPr>
      <t xml:space="preserve">ATCO-S </t>
    </r>
    <r>
      <rPr>
        <sz val="11"/>
        <color theme="1"/>
        <rFont val="Arial"/>
        <family val="2"/>
      </rPr>
      <t xml:space="preserve">and </t>
    </r>
    <r>
      <rPr>
        <i/>
        <sz val="11"/>
        <color theme="1"/>
        <rFont val="Arial"/>
        <family val="2"/>
      </rPr>
      <t xml:space="preserve">AltaGas </t>
    </r>
    <r>
      <rPr>
        <sz val="11"/>
        <color theme="1"/>
        <rFont val="Arial"/>
        <family val="2"/>
      </rPr>
      <t>sheets) examined in this tool.
The Analysis sheets (</t>
    </r>
    <r>
      <rPr>
        <i/>
        <sz val="11"/>
        <color theme="1"/>
        <rFont val="Arial"/>
        <family val="2"/>
      </rPr>
      <t>Elec. Analysis</t>
    </r>
    <r>
      <rPr>
        <sz val="11"/>
        <color theme="1"/>
        <rFont val="Arial"/>
        <family val="2"/>
      </rPr>
      <t xml:space="preserve"> and </t>
    </r>
    <r>
      <rPr>
        <i/>
        <sz val="11"/>
        <color theme="1"/>
        <rFont val="Arial"/>
        <family val="2"/>
      </rPr>
      <t>NG Analysis</t>
    </r>
    <r>
      <rPr>
        <sz val="11"/>
        <color theme="1"/>
        <rFont val="Arial"/>
        <family val="2"/>
      </rPr>
      <t xml:space="preserve"> sheets) provide the tools to examine historical residential bill components within a single service zone, or across multiple areas, as desired. This analysis can be performed for a variety of municipalities and energy consumption metrics.
Appendices have been provided with links to data sources, in the </t>
    </r>
    <r>
      <rPr>
        <i/>
        <sz val="11"/>
        <color theme="1"/>
        <rFont val="Arial"/>
        <family val="2"/>
      </rPr>
      <t xml:space="preserve">Elec. Appendix </t>
    </r>
    <r>
      <rPr>
        <sz val="11"/>
        <color theme="1"/>
        <rFont val="Arial"/>
        <family val="2"/>
      </rPr>
      <t xml:space="preserve">and </t>
    </r>
    <r>
      <rPr>
        <i/>
        <sz val="11"/>
        <color theme="1"/>
        <rFont val="Arial"/>
        <family val="2"/>
      </rPr>
      <t>NG Appendix</t>
    </r>
    <r>
      <rPr>
        <sz val="11"/>
        <color theme="1"/>
        <rFont val="Arial"/>
        <family val="2"/>
      </rPr>
      <t xml:space="preserve"> sheets.
</t>
    </r>
    <r>
      <rPr>
        <i/>
        <sz val="11"/>
        <color theme="1"/>
        <rFont val="Arial"/>
        <family val="2"/>
      </rPr>
      <t>While the MSA deems all data provided in the Retail Billing Tool to be reliable, this cannot be guaranteed and should be independently verified.</t>
    </r>
  </si>
  <si>
    <t>A levy payable to the Government of Alberta applied to all purchased fossil fuels that produce greenhouse gas emissions when combusted.</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</si>
</sst>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8" formatCode="&quot;$&quot;#,##0.00_);[Red]\(&quot;$&quot;#,##0.00\)"/>
    <numFmt numFmtId="43" formatCode="_(* #,##0.00_);_(* \(#,##0.00\);_(* &quot;-&quot;??_);_(@_)"/>
    <numFmt numFmtId="164" formatCode="0.00_);[Red]\(0.00\)"/>
    <numFmt numFmtId="165" formatCode="[$-409]mmm/yy;@"/>
    <numFmt numFmtId="166" formatCode="0.0000_);[Red]\(0.0000\)"/>
    <numFmt numFmtId="167" formatCode="0.000000_);[Red]\(0.000000\)"/>
    <numFmt numFmtId="168" formatCode="0.0%"/>
    <numFmt numFmtId="169" formatCode="0.000"/>
    <numFmt numFmtId="170" formatCode="0.000_);[Red]\(0.000\)"/>
    <numFmt numFmtId="171" formatCode="0_);[Red]\(0\)"/>
    <numFmt numFmtId="172" formatCode="[$-409]mmmmm;@"/>
    <numFmt numFmtId="173" formatCode="0.000000000_);[Red]\(0.000000000\)"/>
    <numFmt numFmtId="174" formatCode="0.000000000"/>
    <numFmt numFmtId="175" formatCode="0.0000000000_);[Red]\(0.0000000000\)"/>
    <numFmt numFmtId="176" formatCode="0.0000000000"/>
    <numFmt numFmtId="177" formatCode="0.0000000_);[Red]\(0.0000000\)"/>
    <numFmt numFmtId="178" formatCode="0.0000%"/>
    <numFmt numFmtId="179" formatCode="0.0000"/>
    <numFmt numFmtId="180" formatCode="&quot;$&quot;#,##0.00"/>
    <numFmt numFmtId="181" formatCode="0.000000"/>
    <numFmt numFmtId="182" formatCode="0.0000000"/>
  </numFmts>
  <fonts count="74" x14ac:knownFonts="1">
    <font>
      <sz val="11"/>
      <color theme="1"/>
      <name val="Calibri"/>
      <family val="2"/>
      <scheme val="minor"/>
    </font>
    <font>
      <sz val="11"/>
      <color theme="1"/>
      <name val="Calibri"/>
      <family val="2"/>
      <scheme val="minor"/>
    </font>
    <font>
      <b/>
      <sz val="11"/>
      <color theme="1"/>
      <name val="Calibri"/>
      <family val="2"/>
      <scheme val="minor"/>
    </font>
    <font>
      <i/>
      <sz val="11"/>
      <color theme="1"/>
      <name val="Calibri"/>
      <family val="2"/>
      <scheme val="minor"/>
    </font>
    <font>
      <sz val="12"/>
      <color theme="1"/>
      <name val="Calibri"/>
      <family val="2"/>
      <scheme val="minor"/>
    </font>
    <font>
      <sz val="10"/>
      <name val="Arial"/>
      <family val="2"/>
    </font>
    <font>
      <u/>
      <sz val="11"/>
      <color theme="10"/>
      <name val="Calibri"/>
      <family val="2"/>
      <scheme val="minor"/>
    </font>
    <font>
      <sz val="11"/>
      <color theme="0" tint="-0.249977111117893"/>
      <name val="Wingdings 3"/>
      <family val="1"/>
      <charset val="2"/>
    </font>
    <font>
      <b/>
      <u/>
      <sz val="24"/>
      <color theme="1"/>
      <name val="Arial"/>
      <family val="2"/>
    </font>
    <font>
      <b/>
      <sz val="11"/>
      <color theme="1"/>
      <name val="Arial"/>
      <family val="2"/>
    </font>
    <font>
      <sz val="11"/>
      <color theme="1"/>
      <name val="Arial"/>
      <family val="2"/>
    </font>
    <font>
      <b/>
      <u/>
      <sz val="20"/>
      <color theme="1"/>
      <name val="Arial"/>
      <family val="2"/>
    </font>
    <font>
      <sz val="12"/>
      <color theme="1"/>
      <name val="Arial"/>
      <family val="2"/>
    </font>
    <font>
      <b/>
      <sz val="12"/>
      <color theme="1"/>
      <name val="Arial"/>
      <family val="2"/>
    </font>
    <font>
      <b/>
      <u/>
      <sz val="12"/>
      <color theme="1"/>
      <name val="Arial"/>
      <family val="2"/>
    </font>
    <font>
      <sz val="11"/>
      <color theme="0" tint="-0.249977111117893"/>
      <name val="Arial"/>
      <family val="2"/>
    </font>
    <font>
      <b/>
      <u/>
      <sz val="16"/>
      <color theme="1"/>
      <name val="Arial"/>
      <family val="2"/>
    </font>
    <font>
      <sz val="11"/>
      <color rgb="FFFF0000"/>
      <name val="Arial"/>
      <family val="2"/>
    </font>
    <font>
      <b/>
      <sz val="12"/>
      <color theme="0"/>
      <name val="Arial"/>
      <family val="2"/>
    </font>
    <font>
      <sz val="11"/>
      <color theme="0"/>
      <name val="Arial"/>
      <family val="2"/>
    </font>
    <font>
      <u/>
      <sz val="12"/>
      <color theme="1"/>
      <name val="Arial"/>
      <family val="2"/>
    </font>
    <font>
      <b/>
      <u/>
      <sz val="12"/>
      <color theme="0"/>
      <name val="Arial"/>
      <family val="2"/>
    </font>
    <font>
      <sz val="11"/>
      <name val="Arial"/>
      <family val="2"/>
    </font>
    <font>
      <u/>
      <sz val="11"/>
      <color theme="1"/>
      <name val="Arial"/>
      <family val="2"/>
    </font>
    <font>
      <u/>
      <sz val="11"/>
      <color theme="10"/>
      <name val="Arial"/>
      <family val="2"/>
    </font>
    <font>
      <b/>
      <u/>
      <sz val="12"/>
      <name val="Arial"/>
      <family val="2"/>
    </font>
    <font>
      <b/>
      <i/>
      <sz val="12"/>
      <name val="Arial"/>
      <family val="2"/>
    </font>
    <font>
      <b/>
      <sz val="11"/>
      <name val="Arial"/>
      <family val="2"/>
    </font>
    <font>
      <u/>
      <sz val="11"/>
      <name val="Arial"/>
      <family val="2"/>
    </font>
    <font>
      <i/>
      <sz val="11"/>
      <name val="Arial"/>
      <family val="2"/>
    </font>
    <font>
      <sz val="12"/>
      <name val="Arial"/>
      <family val="2"/>
    </font>
    <font>
      <b/>
      <u/>
      <sz val="11"/>
      <color theme="1"/>
      <name val="Arial"/>
      <family val="2"/>
    </font>
    <font>
      <i/>
      <sz val="11"/>
      <color theme="1"/>
      <name val="Arial"/>
      <family val="2"/>
    </font>
    <font>
      <i/>
      <sz val="11"/>
      <color theme="0"/>
      <name val="Arial"/>
      <family val="2"/>
    </font>
    <font>
      <b/>
      <i/>
      <sz val="12"/>
      <color theme="0"/>
      <name val="Arial"/>
      <family val="2"/>
    </font>
    <font>
      <u/>
      <sz val="11"/>
      <color theme="0"/>
      <name val="Arial"/>
      <family val="2"/>
    </font>
    <font>
      <b/>
      <sz val="12"/>
      <name val="Arial"/>
      <family val="2"/>
    </font>
    <font>
      <b/>
      <u/>
      <sz val="11"/>
      <name val="Arial"/>
      <family val="2"/>
    </font>
    <font>
      <b/>
      <i/>
      <sz val="11"/>
      <name val="Arial"/>
      <family val="2"/>
    </font>
    <font>
      <b/>
      <sz val="14"/>
      <color theme="1"/>
      <name val="Arial"/>
      <family val="2"/>
    </font>
    <font>
      <b/>
      <sz val="16"/>
      <color theme="1"/>
      <name val="Arial"/>
      <family val="2"/>
    </font>
    <font>
      <b/>
      <u/>
      <sz val="14"/>
      <color theme="1"/>
      <name val="Arial"/>
      <family val="2"/>
    </font>
    <font>
      <sz val="11"/>
      <color theme="0" tint="-0.34998626667073579"/>
      <name val="Arial"/>
      <family val="2"/>
    </font>
    <font>
      <b/>
      <sz val="11"/>
      <color theme="0" tint="-0.249977111117893"/>
      <name val="Arial"/>
      <family val="2"/>
    </font>
    <font>
      <b/>
      <u/>
      <sz val="18"/>
      <color theme="0"/>
      <name val="Arial"/>
      <family val="2"/>
    </font>
    <font>
      <b/>
      <u/>
      <sz val="18"/>
      <name val="Arial"/>
      <family val="2"/>
    </font>
    <font>
      <b/>
      <u/>
      <sz val="14"/>
      <name val="Arial"/>
      <family val="2"/>
    </font>
    <font>
      <b/>
      <sz val="18"/>
      <name val="Arial"/>
      <family val="2"/>
    </font>
    <font>
      <sz val="10"/>
      <color theme="1"/>
      <name val="Arial"/>
      <family val="2"/>
    </font>
    <font>
      <i/>
      <sz val="10"/>
      <color theme="1"/>
      <name val="Arial"/>
      <family val="2"/>
    </font>
    <font>
      <i/>
      <sz val="10"/>
      <name val="Arial"/>
      <family val="2"/>
    </font>
    <font>
      <u/>
      <sz val="10"/>
      <color theme="10"/>
      <name val="Arial"/>
      <family val="2"/>
    </font>
    <font>
      <b/>
      <u/>
      <sz val="26"/>
      <name val="Arial"/>
      <family val="2"/>
    </font>
    <font>
      <sz val="14"/>
      <color theme="1"/>
      <name val="Arial"/>
      <family val="2"/>
    </font>
    <font>
      <u/>
      <sz val="14"/>
      <color theme="1"/>
      <name val="Arial"/>
      <family val="2"/>
    </font>
    <font>
      <sz val="14"/>
      <color theme="0"/>
      <name val="Arial"/>
      <family val="2"/>
    </font>
    <font>
      <u/>
      <sz val="11"/>
      <color rgb="FFFF0000"/>
      <name val="Arial"/>
      <family val="2"/>
    </font>
    <font>
      <sz val="11"/>
      <color rgb="FF00B050"/>
      <name val="Arial"/>
      <family val="2"/>
    </font>
    <font>
      <sz val="20"/>
      <color theme="0"/>
      <name val="Arial"/>
      <family val="2"/>
    </font>
    <font>
      <b/>
      <sz val="11"/>
      <color theme="1"/>
      <name val="Agency FB"/>
      <family val="2"/>
    </font>
    <font>
      <b/>
      <sz val="16"/>
      <color theme="0"/>
      <name val="Arial"/>
      <family val="2"/>
    </font>
    <font>
      <b/>
      <u/>
      <sz val="12"/>
      <color theme="10"/>
      <name val="Arial"/>
      <family val="2"/>
    </font>
    <font>
      <b/>
      <i/>
      <sz val="11"/>
      <color theme="1"/>
      <name val="Arial"/>
      <family val="2"/>
    </font>
    <font>
      <sz val="12"/>
      <color rgb="FFFF0000"/>
      <name val="Arial"/>
      <family val="2"/>
    </font>
    <font>
      <b/>
      <sz val="16"/>
      <color rgb="FFFF0000"/>
      <name val="Arial"/>
      <family val="2"/>
    </font>
    <font>
      <sz val="9"/>
      <color indexed="81"/>
      <name val="Tahoma"/>
      <family val="2"/>
    </font>
    <font>
      <b/>
      <sz val="9"/>
      <color indexed="81"/>
      <name val="Tahoma"/>
      <family val="2"/>
    </font>
    <font>
      <b/>
      <u/>
      <sz val="20"/>
      <color theme="0"/>
      <name val="Arial"/>
      <family val="2"/>
    </font>
    <font>
      <u/>
      <sz val="12"/>
      <color rgb="FF0B02BE"/>
      <name val="Arial"/>
      <family val="2"/>
    </font>
    <font>
      <u/>
      <sz val="12"/>
      <color theme="10"/>
      <name val="Arial"/>
      <family val="2"/>
    </font>
    <font>
      <b/>
      <u/>
      <sz val="26"/>
      <color theme="1"/>
      <name val="Arial"/>
      <family val="2"/>
    </font>
    <font>
      <b/>
      <u/>
      <sz val="11"/>
      <color theme="10"/>
      <name val="Arial"/>
      <family val="2"/>
    </font>
    <font>
      <i/>
      <sz val="12"/>
      <color theme="1"/>
      <name val="Arial"/>
      <family val="2"/>
    </font>
    <font>
      <u/>
      <sz val="11"/>
      <color rgb="FFFF0000"/>
      <name val="Calibri"/>
      <family val="2"/>
      <scheme val="minor"/>
    </font>
  </fonts>
  <fills count="31">
    <fill>
      <patternFill patternType="none"/>
    </fill>
    <fill>
      <patternFill patternType="gray125"/>
    </fill>
    <fill>
      <patternFill patternType="solid">
        <fgColor rgb="FFC00000"/>
        <bgColor indexed="64"/>
      </patternFill>
    </fill>
    <fill>
      <patternFill patternType="solid">
        <fgColor theme="3" tint="-0.249977111117893"/>
        <bgColor indexed="64"/>
      </patternFill>
    </fill>
    <fill>
      <patternFill patternType="solid">
        <fgColor theme="6" tint="-0.249977111117893"/>
        <bgColor indexed="64"/>
      </patternFill>
    </fill>
    <fill>
      <patternFill patternType="solid">
        <fgColor rgb="FFFFFF00"/>
        <bgColor indexed="64"/>
      </patternFill>
    </fill>
    <fill>
      <patternFill patternType="solid">
        <fgColor theme="0" tint="-0.249977111117893"/>
        <bgColor indexed="64"/>
      </patternFill>
    </fill>
    <fill>
      <patternFill patternType="solid">
        <fgColor theme="2" tint="-0.249977111117893"/>
        <bgColor indexed="64"/>
      </patternFill>
    </fill>
    <fill>
      <patternFill patternType="solid">
        <fgColor rgb="FFFF9900"/>
        <bgColor indexed="64"/>
      </patternFill>
    </fill>
    <fill>
      <patternFill patternType="solid">
        <fgColor theme="7"/>
        <bgColor indexed="64"/>
      </patternFill>
    </fill>
    <fill>
      <patternFill patternType="solid">
        <fgColor theme="7" tint="0.79998168889431442"/>
        <bgColor indexed="64"/>
      </patternFill>
    </fill>
    <fill>
      <patternFill patternType="solid">
        <fgColor theme="9" tint="-0.249977111117893"/>
        <bgColor indexed="64"/>
      </patternFill>
    </fill>
    <fill>
      <patternFill patternType="solid">
        <fgColor theme="7" tint="-0.249977111117893"/>
        <bgColor indexed="64"/>
      </patternFill>
    </fill>
    <fill>
      <patternFill patternType="solid">
        <fgColor theme="9" tint="-0.499984740745262"/>
        <bgColor indexed="64"/>
      </patternFill>
    </fill>
    <fill>
      <patternFill patternType="solid">
        <fgColor theme="0" tint="-0.14999847407452621"/>
        <bgColor indexed="64"/>
      </patternFill>
    </fill>
    <fill>
      <patternFill patternType="solid">
        <fgColor theme="8" tint="0.79998168889431442"/>
        <bgColor indexed="64"/>
      </patternFill>
    </fill>
    <fill>
      <patternFill patternType="solid">
        <fgColor theme="9" tint="0.59999389629810485"/>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theme="9"/>
        <bgColor indexed="64"/>
      </patternFill>
    </fill>
    <fill>
      <patternFill patternType="solid">
        <fgColor theme="8" tint="0.39997558519241921"/>
        <bgColor indexed="64"/>
      </patternFill>
    </fill>
    <fill>
      <patternFill patternType="solid">
        <fgColor theme="6" tint="0.39997558519241921"/>
        <bgColor indexed="64"/>
      </patternFill>
    </fill>
    <fill>
      <patternFill patternType="solid">
        <fgColor theme="7" tint="0.59999389629810485"/>
        <bgColor indexed="64"/>
      </patternFill>
    </fill>
    <fill>
      <patternFill patternType="solid">
        <fgColor theme="4" tint="0.59999389629810485"/>
        <bgColor indexed="64"/>
      </patternFill>
    </fill>
    <fill>
      <patternFill patternType="solid">
        <fgColor theme="1" tint="4.9989318521683403E-2"/>
        <bgColor indexed="64"/>
      </patternFill>
    </fill>
    <fill>
      <patternFill patternType="solid">
        <fgColor rgb="FFEAEAEA"/>
        <bgColor indexed="64"/>
      </patternFill>
    </fill>
    <fill>
      <patternFill patternType="solid">
        <fgColor theme="1"/>
        <bgColor indexed="64"/>
      </patternFill>
    </fill>
    <fill>
      <patternFill patternType="solid">
        <fgColor theme="0"/>
        <bgColor indexed="64"/>
      </patternFill>
    </fill>
    <fill>
      <patternFill patternType="solid">
        <fgColor theme="5" tint="0.59999389629810485"/>
        <bgColor indexed="64"/>
      </patternFill>
    </fill>
    <fill>
      <patternFill patternType="solid">
        <fgColor rgb="FFFFC000"/>
        <bgColor indexed="64"/>
      </patternFill>
    </fill>
    <fill>
      <patternFill patternType="solid">
        <fgColor theme="2" tint="-9.9978637043366805E-2"/>
        <bgColor indexed="64"/>
      </patternFill>
    </fill>
  </fills>
  <borders count="165">
    <border>
      <left/>
      <right/>
      <top/>
      <bottom/>
      <diagonal/>
    </border>
    <border>
      <left/>
      <right style="thin">
        <color indexed="64"/>
      </right>
      <top/>
      <bottom/>
      <diagonal/>
    </border>
    <border>
      <left/>
      <right/>
      <top style="thin">
        <color indexed="64"/>
      </top>
      <bottom style="thin">
        <color indexed="64"/>
      </bottom>
      <diagonal/>
    </border>
    <border>
      <left/>
      <right style="double">
        <color indexed="64"/>
      </right>
      <top style="thin">
        <color indexed="64"/>
      </top>
      <bottom style="thin">
        <color indexed="64"/>
      </bottom>
      <diagonal/>
    </border>
    <border>
      <left style="double">
        <color indexed="64"/>
      </left>
      <right/>
      <top style="thin">
        <color indexed="64"/>
      </top>
      <bottom style="thin">
        <color indexed="64"/>
      </bottom>
      <diagonal/>
    </border>
    <border>
      <left/>
      <right style="thick">
        <color indexed="64"/>
      </right>
      <top style="thin">
        <color indexed="64"/>
      </top>
      <bottom style="thin">
        <color indexed="64"/>
      </bottom>
      <diagonal/>
    </border>
    <border>
      <left style="thick">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diagonal/>
    </border>
    <border>
      <left/>
      <right style="double">
        <color indexed="64"/>
      </right>
      <top style="thin">
        <color indexed="64"/>
      </top>
      <bottom/>
      <diagonal/>
    </border>
    <border>
      <left style="double">
        <color indexed="64"/>
      </left>
      <right/>
      <top style="thin">
        <color indexed="64"/>
      </top>
      <bottom/>
      <diagonal/>
    </border>
    <border>
      <left/>
      <right style="thick">
        <color indexed="64"/>
      </right>
      <top style="thin">
        <color indexed="64"/>
      </top>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right/>
      <top/>
      <bottom style="thin">
        <color indexed="64"/>
      </bottom>
      <diagonal/>
    </border>
    <border>
      <left/>
      <right style="double">
        <color indexed="64"/>
      </right>
      <top/>
      <bottom style="thin">
        <color indexed="64"/>
      </bottom>
      <diagonal/>
    </border>
    <border>
      <left style="double">
        <color indexed="64"/>
      </left>
      <right/>
      <top/>
      <bottom style="thin">
        <color indexed="64"/>
      </bottom>
      <diagonal/>
    </border>
    <border>
      <left/>
      <right style="thick">
        <color indexed="64"/>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double">
        <color indexed="64"/>
      </left>
      <right/>
      <top/>
      <bottom/>
      <diagonal/>
    </border>
    <border>
      <left/>
      <right style="thick">
        <color indexed="64"/>
      </right>
      <top/>
      <bottom/>
      <diagonal/>
    </border>
    <border>
      <left style="thick">
        <color auto="1"/>
      </left>
      <right/>
      <top style="thin">
        <color auto="1"/>
      </top>
      <bottom/>
      <diagonal/>
    </border>
    <border>
      <left style="thick">
        <color indexed="64"/>
      </left>
      <right/>
      <top/>
      <bottom/>
      <diagonal/>
    </border>
    <border>
      <left style="thin">
        <color indexed="64"/>
      </left>
      <right/>
      <top/>
      <bottom style="dashed">
        <color indexed="64"/>
      </bottom>
      <diagonal/>
    </border>
    <border>
      <left/>
      <right/>
      <top/>
      <bottom style="dashed">
        <color indexed="64"/>
      </bottom>
      <diagonal/>
    </border>
    <border>
      <left/>
      <right/>
      <top style="dashed">
        <color indexed="64"/>
      </top>
      <bottom/>
      <diagonal/>
    </border>
    <border>
      <left style="double">
        <color indexed="64"/>
      </left>
      <right/>
      <top style="dashed">
        <color indexed="64"/>
      </top>
      <bottom/>
      <diagonal/>
    </border>
    <border>
      <left/>
      <right style="thick">
        <color indexed="64"/>
      </right>
      <top style="dashed">
        <color indexed="64"/>
      </top>
      <bottom/>
      <diagonal/>
    </border>
    <border>
      <left style="thin">
        <color indexed="64"/>
      </left>
      <right/>
      <top style="dashed">
        <color indexed="64"/>
      </top>
      <bottom/>
      <diagonal/>
    </border>
    <border>
      <left/>
      <right style="thin">
        <color indexed="64"/>
      </right>
      <top style="dashed">
        <color indexed="64"/>
      </top>
      <bottom/>
      <diagonal/>
    </border>
    <border>
      <left style="double">
        <color indexed="64"/>
      </left>
      <right/>
      <top/>
      <bottom style="dashed">
        <color indexed="64"/>
      </bottom>
      <diagonal/>
    </border>
    <border>
      <left/>
      <right style="thick">
        <color indexed="64"/>
      </right>
      <top/>
      <bottom style="dashed">
        <color indexed="64"/>
      </bottom>
      <diagonal/>
    </border>
    <border>
      <left/>
      <right style="thin">
        <color indexed="64"/>
      </right>
      <top/>
      <bottom style="dashed">
        <color indexed="64"/>
      </bottom>
      <diagonal/>
    </border>
    <border>
      <left style="thin">
        <color indexed="64"/>
      </left>
      <right style="thin">
        <color indexed="64"/>
      </right>
      <top style="thin">
        <color indexed="64"/>
      </top>
      <bottom/>
      <diagonal/>
    </border>
    <border>
      <left/>
      <right style="double">
        <color indexed="64"/>
      </right>
      <top/>
      <bottom/>
      <diagonal/>
    </border>
    <border>
      <left style="thin">
        <color indexed="64"/>
      </left>
      <right style="thin">
        <color indexed="64"/>
      </right>
      <top/>
      <bottom/>
      <diagonal/>
    </border>
    <border>
      <left/>
      <right style="double">
        <color indexed="64"/>
      </right>
      <top/>
      <bottom style="dashed">
        <color indexed="64"/>
      </bottom>
      <diagonal/>
    </border>
    <border>
      <left style="thin">
        <color indexed="64"/>
      </left>
      <right style="thin">
        <color indexed="64"/>
      </right>
      <top/>
      <bottom style="dashed">
        <color indexed="64"/>
      </bottom>
      <diagonal/>
    </border>
    <border>
      <left style="thin">
        <color indexed="64"/>
      </left>
      <right style="thin">
        <color indexed="64"/>
      </right>
      <top style="dashed">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right style="medium">
        <color indexed="64"/>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ck">
        <color indexed="64"/>
      </left>
      <right/>
      <top/>
      <bottom style="medium">
        <color indexed="64"/>
      </bottom>
      <diagonal/>
    </border>
    <border>
      <left/>
      <right style="thick">
        <color indexed="64"/>
      </right>
      <top/>
      <bottom style="medium">
        <color indexed="64"/>
      </bottom>
      <diagonal/>
    </border>
    <border>
      <left style="thin">
        <color indexed="64"/>
      </left>
      <right style="thin">
        <color indexed="64"/>
      </right>
      <top style="thin">
        <color indexed="64"/>
      </top>
      <bottom style="medium">
        <color indexed="64"/>
      </bottom>
      <diagonal/>
    </border>
    <border>
      <left style="thick">
        <color indexed="64"/>
      </left>
      <right/>
      <top/>
      <bottom style="thin">
        <color indexed="64"/>
      </bottom>
      <diagonal/>
    </border>
    <border>
      <left style="thick">
        <color indexed="64"/>
      </left>
      <right style="thin">
        <color indexed="64"/>
      </right>
      <top style="thin">
        <color indexed="64"/>
      </top>
      <bottom style="thin">
        <color indexed="64"/>
      </bottom>
      <diagonal/>
    </border>
    <border>
      <left style="thick">
        <color indexed="64"/>
      </left>
      <right style="thin">
        <color indexed="64"/>
      </right>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ck">
        <color indexed="64"/>
      </left>
      <right/>
      <top style="medium">
        <color indexed="64"/>
      </top>
      <bottom/>
      <diagonal/>
    </border>
    <border>
      <left/>
      <right style="thick">
        <color indexed="64"/>
      </right>
      <top style="medium">
        <color indexed="64"/>
      </top>
      <bottom/>
      <diagonal/>
    </border>
    <border>
      <left style="thick">
        <color indexed="64"/>
      </left>
      <right style="thin">
        <color indexed="64"/>
      </right>
      <top/>
      <bottom/>
      <diagonal/>
    </border>
    <border>
      <left/>
      <right style="medium">
        <color indexed="64"/>
      </right>
      <top/>
      <bottom style="dashed">
        <color indexed="64"/>
      </bottom>
      <diagonal/>
    </border>
    <border>
      <left style="medium">
        <color indexed="64"/>
      </left>
      <right/>
      <top style="dashed">
        <color indexed="64"/>
      </top>
      <bottom/>
      <diagonal/>
    </border>
    <border>
      <left style="medium">
        <color indexed="64"/>
      </left>
      <right/>
      <top/>
      <bottom style="dashed">
        <color indexed="64"/>
      </bottom>
      <diagonal/>
    </border>
    <border>
      <left/>
      <right style="medium">
        <color indexed="64"/>
      </right>
      <top style="dashed">
        <color indexed="64"/>
      </top>
      <bottom/>
      <diagonal/>
    </border>
    <border>
      <left style="thick">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style="thick">
        <color indexed="64"/>
      </right>
      <top style="medium">
        <color indexed="64"/>
      </top>
      <bottom style="medium">
        <color indexed="64"/>
      </bottom>
      <diagonal/>
    </border>
    <border>
      <left style="double">
        <color indexed="64"/>
      </left>
      <right/>
      <top/>
      <bottom style="medium">
        <color indexed="64"/>
      </bottom>
      <diagonal/>
    </border>
    <border>
      <left/>
      <right style="double">
        <color indexed="64"/>
      </right>
      <top/>
      <bottom style="medium">
        <color indexed="64"/>
      </bottom>
      <diagonal/>
    </border>
    <border>
      <left style="thin">
        <color indexed="64"/>
      </left>
      <right style="double">
        <color indexed="64"/>
      </right>
      <top style="thin">
        <color indexed="64"/>
      </top>
      <bottom style="thin">
        <color indexed="64"/>
      </bottom>
      <diagonal/>
    </border>
    <border>
      <left/>
      <right style="medium">
        <color indexed="64"/>
      </right>
      <top style="thin">
        <color indexed="64"/>
      </top>
      <bottom/>
      <diagonal/>
    </border>
    <border>
      <left style="medium">
        <color indexed="64"/>
      </left>
      <right/>
      <top/>
      <bottom style="thin">
        <color indexed="64"/>
      </bottom>
      <diagonal/>
    </border>
    <border>
      <left style="medium">
        <color indexed="64"/>
      </left>
      <right/>
      <top style="thin">
        <color indexed="64"/>
      </top>
      <bottom/>
      <diagonal/>
    </border>
    <border>
      <left style="medium">
        <color indexed="64"/>
      </left>
      <right/>
      <top style="medium">
        <color indexed="64"/>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style="medium">
        <color indexed="64"/>
      </bottom>
      <diagonal/>
    </border>
    <border>
      <left style="thick">
        <color indexed="64"/>
      </left>
      <right style="thin">
        <color indexed="64"/>
      </right>
      <top style="thin">
        <color indexed="64"/>
      </top>
      <bottom style="medium">
        <color indexed="64"/>
      </bottom>
      <diagonal/>
    </border>
    <border>
      <left style="thin">
        <color indexed="64"/>
      </left>
      <right style="double">
        <color indexed="64"/>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style="thin">
        <color indexed="64"/>
      </left>
      <right style="thick">
        <color indexed="64"/>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top style="medium">
        <color indexed="64"/>
      </top>
      <bottom style="thin">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top style="medium">
        <color indexed="64"/>
      </top>
      <bottom style="medium">
        <color indexed="64"/>
      </bottom>
      <diagonal/>
    </border>
    <border>
      <left style="dashed">
        <color auto="1"/>
      </left>
      <right/>
      <top style="dashed">
        <color auto="1"/>
      </top>
      <bottom/>
      <diagonal/>
    </border>
    <border>
      <left/>
      <right style="dashed">
        <color auto="1"/>
      </right>
      <top style="dashed">
        <color auto="1"/>
      </top>
      <bottom/>
      <diagonal/>
    </border>
    <border>
      <left/>
      <right style="dashed">
        <color auto="1"/>
      </right>
      <top/>
      <bottom/>
      <diagonal/>
    </border>
    <border>
      <left style="dashed">
        <color auto="1"/>
      </left>
      <right/>
      <top/>
      <bottom/>
      <diagonal/>
    </border>
    <border>
      <left style="dashed">
        <color auto="1"/>
      </left>
      <right/>
      <top/>
      <bottom style="dashed">
        <color auto="1"/>
      </bottom>
      <diagonal/>
    </border>
    <border>
      <left/>
      <right style="dashed">
        <color auto="1"/>
      </right>
      <top/>
      <bottom style="dashed">
        <color auto="1"/>
      </bottom>
      <diagonal/>
    </border>
    <border>
      <left style="dashed">
        <color auto="1"/>
      </left>
      <right style="thin">
        <color indexed="64"/>
      </right>
      <top style="thin">
        <color indexed="64"/>
      </top>
      <bottom style="thin">
        <color indexed="64"/>
      </bottom>
      <diagonal/>
    </border>
    <border>
      <left style="dashed">
        <color auto="1"/>
      </left>
      <right/>
      <top style="thin">
        <color indexed="64"/>
      </top>
      <bottom style="thin">
        <color indexed="64"/>
      </bottom>
      <diagonal/>
    </border>
    <border>
      <left style="dashed">
        <color auto="1"/>
      </left>
      <right/>
      <top style="thin">
        <color indexed="64"/>
      </top>
      <bottom/>
      <diagonal/>
    </border>
    <border>
      <left/>
      <right/>
      <top style="thin">
        <color indexed="64"/>
      </top>
      <bottom style="dashed">
        <color auto="1"/>
      </bottom>
      <diagonal/>
    </border>
    <border>
      <left style="medium">
        <color indexed="64"/>
      </left>
      <right/>
      <top style="thin">
        <color indexed="64"/>
      </top>
      <bottom style="dashed">
        <color auto="1"/>
      </bottom>
      <diagonal/>
    </border>
    <border>
      <left/>
      <right style="dashed">
        <color indexed="64"/>
      </right>
      <top/>
      <bottom style="medium">
        <color indexed="64"/>
      </bottom>
      <diagonal/>
    </border>
    <border>
      <left/>
      <right style="dashed">
        <color indexed="64"/>
      </right>
      <top style="thin">
        <color indexed="64"/>
      </top>
      <bottom/>
      <diagonal/>
    </border>
    <border>
      <left/>
      <right style="dashed">
        <color indexed="64"/>
      </right>
      <top/>
      <bottom style="thin">
        <color indexed="64"/>
      </bottom>
      <diagonal/>
    </border>
    <border>
      <left style="thin">
        <color indexed="64"/>
      </left>
      <right style="dashed">
        <color indexed="64"/>
      </right>
      <top style="thin">
        <color indexed="64"/>
      </top>
      <bottom style="thin">
        <color indexed="64"/>
      </bottom>
      <diagonal/>
    </border>
    <border>
      <left style="dashed">
        <color indexed="64"/>
      </left>
      <right/>
      <top/>
      <bottom style="thin">
        <color indexed="64"/>
      </bottom>
      <diagonal/>
    </border>
    <border>
      <left style="dashed">
        <color indexed="64"/>
      </left>
      <right/>
      <top style="dashed">
        <color indexed="64"/>
      </top>
      <bottom style="medium">
        <color indexed="64"/>
      </bottom>
      <diagonal/>
    </border>
    <border>
      <left/>
      <right/>
      <top style="dashed">
        <color indexed="64"/>
      </top>
      <bottom style="medium">
        <color indexed="64"/>
      </bottom>
      <diagonal/>
    </border>
    <border>
      <left/>
      <right style="dashed">
        <color indexed="64"/>
      </right>
      <top style="dashed">
        <color indexed="64"/>
      </top>
      <bottom style="medium">
        <color indexed="64"/>
      </bottom>
      <diagonal/>
    </border>
    <border>
      <left style="dashed">
        <color auto="1"/>
      </left>
      <right style="thin">
        <color indexed="64"/>
      </right>
      <top style="thin">
        <color indexed="64"/>
      </top>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theme="0"/>
      </left>
      <right/>
      <top/>
      <bottom style="medium">
        <color theme="0"/>
      </bottom>
      <diagonal/>
    </border>
    <border>
      <left/>
      <right/>
      <top/>
      <bottom style="medium">
        <color theme="0"/>
      </bottom>
      <diagonal/>
    </border>
    <border>
      <left/>
      <right style="thin">
        <color theme="0"/>
      </right>
      <top/>
      <bottom style="dashed">
        <color indexed="64"/>
      </bottom>
      <diagonal/>
    </border>
    <border>
      <left style="medium">
        <color theme="0"/>
      </left>
      <right/>
      <top style="medium">
        <color theme="0"/>
      </top>
      <bottom/>
      <diagonal/>
    </border>
    <border>
      <left/>
      <right/>
      <top style="medium">
        <color theme="0"/>
      </top>
      <bottom/>
      <diagonal/>
    </border>
    <border>
      <left/>
      <right style="medium">
        <color theme="0"/>
      </right>
      <top style="medium">
        <color theme="0"/>
      </top>
      <bottom/>
      <diagonal/>
    </border>
    <border>
      <left/>
      <right style="medium">
        <color theme="0"/>
      </right>
      <top/>
      <bottom style="medium">
        <color theme="0"/>
      </bottom>
      <diagonal/>
    </border>
    <border>
      <left style="thick">
        <color indexed="64"/>
      </left>
      <right/>
      <top/>
      <bottom style="thick">
        <color indexed="64"/>
      </bottom>
      <diagonal/>
    </border>
    <border>
      <left/>
      <right/>
      <top/>
      <bottom style="thick">
        <color indexed="64"/>
      </bottom>
      <diagonal/>
    </border>
    <border>
      <left/>
      <right style="thick">
        <color indexed="64"/>
      </right>
      <top/>
      <bottom style="thick">
        <color indexed="64"/>
      </bottom>
      <diagonal/>
    </border>
    <border>
      <left style="thin">
        <color indexed="64"/>
      </left>
      <right/>
      <top style="medium">
        <color indexed="64"/>
      </top>
      <bottom/>
      <diagonal/>
    </border>
    <border>
      <left style="thick">
        <color indexed="64"/>
      </left>
      <right style="thin">
        <color indexed="64"/>
      </right>
      <top style="medium">
        <color indexed="64"/>
      </top>
      <bottom/>
      <diagonal/>
    </border>
    <border>
      <left style="thin">
        <color indexed="64"/>
      </left>
      <right style="thick">
        <color indexed="64"/>
      </right>
      <top/>
      <bottom style="thin">
        <color indexed="64"/>
      </bottom>
      <diagonal/>
    </border>
    <border>
      <left style="medium">
        <color indexed="64"/>
      </left>
      <right style="medium">
        <color indexed="64"/>
      </right>
      <top/>
      <bottom/>
      <diagonal/>
    </border>
    <border>
      <left style="thick">
        <color indexed="64"/>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style="thick">
        <color indexed="64"/>
      </right>
      <top style="thick">
        <color indexed="64"/>
      </top>
      <bottom style="thin">
        <color indexed="64"/>
      </bottom>
      <diagonal/>
    </border>
    <border>
      <left style="thin">
        <color indexed="64"/>
      </left>
      <right style="thick">
        <color indexed="64"/>
      </right>
      <top style="thin">
        <color indexed="64"/>
      </top>
      <bottom style="medium">
        <color indexed="64"/>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style="medium">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thin">
        <color indexed="64"/>
      </left>
      <right style="thick">
        <color indexed="64"/>
      </right>
      <top style="medium">
        <color indexed="64"/>
      </top>
      <bottom/>
      <diagonal/>
    </border>
    <border>
      <left style="thin">
        <color indexed="64"/>
      </left>
      <right style="thick">
        <color indexed="64"/>
      </right>
      <top/>
      <bottom/>
      <diagonal/>
    </border>
    <border>
      <left style="thick">
        <color indexed="64"/>
      </left>
      <right style="thin">
        <color indexed="64"/>
      </right>
      <top style="thin">
        <color indexed="64"/>
      </top>
      <bottom/>
      <diagonal/>
    </border>
  </borders>
  <cellStyleXfs count="9">
    <xf numFmtId="0" fontId="0" fillId="0" borderId="0"/>
    <xf numFmtId="9" fontId="1" fillId="0" borderId="0" applyFont="0" applyFill="0" applyBorder="0" applyAlignment="0" applyProtection="0"/>
    <xf numFmtId="0" fontId="5" fillId="0" borderId="0"/>
    <xf numFmtId="9" fontId="5" fillId="0" borderId="0" applyFont="0" applyFill="0" applyBorder="0" applyAlignment="0" applyProtection="0"/>
    <xf numFmtId="43" fontId="5" fillId="0" borderId="0" applyFont="0" applyFill="0" applyBorder="0" applyAlignment="0" applyProtection="0"/>
    <xf numFmtId="0" fontId="5" fillId="0" borderId="0"/>
    <xf numFmtId="0" fontId="5" fillId="0" borderId="0"/>
    <xf numFmtId="0" fontId="5" fillId="0" borderId="0"/>
    <xf numFmtId="0" fontId="6" fillId="0" borderId="0" applyNumberFormat="0" applyFill="0" applyBorder="0" applyAlignment="0" applyProtection="0"/>
  </cellStyleXfs>
  <cellXfs count="2813">
    <xf numFmtId="0" fontId="0" fillId="0" borderId="0" xfId="0"/>
    <xf numFmtId="0" fontId="0" fillId="0" borderId="0" xfId="0" applyNumberFormat="1" applyFont="1"/>
    <xf numFmtId="0" fontId="0" fillId="0" borderId="0" xfId="0" applyNumberFormat="1" applyFont="1" applyBorder="1"/>
    <xf numFmtId="0" fontId="2" fillId="0" borderId="0" xfId="0" applyNumberFormat="1" applyFont="1" applyBorder="1" applyAlignment="1">
      <alignment horizontal="center" vertical="center" wrapText="1"/>
    </xf>
    <xf numFmtId="0" fontId="2" fillId="0" borderId="0" xfId="0" applyNumberFormat="1" applyFont="1" applyAlignment="1">
      <alignment horizontal="center" vertical="center" wrapText="1"/>
    </xf>
    <xf numFmtId="0" fontId="0" fillId="0" borderId="0" xfId="0" applyNumberFormat="1" applyFont="1" applyAlignment="1">
      <alignment horizontal="center"/>
    </xf>
    <xf numFmtId="10" fontId="3" fillId="0" borderId="0" xfId="1" applyNumberFormat="1" applyFont="1"/>
    <xf numFmtId="164" fontId="0" fillId="0" borderId="0" xfId="0" applyNumberFormat="1" applyFont="1"/>
    <xf numFmtId="168" fontId="3" fillId="0" borderId="0" xfId="1" applyNumberFormat="1" applyFont="1" applyAlignment="1">
      <alignment horizontal="center"/>
    </xf>
    <xf numFmtId="168" fontId="3" fillId="0" borderId="0" xfId="1" applyNumberFormat="1" applyFont="1" applyBorder="1" applyAlignment="1">
      <alignment horizontal="center"/>
    </xf>
    <xf numFmtId="165" fontId="0" fillId="0" borderId="0" xfId="0" applyNumberFormat="1" applyFont="1"/>
    <xf numFmtId="164" fontId="2" fillId="0" borderId="0" xfId="0" applyNumberFormat="1" applyFont="1"/>
    <xf numFmtId="164" fontId="3" fillId="0" borderId="0" xfId="0" applyNumberFormat="1" applyFont="1"/>
    <xf numFmtId="164" fontId="3" fillId="0" borderId="0" xfId="1" applyNumberFormat="1" applyFont="1"/>
    <xf numFmtId="0" fontId="3" fillId="0" borderId="0" xfId="0" applyNumberFormat="1" applyFont="1"/>
    <xf numFmtId="0" fontId="3" fillId="0" borderId="0" xfId="0" applyNumberFormat="1" applyFont="1" applyAlignment="1">
      <alignment horizontal="center"/>
    </xf>
    <xf numFmtId="0" fontId="0" fillId="0" borderId="0" xfId="0" applyFont="1"/>
    <xf numFmtId="164" fontId="0" fillId="0" borderId="0" xfId="0" applyNumberFormat="1"/>
    <xf numFmtId="0" fontId="3" fillId="0" borderId="0" xfId="0" applyFont="1"/>
    <xf numFmtId="0" fontId="4" fillId="0" borderId="0" xfId="0" applyNumberFormat="1" applyFont="1" applyBorder="1"/>
    <xf numFmtId="0" fontId="4" fillId="0" borderId="0" xfId="0" applyNumberFormat="1" applyFont="1"/>
    <xf numFmtId="1" fontId="0" fillId="0" borderId="0" xfId="0" applyNumberFormat="1" applyFont="1"/>
    <xf numFmtId="0" fontId="2" fillId="0" borderId="0" xfId="0" applyNumberFormat="1" applyFont="1" applyBorder="1" applyAlignment="1">
      <alignment horizontal="center" vertical="center" wrapText="1"/>
    </xf>
    <xf numFmtId="164" fontId="3" fillId="0" borderId="0" xfId="0" applyNumberFormat="1" applyFont="1" applyBorder="1"/>
    <xf numFmtId="10" fontId="3" fillId="0" borderId="0" xfId="0" applyNumberFormat="1" applyFont="1" applyBorder="1"/>
    <xf numFmtId="0" fontId="7" fillId="25" borderId="89" xfId="8" applyFont="1" applyFill="1" applyBorder="1" applyAlignment="1">
      <alignment horizontal="center" vertical="top" wrapText="1"/>
    </xf>
    <xf numFmtId="0" fontId="7" fillId="25" borderId="110" xfId="8" applyFont="1" applyFill="1" applyBorder="1" applyAlignment="1" applyProtection="1">
      <alignment horizontal="center" vertical="top" wrapText="1"/>
    </xf>
    <xf numFmtId="0" fontId="7" fillId="25" borderId="89" xfId="8" applyFont="1" applyFill="1" applyBorder="1" applyAlignment="1" applyProtection="1">
      <alignment horizontal="center" vertical="top" wrapText="1"/>
    </xf>
    <xf numFmtId="0" fontId="7" fillId="25" borderId="96" xfId="8" applyFont="1" applyFill="1" applyBorder="1" applyAlignment="1">
      <alignment horizontal="center" vertical="top" wrapText="1"/>
    </xf>
    <xf numFmtId="0" fontId="10" fillId="0" borderId="0" xfId="0" applyFont="1" applyProtection="1"/>
    <xf numFmtId="0" fontId="10" fillId="0" borderId="52" xfId="0" applyFont="1" applyBorder="1" applyProtection="1"/>
    <xf numFmtId="0" fontId="10" fillId="0" borderId="0" xfId="0" applyFont="1" applyBorder="1" applyProtection="1"/>
    <xf numFmtId="0" fontId="10" fillId="0" borderId="0" xfId="0" applyFont="1" applyFill="1" applyBorder="1" applyProtection="1"/>
    <xf numFmtId="0" fontId="10" fillId="0" borderId="53" xfId="0" applyFont="1" applyBorder="1" applyProtection="1"/>
    <xf numFmtId="0" fontId="13" fillId="0" borderId="109" xfId="0" applyFont="1" applyBorder="1" applyAlignment="1" applyProtection="1">
      <alignment horizontal="center" vertical="center"/>
    </xf>
    <xf numFmtId="0" fontId="13" fillId="0" borderId="56" xfId="0" applyFont="1" applyBorder="1" applyAlignment="1" applyProtection="1">
      <alignment horizontal="center" vertical="center" wrapText="1"/>
    </xf>
    <xf numFmtId="0" fontId="13" fillId="0" borderId="64" xfId="0" applyFont="1" applyBorder="1" applyAlignment="1" applyProtection="1">
      <alignment horizontal="center" vertical="center" wrapText="1"/>
    </xf>
    <xf numFmtId="0" fontId="13" fillId="0" borderId="88" xfId="0" applyFont="1" applyBorder="1" applyAlignment="1" applyProtection="1">
      <alignment horizontal="center" vertical="center" wrapText="1"/>
    </xf>
    <xf numFmtId="0" fontId="13" fillId="0" borderId="109" xfId="0" applyFont="1" applyBorder="1" applyAlignment="1" applyProtection="1">
      <alignment horizontal="center" vertical="center" wrapText="1"/>
    </xf>
    <xf numFmtId="0" fontId="13" fillId="0" borderId="88" xfId="0" applyFont="1" applyBorder="1" applyAlignment="1" applyProtection="1">
      <alignment horizontal="center" vertical="center"/>
    </xf>
    <xf numFmtId="0" fontId="10" fillId="0" borderId="0" xfId="0" applyFont="1" applyFill="1" applyProtection="1"/>
    <xf numFmtId="0" fontId="10" fillId="0" borderId="49" xfId="0" applyFont="1" applyBorder="1" applyProtection="1"/>
    <xf numFmtId="0" fontId="10" fillId="0" borderId="50" xfId="0" applyFont="1" applyBorder="1" applyProtection="1"/>
    <xf numFmtId="0" fontId="10" fillId="0" borderId="51" xfId="0" applyFont="1" applyBorder="1" applyProtection="1"/>
    <xf numFmtId="0" fontId="12" fillId="0" borderId="0" xfId="0" applyFont="1" applyFill="1" applyBorder="1" applyAlignment="1" applyProtection="1">
      <alignment horizontal="center" vertical="top" wrapText="1"/>
    </xf>
    <xf numFmtId="0" fontId="10" fillId="0" borderId="47" xfId="0" applyFont="1" applyBorder="1" applyProtection="1"/>
    <xf numFmtId="8" fontId="9" fillId="0" borderId="0" xfId="0" applyNumberFormat="1" applyFont="1" applyFill="1" applyBorder="1" applyAlignment="1" applyProtection="1">
      <alignment horizontal="center"/>
    </xf>
    <xf numFmtId="0" fontId="10" fillId="0" borderId="0" xfId="0" applyFont="1"/>
    <xf numFmtId="0" fontId="14" fillId="0" borderId="90" xfId="1" applyNumberFormat="1" applyFont="1" applyBorder="1" applyAlignment="1">
      <alignment horizontal="center" vertical="center"/>
    </xf>
    <xf numFmtId="0" fontId="9" fillId="0" borderId="84" xfId="0" applyNumberFormat="1" applyFont="1" applyFill="1" applyBorder="1" applyAlignment="1">
      <alignment horizontal="center" vertical="center" wrapText="1"/>
    </xf>
    <xf numFmtId="0" fontId="9" fillId="0" borderId="9" xfId="0" applyNumberFormat="1" applyFont="1" applyFill="1" applyBorder="1" applyAlignment="1">
      <alignment horizontal="center" vertical="center" wrapText="1"/>
    </xf>
    <xf numFmtId="0" fontId="31" fillId="0" borderId="10" xfId="0" applyNumberFormat="1" applyFont="1" applyFill="1" applyBorder="1" applyAlignment="1">
      <alignment horizontal="center" vertical="center" wrapText="1"/>
    </xf>
    <xf numFmtId="0" fontId="32" fillId="0" borderId="9" xfId="0" applyNumberFormat="1" applyFont="1" applyFill="1" applyBorder="1" applyAlignment="1">
      <alignment horizontal="center" vertical="center" wrapText="1"/>
    </xf>
    <xf numFmtId="0" fontId="32" fillId="0" borderId="14" xfId="0" applyNumberFormat="1" applyFont="1" applyFill="1" applyBorder="1" applyAlignment="1">
      <alignment horizontal="center" vertical="center" wrapText="1"/>
    </xf>
    <xf numFmtId="0" fontId="32" fillId="0" borderId="94" xfId="0" applyNumberFormat="1" applyFont="1" applyFill="1" applyBorder="1" applyAlignment="1">
      <alignment horizontal="center" vertical="center" wrapText="1"/>
    </xf>
    <xf numFmtId="0" fontId="33" fillId="0" borderId="83" xfId="0" applyNumberFormat="1" applyFont="1" applyFill="1" applyBorder="1" applyAlignment="1">
      <alignment horizontal="center" vertical="center" wrapText="1"/>
    </xf>
    <xf numFmtId="0" fontId="9" fillId="0" borderId="16" xfId="0" applyNumberFormat="1" applyFont="1" applyFill="1" applyBorder="1" applyAlignment="1">
      <alignment vertical="center" wrapText="1"/>
    </xf>
    <xf numFmtId="0" fontId="32" fillId="0" borderId="16" xfId="0" applyNumberFormat="1" applyFont="1" applyFill="1" applyBorder="1" applyAlignment="1">
      <alignment horizontal="center" vertical="center" wrapText="1"/>
    </xf>
    <xf numFmtId="0" fontId="9" fillId="0" borderId="16" xfId="0" applyNumberFormat="1" applyFont="1" applyFill="1" applyBorder="1" applyAlignment="1">
      <alignment horizontal="center" vertical="center" wrapText="1"/>
    </xf>
    <xf numFmtId="0" fontId="9" fillId="0" borderId="17" xfId="0" applyNumberFormat="1" applyFont="1" applyFill="1" applyBorder="1" applyAlignment="1">
      <alignment horizontal="center" vertical="center" wrapText="1"/>
    </xf>
    <xf numFmtId="0" fontId="32" fillId="0" borderId="21" xfId="0" applyNumberFormat="1" applyFont="1" applyFill="1" applyBorder="1" applyAlignment="1">
      <alignment horizontal="center" vertical="center" wrapText="1"/>
    </xf>
    <xf numFmtId="0" fontId="32" fillId="0" borderId="86" xfId="0" applyNumberFormat="1" applyFont="1" applyFill="1" applyBorder="1" applyAlignment="1">
      <alignment horizontal="center" vertical="center" wrapText="1"/>
    </xf>
    <xf numFmtId="165" fontId="9" fillId="0" borderId="84" xfId="0" applyNumberFormat="1" applyFont="1" applyFill="1" applyBorder="1"/>
    <xf numFmtId="1" fontId="10" fillId="0" borderId="9" xfId="0" applyNumberFormat="1" applyFont="1" applyFill="1" applyBorder="1" applyAlignment="1">
      <alignment horizontal="center"/>
    </xf>
    <xf numFmtId="0" fontId="10" fillId="0" borderId="9" xfId="0" applyNumberFormat="1" applyFont="1" applyFill="1" applyBorder="1" applyAlignment="1">
      <alignment horizontal="center"/>
    </xf>
    <xf numFmtId="164" fontId="9" fillId="0" borderId="9" xfId="0" applyNumberFormat="1" applyFont="1" applyFill="1" applyBorder="1" applyAlignment="1">
      <alignment horizontal="center"/>
    </xf>
    <xf numFmtId="164" fontId="9" fillId="0" borderId="0" xfId="0" applyNumberFormat="1" applyFont="1" applyFill="1" applyBorder="1" applyAlignment="1">
      <alignment horizontal="center"/>
    </xf>
    <xf numFmtId="164" fontId="31" fillId="0" borderId="10" xfId="0" applyNumberFormat="1" applyFont="1" applyFill="1" applyBorder="1" applyAlignment="1">
      <alignment horizontal="right"/>
    </xf>
    <xf numFmtId="164" fontId="9" fillId="0" borderId="24" xfId="0" applyNumberFormat="1" applyFont="1" applyFill="1" applyBorder="1" applyAlignment="1">
      <alignment horizontal="center"/>
    </xf>
    <xf numFmtId="170" fontId="32" fillId="0" borderId="0" xfId="0" applyNumberFormat="1" applyFont="1" applyFill="1" applyBorder="1" applyAlignment="1">
      <alignment horizontal="center" vertical="center" wrapText="1"/>
    </xf>
    <xf numFmtId="164" fontId="10" fillId="0" borderId="1" xfId="0" applyNumberFormat="1" applyFont="1" applyFill="1" applyBorder="1" applyAlignment="1">
      <alignment horizontal="center" vertical="center" wrapText="1"/>
    </xf>
    <xf numFmtId="179" fontId="32" fillId="0" borderId="0" xfId="0" applyNumberFormat="1" applyFont="1" applyFill="1" applyBorder="1" applyAlignment="1">
      <alignment horizontal="center" vertical="center" wrapText="1"/>
    </xf>
    <xf numFmtId="164" fontId="10" fillId="0" borderId="0" xfId="0" applyNumberFormat="1" applyFont="1" applyFill="1" applyBorder="1" applyAlignment="1">
      <alignment horizontal="center" vertical="center" wrapText="1"/>
    </xf>
    <xf numFmtId="179" fontId="32" fillId="0" borderId="14" xfId="0" applyNumberFormat="1" applyFont="1" applyFill="1" applyBorder="1" applyAlignment="1">
      <alignment horizontal="center" vertical="center" wrapText="1"/>
    </xf>
    <xf numFmtId="166" fontId="32" fillId="0" borderId="9" xfId="0" applyNumberFormat="1" applyFont="1" applyFill="1" applyBorder="1" applyAlignment="1">
      <alignment horizontal="center" vertical="center" wrapText="1"/>
    </xf>
    <xf numFmtId="164" fontId="32" fillId="0" borderId="9" xfId="0" applyNumberFormat="1" applyFont="1" applyFill="1" applyBorder="1" applyAlignment="1">
      <alignment horizontal="center" vertical="center" wrapText="1"/>
    </xf>
    <xf numFmtId="164" fontId="10" fillId="0" borderId="9" xfId="0" applyNumberFormat="1" applyFont="1" applyFill="1" applyBorder="1" applyAlignment="1">
      <alignment horizontal="center" vertical="center" wrapText="1"/>
    </xf>
    <xf numFmtId="164" fontId="10" fillId="0" borderId="15" xfId="0" applyNumberFormat="1" applyFont="1" applyFill="1" applyBorder="1" applyAlignment="1">
      <alignment horizontal="center" vertical="center" wrapText="1"/>
    </xf>
    <xf numFmtId="10" fontId="32" fillId="0" borderId="0" xfId="1" applyNumberFormat="1" applyFont="1" applyFill="1" applyBorder="1" applyAlignment="1">
      <alignment horizontal="center" vertical="center" wrapText="1"/>
    </xf>
    <xf numFmtId="170" fontId="32" fillId="0" borderId="14" xfId="0" applyNumberFormat="1" applyFont="1" applyFill="1" applyBorder="1" applyAlignment="1">
      <alignment horizontal="center" vertical="center" wrapText="1"/>
    </xf>
    <xf numFmtId="170" fontId="32" fillId="0" borderId="9" xfId="0" applyNumberFormat="1" applyFont="1" applyFill="1" applyBorder="1" applyAlignment="1">
      <alignment horizontal="center" vertical="center" wrapText="1"/>
    </xf>
    <xf numFmtId="164" fontId="32" fillId="0" borderId="0" xfId="0" applyNumberFormat="1" applyFont="1" applyFill="1" applyBorder="1" applyAlignment="1">
      <alignment horizontal="center" vertical="center" wrapText="1"/>
    </xf>
    <xf numFmtId="168" fontId="32" fillId="0" borderId="94" xfId="0" applyNumberFormat="1" applyFont="1" applyFill="1" applyBorder="1" applyAlignment="1">
      <alignment horizontal="center" vertical="center" wrapText="1"/>
    </xf>
    <xf numFmtId="165" fontId="9" fillId="0" borderId="52" xfId="0" applyNumberFormat="1" applyFont="1" applyFill="1" applyBorder="1"/>
    <xf numFmtId="1" fontId="10" fillId="0" borderId="0" xfId="0" applyNumberFormat="1" applyFont="1" applyFill="1" applyBorder="1" applyAlignment="1">
      <alignment horizontal="center"/>
    </xf>
    <xf numFmtId="0" fontId="10" fillId="0" borderId="0" xfId="0" applyNumberFormat="1" applyFont="1" applyFill="1" applyBorder="1" applyAlignment="1">
      <alignment horizontal="center"/>
    </xf>
    <xf numFmtId="164" fontId="31" fillId="0" borderId="38" xfId="0" applyNumberFormat="1" applyFont="1" applyFill="1" applyBorder="1" applyAlignment="1">
      <alignment horizontal="right"/>
    </xf>
    <xf numFmtId="179" fontId="32" fillId="0" borderId="13" xfId="0" applyNumberFormat="1" applyFont="1" applyFill="1" applyBorder="1" applyAlignment="1">
      <alignment horizontal="center" vertical="center" wrapText="1"/>
    </xf>
    <xf numFmtId="166" fontId="32" fillId="0" borderId="0" xfId="0" applyNumberFormat="1" applyFont="1" applyFill="1" applyBorder="1" applyAlignment="1">
      <alignment horizontal="center" vertical="center" wrapText="1"/>
    </xf>
    <xf numFmtId="170" fontId="32" fillId="0" borderId="13" xfId="0" applyNumberFormat="1" applyFont="1" applyFill="1" applyBorder="1" applyAlignment="1">
      <alignment horizontal="center" vertical="center" wrapText="1"/>
    </xf>
    <xf numFmtId="0" fontId="32" fillId="0" borderId="0" xfId="0" applyNumberFormat="1" applyFont="1" applyFill="1" applyBorder="1" applyAlignment="1">
      <alignment horizontal="center" vertical="center" wrapText="1"/>
    </xf>
    <xf numFmtId="168" fontId="32" fillId="0" borderId="95" xfId="0" applyNumberFormat="1" applyFont="1" applyFill="1" applyBorder="1" applyAlignment="1">
      <alignment horizontal="center" vertical="center" wrapText="1"/>
    </xf>
    <xf numFmtId="165" fontId="9" fillId="0" borderId="49" xfId="0" applyNumberFormat="1" applyFont="1" applyFill="1" applyBorder="1"/>
    <xf numFmtId="1" fontId="10" fillId="0" borderId="50" xfId="0" applyNumberFormat="1" applyFont="1" applyFill="1" applyBorder="1" applyAlignment="1">
      <alignment horizontal="center"/>
    </xf>
    <xf numFmtId="0" fontId="10" fillId="0" borderId="50" xfId="0" applyNumberFormat="1" applyFont="1" applyFill="1" applyBorder="1" applyAlignment="1">
      <alignment horizontal="center"/>
    </xf>
    <xf numFmtId="164" fontId="9" fillId="0" borderId="50" xfId="0" applyNumberFormat="1" applyFont="1" applyFill="1" applyBorder="1" applyAlignment="1">
      <alignment horizontal="center"/>
    </xf>
    <xf numFmtId="164" fontId="9" fillId="0" borderId="58" xfId="0" applyNumberFormat="1" applyFont="1" applyFill="1" applyBorder="1" applyAlignment="1">
      <alignment horizontal="center"/>
    </xf>
    <xf numFmtId="170" fontId="32" fillId="0" borderId="50" xfId="0" applyNumberFormat="1" applyFont="1" applyFill="1" applyBorder="1" applyAlignment="1">
      <alignment horizontal="center" vertical="center" wrapText="1"/>
    </xf>
    <xf numFmtId="164" fontId="10" fillId="0" borderId="77" xfId="0" applyNumberFormat="1" applyFont="1" applyFill="1" applyBorder="1" applyAlignment="1">
      <alignment horizontal="center" vertical="center" wrapText="1"/>
    </xf>
    <xf numFmtId="179" fontId="32" fillId="0" borderId="50" xfId="0" applyNumberFormat="1" applyFont="1" applyFill="1" applyBorder="1" applyAlignment="1">
      <alignment horizontal="center" vertical="center" wrapText="1"/>
    </xf>
    <xf numFmtId="164" fontId="10" fillId="0" borderId="50" xfId="0" applyNumberFormat="1" applyFont="1" applyFill="1" applyBorder="1" applyAlignment="1">
      <alignment horizontal="center" vertical="center" wrapText="1"/>
    </xf>
    <xf numFmtId="179" fontId="32" fillId="0" borderId="76" xfId="0" applyNumberFormat="1" applyFont="1" applyFill="1" applyBorder="1" applyAlignment="1">
      <alignment horizontal="center" vertical="center" wrapText="1"/>
    </xf>
    <xf numFmtId="166" fontId="32" fillId="0" borderId="50" xfId="0" applyNumberFormat="1" applyFont="1" applyFill="1" applyBorder="1" applyAlignment="1">
      <alignment horizontal="center" vertical="center" wrapText="1"/>
    </xf>
    <xf numFmtId="164" fontId="32" fillId="0" borderId="50" xfId="0" applyNumberFormat="1" applyFont="1" applyFill="1" applyBorder="1" applyAlignment="1">
      <alignment horizontal="center" vertical="center" wrapText="1"/>
    </xf>
    <xf numFmtId="10" fontId="32" fillId="0" borderId="50" xfId="1" applyNumberFormat="1" applyFont="1" applyFill="1" applyBorder="1" applyAlignment="1">
      <alignment horizontal="center" vertical="center" wrapText="1"/>
    </xf>
    <xf numFmtId="170" fontId="32" fillId="0" borderId="76" xfId="0" applyNumberFormat="1" applyFont="1" applyFill="1" applyBorder="1" applyAlignment="1">
      <alignment horizontal="center" vertical="center" wrapText="1"/>
    </xf>
    <xf numFmtId="0" fontId="32" fillId="0" borderId="50" xfId="0" applyNumberFormat="1" applyFont="1" applyFill="1" applyBorder="1" applyAlignment="1">
      <alignment horizontal="center" vertical="center" wrapText="1"/>
    </xf>
    <xf numFmtId="168" fontId="32" fillId="0" borderId="96" xfId="0" applyNumberFormat="1" applyFont="1" applyFill="1" applyBorder="1" applyAlignment="1">
      <alignment horizontal="center" vertical="center" wrapText="1"/>
    </xf>
    <xf numFmtId="0" fontId="10" fillId="0" borderId="0" xfId="0" applyNumberFormat="1" applyFont="1"/>
    <xf numFmtId="0" fontId="14" fillId="0" borderId="90" xfId="1" applyNumberFormat="1" applyFont="1" applyFill="1" applyBorder="1" applyAlignment="1">
      <alignment horizontal="center" vertical="center"/>
    </xf>
    <xf numFmtId="0" fontId="12" fillId="0" borderId="0" xfId="0" applyNumberFormat="1" applyFont="1" applyFill="1" applyBorder="1"/>
    <xf numFmtId="0" fontId="12" fillId="0" borderId="0" xfId="0" applyNumberFormat="1" applyFont="1" applyFill="1"/>
    <xf numFmtId="0" fontId="9" fillId="0" borderId="0" xfId="0" applyNumberFormat="1" applyFont="1" applyFill="1" applyBorder="1" applyAlignment="1">
      <alignment horizontal="center" vertical="center" wrapText="1"/>
    </xf>
    <xf numFmtId="0" fontId="9" fillId="0" borderId="0" xfId="0" applyNumberFormat="1" applyFont="1" applyFill="1" applyAlignment="1">
      <alignment horizontal="center" vertical="center" wrapText="1"/>
    </xf>
    <xf numFmtId="164" fontId="31" fillId="0" borderId="10" xfId="0" applyNumberFormat="1" applyFont="1" applyFill="1" applyBorder="1" applyAlignment="1">
      <alignment horizontal="center" vertical="center"/>
    </xf>
    <xf numFmtId="164" fontId="9" fillId="0" borderId="23" xfId="0" applyNumberFormat="1" applyFont="1" applyFill="1" applyBorder="1" applyAlignment="1">
      <alignment horizontal="center"/>
    </xf>
    <xf numFmtId="0" fontId="10" fillId="0" borderId="0" xfId="0" applyNumberFormat="1" applyFont="1" applyFill="1" applyBorder="1"/>
    <xf numFmtId="0" fontId="10" fillId="0" borderId="0" xfId="0" applyNumberFormat="1" applyFont="1" applyFill="1"/>
    <xf numFmtId="164" fontId="31" fillId="0" borderId="38" xfId="0" applyNumberFormat="1" applyFont="1" applyFill="1" applyBorder="1" applyAlignment="1">
      <alignment horizontal="center" vertical="center"/>
    </xf>
    <xf numFmtId="164" fontId="31" fillId="0" borderId="80" xfId="0" applyNumberFormat="1" applyFont="1" applyFill="1" applyBorder="1" applyAlignment="1">
      <alignment horizontal="center" vertical="center"/>
    </xf>
    <xf numFmtId="164" fontId="9" fillId="0" borderId="79" xfId="0" applyNumberFormat="1" applyFont="1" applyFill="1" applyBorder="1" applyAlignment="1">
      <alignment horizontal="center"/>
    </xf>
    <xf numFmtId="165" fontId="10" fillId="0" borderId="0" xfId="0" applyNumberFormat="1" applyFont="1"/>
    <xf numFmtId="1" fontId="10" fillId="0" borderId="0" xfId="0" applyNumberFormat="1" applyFont="1"/>
    <xf numFmtId="164" fontId="10" fillId="0" borderId="0" xfId="0" applyNumberFormat="1" applyFont="1"/>
    <xf numFmtId="164" fontId="9" fillId="0" borderId="0" xfId="0" applyNumberFormat="1" applyFont="1"/>
    <xf numFmtId="164" fontId="32" fillId="0" borderId="0" xfId="0" applyNumberFormat="1" applyFont="1"/>
    <xf numFmtId="10" fontId="32" fillId="0" borderId="0" xfId="1" applyNumberFormat="1" applyFont="1"/>
    <xf numFmtId="164" fontId="32" fillId="0" borderId="0" xfId="0" applyNumberFormat="1" applyFont="1" applyBorder="1"/>
    <xf numFmtId="10" fontId="32" fillId="0" borderId="0" xfId="0" applyNumberFormat="1" applyFont="1" applyBorder="1"/>
    <xf numFmtId="168" fontId="32" fillId="0" borderId="0" xfId="1" applyNumberFormat="1" applyFont="1" applyBorder="1" applyAlignment="1">
      <alignment horizontal="center"/>
    </xf>
    <xf numFmtId="0" fontId="9" fillId="0" borderId="55" xfId="0" applyFont="1" applyBorder="1" applyAlignment="1">
      <alignment horizontal="center"/>
    </xf>
    <xf numFmtId="0" fontId="28" fillId="0" borderId="103" xfId="8" applyFont="1" applyBorder="1" applyAlignment="1">
      <alignment horizontal="center" vertical="center" wrapText="1"/>
    </xf>
    <xf numFmtId="0" fontId="28" fillId="0" borderId="111" xfId="8" applyFont="1" applyBorder="1" applyAlignment="1">
      <alignment horizontal="center" vertical="center" wrapText="1"/>
    </xf>
    <xf numFmtId="0" fontId="9" fillId="0" borderId="0" xfId="0" applyFont="1" applyFill="1" applyBorder="1" applyAlignment="1">
      <alignment horizontal="center" vertical="center" wrapText="1"/>
    </xf>
    <xf numFmtId="0" fontId="10" fillId="0" borderId="0" xfId="0" applyFont="1" applyFill="1" applyBorder="1" applyAlignment="1">
      <alignment vertical="center"/>
    </xf>
    <xf numFmtId="0" fontId="22" fillId="0" borderId="0" xfId="0" applyFont="1"/>
    <xf numFmtId="0" fontId="10" fillId="0" borderId="0" xfId="0" applyFont="1" applyAlignment="1"/>
    <xf numFmtId="0" fontId="23" fillId="0" borderId="0" xfId="8" applyNumberFormat="1" applyFont="1" applyFill="1" applyBorder="1" applyAlignment="1">
      <alignment vertical="center"/>
    </xf>
    <xf numFmtId="0" fontId="10" fillId="0" borderId="0" xfId="0" applyFont="1" applyFill="1" applyBorder="1" applyAlignment="1">
      <alignment vertical="top" wrapText="1"/>
    </xf>
    <xf numFmtId="0" fontId="21" fillId="2" borderId="9" xfId="0" applyNumberFormat="1" applyFont="1" applyFill="1" applyBorder="1" applyAlignment="1">
      <alignment horizontal="left"/>
    </xf>
    <xf numFmtId="0" fontId="24" fillId="2" borderId="9" xfId="8" applyNumberFormat="1" applyFont="1" applyFill="1" applyBorder="1"/>
    <xf numFmtId="0" fontId="35" fillId="2" borderId="0" xfId="8" applyNumberFormat="1" applyFont="1" applyFill="1" applyBorder="1" applyAlignment="1">
      <alignment vertical="center"/>
    </xf>
    <xf numFmtId="0" fontId="33" fillId="2" borderId="9" xfId="0" applyNumberFormat="1" applyFont="1" applyFill="1" applyBorder="1" applyAlignment="1">
      <alignment horizontal="left"/>
    </xf>
    <xf numFmtId="0" fontId="10" fillId="2" borderId="9" xfId="0" applyNumberFormat="1" applyFont="1" applyFill="1" applyBorder="1"/>
    <xf numFmtId="0" fontId="32" fillId="2" borderId="9" xfId="0" applyNumberFormat="1" applyFont="1" applyFill="1" applyBorder="1"/>
    <xf numFmtId="0" fontId="32" fillId="2" borderId="9" xfId="1" applyNumberFormat="1" applyFont="1" applyFill="1" applyBorder="1"/>
    <xf numFmtId="0" fontId="32" fillId="2" borderId="9" xfId="1" applyNumberFormat="1" applyFont="1" applyFill="1" applyBorder="1" applyAlignment="1">
      <alignment horizontal="center"/>
    </xf>
    <xf numFmtId="0" fontId="32" fillId="2" borderId="9" xfId="0" applyNumberFormat="1" applyFont="1" applyFill="1" applyBorder="1" applyAlignment="1">
      <alignment horizontal="center"/>
    </xf>
    <xf numFmtId="0" fontId="10" fillId="2" borderId="9" xfId="0" applyNumberFormat="1" applyFont="1" applyFill="1" applyBorder="1" applyAlignment="1">
      <alignment horizontal="center"/>
    </xf>
    <xf numFmtId="0" fontId="10" fillId="2" borderId="15" xfId="0" applyNumberFormat="1" applyFont="1" applyFill="1" applyBorder="1" applyAlignment="1">
      <alignment horizontal="center"/>
    </xf>
    <xf numFmtId="0" fontId="10" fillId="2" borderId="16" xfId="0" applyNumberFormat="1" applyFont="1" applyFill="1" applyBorder="1"/>
    <xf numFmtId="0" fontId="33" fillId="2" borderId="16" xfId="0" applyNumberFormat="1" applyFont="1" applyFill="1" applyBorder="1" applyAlignment="1">
      <alignment horizontal="left" vertical="top" wrapText="1"/>
    </xf>
    <xf numFmtId="0" fontId="32" fillId="2" borderId="16" xfId="0" applyNumberFormat="1" applyFont="1" applyFill="1" applyBorder="1"/>
    <xf numFmtId="0" fontId="32" fillId="2" borderId="16" xfId="1" applyNumberFormat="1" applyFont="1" applyFill="1" applyBorder="1"/>
    <xf numFmtId="0" fontId="32" fillId="2" borderId="16" xfId="1" applyNumberFormat="1" applyFont="1" applyFill="1" applyBorder="1" applyAlignment="1">
      <alignment horizontal="center"/>
    </xf>
    <xf numFmtId="0" fontId="32" fillId="2" borderId="16" xfId="0" applyNumberFormat="1" applyFont="1" applyFill="1" applyBorder="1" applyAlignment="1">
      <alignment horizontal="center"/>
    </xf>
    <xf numFmtId="0" fontId="10" fillId="2" borderId="16" xfId="0" applyNumberFormat="1" applyFont="1" applyFill="1" applyBorder="1" applyAlignment="1">
      <alignment horizontal="center"/>
    </xf>
    <xf numFmtId="0" fontId="10" fillId="2" borderId="20" xfId="0" applyNumberFormat="1" applyFont="1" applyFill="1" applyBorder="1" applyAlignment="1">
      <alignment horizontal="center"/>
    </xf>
    <xf numFmtId="0" fontId="14" fillId="0" borderId="16" xfId="1" applyNumberFormat="1" applyFont="1" applyBorder="1" applyAlignment="1">
      <alignment horizontal="center" vertical="center"/>
    </xf>
    <xf numFmtId="0" fontId="9" fillId="0" borderId="11" xfId="0" applyNumberFormat="1" applyFont="1" applyBorder="1" applyAlignment="1">
      <alignment horizontal="center" vertical="center" wrapText="1"/>
    </xf>
    <xf numFmtId="0" fontId="9" fillId="0" borderId="9" xfId="0" applyNumberFormat="1" applyFont="1" applyBorder="1" applyAlignment="1">
      <alignment horizontal="center" vertical="center" wrapText="1"/>
    </xf>
    <xf numFmtId="0" fontId="9" fillId="0" borderId="12" xfId="0" applyNumberFormat="1" applyFont="1" applyBorder="1" applyAlignment="1">
      <alignment horizontal="center" vertical="center" wrapText="1"/>
    </xf>
    <xf numFmtId="0" fontId="32" fillId="0" borderId="0" xfId="0" applyNumberFormat="1" applyFont="1" applyBorder="1" applyAlignment="1">
      <alignment horizontal="center" vertical="center" wrapText="1"/>
    </xf>
    <xf numFmtId="0" fontId="32" fillId="0" borderId="13" xfId="0" applyNumberFormat="1" applyFont="1" applyBorder="1" applyAlignment="1">
      <alignment horizontal="center" vertical="center" wrapText="1"/>
    </xf>
    <xf numFmtId="0" fontId="32" fillId="0" borderId="14" xfId="0" applyNumberFormat="1" applyFont="1" applyBorder="1" applyAlignment="1">
      <alignment horizontal="center" vertical="center" wrapText="1"/>
    </xf>
    <xf numFmtId="0" fontId="32" fillId="0" borderId="0" xfId="1" applyNumberFormat="1" applyFont="1" applyBorder="1" applyAlignment="1">
      <alignment horizontal="center" vertical="center" wrapText="1"/>
    </xf>
    <xf numFmtId="0" fontId="32" fillId="0" borderId="9" xfId="0" applyNumberFormat="1" applyFont="1" applyBorder="1" applyAlignment="1">
      <alignment horizontal="center" vertical="center" wrapText="1"/>
    </xf>
    <xf numFmtId="0" fontId="9" fillId="0" borderId="37" xfId="0" applyNumberFormat="1" applyFont="1" applyBorder="1" applyAlignment="1">
      <alignment horizontal="center" vertical="center" wrapText="1"/>
    </xf>
    <xf numFmtId="0" fontId="33" fillId="0" borderId="16" xfId="0" applyNumberFormat="1" applyFont="1" applyFill="1" applyBorder="1" applyAlignment="1">
      <alignment horizontal="right" vertical="center" wrapText="1"/>
    </xf>
    <xf numFmtId="0" fontId="9" fillId="0" borderId="18" xfId="0" applyNumberFormat="1" applyFont="1" applyBorder="1" applyAlignment="1">
      <alignment vertical="center" wrapText="1"/>
    </xf>
    <xf numFmtId="0" fontId="9" fillId="0" borderId="16" xfId="0" applyNumberFormat="1" applyFont="1" applyBorder="1" applyAlignment="1">
      <alignment vertical="center" wrapText="1"/>
    </xf>
    <xf numFmtId="0" fontId="9" fillId="0" borderId="19" xfId="0" applyNumberFormat="1" applyFont="1" applyBorder="1" applyAlignment="1">
      <alignment vertical="center" wrapText="1"/>
    </xf>
    <xf numFmtId="0" fontId="32" fillId="0" borderId="16" xfId="0" applyNumberFormat="1" applyFont="1" applyBorder="1" applyAlignment="1">
      <alignment horizontal="center" vertical="center" wrapText="1"/>
    </xf>
    <xf numFmtId="0" fontId="32" fillId="0" borderId="21" xfId="0" applyNumberFormat="1" applyFont="1" applyBorder="1" applyAlignment="1">
      <alignment horizontal="center" vertical="center" wrapText="1"/>
    </xf>
    <xf numFmtId="0" fontId="32" fillId="0" borderId="22" xfId="1" applyNumberFormat="1" applyFont="1" applyBorder="1" applyAlignment="1">
      <alignment horizontal="center" vertical="center" wrapText="1"/>
    </xf>
    <xf numFmtId="0" fontId="32" fillId="0" borderId="22" xfId="0" applyNumberFormat="1" applyFont="1" applyFill="1" applyBorder="1" applyAlignment="1">
      <alignment horizontal="center" vertical="center" wrapText="1"/>
    </xf>
    <xf numFmtId="165" fontId="9" fillId="0" borderId="0" xfId="0" applyNumberFormat="1" applyFont="1"/>
    <xf numFmtId="0" fontId="10" fillId="0" borderId="0" xfId="0" applyNumberFormat="1" applyFont="1" applyAlignment="1">
      <alignment horizontal="center"/>
    </xf>
    <xf numFmtId="164" fontId="9" fillId="0" borderId="0" xfId="0" applyNumberFormat="1" applyFont="1" applyAlignment="1">
      <alignment horizontal="center"/>
    </xf>
    <xf numFmtId="164" fontId="31" fillId="0" borderId="0" xfId="0" applyNumberFormat="1" applyFont="1" applyBorder="1" applyAlignment="1">
      <alignment horizontal="right"/>
    </xf>
    <xf numFmtId="164" fontId="9" fillId="0" borderId="23" xfId="0" applyNumberFormat="1" applyFont="1" applyBorder="1" applyAlignment="1">
      <alignment horizontal="center"/>
    </xf>
    <xf numFmtId="164" fontId="9" fillId="0" borderId="0" xfId="0" applyNumberFormat="1" applyFont="1" applyBorder="1" applyAlignment="1">
      <alignment horizontal="center"/>
    </xf>
    <xf numFmtId="164" fontId="9" fillId="0" borderId="24" xfId="0" applyNumberFormat="1" applyFont="1" applyBorder="1" applyAlignment="1">
      <alignment horizontal="center"/>
    </xf>
    <xf numFmtId="164" fontId="10" fillId="0" borderId="0" xfId="0" applyNumberFormat="1" applyFont="1" applyBorder="1"/>
    <xf numFmtId="166" fontId="29" fillId="0" borderId="14" xfId="2" applyNumberFormat="1" applyFont="1" applyFill="1" applyBorder="1"/>
    <xf numFmtId="167" fontId="29" fillId="0" borderId="9" xfId="2" applyNumberFormat="1" applyFont="1" applyBorder="1"/>
    <xf numFmtId="164" fontId="10" fillId="0" borderId="9" xfId="0" applyNumberFormat="1" applyFont="1" applyBorder="1"/>
    <xf numFmtId="164" fontId="10" fillId="0" borderId="15" xfId="0" applyNumberFormat="1" applyFont="1" applyBorder="1"/>
    <xf numFmtId="166" fontId="29" fillId="0" borderId="14" xfId="2" applyNumberFormat="1" applyFont="1" applyBorder="1"/>
    <xf numFmtId="166" fontId="29" fillId="0" borderId="9" xfId="2" applyNumberFormat="1" applyFont="1" applyBorder="1"/>
    <xf numFmtId="10" fontId="29" fillId="0" borderId="9" xfId="1" applyNumberFormat="1" applyFont="1" applyBorder="1"/>
    <xf numFmtId="164" fontId="22" fillId="0" borderId="9" xfId="0" applyNumberFormat="1" applyFont="1" applyBorder="1"/>
    <xf numFmtId="164" fontId="22" fillId="0" borderId="0" xfId="0" applyNumberFormat="1" applyFont="1" applyBorder="1"/>
    <xf numFmtId="164" fontId="22" fillId="0" borderId="15" xfId="0" applyNumberFormat="1" applyFont="1" applyBorder="1"/>
    <xf numFmtId="164" fontId="10" fillId="0" borderId="1" xfId="0" applyNumberFormat="1" applyFont="1" applyBorder="1"/>
    <xf numFmtId="168" fontId="32" fillId="0" borderId="0" xfId="1" applyNumberFormat="1" applyFont="1" applyAlignment="1">
      <alignment horizontal="center"/>
    </xf>
    <xf numFmtId="1" fontId="32" fillId="0" borderId="0" xfId="0" applyNumberFormat="1" applyFont="1" applyBorder="1" applyAlignment="1">
      <alignment horizontal="center"/>
    </xf>
    <xf numFmtId="0" fontId="9" fillId="0" borderId="39" xfId="0" applyNumberFormat="1" applyFont="1" applyBorder="1" applyAlignment="1">
      <alignment horizontal="center"/>
    </xf>
    <xf numFmtId="166" fontId="29" fillId="0" borderId="13" xfId="2" applyNumberFormat="1" applyFont="1" applyFill="1" applyBorder="1"/>
    <xf numFmtId="167" fontId="29" fillId="0" borderId="0" xfId="2" applyNumberFormat="1" applyFont="1" applyBorder="1"/>
    <xf numFmtId="166" fontId="29" fillId="0" borderId="13" xfId="2" applyNumberFormat="1" applyFont="1" applyBorder="1"/>
    <xf numFmtId="166" fontId="29" fillId="0" borderId="0" xfId="2" applyNumberFormat="1" applyFont="1" applyBorder="1"/>
    <xf numFmtId="10" fontId="29" fillId="0" borderId="0" xfId="1" applyNumberFormat="1" applyFont="1" applyBorder="1"/>
    <xf numFmtId="164" fontId="22" fillId="0" borderId="1" xfId="0" applyNumberFormat="1" applyFont="1" applyBorder="1"/>
    <xf numFmtId="166" fontId="29" fillId="0" borderId="0" xfId="2" applyNumberFormat="1" applyFont="1" applyFill="1" applyBorder="1"/>
    <xf numFmtId="10" fontId="29" fillId="0" borderId="0" xfId="1" applyNumberFormat="1" applyFont="1" applyFill="1" applyBorder="1"/>
    <xf numFmtId="165" fontId="9" fillId="0" borderId="0" xfId="0" applyNumberFormat="1" applyFont="1" applyBorder="1"/>
    <xf numFmtId="0" fontId="10" fillId="0" borderId="0" xfId="0" applyNumberFormat="1" applyFont="1" applyBorder="1" applyAlignment="1">
      <alignment horizontal="center"/>
    </xf>
    <xf numFmtId="164" fontId="9" fillId="0" borderId="28" xfId="0" applyNumberFormat="1" applyFont="1" applyBorder="1" applyAlignment="1">
      <alignment horizontal="center"/>
    </xf>
    <xf numFmtId="10" fontId="32" fillId="0" borderId="0" xfId="1" applyNumberFormat="1" applyFont="1" applyBorder="1"/>
    <xf numFmtId="165" fontId="9" fillId="0" borderId="29" xfId="0" applyNumberFormat="1" applyFont="1" applyBorder="1"/>
    <xf numFmtId="0" fontId="10" fillId="0" borderId="29" xfId="0" applyNumberFormat="1" applyFont="1" applyBorder="1" applyAlignment="1">
      <alignment horizontal="center"/>
    </xf>
    <xf numFmtId="1" fontId="10" fillId="0" borderId="29" xfId="0" applyNumberFormat="1" applyFont="1" applyBorder="1" applyAlignment="1">
      <alignment horizontal="center"/>
    </xf>
    <xf numFmtId="164" fontId="31" fillId="0" borderId="29" xfId="0" applyNumberFormat="1" applyFont="1" applyBorder="1" applyAlignment="1">
      <alignment horizontal="right"/>
    </xf>
    <xf numFmtId="164" fontId="9" fillId="0" borderId="30" xfId="0" applyNumberFormat="1" applyFont="1" applyBorder="1" applyAlignment="1">
      <alignment horizontal="center"/>
    </xf>
    <xf numFmtId="164" fontId="9" fillId="0" borderId="29" xfId="0" applyNumberFormat="1" applyFont="1" applyBorder="1" applyAlignment="1">
      <alignment horizontal="center"/>
    </xf>
    <xf numFmtId="164" fontId="9" fillId="0" borderId="31" xfId="0" applyNumberFormat="1" applyFont="1" applyBorder="1" applyAlignment="1">
      <alignment horizontal="center"/>
    </xf>
    <xf numFmtId="164" fontId="10" fillId="0" borderId="29" xfId="0" applyNumberFormat="1" applyFont="1" applyBorder="1"/>
    <xf numFmtId="166" fontId="29" fillId="0" borderId="32" xfId="2" applyNumberFormat="1" applyFont="1" applyFill="1" applyBorder="1"/>
    <xf numFmtId="164" fontId="10" fillId="0" borderId="33" xfId="0" applyNumberFormat="1" applyFont="1" applyBorder="1"/>
    <xf numFmtId="10" fontId="32" fillId="0" borderId="29" xfId="1" applyNumberFormat="1" applyFont="1" applyBorder="1"/>
    <xf numFmtId="166" fontId="29" fillId="0" borderId="32" xfId="2" applyNumberFormat="1" applyFont="1" applyBorder="1"/>
    <xf numFmtId="10" fontId="29" fillId="0" borderId="29" xfId="1" applyNumberFormat="1" applyFont="1" applyFill="1" applyBorder="1"/>
    <xf numFmtId="164" fontId="22" fillId="0" borderId="29" xfId="0" applyNumberFormat="1" applyFont="1" applyBorder="1"/>
    <xf numFmtId="164" fontId="22" fillId="0" borderId="33" xfId="0" applyNumberFormat="1" applyFont="1" applyBorder="1"/>
    <xf numFmtId="168" fontId="32" fillId="0" borderId="29" xfId="1" applyNumberFormat="1" applyFont="1" applyBorder="1" applyAlignment="1">
      <alignment horizontal="center"/>
    </xf>
    <xf numFmtId="1" fontId="10" fillId="0" borderId="0" xfId="0" applyNumberFormat="1" applyFont="1" applyBorder="1" applyAlignment="1">
      <alignment horizontal="center"/>
    </xf>
    <xf numFmtId="167" fontId="29" fillId="0" borderId="0" xfId="0" applyNumberFormat="1" applyFont="1" applyFill="1" applyBorder="1"/>
    <xf numFmtId="166" fontId="29" fillId="0" borderId="0" xfId="0" applyNumberFormat="1" applyFont="1" applyFill="1" applyBorder="1"/>
    <xf numFmtId="165" fontId="9" fillId="0" borderId="28" xfId="0" applyNumberFormat="1" applyFont="1" applyBorder="1"/>
    <xf numFmtId="0" fontId="10" fillId="0" borderId="28" xfId="0" applyNumberFormat="1" applyFont="1" applyBorder="1" applyAlignment="1">
      <alignment horizontal="center"/>
    </xf>
    <xf numFmtId="1" fontId="10" fillId="0" borderId="28" xfId="0" applyNumberFormat="1" applyFont="1" applyBorder="1" applyAlignment="1">
      <alignment horizontal="center"/>
    </xf>
    <xf numFmtId="164" fontId="31" fillId="0" borderId="28" xfId="0" applyNumberFormat="1" applyFont="1" applyBorder="1" applyAlignment="1">
      <alignment horizontal="right"/>
    </xf>
    <xf numFmtId="164" fontId="9" fillId="0" borderId="34" xfId="0" applyNumberFormat="1" applyFont="1" applyBorder="1" applyAlignment="1">
      <alignment horizontal="center"/>
    </xf>
    <xf numFmtId="164" fontId="9" fillId="0" borderId="35" xfId="0" applyNumberFormat="1" applyFont="1" applyBorder="1" applyAlignment="1">
      <alignment horizontal="center"/>
    </xf>
    <xf numFmtId="164" fontId="10" fillId="0" borderId="28" xfId="0" applyNumberFormat="1" applyFont="1" applyBorder="1"/>
    <xf numFmtId="166" fontId="29" fillId="0" borderId="27" xfId="2" applyNumberFormat="1" applyFont="1" applyFill="1" applyBorder="1"/>
    <xf numFmtId="164" fontId="10" fillId="0" borderId="36" xfId="0" applyNumberFormat="1" applyFont="1" applyBorder="1"/>
    <xf numFmtId="10" fontId="32" fillId="0" borderId="28" xfId="1" applyNumberFormat="1" applyFont="1" applyBorder="1"/>
    <xf numFmtId="166" fontId="29" fillId="0" borderId="27" xfId="2" applyNumberFormat="1" applyFont="1" applyBorder="1"/>
    <xf numFmtId="164" fontId="22" fillId="0" borderId="28" xfId="0" applyNumberFormat="1" applyFont="1" applyBorder="1"/>
    <xf numFmtId="164" fontId="22" fillId="0" borderId="36" xfId="0" applyNumberFormat="1" applyFont="1" applyBorder="1"/>
    <xf numFmtId="168" fontId="32" fillId="0" borderId="28" xfId="1" applyNumberFormat="1" applyFont="1" applyBorder="1" applyAlignment="1">
      <alignment horizontal="center"/>
    </xf>
    <xf numFmtId="0" fontId="9" fillId="0" borderId="41" xfId="0" applyNumberFormat="1" applyFont="1" applyBorder="1" applyAlignment="1">
      <alignment horizontal="center"/>
    </xf>
    <xf numFmtId="166" fontId="29" fillId="0" borderId="13" xfId="0" applyNumberFormat="1" applyFont="1" applyFill="1" applyBorder="1"/>
    <xf numFmtId="10" fontId="29" fillId="0" borderId="29" xfId="1" applyNumberFormat="1" applyFont="1" applyBorder="1"/>
    <xf numFmtId="10" fontId="29" fillId="0" borderId="28" xfId="1" applyNumberFormat="1" applyFont="1" applyFill="1" applyBorder="1"/>
    <xf numFmtId="0" fontId="21" fillId="3" borderId="9" xfId="0" applyNumberFormat="1" applyFont="1" applyFill="1" applyBorder="1" applyAlignment="1">
      <alignment horizontal="left"/>
    </xf>
    <xf numFmtId="0" fontId="10" fillId="3" borderId="9" xfId="0" applyNumberFormat="1" applyFont="1" applyFill="1" applyBorder="1"/>
    <xf numFmtId="0" fontId="35" fillId="3" borderId="0" xfId="8" applyNumberFormat="1" applyFont="1" applyFill="1" applyBorder="1" applyAlignment="1">
      <alignment vertical="center"/>
    </xf>
    <xf numFmtId="0" fontId="33" fillId="3" borderId="9" xfId="0" applyNumberFormat="1" applyFont="1" applyFill="1" applyBorder="1" applyAlignment="1">
      <alignment horizontal="left"/>
    </xf>
    <xf numFmtId="0" fontId="32" fillId="3" borderId="9" xfId="0" applyNumberFormat="1" applyFont="1" applyFill="1" applyBorder="1"/>
    <xf numFmtId="0" fontId="32" fillId="3" borderId="9" xfId="1" applyNumberFormat="1" applyFont="1" applyFill="1" applyBorder="1" applyAlignment="1">
      <alignment horizontal="center"/>
    </xf>
    <xf numFmtId="0" fontId="32" fillId="3" borderId="9" xfId="0" applyNumberFormat="1" applyFont="1" applyFill="1" applyBorder="1" applyAlignment="1">
      <alignment horizontal="center"/>
    </xf>
    <xf numFmtId="0" fontId="10" fillId="3" borderId="9" xfId="0" applyNumberFormat="1" applyFont="1" applyFill="1" applyBorder="1" applyAlignment="1">
      <alignment horizontal="center"/>
    </xf>
    <xf numFmtId="0" fontId="10" fillId="3" borderId="15" xfId="0" applyNumberFormat="1" applyFont="1" applyFill="1" applyBorder="1" applyAlignment="1">
      <alignment horizontal="center"/>
    </xf>
    <xf numFmtId="0" fontId="21" fillId="3" borderId="16" xfId="0" applyNumberFormat="1" applyFont="1" applyFill="1" applyBorder="1" applyAlignment="1">
      <alignment vertical="top"/>
    </xf>
    <xf numFmtId="0" fontId="18" fillId="3" borderId="16" xfId="0" applyNumberFormat="1" applyFont="1" applyFill="1" applyBorder="1" applyAlignment="1">
      <alignment vertical="center"/>
    </xf>
    <xf numFmtId="0" fontId="10" fillId="3" borderId="16" xfId="0" applyNumberFormat="1" applyFont="1" applyFill="1" applyBorder="1"/>
    <xf numFmtId="0" fontId="33" fillId="3" borderId="16" xfId="0" applyNumberFormat="1" applyFont="1" applyFill="1" applyBorder="1" applyAlignment="1">
      <alignment horizontal="left" vertical="top" wrapText="1"/>
    </xf>
    <xf numFmtId="0" fontId="32" fillId="3" borderId="16" xfId="0" applyNumberFormat="1" applyFont="1" applyFill="1" applyBorder="1"/>
    <xf numFmtId="0" fontId="32" fillId="3" borderId="16" xfId="1" applyNumberFormat="1" applyFont="1" applyFill="1" applyBorder="1" applyAlignment="1">
      <alignment horizontal="center"/>
    </xf>
    <xf numFmtId="0" fontId="32" fillId="3" borderId="16" xfId="0" applyNumberFormat="1" applyFont="1" applyFill="1" applyBorder="1" applyAlignment="1">
      <alignment horizontal="center"/>
    </xf>
    <xf numFmtId="0" fontId="10" fillId="3" borderId="16" xfId="0" applyNumberFormat="1" applyFont="1" applyFill="1" applyBorder="1" applyAlignment="1">
      <alignment horizontal="center"/>
    </xf>
    <xf numFmtId="0" fontId="10" fillId="3" borderId="20" xfId="0" applyNumberFormat="1" applyFont="1" applyFill="1" applyBorder="1" applyAlignment="1">
      <alignment horizontal="center"/>
    </xf>
    <xf numFmtId="0" fontId="14" fillId="0" borderId="2" xfId="1" applyNumberFormat="1" applyFont="1" applyFill="1" applyBorder="1" applyAlignment="1">
      <alignment horizontal="center" vertical="center"/>
    </xf>
    <xf numFmtId="0" fontId="9" fillId="0" borderId="11" xfId="0" applyNumberFormat="1" applyFont="1" applyFill="1" applyBorder="1" applyAlignment="1">
      <alignment horizontal="center" vertical="center" wrapText="1"/>
    </xf>
    <xf numFmtId="0" fontId="9" fillId="0" borderId="12" xfId="0" applyNumberFormat="1" applyFont="1" applyFill="1" applyBorder="1" applyAlignment="1">
      <alignment horizontal="center" vertical="center" wrapText="1"/>
    </xf>
    <xf numFmtId="0" fontId="32" fillId="0" borderId="9" xfId="1" applyNumberFormat="1" applyFont="1" applyFill="1" applyBorder="1" applyAlignment="1">
      <alignment horizontal="center" vertical="center" wrapText="1"/>
    </xf>
    <xf numFmtId="0" fontId="9" fillId="0" borderId="18" xfId="0" applyNumberFormat="1" applyFont="1" applyFill="1" applyBorder="1" applyAlignment="1">
      <alignment vertical="center" wrapText="1"/>
    </xf>
    <xf numFmtId="0" fontId="9" fillId="0" borderId="19" xfId="0" applyNumberFormat="1" applyFont="1" applyFill="1" applyBorder="1" applyAlignment="1">
      <alignment vertical="center" wrapText="1"/>
    </xf>
    <xf numFmtId="0" fontId="32" fillId="0" borderId="22" xfId="1" applyNumberFormat="1" applyFont="1" applyFill="1" applyBorder="1" applyAlignment="1">
      <alignment horizontal="center" vertical="center" wrapText="1"/>
    </xf>
    <xf numFmtId="0" fontId="32" fillId="0" borderId="20" xfId="0" applyNumberFormat="1" applyFont="1" applyFill="1" applyBorder="1" applyAlignment="1">
      <alignment horizontal="center" vertical="center" wrapText="1"/>
    </xf>
    <xf numFmtId="170" fontId="29" fillId="0" borderId="0" xfId="2" applyNumberFormat="1" applyFont="1" applyFill="1" applyBorder="1" applyAlignment="1">
      <alignment horizontal="right"/>
    </xf>
    <xf numFmtId="0" fontId="29" fillId="0" borderId="13" xfId="2" applyFont="1" applyFill="1" applyBorder="1"/>
    <xf numFmtId="0" fontId="29" fillId="0" borderId="0" xfId="2" applyFont="1" applyFill="1" applyBorder="1"/>
    <xf numFmtId="169" fontId="29" fillId="0" borderId="0" xfId="3" applyNumberFormat="1" applyFont="1" applyFill="1" applyBorder="1"/>
    <xf numFmtId="170" fontId="32" fillId="0" borderId="13" xfId="2" applyNumberFormat="1" applyFont="1" applyFill="1" applyBorder="1"/>
    <xf numFmtId="170" fontId="29" fillId="0" borderId="0" xfId="2" applyNumberFormat="1" applyFont="1" applyFill="1" applyBorder="1"/>
    <xf numFmtId="0" fontId="29" fillId="0" borderId="27" xfId="2" applyFont="1" applyFill="1" applyBorder="1"/>
    <xf numFmtId="0" fontId="29" fillId="0" borderId="28" xfId="2" applyFont="1" applyFill="1" applyBorder="1"/>
    <xf numFmtId="169" fontId="29" fillId="0" borderId="28" xfId="3" applyNumberFormat="1" applyFont="1" applyFill="1" applyBorder="1"/>
    <xf numFmtId="170" fontId="32" fillId="0" borderId="27" xfId="2" applyNumberFormat="1" applyFont="1" applyFill="1" applyBorder="1"/>
    <xf numFmtId="170" fontId="29" fillId="0" borderId="28" xfId="2" applyNumberFormat="1" applyFont="1" applyFill="1" applyBorder="1"/>
    <xf numFmtId="0" fontId="29" fillId="0" borderId="32" xfId="2" applyFont="1" applyFill="1" applyBorder="1"/>
    <xf numFmtId="0" fontId="29" fillId="0" borderId="29" xfId="0" applyFont="1" applyFill="1" applyBorder="1"/>
    <xf numFmtId="169" fontId="29" fillId="0" borderId="29" xfId="0" applyNumberFormat="1" applyFont="1" applyFill="1" applyBorder="1"/>
    <xf numFmtId="170" fontId="32" fillId="0" borderId="32" xfId="2" applyNumberFormat="1" applyFont="1" applyFill="1" applyBorder="1"/>
    <xf numFmtId="170" fontId="29" fillId="0" borderId="29" xfId="2" applyNumberFormat="1" applyFont="1" applyFill="1" applyBorder="1"/>
    <xf numFmtId="0" fontId="29" fillId="0" borderId="0" xfId="0" applyFont="1" applyFill="1" applyBorder="1"/>
    <xf numFmtId="169" fontId="29" fillId="0" borderId="0" xfId="0" applyNumberFormat="1" applyFont="1" applyFill="1" applyBorder="1"/>
    <xf numFmtId="170" fontId="29" fillId="0" borderId="0" xfId="0" applyNumberFormat="1" applyFont="1" applyFill="1" applyBorder="1"/>
    <xf numFmtId="169" fontId="29" fillId="0" borderId="28" xfId="0" applyNumberFormat="1" applyFont="1" applyFill="1" applyBorder="1"/>
    <xf numFmtId="170" fontId="29" fillId="0" borderId="28" xfId="0" applyNumberFormat="1" applyFont="1" applyFill="1" applyBorder="1"/>
    <xf numFmtId="0" fontId="29" fillId="0" borderId="32" xfId="0" applyFont="1" applyFill="1" applyBorder="1"/>
    <xf numFmtId="170" fontId="32" fillId="0" borderId="29" xfId="0" applyNumberFormat="1" applyFont="1" applyFill="1" applyBorder="1"/>
    <xf numFmtId="170" fontId="32" fillId="0" borderId="0" xfId="0" applyNumberFormat="1" applyFont="1" applyFill="1" applyBorder="1"/>
    <xf numFmtId="0" fontId="9" fillId="4" borderId="9" xfId="0" applyNumberFormat="1" applyFont="1" applyFill="1" applyBorder="1"/>
    <xf numFmtId="0" fontId="35" fillId="4" borderId="0" xfId="8" applyNumberFormat="1" applyFont="1" applyFill="1" applyBorder="1" applyAlignment="1">
      <alignment vertical="center"/>
    </xf>
    <xf numFmtId="0" fontId="33" fillId="4" borderId="9" xfId="0" applyNumberFormat="1" applyFont="1" applyFill="1" applyBorder="1" applyAlignment="1">
      <alignment horizontal="left"/>
    </xf>
    <xf numFmtId="0" fontId="10" fillId="4" borderId="9" xfId="0" applyNumberFormat="1" applyFont="1" applyFill="1" applyBorder="1"/>
    <xf numFmtId="0" fontId="32" fillId="4" borderId="9" xfId="0" applyNumberFormat="1" applyFont="1" applyFill="1" applyBorder="1"/>
    <xf numFmtId="10" fontId="32" fillId="4" borderId="9" xfId="1" applyNumberFormat="1" applyFont="1" applyFill="1" applyBorder="1"/>
    <xf numFmtId="0" fontId="32" fillId="4" borderId="9" xfId="1" applyNumberFormat="1" applyFont="1" applyFill="1" applyBorder="1" applyAlignment="1">
      <alignment horizontal="center"/>
    </xf>
    <xf numFmtId="0" fontId="32" fillId="4" borderId="9" xfId="0" applyNumberFormat="1" applyFont="1" applyFill="1" applyBorder="1" applyAlignment="1">
      <alignment horizontal="center"/>
    </xf>
    <xf numFmtId="0" fontId="10" fillId="4" borderId="9" xfId="0" applyNumberFormat="1" applyFont="1" applyFill="1" applyBorder="1" applyAlignment="1">
      <alignment horizontal="center"/>
    </xf>
    <xf numFmtId="0" fontId="10" fillId="4" borderId="15" xfId="0" applyNumberFormat="1" applyFont="1" applyFill="1" applyBorder="1" applyAlignment="1">
      <alignment horizontal="center"/>
    </xf>
    <xf numFmtId="0" fontId="9" fillId="4" borderId="16" xfId="0" applyNumberFormat="1" applyFont="1" applyFill="1" applyBorder="1"/>
    <xf numFmtId="0" fontId="33" fillId="4" borderId="16" xfId="0" applyNumberFormat="1" applyFont="1" applyFill="1" applyBorder="1" applyAlignment="1">
      <alignment horizontal="left" vertical="top" wrapText="1"/>
    </xf>
    <xf numFmtId="0" fontId="10" fillId="4" borderId="16" xfId="0" applyNumberFormat="1" applyFont="1" applyFill="1" applyBorder="1"/>
    <xf numFmtId="0" fontId="32" fillId="4" borderId="16" xfId="0" applyNumberFormat="1" applyFont="1" applyFill="1" applyBorder="1"/>
    <xf numFmtId="0" fontId="32" fillId="4" borderId="16" xfId="1" applyNumberFormat="1" applyFont="1" applyFill="1" applyBorder="1"/>
    <xf numFmtId="0" fontId="32" fillId="4" borderId="16" xfId="1" applyNumberFormat="1" applyFont="1" applyFill="1" applyBorder="1" applyAlignment="1">
      <alignment horizontal="center"/>
    </xf>
    <xf numFmtId="0" fontId="32" fillId="4" borderId="16" xfId="0" applyNumberFormat="1" applyFont="1" applyFill="1" applyBorder="1" applyAlignment="1">
      <alignment horizontal="center"/>
    </xf>
    <xf numFmtId="0" fontId="10" fillId="4" borderId="16" xfId="0" applyNumberFormat="1" applyFont="1" applyFill="1" applyBorder="1" applyAlignment="1">
      <alignment horizontal="center"/>
    </xf>
    <xf numFmtId="0" fontId="10" fillId="4" borderId="20" xfId="0" applyNumberFormat="1" applyFont="1" applyFill="1" applyBorder="1" applyAlignment="1">
      <alignment horizontal="center"/>
    </xf>
    <xf numFmtId="0" fontId="12" fillId="0" borderId="0" xfId="0" applyNumberFormat="1" applyFont="1" applyBorder="1"/>
    <xf numFmtId="0" fontId="12" fillId="0" borderId="0" xfId="0" applyNumberFormat="1" applyFont="1"/>
    <xf numFmtId="0" fontId="32" fillId="0" borderId="13" xfId="0" applyNumberFormat="1" applyFont="1" applyFill="1" applyBorder="1" applyAlignment="1">
      <alignment horizontal="center" vertical="center" wrapText="1"/>
    </xf>
    <xf numFmtId="0" fontId="32" fillId="0" borderId="0" xfId="1" applyNumberFormat="1" applyFont="1" applyFill="1" applyBorder="1" applyAlignment="1">
      <alignment horizontal="center" vertical="center" wrapText="1"/>
    </xf>
    <xf numFmtId="0" fontId="32" fillId="0" borderId="37" xfId="1" applyNumberFormat="1" applyFont="1" applyFill="1" applyBorder="1" applyAlignment="1">
      <alignment horizontal="center" vertical="center" wrapText="1"/>
    </xf>
    <xf numFmtId="0" fontId="9" fillId="0" borderId="0" xfId="0" applyNumberFormat="1" applyFont="1" applyBorder="1" applyAlignment="1">
      <alignment horizontal="center" vertical="center" wrapText="1"/>
    </xf>
    <xf numFmtId="0" fontId="9" fillId="0" borderId="0" xfId="0" applyNumberFormat="1" applyFont="1" applyAlignment="1">
      <alignment horizontal="center" vertical="center" wrapText="1"/>
    </xf>
    <xf numFmtId="0" fontId="9" fillId="0" borderId="0" xfId="0" applyNumberFormat="1" applyFont="1" applyBorder="1" applyAlignment="1">
      <alignment vertical="center" wrapText="1"/>
    </xf>
    <xf numFmtId="165" fontId="9" fillId="0" borderId="9" xfId="0" applyNumberFormat="1" applyFont="1" applyBorder="1"/>
    <xf numFmtId="0" fontId="10" fillId="0" borderId="9" xfId="0" applyNumberFormat="1" applyFont="1" applyBorder="1" applyAlignment="1">
      <alignment horizontal="center"/>
    </xf>
    <xf numFmtId="164" fontId="9" fillId="0" borderId="11" xfId="0" applyNumberFormat="1" applyFont="1" applyFill="1" applyBorder="1" applyAlignment="1">
      <alignment horizontal="center"/>
    </xf>
    <xf numFmtId="164" fontId="9" fillId="0" borderId="12" xfId="0" applyNumberFormat="1" applyFont="1" applyFill="1" applyBorder="1" applyAlignment="1">
      <alignment horizontal="center"/>
    </xf>
    <xf numFmtId="164" fontId="10" fillId="0" borderId="15" xfId="0" applyNumberFormat="1" applyFont="1" applyFill="1" applyBorder="1"/>
    <xf numFmtId="166" fontId="32" fillId="0" borderId="14" xfId="2" applyNumberFormat="1" applyFont="1" applyFill="1" applyBorder="1"/>
    <xf numFmtId="166" fontId="32" fillId="0" borderId="9" xfId="2" applyNumberFormat="1" applyFont="1" applyFill="1" applyBorder="1"/>
    <xf numFmtId="164" fontId="10" fillId="0" borderId="9" xfId="0" applyNumberFormat="1" applyFont="1" applyFill="1" applyBorder="1"/>
    <xf numFmtId="10" fontId="32" fillId="0" borderId="9" xfId="1" applyNumberFormat="1" applyFont="1" applyFill="1" applyBorder="1"/>
    <xf numFmtId="164" fontId="10" fillId="0" borderId="1" xfId="0" applyNumberFormat="1" applyFont="1" applyFill="1" applyBorder="1"/>
    <xf numFmtId="168" fontId="32" fillId="0" borderId="37" xfId="1" applyNumberFormat="1" applyFont="1" applyFill="1" applyBorder="1" applyAlignment="1">
      <alignment horizontal="center"/>
    </xf>
    <xf numFmtId="0" fontId="10" fillId="0" borderId="0" xfId="0" applyNumberFormat="1" applyFont="1" applyBorder="1"/>
    <xf numFmtId="166" fontId="32" fillId="0" borderId="13" xfId="2" applyNumberFormat="1" applyFont="1" applyFill="1" applyBorder="1"/>
    <xf numFmtId="166" fontId="32" fillId="0" borderId="0" xfId="2" applyNumberFormat="1" applyFont="1" applyFill="1" applyBorder="1"/>
    <xf numFmtId="164" fontId="10" fillId="0" borderId="0" xfId="0" applyNumberFormat="1" applyFont="1" applyFill="1" applyBorder="1"/>
    <xf numFmtId="10" fontId="32" fillId="0" borderId="0" xfId="1" applyNumberFormat="1" applyFont="1" applyFill="1" applyBorder="1"/>
    <xf numFmtId="168" fontId="32" fillId="0" borderId="39" xfId="1" applyNumberFormat="1" applyFont="1" applyFill="1" applyBorder="1" applyAlignment="1">
      <alignment horizontal="center"/>
    </xf>
    <xf numFmtId="1" fontId="29" fillId="0" borderId="13" xfId="2" applyNumberFormat="1" applyFont="1" applyFill="1" applyBorder="1" applyAlignment="1">
      <alignment horizontal="center"/>
    </xf>
    <xf numFmtId="164" fontId="31" fillId="0" borderId="40" xfId="0" applyNumberFormat="1" applyFont="1" applyFill="1" applyBorder="1" applyAlignment="1">
      <alignment horizontal="right"/>
    </xf>
    <xf numFmtId="164" fontId="9" fillId="0" borderId="34" xfId="0" applyNumberFormat="1" applyFont="1" applyFill="1" applyBorder="1" applyAlignment="1">
      <alignment horizontal="center"/>
    </xf>
    <xf numFmtId="164" fontId="9" fillId="0" borderId="28" xfId="0" applyNumberFormat="1" applyFont="1" applyFill="1" applyBorder="1" applyAlignment="1">
      <alignment horizontal="center"/>
    </xf>
    <xf numFmtId="164" fontId="9" fillId="0" borderId="35" xfId="0" applyNumberFormat="1" applyFont="1" applyFill="1" applyBorder="1" applyAlignment="1">
      <alignment horizontal="center"/>
    </xf>
    <xf numFmtId="164" fontId="10" fillId="0" borderId="36" xfId="0" applyNumberFormat="1" applyFont="1" applyFill="1" applyBorder="1"/>
    <xf numFmtId="166" fontId="32" fillId="0" borderId="27" xfId="2" applyNumberFormat="1" applyFont="1" applyFill="1" applyBorder="1"/>
    <xf numFmtId="166" fontId="32" fillId="0" borderId="28" xfId="2" applyNumberFormat="1" applyFont="1" applyFill="1" applyBorder="1"/>
    <xf numFmtId="164" fontId="10" fillId="0" borderId="28" xfId="0" applyNumberFormat="1" applyFont="1" applyFill="1" applyBorder="1"/>
    <xf numFmtId="10" fontId="32" fillId="0" borderId="28" xfId="1" applyNumberFormat="1" applyFont="1" applyFill="1" applyBorder="1"/>
    <xf numFmtId="168" fontId="32" fillId="0" borderId="41" xfId="1" applyNumberFormat="1" applyFont="1" applyFill="1" applyBorder="1" applyAlignment="1">
      <alignment horizontal="center"/>
    </xf>
    <xf numFmtId="1" fontId="29" fillId="0" borderId="27" xfId="2" applyNumberFormat="1" applyFont="1" applyFill="1" applyBorder="1" applyAlignment="1">
      <alignment horizontal="center"/>
    </xf>
    <xf numFmtId="164" fontId="9" fillId="0" borderId="29" xfId="0" applyNumberFormat="1" applyFont="1" applyFill="1" applyBorder="1" applyAlignment="1">
      <alignment horizontal="center"/>
    </xf>
    <xf numFmtId="164" fontId="10" fillId="0" borderId="29" xfId="0" applyNumberFormat="1" applyFont="1" applyFill="1" applyBorder="1"/>
    <xf numFmtId="164" fontId="10" fillId="0" borderId="33" xfId="0" applyNumberFormat="1" applyFont="1" applyFill="1" applyBorder="1"/>
    <xf numFmtId="164" fontId="9" fillId="0" borderId="30" xfId="0" applyNumberFormat="1" applyFont="1" applyFill="1" applyBorder="1" applyAlignment="1">
      <alignment horizontal="center"/>
    </xf>
    <xf numFmtId="164" fontId="9" fillId="0" borderId="31" xfId="0" applyNumberFormat="1" applyFont="1" applyFill="1" applyBorder="1" applyAlignment="1">
      <alignment horizontal="center"/>
    </xf>
    <xf numFmtId="168" fontId="32" fillId="0" borderId="42" xfId="1" applyNumberFormat="1" applyFont="1" applyFill="1" applyBorder="1" applyAlignment="1">
      <alignment horizontal="center"/>
    </xf>
    <xf numFmtId="1" fontId="29" fillId="0" borderId="32" xfId="2" applyNumberFormat="1" applyFont="1" applyFill="1" applyBorder="1" applyAlignment="1">
      <alignment horizontal="center"/>
    </xf>
    <xf numFmtId="0" fontId="32" fillId="0" borderId="0" xfId="0" applyNumberFormat="1" applyFont="1"/>
    <xf numFmtId="0" fontId="32" fillId="0" borderId="0" xfId="0" applyNumberFormat="1" applyFont="1" applyAlignment="1">
      <alignment horizontal="center"/>
    </xf>
    <xf numFmtId="0" fontId="25" fillId="5" borderId="9" xfId="0" applyNumberFormat="1" applyFont="1" applyFill="1" applyBorder="1" applyAlignment="1">
      <alignment horizontal="left"/>
    </xf>
    <xf numFmtId="0" fontId="28" fillId="5" borderId="0" xfId="8" applyNumberFormat="1" applyFont="1" applyFill="1" applyBorder="1" applyAlignment="1">
      <alignment vertical="center"/>
    </xf>
    <xf numFmtId="0" fontId="29" fillId="5" borderId="9" xfId="0" applyNumberFormat="1" applyFont="1" applyFill="1" applyBorder="1" applyAlignment="1">
      <alignment horizontal="left"/>
    </xf>
    <xf numFmtId="0" fontId="22" fillId="5" borderId="9" xfId="0" applyNumberFormat="1" applyFont="1" applyFill="1" applyBorder="1"/>
    <xf numFmtId="0" fontId="29" fillId="5" borderId="9" xfId="1" applyNumberFormat="1" applyFont="1" applyFill="1" applyBorder="1"/>
    <xf numFmtId="0" fontId="29" fillId="5" borderId="9" xfId="0" applyNumberFormat="1" applyFont="1" applyFill="1" applyBorder="1"/>
    <xf numFmtId="0" fontId="29" fillId="5" borderId="9" xfId="1" applyNumberFormat="1" applyFont="1" applyFill="1" applyBorder="1" applyAlignment="1">
      <alignment horizontal="center"/>
    </xf>
    <xf numFmtId="0" fontId="29" fillId="5" borderId="9" xfId="0" applyNumberFormat="1" applyFont="1" applyFill="1" applyBorder="1" applyAlignment="1">
      <alignment horizontal="center"/>
    </xf>
    <xf numFmtId="0" fontId="22" fillId="5" borderId="9" xfId="0" applyNumberFormat="1" applyFont="1" applyFill="1" applyBorder="1" applyAlignment="1">
      <alignment horizontal="center"/>
    </xf>
    <xf numFmtId="0" fontId="22" fillId="5" borderId="15" xfId="0" applyNumberFormat="1" applyFont="1" applyFill="1" applyBorder="1" applyAlignment="1">
      <alignment horizontal="center"/>
    </xf>
    <xf numFmtId="0" fontId="25" fillId="5" borderId="16" xfId="0" applyNumberFormat="1" applyFont="1" applyFill="1" applyBorder="1" applyAlignment="1">
      <alignment vertical="top"/>
    </xf>
    <xf numFmtId="0" fontId="36" fillId="5" borderId="16" xfId="0" applyNumberFormat="1" applyFont="1" applyFill="1" applyBorder="1" applyAlignment="1">
      <alignment vertical="center"/>
    </xf>
    <xf numFmtId="0" fontId="36" fillId="5" borderId="16" xfId="0" applyNumberFormat="1" applyFont="1" applyFill="1" applyBorder="1"/>
    <xf numFmtId="0" fontId="27" fillId="5" borderId="16" xfId="0" applyNumberFormat="1" applyFont="1" applyFill="1" applyBorder="1"/>
    <xf numFmtId="0" fontId="29" fillId="5" borderId="16" xfId="0" applyNumberFormat="1" applyFont="1" applyFill="1" applyBorder="1" applyAlignment="1">
      <alignment horizontal="left" vertical="top" wrapText="1"/>
    </xf>
    <xf numFmtId="0" fontId="22" fillId="5" borderId="16" xfId="0" applyNumberFormat="1" applyFont="1" applyFill="1" applyBorder="1"/>
    <xf numFmtId="0" fontId="29" fillId="5" borderId="16" xfId="1" applyNumberFormat="1" applyFont="1" applyFill="1" applyBorder="1"/>
    <xf numFmtId="0" fontId="29" fillId="5" borderId="16" xfId="0" applyNumberFormat="1" applyFont="1" applyFill="1" applyBorder="1"/>
    <xf numFmtId="0" fontId="29" fillId="5" borderId="16" xfId="1" applyNumberFormat="1" applyFont="1" applyFill="1" applyBorder="1" applyAlignment="1">
      <alignment horizontal="center"/>
    </xf>
    <xf numFmtId="0" fontId="29" fillId="5" borderId="16" xfId="0" applyNumberFormat="1" applyFont="1" applyFill="1" applyBorder="1" applyAlignment="1">
      <alignment horizontal="center"/>
    </xf>
    <xf numFmtId="0" fontId="22" fillId="5" borderId="16" xfId="0" applyNumberFormat="1" applyFont="1" applyFill="1" applyBorder="1" applyAlignment="1">
      <alignment horizontal="center"/>
    </xf>
    <xf numFmtId="0" fontId="22" fillId="5" borderId="20" xfId="0" applyNumberFormat="1" applyFont="1" applyFill="1" applyBorder="1" applyAlignment="1">
      <alignment horizontal="center"/>
    </xf>
    <xf numFmtId="0" fontId="33" fillId="0" borderId="16" xfId="0" applyNumberFormat="1" applyFont="1" applyFill="1" applyBorder="1" applyAlignment="1">
      <alignment horizontal="center" vertical="center" wrapText="1"/>
    </xf>
    <xf numFmtId="164" fontId="29" fillId="0" borderId="0" xfId="2" applyNumberFormat="1" applyFont="1" applyFill="1" applyBorder="1"/>
    <xf numFmtId="170" fontId="29" fillId="0" borderId="0" xfId="1" applyNumberFormat="1" applyFont="1" applyFill="1" applyBorder="1"/>
    <xf numFmtId="170" fontId="29" fillId="0" borderId="13" xfId="2" applyNumberFormat="1" applyFont="1" applyFill="1" applyBorder="1"/>
    <xf numFmtId="168" fontId="32" fillId="0" borderId="1" xfId="1" applyNumberFormat="1" applyFont="1" applyFill="1" applyBorder="1" applyAlignment="1">
      <alignment horizontal="center"/>
    </xf>
    <xf numFmtId="10" fontId="29" fillId="0" borderId="32" xfId="1" applyNumberFormat="1" applyFont="1" applyFill="1" applyBorder="1"/>
    <xf numFmtId="164" fontId="29" fillId="0" borderId="0" xfId="0" applyNumberFormat="1" applyFont="1" applyFill="1" applyBorder="1"/>
    <xf numFmtId="10" fontId="29" fillId="0" borderId="13" xfId="1" applyNumberFormat="1" applyFont="1" applyFill="1" applyBorder="1"/>
    <xf numFmtId="10" fontId="29" fillId="0" borderId="0" xfId="0" applyNumberFormat="1" applyFont="1" applyFill="1" applyBorder="1"/>
    <xf numFmtId="164" fontId="29" fillId="0" borderId="28" xfId="0" applyNumberFormat="1" applyFont="1" applyFill="1" applyBorder="1"/>
    <xf numFmtId="10" fontId="29" fillId="0" borderId="27" xfId="1" applyNumberFormat="1" applyFont="1" applyFill="1" applyBorder="1"/>
    <xf numFmtId="10" fontId="29" fillId="0" borderId="28" xfId="0" applyNumberFormat="1" applyFont="1" applyFill="1" applyBorder="1"/>
    <xf numFmtId="168" fontId="32" fillId="0" borderId="36" xfId="1" applyNumberFormat="1" applyFont="1" applyFill="1" applyBorder="1" applyAlignment="1">
      <alignment horizontal="center"/>
    </xf>
    <xf numFmtId="170" fontId="29" fillId="0" borderId="29" xfId="1" applyNumberFormat="1" applyFont="1" applyFill="1" applyBorder="1"/>
    <xf numFmtId="164" fontId="29" fillId="0" borderId="28" xfId="2" applyNumberFormat="1" applyFont="1" applyFill="1" applyBorder="1"/>
    <xf numFmtId="170" fontId="29" fillId="0" borderId="28" xfId="1" applyNumberFormat="1" applyFont="1" applyFill="1" applyBorder="1"/>
    <xf numFmtId="164" fontId="31" fillId="0" borderId="0" xfId="0" applyNumberFormat="1" applyFont="1" applyFill="1" applyBorder="1" applyAlignment="1">
      <alignment horizontal="right"/>
    </xf>
    <xf numFmtId="10" fontId="32" fillId="0" borderId="0" xfId="0" applyNumberFormat="1" applyFont="1"/>
    <xf numFmtId="170" fontId="32" fillId="0" borderId="0" xfId="0" applyNumberFormat="1" applyFont="1"/>
    <xf numFmtId="0" fontId="21" fillId="8" borderId="0" xfId="0" applyNumberFormat="1" applyFont="1" applyFill="1" applyBorder="1" applyAlignment="1">
      <alignment horizontal="left"/>
    </xf>
    <xf numFmtId="164" fontId="12" fillId="8" borderId="0" xfId="0" applyNumberFormat="1" applyFont="1" applyFill="1"/>
    <xf numFmtId="0" fontId="33" fillId="8" borderId="0" xfId="0" applyNumberFormat="1" applyFont="1" applyFill="1" applyBorder="1" applyAlignment="1">
      <alignment horizontal="left"/>
    </xf>
    <xf numFmtId="0" fontId="10" fillId="8" borderId="0" xfId="0" applyNumberFormat="1" applyFont="1" applyFill="1" applyBorder="1"/>
    <xf numFmtId="0" fontId="32" fillId="8" borderId="0" xfId="0" applyNumberFormat="1" applyFont="1" applyFill="1" applyBorder="1"/>
    <xf numFmtId="170" fontId="32" fillId="8" borderId="0" xfId="0" applyNumberFormat="1" applyFont="1" applyFill="1" applyBorder="1"/>
    <xf numFmtId="0" fontId="32" fillId="8" borderId="0" xfId="1" applyNumberFormat="1" applyFont="1" applyFill="1" applyBorder="1" applyAlignment="1">
      <alignment horizontal="center"/>
    </xf>
    <xf numFmtId="0" fontId="32" fillId="8" borderId="9" xfId="0" applyNumberFormat="1" applyFont="1" applyFill="1" applyBorder="1"/>
    <xf numFmtId="0" fontId="32" fillId="8" borderId="9" xfId="0" applyNumberFormat="1" applyFont="1" applyFill="1" applyBorder="1" applyAlignment="1">
      <alignment horizontal="center"/>
    </xf>
    <xf numFmtId="0" fontId="21" fillId="8" borderId="16" xfId="0" applyNumberFormat="1" applyFont="1" applyFill="1" applyBorder="1" applyAlignment="1">
      <alignment vertical="top"/>
    </xf>
    <xf numFmtId="0" fontId="18" fillId="8" borderId="0" xfId="0" applyNumberFormat="1" applyFont="1" applyFill="1" applyBorder="1" applyAlignment="1">
      <alignment vertical="center"/>
    </xf>
    <xf numFmtId="0" fontId="12" fillId="8" borderId="0" xfId="0" applyNumberFormat="1" applyFont="1" applyFill="1" applyBorder="1"/>
    <xf numFmtId="0" fontId="33" fillId="8" borderId="0" xfId="0" applyNumberFormat="1" applyFont="1" applyFill="1" applyBorder="1" applyAlignment="1">
      <alignment horizontal="left" vertical="top" wrapText="1"/>
    </xf>
    <xf numFmtId="0" fontId="32" fillId="8" borderId="16" xfId="0" applyNumberFormat="1" applyFont="1" applyFill="1" applyBorder="1"/>
    <xf numFmtId="0" fontId="32" fillId="8" borderId="16" xfId="0" applyNumberFormat="1" applyFont="1" applyFill="1" applyBorder="1" applyAlignment="1">
      <alignment horizontal="center"/>
    </xf>
    <xf numFmtId="170" fontId="29" fillId="0" borderId="14" xfId="2" applyNumberFormat="1" applyFont="1" applyFill="1" applyBorder="1"/>
    <xf numFmtId="10" fontId="29" fillId="0" borderId="14" xfId="1" applyNumberFormat="1" applyFont="1" applyFill="1" applyBorder="1"/>
    <xf numFmtId="10" fontId="29" fillId="0" borderId="9" xfId="1" applyNumberFormat="1" applyFont="1" applyFill="1" applyBorder="1"/>
    <xf numFmtId="170" fontId="29" fillId="0" borderId="9" xfId="2" applyNumberFormat="1" applyFont="1" applyFill="1" applyBorder="1"/>
    <xf numFmtId="170" fontId="29" fillId="0" borderId="9" xfId="1" applyNumberFormat="1" applyFont="1" applyFill="1" applyBorder="1"/>
    <xf numFmtId="164" fontId="22" fillId="0" borderId="9" xfId="0" applyNumberFormat="1" applyFont="1" applyFill="1" applyBorder="1"/>
    <xf numFmtId="171" fontId="29" fillId="0" borderId="0" xfId="2" applyNumberFormat="1" applyFont="1" applyFill="1" applyBorder="1" applyAlignment="1">
      <alignment horizontal="center"/>
    </xf>
    <xf numFmtId="164" fontId="22" fillId="0" borderId="0" xfId="0" applyNumberFormat="1" applyFont="1" applyFill="1" applyBorder="1"/>
    <xf numFmtId="170" fontId="29" fillId="0" borderId="13" xfId="1" applyNumberFormat="1" applyFont="1" applyFill="1" applyBorder="1"/>
    <xf numFmtId="165" fontId="9" fillId="0" borderId="0" xfId="0" applyNumberFormat="1" applyFont="1" applyFill="1" applyBorder="1"/>
    <xf numFmtId="165" fontId="9" fillId="0" borderId="29" xfId="0" applyNumberFormat="1" applyFont="1" applyFill="1" applyBorder="1"/>
    <xf numFmtId="0" fontId="10" fillId="0" borderId="29" xfId="0" applyNumberFormat="1" applyFont="1" applyFill="1" applyBorder="1" applyAlignment="1">
      <alignment horizontal="center"/>
    </xf>
    <xf numFmtId="164" fontId="31" fillId="0" borderId="29" xfId="0" applyNumberFormat="1" applyFont="1" applyFill="1" applyBorder="1" applyAlignment="1">
      <alignment horizontal="right"/>
    </xf>
    <xf numFmtId="170" fontId="29" fillId="0" borderId="32" xfId="2" applyNumberFormat="1" applyFont="1" applyFill="1" applyBorder="1"/>
    <xf numFmtId="170" fontId="29" fillId="0" borderId="32" xfId="1" applyNumberFormat="1" applyFont="1" applyFill="1" applyBorder="1"/>
    <xf numFmtId="164" fontId="22" fillId="0" borderId="29" xfId="0" applyNumberFormat="1" applyFont="1" applyFill="1" applyBorder="1"/>
    <xf numFmtId="171" fontId="29" fillId="0" borderId="29" xfId="2" applyNumberFormat="1" applyFont="1" applyFill="1" applyBorder="1" applyAlignment="1">
      <alignment horizontal="center"/>
    </xf>
    <xf numFmtId="165" fontId="9" fillId="0" borderId="28" xfId="0" applyNumberFormat="1" applyFont="1" applyFill="1" applyBorder="1"/>
    <xf numFmtId="0" fontId="10" fillId="0" borderId="28" xfId="0" applyNumberFormat="1" applyFont="1" applyFill="1" applyBorder="1" applyAlignment="1">
      <alignment horizontal="center"/>
    </xf>
    <xf numFmtId="164" fontId="31" fillId="0" borderId="28" xfId="0" applyNumberFormat="1" applyFont="1" applyFill="1" applyBorder="1" applyAlignment="1">
      <alignment horizontal="right"/>
    </xf>
    <xf numFmtId="170" fontId="29" fillId="0" borderId="27" xfId="2" applyNumberFormat="1" applyFont="1" applyFill="1" applyBorder="1"/>
    <xf numFmtId="170" fontId="29" fillId="0" borderId="27" xfId="1" applyNumberFormat="1" applyFont="1" applyFill="1" applyBorder="1"/>
    <xf numFmtId="164" fontId="22" fillId="0" borderId="28" xfId="0" applyNumberFormat="1" applyFont="1" applyFill="1" applyBorder="1"/>
    <xf numFmtId="171" fontId="29" fillId="0" borderId="28" xfId="2" applyNumberFormat="1" applyFont="1" applyFill="1" applyBorder="1" applyAlignment="1">
      <alignment horizontal="center"/>
    </xf>
    <xf numFmtId="165" fontId="10" fillId="0" borderId="0" xfId="0" applyNumberFormat="1" applyFont="1" applyFill="1"/>
    <xf numFmtId="164" fontId="9" fillId="0" borderId="0" xfId="0" applyNumberFormat="1" applyFont="1" applyFill="1"/>
    <xf numFmtId="164" fontId="10" fillId="0" borderId="0" xfId="0" applyNumberFormat="1" applyFont="1" applyFill="1"/>
    <xf numFmtId="170" fontId="32" fillId="0" borderId="0" xfId="0" applyNumberFormat="1" applyFont="1" applyFill="1"/>
    <xf numFmtId="164" fontId="32" fillId="0" borderId="0" xfId="0" applyNumberFormat="1" applyFont="1" applyFill="1"/>
    <xf numFmtId="168" fontId="32" fillId="0" borderId="0" xfId="1" applyNumberFormat="1" applyFont="1" applyFill="1" applyAlignment="1">
      <alignment horizontal="center"/>
    </xf>
    <xf numFmtId="171" fontId="32" fillId="0" borderId="0" xfId="0" applyNumberFormat="1" applyFont="1" applyFill="1"/>
    <xf numFmtId="171" fontId="32" fillId="0" borderId="0" xfId="0" applyNumberFormat="1" applyFont="1" applyFill="1" applyAlignment="1">
      <alignment horizontal="center"/>
    </xf>
    <xf numFmtId="171" fontId="32" fillId="0" borderId="0" xfId="0" applyNumberFormat="1" applyFont="1"/>
    <xf numFmtId="171" fontId="32" fillId="0" borderId="0" xfId="0" applyNumberFormat="1" applyFont="1" applyAlignment="1">
      <alignment horizontal="center"/>
    </xf>
    <xf numFmtId="0" fontId="21" fillId="13" borderId="0" xfId="0" applyNumberFormat="1" applyFont="1" applyFill="1" applyBorder="1" applyAlignment="1">
      <alignment horizontal="left" vertical="center"/>
    </xf>
    <xf numFmtId="164" fontId="12" fillId="13" borderId="0" xfId="0" applyNumberFormat="1" applyFont="1" applyFill="1"/>
    <xf numFmtId="0" fontId="33" fillId="13" borderId="0" xfId="0" applyNumberFormat="1" applyFont="1" applyFill="1" applyBorder="1" applyAlignment="1">
      <alignment horizontal="left"/>
    </xf>
    <xf numFmtId="0" fontId="10" fillId="13" borderId="0" xfId="0" applyNumberFormat="1" applyFont="1" applyFill="1" applyBorder="1"/>
    <xf numFmtId="0" fontId="32" fillId="13" borderId="0" xfId="1" applyNumberFormat="1" applyFont="1" applyFill="1" applyBorder="1"/>
    <xf numFmtId="0" fontId="32" fillId="13" borderId="0" xfId="0" applyNumberFormat="1" applyFont="1" applyFill="1" applyBorder="1"/>
    <xf numFmtId="0" fontId="32" fillId="13" borderId="0" xfId="1" applyNumberFormat="1" applyFont="1" applyFill="1" applyBorder="1" applyAlignment="1">
      <alignment horizontal="center"/>
    </xf>
    <xf numFmtId="0" fontId="32" fillId="13" borderId="9" xfId="0" applyNumberFormat="1" applyFont="1" applyFill="1" applyBorder="1"/>
    <xf numFmtId="0" fontId="32" fillId="13" borderId="9" xfId="0" applyNumberFormat="1" applyFont="1" applyFill="1" applyBorder="1" applyAlignment="1">
      <alignment horizontal="center"/>
    </xf>
    <xf numFmtId="0" fontId="21" fillId="13" borderId="16" xfId="0" applyNumberFormat="1" applyFont="1" applyFill="1" applyBorder="1" applyAlignment="1">
      <alignment vertical="top"/>
    </xf>
    <xf numFmtId="0" fontId="18" fillId="13" borderId="0" xfId="0" applyNumberFormat="1" applyFont="1" applyFill="1" applyBorder="1" applyAlignment="1">
      <alignment vertical="center"/>
    </xf>
    <xf numFmtId="0" fontId="12" fillId="13" borderId="0" xfId="0" applyNumberFormat="1" applyFont="1" applyFill="1" applyBorder="1"/>
    <xf numFmtId="0" fontId="33" fillId="13" borderId="0" xfId="0" applyNumberFormat="1" applyFont="1" applyFill="1" applyBorder="1" applyAlignment="1">
      <alignment horizontal="left" vertical="top" wrapText="1"/>
    </xf>
    <xf numFmtId="0" fontId="32" fillId="13" borderId="16" xfId="0" applyNumberFormat="1" applyFont="1" applyFill="1" applyBorder="1"/>
    <xf numFmtId="0" fontId="32" fillId="13" borderId="16" xfId="0" applyNumberFormat="1" applyFont="1" applyFill="1" applyBorder="1" applyAlignment="1">
      <alignment horizontal="center"/>
    </xf>
    <xf numFmtId="0" fontId="25" fillId="0" borderId="2" xfId="1" applyNumberFormat="1" applyFont="1" applyFill="1" applyBorder="1" applyAlignment="1">
      <alignment horizontal="center" vertical="center"/>
    </xf>
    <xf numFmtId="0" fontId="22" fillId="0" borderId="0" xfId="0" applyNumberFormat="1" applyFont="1" applyFill="1" applyBorder="1"/>
    <xf numFmtId="0" fontId="22" fillId="0" borderId="0" xfId="0" applyNumberFormat="1" applyFont="1" applyFill="1"/>
    <xf numFmtId="0" fontId="27" fillId="0" borderId="9" xfId="0" applyNumberFormat="1" applyFont="1" applyFill="1" applyBorder="1" applyAlignment="1">
      <alignment horizontal="center" vertical="center" wrapText="1"/>
    </xf>
    <xf numFmtId="0" fontId="37" fillId="0" borderId="10" xfId="0" applyNumberFormat="1" applyFont="1" applyFill="1" applyBorder="1" applyAlignment="1">
      <alignment horizontal="center" vertical="center" wrapText="1"/>
    </xf>
    <xf numFmtId="0" fontId="27" fillId="0" borderId="11" xfId="0" applyNumberFormat="1" applyFont="1" applyFill="1" applyBorder="1" applyAlignment="1">
      <alignment horizontal="center" vertical="center" wrapText="1"/>
    </xf>
    <xf numFmtId="0" fontId="27" fillId="0" borderId="12" xfId="0" applyNumberFormat="1" applyFont="1" applyFill="1" applyBorder="1" applyAlignment="1">
      <alignment horizontal="center" vertical="center" wrapText="1"/>
    </xf>
    <xf numFmtId="0" fontId="29" fillId="0" borderId="0" xfId="0" applyNumberFormat="1" applyFont="1" applyFill="1" applyBorder="1" applyAlignment="1">
      <alignment horizontal="center" vertical="center" wrapText="1"/>
    </xf>
    <xf numFmtId="0" fontId="29" fillId="0" borderId="9" xfId="1" applyNumberFormat="1" applyFont="1" applyFill="1" applyBorder="1" applyAlignment="1">
      <alignment horizontal="center" vertical="center" wrapText="1"/>
    </xf>
    <xf numFmtId="0" fontId="29" fillId="0" borderId="9" xfId="0" applyNumberFormat="1" applyFont="1" applyFill="1" applyBorder="1" applyAlignment="1">
      <alignment horizontal="center" vertical="center" wrapText="1"/>
    </xf>
    <xf numFmtId="0" fontId="29" fillId="0" borderId="14" xfId="0" applyNumberFormat="1" applyFont="1" applyFill="1" applyBorder="1" applyAlignment="1">
      <alignment horizontal="center" vertical="center" wrapText="1"/>
    </xf>
    <xf numFmtId="0" fontId="27" fillId="0" borderId="0" xfId="0" applyNumberFormat="1" applyFont="1" applyFill="1" applyBorder="1" applyAlignment="1">
      <alignment horizontal="center" vertical="center" wrapText="1"/>
    </xf>
    <xf numFmtId="0" fontId="27" fillId="0" borderId="0" xfId="0" applyNumberFormat="1" applyFont="1" applyFill="1" applyAlignment="1">
      <alignment horizontal="center" vertical="center" wrapText="1"/>
    </xf>
    <xf numFmtId="0" fontId="27" fillId="0" borderId="16" xfId="0" applyNumberFormat="1" applyFont="1" applyFill="1" applyBorder="1" applyAlignment="1">
      <alignment vertical="center" wrapText="1"/>
    </xf>
    <xf numFmtId="0" fontId="29" fillId="0" borderId="16" xfId="0" applyNumberFormat="1" applyFont="1" applyFill="1" applyBorder="1" applyAlignment="1">
      <alignment horizontal="center" vertical="center" wrapText="1"/>
    </xf>
    <xf numFmtId="0" fontId="27" fillId="0" borderId="17" xfId="0" applyNumberFormat="1" applyFont="1" applyFill="1" applyBorder="1" applyAlignment="1">
      <alignment horizontal="center" vertical="center" wrapText="1"/>
    </xf>
    <xf numFmtId="0" fontId="27" fillId="0" borderId="18" xfId="0" applyNumberFormat="1" applyFont="1" applyFill="1" applyBorder="1" applyAlignment="1">
      <alignment vertical="center" wrapText="1"/>
    </xf>
    <xf numFmtId="0" fontId="27" fillId="0" borderId="19" xfId="0" applyNumberFormat="1" applyFont="1" applyFill="1" applyBorder="1" applyAlignment="1">
      <alignment vertical="center" wrapText="1"/>
    </xf>
    <xf numFmtId="0" fontId="29" fillId="0" borderId="21" xfId="0" applyNumberFormat="1" applyFont="1" applyFill="1" applyBorder="1" applyAlignment="1">
      <alignment horizontal="center" vertical="center" wrapText="1"/>
    </xf>
    <xf numFmtId="0" fontId="29" fillId="0" borderId="16" xfId="1" applyNumberFormat="1" applyFont="1" applyFill="1" applyBorder="1" applyAlignment="1">
      <alignment horizontal="center" vertical="center" wrapText="1"/>
    </xf>
    <xf numFmtId="0" fontId="29" fillId="0" borderId="22" xfId="1" applyNumberFormat="1" applyFont="1" applyFill="1" applyBorder="1" applyAlignment="1">
      <alignment horizontal="center" vertical="center" wrapText="1"/>
    </xf>
    <xf numFmtId="164" fontId="37" fillId="0" borderId="0" xfId="0" applyNumberFormat="1" applyFont="1" applyFill="1" applyBorder="1" applyAlignment="1">
      <alignment horizontal="right"/>
    </xf>
    <xf numFmtId="164" fontId="27" fillId="0" borderId="23" xfId="0" applyNumberFormat="1" applyFont="1" applyFill="1" applyBorder="1" applyAlignment="1">
      <alignment horizontal="center"/>
    </xf>
    <xf numFmtId="164" fontId="27" fillId="0" borderId="0" xfId="0" applyNumberFormat="1" applyFont="1" applyFill="1" applyBorder="1" applyAlignment="1">
      <alignment horizontal="center"/>
    </xf>
    <xf numFmtId="164" fontId="27" fillId="0" borderId="24" xfId="0" applyNumberFormat="1" applyFont="1" applyFill="1" applyBorder="1" applyAlignment="1">
      <alignment horizontal="center"/>
    </xf>
    <xf numFmtId="164" fontId="22" fillId="0" borderId="0" xfId="2" applyNumberFormat="1" applyFont="1" applyFill="1" applyBorder="1"/>
    <xf numFmtId="169" fontId="29" fillId="0" borderId="13" xfId="2" applyNumberFormat="1" applyFont="1" applyFill="1" applyBorder="1"/>
    <xf numFmtId="2" fontId="22" fillId="0" borderId="1" xfId="0" applyNumberFormat="1" applyFont="1" applyFill="1" applyBorder="1"/>
    <xf numFmtId="168" fontId="29" fillId="0" borderId="0" xfId="1" applyNumberFormat="1" applyFont="1" applyFill="1" applyBorder="1" applyAlignment="1">
      <alignment horizontal="center"/>
    </xf>
    <xf numFmtId="165" fontId="27" fillId="0" borderId="0" xfId="0" applyNumberFormat="1" applyFont="1" applyFill="1" applyBorder="1"/>
    <xf numFmtId="0" fontId="22" fillId="0" borderId="0" xfId="0" applyNumberFormat="1" applyFont="1" applyFill="1" applyBorder="1" applyAlignment="1">
      <alignment horizontal="center"/>
    </xf>
    <xf numFmtId="165" fontId="27" fillId="0" borderId="29" xfId="0" applyNumberFormat="1" applyFont="1" applyFill="1" applyBorder="1"/>
    <xf numFmtId="0" fontId="22" fillId="0" borderId="29" xfId="0" applyNumberFormat="1" applyFont="1" applyFill="1" applyBorder="1" applyAlignment="1">
      <alignment horizontal="center"/>
    </xf>
    <xf numFmtId="164" fontId="37" fillId="0" borderId="29" xfId="0" applyNumberFormat="1" applyFont="1" applyFill="1" applyBorder="1" applyAlignment="1">
      <alignment horizontal="right"/>
    </xf>
    <xf numFmtId="164" fontId="27" fillId="0" borderId="30" xfId="0" applyNumberFormat="1" applyFont="1" applyFill="1" applyBorder="1" applyAlignment="1">
      <alignment horizontal="center"/>
    </xf>
    <xf numFmtId="164" fontId="27" fillId="0" borderId="29" xfId="0" applyNumberFormat="1" applyFont="1" applyFill="1" applyBorder="1" applyAlignment="1">
      <alignment horizontal="center"/>
    </xf>
    <xf numFmtId="164" fontId="27" fillId="0" borderId="31" xfId="0" applyNumberFormat="1" applyFont="1" applyFill="1" applyBorder="1" applyAlignment="1">
      <alignment horizontal="center"/>
    </xf>
    <xf numFmtId="164" fontId="22" fillId="0" borderId="29" xfId="2" applyNumberFormat="1" applyFont="1" applyFill="1" applyBorder="1"/>
    <xf numFmtId="169" fontId="29" fillId="0" borderId="32" xfId="2" applyNumberFormat="1" applyFont="1" applyFill="1" applyBorder="1"/>
    <xf numFmtId="2" fontId="22" fillId="0" borderId="33" xfId="0" applyNumberFormat="1" applyFont="1" applyFill="1" applyBorder="1"/>
    <xf numFmtId="168" fontId="29" fillId="0" borderId="29" xfId="1" applyNumberFormat="1" applyFont="1" applyFill="1" applyBorder="1" applyAlignment="1">
      <alignment horizontal="center"/>
    </xf>
    <xf numFmtId="165" fontId="27" fillId="0" borderId="28" xfId="0" applyNumberFormat="1" applyFont="1" applyFill="1" applyBorder="1"/>
    <xf numFmtId="0" fontId="22" fillId="0" borderId="28" xfId="0" applyNumberFormat="1" applyFont="1" applyFill="1" applyBorder="1" applyAlignment="1">
      <alignment horizontal="center"/>
    </xf>
    <xf numFmtId="164" fontId="37" fillId="0" borderId="28" xfId="0" applyNumberFormat="1" applyFont="1" applyFill="1" applyBorder="1" applyAlignment="1">
      <alignment horizontal="right"/>
    </xf>
    <xf numFmtId="164" fontId="27" fillId="0" borderId="34" xfId="0" applyNumberFormat="1" applyFont="1" applyFill="1" applyBorder="1" applyAlignment="1">
      <alignment horizontal="center"/>
    </xf>
    <xf numFmtId="164" fontId="27" fillId="0" borderId="28" xfId="0" applyNumberFormat="1" applyFont="1" applyFill="1" applyBorder="1" applyAlignment="1">
      <alignment horizontal="center"/>
    </xf>
    <xf numFmtId="164" fontId="27" fillId="0" borderId="35" xfId="0" applyNumberFormat="1" applyFont="1" applyFill="1" applyBorder="1" applyAlignment="1">
      <alignment horizontal="center"/>
    </xf>
    <xf numFmtId="164" fontId="22" fillId="0" borderId="28" xfId="2" applyNumberFormat="1" applyFont="1" applyFill="1" applyBorder="1"/>
    <xf numFmtId="169" fontId="29" fillId="0" borderId="27" xfId="2" applyNumberFormat="1" applyFont="1" applyFill="1" applyBorder="1"/>
    <xf numFmtId="2" fontId="22" fillId="0" borderId="36" xfId="0" applyNumberFormat="1" applyFont="1" applyFill="1" applyBorder="1"/>
    <xf numFmtId="168" fontId="29" fillId="0" borderId="28" xfId="1" applyNumberFormat="1" applyFont="1" applyFill="1" applyBorder="1" applyAlignment="1">
      <alignment horizontal="center"/>
    </xf>
    <xf numFmtId="10" fontId="32" fillId="0" borderId="0" xfId="1" applyNumberFormat="1" applyFont="1" applyFill="1"/>
    <xf numFmtId="169" fontId="32" fillId="0" borderId="0" xfId="0" applyNumberFormat="1" applyFont="1" applyFill="1"/>
    <xf numFmtId="2" fontId="10" fillId="0" borderId="0" xfId="0" applyNumberFormat="1" applyFont="1" applyFill="1"/>
    <xf numFmtId="2" fontId="32" fillId="0" borderId="0" xfId="0" applyNumberFormat="1" applyFont="1" applyFill="1"/>
    <xf numFmtId="2" fontId="32" fillId="0" borderId="0" xfId="0" applyNumberFormat="1" applyFont="1" applyFill="1" applyAlignment="1">
      <alignment horizontal="center"/>
    </xf>
    <xf numFmtId="170" fontId="32" fillId="0" borderId="0" xfId="0" applyNumberFormat="1" applyFont="1" applyBorder="1"/>
    <xf numFmtId="169" fontId="32" fillId="0" borderId="0" xfId="0" applyNumberFormat="1" applyFont="1"/>
    <xf numFmtId="2" fontId="10" fillId="0" borderId="0" xfId="0" applyNumberFormat="1" applyFont="1"/>
    <xf numFmtId="2" fontId="32" fillId="0" borderId="0" xfId="0" applyNumberFormat="1" applyFont="1"/>
    <xf numFmtId="2" fontId="32" fillId="0" borderId="0" xfId="0" applyNumberFormat="1" applyFont="1" applyAlignment="1">
      <alignment horizontal="center"/>
    </xf>
    <xf numFmtId="0" fontId="21" fillId="9" borderId="0" xfId="0" applyNumberFormat="1" applyFont="1" applyFill="1" applyBorder="1" applyAlignment="1">
      <alignment horizontal="left"/>
    </xf>
    <xf numFmtId="0" fontId="12" fillId="9" borderId="0" xfId="0" applyNumberFormat="1" applyFont="1" applyFill="1"/>
    <xf numFmtId="0" fontId="33" fillId="9" borderId="0" xfId="0" applyNumberFormat="1" applyFont="1" applyFill="1" applyBorder="1" applyAlignment="1">
      <alignment horizontal="left"/>
    </xf>
    <xf numFmtId="0" fontId="10" fillId="9" borderId="0" xfId="0" applyNumberFormat="1" applyFont="1" applyFill="1" applyBorder="1"/>
    <xf numFmtId="0" fontId="32" fillId="9" borderId="0" xfId="1" applyNumberFormat="1" applyFont="1" applyFill="1" applyBorder="1"/>
    <xf numFmtId="0" fontId="32" fillId="9" borderId="0" xfId="0" applyNumberFormat="1" applyFont="1" applyFill="1" applyBorder="1"/>
    <xf numFmtId="0" fontId="32" fillId="9" borderId="0" xfId="1" applyNumberFormat="1" applyFont="1" applyFill="1" applyBorder="1" applyAlignment="1">
      <alignment horizontal="center"/>
    </xf>
    <xf numFmtId="0" fontId="32" fillId="9" borderId="9" xfId="0" applyNumberFormat="1" applyFont="1" applyFill="1" applyBorder="1"/>
    <xf numFmtId="0" fontId="32" fillId="9" borderId="9" xfId="0" applyNumberFormat="1" applyFont="1" applyFill="1" applyBorder="1" applyAlignment="1">
      <alignment horizontal="center"/>
    </xf>
    <xf numFmtId="0" fontId="21" fillId="9" borderId="16" xfId="0" applyNumberFormat="1" applyFont="1" applyFill="1" applyBorder="1" applyAlignment="1">
      <alignment vertical="top"/>
    </xf>
    <xf numFmtId="0" fontId="18" fillId="9" borderId="0" xfId="0" applyNumberFormat="1" applyFont="1" applyFill="1" applyBorder="1" applyAlignment="1">
      <alignment vertical="center"/>
    </xf>
    <xf numFmtId="0" fontId="12" fillId="9" borderId="0" xfId="0" applyNumberFormat="1" applyFont="1" applyFill="1" applyBorder="1"/>
    <xf numFmtId="0" fontId="33" fillId="9" borderId="0" xfId="0" applyNumberFormat="1" applyFont="1" applyFill="1" applyBorder="1" applyAlignment="1">
      <alignment horizontal="left" vertical="top" wrapText="1"/>
    </xf>
    <xf numFmtId="0" fontId="32" fillId="9" borderId="16" xfId="0" applyNumberFormat="1" applyFont="1" applyFill="1" applyBorder="1"/>
    <xf numFmtId="0" fontId="32" fillId="9" borderId="16" xfId="0" applyNumberFormat="1" applyFont="1" applyFill="1" applyBorder="1" applyAlignment="1">
      <alignment horizontal="center"/>
    </xf>
    <xf numFmtId="0" fontId="29" fillId="0" borderId="13" xfId="0" applyNumberFormat="1" applyFont="1" applyFill="1" applyBorder="1" applyAlignment="1">
      <alignment horizontal="center" vertical="center" wrapText="1"/>
    </xf>
    <xf numFmtId="0" fontId="29" fillId="0" borderId="0" xfId="1" applyNumberFormat="1" applyFont="1" applyFill="1" applyBorder="1" applyAlignment="1">
      <alignment horizontal="center" vertical="center" wrapText="1"/>
    </xf>
    <xf numFmtId="0" fontId="38" fillId="0" borderId="21" xfId="0" applyNumberFormat="1" applyFont="1" applyFill="1" applyBorder="1" applyAlignment="1">
      <alignment horizontal="center" vertical="center" wrapText="1"/>
    </xf>
    <xf numFmtId="0" fontId="38" fillId="0" borderId="16" xfId="0" applyNumberFormat="1" applyFont="1" applyFill="1" applyBorder="1" applyAlignment="1">
      <alignment horizontal="center" vertical="center" wrapText="1"/>
    </xf>
    <xf numFmtId="164" fontId="22" fillId="0" borderId="15" xfId="0" applyNumberFormat="1" applyFont="1" applyFill="1" applyBorder="1"/>
    <xf numFmtId="164" fontId="22" fillId="0" borderId="9" xfId="1" applyNumberFormat="1" applyFont="1" applyFill="1" applyBorder="1"/>
    <xf numFmtId="164" fontId="22" fillId="0" borderId="9" xfId="2" applyNumberFormat="1" applyFont="1" applyFill="1" applyBorder="1"/>
    <xf numFmtId="164" fontId="22" fillId="0" borderId="15" xfId="2" applyNumberFormat="1" applyFont="1" applyFill="1" applyBorder="1"/>
    <xf numFmtId="2" fontId="22" fillId="0" borderId="15" xfId="0" applyNumberFormat="1" applyFont="1" applyFill="1" applyBorder="1"/>
    <xf numFmtId="164" fontId="22" fillId="0" borderId="1" xfId="0" applyNumberFormat="1" applyFont="1" applyFill="1" applyBorder="1"/>
    <xf numFmtId="164" fontId="22" fillId="0" borderId="0" xfId="1" applyNumberFormat="1" applyFont="1" applyFill="1" applyBorder="1"/>
    <xf numFmtId="164" fontId="22" fillId="0" borderId="1" xfId="2" applyNumberFormat="1" applyFont="1" applyFill="1" applyBorder="1"/>
    <xf numFmtId="164" fontId="22" fillId="0" borderId="33" xfId="0" applyNumberFormat="1" applyFont="1" applyFill="1" applyBorder="1"/>
    <xf numFmtId="164" fontId="22" fillId="0" borderId="29" xfId="1" applyNumberFormat="1" applyFont="1" applyFill="1" applyBorder="1"/>
    <xf numFmtId="164" fontId="22" fillId="0" borderId="33" xfId="2" applyNumberFormat="1" applyFont="1" applyFill="1" applyBorder="1"/>
    <xf numFmtId="164" fontId="22" fillId="0" borderId="36" xfId="0" applyNumberFormat="1" applyFont="1" applyFill="1" applyBorder="1"/>
    <xf numFmtId="164" fontId="22" fillId="0" borderId="28" xfId="1" applyNumberFormat="1" applyFont="1" applyFill="1" applyBorder="1"/>
    <xf numFmtId="164" fontId="22" fillId="0" borderId="36" xfId="2" applyNumberFormat="1" applyFont="1" applyFill="1" applyBorder="1"/>
    <xf numFmtId="178" fontId="32" fillId="0" borderId="0" xfId="1" applyNumberFormat="1" applyFont="1" applyFill="1"/>
    <xf numFmtId="10" fontId="10" fillId="0" borderId="0" xfId="0" applyNumberFormat="1" applyFont="1" applyFill="1"/>
    <xf numFmtId="178" fontId="32" fillId="0" borderId="0" xfId="1" applyNumberFormat="1" applyFont="1"/>
    <xf numFmtId="10" fontId="10" fillId="0" borderId="0" xfId="0" applyNumberFormat="1" applyFont="1"/>
    <xf numFmtId="0" fontId="39" fillId="0" borderId="0" xfId="0" applyFont="1" applyFill="1" applyBorder="1" applyAlignment="1">
      <alignment horizontal="center" vertical="center"/>
    </xf>
    <xf numFmtId="0" fontId="9" fillId="0" borderId="0" xfId="0" applyFont="1" applyBorder="1" applyAlignment="1">
      <alignment horizontal="right"/>
    </xf>
    <xf numFmtId="2" fontId="9" fillId="0" borderId="0" xfId="0" applyNumberFormat="1" applyFont="1" applyBorder="1" applyAlignment="1">
      <alignment horizontal="right"/>
    </xf>
    <xf numFmtId="0" fontId="9" fillId="0" borderId="0" xfId="0" applyFont="1" applyAlignment="1">
      <alignment horizontal="right"/>
    </xf>
    <xf numFmtId="0" fontId="23" fillId="0" borderId="0" xfId="0" applyNumberFormat="1" applyFont="1" applyFill="1" applyBorder="1" applyAlignment="1">
      <alignment horizontal="right"/>
    </xf>
    <xf numFmtId="0" fontId="23" fillId="0" borderId="0" xfId="1" applyNumberFormat="1" applyFont="1" applyFill="1" applyBorder="1" applyAlignment="1">
      <alignment horizontal="right"/>
    </xf>
    <xf numFmtId="9" fontId="23" fillId="0" borderId="0" xfId="1" applyFont="1" applyFill="1" applyBorder="1" applyAlignment="1">
      <alignment horizontal="right"/>
    </xf>
    <xf numFmtId="9" fontId="23" fillId="14" borderId="0" xfId="1" applyFont="1" applyFill="1" applyBorder="1" applyAlignment="1">
      <alignment horizontal="right"/>
    </xf>
    <xf numFmtId="0" fontId="23" fillId="0" borderId="0" xfId="0" applyFont="1" applyFill="1" applyBorder="1" applyAlignment="1">
      <alignment horizontal="right"/>
    </xf>
    <xf numFmtId="9" fontId="10" fillId="0" borderId="0" xfId="1" applyFont="1" applyFill="1" applyBorder="1"/>
    <xf numFmtId="0" fontId="10" fillId="0" borderId="0" xfId="0" applyFont="1" applyFill="1" applyBorder="1"/>
    <xf numFmtId="0" fontId="31" fillId="0" borderId="0" xfId="0" applyFont="1" applyAlignment="1">
      <alignment horizontal="right"/>
    </xf>
    <xf numFmtId="0" fontId="10" fillId="0" borderId="0" xfId="0" applyNumberFormat="1" applyFont="1" applyBorder="1" applyAlignment="1">
      <alignment horizontal="right"/>
    </xf>
    <xf numFmtId="0" fontId="10" fillId="0" borderId="0" xfId="0" applyNumberFormat="1" applyFont="1" applyFill="1" applyBorder="1" applyAlignment="1">
      <alignment horizontal="right"/>
    </xf>
    <xf numFmtId="9" fontId="10" fillId="0" borderId="0" xfId="1" applyFont="1" applyFill="1" applyBorder="1" applyAlignment="1">
      <alignment horizontal="right"/>
    </xf>
    <xf numFmtId="9" fontId="10" fillId="14" borderId="0" xfId="1" applyFont="1" applyFill="1" applyBorder="1" applyAlignment="1">
      <alignment horizontal="right"/>
    </xf>
    <xf numFmtId="0" fontId="10" fillId="0" borderId="0" xfId="0" applyFont="1" applyFill="1" applyBorder="1" applyAlignment="1">
      <alignment horizontal="right"/>
    </xf>
    <xf numFmtId="0" fontId="10" fillId="0" borderId="0" xfId="0" applyFont="1" applyBorder="1" applyAlignment="1">
      <alignment horizontal="right"/>
    </xf>
    <xf numFmtId="0" fontId="10" fillId="0" borderId="0" xfId="0" applyFont="1" applyAlignment="1">
      <alignment horizontal="right"/>
    </xf>
    <xf numFmtId="0" fontId="10" fillId="0" borderId="0" xfId="0" applyNumberFormat="1" applyFont="1" applyFill="1" applyBorder="1" applyAlignment="1">
      <alignment horizontal="right" vertical="center" wrapText="1"/>
    </xf>
    <xf numFmtId="10" fontId="10" fillId="0" borderId="0" xfId="0" applyNumberFormat="1" applyFont="1" applyBorder="1" applyAlignment="1">
      <alignment horizontal="right"/>
    </xf>
    <xf numFmtId="9" fontId="10" fillId="14" borderId="0" xfId="1" applyFont="1" applyFill="1" applyBorder="1" applyAlignment="1">
      <alignment horizontal="right" vertical="center" wrapText="1"/>
    </xf>
    <xf numFmtId="9" fontId="10" fillId="0" borderId="0" xfId="1" applyFont="1" applyFill="1" applyBorder="1" applyAlignment="1">
      <alignment horizontal="center"/>
    </xf>
    <xf numFmtId="9" fontId="10" fillId="0" borderId="0" xfId="1" applyFont="1" applyFill="1" applyBorder="1" applyAlignment="1">
      <alignment horizontal="center" vertical="center" wrapText="1"/>
    </xf>
    <xf numFmtId="10" fontId="10" fillId="0" borderId="0" xfId="0" applyNumberFormat="1" applyFont="1" applyBorder="1"/>
    <xf numFmtId="9" fontId="10" fillId="0" borderId="0" xfId="0" applyNumberFormat="1" applyFont="1" applyBorder="1"/>
    <xf numFmtId="10" fontId="10" fillId="0" borderId="0" xfId="0" applyNumberFormat="1" applyFont="1" applyFill="1" applyBorder="1"/>
    <xf numFmtId="169" fontId="22" fillId="0" borderId="0" xfId="3" applyNumberFormat="1" applyFont="1" applyFill="1" applyBorder="1"/>
    <xf numFmtId="10" fontId="22" fillId="0" borderId="0" xfId="1" applyNumberFormat="1" applyFont="1" applyFill="1" applyBorder="1"/>
    <xf numFmtId="10" fontId="10" fillId="0" borderId="0" xfId="1" applyNumberFormat="1" applyFont="1" applyFill="1" applyBorder="1"/>
    <xf numFmtId="10" fontId="10" fillId="0" borderId="0" xfId="1" applyNumberFormat="1" applyFont="1" applyBorder="1"/>
    <xf numFmtId="9" fontId="10" fillId="14" borderId="0" xfId="1" applyFont="1" applyFill="1" applyBorder="1"/>
    <xf numFmtId="10" fontId="10" fillId="6" borderId="0" xfId="1" applyNumberFormat="1" applyFont="1" applyFill="1" applyBorder="1"/>
    <xf numFmtId="169" fontId="22" fillId="0" borderId="0" xfId="0" applyNumberFormat="1" applyFont="1" applyFill="1" applyBorder="1"/>
    <xf numFmtId="0" fontId="39" fillId="0" borderId="0" xfId="0" applyFont="1" applyFill="1" applyAlignment="1">
      <alignment vertical="center"/>
    </xf>
    <xf numFmtId="0" fontId="39" fillId="0" borderId="0" xfId="0" applyFont="1" applyFill="1" applyBorder="1" applyAlignment="1">
      <alignment vertical="center"/>
    </xf>
    <xf numFmtId="0" fontId="31" fillId="0" borderId="59" xfId="0" applyFont="1" applyBorder="1" applyAlignment="1">
      <alignment horizontal="center" vertical="center"/>
    </xf>
    <xf numFmtId="0" fontId="10" fillId="0" borderId="22" xfId="0" applyNumberFormat="1" applyFont="1" applyBorder="1" applyAlignment="1">
      <alignment horizontal="center" vertical="center"/>
    </xf>
    <xf numFmtId="0" fontId="10" fillId="0" borderId="22" xfId="0" applyFont="1" applyBorder="1" applyAlignment="1">
      <alignment horizontal="center" vertical="center"/>
    </xf>
    <xf numFmtId="0" fontId="10" fillId="0" borderId="22" xfId="0" applyFont="1" applyBorder="1" applyAlignment="1">
      <alignment horizontal="left" vertical="center"/>
    </xf>
    <xf numFmtId="0" fontId="10" fillId="0" borderId="0" xfId="0" applyFont="1" applyBorder="1" applyAlignment="1">
      <alignment horizontal="left" vertical="center"/>
    </xf>
    <xf numFmtId="0" fontId="10" fillId="0" borderId="54" xfId="0" applyNumberFormat="1" applyFont="1" applyBorder="1" applyAlignment="1">
      <alignment horizontal="center" vertical="center"/>
    </xf>
    <xf numFmtId="0" fontId="10" fillId="0" borderId="54" xfId="0" applyFont="1" applyBorder="1" applyAlignment="1">
      <alignment horizontal="center" vertical="center"/>
    </xf>
    <xf numFmtId="0" fontId="10" fillId="0" borderId="54" xfId="0" applyFont="1" applyBorder="1" applyAlignment="1">
      <alignment horizontal="left" vertical="center"/>
    </xf>
    <xf numFmtId="0" fontId="10" fillId="0" borderId="54" xfId="0" applyNumberFormat="1" applyFont="1" applyFill="1" applyBorder="1" applyAlignment="1">
      <alignment horizontal="left" vertical="center" wrapText="1"/>
    </xf>
    <xf numFmtId="0" fontId="10" fillId="0" borderId="54" xfId="0" applyNumberFormat="1" applyFont="1" applyFill="1" applyBorder="1" applyAlignment="1">
      <alignment horizontal="center" vertical="center"/>
    </xf>
    <xf numFmtId="0" fontId="9" fillId="0" borderId="0" xfId="0" applyFont="1" applyBorder="1" applyAlignment="1">
      <alignment vertical="center"/>
    </xf>
    <xf numFmtId="0" fontId="10" fillId="0" borderId="0" xfId="0" applyFont="1" applyBorder="1"/>
    <xf numFmtId="0" fontId="39" fillId="6" borderId="54" xfId="0" applyFont="1" applyFill="1" applyBorder="1" applyAlignment="1">
      <alignment horizontal="center"/>
    </xf>
    <xf numFmtId="0" fontId="39" fillId="6" borderId="8" xfId="0" applyFont="1" applyFill="1" applyBorder="1" applyAlignment="1">
      <alignment horizontal="center" vertical="center"/>
    </xf>
    <xf numFmtId="0" fontId="39" fillId="6" borderId="54" xfId="0" applyFont="1" applyFill="1" applyBorder="1"/>
    <xf numFmtId="0" fontId="10" fillId="0" borderId="8" xfId="0" applyFont="1" applyBorder="1" applyAlignment="1">
      <alignment horizontal="center" vertical="center"/>
    </xf>
    <xf numFmtId="0" fontId="9" fillId="0" borderId="9" xfId="0" applyFont="1" applyBorder="1" applyAlignment="1">
      <alignment vertical="center"/>
    </xf>
    <xf numFmtId="0" fontId="39" fillId="0" borderId="22" xfId="0" applyFont="1" applyBorder="1" applyAlignment="1">
      <alignment horizontal="center" vertical="center" wrapText="1"/>
    </xf>
    <xf numFmtId="0" fontId="9" fillId="0" borderId="22" xfId="0" applyFont="1" applyFill="1" applyBorder="1" applyAlignment="1">
      <alignment horizontal="center" vertical="center"/>
    </xf>
    <xf numFmtId="0" fontId="39" fillId="0" borderId="22" xfId="0" applyFont="1" applyFill="1" applyBorder="1" applyAlignment="1">
      <alignment horizontal="center" vertical="center"/>
    </xf>
    <xf numFmtId="0" fontId="10" fillId="0" borderId="61" xfId="0" applyFont="1" applyBorder="1" applyAlignment="1">
      <alignment horizontal="center" vertical="center"/>
    </xf>
    <xf numFmtId="0" fontId="9" fillId="0" borderId="59" xfId="0" applyFont="1" applyBorder="1" applyAlignment="1">
      <alignment horizontal="center" vertical="center"/>
    </xf>
    <xf numFmtId="0" fontId="39" fillId="0" borderId="59" xfId="0" applyFont="1" applyBorder="1" applyAlignment="1">
      <alignment horizontal="center" vertical="center" wrapText="1"/>
    </xf>
    <xf numFmtId="0" fontId="9" fillId="0" borderId="59" xfId="0" applyFont="1" applyBorder="1" applyAlignment="1">
      <alignment horizontal="center"/>
    </xf>
    <xf numFmtId="0" fontId="10" fillId="0" borderId="59" xfId="0" applyFont="1" applyBorder="1" applyAlignment="1">
      <alignment horizontal="center" vertical="center"/>
    </xf>
    <xf numFmtId="0" fontId="10" fillId="0" borderId="98" xfId="0" applyFont="1" applyBorder="1" applyAlignment="1">
      <alignment horizontal="center" vertical="center"/>
    </xf>
    <xf numFmtId="0" fontId="10" fillId="0" borderId="92" xfId="0" applyFont="1" applyBorder="1" applyAlignment="1">
      <alignment horizontal="center" vertical="center"/>
    </xf>
    <xf numFmtId="0" fontId="10" fillId="0" borderId="22" xfId="0" applyFont="1" applyBorder="1"/>
    <xf numFmtId="0" fontId="10" fillId="0" borderId="22" xfId="0" applyFont="1" applyBorder="1" applyAlignment="1">
      <alignment horizontal="center" vertical="center" wrapText="1"/>
    </xf>
    <xf numFmtId="165" fontId="9" fillId="0" borderId="22" xfId="0" applyNumberFormat="1" applyFont="1" applyBorder="1" applyAlignment="1">
      <alignment horizontal="center"/>
    </xf>
    <xf numFmtId="1" fontId="10" fillId="0" borderId="22" xfId="0" applyNumberFormat="1" applyFont="1" applyBorder="1" applyAlignment="1">
      <alignment horizontal="center" vertical="center"/>
    </xf>
    <xf numFmtId="165" fontId="9" fillId="0" borderId="54" xfId="0" applyNumberFormat="1" applyFont="1" applyBorder="1"/>
    <xf numFmtId="2" fontId="10" fillId="0" borderId="54" xfId="0" applyNumberFormat="1" applyFont="1" applyBorder="1"/>
    <xf numFmtId="165" fontId="9" fillId="0" borderId="54" xfId="0" applyNumberFormat="1" applyFont="1" applyBorder="1" applyAlignment="1">
      <alignment horizontal="center"/>
    </xf>
    <xf numFmtId="10" fontId="10" fillId="22" borderId="54" xfId="0" applyNumberFormat="1" applyFont="1" applyFill="1" applyBorder="1"/>
    <xf numFmtId="0" fontId="10" fillId="0" borderId="54" xfId="0" applyNumberFormat="1" applyFont="1" applyBorder="1"/>
    <xf numFmtId="10" fontId="10" fillId="23" borderId="54" xfId="0" applyNumberFormat="1" applyFont="1" applyFill="1" applyBorder="1"/>
    <xf numFmtId="0" fontId="10" fillId="5" borderId="54" xfId="0" applyFont="1" applyFill="1" applyBorder="1"/>
    <xf numFmtId="10" fontId="10" fillId="22" borderId="54" xfId="1" applyNumberFormat="1" applyFont="1" applyFill="1" applyBorder="1"/>
    <xf numFmtId="0" fontId="10" fillId="21" borderId="54" xfId="0" applyFont="1" applyFill="1" applyBorder="1"/>
    <xf numFmtId="10" fontId="10" fillId="23" borderId="54" xfId="1" applyNumberFormat="1" applyFont="1" applyFill="1" applyBorder="1"/>
    <xf numFmtId="1" fontId="10" fillId="0" borderId="0" xfId="0" applyNumberFormat="1" applyFont="1" applyBorder="1" applyAlignment="1">
      <alignment horizontal="center" vertical="center"/>
    </xf>
    <xf numFmtId="1" fontId="10" fillId="0" borderId="0" xfId="0" applyNumberFormat="1" applyFont="1" applyBorder="1" applyAlignment="1">
      <alignment horizontal="right"/>
    </xf>
    <xf numFmtId="0" fontId="10" fillId="0" borderId="47" xfId="0" applyFont="1" applyBorder="1"/>
    <xf numFmtId="0" fontId="10" fillId="0" borderId="48" xfId="0" applyFont="1" applyBorder="1"/>
    <xf numFmtId="0" fontId="10" fillId="0" borderId="52" xfId="0" applyFont="1" applyBorder="1"/>
    <xf numFmtId="0" fontId="10" fillId="0" borderId="53" xfId="0" applyFont="1" applyBorder="1"/>
    <xf numFmtId="0" fontId="9" fillId="0" borderId="55" xfId="0" applyFont="1" applyBorder="1" applyAlignment="1">
      <alignment horizontal="center" vertical="center" wrapText="1"/>
    </xf>
    <xf numFmtId="0" fontId="9" fillId="0" borderId="22" xfId="0" applyFont="1" applyBorder="1" applyAlignment="1">
      <alignment horizontal="center" vertical="center" wrapText="1"/>
    </xf>
    <xf numFmtId="0" fontId="9" fillId="0" borderId="93" xfId="0" applyFont="1" applyBorder="1" applyAlignment="1">
      <alignment horizontal="center" vertical="center" wrapText="1"/>
    </xf>
    <xf numFmtId="0" fontId="9" fillId="0" borderId="22" xfId="0" applyFont="1" applyBorder="1" applyAlignment="1">
      <alignment horizontal="left"/>
    </xf>
    <xf numFmtId="0" fontId="9" fillId="0" borderId="22" xfId="0" applyFont="1" applyBorder="1"/>
    <xf numFmtId="0" fontId="10" fillId="0" borderId="56" xfId="0" applyFont="1" applyBorder="1" applyAlignment="1">
      <alignment horizontal="right" vertical="center"/>
    </xf>
    <xf numFmtId="0" fontId="10" fillId="0" borderId="81" xfId="0" applyFont="1" applyBorder="1" applyAlignment="1">
      <alignment horizontal="center" vertical="center"/>
    </xf>
    <xf numFmtId="0" fontId="9" fillId="0" borderId="59" xfId="0" applyFont="1" applyBorder="1" applyAlignment="1">
      <alignment horizontal="left"/>
    </xf>
    <xf numFmtId="0" fontId="10" fillId="0" borderId="54" xfId="0" applyFont="1" applyBorder="1" applyAlignment="1">
      <alignment horizontal="right" vertical="center"/>
    </xf>
    <xf numFmtId="0" fontId="9" fillId="0" borderId="59" xfId="0" applyFont="1" applyBorder="1"/>
    <xf numFmtId="0" fontId="10" fillId="0" borderId="59" xfId="0" applyFont="1" applyBorder="1"/>
    <xf numFmtId="0" fontId="32" fillId="0" borderId="22" xfId="0" applyNumberFormat="1" applyFont="1" applyFill="1" applyBorder="1" applyAlignment="1">
      <alignment horizontal="left" vertical="center" wrapText="1"/>
    </xf>
    <xf numFmtId="0" fontId="10" fillId="0" borderId="22" xfId="0" applyNumberFormat="1" applyFont="1" applyFill="1" applyBorder="1" applyAlignment="1">
      <alignment horizontal="center" vertical="center" wrapText="1"/>
    </xf>
    <xf numFmtId="0" fontId="10" fillId="0" borderId="22" xfId="0" applyFont="1" applyBorder="1" applyAlignment="1">
      <alignment wrapText="1"/>
    </xf>
    <xf numFmtId="0" fontId="9" fillId="0" borderId="54" xfId="0" applyNumberFormat="1" applyFont="1" applyFill="1" applyBorder="1" applyAlignment="1">
      <alignment horizontal="left" vertical="center" wrapText="1"/>
    </xf>
    <xf numFmtId="0" fontId="10" fillId="0" borderId="54" xfId="0" applyNumberFormat="1" applyFont="1" applyFill="1" applyBorder="1" applyAlignment="1">
      <alignment horizontal="center" vertical="center" wrapText="1"/>
    </xf>
    <xf numFmtId="0" fontId="9" fillId="0" borderId="54" xfId="0" applyFont="1" applyBorder="1"/>
    <xf numFmtId="0" fontId="10" fillId="0" borderId="54" xfId="0" applyFont="1" applyBorder="1" applyAlignment="1">
      <alignment wrapText="1"/>
    </xf>
    <xf numFmtId="0" fontId="32" fillId="0" borderId="54" xfId="0" applyNumberFormat="1" applyFont="1" applyFill="1" applyBorder="1" applyAlignment="1">
      <alignment horizontal="left" vertical="center" wrapText="1"/>
    </xf>
    <xf numFmtId="0" fontId="10" fillId="6" borderId="54" xfId="0" applyNumberFormat="1" applyFont="1" applyFill="1" applyBorder="1" applyAlignment="1">
      <alignment horizontal="center" vertical="center" wrapText="1"/>
    </xf>
    <xf numFmtId="0" fontId="10" fillId="15" borderId="54" xfId="0" applyFont="1" applyFill="1" applyBorder="1" applyAlignment="1">
      <alignment wrapText="1"/>
    </xf>
    <xf numFmtId="0" fontId="10" fillId="20" borderId="54" xfId="0" applyFont="1" applyFill="1" applyBorder="1" applyAlignment="1">
      <alignment wrapText="1"/>
    </xf>
    <xf numFmtId="0" fontId="10" fillId="6" borderId="54" xfId="0" applyFont="1" applyFill="1" applyBorder="1" applyAlignment="1">
      <alignment horizontal="center" vertical="center"/>
    </xf>
    <xf numFmtId="0" fontId="10" fillId="15" borderId="54" xfId="0" applyFont="1" applyFill="1" applyBorder="1" applyAlignment="1">
      <alignment horizontal="center" vertical="center"/>
    </xf>
    <xf numFmtId="0" fontId="10" fillId="15" borderId="54" xfId="0" applyNumberFormat="1" applyFont="1" applyFill="1" applyBorder="1" applyAlignment="1">
      <alignment horizontal="center" vertical="center" wrapText="1"/>
    </xf>
    <xf numFmtId="0" fontId="10" fillId="18" borderId="54" xfId="0" applyFont="1" applyFill="1" applyBorder="1" applyAlignment="1">
      <alignment wrapText="1"/>
    </xf>
    <xf numFmtId="0" fontId="10" fillId="20" borderId="54" xfId="0" applyNumberFormat="1" applyFont="1" applyFill="1" applyBorder="1" applyAlignment="1">
      <alignment horizontal="center" vertical="center" wrapText="1"/>
    </xf>
    <xf numFmtId="0" fontId="10" fillId="16" borderId="54" xfId="0" applyFont="1" applyFill="1" applyBorder="1" applyAlignment="1">
      <alignment wrapText="1"/>
    </xf>
    <xf numFmtId="0" fontId="10" fillId="11" borderId="54" xfId="0" applyFont="1" applyFill="1" applyBorder="1" applyAlignment="1">
      <alignment wrapText="1"/>
    </xf>
    <xf numFmtId="0" fontId="10" fillId="11" borderId="54" xfId="0" applyFont="1" applyFill="1" applyBorder="1" applyAlignment="1">
      <alignment horizontal="center" vertical="center" wrapText="1"/>
    </xf>
    <xf numFmtId="0" fontId="10" fillId="18" borderId="54" xfId="0" applyFont="1" applyFill="1" applyBorder="1" applyAlignment="1">
      <alignment horizontal="center" vertical="center" wrapText="1"/>
    </xf>
    <xf numFmtId="0" fontId="10" fillId="18" borderId="54" xfId="0" applyNumberFormat="1" applyFont="1" applyFill="1" applyBorder="1" applyAlignment="1">
      <alignment horizontal="center" vertical="center" wrapText="1"/>
    </xf>
    <xf numFmtId="0" fontId="10" fillId="13" borderId="54" xfId="0" applyFont="1" applyFill="1" applyBorder="1" applyAlignment="1">
      <alignment wrapText="1"/>
    </xf>
    <xf numFmtId="0" fontId="10" fillId="6" borderId="54" xfId="0" applyFont="1" applyFill="1" applyBorder="1" applyAlignment="1">
      <alignment horizontal="center" vertical="center" wrapText="1"/>
    </xf>
    <xf numFmtId="0" fontId="10" fillId="16" borderId="54" xfId="0" applyFont="1" applyFill="1" applyBorder="1" applyAlignment="1">
      <alignment horizontal="center" vertical="center"/>
    </xf>
    <xf numFmtId="0" fontId="10" fillId="16" borderId="54" xfId="0" applyNumberFormat="1" applyFont="1" applyFill="1" applyBorder="1" applyAlignment="1">
      <alignment horizontal="center" vertical="center" wrapText="1"/>
    </xf>
    <xf numFmtId="0" fontId="10" fillId="17" borderId="54" xfId="0" applyFont="1" applyFill="1" applyBorder="1" applyAlignment="1">
      <alignment wrapText="1"/>
    </xf>
    <xf numFmtId="0" fontId="10" fillId="11" borderId="54" xfId="0" applyFont="1" applyFill="1" applyBorder="1" applyAlignment="1">
      <alignment horizontal="center" vertical="center"/>
    </xf>
    <xf numFmtId="0" fontId="10" fillId="11" borderId="54" xfId="0" applyNumberFormat="1" applyFont="1" applyFill="1" applyBorder="1" applyAlignment="1">
      <alignment horizontal="center" vertical="center" wrapText="1"/>
    </xf>
    <xf numFmtId="0" fontId="10" fillId="13" borderId="54" xfId="0" applyFont="1" applyFill="1" applyBorder="1" applyAlignment="1">
      <alignment horizontal="center" vertical="center"/>
    </xf>
    <xf numFmtId="0" fontId="10" fillId="13" borderId="54" xfId="0" applyNumberFormat="1" applyFont="1" applyFill="1" applyBorder="1" applyAlignment="1">
      <alignment horizontal="center" vertical="center" wrapText="1"/>
    </xf>
    <xf numFmtId="0" fontId="10" fillId="16" borderId="54" xfId="0" applyFont="1" applyFill="1" applyBorder="1" applyAlignment="1">
      <alignment horizontal="center" vertical="center" wrapText="1"/>
    </xf>
    <xf numFmtId="0" fontId="10" fillId="19" borderId="54" xfId="0" applyNumberFormat="1" applyFont="1" applyFill="1" applyBorder="1" applyAlignment="1">
      <alignment horizontal="center" vertical="center" wrapText="1"/>
    </xf>
    <xf numFmtId="0" fontId="10" fillId="18" borderId="54" xfId="0" applyFont="1" applyFill="1" applyBorder="1" applyAlignment="1">
      <alignment horizontal="center" vertical="center"/>
    </xf>
    <xf numFmtId="0" fontId="10" fillId="6" borderId="54" xfId="0" applyFont="1" applyFill="1" applyBorder="1"/>
    <xf numFmtId="0" fontId="10" fillId="0" borderId="54" xfId="0" applyFont="1" applyBorder="1" applyAlignment="1">
      <alignment horizontal="center" vertical="center" wrapText="1"/>
    </xf>
    <xf numFmtId="0" fontId="32" fillId="6" borderId="54" xfId="0" applyNumberFormat="1" applyFont="1" applyFill="1" applyBorder="1" applyAlignment="1">
      <alignment horizontal="center" vertical="center" wrapText="1"/>
    </xf>
    <xf numFmtId="0" fontId="10" fillId="0" borderId="0" xfId="0" applyFont="1" applyBorder="1" applyAlignment="1">
      <alignment horizontal="center"/>
    </xf>
    <xf numFmtId="0" fontId="10" fillId="0" borderId="0" xfId="0" applyFont="1" applyBorder="1" applyAlignment="1">
      <alignment horizontal="center" vertical="center"/>
    </xf>
    <xf numFmtId="0" fontId="10" fillId="0" borderId="53" xfId="0" applyFont="1" applyBorder="1" applyAlignment="1">
      <alignment horizontal="center" vertical="center"/>
    </xf>
    <xf numFmtId="0" fontId="10" fillId="0" borderId="52" xfId="0" applyFont="1" applyBorder="1" applyAlignment="1">
      <alignment horizontal="center" vertical="center"/>
    </xf>
    <xf numFmtId="0" fontId="10" fillId="0" borderId="0" xfId="0" applyFont="1" applyAlignment="1">
      <alignment horizontal="center"/>
    </xf>
    <xf numFmtId="0" fontId="10" fillId="0" borderId="0" xfId="0" applyNumberFormat="1" applyFont="1" applyBorder="1" applyAlignment="1">
      <alignment horizontal="center" vertical="center"/>
    </xf>
    <xf numFmtId="0" fontId="10" fillId="0" borderId="53" xfId="0" applyNumberFormat="1" applyFont="1" applyBorder="1" applyAlignment="1">
      <alignment horizontal="center" vertical="center"/>
    </xf>
    <xf numFmtId="0" fontId="10" fillId="0" borderId="49" xfId="0" applyFont="1" applyBorder="1"/>
    <xf numFmtId="0" fontId="10" fillId="0" borderId="50" xfId="0" applyFont="1" applyBorder="1"/>
    <xf numFmtId="0" fontId="10" fillId="0" borderId="51" xfId="0" applyFont="1" applyBorder="1"/>
    <xf numFmtId="0" fontId="9" fillId="0" borderId="54" xfId="0" applyFont="1" applyFill="1" applyBorder="1" applyAlignment="1">
      <alignment horizontal="center" vertical="center"/>
    </xf>
    <xf numFmtId="164" fontId="10" fillId="0" borderId="54" xfId="0" applyNumberFormat="1" applyFont="1" applyFill="1" applyBorder="1" applyAlignment="1">
      <alignment horizontal="center" vertical="center"/>
    </xf>
    <xf numFmtId="0" fontId="9" fillId="0" borderId="54" xfId="0" applyFont="1" applyBorder="1" applyAlignment="1">
      <alignment horizontal="center" vertical="center" wrapText="1"/>
    </xf>
    <xf numFmtId="17" fontId="9" fillId="0" borderId="54" xfId="0" applyNumberFormat="1" applyFont="1" applyBorder="1" applyAlignment="1">
      <alignment horizontal="center" vertical="center"/>
    </xf>
    <xf numFmtId="0" fontId="10" fillId="0" borderId="16" xfId="0" applyFont="1" applyBorder="1"/>
    <xf numFmtId="0" fontId="9" fillId="0" borderId="54" xfId="0" applyFont="1" applyFill="1" applyBorder="1" applyAlignment="1">
      <alignment horizontal="center" vertical="center" wrapText="1"/>
    </xf>
    <xf numFmtId="164" fontId="10" fillId="0" borderId="54" xfId="0" applyNumberFormat="1" applyFont="1" applyBorder="1" applyAlignment="1">
      <alignment horizontal="center" vertical="center"/>
    </xf>
    <xf numFmtId="17" fontId="9" fillId="0" borderId="0" xfId="0" applyNumberFormat="1" applyFont="1" applyBorder="1" applyAlignment="1">
      <alignment horizontal="center" vertical="center"/>
    </xf>
    <xf numFmtId="14" fontId="10" fillId="0" borderId="0" xfId="0" applyNumberFormat="1" applyFont="1" applyBorder="1"/>
    <xf numFmtId="0" fontId="9" fillId="0" borderId="0" xfId="0" applyFont="1" applyBorder="1" applyAlignment="1"/>
    <xf numFmtId="17" fontId="10" fillId="0" borderId="0" xfId="0" applyNumberFormat="1" applyFont="1" applyBorder="1"/>
    <xf numFmtId="0" fontId="8" fillId="0" borderId="0" xfId="0" applyFont="1" applyFill="1" applyBorder="1" applyAlignment="1">
      <alignment vertical="center"/>
    </xf>
    <xf numFmtId="0" fontId="8" fillId="0" borderId="54" xfId="0" applyFont="1" applyFill="1" applyBorder="1" applyAlignment="1">
      <alignment horizontal="center" vertical="center"/>
    </xf>
    <xf numFmtId="0" fontId="31" fillId="0" borderId="0" xfId="0" applyFont="1" applyFill="1" applyBorder="1" applyAlignment="1">
      <alignment vertical="center"/>
    </xf>
    <xf numFmtId="0" fontId="10" fillId="0" borderId="0" xfId="0" applyFont="1" applyFill="1"/>
    <xf numFmtId="0" fontId="42" fillId="0" borderId="54" xfId="0" applyFont="1" applyFill="1" applyBorder="1" applyAlignment="1">
      <alignment horizontal="center" vertical="center"/>
    </xf>
    <xf numFmtId="0" fontId="31" fillId="0" borderId="0" xfId="0" applyFont="1" applyFill="1" applyBorder="1" applyAlignment="1">
      <alignment horizontal="center" vertical="center"/>
    </xf>
    <xf numFmtId="165" fontId="9" fillId="0" borderId="54" xfId="0" applyNumberFormat="1" applyFont="1" applyBorder="1" applyAlignment="1">
      <alignment horizontal="center" vertical="center"/>
    </xf>
    <xf numFmtId="165" fontId="9" fillId="0" borderId="0" xfId="0" applyNumberFormat="1" applyFont="1" applyBorder="1" applyAlignment="1">
      <alignment horizontal="center" vertical="center"/>
    </xf>
    <xf numFmtId="165" fontId="9" fillId="0" borderId="9" xfId="0" applyNumberFormat="1" applyFont="1" applyBorder="1" applyAlignment="1">
      <alignment horizontal="center" vertical="center"/>
    </xf>
    <xf numFmtId="10" fontId="10" fillId="0" borderId="9" xfId="0" applyNumberFormat="1" applyFont="1" applyBorder="1"/>
    <xf numFmtId="0" fontId="43" fillId="0" borderId="54" xfId="0" applyNumberFormat="1" applyFont="1" applyBorder="1" applyAlignment="1">
      <alignment horizontal="center" vertical="center"/>
    </xf>
    <xf numFmtId="0" fontId="41" fillId="0" borderId="54" xfId="0" applyFont="1" applyFill="1" applyBorder="1" applyAlignment="1">
      <alignment horizontal="center"/>
    </xf>
    <xf numFmtId="0" fontId="9" fillId="0" borderId="54" xfId="0" applyFont="1" applyBorder="1" applyAlignment="1">
      <alignment horizontal="right"/>
    </xf>
    <xf numFmtId="0" fontId="9" fillId="0" borderId="59" xfId="0" applyNumberFormat="1" applyFont="1" applyBorder="1" applyAlignment="1">
      <alignment horizontal="center" vertical="center"/>
    </xf>
    <xf numFmtId="0" fontId="9" fillId="0" borderId="59" xfId="0" applyNumberFormat="1" applyFont="1" applyBorder="1"/>
    <xf numFmtId="0" fontId="23" fillId="0" borderId="22" xfId="0" applyNumberFormat="1" applyFont="1" applyBorder="1" applyAlignment="1">
      <alignment horizontal="center" vertical="center"/>
    </xf>
    <xf numFmtId="0" fontId="10" fillId="0" borderId="22" xfId="0" applyNumberFormat="1" applyFont="1" applyBorder="1"/>
    <xf numFmtId="0" fontId="23" fillId="0" borderId="54" xfId="0" applyNumberFormat="1" applyFont="1" applyBorder="1" applyAlignment="1">
      <alignment horizontal="center" vertical="center"/>
    </xf>
    <xf numFmtId="0" fontId="9" fillId="0" borderId="0" xfId="0" applyNumberFormat="1" applyFont="1" applyBorder="1" applyAlignment="1">
      <alignment horizontal="center" vertical="center"/>
    </xf>
    <xf numFmtId="168" fontId="10" fillId="0" borderId="54" xfId="0" applyNumberFormat="1" applyFont="1" applyBorder="1"/>
    <xf numFmtId="10" fontId="9" fillId="0" borderId="59" xfId="0" applyNumberFormat="1" applyFont="1" applyBorder="1"/>
    <xf numFmtId="0" fontId="16" fillId="0" borderId="0" xfId="0" applyFont="1" applyFill="1" applyBorder="1" applyAlignment="1">
      <alignment vertical="center"/>
    </xf>
    <xf numFmtId="0" fontId="9" fillId="0" borderId="54" xfId="0" applyFont="1" applyFill="1" applyBorder="1" applyAlignment="1"/>
    <xf numFmtId="0" fontId="9" fillId="0" borderId="54" xfId="0" applyFont="1" applyBorder="1" applyAlignment="1">
      <alignment horizontal="center" wrapText="1"/>
    </xf>
    <xf numFmtId="14" fontId="10" fillId="0" borderId="0" xfId="0" applyNumberFormat="1" applyFont="1" applyBorder="1" applyAlignment="1">
      <alignment horizontal="center"/>
    </xf>
    <xf numFmtId="0" fontId="9" fillId="0" borderId="0" xfId="0" applyFont="1" applyBorder="1"/>
    <xf numFmtId="2" fontId="9" fillId="0" borderId="0" xfId="0" applyNumberFormat="1" applyFont="1" applyBorder="1"/>
    <xf numFmtId="0" fontId="41" fillId="0" borderId="6" xfId="0" applyNumberFormat="1" applyFont="1" applyBorder="1" applyAlignment="1">
      <alignment horizontal="center" vertical="center"/>
    </xf>
    <xf numFmtId="0" fontId="41" fillId="0" borderId="54" xfId="1" applyNumberFormat="1" applyFont="1" applyBorder="1" applyAlignment="1">
      <alignment horizontal="center" vertical="center"/>
    </xf>
    <xf numFmtId="0" fontId="41" fillId="0" borderId="6" xfId="0" applyNumberFormat="1" applyFont="1" applyFill="1" applyBorder="1" applyAlignment="1">
      <alignment horizontal="center" vertical="center"/>
    </xf>
    <xf numFmtId="0" fontId="41" fillId="0" borderId="54" xfId="0" applyNumberFormat="1" applyFont="1" applyFill="1" applyBorder="1" applyAlignment="1">
      <alignment horizontal="center" vertical="center"/>
    </xf>
    <xf numFmtId="0" fontId="41" fillId="0" borderId="54" xfId="1" applyNumberFormat="1" applyFont="1" applyFill="1" applyBorder="1" applyAlignment="1">
      <alignment horizontal="center" vertical="center"/>
    </xf>
    <xf numFmtId="0" fontId="46" fillId="0" borderId="54" xfId="1" applyNumberFormat="1" applyFont="1" applyBorder="1" applyAlignment="1">
      <alignment horizontal="center" vertical="center"/>
    </xf>
    <xf numFmtId="0" fontId="41" fillId="0" borderId="2" xfId="1" applyNumberFormat="1" applyFont="1" applyBorder="1" applyAlignment="1">
      <alignment horizontal="center" vertical="center"/>
    </xf>
    <xf numFmtId="0" fontId="9" fillId="0" borderId="13" xfId="0" applyNumberFormat="1" applyFont="1" applyBorder="1" applyAlignment="1">
      <alignment horizontal="center" vertical="center" wrapText="1"/>
    </xf>
    <xf numFmtId="0" fontId="9" fillId="0" borderId="14" xfId="0" applyNumberFormat="1" applyFont="1" applyBorder="1" applyAlignment="1">
      <alignment horizontal="center" vertical="center" wrapText="1"/>
    </xf>
    <xf numFmtId="0" fontId="9" fillId="0" borderId="0" xfId="1" applyNumberFormat="1" applyFont="1" applyBorder="1" applyAlignment="1">
      <alignment horizontal="center" vertical="center" wrapText="1"/>
    </xf>
    <xf numFmtId="0" fontId="9" fillId="0" borderId="39" xfId="0" applyNumberFormat="1" applyFont="1" applyBorder="1" applyAlignment="1">
      <alignment horizontal="center" vertical="center" wrapText="1"/>
    </xf>
    <xf numFmtId="0" fontId="9" fillId="0" borderId="39" xfId="1" applyNumberFormat="1" applyFont="1" applyBorder="1" applyAlignment="1">
      <alignment horizontal="center" vertical="center" wrapText="1"/>
    </xf>
    <xf numFmtId="0" fontId="9" fillId="0" borderId="14" xfId="0" applyNumberFormat="1" applyFont="1" applyFill="1" applyBorder="1" applyAlignment="1">
      <alignment horizontal="center" vertical="center" wrapText="1"/>
    </xf>
    <xf numFmtId="0" fontId="9" fillId="0" borderId="37" xfId="0" applyNumberFormat="1" applyFont="1" applyFill="1" applyBorder="1" applyAlignment="1">
      <alignment horizontal="center" vertical="center" wrapText="1"/>
    </xf>
    <xf numFmtId="0" fontId="9" fillId="0" borderId="37" xfId="1" applyNumberFormat="1" applyFont="1" applyFill="1" applyBorder="1" applyAlignment="1">
      <alignment horizontal="center" vertical="center" wrapText="1"/>
    </xf>
    <xf numFmtId="0" fontId="9" fillId="0" borderId="13" xfId="0" applyNumberFormat="1" applyFont="1" applyFill="1" applyBorder="1" applyAlignment="1">
      <alignment horizontal="center" vertical="center" wrapText="1"/>
    </xf>
    <xf numFmtId="0" fontId="27" fillId="0" borderId="0" xfId="1" applyNumberFormat="1" applyFont="1" applyFill="1" applyBorder="1" applyAlignment="1">
      <alignment horizontal="center" vertical="center" wrapText="1"/>
    </xf>
    <xf numFmtId="0" fontId="27" fillId="0" borderId="37" xfId="1" applyNumberFormat="1" applyFont="1" applyFill="1" applyBorder="1" applyAlignment="1">
      <alignment horizontal="center" vertical="center" wrapText="1"/>
    </xf>
    <xf numFmtId="0" fontId="9" fillId="0" borderId="9" xfId="1" applyNumberFormat="1" applyFont="1" applyFill="1" applyBorder="1" applyAlignment="1">
      <alignment horizontal="center" vertical="center" wrapText="1"/>
    </xf>
    <xf numFmtId="0" fontId="9" fillId="0" borderId="15" xfId="1" applyNumberFormat="1" applyFont="1" applyFill="1" applyBorder="1" applyAlignment="1">
      <alignment horizontal="center" vertical="center" wrapText="1"/>
    </xf>
    <xf numFmtId="0" fontId="10" fillId="0" borderId="57" xfId="0" applyNumberFormat="1" applyFont="1" applyBorder="1" applyAlignment="1">
      <alignment horizontal="center" vertical="center" wrapText="1"/>
    </xf>
    <xf numFmtId="0" fontId="10" fillId="0" borderId="76" xfId="0" applyNumberFormat="1" applyFont="1" applyBorder="1" applyAlignment="1">
      <alignment horizontal="center" vertical="center" wrapText="1"/>
    </xf>
    <xf numFmtId="0" fontId="10" fillId="0" borderId="50" xfId="0" applyNumberFormat="1" applyFont="1" applyBorder="1" applyAlignment="1">
      <alignment horizontal="center" vertical="center" wrapText="1"/>
    </xf>
    <xf numFmtId="0" fontId="10" fillId="0" borderId="75" xfId="0" applyNumberFormat="1" applyFont="1" applyBorder="1" applyAlignment="1">
      <alignment horizontal="center" vertical="center" wrapText="1"/>
    </xf>
    <xf numFmtId="0" fontId="10" fillId="0" borderId="50" xfId="1" applyNumberFormat="1" applyFont="1" applyBorder="1" applyAlignment="1">
      <alignment horizontal="center" vertical="center" wrapText="1"/>
    </xf>
    <xf numFmtId="0" fontId="10" fillId="0" borderId="75" xfId="1" applyNumberFormat="1" applyFont="1" applyBorder="1" applyAlignment="1">
      <alignment horizontal="center" vertical="center" wrapText="1"/>
    </xf>
    <xf numFmtId="0" fontId="10" fillId="0" borderId="76" xfId="0" applyNumberFormat="1" applyFont="1" applyFill="1" applyBorder="1" applyAlignment="1">
      <alignment horizontal="center" vertical="center" wrapText="1"/>
    </xf>
    <xf numFmtId="0" fontId="10" fillId="0" borderId="50" xfId="0" applyNumberFormat="1" applyFont="1" applyFill="1" applyBorder="1" applyAlignment="1">
      <alignment horizontal="center" vertical="center" wrapText="1"/>
    </xf>
    <xf numFmtId="0" fontId="10" fillId="0" borderId="57" xfId="0" applyNumberFormat="1" applyFont="1" applyFill="1" applyBorder="1" applyAlignment="1">
      <alignment horizontal="center" vertical="center" wrapText="1"/>
    </xf>
    <xf numFmtId="0" fontId="10" fillId="0" borderId="75" xfId="0" applyNumberFormat="1" applyFont="1" applyFill="1" applyBorder="1" applyAlignment="1">
      <alignment horizontal="center" vertical="center" wrapText="1"/>
    </xf>
    <xf numFmtId="0" fontId="10" fillId="0" borderId="75" xfId="1" applyNumberFormat="1" applyFont="1" applyFill="1" applyBorder="1" applyAlignment="1">
      <alignment horizontal="center" vertical="center" wrapText="1"/>
    </xf>
    <xf numFmtId="0" fontId="22" fillId="0" borderId="75" xfId="1" applyNumberFormat="1" applyFont="1" applyFill="1" applyBorder="1" applyAlignment="1">
      <alignment horizontal="center" vertical="center" wrapText="1"/>
    </xf>
    <xf numFmtId="0" fontId="10" fillId="0" borderId="77" xfId="0" applyNumberFormat="1" applyFont="1" applyFill="1" applyBorder="1" applyAlignment="1">
      <alignment horizontal="center" vertical="center" wrapText="1"/>
    </xf>
    <xf numFmtId="0" fontId="10" fillId="0" borderId="50" xfId="1" applyNumberFormat="1" applyFont="1" applyFill="1" applyBorder="1" applyAlignment="1">
      <alignment horizontal="center" vertical="center" wrapText="1"/>
    </xf>
    <xf numFmtId="0" fontId="10" fillId="0" borderId="77" xfId="1" applyNumberFormat="1" applyFont="1" applyFill="1" applyBorder="1" applyAlignment="1">
      <alignment horizontal="center" vertical="center" wrapText="1"/>
    </xf>
    <xf numFmtId="0" fontId="48" fillId="0" borderId="69" xfId="0" applyNumberFormat="1" applyFont="1" applyBorder="1" applyAlignment="1">
      <alignment vertical="top" wrapText="1"/>
    </xf>
    <xf numFmtId="0" fontId="48" fillId="0" borderId="39" xfId="0" applyNumberFormat="1" applyFont="1" applyBorder="1" applyAlignment="1">
      <alignment horizontal="left" vertical="top" wrapText="1"/>
    </xf>
    <xf numFmtId="0" fontId="48" fillId="0" borderId="13" xfId="0" applyNumberFormat="1" applyFont="1" applyBorder="1" applyAlignment="1">
      <alignment horizontal="left" vertical="top" wrapText="1"/>
    </xf>
    <xf numFmtId="0" fontId="48" fillId="0" borderId="1" xfId="0" applyNumberFormat="1" applyFont="1" applyBorder="1" applyAlignment="1">
      <alignment horizontal="left" vertical="top" wrapText="1"/>
    </xf>
    <xf numFmtId="0" fontId="48" fillId="0" borderId="0" xfId="0" applyNumberFormat="1" applyFont="1" applyBorder="1" applyAlignment="1">
      <alignment horizontal="left" vertical="top" wrapText="1"/>
    </xf>
    <xf numFmtId="0" fontId="48" fillId="0" borderId="0" xfId="1" applyNumberFormat="1" applyFont="1" applyBorder="1" applyAlignment="1">
      <alignment horizontal="left" vertical="top" wrapText="1"/>
    </xf>
    <xf numFmtId="0" fontId="48" fillId="0" borderId="39" xfId="1" applyNumberFormat="1" applyFont="1" applyBorder="1" applyAlignment="1">
      <alignment horizontal="left" vertical="top" wrapText="1"/>
    </xf>
    <xf numFmtId="0" fontId="48" fillId="0" borderId="0" xfId="0" applyNumberFormat="1" applyFont="1" applyFill="1" applyBorder="1" applyAlignment="1">
      <alignment horizontal="left" vertical="top" wrapText="1"/>
    </xf>
    <xf numFmtId="0" fontId="48" fillId="0" borderId="0" xfId="0" applyNumberFormat="1" applyFont="1" applyFill="1" applyBorder="1" applyAlignment="1">
      <alignment vertical="top" wrapText="1"/>
    </xf>
    <xf numFmtId="0" fontId="48" fillId="0" borderId="39" xfId="0" applyNumberFormat="1" applyFont="1" applyFill="1" applyBorder="1" applyAlignment="1">
      <alignment horizontal="left" vertical="top" wrapText="1"/>
    </xf>
    <xf numFmtId="0" fontId="48" fillId="0" borderId="0" xfId="1" applyNumberFormat="1" applyFont="1" applyFill="1" applyBorder="1" applyAlignment="1">
      <alignment horizontal="left" vertical="top" wrapText="1"/>
    </xf>
    <xf numFmtId="0" fontId="48" fillId="0" borderId="1" xfId="1" applyNumberFormat="1" applyFont="1" applyFill="1" applyBorder="1" applyAlignment="1">
      <alignment horizontal="left" vertical="top" wrapText="1"/>
    </xf>
    <xf numFmtId="0" fontId="48" fillId="0" borderId="39" xfId="1" applyNumberFormat="1" applyFont="1" applyFill="1" applyBorder="1" applyAlignment="1">
      <alignment horizontal="left" vertical="top" wrapText="1"/>
    </xf>
    <xf numFmtId="0" fontId="48" fillId="0" borderId="69" xfId="0" applyNumberFormat="1" applyFont="1" applyBorder="1" applyAlignment="1">
      <alignment horizontal="left" vertical="top" wrapText="1"/>
    </xf>
    <xf numFmtId="0" fontId="5" fillId="0" borderId="1" xfId="0" applyNumberFormat="1" applyFont="1" applyFill="1" applyBorder="1" applyAlignment="1">
      <alignment horizontal="left" vertical="top" wrapText="1"/>
    </xf>
    <xf numFmtId="0" fontId="5" fillId="0" borderId="13" xfId="0" applyNumberFormat="1" applyFont="1" applyFill="1" applyBorder="1" applyAlignment="1">
      <alignment horizontal="left" vertical="top" wrapText="1"/>
    </xf>
    <xf numFmtId="0" fontId="48" fillId="0" borderId="0" xfId="0" applyFont="1"/>
    <xf numFmtId="0" fontId="51" fillId="10" borderId="75" xfId="8" applyNumberFormat="1" applyFont="1" applyFill="1" applyBorder="1" applyAlignment="1">
      <alignment horizontal="left" vertical="top" wrapText="1"/>
    </xf>
    <xf numFmtId="0" fontId="10" fillId="0" borderId="0" xfId="0" applyFont="1" applyAlignment="1">
      <alignment vertical="center"/>
    </xf>
    <xf numFmtId="0" fontId="22" fillId="0" borderId="0" xfId="0" applyNumberFormat="1" applyFont="1"/>
    <xf numFmtId="0" fontId="10" fillId="0" borderId="0" xfId="0" applyNumberFormat="1" applyFont="1" applyFill="1" applyBorder="1" applyAlignment="1">
      <alignment vertical="center" wrapText="1"/>
    </xf>
    <xf numFmtId="0" fontId="46" fillId="0" borderId="54" xfId="0" applyNumberFormat="1" applyFont="1" applyFill="1" applyBorder="1" applyAlignment="1">
      <alignment horizontal="center" vertical="center"/>
    </xf>
    <xf numFmtId="0" fontId="46" fillId="0" borderId="54" xfId="1" applyNumberFormat="1" applyFont="1" applyFill="1" applyBorder="1" applyAlignment="1">
      <alignment horizontal="center" vertical="center"/>
    </xf>
    <xf numFmtId="0" fontId="9" fillId="0" borderId="26" xfId="0" applyNumberFormat="1" applyFont="1" applyFill="1" applyBorder="1" applyAlignment="1">
      <alignment horizontal="center" vertical="center" wrapText="1"/>
    </xf>
    <xf numFmtId="0" fontId="27" fillId="0" borderId="14" xfId="1" applyNumberFormat="1" applyFont="1" applyFill="1" applyBorder="1" applyAlignment="1">
      <alignment horizontal="center" vertical="center" wrapText="1"/>
    </xf>
    <xf numFmtId="0" fontId="27" fillId="0" borderId="15" xfId="1" applyNumberFormat="1" applyFont="1" applyFill="1" applyBorder="1" applyAlignment="1">
      <alignment horizontal="center" vertical="center" wrapText="1"/>
    </xf>
    <xf numFmtId="0" fontId="22" fillId="0" borderId="76" xfId="1" applyNumberFormat="1" applyFont="1" applyFill="1" applyBorder="1" applyAlignment="1">
      <alignment horizontal="center" vertical="center" wrapText="1"/>
    </xf>
    <xf numFmtId="0" fontId="22" fillId="0" borderId="77" xfId="1" applyNumberFormat="1" applyFont="1" applyFill="1" applyBorder="1" applyAlignment="1">
      <alignment horizontal="center" vertical="center" wrapText="1"/>
    </xf>
    <xf numFmtId="0" fontId="48" fillId="0" borderId="13" xfId="0" applyNumberFormat="1" applyFont="1" applyBorder="1" applyAlignment="1">
      <alignment vertical="top" wrapText="1"/>
    </xf>
    <xf numFmtId="0" fontId="5" fillId="0" borderId="13" xfId="0" applyNumberFormat="1" applyFont="1" applyBorder="1" applyAlignment="1">
      <alignment horizontal="left" vertical="top" wrapText="1"/>
    </xf>
    <xf numFmtId="0" fontId="5" fillId="0" borderId="0" xfId="0" applyNumberFormat="1" applyFont="1" applyBorder="1" applyAlignment="1">
      <alignment horizontal="left" vertical="top" wrapText="1"/>
    </xf>
    <xf numFmtId="0" fontId="5" fillId="0" borderId="1" xfId="0" applyNumberFormat="1" applyFont="1" applyBorder="1" applyAlignment="1">
      <alignment horizontal="left" vertical="top" wrapText="1"/>
    </xf>
    <xf numFmtId="0" fontId="5" fillId="0" borderId="39" xfId="0" applyNumberFormat="1" applyFont="1" applyBorder="1" applyAlignment="1">
      <alignment horizontal="left" vertical="top" wrapText="1"/>
    </xf>
    <xf numFmtId="0" fontId="51" fillId="0" borderId="13" xfId="8" applyNumberFormat="1" applyFont="1" applyBorder="1" applyAlignment="1">
      <alignment vertical="top" wrapText="1"/>
    </xf>
    <xf numFmtId="0" fontId="51" fillId="0" borderId="0" xfId="8" applyNumberFormat="1" applyFont="1" applyBorder="1" applyAlignment="1">
      <alignment vertical="top" wrapText="1"/>
    </xf>
    <xf numFmtId="0" fontId="51" fillId="0" borderId="13" xfId="8" applyNumberFormat="1" applyFont="1" applyBorder="1" applyAlignment="1">
      <alignment wrapText="1"/>
    </xf>
    <xf numFmtId="0" fontId="51" fillId="0" borderId="76" xfId="8" applyNumberFormat="1" applyFont="1" applyBorder="1" applyAlignment="1">
      <alignment vertical="top" wrapText="1"/>
    </xf>
    <xf numFmtId="0" fontId="51" fillId="0" borderId="50" xfId="8" applyNumberFormat="1" applyFont="1" applyBorder="1" applyAlignment="1">
      <alignment vertical="top" wrapText="1"/>
    </xf>
    <xf numFmtId="0" fontId="51" fillId="10" borderId="50" xfId="8" applyNumberFormat="1" applyFont="1" applyFill="1" applyBorder="1" applyAlignment="1">
      <alignment horizontal="left" vertical="top" wrapText="1"/>
    </xf>
    <xf numFmtId="0" fontId="51" fillId="10" borderId="50" xfId="8" applyNumberFormat="1" applyFont="1" applyFill="1" applyBorder="1" applyAlignment="1">
      <alignment vertical="top" wrapText="1"/>
    </xf>
    <xf numFmtId="0" fontId="9" fillId="0" borderId="59" xfId="0" applyFont="1" applyBorder="1" applyAlignment="1">
      <alignment horizontal="center" vertical="center" wrapText="1"/>
    </xf>
    <xf numFmtId="0" fontId="10" fillId="0" borderId="37" xfId="0" applyFont="1" applyBorder="1" applyAlignment="1">
      <alignment horizontal="center" vertical="center"/>
    </xf>
    <xf numFmtId="0" fontId="10" fillId="0" borderId="14" xfId="0" applyFont="1" applyBorder="1" applyAlignment="1">
      <alignment horizontal="center"/>
    </xf>
    <xf numFmtId="0" fontId="40" fillId="0" borderId="47" xfId="0" applyFont="1" applyBorder="1" applyAlignment="1">
      <alignment vertical="center"/>
    </xf>
    <xf numFmtId="0" fontId="41" fillId="7" borderId="88" xfId="0" applyFont="1" applyFill="1" applyBorder="1" applyAlignment="1" applyProtection="1">
      <alignment horizontal="center" vertical="center"/>
      <protection locked="0"/>
    </xf>
    <xf numFmtId="0" fontId="39" fillId="0" borderId="0" xfId="0" applyFont="1" applyBorder="1" applyAlignment="1">
      <alignment horizontal="center"/>
    </xf>
    <xf numFmtId="0" fontId="53" fillId="0" borderId="0" xfId="0" applyFont="1" applyBorder="1"/>
    <xf numFmtId="0" fontId="53" fillId="0" borderId="53" xfId="0" applyFont="1" applyBorder="1"/>
    <xf numFmtId="0" fontId="53" fillId="0" borderId="0" xfId="0" applyFont="1"/>
    <xf numFmtId="164" fontId="10" fillId="0" borderId="54" xfId="0" applyNumberFormat="1" applyFont="1" applyFill="1" applyBorder="1" applyAlignment="1">
      <alignment horizontal="right" vertical="center"/>
    </xf>
    <xf numFmtId="164" fontId="57" fillId="0" borderId="0" xfId="0" applyNumberFormat="1" applyFont="1" applyFill="1" applyBorder="1"/>
    <xf numFmtId="164" fontId="31" fillId="0" borderId="54" xfId="0" applyNumberFormat="1" applyFont="1" applyFill="1" applyBorder="1"/>
    <xf numFmtId="164" fontId="31" fillId="0" borderId="0" xfId="0" applyNumberFormat="1" applyFont="1" applyFill="1" applyBorder="1"/>
    <xf numFmtId="168" fontId="10" fillId="0" borderId="54" xfId="1" applyNumberFormat="1" applyFont="1" applyBorder="1" applyAlignment="1">
      <alignment horizontal="center" vertical="center"/>
    </xf>
    <xf numFmtId="168" fontId="10" fillId="0" borderId="0" xfId="1" applyNumberFormat="1" applyFont="1" applyBorder="1" applyAlignment="1">
      <alignment horizontal="center" vertical="center"/>
    </xf>
    <xf numFmtId="168" fontId="10" fillId="0" borderId="0" xfId="0" applyNumberFormat="1" applyFont="1" applyBorder="1" applyAlignment="1">
      <alignment horizontal="center" vertical="center"/>
    </xf>
    <xf numFmtId="168" fontId="10" fillId="0" borderId="54" xfId="0" applyNumberFormat="1" applyFont="1" applyBorder="1" applyAlignment="1">
      <alignment horizontal="center" vertical="center"/>
    </xf>
    <xf numFmtId="0" fontId="58" fillId="0" borderId="0" xfId="0" applyFont="1" applyFill="1" applyBorder="1" applyAlignment="1">
      <alignment horizontal="left" vertical="center" wrapText="1"/>
    </xf>
    <xf numFmtId="0" fontId="58" fillId="0" borderId="0" xfId="0" applyFont="1" applyFill="1" applyBorder="1" applyAlignment="1">
      <alignment horizontal="center" vertical="center" wrapText="1"/>
    </xf>
    <xf numFmtId="0" fontId="58" fillId="0" borderId="53" xfId="0" applyFont="1" applyFill="1" applyBorder="1" applyAlignment="1">
      <alignment horizontal="center" vertical="center" wrapText="1"/>
    </xf>
    <xf numFmtId="0" fontId="58" fillId="0" borderId="0" xfId="0" applyFont="1" applyFill="1" applyBorder="1" applyAlignment="1">
      <alignment horizontal="left" vertical="center"/>
    </xf>
    <xf numFmtId="172" fontId="9" fillId="0" borderId="20" xfId="0" applyNumberFormat="1" applyFont="1" applyBorder="1" applyAlignment="1">
      <alignment horizontal="center"/>
    </xf>
    <xf numFmtId="14" fontId="9" fillId="0" borderId="22" xfId="0" applyNumberFormat="1" applyFont="1" applyBorder="1" applyAlignment="1">
      <alignment horizontal="center"/>
    </xf>
    <xf numFmtId="0" fontId="15" fillId="0" borderId="7" xfId="0" applyFont="1" applyBorder="1" applyAlignment="1">
      <alignment horizontal="center"/>
    </xf>
    <xf numFmtId="0" fontId="15" fillId="0" borderId="54" xfId="0" applyFont="1" applyBorder="1" applyAlignment="1">
      <alignment horizontal="center"/>
    </xf>
    <xf numFmtId="164" fontId="10" fillId="0" borderId="54" xfId="0" applyNumberFormat="1" applyFont="1" applyBorder="1"/>
    <xf numFmtId="173" fontId="10" fillId="0" borderId="0" xfId="0" applyNumberFormat="1" applyFont="1" applyBorder="1"/>
    <xf numFmtId="174" fontId="10" fillId="0" borderId="0" xfId="0" applyNumberFormat="1" applyFont="1" applyBorder="1"/>
    <xf numFmtId="175" fontId="10" fillId="0" borderId="0" xfId="0" applyNumberFormat="1" applyFont="1" applyBorder="1"/>
    <xf numFmtId="176" fontId="10" fillId="0" borderId="0" xfId="0" applyNumberFormat="1" applyFont="1" applyBorder="1"/>
    <xf numFmtId="164" fontId="31" fillId="0" borderId="54" xfId="0" applyNumberFormat="1" applyFont="1" applyBorder="1" applyAlignment="1">
      <alignment horizontal="right" vertical="center"/>
    </xf>
    <xf numFmtId="0" fontId="41" fillId="7" borderId="43" xfId="0" applyFont="1" applyFill="1" applyBorder="1" applyAlignment="1" applyProtection="1">
      <alignment horizontal="center" vertical="center"/>
      <protection locked="0"/>
    </xf>
    <xf numFmtId="0" fontId="10" fillId="0" borderId="52" xfId="0" applyFont="1" applyBorder="1" applyAlignment="1"/>
    <xf numFmtId="0" fontId="10" fillId="0" borderId="0" xfId="0" applyFont="1" applyBorder="1" applyAlignment="1"/>
    <xf numFmtId="0" fontId="58" fillId="0" borderId="0" xfId="0" applyFont="1" applyFill="1" applyBorder="1" applyAlignment="1">
      <alignment horizontal="center" vertical="center"/>
    </xf>
    <xf numFmtId="0" fontId="16" fillId="0" borderId="0" xfId="0" applyFont="1" applyFill="1" applyBorder="1" applyAlignment="1"/>
    <xf numFmtId="0" fontId="9" fillId="0" borderId="20" xfId="0" applyFont="1" applyBorder="1" applyAlignment="1">
      <alignment horizontal="center" vertical="center" wrapText="1"/>
    </xf>
    <xf numFmtId="164" fontId="31" fillId="0" borderId="39" xfId="0" applyNumberFormat="1" applyFont="1" applyBorder="1" applyAlignment="1">
      <alignment horizontal="center"/>
    </xf>
    <xf numFmtId="171" fontId="10" fillId="0" borderId="39" xfId="0" applyNumberFormat="1" applyFont="1" applyBorder="1" applyAlignment="1">
      <alignment horizontal="center"/>
    </xf>
    <xf numFmtId="166" fontId="10" fillId="0" borderId="39" xfId="0" applyNumberFormat="1" applyFont="1" applyBorder="1" applyAlignment="1">
      <alignment horizontal="center"/>
    </xf>
    <xf numFmtId="164" fontId="31" fillId="0" borderId="42" xfId="0" applyNumberFormat="1" applyFont="1" applyBorder="1" applyAlignment="1">
      <alignment horizontal="center"/>
    </xf>
    <xf numFmtId="171" fontId="10" fillId="0" borderId="42" xfId="0" applyNumberFormat="1" applyFont="1" applyBorder="1" applyAlignment="1">
      <alignment horizontal="center"/>
    </xf>
    <xf numFmtId="166" fontId="10" fillId="0" borderId="42" xfId="0" applyNumberFormat="1" applyFont="1" applyBorder="1" applyAlignment="1">
      <alignment horizontal="center"/>
    </xf>
    <xf numFmtId="164" fontId="31" fillId="0" borderId="41" xfId="0" applyNumberFormat="1" applyFont="1" applyBorder="1" applyAlignment="1">
      <alignment horizontal="center"/>
    </xf>
    <xf numFmtId="171" fontId="10" fillId="0" borderId="41" xfId="0" applyNumberFormat="1" applyFont="1" applyBorder="1" applyAlignment="1">
      <alignment horizontal="center"/>
    </xf>
    <xf numFmtId="166" fontId="10" fillId="0" borderId="41" xfId="0" applyNumberFormat="1" applyFont="1" applyBorder="1" applyAlignment="1">
      <alignment horizontal="center"/>
    </xf>
    <xf numFmtId="0" fontId="10" fillId="0" borderId="0" xfId="0" applyFont="1" applyFill="1" applyBorder="1" applyAlignment="1"/>
    <xf numFmtId="0" fontId="11" fillId="0" borderId="0" xfId="0" applyFont="1" applyFill="1" applyBorder="1" applyAlignment="1">
      <alignment horizontal="center" vertical="center"/>
    </xf>
    <xf numFmtId="0" fontId="56" fillId="0" borderId="0" xfId="8" applyFont="1" applyBorder="1" applyAlignment="1">
      <alignment horizontal="center" vertical="center"/>
    </xf>
    <xf numFmtId="0" fontId="10" fillId="0" borderId="47" xfId="0" applyFont="1" applyFill="1" applyBorder="1"/>
    <xf numFmtId="0" fontId="10" fillId="0" borderId="48" xfId="0" applyFont="1" applyFill="1" applyBorder="1"/>
    <xf numFmtId="0" fontId="9" fillId="0" borderId="13" xfId="0" applyFont="1" applyBorder="1" applyAlignment="1">
      <alignment horizontal="center"/>
    </xf>
    <xf numFmtId="0" fontId="10" fillId="0" borderId="53" xfId="0" applyFont="1" applyFill="1" applyBorder="1"/>
    <xf numFmtId="164" fontId="22" fillId="0" borderId="13" xfId="0" applyNumberFormat="1" applyFont="1" applyFill="1" applyBorder="1"/>
    <xf numFmtId="164" fontId="10" fillId="0" borderId="13" xfId="0" applyNumberFormat="1" applyFont="1" applyFill="1" applyBorder="1"/>
    <xf numFmtId="164" fontId="10" fillId="0" borderId="13" xfId="0" applyNumberFormat="1" applyFont="1" applyFill="1" applyBorder="1" applyAlignment="1">
      <alignment horizontal="right" vertical="center"/>
    </xf>
    <xf numFmtId="164" fontId="31" fillId="0" borderId="59" xfId="0" applyNumberFormat="1" applyFont="1" applyFill="1" applyBorder="1"/>
    <xf numFmtId="164" fontId="31" fillId="0" borderId="13" xfId="0" applyNumberFormat="1" applyFont="1" applyFill="1" applyBorder="1"/>
    <xf numFmtId="168" fontId="10" fillId="0" borderId="22" xfId="1" applyNumberFormat="1" applyFont="1" applyBorder="1" applyAlignment="1">
      <alignment horizontal="center" vertical="center"/>
    </xf>
    <xf numFmtId="168" fontId="10" fillId="0" borderId="13" xfId="1" applyNumberFormat="1" applyFont="1" applyBorder="1" applyAlignment="1">
      <alignment horizontal="center" vertical="center"/>
    </xf>
    <xf numFmtId="168" fontId="10" fillId="0" borderId="22" xfId="0" applyNumberFormat="1" applyFont="1" applyBorder="1" applyAlignment="1">
      <alignment horizontal="center" vertical="center"/>
    </xf>
    <xf numFmtId="168" fontId="10" fillId="0" borderId="13" xfId="0" applyNumberFormat="1" applyFont="1" applyBorder="1" applyAlignment="1">
      <alignment horizontal="center" vertical="center"/>
    </xf>
    <xf numFmtId="0" fontId="10" fillId="0" borderId="50" xfId="0" applyFont="1" applyFill="1" applyBorder="1"/>
    <xf numFmtId="0" fontId="10" fillId="0" borderId="51" xfId="0" applyFont="1" applyFill="1" applyBorder="1"/>
    <xf numFmtId="17" fontId="10" fillId="0" borderId="0" xfId="0" applyNumberFormat="1" applyFont="1"/>
    <xf numFmtId="177" fontId="10" fillId="0" borderId="0" xfId="0" applyNumberFormat="1" applyFont="1" applyBorder="1"/>
    <xf numFmtId="164" fontId="31" fillId="0" borderId="8" xfId="0" applyNumberFormat="1" applyFont="1" applyBorder="1" applyAlignment="1">
      <alignment horizontal="right" vertical="center"/>
    </xf>
    <xf numFmtId="0" fontId="15" fillId="0" borderId="0" xfId="8" applyFont="1" applyFill="1" applyBorder="1" applyAlignment="1">
      <alignment horizontal="left" vertical="top" wrapText="1"/>
    </xf>
    <xf numFmtId="0" fontId="10" fillId="0" borderId="0" xfId="0" applyFont="1" applyBorder="1" applyAlignment="1">
      <alignment vertical="center"/>
    </xf>
    <xf numFmtId="0" fontId="40" fillId="0" borderId="47" xfId="0" applyFont="1" applyFill="1" applyBorder="1" applyAlignment="1">
      <alignment horizontal="center" vertical="center"/>
    </xf>
    <xf numFmtId="0" fontId="41" fillId="7" borderId="108" xfId="0" applyFont="1" applyFill="1" applyBorder="1" applyAlignment="1" applyProtection="1">
      <alignment horizontal="center" vertical="center"/>
      <protection locked="0"/>
    </xf>
    <xf numFmtId="0" fontId="7" fillId="25" borderId="96" xfId="8" applyFont="1" applyFill="1" applyBorder="1" applyAlignment="1">
      <alignment horizontal="center" wrapText="1"/>
    </xf>
    <xf numFmtId="0" fontId="39" fillId="0" borderId="20" xfId="0" applyFont="1" applyBorder="1" applyAlignment="1">
      <alignment horizontal="center" vertical="center"/>
    </xf>
    <xf numFmtId="0" fontId="39" fillId="0" borderId="22" xfId="0" applyFont="1" applyBorder="1" applyAlignment="1">
      <alignment horizontal="center" vertical="center"/>
    </xf>
    <xf numFmtId="164" fontId="22" fillId="0" borderId="54" xfId="0" applyNumberFormat="1" applyFont="1" applyFill="1" applyBorder="1" applyAlignment="1">
      <alignment vertical="center"/>
    </xf>
    <xf numFmtId="164" fontId="10" fillId="0" borderId="54" xfId="0" applyNumberFormat="1" applyFont="1" applyFill="1" applyBorder="1" applyAlignment="1">
      <alignment vertical="center"/>
    </xf>
    <xf numFmtId="0" fontId="10" fillId="0" borderId="54" xfId="0" applyFont="1" applyBorder="1" applyAlignment="1">
      <alignment vertical="center" wrapText="1"/>
    </xf>
    <xf numFmtId="0" fontId="10" fillId="0" borderId="22" xfId="0" applyFont="1" applyBorder="1" applyAlignment="1">
      <alignment vertical="center" wrapText="1"/>
    </xf>
    <xf numFmtId="0" fontId="9" fillId="0" borderId="59" xfId="0" applyFont="1" applyBorder="1" applyAlignment="1">
      <alignment vertical="center"/>
    </xf>
    <xf numFmtId="0" fontId="9" fillId="0" borderId="22" xfId="0" applyFont="1" applyBorder="1" applyAlignment="1">
      <alignment horizontal="center" vertical="center"/>
    </xf>
    <xf numFmtId="0" fontId="9" fillId="0" borderId="20" xfId="0" applyFont="1" applyBorder="1" applyAlignment="1">
      <alignment horizontal="center" vertical="center"/>
    </xf>
    <xf numFmtId="180" fontId="10" fillId="0" borderId="54" xfId="0" applyNumberFormat="1" applyFont="1" applyBorder="1" applyAlignment="1">
      <alignment horizontal="center" vertical="center"/>
    </xf>
    <xf numFmtId="1" fontId="10" fillId="0" borderId="54" xfId="0" applyNumberFormat="1" applyFont="1" applyBorder="1" applyAlignment="1">
      <alignment horizontal="center" vertical="center"/>
    </xf>
    <xf numFmtId="179" fontId="10" fillId="0" borderId="0" xfId="0" applyNumberFormat="1" applyFont="1" applyBorder="1"/>
    <xf numFmtId="166" fontId="10" fillId="0" borderId="0" xfId="0" applyNumberFormat="1" applyFont="1" applyBorder="1" applyAlignment="1">
      <alignment horizontal="center" vertical="center"/>
    </xf>
    <xf numFmtId="2" fontId="10" fillId="0" borderId="54" xfId="0" applyNumberFormat="1" applyFont="1" applyBorder="1" applyAlignment="1">
      <alignment horizontal="center" vertical="center"/>
    </xf>
    <xf numFmtId="2" fontId="17" fillId="0" borderId="54" xfId="0" applyNumberFormat="1" applyFont="1" applyBorder="1" applyAlignment="1">
      <alignment horizontal="center" vertical="center"/>
    </xf>
    <xf numFmtId="0" fontId="13" fillId="0" borderId="0" xfId="0" applyFont="1" applyAlignment="1">
      <alignment horizontal="center"/>
    </xf>
    <xf numFmtId="0" fontId="9" fillId="0" borderId="0" xfId="0" applyNumberFormat="1" applyFont="1" applyFill="1" applyBorder="1" applyAlignment="1">
      <alignment horizontal="right" vertical="center" wrapText="1"/>
    </xf>
    <xf numFmtId="0" fontId="10" fillId="0" borderId="115" xfId="0" applyFont="1" applyBorder="1"/>
    <xf numFmtId="0" fontId="10" fillId="0" borderId="29" xfId="0" applyFont="1" applyBorder="1"/>
    <xf numFmtId="0" fontId="10" fillId="0" borderId="116" xfId="0" applyFont="1" applyBorder="1"/>
    <xf numFmtId="16" fontId="10" fillId="0" borderId="0" xfId="0" applyNumberFormat="1" applyFont="1" applyBorder="1"/>
    <xf numFmtId="0" fontId="10" fillId="0" borderId="117" xfId="0" applyFont="1" applyBorder="1"/>
    <xf numFmtId="0" fontId="9" fillId="0" borderId="117" xfId="0" applyFont="1" applyBorder="1" applyAlignment="1">
      <alignment horizontal="right"/>
    </xf>
    <xf numFmtId="0" fontId="31" fillId="0" borderId="117" xfId="0" applyFont="1" applyBorder="1" applyAlignment="1">
      <alignment horizontal="right"/>
    </xf>
    <xf numFmtId="0" fontId="10" fillId="0" borderId="117" xfId="0" applyFont="1" applyBorder="1" applyAlignment="1">
      <alignment horizontal="right"/>
    </xf>
    <xf numFmtId="178" fontId="10" fillId="0" borderId="0" xfId="0" applyNumberFormat="1" applyFont="1" applyFill="1" applyBorder="1"/>
    <xf numFmtId="10" fontId="10" fillId="0" borderId="117" xfId="0" applyNumberFormat="1" applyFont="1" applyFill="1" applyBorder="1"/>
    <xf numFmtId="0" fontId="10" fillId="0" borderId="119" xfId="0" applyFont="1" applyBorder="1"/>
    <xf numFmtId="0" fontId="10" fillId="0" borderId="28" xfId="0" applyFont="1" applyBorder="1"/>
    <xf numFmtId="0" fontId="10" fillId="0" borderId="120" xfId="0" applyFont="1" applyBorder="1"/>
    <xf numFmtId="0" fontId="39" fillId="0" borderId="117" xfId="0" applyFont="1" applyFill="1" applyBorder="1" applyAlignment="1">
      <alignment vertical="center"/>
    </xf>
    <xf numFmtId="0" fontId="10" fillId="0" borderId="118" xfId="0" applyFont="1" applyBorder="1"/>
    <xf numFmtId="0" fontId="10" fillId="0" borderId="28" xfId="0" applyNumberFormat="1" applyFont="1" applyBorder="1" applyAlignment="1">
      <alignment horizontal="center" vertical="center"/>
    </xf>
    <xf numFmtId="0" fontId="10" fillId="0" borderId="28" xfId="0" applyFont="1" applyBorder="1" applyAlignment="1">
      <alignment horizontal="center" vertical="center"/>
    </xf>
    <xf numFmtId="0" fontId="10" fillId="0" borderId="29" xfId="0" applyNumberFormat="1" applyFont="1" applyBorder="1" applyAlignment="1">
      <alignment horizontal="center" vertical="center"/>
    </xf>
    <xf numFmtId="0" fontId="10" fillId="0" borderId="29" xfId="0" applyFont="1" applyBorder="1" applyAlignment="1">
      <alignment horizontal="center" vertical="center"/>
    </xf>
    <xf numFmtId="0" fontId="60" fillId="0" borderId="52" xfId="0" applyFont="1" applyFill="1" applyBorder="1" applyAlignment="1">
      <alignment horizontal="center" vertical="center"/>
    </xf>
    <xf numFmtId="0" fontId="60" fillId="0" borderId="0" xfId="0" applyFont="1" applyFill="1" applyBorder="1" applyAlignment="1">
      <alignment horizontal="center" vertical="center"/>
    </xf>
    <xf numFmtId="0" fontId="10" fillId="0" borderId="71" xfId="0" applyFont="1" applyBorder="1"/>
    <xf numFmtId="0" fontId="39" fillId="0" borderId="52" xfId="0" applyFont="1" applyFill="1" applyBorder="1" applyAlignment="1">
      <alignment horizontal="center" vertical="center"/>
    </xf>
    <xf numFmtId="0" fontId="9" fillId="0" borderId="52" xfId="0" applyFont="1" applyBorder="1" applyAlignment="1">
      <alignment horizontal="left"/>
    </xf>
    <xf numFmtId="0" fontId="9" fillId="0" borderId="53" xfId="0" applyFont="1" applyBorder="1" applyAlignment="1">
      <alignment horizontal="right"/>
    </xf>
    <xf numFmtId="0" fontId="9" fillId="0" borderId="52" xfId="0" applyNumberFormat="1" applyFont="1" applyBorder="1" applyAlignment="1">
      <alignment horizontal="left"/>
    </xf>
    <xf numFmtId="0" fontId="31" fillId="0" borderId="53" xfId="0" applyFont="1" applyBorder="1" applyAlignment="1">
      <alignment horizontal="right"/>
    </xf>
    <xf numFmtId="0" fontId="10" fillId="0" borderId="53" xfId="0" applyFont="1" applyBorder="1" applyAlignment="1">
      <alignment horizontal="right"/>
    </xf>
    <xf numFmtId="165" fontId="9" fillId="0" borderId="52" xfId="0" applyNumberFormat="1" applyFont="1" applyBorder="1" applyAlignment="1">
      <alignment horizontal="left"/>
    </xf>
    <xf numFmtId="0" fontId="10" fillId="0" borderId="72" xfId="0" applyFont="1" applyBorder="1"/>
    <xf numFmtId="0" fontId="31" fillId="0" borderId="64" xfId="0" applyFont="1" applyBorder="1" applyAlignment="1">
      <alignment horizontal="center" vertical="center"/>
    </xf>
    <xf numFmtId="0" fontId="9" fillId="0" borderId="55" xfId="0" applyNumberFormat="1" applyFont="1" applyFill="1" applyBorder="1" applyAlignment="1">
      <alignment horizontal="right" vertical="center" wrapText="1"/>
    </xf>
    <xf numFmtId="0" fontId="9" fillId="0" borderId="56" xfId="0" applyNumberFormat="1" applyFont="1" applyFill="1" applyBorder="1" applyAlignment="1">
      <alignment horizontal="right" vertical="center" wrapText="1"/>
    </xf>
    <xf numFmtId="0" fontId="9" fillId="0" borderId="56" xfId="1" applyNumberFormat="1" applyFont="1" applyFill="1" applyBorder="1" applyAlignment="1">
      <alignment horizontal="right" vertical="center" wrapText="1"/>
    </xf>
    <xf numFmtId="0" fontId="9" fillId="0" borderId="72" xfId="0" applyNumberFormat="1" applyFont="1" applyFill="1" applyBorder="1" applyAlignment="1">
      <alignment horizontal="right" vertical="center" wrapText="1"/>
    </xf>
    <xf numFmtId="0" fontId="9" fillId="0" borderId="52" xfId="0" applyNumberFormat="1" applyFont="1" applyFill="1" applyBorder="1" applyAlignment="1">
      <alignment horizontal="right" vertical="center" wrapText="1"/>
    </xf>
    <xf numFmtId="0" fontId="9" fillId="0" borderId="71" xfId="0" applyNumberFormat="1" applyFont="1" applyFill="1" applyBorder="1" applyAlignment="1">
      <alignment horizontal="right" vertical="center" wrapText="1"/>
    </xf>
    <xf numFmtId="0" fontId="31" fillId="0" borderId="64" xfId="0" applyFont="1" applyBorder="1" applyAlignment="1">
      <alignment horizontal="center"/>
    </xf>
    <xf numFmtId="0" fontId="9" fillId="0" borderId="49" xfId="0" applyNumberFormat="1" applyFont="1" applyFill="1" applyBorder="1" applyAlignment="1">
      <alignment horizontal="right" vertical="center" wrapText="1"/>
    </xf>
    <xf numFmtId="0" fontId="10" fillId="0" borderId="50" xfId="0" applyNumberFormat="1" applyFont="1" applyBorder="1" applyAlignment="1">
      <alignment horizontal="center" vertical="center"/>
    </xf>
    <xf numFmtId="0" fontId="10" fillId="0" borderId="50" xfId="0" applyFont="1" applyBorder="1" applyAlignment="1">
      <alignment horizontal="center" vertical="center"/>
    </xf>
    <xf numFmtId="0" fontId="39" fillId="6" borderId="56" xfId="0" applyFont="1" applyFill="1" applyBorder="1" applyAlignment="1">
      <alignment horizontal="center"/>
    </xf>
    <xf numFmtId="0" fontId="10" fillId="0" borderId="56" xfId="0" applyFont="1" applyFill="1" applyBorder="1" applyAlignment="1">
      <alignment horizontal="center" vertical="center"/>
    </xf>
    <xf numFmtId="0" fontId="9" fillId="0" borderId="84" xfId="0" applyNumberFormat="1" applyFont="1" applyFill="1" applyBorder="1" applyAlignment="1">
      <alignment vertical="center" wrapText="1"/>
    </xf>
    <xf numFmtId="0" fontId="9" fillId="0" borderId="49" xfId="0" applyNumberFormat="1" applyFont="1" applyFill="1" applyBorder="1" applyAlignment="1">
      <alignment vertical="center" wrapText="1"/>
    </xf>
    <xf numFmtId="0" fontId="9" fillId="0" borderId="50" xfId="0" applyFont="1" applyBorder="1" applyAlignment="1">
      <alignment vertical="center"/>
    </xf>
    <xf numFmtId="0" fontId="61" fillId="0" borderId="0" xfId="8" applyFont="1" applyAlignment="1">
      <alignment horizontal="left"/>
    </xf>
    <xf numFmtId="2" fontId="10" fillId="21" borderId="54" xfId="0" applyNumberFormat="1" applyFont="1" applyFill="1" applyBorder="1"/>
    <xf numFmtId="0" fontId="10" fillId="0" borderId="121" xfId="0" applyFont="1" applyBorder="1"/>
    <xf numFmtId="0" fontId="10" fillId="0" borderId="118" xfId="0" applyFont="1" applyBorder="1" applyAlignment="1">
      <alignment horizontal="center" vertical="center"/>
    </xf>
    <xf numFmtId="0" fontId="10" fillId="0" borderId="0" xfId="0" applyFont="1" applyBorder="1" applyAlignment="1">
      <alignment wrapText="1"/>
    </xf>
    <xf numFmtId="1" fontId="10" fillId="0" borderId="124" xfId="0" applyNumberFormat="1" applyFont="1" applyBorder="1" applyAlignment="1">
      <alignment horizontal="center" vertical="center"/>
    </xf>
    <xf numFmtId="165" fontId="9" fillId="0" borderId="124" xfId="0" applyNumberFormat="1" applyFont="1" applyBorder="1" applyAlignment="1">
      <alignment horizontal="center"/>
    </xf>
    <xf numFmtId="1" fontId="10" fillId="0" borderId="124" xfId="0" applyNumberFormat="1" applyFont="1" applyBorder="1" applyAlignment="1">
      <alignment horizontal="right"/>
    </xf>
    <xf numFmtId="0" fontId="10" fillId="0" borderId="124" xfId="0" applyFont="1" applyBorder="1"/>
    <xf numFmtId="165" fontId="9" fillId="0" borderId="46" xfId="0" applyNumberFormat="1" applyFont="1" applyBorder="1"/>
    <xf numFmtId="165" fontId="9" fillId="0" borderId="52" xfId="0" applyNumberFormat="1" applyFont="1" applyBorder="1"/>
    <xf numFmtId="165" fontId="9" fillId="0" borderId="71" xfId="0" applyNumberFormat="1" applyFont="1" applyBorder="1"/>
    <xf numFmtId="165" fontId="9" fillId="0" borderId="72" xfId="0" applyNumberFormat="1" applyFont="1" applyBorder="1"/>
    <xf numFmtId="0" fontId="9" fillId="0" borderId="55" xfId="0" applyFont="1" applyBorder="1" applyAlignment="1">
      <alignment horizontal="center" vertical="center"/>
    </xf>
    <xf numFmtId="0" fontId="9" fillId="0" borderId="55" xfId="0" applyFont="1" applyFill="1" applyBorder="1" applyAlignment="1">
      <alignment horizontal="center" vertical="center"/>
    </xf>
    <xf numFmtId="0" fontId="9" fillId="0" borderId="64" xfId="0" applyFont="1" applyBorder="1" applyAlignment="1">
      <alignment horizontal="center" vertical="center"/>
    </xf>
    <xf numFmtId="165" fontId="9" fillId="0" borderId="55" xfId="0" applyNumberFormat="1" applyFont="1" applyBorder="1" applyAlignment="1">
      <alignment horizontal="center"/>
    </xf>
    <xf numFmtId="165" fontId="9" fillId="0" borderId="56" xfId="0" applyNumberFormat="1" applyFont="1" applyBorder="1" applyAlignment="1">
      <alignment horizontal="center"/>
    </xf>
    <xf numFmtId="165" fontId="9" fillId="0" borderId="125" xfId="0" applyNumberFormat="1" applyFont="1" applyBorder="1" applyAlignment="1">
      <alignment horizontal="center"/>
    </xf>
    <xf numFmtId="165" fontId="9" fillId="0" borderId="49" xfId="0" applyNumberFormat="1" applyFont="1" applyBorder="1" applyAlignment="1">
      <alignment horizontal="center"/>
    </xf>
    <xf numFmtId="1" fontId="10" fillId="0" borderId="50" xfId="0" applyNumberFormat="1" applyFont="1" applyBorder="1" applyAlignment="1">
      <alignment horizontal="center" vertical="center"/>
    </xf>
    <xf numFmtId="165" fontId="9" fillId="0" borderId="50" xfId="0" applyNumberFormat="1" applyFont="1" applyBorder="1" applyAlignment="1">
      <alignment horizontal="center"/>
    </xf>
    <xf numFmtId="1" fontId="10" fillId="0" borderId="50" xfId="0" applyNumberFormat="1" applyFont="1" applyBorder="1" applyAlignment="1">
      <alignment horizontal="right"/>
    </xf>
    <xf numFmtId="165" fontId="9" fillId="0" borderId="50" xfId="0" applyNumberFormat="1" applyFont="1" applyBorder="1"/>
    <xf numFmtId="0" fontId="9" fillId="0" borderId="0" xfId="0" applyFont="1" applyBorder="1" applyAlignment="1">
      <alignment horizontal="center" vertical="center" wrapText="1"/>
    </xf>
    <xf numFmtId="2" fontId="10" fillId="0" borderId="0" xfId="0" applyNumberFormat="1" applyFont="1" applyBorder="1" applyAlignment="1">
      <alignment horizontal="center" vertical="center"/>
    </xf>
    <xf numFmtId="1" fontId="10" fillId="0" borderId="0" xfId="0" applyNumberFormat="1" applyFont="1" applyFill="1" applyBorder="1" applyAlignment="1">
      <alignment horizontal="center" vertical="center"/>
    </xf>
    <xf numFmtId="1" fontId="10" fillId="0" borderId="29" xfId="0" applyNumberFormat="1" applyFont="1" applyBorder="1" applyAlignment="1">
      <alignment horizontal="center" vertical="center"/>
    </xf>
    <xf numFmtId="1" fontId="10" fillId="0" borderId="29" xfId="0" applyNumberFormat="1" applyFont="1" applyBorder="1" applyAlignment="1">
      <alignment horizontal="right"/>
    </xf>
    <xf numFmtId="1" fontId="10" fillId="0" borderId="28" xfId="0" applyNumberFormat="1" applyFont="1" applyBorder="1" applyAlignment="1">
      <alignment horizontal="center" vertical="center"/>
    </xf>
    <xf numFmtId="165" fontId="9" fillId="0" borderId="28" xfId="0" applyNumberFormat="1" applyFont="1" applyBorder="1" applyAlignment="1">
      <alignment horizontal="center"/>
    </xf>
    <xf numFmtId="1" fontId="10" fillId="0" borderId="28" xfId="0" applyNumberFormat="1" applyFont="1" applyBorder="1" applyAlignment="1">
      <alignment horizontal="right"/>
    </xf>
    <xf numFmtId="165" fontId="9" fillId="0" borderId="116" xfId="0" applyNumberFormat="1" applyFont="1" applyBorder="1" applyAlignment="1">
      <alignment horizontal="center"/>
    </xf>
    <xf numFmtId="165" fontId="9" fillId="0" borderId="117" xfId="0" applyNumberFormat="1" applyFont="1" applyBorder="1" applyAlignment="1">
      <alignment horizontal="center"/>
    </xf>
    <xf numFmtId="165" fontId="9" fillId="0" borderId="120" xfId="0" applyNumberFormat="1" applyFont="1" applyBorder="1" applyAlignment="1">
      <alignment horizontal="center"/>
    </xf>
    <xf numFmtId="1" fontId="10" fillId="0" borderId="116" xfId="0" applyNumberFormat="1" applyFont="1" applyBorder="1" applyAlignment="1">
      <alignment horizontal="center" vertical="center"/>
    </xf>
    <xf numFmtId="1" fontId="10" fillId="0" borderId="117" xfId="0" applyNumberFormat="1" applyFont="1" applyBorder="1" applyAlignment="1">
      <alignment horizontal="center" vertical="center"/>
    </xf>
    <xf numFmtId="0" fontId="39" fillId="0" borderId="117" xfId="0" applyFont="1" applyFill="1" applyBorder="1" applyAlignment="1">
      <alignment vertical="center" wrapText="1"/>
    </xf>
    <xf numFmtId="0" fontId="9" fillId="0" borderId="117" xfId="0" applyFont="1" applyBorder="1" applyAlignment="1"/>
    <xf numFmtId="179" fontId="10" fillId="0" borderId="117" xfId="0" applyNumberFormat="1" applyFont="1" applyBorder="1"/>
    <xf numFmtId="166" fontId="10" fillId="0" borderId="117" xfId="0" applyNumberFormat="1" applyFont="1" applyBorder="1" applyAlignment="1">
      <alignment horizontal="center" vertical="center"/>
    </xf>
    <xf numFmtId="2" fontId="10" fillId="0" borderId="28" xfId="0" applyNumberFormat="1" applyFont="1" applyBorder="1" applyAlignment="1">
      <alignment horizontal="center" vertical="center"/>
    </xf>
    <xf numFmtId="166" fontId="10" fillId="0" borderId="120" xfId="0" applyNumberFormat="1" applyFont="1" applyBorder="1" applyAlignment="1">
      <alignment horizontal="center" vertical="center"/>
    </xf>
    <xf numFmtId="2" fontId="10" fillId="0" borderId="29" xfId="0" applyNumberFormat="1" applyFont="1" applyBorder="1" applyAlignment="1">
      <alignment horizontal="center" vertical="center"/>
    </xf>
    <xf numFmtId="166" fontId="10" fillId="0" borderId="29" xfId="0" applyNumberFormat="1" applyFont="1" applyBorder="1" applyAlignment="1">
      <alignment horizontal="center" vertical="center"/>
    </xf>
    <xf numFmtId="166" fontId="10" fillId="0" borderId="28" xfId="0" applyNumberFormat="1" applyFont="1" applyBorder="1" applyAlignment="1">
      <alignment horizontal="center" vertical="center"/>
    </xf>
    <xf numFmtId="1" fontId="10" fillId="0" borderId="47" xfId="0" applyNumberFormat="1" applyFont="1" applyBorder="1" applyAlignment="1">
      <alignment horizontal="center" vertical="center"/>
    </xf>
    <xf numFmtId="165" fontId="9" fillId="0" borderId="47" xfId="0" applyNumberFormat="1" applyFont="1" applyBorder="1" applyAlignment="1">
      <alignment horizontal="center"/>
    </xf>
    <xf numFmtId="1" fontId="10" fillId="0" borderId="47" xfId="0" applyNumberFormat="1" applyFont="1" applyBorder="1" applyAlignment="1">
      <alignment horizontal="right"/>
    </xf>
    <xf numFmtId="165" fontId="9" fillId="0" borderId="47" xfId="0" applyNumberFormat="1" applyFont="1" applyBorder="1"/>
    <xf numFmtId="0" fontId="39" fillId="0" borderId="52" xfId="0" applyFont="1" applyFill="1" applyBorder="1" applyAlignment="1">
      <alignment vertical="center"/>
    </xf>
    <xf numFmtId="0" fontId="9" fillId="0" borderId="56" xfId="0" applyFont="1" applyBorder="1" applyAlignment="1">
      <alignment horizontal="center" vertical="center" wrapText="1"/>
    </xf>
    <xf numFmtId="0" fontId="39" fillId="0" borderId="0" xfId="0" applyFont="1" applyFill="1" applyBorder="1" applyAlignment="1">
      <alignment vertical="center" wrapText="1"/>
    </xf>
    <xf numFmtId="0" fontId="9" fillId="0" borderId="72" xfId="0" applyFont="1" applyBorder="1" applyAlignment="1">
      <alignment horizontal="center" vertical="center" wrapText="1"/>
    </xf>
    <xf numFmtId="0" fontId="9" fillId="0" borderId="52" xfId="0" applyFont="1" applyBorder="1" applyAlignment="1">
      <alignment horizontal="center" vertical="center" wrapText="1"/>
    </xf>
    <xf numFmtId="0" fontId="9" fillId="0" borderId="71" xfId="0" applyFont="1" applyBorder="1" applyAlignment="1">
      <alignment horizontal="center" vertical="center" wrapText="1"/>
    </xf>
    <xf numFmtId="0" fontId="9" fillId="0" borderId="49" xfId="0" applyFont="1" applyBorder="1" applyAlignment="1">
      <alignment horizontal="center" vertical="center" wrapText="1"/>
    </xf>
    <xf numFmtId="2" fontId="10" fillId="0" borderId="50" xfId="0" applyNumberFormat="1" applyFont="1" applyBorder="1" applyAlignment="1">
      <alignment horizontal="center" vertical="center"/>
    </xf>
    <xf numFmtId="166" fontId="10" fillId="0" borderId="50" xfId="0" applyNumberFormat="1" applyFont="1" applyBorder="1" applyAlignment="1">
      <alignment horizontal="center" vertical="center"/>
    </xf>
    <xf numFmtId="0" fontId="10" fillId="0" borderId="117" xfId="0" applyFont="1" applyBorder="1" applyAlignment="1">
      <alignment horizontal="center" vertical="center"/>
    </xf>
    <xf numFmtId="0" fontId="10" fillId="0" borderId="117" xfId="0" applyNumberFormat="1" applyFont="1" applyBorder="1" applyAlignment="1">
      <alignment horizontal="center" vertical="center"/>
    </xf>
    <xf numFmtId="0" fontId="10" fillId="0" borderId="118" xfId="0" applyNumberFormat="1" applyFont="1" applyBorder="1" applyAlignment="1">
      <alignment horizontal="center" vertical="center"/>
    </xf>
    <xf numFmtId="0" fontId="9" fillId="0" borderId="46" xfId="0" applyFont="1" applyBorder="1" applyAlignment="1">
      <alignment horizontal="center" vertical="center" wrapText="1"/>
    </xf>
    <xf numFmtId="2" fontId="10" fillId="0" borderId="47" xfId="0" applyNumberFormat="1" applyFont="1" applyBorder="1" applyAlignment="1">
      <alignment horizontal="center" vertical="center"/>
    </xf>
    <xf numFmtId="166" fontId="10" fillId="0" borderId="47" xfId="0" applyNumberFormat="1" applyFont="1" applyBorder="1" applyAlignment="1">
      <alignment horizontal="center" vertical="center"/>
    </xf>
    <xf numFmtId="0" fontId="9" fillId="0" borderId="121" xfId="0" applyFont="1" applyFill="1" applyBorder="1" applyAlignment="1">
      <alignment horizontal="right" vertical="center"/>
    </xf>
    <xf numFmtId="0" fontId="9" fillId="0" borderId="129" xfId="0" applyFont="1" applyBorder="1" applyAlignment="1">
      <alignment horizontal="center" vertical="center" wrapText="1"/>
    </xf>
    <xf numFmtId="0" fontId="10" fillId="0" borderId="129" xfId="0" applyFont="1" applyBorder="1" applyAlignment="1">
      <alignment horizontal="center" vertical="center"/>
    </xf>
    <xf numFmtId="0" fontId="9" fillId="0" borderId="121" xfId="0" applyFont="1" applyFill="1" applyBorder="1" applyAlignment="1">
      <alignment horizontal="right" vertical="center" wrapText="1"/>
    </xf>
    <xf numFmtId="0" fontId="10" fillId="0" borderId="130" xfId="0" applyFont="1" applyBorder="1"/>
    <xf numFmtId="0" fontId="41" fillId="0" borderId="121" xfId="0" applyFont="1" applyFill="1" applyBorder="1" applyAlignment="1">
      <alignment horizontal="center" vertical="center"/>
    </xf>
    <xf numFmtId="165" fontId="9" fillId="0" borderId="121" xfId="0" applyNumberFormat="1" applyFont="1" applyBorder="1" applyAlignment="1">
      <alignment horizontal="center" vertical="center"/>
    </xf>
    <xf numFmtId="17" fontId="10" fillId="0" borderId="28" xfId="0" applyNumberFormat="1" applyFont="1" applyBorder="1"/>
    <xf numFmtId="0" fontId="41" fillId="0" borderId="121" xfId="0" applyFont="1" applyFill="1" applyBorder="1" applyAlignment="1">
      <alignment horizontal="center"/>
    </xf>
    <xf numFmtId="0" fontId="9" fillId="0" borderId="121" xfId="0" applyFont="1" applyFill="1" applyBorder="1" applyAlignment="1">
      <alignment horizontal="right"/>
    </xf>
    <xf numFmtId="0" fontId="9" fillId="0" borderId="121" xfId="0" applyFont="1" applyBorder="1" applyAlignment="1">
      <alignment horizontal="right"/>
    </xf>
    <xf numFmtId="0" fontId="10" fillId="0" borderId="55" xfId="0" applyFont="1" applyBorder="1"/>
    <xf numFmtId="0" fontId="9" fillId="0" borderId="56" xfId="0" applyFont="1" applyFill="1" applyBorder="1" applyAlignment="1">
      <alignment horizontal="right" vertical="center"/>
    </xf>
    <xf numFmtId="0" fontId="9" fillId="0" borderId="56" xfId="0" applyFont="1" applyFill="1" applyBorder="1" applyAlignment="1">
      <alignment horizontal="right" vertical="center" wrapText="1"/>
    </xf>
    <xf numFmtId="0" fontId="9" fillId="0" borderId="56" xfId="0" applyFont="1" applyBorder="1" applyAlignment="1">
      <alignment horizontal="right" vertical="center"/>
    </xf>
    <xf numFmtId="0" fontId="9" fillId="0" borderId="52" xfId="0" applyFont="1" applyBorder="1" applyAlignment="1">
      <alignment horizontal="right" wrapText="1"/>
    </xf>
    <xf numFmtId="0" fontId="10" fillId="0" borderId="83" xfId="0" applyFont="1" applyBorder="1"/>
    <xf numFmtId="0" fontId="41" fillId="0" borderId="56" xfId="0" applyFont="1" applyFill="1" applyBorder="1" applyAlignment="1">
      <alignment horizontal="center" vertical="center"/>
    </xf>
    <xf numFmtId="165" fontId="9" fillId="0" borderId="56" xfId="0" applyNumberFormat="1" applyFont="1" applyBorder="1" applyAlignment="1">
      <alignment horizontal="center" vertical="center"/>
    </xf>
    <xf numFmtId="165" fontId="9" fillId="0" borderId="52" xfId="0" applyNumberFormat="1" applyFont="1" applyBorder="1" applyAlignment="1">
      <alignment horizontal="center" vertical="center"/>
    </xf>
    <xf numFmtId="17" fontId="10" fillId="0" borderId="50" xfId="0" applyNumberFormat="1" applyFont="1" applyBorder="1"/>
    <xf numFmtId="17" fontId="10" fillId="0" borderId="47" xfId="0" applyNumberFormat="1" applyFont="1" applyBorder="1"/>
    <xf numFmtId="0" fontId="8" fillId="0" borderId="56" xfId="0" applyFont="1" applyFill="1" applyBorder="1" applyAlignment="1">
      <alignment horizontal="center" vertical="center"/>
    </xf>
    <xf numFmtId="0" fontId="9" fillId="0" borderId="90" xfId="0" applyFont="1" applyBorder="1" applyAlignment="1">
      <alignment horizontal="center"/>
    </xf>
    <xf numFmtId="10" fontId="10" fillId="0" borderId="90" xfId="0" applyNumberFormat="1" applyFont="1" applyBorder="1"/>
    <xf numFmtId="10" fontId="10" fillId="0" borderId="53" xfId="0" applyNumberFormat="1" applyFont="1" applyBorder="1"/>
    <xf numFmtId="0" fontId="9" fillId="0" borderId="56" xfId="0" applyFont="1" applyBorder="1"/>
    <xf numFmtId="165" fontId="9" fillId="0" borderId="84" xfId="0" applyNumberFormat="1" applyFont="1" applyBorder="1" applyAlignment="1">
      <alignment horizontal="center" vertical="center"/>
    </xf>
    <xf numFmtId="165" fontId="9" fillId="0" borderId="49" xfId="0" applyNumberFormat="1" applyFont="1" applyBorder="1" applyAlignment="1">
      <alignment horizontal="center" vertical="center"/>
    </xf>
    <xf numFmtId="10" fontId="10" fillId="0" borderId="50" xfId="0" applyNumberFormat="1" applyFont="1" applyBorder="1"/>
    <xf numFmtId="165" fontId="9" fillId="0" borderId="50" xfId="0" applyNumberFormat="1" applyFont="1" applyBorder="1" applyAlignment="1">
      <alignment horizontal="center" vertical="center"/>
    </xf>
    <xf numFmtId="0" fontId="8" fillId="0" borderId="55" xfId="0" applyFont="1" applyFill="1" applyBorder="1" applyAlignment="1">
      <alignment horizontal="center" vertical="center"/>
    </xf>
    <xf numFmtId="165" fontId="9" fillId="0" borderId="46" xfId="0" applyNumberFormat="1" applyFont="1" applyBorder="1" applyAlignment="1">
      <alignment horizontal="center" vertical="center"/>
    </xf>
    <xf numFmtId="10" fontId="10" fillId="0" borderId="47" xfId="0" applyNumberFormat="1" applyFont="1" applyBorder="1"/>
    <xf numFmtId="165" fontId="9" fillId="0" borderId="47" xfId="0" applyNumberFormat="1" applyFont="1" applyBorder="1" applyAlignment="1">
      <alignment horizontal="center" vertical="center"/>
    </xf>
    <xf numFmtId="0" fontId="43" fillId="0" borderId="56" xfId="0" applyNumberFormat="1" applyFont="1" applyBorder="1" applyAlignment="1">
      <alignment horizontal="center" vertical="center"/>
    </xf>
    <xf numFmtId="0" fontId="9" fillId="0" borderId="56" xfId="0" applyFont="1" applyBorder="1" applyAlignment="1">
      <alignment horizontal="right"/>
    </xf>
    <xf numFmtId="0" fontId="9" fillId="0" borderId="64" xfId="0" applyNumberFormat="1" applyFont="1" applyBorder="1" applyAlignment="1">
      <alignment horizontal="center" vertical="center"/>
    </xf>
    <xf numFmtId="0" fontId="23" fillId="0" borderId="55" xfId="0" applyNumberFormat="1" applyFont="1" applyBorder="1" applyAlignment="1">
      <alignment horizontal="center" vertical="center"/>
    </xf>
    <xf numFmtId="0" fontId="23" fillId="0" borderId="56" xfId="0" applyNumberFormat="1" applyFont="1" applyBorder="1" applyAlignment="1">
      <alignment horizontal="center" vertical="center"/>
    </xf>
    <xf numFmtId="0" fontId="9" fillId="0" borderId="52" xfId="0" applyNumberFormat="1" applyFont="1" applyBorder="1" applyAlignment="1">
      <alignment horizontal="center" vertical="center"/>
    </xf>
    <xf numFmtId="0" fontId="9" fillId="0" borderId="49" xfId="0" applyNumberFormat="1" applyFont="1" applyBorder="1" applyAlignment="1">
      <alignment horizontal="center" vertical="center"/>
    </xf>
    <xf numFmtId="0" fontId="10" fillId="0" borderId="50" xfId="0" applyNumberFormat="1" applyFont="1" applyBorder="1"/>
    <xf numFmtId="0" fontId="9" fillId="0" borderId="46" xfId="0" applyNumberFormat="1" applyFont="1" applyBorder="1" applyAlignment="1">
      <alignment horizontal="center" vertical="center"/>
    </xf>
    <xf numFmtId="0" fontId="10" fillId="0" borderId="47" xfId="0" applyNumberFormat="1" applyFont="1" applyBorder="1"/>
    <xf numFmtId="10" fontId="10" fillId="0" borderId="48" xfId="0" applyNumberFormat="1" applyFont="1" applyBorder="1"/>
    <xf numFmtId="0" fontId="10" fillId="0" borderId="52" xfId="0" applyNumberFormat="1" applyFont="1" applyBorder="1"/>
    <xf numFmtId="14" fontId="10" fillId="0" borderId="50" xfId="0" applyNumberFormat="1" applyFont="1" applyBorder="1" applyAlignment="1">
      <alignment horizontal="center"/>
    </xf>
    <xf numFmtId="0" fontId="9" fillId="0" borderId="52" xfId="0" applyFont="1" applyBorder="1"/>
    <xf numFmtId="165" fontId="9" fillId="0" borderId="49" xfId="0" applyNumberFormat="1" applyFont="1" applyBorder="1"/>
    <xf numFmtId="2" fontId="9" fillId="0" borderId="50" xfId="0" applyNumberFormat="1" applyFont="1" applyBorder="1"/>
    <xf numFmtId="0" fontId="9" fillId="0" borderId="0" xfId="0" applyFont="1" applyBorder="1" applyAlignment="1">
      <alignment horizontal="center"/>
    </xf>
    <xf numFmtId="0" fontId="31" fillId="0" borderId="90" xfId="0" applyFont="1" applyFill="1" applyBorder="1" applyAlignment="1">
      <alignment horizontal="center" vertical="center"/>
    </xf>
    <xf numFmtId="10" fontId="10" fillId="0" borderId="54" xfId="0" applyNumberFormat="1" applyFont="1" applyBorder="1"/>
    <xf numFmtId="0" fontId="10" fillId="0" borderId="56" xfId="0" applyFont="1" applyBorder="1"/>
    <xf numFmtId="0" fontId="10" fillId="0" borderId="56" xfId="0" applyFont="1" applyBorder="1" applyAlignment="1">
      <alignment horizontal="center"/>
    </xf>
    <xf numFmtId="165" fontId="9" fillId="0" borderId="134" xfId="0" applyNumberFormat="1" applyFont="1" applyBorder="1" applyAlignment="1">
      <alignment horizontal="center" vertical="center"/>
    </xf>
    <xf numFmtId="165" fontId="9" fillId="0" borderId="29" xfId="0" applyNumberFormat="1" applyFont="1" applyBorder="1" applyAlignment="1">
      <alignment horizontal="center"/>
    </xf>
    <xf numFmtId="0" fontId="10" fillId="0" borderId="54" xfId="0" applyFont="1" applyBorder="1"/>
    <xf numFmtId="17" fontId="9" fillId="0" borderId="54" xfId="0" applyNumberFormat="1" applyFont="1" applyBorder="1"/>
    <xf numFmtId="0" fontId="9" fillId="0" borderId="0" xfId="0" applyFont="1" applyAlignment="1"/>
    <xf numFmtId="0" fontId="9" fillId="0" borderId="54" xfId="0" applyFont="1" applyBorder="1" applyAlignment="1">
      <alignment horizontal="right" vertical="center" wrapText="1"/>
    </xf>
    <xf numFmtId="0" fontId="9" fillId="0" borderId="22" xfId="0" applyFont="1" applyFill="1" applyBorder="1" applyAlignment="1">
      <alignment horizontal="right"/>
    </xf>
    <xf numFmtId="0" fontId="9" fillId="0" borderId="59" xfId="0" applyFont="1" applyBorder="1" applyAlignment="1">
      <alignment horizontal="right"/>
    </xf>
    <xf numFmtId="168" fontId="9" fillId="0" borderId="22" xfId="0" applyNumberFormat="1" applyFont="1" applyBorder="1" applyAlignment="1">
      <alignment horizontal="center" vertical="center"/>
    </xf>
    <xf numFmtId="1" fontId="10" fillId="0" borderId="0" xfId="0" applyNumberFormat="1" applyFont="1" applyFill="1" applyBorder="1" applyAlignment="1">
      <alignment horizontal="right"/>
    </xf>
    <xf numFmtId="168" fontId="9" fillId="0" borderId="21" xfId="0" applyNumberFormat="1" applyFont="1" applyBorder="1" applyAlignment="1">
      <alignment horizontal="center" vertical="center"/>
    </xf>
    <xf numFmtId="0" fontId="62" fillId="0" borderId="56" xfId="0" applyFont="1" applyBorder="1" applyAlignment="1">
      <alignment horizontal="center" vertical="center" wrapText="1"/>
    </xf>
    <xf numFmtId="9" fontId="9" fillId="0" borderId="55" xfId="0" applyNumberFormat="1" applyFont="1" applyBorder="1" applyAlignment="1">
      <alignment horizontal="center" vertical="center"/>
    </xf>
    <xf numFmtId="1" fontId="29" fillId="0" borderId="0" xfId="2" applyNumberFormat="1" applyFont="1" applyFill="1" applyBorder="1" applyAlignment="1">
      <alignment horizontal="center"/>
    </xf>
    <xf numFmtId="1" fontId="29" fillId="0" borderId="29" xfId="2" applyNumberFormat="1" applyFont="1" applyFill="1" applyBorder="1" applyAlignment="1">
      <alignment horizontal="center"/>
    </xf>
    <xf numFmtId="1" fontId="29" fillId="0" borderId="28" xfId="2" applyNumberFormat="1" applyFont="1" applyFill="1" applyBorder="1" applyAlignment="1">
      <alignment horizontal="center"/>
    </xf>
    <xf numFmtId="171" fontId="29" fillId="0" borderId="9" xfId="2" applyNumberFormat="1" applyFont="1" applyFill="1" applyBorder="1" applyAlignment="1">
      <alignment horizontal="center"/>
    </xf>
    <xf numFmtId="0" fontId="10" fillId="0" borderId="54" xfId="0" applyFont="1" applyBorder="1" applyAlignment="1">
      <alignment horizontal="right"/>
    </xf>
    <xf numFmtId="0" fontId="10" fillId="28" borderId="54" xfId="0" applyFont="1" applyFill="1" applyBorder="1" applyAlignment="1">
      <alignment horizontal="right"/>
    </xf>
    <xf numFmtId="0" fontId="9" fillId="28" borderId="54" xfId="0" applyFont="1" applyFill="1" applyBorder="1"/>
    <xf numFmtId="1" fontId="29" fillId="0" borderId="9" xfId="2" applyNumberFormat="1" applyFont="1" applyFill="1" applyBorder="1" applyAlignment="1">
      <alignment horizontal="center"/>
    </xf>
    <xf numFmtId="17" fontId="9" fillId="0" borderId="56" xfId="0" applyNumberFormat="1" applyFont="1" applyBorder="1"/>
    <xf numFmtId="17" fontId="9" fillId="0" borderId="37" xfId="0" applyNumberFormat="1" applyFont="1" applyBorder="1" applyAlignment="1">
      <alignment horizontal="center" vertical="center"/>
    </xf>
    <xf numFmtId="2" fontId="10" fillId="0" borderId="54" xfId="0" applyNumberFormat="1" applyFont="1" applyBorder="1" applyAlignment="1">
      <alignment horizontal="center"/>
    </xf>
    <xf numFmtId="2" fontId="10" fillId="0" borderId="54" xfId="0" applyNumberFormat="1" applyFont="1" applyFill="1" applyBorder="1" applyAlignment="1">
      <alignment horizontal="center"/>
    </xf>
    <xf numFmtId="1" fontId="9" fillId="0" borderId="54" xfId="0" applyNumberFormat="1" applyFont="1" applyBorder="1" applyAlignment="1">
      <alignment horizontal="center"/>
    </xf>
    <xf numFmtId="1" fontId="9" fillId="0" borderId="54" xfId="0" applyNumberFormat="1" applyFont="1" applyBorder="1" applyAlignment="1">
      <alignment horizontal="center" vertical="center" wrapText="1"/>
    </xf>
    <xf numFmtId="165" fontId="9" fillId="0" borderId="71" xfId="0" applyNumberFormat="1" applyFont="1" applyBorder="1" applyAlignment="1">
      <alignment horizontal="center" vertical="center"/>
    </xf>
    <xf numFmtId="165" fontId="9" fillId="0" borderId="72" xfId="0" applyNumberFormat="1" applyFont="1" applyBorder="1" applyAlignment="1">
      <alignment horizontal="center" vertical="center"/>
    </xf>
    <xf numFmtId="1" fontId="9" fillId="0" borderId="54" xfId="0" applyNumberFormat="1" applyFont="1" applyBorder="1" applyAlignment="1">
      <alignment horizontal="center" vertical="center"/>
    </xf>
    <xf numFmtId="2" fontId="10" fillId="0" borderId="0" xfId="0" applyNumberFormat="1" applyFont="1" applyBorder="1"/>
    <xf numFmtId="0" fontId="9" fillId="0" borderId="9" xfId="0" applyNumberFormat="1" applyFont="1" applyFill="1" applyBorder="1" applyAlignment="1">
      <alignment horizontal="center" vertical="center" wrapText="1"/>
    </xf>
    <xf numFmtId="0" fontId="7" fillId="25" borderId="96" xfId="8" applyFont="1" applyFill="1" applyBorder="1" applyAlignment="1">
      <alignment horizontal="center" vertical="top" wrapText="1"/>
    </xf>
    <xf numFmtId="0" fontId="21" fillId="2" borderId="16" xfId="0" applyNumberFormat="1" applyFont="1" applyFill="1" applyBorder="1" applyAlignment="1">
      <alignment horizontal="left" vertical="top"/>
    </xf>
    <xf numFmtId="0" fontId="35" fillId="2" borderId="16" xfId="8" applyNumberFormat="1" applyFont="1" applyFill="1" applyBorder="1" applyAlignment="1">
      <alignment horizontal="left" vertical="center"/>
    </xf>
    <xf numFmtId="0" fontId="21" fillId="3" borderId="16" xfId="0" applyNumberFormat="1" applyFont="1" applyFill="1" applyBorder="1" applyAlignment="1">
      <alignment horizontal="left" vertical="top"/>
    </xf>
    <xf numFmtId="0" fontId="35" fillId="3" borderId="16" xfId="8" applyNumberFormat="1" applyFont="1" applyFill="1" applyBorder="1" applyAlignment="1">
      <alignment horizontal="left" vertical="center"/>
    </xf>
    <xf numFmtId="0" fontId="21" fillId="4" borderId="9" xfId="0" applyNumberFormat="1" applyFont="1" applyFill="1" applyBorder="1" applyAlignment="1">
      <alignment horizontal="left"/>
    </xf>
    <xf numFmtId="0" fontId="21" fillId="4" borderId="16" xfId="0" applyNumberFormat="1" applyFont="1" applyFill="1" applyBorder="1" applyAlignment="1">
      <alignment horizontal="left" vertical="top"/>
    </xf>
    <xf numFmtId="0" fontId="21" fillId="4" borderId="16" xfId="0" applyNumberFormat="1" applyFont="1" applyFill="1" applyBorder="1" applyAlignment="1">
      <alignment horizontal="center" vertical="top" wrapText="1"/>
    </xf>
    <xf numFmtId="0" fontId="35" fillId="4" borderId="16" xfId="8" applyNumberFormat="1" applyFont="1" applyFill="1" applyBorder="1" applyAlignment="1">
      <alignment horizontal="left" vertical="center"/>
    </xf>
    <xf numFmtId="0" fontId="25" fillId="5" borderId="16" xfId="0" applyNumberFormat="1" applyFont="1" applyFill="1" applyBorder="1" applyAlignment="1">
      <alignment horizontal="left" vertical="top"/>
    </xf>
    <xf numFmtId="0" fontId="28" fillId="5" borderId="16" xfId="8" applyNumberFormat="1" applyFont="1" applyFill="1" applyBorder="1" applyAlignment="1">
      <alignment horizontal="left" vertical="center"/>
    </xf>
    <xf numFmtId="0" fontId="59" fillId="0" borderId="0" xfId="0" applyFont="1" applyAlignment="1"/>
    <xf numFmtId="0" fontId="9" fillId="0" borderId="9" xfId="0" applyNumberFormat="1" applyFont="1" applyFill="1" applyBorder="1" applyAlignment="1">
      <alignment horizontal="center" vertical="center" wrapText="1"/>
    </xf>
    <xf numFmtId="0" fontId="17" fillId="0" borderId="0" xfId="0" applyFont="1" applyBorder="1" applyAlignment="1">
      <alignment horizontal="center" vertical="center"/>
    </xf>
    <xf numFmtId="0" fontId="10" fillId="0" borderId="0" xfId="0" applyFont="1" applyBorder="1"/>
    <xf numFmtId="0" fontId="21" fillId="8" borderId="16" xfId="0" applyNumberFormat="1" applyFont="1" applyFill="1" applyBorder="1" applyAlignment="1">
      <alignment horizontal="left" vertical="top"/>
    </xf>
    <xf numFmtId="0" fontId="35" fillId="8" borderId="16" xfId="8" applyNumberFormat="1" applyFont="1" applyFill="1" applyBorder="1" applyAlignment="1">
      <alignment horizontal="left" vertical="center"/>
    </xf>
    <xf numFmtId="0" fontId="35" fillId="13" borderId="16" xfId="8" applyNumberFormat="1" applyFont="1" applyFill="1" applyBorder="1" applyAlignment="1">
      <alignment horizontal="left" vertical="center"/>
    </xf>
    <xf numFmtId="0" fontId="21" fillId="13" borderId="16" xfId="0" applyNumberFormat="1" applyFont="1" applyFill="1" applyBorder="1" applyAlignment="1">
      <alignment horizontal="left" vertical="top"/>
    </xf>
    <xf numFmtId="0" fontId="21" fillId="9" borderId="16" xfId="0" applyNumberFormat="1" applyFont="1" applyFill="1" applyBorder="1" applyAlignment="1">
      <alignment horizontal="left" vertical="top"/>
    </xf>
    <xf numFmtId="0" fontId="35" fillId="9" borderId="16" xfId="8" applyNumberFormat="1" applyFont="1" applyFill="1" applyBorder="1" applyAlignment="1">
      <alignment horizontal="left" vertical="center"/>
    </xf>
    <xf numFmtId="0" fontId="10" fillId="0" borderId="54" xfId="0" applyFont="1" applyBorder="1" applyAlignment="1">
      <alignment horizontal="center" vertical="center"/>
    </xf>
    <xf numFmtId="0" fontId="9" fillId="0" borderId="0" xfId="0" applyFont="1" applyFill="1" applyBorder="1" applyAlignment="1">
      <alignment horizontal="center"/>
    </xf>
    <xf numFmtId="0" fontId="41" fillId="0" borderId="0" xfId="0" applyFont="1" applyFill="1" applyBorder="1" applyAlignment="1">
      <alignment vertical="center"/>
    </xf>
    <xf numFmtId="0" fontId="7" fillId="25" borderId="114" xfId="8" applyFont="1" applyFill="1" applyBorder="1" applyAlignment="1">
      <alignment horizontal="center" vertical="top" wrapText="1"/>
    </xf>
    <xf numFmtId="0" fontId="19" fillId="2" borderId="88" xfId="0" applyFont="1" applyFill="1" applyBorder="1" applyAlignment="1" applyProtection="1">
      <alignment horizontal="center" vertical="center"/>
      <protection locked="0"/>
    </xf>
    <xf numFmtId="0" fontId="19" fillId="3" borderId="88" xfId="0" applyFont="1" applyFill="1" applyBorder="1" applyAlignment="1" applyProtection="1">
      <alignment horizontal="center" vertical="center"/>
      <protection locked="0"/>
    </xf>
    <xf numFmtId="0" fontId="19" fillId="4" borderId="88" xfId="0" applyFont="1" applyFill="1" applyBorder="1" applyAlignment="1" applyProtection="1">
      <alignment horizontal="center" vertical="center"/>
      <protection locked="0"/>
    </xf>
    <xf numFmtId="0" fontId="22" fillId="5" borderId="88" xfId="0" applyFont="1" applyFill="1" applyBorder="1" applyAlignment="1" applyProtection="1">
      <alignment horizontal="center" vertical="center"/>
      <protection locked="0"/>
    </xf>
    <xf numFmtId="0" fontId="9" fillId="0" borderId="138" xfId="0" applyFont="1" applyBorder="1" applyAlignment="1">
      <alignment horizontal="center"/>
    </xf>
    <xf numFmtId="0" fontId="28" fillId="0" borderId="83" xfId="8" applyFont="1" applyBorder="1" applyAlignment="1">
      <alignment horizontal="center" vertical="center" wrapText="1"/>
    </xf>
    <xf numFmtId="0" fontId="9" fillId="0" borderId="136" xfId="0" applyFont="1" applyBorder="1" applyAlignment="1">
      <alignment horizontal="center"/>
    </xf>
    <xf numFmtId="0" fontId="21" fillId="2" borderId="0" xfId="0" applyNumberFormat="1" applyFont="1" applyFill="1" applyBorder="1" applyAlignment="1">
      <alignment horizontal="left" vertical="top"/>
    </xf>
    <xf numFmtId="0" fontId="10" fillId="2" borderId="0" xfId="0" applyNumberFormat="1" applyFont="1" applyFill="1" applyBorder="1"/>
    <xf numFmtId="0" fontId="33" fillId="2" borderId="0" xfId="0" applyNumberFormat="1" applyFont="1" applyFill="1" applyBorder="1" applyAlignment="1">
      <alignment horizontal="left" vertical="top" wrapText="1"/>
    </xf>
    <xf numFmtId="0" fontId="32" fillId="2" borderId="0" xfId="0" applyNumberFormat="1" applyFont="1" applyFill="1" applyBorder="1"/>
    <xf numFmtId="0" fontId="32" fillId="2" borderId="0" xfId="1" applyNumberFormat="1" applyFont="1" applyFill="1" applyBorder="1"/>
    <xf numFmtId="0" fontId="32" fillId="2" borderId="0" xfId="1" applyNumberFormat="1" applyFont="1" applyFill="1" applyBorder="1" applyAlignment="1">
      <alignment horizontal="center"/>
    </xf>
    <xf numFmtId="0" fontId="32" fillId="2" borderId="0" xfId="0" applyNumberFormat="1" applyFont="1" applyFill="1" applyBorder="1" applyAlignment="1">
      <alignment horizontal="center"/>
    </xf>
    <xf numFmtId="0" fontId="10" fillId="2" borderId="0" xfId="0" applyNumberFormat="1" applyFont="1" applyFill="1" applyBorder="1" applyAlignment="1">
      <alignment horizontal="center"/>
    </xf>
    <xf numFmtId="0" fontId="10" fillId="2" borderId="1" xfId="0" applyNumberFormat="1" applyFont="1" applyFill="1" applyBorder="1" applyAlignment="1">
      <alignment horizontal="center"/>
    </xf>
    <xf numFmtId="164" fontId="21" fillId="2" borderId="16" xfId="0" applyNumberFormat="1" applyFont="1" applyFill="1" applyBorder="1" applyAlignment="1">
      <alignment horizontal="center" vertical="center"/>
    </xf>
    <xf numFmtId="0" fontId="34" fillId="2" borderId="16" xfId="0" applyNumberFormat="1" applyFont="1" applyFill="1" applyBorder="1" applyAlignment="1">
      <alignment horizontal="center" vertical="center"/>
    </xf>
    <xf numFmtId="164" fontId="9" fillId="0" borderId="141" xfId="0" applyNumberFormat="1" applyFont="1" applyBorder="1" applyAlignment="1">
      <alignment horizontal="center"/>
    </xf>
    <xf numFmtId="0" fontId="62" fillId="0" borderId="0" xfId="0" applyNumberFormat="1" applyFont="1" applyBorder="1" applyAlignment="1">
      <alignment horizontal="center" vertical="center" wrapText="1"/>
    </xf>
    <xf numFmtId="0" fontId="62" fillId="0" borderId="15" xfId="0" applyNumberFormat="1" applyFont="1" applyBorder="1" applyAlignment="1">
      <alignment horizontal="center" vertical="center" wrapText="1"/>
    </xf>
    <xf numFmtId="0" fontId="32" fillId="0" borderId="20" xfId="0" applyNumberFormat="1" applyFont="1" applyBorder="1" applyAlignment="1">
      <alignment horizontal="center" vertical="center" wrapText="1"/>
    </xf>
    <xf numFmtId="0" fontId="35" fillId="3" borderId="16" xfId="8" applyNumberFormat="1" applyFont="1" applyFill="1" applyBorder="1" applyAlignment="1">
      <alignment vertical="center"/>
    </xf>
    <xf numFmtId="0" fontId="10" fillId="3" borderId="0" xfId="0" applyNumberFormat="1" applyFont="1" applyFill="1" applyBorder="1"/>
    <xf numFmtId="0" fontId="21" fillId="3" borderId="0" xfId="0" applyNumberFormat="1" applyFont="1" applyFill="1" applyBorder="1" applyAlignment="1">
      <alignment horizontal="left" vertical="top"/>
    </xf>
    <xf numFmtId="0" fontId="33" fillId="3" borderId="0" xfId="0" applyNumberFormat="1" applyFont="1" applyFill="1" applyBorder="1" applyAlignment="1">
      <alignment horizontal="left" vertical="top" wrapText="1"/>
    </xf>
    <xf numFmtId="0" fontId="32" fillId="3" borderId="0" xfId="0" applyNumberFormat="1" applyFont="1" applyFill="1" applyBorder="1"/>
    <xf numFmtId="0" fontId="32" fillId="3" borderId="0" xfId="1" applyNumberFormat="1" applyFont="1" applyFill="1" applyBorder="1" applyAlignment="1">
      <alignment horizontal="center"/>
    </xf>
    <xf numFmtId="0" fontId="32" fillId="3" borderId="0" xfId="0" applyNumberFormat="1" applyFont="1" applyFill="1" applyBorder="1" applyAlignment="1">
      <alignment horizontal="center"/>
    </xf>
    <xf numFmtId="0" fontId="10" fillId="3" borderId="0" xfId="0" applyNumberFormat="1" applyFont="1" applyFill="1" applyBorder="1" applyAlignment="1">
      <alignment horizontal="center"/>
    </xf>
    <xf numFmtId="0" fontId="10" fillId="3" borderId="1" xfId="0" applyNumberFormat="1" applyFont="1" applyFill="1" applyBorder="1" applyAlignment="1">
      <alignment horizontal="center"/>
    </xf>
    <xf numFmtId="0" fontId="21" fillId="4" borderId="16" xfId="0" applyNumberFormat="1" applyFont="1" applyFill="1" applyBorder="1" applyAlignment="1">
      <alignment horizontal="left" vertical="top" wrapText="1"/>
    </xf>
    <xf numFmtId="0" fontId="35" fillId="4" borderId="16" xfId="8" applyNumberFormat="1" applyFont="1" applyFill="1" applyBorder="1" applyAlignment="1">
      <alignment vertical="center"/>
    </xf>
    <xf numFmtId="0" fontId="10" fillId="4" borderId="0" xfId="0" applyNumberFormat="1" applyFont="1" applyFill="1" applyBorder="1"/>
    <xf numFmtId="0" fontId="21" fillId="4" borderId="0" xfId="0" applyNumberFormat="1" applyFont="1" applyFill="1" applyBorder="1" applyAlignment="1">
      <alignment horizontal="left" vertical="top"/>
    </xf>
    <xf numFmtId="0" fontId="9" fillId="4" borderId="0" xfId="0" applyNumberFormat="1" applyFont="1" applyFill="1" applyBorder="1"/>
    <xf numFmtId="0" fontId="33" fillId="4" borderId="0" xfId="0" applyNumberFormat="1" applyFont="1" applyFill="1" applyBorder="1" applyAlignment="1">
      <alignment horizontal="left" vertical="top" wrapText="1"/>
    </xf>
    <xf numFmtId="0" fontId="32" fillId="4" borderId="0" xfId="0" applyNumberFormat="1" applyFont="1" applyFill="1" applyBorder="1"/>
    <xf numFmtId="0" fontId="32" fillId="4" borderId="0" xfId="1" applyNumberFormat="1" applyFont="1" applyFill="1" applyBorder="1"/>
    <xf numFmtId="0" fontId="32" fillId="4" borderId="0" xfId="1" applyNumberFormat="1" applyFont="1" applyFill="1" applyBorder="1" applyAlignment="1">
      <alignment horizontal="center"/>
    </xf>
    <xf numFmtId="0" fontId="32" fillId="4" borderId="0" xfId="0" applyNumberFormat="1" applyFont="1" applyFill="1" applyBorder="1" applyAlignment="1">
      <alignment horizontal="center"/>
    </xf>
    <xf numFmtId="0" fontId="10" fillId="4" borderId="0" xfId="0" applyNumberFormat="1" applyFont="1" applyFill="1" applyBorder="1" applyAlignment="1">
      <alignment horizontal="center"/>
    </xf>
    <xf numFmtId="0" fontId="10" fillId="4" borderId="1" xfId="0" applyNumberFormat="1" applyFont="1" applyFill="1" applyBorder="1" applyAlignment="1">
      <alignment horizontal="center"/>
    </xf>
    <xf numFmtId="166" fontId="32" fillId="0" borderId="0" xfId="0" applyNumberFormat="1" applyFont="1"/>
    <xf numFmtId="0" fontId="25" fillId="5" borderId="0" xfId="0" applyNumberFormat="1" applyFont="1" applyFill="1" applyBorder="1" applyAlignment="1">
      <alignment horizontal="left" vertical="top"/>
    </xf>
    <xf numFmtId="0" fontId="27" fillId="5" borderId="0" xfId="0" applyNumberFormat="1" applyFont="1" applyFill="1" applyBorder="1"/>
    <xf numFmtId="0" fontId="29" fillId="5" borderId="0" xfId="0" applyNumberFormat="1" applyFont="1" applyFill="1" applyBorder="1" applyAlignment="1">
      <alignment horizontal="left" vertical="top" wrapText="1"/>
    </xf>
    <xf numFmtId="0" fontId="22" fillId="5" borderId="0" xfId="0" applyNumberFormat="1" applyFont="1" applyFill="1" applyBorder="1"/>
    <xf numFmtId="0" fontId="29" fillId="5" borderId="0" xfId="1" applyNumberFormat="1" applyFont="1" applyFill="1" applyBorder="1"/>
    <xf numFmtId="0" fontId="29" fillId="5" borderId="0" xfId="0" applyNumberFormat="1" applyFont="1" applyFill="1" applyBorder="1"/>
    <xf numFmtId="0" fontId="29" fillId="5" borderId="0" xfId="1" applyNumberFormat="1" applyFont="1" applyFill="1" applyBorder="1" applyAlignment="1">
      <alignment horizontal="center"/>
    </xf>
    <xf numFmtId="0" fontId="29" fillId="5" borderId="0" xfId="0" applyNumberFormat="1" applyFont="1" applyFill="1" applyBorder="1" applyAlignment="1">
      <alignment horizontal="center"/>
    </xf>
    <xf numFmtId="0" fontId="22" fillId="5" borderId="0" xfId="0" applyNumberFormat="1" applyFont="1" applyFill="1" applyBorder="1" applyAlignment="1">
      <alignment horizontal="center"/>
    </xf>
    <xf numFmtId="0" fontId="22" fillId="5" borderId="1" xfId="0" applyNumberFormat="1" applyFont="1" applyFill="1" applyBorder="1" applyAlignment="1">
      <alignment horizontal="center"/>
    </xf>
    <xf numFmtId="0" fontId="27" fillId="5" borderId="9" xfId="0" applyNumberFormat="1" applyFont="1" applyFill="1" applyBorder="1"/>
    <xf numFmtId="169" fontId="29" fillId="0" borderId="0" xfId="1" applyNumberFormat="1" applyFont="1" applyFill="1" applyBorder="1"/>
    <xf numFmtId="169" fontId="29" fillId="0" borderId="28" xfId="1" applyNumberFormat="1" applyFont="1" applyFill="1" applyBorder="1"/>
    <xf numFmtId="0" fontId="10" fillId="0" borderId="8" xfId="0" applyFont="1" applyBorder="1" applyAlignment="1">
      <alignment horizontal="center"/>
    </xf>
    <xf numFmtId="0" fontId="41" fillId="0" borderId="53" xfId="0" applyFont="1" applyFill="1" applyBorder="1" applyAlignment="1"/>
    <xf numFmtId="0" fontId="10" fillId="0" borderId="95" xfId="0" applyFont="1" applyBorder="1" applyAlignment="1">
      <alignment horizontal="center"/>
    </xf>
    <xf numFmtId="0" fontId="39" fillId="6" borderId="8" xfId="0" applyFont="1" applyFill="1" applyBorder="1" applyAlignment="1">
      <alignment horizontal="center"/>
    </xf>
    <xf numFmtId="0" fontId="35" fillId="8" borderId="16" xfId="8" applyNumberFormat="1" applyFont="1" applyFill="1" applyBorder="1" applyAlignment="1">
      <alignment vertical="center"/>
    </xf>
    <xf numFmtId="0" fontId="21" fillId="8" borderId="0" xfId="0" applyNumberFormat="1" applyFont="1" applyFill="1" applyBorder="1" applyAlignment="1">
      <alignment horizontal="left" vertical="top"/>
    </xf>
    <xf numFmtId="0" fontId="32" fillId="8" borderId="0" xfId="0" applyNumberFormat="1" applyFont="1" applyFill="1" applyBorder="1" applyAlignment="1">
      <alignment horizontal="center"/>
    </xf>
    <xf numFmtId="0" fontId="35" fillId="8" borderId="0" xfId="8" applyNumberFormat="1" applyFont="1" applyFill="1" applyBorder="1" applyAlignment="1">
      <alignment vertical="center"/>
    </xf>
    <xf numFmtId="0" fontId="21" fillId="13" borderId="0" xfId="0" applyNumberFormat="1" applyFont="1" applyFill="1" applyBorder="1" applyAlignment="1">
      <alignment horizontal="left" vertical="top"/>
    </xf>
    <xf numFmtId="0" fontId="32" fillId="13" borderId="0" xfId="0" applyNumberFormat="1" applyFont="1" applyFill="1" applyBorder="1" applyAlignment="1">
      <alignment horizontal="center"/>
    </xf>
    <xf numFmtId="0" fontId="21" fillId="9" borderId="0" xfId="0" applyNumberFormat="1" applyFont="1" applyFill="1" applyBorder="1" applyAlignment="1">
      <alignment horizontal="left" vertical="top"/>
    </xf>
    <xf numFmtId="0" fontId="32" fillId="9" borderId="0" xfId="0" applyNumberFormat="1" applyFont="1" applyFill="1" applyBorder="1" applyAlignment="1">
      <alignment horizontal="center"/>
    </xf>
    <xf numFmtId="0" fontId="19" fillId="11" borderId="88" xfId="0" applyFont="1" applyFill="1" applyBorder="1" applyAlignment="1">
      <alignment horizontal="center" vertical="center"/>
    </xf>
    <xf numFmtId="0" fontId="19" fillId="13" borderId="88" xfId="0" applyFont="1" applyFill="1" applyBorder="1" applyAlignment="1">
      <alignment horizontal="center" vertical="center"/>
    </xf>
    <xf numFmtId="0" fontId="19" fillId="9" borderId="88" xfId="0" applyFont="1" applyFill="1" applyBorder="1" applyAlignment="1">
      <alignment horizontal="center" vertical="center"/>
    </xf>
    <xf numFmtId="0" fontId="10" fillId="8" borderId="1" xfId="0" applyNumberFormat="1" applyFont="1" applyFill="1" applyBorder="1"/>
    <xf numFmtId="0" fontId="10" fillId="8" borderId="20" xfId="0" applyNumberFormat="1" applyFont="1" applyFill="1" applyBorder="1"/>
    <xf numFmtId="0" fontId="10" fillId="13" borderId="1" xfId="0" applyNumberFormat="1" applyFont="1" applyFill="1" applyBorder="1"/>
    <xf numFmtId="0" fontId="10" fillId="13" borderId="16" xfId="0" applyNumberFormat="1" applyFont="1" applyFill="1" applyBorder="1"/>
    <xf numFmtId="0" fontId="10" fillId="13" borderId="20" xfId="0" applyNumberFormat="1" applyFont="1" applyFill="1" applyBorder="1"/>
    <xf numFmtId="0" fontId="10" fillId="9" borderId="1" xfId="0" applyNumberFormat="1" applyFont="1" applyFill="1" applyBorder="1"/>
    <xf numFmtId="0" fontId="10" fillId="9" borderId="16" xfId="0" applyNumberFormat="1" applyFont="1" applyFill="1" applyBorder="1"/>
    <xf numFmtId="0" fontId="10" fillId="9" borderId="20" xfId="0" applyNumberFormat="1" applyFont="1" applyFill="1" applyBorder="1"/>
    <xf numFmtId="0" fontId="22" fillId="0" borderId="0" xfId="0" applyNumberFormat="1" applyFont="1" applyFill="1" applyBorder="1" applyAlignment="1">
      <alignment horizontal="center" vertical="center" wrapText="1"/>
    </xf>
    <xf numFmtId="0" fontId="32" fillId="0" borderId="20" xfId="1" applyNumberFormat="1" applyFont="1" applyFill="1" applyBorder="1" applyAlignment="1">
      <alignment horizontal="center" vertical="center" wrapText="1"/>
    </xf>
    <xf numFmtId="0" fontId="22" fillId="0" borderId="21" xfId="0" applyNumberFormat="1" applyFont="1" applyFill="1" applyBorder="1" applyAlignment="1">
      <alignment horizontal="center" vertical="center" wrapText="1"/>
    </xf>
    <xf numFmtId="0" fontId="34" fillId="8" borderId="0" xfId="0" applyNumberFormat="1" applyFont="1" applyFill="1" applyBorder="1" applyAlignment="1">
      <alignment horizontal="center" vertical="center"/>
    </xf>
    <xf numFmtId="0" fontId="34" fillId="13" borderId="0" xfId="0" applyNumberFormat="1" applyFont="1" applyFill="1" applyBorder="1" applyAlignment="1">
      <alignment horizontal="center" vertical="center"/>
    </xf>
    <xf numFmtId="0" fontId="23" fillId="0" borderId="0" xfId="8" quotePrefix="1" applyFont="1" applyBorder="1" applyAlignment="1">
      <alignment horizontal="center" vertical="center"/>
    </xf>
    <xf numFmtId="0" fontId="39" fillId="0" borderId="0" xfId="0" applyFont="1" applyBorder="1" applyAlignment="1">
      <alignment horizontal="center" vertical="center" wrapText="1"/>
    </xf>
    <xf numFmtId="0" fontId="39" fillId="0" borderId="52" xfId="0" applyFont="1" applyFill="1" applyBorder="1" applyAlignment="1">
      <alignment horizontal="left" vertical="center" wrapText="1"/>
    </xf>
    <xf numFmtId="0" fontId="39" fillId="0" borderId="0" xfId="0" applyFont="1" applyFill="1" applyBorder="1" applyAlignment="1">
      <alignment horizontal="left" vertical="center" wrapText="1"/>
    </xf>
    <xf numFmtId="182" fontId="10" fillId="0" borderId="54" xfId="0" applyNumberFormat="1" applyFont="1" applyBorder="1" applyAlignment="1">
      <alignment horizontal="right"/>
    </xf>
    <xf numFmtId="10" fontId="9" fillId="0" borderId="0" xfId="0" applyNumberFormat="1" applyFont="1" applyBorder="1"/>
    <xf numFmtId="0" fontId="34" fillId="9" borderId="0" xfId="0" applyNumberFormat="1" applyFont="1" applyFill="1" applyBorder="1" applyAlignment="1">
      <alignment horizontal="center" vertical="center"/>
    </xf>
    <xf numFmtId="0" fontId="10" fillId="0" borderId="0" xfId="0" applyFont="1" applyBorder="1" applyProtection="1">
      <protection locked="0"/>
    </xf>
    <xf numFmtId="165" fontId="9" fillId="0" borderId="0" xfId="0" applyNumberFormat="1" applyFont="1" applyBorder="1" applyAlignment="1" applyProtection="1">
      <alignment horizontal="center"/>
    </xf>
    <xf numFmtId="0" fontId="10" fillId="0" borderId="0" xfId="0" applyFont="1" applyFill="1" applyBorder="1" applyAlignment="1" applyProtection="1">
      <alignment horizontal="center"/>
    </xf>
    <xf numFmtId="8" fontId="9" fillId="0" borderId="0" xfId="0" applyNumberFormat="1" applyFont="1" applyBorder="1" applyAlignment="1" applyProtection="1">
      <alignment horizontal="center"/>
    </xf>
    <xf numFmtId="0" fontId="19" fillId="26" borderId="54" xfId="0" applyFont="1" applyFill="1" applyBorder="1" applyAlignment="1">
      <alignment horizontal="center" vertical="center"/>
    </xf>
    <xf numFmtId="0" fontId="19" fillId="26" borderId="54" xfId="0" applyFont="1" applyFill="1" applyBorder="1"/>
    <xf numFmtId="0" fontId="10" fillId="29" borderId="54" xfId="0" applyFont="1" applyFill="1" applyBorder="1"/>
    <xf numFmtId="0" fontId="10" fillId="0" borderId="82" xfId="0" applyFont="1" applyBorder="1"/>
    <xf numFmtId="168" fontId="10" fillId="0" borderId="0" xfId="0" applyNumberFormat="1" applyFont="1" applyBorder="1"/>
    <xf numFmtId="2" fontId="10" fillId="0" borderId="28" xfId="0" applyNumberFormat="1" applyFont="1" applyFill="1" applyBorder="1"/>
    <xf numFmtId="178" fontId="10" fillId="0" borderId="0" xfId="1" applyNumberFormat="1" applyFont="1" applyFill="1" applyBorder="1"/>
    <xf numFmtId="10" fontId="10" fillId="6" borderId="0" xfId="0" applyNumberFormat="1" applyFont="1" applyFill="1" applyBorder="1"/>
    <xf numFmtId="167" fontId="29" fillId="0" borderId="28" xfId="2" applyNumberFormat="1" applyFont="1" applyBorder="1"/>
    <xf numFmtId="166" fontId="29" fillId="0" borderId="28" xfId="2" applyNumberFormat="1" applyFont="1" applyFill="1" applyBorder="1"/>
    <xf numFmtId="167" fontId="29" fillId="0" borderId="29" xfId="2" applyNumberFormat="1" applyFont="1" applyBorder="1"/>
    <xf numFmtId="166" fontId="29" fillId="0" borderId="29" xfId="2" applyNumberFormat="1" applyFont="1" applyBorder="1"/>
    <xf numFmtId="1" fontId="32" fillId="0" borderId="29" xfId="0" applyNumberFormat="1" applyFont="1" applyBorder="1" applyAlignment="1">
      <alignment horizontal="center"/>
    </xf>
    <xf numFmtId="166" fontId="32" fillId="0" borderId="13" xfId="0" applyNumberFormat="1" applyFont="1" applyBorder="1"/>
    <xf numFmtId="164" fontId="32" fillId="0" borderId="0" xfId="1" applyNumberFormat="1" applyFont="1"/>
    <xf numFmtId="177" fontId="10" fillId="0" borderId="0" xfId="0" applyNumberFormat="1" applyFont="1"/>
    <xf numFmtId="170" fontId="29" fillId="0" borderId="28" xfId="2" applyNumberFormat="1" applyFont="1" applyFill="1" applyBorder="1" applyAlignment="1">
      <alignment horizontal="right"/>
    </xf>
    <xf numFmtId="170" fontId="29" fillId="0" borderId="29" xfId="2" applyNumberFormat="1" applyFont="1" applyFill="1" applyBorder="1" applyAlignment="1">
      <alignment horizontal="right"/>
    </xf>
    <xf numFmtId="169" fontId="32" fillId="0" borderId="29" xfId="0" applyNumberFormat="1" applyFont="1" applyBorder="1"/>
    <xf numFmtId="0" fontId="32" fillId="0" borderId="29" xfId="0" applyFont="1" applyBorder="1"/>
    <xf numFmtId="164" fontId="32" fillId="0" borderId="29" xfId="0" applyNumberFormat="1" applyFont="1" applyBorder="1"/>
    <xf numFmtId="169" fontId="32" fillId="0" borderId="0" xfId="0" applyNumberFormat="1" applyFont="1" applyBorder="1"/>
    <xf numFmtId="0" fontId="32" fillId="0" borderId="0" xfId="0" applyFont="1" applyBorder="1"/>
    <xf numFmtId="168" fontId="32" fillId="0" borderId="42" xfId="1" applyNumberFormat="1" applyFont="1" applyBorder="1" applyAlignment="1">
      <alignment horizontal="center"/>
    </xf>
    <xf numFmtId="168" fontId="32" fillId="0" borderId="39" xfId="1" applyNumberFormat="1" applyFont="1" applyBorder="1" applyAlignment="1">
      <alignment horizontal="center"/>
    </xf>
    <xf numFmtId="165" fontId="9" fillId="0" borderId="9" xfId="0" applyNumberFormat="1" applyFont="1" applyFill="1" applyBorder="1"/>
    <xf numFmtId="164" fontId="31" fillId="0" borderId="9" xfId="0" applyNumberFormat="1" applyFont="1" applyFill="1" applyBorder="1" applyAlignment="1">
      <alignment horizontal="right"/>
    </xf>
    <xf numFmtId="0" fontId="9" fillId="0" borderId="37" xfId="0" applyNumberFormat="1" applyFont="1" applyBorder="1" applyAlignment="1">
      <alignment horizontal="center"/>
    </xf>
    <xf numFmtId="165" fontId="27" fillId="0" borderId="9" xfId="0" applyNumberFormat="1" applyFont="1" applyFill="1" applyBorder="1"/>
    <xf numFmtId="0" fontId="22" fillId="0" borderId="9" xfId="0" applyNumberFormat="1" applyFont="1" applyFill="1" applyBorder="1" applyAlignment="1">
      <alignment horizontal="center"/>
    </xf>
    <xf numFmtId="164" fontId="37" fillId="0" borderId="9" xfId="0" applyNumberFormat="1" applyFont="1" applyFill="1" applyBorder="1" applyAlignment="1">
      <alignment horizontal="right"/>
    </xf>
    <xf numFmtId="164" fontId="27" fillId="0" borderId="11" xfId="0" applyNumberFormat="1" applyFont="1" applyFill="1" applyBorder="1" applyAlignment="1">
      <alignment horizontal="center"/>
    </xf>
    <xf numFmtId="164" fontId="27" fillId="0" borderId="9" xfId="0" applyNumberFormat="1" applyFont="1" applyFill="1" applyBorder="1" applyAlignment="1">
      <alignment horizontal="center"/>
    </xf>
    <xf numFmtId="164" fontId="27" fillId="0" borderId="12" xfId="0" applyNumberFormat="1" applyFont="1" applyFill="1" applyBorder="1" applyAlignment="1">
      <alignment horizontal="center"/>
    </xf>
    <xf numFmtId="170" fontId="29" fillId="0" borderId="14" xfId="1" applyNumberFormat="1" applyFont="1" applyFill="1" applyBorder="1"/>
    <xf numFmtId="168" fontId="29" fillId="0" borderId="9" xfId="1" applyNumberFormat="1" applyFont="1" applyFill="1" applyBorder="1" applyAlignment="1">
      <alignment horizontal="center"/>
    </xf>
    <xf numFmtId="180" fontId="10" fillId="0" borderId="54" xfId="0" applyNumberFormat="1" applyFont="1" applyFill="1" applyBorder="1"/>
    <xf numFmtId="169" fontId="10" fillId="0" borderId="54" xfId="0" applyNumberFormat="1" applyFont="1" applyBorder="1"/>
    <xf numFmtId="179" fontId="10" fillId="0" borderId="54" xfId="0" applyNumberFormat="1" applyFont="1" applyBorder="1"/>
    <xf numFmtId="17" fontId="9" fillId="0" borderId="37" xfId="0" applyNumberFormat="1" applyFont="1" applyBorder="1"/>
    <xf numFmtId="2" fontId="10" fillId="0" borderId="54" xfId="0" applyNumberFormat="1" applyFont="1" applyFill="1" applyBorder="1" applyAlignment="1">
      <alignment horizontal="right"/>
    </xf>
    <xf numFmtId="2" fontId="10" fillId="0" borderId="54" xfId="0" applyNumberFormat="1" applyFont="1" applyFill="1" applyBorder="1"/>
    <xf numFmtId="2" fontId="10" fillId="0" borderId="37" xfId="0" applyNumberFormat="1" applyFont="1" applyFill="1" applyBorder="1"/>
    <xf numFmtId="2" fontId="10" fillId="0" borderId="37" xfId="0" applyNumberFormat="1" applyFont="1" applyFill="1" applyBorder="1" applyAlignment="1">
      <alignment horizontal="right"/>
    </xf>
    <xf numFmtId="179" fontId="10" fillId="0" borderId="54" xfId="0" applyNumberFormat="1" applyFont="1" applyFill="1" applyBorder="1" applyAlignment="1">
      <alignment horizontal="right"/>
    </xf>
    <xf numFmtId="179" fontId="10" fillId="0" borderId="37" xfId="0" applyNumberFormat="1" applyFont="1" applyFill="1" applyBorder="1" applyAlignment="1">
      <alignment horizontal="right"/>
    </xf>
    <xf numFmtId="0" fontId="10" fillId="0" borderId="54" xfId="0" applyFont="1" applyFill="1" applyBorder="1"/>
    <xf numFmtId="0" fontId="10" fillId="0" borderId="37" xfId="0" applyFont="1" applyFill="1" applyBorder="1"/>
    <xf numFmtId="181" fontId="10" fillId="0" borderId="54" xfId="0" applyNumberFormat="1" applyFont="1" applyFill="1" applyBorder="1" applyAlignment="1">
      <alignment horizontal="right"/>
    </xf>
    <xf numFmtId="0" fontId="9" fillId="0" borderId="54" xfId="0" applyFont="1" applyFill="1" applyBorder="1"/>
    <xf numFmtId="0" fontId="10" fillId="0" borderId="54" xfId="0" applyFont="1" applyFill="1" applyBorder="1" applyAlignment="1">
      <alignment horizontal="right"/>
    </xf>
    <xf numFmtId="0" fontId="60" fillId="0" borderId="0" xfId="0" applyFont="1" applyFill="1" applyBorder="1" applyAlignment="1">
      <alignment vertical="center"/>
    </xf>
    <xf numFmtId="1" fontId="10" fillId="0" borderId="22" xfId="0" applyNumberFormat="1" applyFont="1" applyFill="1" applyBorder="1" applyAlignment="1">
      <alignment horizontal="right"/>
    </xf>
    <xf numFmtId="1" fontId="10" fillId="0" borderId="60" xfId="0" applyNumberFormat="1" applyFont="1" applyFill="1" applyBorder="1" applyAlignment="1">
      <alignment horizontal="right"/>
    </xf>
    <xf numFmtId="1" fontId="10" fillId="0" borderId="63" xfId="0" applyNumberFormat="1" applyFont="1" applyFill="1" applyBorder="1" applyAlignment="1">
      <alignment horizontal="right"/>
    </xf>
    <xf numFmtId="1" fontId="10" fillId="0" borderId="16" xfId="0" applyNumberFormat="1" applyFont="1" applyFill="1" applyBorder="1" applyAlignment="1">
      <alignment horizontal="right"/>
    </xf>
    <xf numFmtId="1" fontId="10" fillId="0" borderId="54" xfId="0" applyNumberFormat="1" applyFont="1" applyFill="1" applyBorder="1" applyAlignment="1">
      <alignment horizontal="right"/>
    </xf>
    <xf numFmtId="1" fontId="10" fillId="0" borderId="54" xfId="0" applyNumberFormat="1" applyFont="1" applyFill="1" applyBorder="1" applyAlignment="1">
      <alignment horizontal="center"/>
    </xf>
    <xf numFmtId="0" fontId="10" fillId="0" borderId="54" xfId="0" applyFont="1" applyFill="1" applyBorder="1" applyAlignment="1">
      <alignment horizontal="center"/>
    </xf>
    <xf numFmtId="10" fontId="10" fillId="0" borderId="54" xfId="0" applyNumberFormat="1" applyFont="1" applyFill="1" applyBorder="1" applyAlignment="1">
      <alignment horizontal="center"/>
    </xf>
    <xf numFmtId="10" fontId="22" fillId="0" borderId="0" xfId="0" applyNumberFormat="1" applyFont="1" applyFill="1" applyBorder="1"/>
    <xf numFmtId="0" fontId="13" fillId="0" borderId="43" xfId="0" applyFont="1" applyBorder="1" applyAlignment="1" applyProtection="1">
      <alignment horizontal="center" vertical="center" wrapText="1"/>
    </xf>
    <xf numFmtId="0" fontId="10" fillId="0" borderId="0" xfId="0" applyFont="1" applyBorder="1"/>
    <xf numFmtId="170" fontId="32" fillId="0" borderId="26" xfId="0" applyNumberFormat="1" applyFont="1" applyFill="1" applyBorder="1" applyAlignment="1">
      <alignment horizontal="center" vertical="center" wrapText="1"/>
    </xf>
    <xf numFmtId="170" fontId="32" fillId="0" borderId="57" xfId="0" applyNumberFormat="1" applyFont="1" applyFill="1" applyBorder="1" applyAlignment="1">
      <alignment horizontal="center" vertical="center" wrapText="1"/>
    </xf>
    <xf numFmtId="0" fontId="25" fillId="17" borderId="47" xfId="0" applyNumberFormat="1" applyFont="1" applyFill="1" applyBorder="1" applyAlignment="1">
      <alignment horizontal="left"/>
    </xf>
    <xf numFmtId="0" fontId="27" fillId="17" borderId="47" xfId="0" applyNumberFormat="1" applyFont="1" applyFill="1" applyBorder="1"/>
    <xf numFmtId="0" fontId="22" fillId="17" borderId="47" xfId="0" applyNumberFormat="1" applyFont="1" applyFill="1" applyBorder="1"/>
    <xf numFmtId="0" fontId="29" fillId="17" borderId="47" xfId="0" applyNumberFormat="1" applyFont="1" applyFill="1" applyBorder="1" applyAlignment="1">
      <alignment horizontal="left"/>
    </xf>
    <xf numFmtId="0" fontId="29" fillId="17" borderId="47" xfId="0" applyNumberFormat="1" applyFont="1" applyFill="1" applyBorder="1"/>
    <xf numFmtId="0" fontId="29" fillId="17" borderId="47" xfId="1" applyNumberFormat="1" applyFont="1" applyFill="1" applyBorder="1"/>
    <xf numFmtId="0" fontId="29" fillId="17" borderId="48" xfId="1" applyNumberFormat="1" applyFont="1" applyFill="1" applyBorder="1" applyAlignment="1">
      <alignment horizontal="center"/>
    </xf>
    <xf numFmtId="0" fontId="25" fillId="17" borderId="0" xfId="0" applyNumberFormat="1" applyFont="1" applyFill="1" applyBorder="1" applyAlignment="1">
      <alignment horizontal="left" vertical="top"/>
    </xf>
    <xf numFmtId="0" fontId="30" fillId="17" borderId="0" xfId="0" applyNumberFormat="1" applyFont="1" applyFill="1" applyBorder="1" applyAlignment="1">
      <alignment vertical="top"/>
    </xf>
    <xf numFmtId="0" fontId="30" fillId="17" borderId="0" xfId="0" applyNumberFormat="1" applyFont="1" applyFill="1" applyBorder="1" applyAlignment="1">
      <alignment vertical="center"/>
    </xf>
    <xf numFmtId="0" fontId="30" fillId="17" borderId="0" xfId="0" applyNumberFormat="1" applyFont="1" applyFill="1" applyBorder="1"/>
    <xf numFmtId="0" fontId="27" fillId="17" borderId="0" xfId="0" applyNumberFormat="1" applyFont="1" applyFill="1" applyBorder="1"/>
    <xf numFmtId="0" fontId="29" fillId="17" borderId="0" xfId="0" applyNumberFormat="1" applyFont="1" applyFill="1" applyBorder="1"/>
    <xf numFmtId="0" fontId="22" fillId="17" borderId="0" xfId="0" applyNumberFormat="1" applyFont="1" applyFill="1" applyBorder="1"/>
    <xf numFmtId="0" fontId="29" fillId="17" borderId="0" xfId="0" applyNumberFormat="1" applyFont="1" applyFill="1" applyBorder="1" applyAlignment="1">
      <alignment horizontal="left" vertical="top" wrapText="1"/>
    </xf>
    <xf numFmtId="0" fontId="29" fillId="17" borderId="0" xfId="0" applyNumberFormat="1" applyFont="1" applyFill="1" applyBorder="1" applyAlignment="1">
      <alignment vertical="top"/>
    </xf>
    <xf numFmtId="0" fontId="29" fillId="17" borderId="0" xfId="1" applyNumberFormat="1" applyFont="1" applyFill="1" applyBorder="1"/>
    <xf numFmtId="0" fontId="29" fillId="17" borderId="53" xfId="1" applyNumberFormat="1" applyFont="1" applyFill="1" applyBorder="1" applyAlignment="1">
      <alignment horizontal="center"/>
    </xf>
    <xf numFmtId="0" fontId="25" fillId="20" borderId="47" xfId="0" applyNumberFormat="1" applyFont="1" applyFill="1" applyBorder="1" applyAlignment="1">
      <alignment horizontal="left"/>
    </xf>
    <xf numFmtId="0" fontId="27" fillId="20" borderId="47" xfId="0" applyNumberFormat="1" applyFont="1" applyFill="1" applyBorder="1"/>
    <xf numFmtId="164" fontId="9" fillId="20" borderId="0" xfId="0" applyNumberFormat="1" applyFont="1" applyFill="1"/>
    <xf numFmtId="0" fontId="22" fillId="20" borderId="47" xfId="0" applyNumberFormat="1" applyFont="1" applyFill="1" applyBorder="1"/>
    <xf numFmtId="0" fontId="29" fillId="20" borderId="47" xfId="0" applyNumberFormat="1" applyFont="1" applyFill="1" applyBorder="1" applyAlignment="1">
      <alignment horizontal="left"/>
    </xf>
    <xf numFmtId="0" fontId="29" fillId="20" borderId="47" xfId="0" applyNumberFormat="1" applyFont="1" applyFill="1" applyBorder="1"/>
    <xf numFmtId="0" fontId="29" fillId="20" borderId="47" xfId="1" applyNumberFormat="1" applyFont="1" applyFill="1" applyBorder="1"/>
    <xf numFmtId="0" fontId="29" fillId="20" borderId="48" xfId="1" applyNumberFormat="1" applyFont="1" applyFill="1" applyBorder="1" applyAlignment="1">
      <alignment horizontal="center"/>
    </xf>
    <xf numFmtId="0" fontId="25" fillId="20" borderId="0" xfId="0" applyNumberFormat="1" applyFont="1" applyFill="1" applyBorder="1" applyAlignment="1">
      <alignment horizontal="left" vertical="top"/>
    </xf>
    <xf numFmtId="0" fontId="30" fillId="20" borderId="0" xfId="0" applyNumberFormat="1" applyFont="1" applyFill="1" applyBorder="1" applyAlignment="1">
      <alignment vertical="top"/>
    </xf>
    <xf numFmtId="0" fontId="30" fillId="20" borderId="0" xfId="0" applyNumberFormat="1" applyFont="1" applyFill="1" applyBorder="1" applyAlignment="1">
      <alignment vertical="center"/>
    </xf>
    <xf numFmtId="0" fontId="30" fillId="20" borderId="0" xfId="0" applyNumberFormat="1" applyFont="1" applyFill="1" applyBorder="1"/>
    <xf numFmtId="0" fontId="27" fillId="20" borderId="0" xfId="0" applyNumberFormat="1" applyFont="1" applyFill="1" applyBorder="1"/>
    <xf numFmtId="0" fontId="29" fillId="20" borderId="0" xfId="0" applyNumberFormat="1" applyFont="1" applyFill="1" applyBorder="1"/>
    <xf numFmtId="0" fontId="22" fillId="20" borderId="0" xfId="0" applyNumberFormat="1" applyFont="1" applyFill="1" applyBorder="1"/>
    <xf numFmtId="0" fontId="29" fillId="20" borderId="0" xfId="0" applyNumberFormat="1" applyFont="1" applyFill="1" applyBorder="1" applyAlignment="1">
      <alignment horizontal="left" vertical="top" wrapText="1"/>
    </xf>
    <xf numFmtId="0" fontId="29" fillId="20" borderId="0" xfId="0" applyNumberFormat="1" applyFont="1" applyFill="1" applyBorder="1" applyAlignment="1">
      <alignment vertical="top"/>
    </xf>
    <xf numFmtId="0" fontId="29" fillId="20" borderId="0" xfId="1" applyNumberFormat="1" applyFont="1" applyFill="1" applyBorder="1"/>
    <xf numFmtId="0" fontId="29" fillId="20" borderId="53" xfId="1" applyNumberFormat="1" applyFont="1" applyFill="1" applyBorder="1" applyAlignment="1">
      <alignment horizontal="center"/>
    </xf>
    <xf numFmtId="0" fontId="26" fillId="17" borderId="47" xfId="0" applyNumberFormat="1" applyFont="1" applyFill="1" applyBorder="1" applyAlignment="1">
      <alignment horizontal="center" vertical="center"/>
    </xf>
    <xf numFmtId="0" fontId="25" fillId="20" borderId="52" xfId="0" applyNumberFormat="1" applyFont="1" applyFill="1" applyBorder="1" applyAlignment="1">
      <alignment horizontal="left" vertical="top"/>
    </xf>
    <xf numFmtId="0" fontId="25" fillId="17" borderId="52" xfId="0" applyNumberFormat="1" applyFont="1" applyFill="1" applyBorder="1" applyAlignment="1">
      <alignment horizontal="left" vertical="top"/>
    </xf>
    <xf numFmtId="0" fontId="14" fillId="0" borderId="59" xfId="0" applyFont="1" applyBorder="1" applyAlignment="1" applyProtection="1">
      <alignment horizontal="center" vertical="center" wrapText="1"/>
    </xf>
    <xf numFmtId="0" fontId="20" fillId="0" borderId="59" xfId="0" applyFont="1" applyFill="1" applyBorder="1" applyAlignment="1" applyProtection="1">
      <alignment horizontal="center" vertical="center" wrapText="1"/>
    </xf>
    <xf numFmtId="0" fontId="13" fillId="0" borderId="59" xfId="0" applyFont="1" applyBorder="1" applyAlignment="1" applyProtection="1">
      <alignment horizontal="center" vertical="center" wrapText="1"/>
    </xf>
    <xf numFmtId="170" fontId="32" fillId="0" borderId="25" xfId="0" applyNumberFormat="1" applyFont="1" applyFill="1" applyBorder="1" applyAlignment="1">
      <alignment horizontal="center" vertical="center" wrapText="1"/>
    </xf>
    <xf numFmtId="0" fontId="25" fillId="0" borderId="59" xfId="0" applyFont="1" applyFill="1" applyBorder="1" applyAlignment="1" applyProtection="1">
      <alignment horizontal="center" vertical="center" wrapText="1"/>
    </xf>
    <xf numFmtId="0" fontId="13" fillId="0" borderId="108" xfId="0" applyFont="1" applyBorder="1" applyAlignment="1" applyProtection="1">
      <alignment horizontal="center" vertical="center" wrapText="1"/>
    </xf>
    <xf numFmtId="0" fontId="7" fillId="25" borderId="96" xfId="8" applyFont="1" applyFill="1" applyBorder="1" applyAlignment="1" applyProtection="1">
      <alignment horizontal="center" vertical="top" wrapText="1"/>
    </xf>
    <xf numFmtId="0" fontId="10" fillId="0" borderId="0" xfId="0" applyFont="1" applyFill="1" applyBorder="1" applyProtection="1"/>
    <xf numFmtId="0" fontId="10" fillId="0" borderId="53" xfId="0" applyFont="1" applyFill="1" applyBorder="1" applyProtection="1"/>
    <xf numFmtId="0" fontId="10" fillId="0" borderId="51" xfId="0" applyFont="1" applyFill="1" applyBorder="1" applyProtection="1"/>
    <xf numFmtId="0" fontId="10" fillId="0" borderId="0" xfId="0" applyFont="1" applyFill="1" applyProtection="1"/>
    <xf numFmtId="0" fontId="62" fillId="0" borderId="0" xfId="0" applyNumberFormat="1" applyFont="1" applyBorder="1" applyAlignment="1">
      <alignment horizontal="center"/>
    </xf>
    <xf numFmtId="0" fontId="62" fillId="0" borderId="1" xfId="0" applyNumberFormat="1" applyFont="1" applyBorder="1" applyAlignment="1">
      <alignment horizontal="center"/>
    </xf>
    <xf numFmtId="0" fontId="62" fillId="0" borderId="27" xfId="0" applyNumberFormat="1" applyFont="1" applyBorder="1" applyAlignment="1">
      <alignment horizontal="center"/>
    </xf>
    <xf numFmtId="0" fontId="62" fillId="0" borderId="36" xfId="0" applyNumberFormat="1" applyFont="1" applyBorder="1" applyAlignment="1">
      <alignment horizontal="center"/>
    </xf>
    <xf numFmtId="180" fontId="10" fillId="0" borderId="54" xfId="0" applyNumberFormat="1" applyFont="1" applyFill="1" applyBorder="1" applyAlignment="1">
      <alignment horizontal="center" vertical="center"/>
    </xf>
    <xf numFmtId="168" fontId="10" fillId="0" borderId="54" xfId="0" applyNumberFormat="1" applyFont="1" applyFill="1" applyBorder="1" applyAlignment="1">
      <alignment horizontal="center" vertical="center"/>
    </xf>
    <xf numFmtId="0" fontId="25" fillId="20" borderId="0" xfId="0" applyNumberFormat="1" applyFont="1" applyFill="1" applyBorder="1" applyAlignment="1">
      <alignment horizontal="left" vertical="top"/>
    </xf>
    <xf numFmtId="0" fontId="25" fillId="17" borderId="0" xfId="0" applyNumberFormat="1" applyFont="1" applyFill="1" applyBorder="1" applyAlignment="1">
      <alignment horizontal="left" vertical="top"/>
    </xf>
    <xf numFmtId="0" fontId="55" fillId="2" borderId="8" xfId="0" applyFont="1" applyFill="1" applyBorder="1" applyAlignment="1">
      <alignment horizontal="center" vertical="center"/>
    </xf>
    <xf numFmtId="0" fontId="10" fillId="0" borderId="13" xfId="0" applyFont="1" applyBorder="1" applyProtection="1"/>
    <xf numFmtId="0" fontId="11" fillId="0" borderId="0" xfId="0" applyFont="1" applyFill="1" applyBorder="1" applyAlignment="1" applyProtection="1">
      <alignment vertical="center"/>
    </xf>
    <xf numFmtId="0" fontId="14" fillId="0" borderId="0" xfId="0" applyFont="1" applyFill="1" applyBorder="1" applyAlignment="1" applyProtection="1">
      <alignment horizontal="center" vertical="center"/>
      <protection locked="0"/>
    </xf>
    <xf numFmtId="0" fontId="8" fillId="0" borderId="0" xfId="0" applyFont="1" applyFill="1" applyBorder="1" applyAlignment="1" applyProtection="1">
      <alignment horizontal="center" vertical="center"/>
    </xf>
    <xf numFmtId="0" fontId="7" fillId="0" borderId="0" xfId="8" applyFont="1" applyFill="1" applyBorder="1" applyAlignment="1" applyProtection="1">
      <alignment horizontal="center" vertical="top" wrapText="1"/>
    </xf>
    <xf numFmtId="0" fontId="13" fillId="0" borderId="0" xfId="0" applyFont="1" applyFill="1" applyBorder="1" applyAlignment="1" applyProtection="1">
      <alignment horizontal="center" vertical="center"/>
    </xf>
    <xf numFmtId="8" fontId="14" fillId="0" borderId="0" xfId="0" applyNumberFormat="1" applyFont="1" applyFill="1" applyBorder="1" applyAlignment="1" applyProtection="1">
      <alignment horizontal="center" vertical="center"/>
      <protection locked="0"/>
    </xf>
    <xf numFmtId="0" fontId="14" fillId="0" borderId="0" xfId="0" applyFont="1" applyFill="1" applyBorder="1" applyAlignment="1" applyProtection="1">
      <alignment horizontal="center" vertical="center" wrapText="1"/>
      <protection locked="0"/>
    </xf>
    <xf numFmtId="0" fontId="13" fillId="0" borderId="53" xfId="0" applyFont="1" applyFill="1" applyBorder="1" applyAlignment="1" applyProtection="1">
      <alignment horizontal="center" vertical="center"/>
    </xf>
    <xf numFmtId="0" fontId="11" fillId="0" borderId="0" xfId="0" applyFont="1" applyFill="1" applyBorder="1" applyAlignment="1" applyProtection="1">
      <alignment horizontal="center" vertical="center"/>
    </xf>
    <xf numFmtId="0" fontId="10" fillId="0" borderId="13" xfId="0" applyFont="1" applyFill="1" applyBorder="1" applyAlignment="1" applyProtection="1"/>
    <xf numFmtId="0" fontId="10" fillId="0" borderId="53" xfId="0" applyFont="1" applyFill="1" applyBorder="1" applyAlignment="1" applyProtection="1"/>
    <xf numFmtId="0" fontId="10" fillId="0" borderId="0" xfId="0" applyFont="1" applyFill="1" applyBorder="1" applyAlignment="1" applyProtection="1"/>
    <xf numFmtId="0" fontId="10" fillId="0" borderId="50" xfId="0" applyFont="1" applyFill="1" applyBorder="1" applyAlignment="1" applyProtection="1"/>
    <xf numFmtId="0" fontId="10" fillId="0" borderId="51" xfId="0" applyFont="1" applyFill="1" applyBorder="1" applyAlignment="1" applyProtection="1"/>
    <xf numFmtId="0" fontId="10" fillId="0" borderId="48" xfId="0" applyFont="1" applyFill="1" applyBorder="1" applyAlignment="1" applyProtection="1"/>
    <xf numFmtId="0" fontId="22" fillId="0" borderId="52" xfId="8" applyFont="1" applyBorder="1" applyProtection="1"/>
    <xf numFmtId="0" fontId="7" fillId="0" borderId="0" xfId="8" applyFont="1" applyFill="1" applyBorder="1" applyAlignment="1" applyProtection="1">
      <alignment horizontal="center" wrapText="1"/>
    </xf>
    <xf numFmtId="0" fontId="9" fillId="0" borderId="9" xfId="0" applyNumberFormat="1" applyFont="1" applyFill="1" applyBorder="1" applyAlignment="1">
      <alignment horizontal="center" vertical="center" wrapText="1"/>
    </xf>
    <xf numFmtId="0" fontId="9" fillId="0" borderId="15" xfId="0" applyNumberFormat="1" applyFont="1" applyFill="1" applyBorder="1" applyAlignment="1">
      <alignment horizontal="center" vertical="center" wrapText="1"/>
    </xf>
    <xf numFmtId="0" fontId="27" fillId="0" borderId="15" xfId="0" applyNumberFormat="1" applyFont="1" applyFill="1" applyBorder="1" applyAlignment="1">
      <alignment horizontal="center" vertical="center" wrapText="1"/>
    </xf>
    <xf numFmtId="0" fontId="10" fillId="0" borderId="52" xfId="0" applyFont="1" applyBorder="1"/>
    <xf numFmtId="0" fontId="10" fillId="0" borderId="0" xfId="0" applyFont="1" applyBorder="1"/>
    <xf numFmtId="165" fontId="9" fillId="0" borderId="52" xfId="0" applyNumberFormat="1" applyFont="1" applyBorder="1" applyAlignment="1">
      <alignment horizontal="center"/>
    </xf>
    <xf numFmtId="0" fontId="10" fillId="0" borderId="46" xfId="0" applyFont="1" applyBorder="1"/>
    <xf numFmtId="0" fontId="10" fillId="0" borderId="47" xfId="0" applyFont="1" applyBorder="1"/>
    <xf numFmtId="0" fontId="10" fillId="0" borderId="50" xfId="0" applyFont="1" applyBorder="1"/>
    <xf numFmtId="165" fontId="9" fillId="0" borderId="46" xfId="0" applyNumberFormat="1" applyFont="1" applyBorder="1" applyAlignment="1">
      <alignment horizontal="center"/>
    </xf>
    <xf numFmtId="0" fontId="10" fillId="0" borderId="84" xfId="0" applyFont="1" applyBorder="1"/>
    <xf numFmtId="0" fontId="10" fillId="0" borderId="9" xfId="0" applyFont="1" applyBorder="1"/>
    <xf numFmtId="0" fontId="10" fillId="0" borderId="50" xfId="0" applyFont="1" applyBorder="1" applyAlignment="1">
      <alignment horizontal="center"/>
    </xf>
    <xf numFmtId="0" fontId="10" fillId="0" borderId="0" xfId="0" applyFont="1" applyFill="1" applyBorder="1" applyAlignment="1">
      <alignment horizontal="center"/>
    </xf>
    <xf numFmtId="165" fontId="9" fillId="0" borderId="72" xfId="0" applyNumberFormat="1" applyFont="1" applyBorder="1" applyAlignment="1">
      <alignment horizontal="center"/>
    </xf>
    <xf numFmtId="165" fontId="9" fillId="0" borderId="71" xfId="0" applyNumberFormat="1" applyFont="1" applyBorder="1" applyAlignment="1">
      <alignment horizontal="center"/>
    </xf>
    <xf numFmtId="0" fontId="10" fillId="0" borderId="49" xfId="0" applyFont="1" applyBorder="1"/>
    <xf numFmtId="0" fontId="9" fillId="0" borderId="0" xfId="0" applyNumberFormat="1" applyFont="1" applyBorder="1" applyAlignment="1">
      <alignment horizontal="center" vertical="center" wrapText="1"/>
    </xf>
    <xf numFmtId="0" fontId="9" fillId="0" borderId="0" xfId="0" applyNumberFormat="1" applyFont="1" applyFill="1" applyBorder="1" applyAlignment="1">
      <alignment horizontal="center" vertical="center" wrapText="1"/>
    </xf>
    <xf numFmtId="165" fontId="9" fillId="0" borderId="0" xfId="0" applyNumberFormat="1" applyFont="1" applyBorder="1" applyAlignment="1">
      <alignment horizontal="center"/>
    </xf>
    <xf numFmtId="0" fontId="9" fillId="0" borderId="1" xfId="0" applyNumberFormat="1" applyFont="1" applyFill="1" applyBorder="1" applyAlignment="1">
      <alignment horizontal="center" vertical="center" wrapText="1"/>
    </xf>
    <xf numFmtId="0" fontId="27" fillId="0" borderId="9" xfId="0" applyNumberFormat="1" applyFont="1" applyFill="1" applyBorder="1" applyAlignment="1">
      <alignment horizontal="center" vertical="center" wrapText="1"/>
    </xf>
    <xf numFmtId="0" fontId="27" fillId="0" borderId="0" xfId="0" applyNumberFormat="1" applyFont="1" applyFill="1" applyBorder="1" applyAlignment="1">
      <alignment horizontal="center" vertical="center" wrapText="1"/>
    </xf>
    <xf numFmtId="0" fontId="9" fillId="0" borderId="56" xfId="0" applyFont="1" applyBorder="1" applyAlignment="1">
      <alignment horizontal="center" vertical="center"/>
    </xf>
    <xf numFmtId="0" fontId="9" fillId="0" borderId="54" xfId="0" applyFont="1" applyBorder="1" applyAlignment="1">
      <alignment horizontal="center" vertical="center"/>
    </xf>
    <xf numFmtId="10" fontId="10" fillId="0" borderId="54" xfId="0" applyNumberFormat="1" applyFont="1" applyBorder="1" applyAlignment="1">
      <alignment vertical="center"/>
    </xf>
    <xf numFmtId="10" fontId="10" fillId="0" borderId="54" xfId="0" applyNumberFormat="1" applyFont="1" applyBorder="1" applyAlignment="1">
      <alignment horizontal="center" vertical="center"/>
    </xf>
    <xf numFmtId="0" fontId="10" fillId="0" borderId="56" xfId="0" applyFont="1" applyBorder="1" applyAlignment="1">
      <alignment horizontal="center" vertical="center"/>
    </xf>
    <xf numFmtId="0" fontId="10" fillId="0" borderId="54" xfId="0" applyFont="1" applyBorder="1" applyAlignment="1">
      <alignment horizontal="center" vertical="center"/>
    </xf>
    <xf numFmtId="0" fontId="31" fillId="0" borderId="54" xfId="0" applyFont="1" applyFill="1" applyBorder="1" applyAlignment="1">
      <alignment horizontal="center" vertical="center"/>
    </xf>
    <xf numFmtId="0" fontId="10" fillId="0" borderId="54" xfId="0" applyFont="1" applyBorder="1" applyAlignment="1">
      <alignment horizontal="center"/>
    </xf>
    <xf numFmtId="0" fontId="10" fillId="0" borderId="56" xfId="0" applyFont="1" applyBorder="1" applyAlignment="1">
      <alignment vertical="center"/>
    </xf>
    <xf numFmtId="0" fontId="9" fillId="0" borderId="22" xfId="0" applyFont="1" applyBorder="1" applyAlignment="1">
      <alignment horizontal="center" vertical="center"/>
    </xf>
    <xf numFmtId="10" fontId="9" fillId="0" borderId="54" xfId="0" applyNumberFormat="1" applyFont="1" applyBorder="1" applyAlignment="1">
      <alignment horizontal="center" vertical="center"/>
    </xf>
    <xf numFmtId="0" fontId="9" fillId="0" borderId="8" xfId="0" applyFont="1" applyBorder="1" applyAlignment="1">
      <alignment horizontal="center" vertical="center"/>
    </xf>
    <xf numFmtId="0" fontId="9" fillId="0" borderId="56" xfId="0" applyFont="1" applyBorder="1" applyAlignment="1">
      <alignment horizontal="center"/>
    </xf>
    <xf numFmtId="0" fontId="9" fillId="0" borderId="54" xfId="0" applyFont="1" applyBorder="1" applyAlignment="1">
      <alignment horizontal="center"/>
    </xf>
    <xf numFmtId="0" fontId="24" fillId="0" borderId="54" xfId="8" applyNumberFormat="1" applyFont="1" applyFill="1" applyBorder="1" applyAlignment="1">
      <alignment horizontal="left" vertical="top" wrapText="1"/>
    </xf>
    <xf numFmtId="0" fontId="27" fillId="0" borderId="14" xfId="0" applyNumberFormat="1" applyFont="1" applyFill="1" applyBorder="1" applyAlignment="1">
      <alignment horizontal="center" vertical="center" wrapText="1"/>
    </xf>
    <xf numFmtId="0" fontId="22" fillId="0" borderId="76" xfId="0" applyNumberFormat="1" applyFont="1" applyFill="1" applyBorder="1" applyAlignment="1">
      <alignment horizontal="center" vertical="center" wrapText="1"/>
    </xf>
    <xf numFmtId="0" fontId="22" fillId="0" borderId="77" xfId="0" applyNumberFormat="1" applyFont="1" applyFill="1" applyBorder="1" applyAlignment="1">
      <alignment horizontal="center" vertical="center" wrapText="1"/>
    </xf>
    <xf numFmtId="0" fontId="22" fillId="0" borderId="50" xfId="0" applyNumberFormat="1" applyFont="1" applyFill="1" applyBorder="1" applyAlignment="1">
      <alignment horizontal="center" vertical="center" wrapText="1"/>
    </xf>
    <xf numFmtId="0" fontId="5" fillId="0" borderId="0" xfId="0" applyNumberFormat="1" applyFont="1" applyFill="1" applyBorder="1" applyAlignment="1">
      <alignment horizontal="left" vertical="top" wrapText="1"/>
    </xf>
    <xf numFmtId="0" fontId="24" fillId="0" borderId="8" xfId="8" applyNumberFormat="1" applyFont="1" applyFill="1" applyBorder="1" applyAlignment="1">
      <alignment horizontal="left" vertical="top" wrapText="1"/>
    </xf>
    <xf numFmtId="0" fontId="51" fillId="0" borderId="39" xfId="8" applyNumberFormat="1" applyFont="1" applyFill="1" applyBorder="1" applyAlignment="1">
      <alignment horizontal="left" vertical="top" wrapText="1"/>
    </xf>
    <xf numFmtId="0" fontId="51" fillId="0" borderId="1" xfId="8" applyNumberFormat="1" applyFont="1" applyBorder="1" applyAlignment="1">
      <alignment horizontal="left" vertical="top" wrapText="1"/>
    </xf>
    <xf numFmtId="0" fontId="51" fillId="0" borderId="0" xfId="8" applyNumberFormat="1" applyFont="1" applyBorder="1" applyAlignment="1">
      <alignment horizontal="left" vertical="top" wrapText="1"/>
    </xf>
    <xf numFmtId="0" fontId="41" fillId="0" borderId="8" xfId="0" applyNumberFormat="1" applyFont="1" applyBorder="1" applyAlignment="1">
      <alignment horizontal="center" vertical="center"/>
    </xf>
    <xf numFmtId="0" fontId="41" fillId="0" borderId="8" xfId="0" applyNumberFormat="1" applyFont="1" applyFill="1" applyBorder="1" applyAlignment="1">
      <alignment horizontal="center" vertical="center"/>
    </xf>
    <xf numFmtId="0" fontId="41" fillId="0" borderId="54" xfId="0" applyNumberFormat="1" applyFont="1" applyBorder="1" applyAlignment="1">
      <alignment horizontal="center" vertical="center"/>
    </xf>
    <xf numFmtId="0" fontId="46" fillId="0" borderId="8" xfId="0" applyNumberFormat="1" applyFont="1" applyBorder="1" applyAlignment="1">
      <alignment horizontal="center" vertical="center"/>
    </xf>
    <xf numFmtId="0" fontId="46" fillId="0" borderId="2" xfId="0" applyNumberFormat="1" applyFont="1" applyBorder="1" applyAlignment="1">
      <alignment horizontal="center" vertical="center"/>
    </xf>
    <xf numFmtId="0" fontId="41" fillId="0" borderId="2" xfId="0" applyNumberFormat="1" applyFont="1" applyBorder="1" applyAlignment="1">
      <alignment horizontal="center" vertical="center"/>
    </xf>
    <xf numFmtId="0" fontId="48" fillId="0" borderId="13" xfId="0" applyNumberFormat="1" applyFont="1" applyFill="1" applyBorder="1" applyAlignment="1">
      <alignment horizontal="left" vertical="top" wrapText="1"/>
    </xf>
    <xf numFmtId="0" fontId="48" fillId="0" borderId="1" xfId="0" applyNumberFormat="1" applyFont="1" applyFill="1" applyBorder="1" applyAlignment="1">
      <alignment horizontal="left" vertical="top" wrapText="1"/>
    </xf>
    <xf numFmtId="0" fontId="24" fillId="0" borderId="2" xfId="8" applyNumberFormat="1" applyFont="1" applyFill="1" applyBorder="1" applyAlignment="1">
      <alignment horizontal="left" vertical="top" wrapText="1"/>
    </xf>
    <xf numFmtId="0" fontId="22" fillId="0" borderId="50" xfId="1" applyNumberFormat="1" applyFont="1" applyFill="1" applyBorder="1" applyAlignment="1">
      <alignment horizontal="center" vertical="center" wrapText="1"/>
    </xf>
    <xf numFmtId="0" fontId="46" fillId="0" borderId="8" xfId="0" applyNumberFormat="1" applyFont="1" applyFill="1" applyBorder="1" applyAlignment="1">
      <alignment horizontal="center" vertical="center"/>
    </xf>
    <xf numFmtId="0" fontId="51" fillId="0" borderId="76" xfId="8" applyNumberFormat="1" applyFont="1" applyBorder="1" applyAlignment="1">
      <alignment horizontal="left" vertical="top" wrapText="1"/>
    </xf>
    <xf numFmtId="0" fontId="51" fillId="0" borderId="77" xfId="8" applyNumberFormat="1" applyFont="1" applyBorder="1" applyAlignment="1">
      <alignment horizontal="left" vertical="top" wrapText="1"/>
    </xf>
    <xf numFmtId="0" fontId="14" fillId="30" borderId="99" xfId="0" applyFont="1" applyFill="1" applyBorder="1" applyAlignment="1" applyProtection="1">
      <alignment horizontal="center" vertical="center" wrapText="1"/>
      <protection locked="0"/>
    </xf>
    <xf numFmtId="0" fontId="14" fillId="30" borderId="114" xfId="0" applyFont="1" applyFill="1" applyBorder="1" applyAlignment="1" applyProtection="1">
      <alignment horizontal="center" vertical="center"/>
      <protection locked="0"/>
    </xf>
    <xf numFmtId="8" fontId="14" fillId="30" borderId="114" xfId="0" applyNumberFormat="1" applyFont="1" applyFill="1" applyBorder="1" applyAlignment="1" applyProtection="1">
      <alignment horizontal="center" vertical="center"/>
      <protection locked="0"/>
    </xf>
    <xf numFmtId="0" fontId="17" fillId="0" borderId="52" xfId="0" applyFont="1" applyBorder="1" applyAlignment="1" applyProtection="1">
      <alignment horizontal="center" vertical="center"/>
    </xf>
    <xf numFmtId="0" fontId="68" fillId="20" borderId="54" xfId="8" applyFont="1" applyFill="1" applyBorder="1" applyAlignment="1">
      <alignment horizontal="center" vertical="center"/>
    </xf>
    <xf numFmtId="0" fontId="68" fillId="17" borderId="54" xfId="8" applyFont="1" applyFill="1" applyBorder="1" applyAlignment="1">
      <alignment horizontal="center" vertical="center"/>
    </xf>
    <xf numFmtId="2" fontId="17" fillId="0" borderId="0" xfId="0" applyNumberFormat="1" applyFont="1" applyFill="1" applyBorder="1" applyAlignment="1" applyProtection="1">
      <alignment horizontal="center" vertical="center"/>
    </xf>
    <xf numFmtId="0" fontId="17" fillId="0" borderId="0" xfId="0" applyFont="1" applyFill="1" applyBorder="1" applyAlignment="1" applyProtection="1">
      <alignment vertical="center"/>
    </xf>
    <xf numFmtId="0" fontId="8" fillId="0" borderId="22" xfId="0" applyFont="1" applyFill="1" applyBorder="1" applyAlignment="1">
      <alignment horizontal="center" vertical="center"/>
    </xf>
    <xf numFmtId="0" fontId="10" fillId="0" borderId="53" xfId="0" applyFont="1" applyBorder="1"/>
    <xf numFmtId="0" fontId="10" fillId="0" borderId="51" xfId="0" applyFont="1" applyBorder="1"/>
    <xf numFmtId="168" fontId="10" fillId="0" borderId="59" xfId="0" applyNumberFormat="1" applyFont="1" applyFill="1" applyBorder="1" applyAlignment="1">
      <alignment horizontal="center" vertical="center"/>
    </xf>
    <xf numFmtId="0" fontId="53" fillId="0" borderId="21" xfId="0" applyFont="1" applyFill="1" applyBorder="1" applyAlignment="1">
      <alignment horizontal="center" vertical="center"/>
    </xf>
    <xf numFmtId="0" fontId="55" fillId="3" borderId="8" xfId="0" applyFont="1" applyFill="1" applyBorder="1" applyAlignment="1">
      <alignment horizontal="center" vertical="center"/>
    </xf>
    <xf numFmtId="0" fontId="55" fillId="4" borderId="8" xfId="0" applyFont="1" applyFill="1" applyBorder="1" applyAlignment="1">
      <alignment horizontal="center" vertical="center"/>
    </xf>
    <xf numFmtId="0" fontId="53" fillId="5" borderId="98" xfId="0" applyFont="1" applyFill="1" applyBorder="1" applyAlignment="1">
      <alignment horizontal="center" vertical="center"/>
    </xf>
    <xf numFmtId="0" fontId="55" fillId="11" borderId="8" xfId="0" applyFont="1" applyFill="1" applyBorder="1" applyAlignment="1">
      <alignment horizontal="center" vertical="center" wrapText="1"/>
    </xf>
    <xf numFmtId="0" fontId="55" fillId="13" borderId="8" xfId="0" applyFont="1" applyFill="1" applyBorder="1" applyAlignment="1">
      <alignment horizontal="center" vertical="center" wrapText="1"/>
    </xf>
    <xf numFmtId="0" fontId="55" fillId="12" borderId="98" xfId="0" applyFont="1" applyFill="1" applyBorder="1" applyAlignment="1">
      <alignment horizontal="center" vertical="center" wrapText="1"/>
    </xf>
    <xf numFmtId="170" fontId="29" fillId="0" borderId="9" xfId="1" applyNumberFormat="1" applyFont="1" applyBorder="1"/>
    <xf numFmtId="170" fontId="29" fillId="0" borderId="0" xfId="1" applyNumberFormat="1" applyFont="1" applyBorder="1"/>
    <xf numFmtId="170" fontId="29" fillId="0" borderId="29" xfId="1" applyNumberFormat="1" applyFont="1" applyBorder="1"/>
    <xf numFmtId="170" fontId="32" fillId="0" borderId="0" xfId="1" applyNumberFormat="1" applyFont="1"/>
    <xf numFmtId="0" fontId="48" fillId="0" borderId="47" xfId="0" applyNumberFormat="1" applyFont="1" applyFill="1" applyBorder="1" applyAlignment="1">
      <alignment vertical="top" wrapText="1"/>
    </xf>
    <xf numFmtId="165" fontId="9" fillId="0" borderId="29" xfId="0" applyNumberFormat="1" applyFont="1" applyBorder="1" applyAlignment="1">
      <alignment horizontal="center" vertical="center"/>
    </xf>
    <xf numFmtId="0" fontId="28" fillId="0" borderId="7" xfId="8" applyNumberFormat="1" applyFont="1" applyBorder="1" applyAlignment="1">
      <alignment horizontal="left" vertical="top" wrapText="1"/>
    </xf>
    <xf numFmtId="0" fontId="24" fillId="0" borderId="54" xfId="8" applyNumberFormat="1" applyFont="1" applyFill="1" applyBorder="1" applyAlignment="1">
      <alignment wrapText="1"/>
    </xf>
    <xf numFmtId="0" fontId="24" fillId="0" borderId="7" xfId="8" applyNumberFormat="1" applyFont="1" applyFill="1" applyBorder="1" applyAlignment="1">
      <alignment vertical="top" wrapText="1"/>
    </xf>
    <xf numFmtId="0" fontId="24" fillId="0" borderId="54" xfId="8" applyNumberFormat="1" applyFont="1" applyFill="1" applyBorder="1" applyAlignment="1">
      <alignment horizontal="left" vertical="top" wrapText="1"/>
    </xf>
    <xf numFmtId="171" fontId="32" fillId="0" borderId="15" xfId="0" applyNumberFormat="1" applyFont="1" applyFill="1" applyBorder="1" applyAlignment="1">
      <alignment horizontal="center"/>
    </xf>
    <xf numFmtId="171" fontId="32" fillId="0" borderId="1" xfId="0" applyNumberFormat="1" applyFont="1" applyFill="1" applyBorder="1" applyAlignment="1">
      <alignment horizontal="center"/>
    </xf>
    <xf numFmtId="171" fontId="32" fillId="0" borderId="36" xfId="0" applyNumberFormat="1" applyFont="1" applyFill="1" applyBorder="1" applyAlignment="1">
      <alignment horizontal="center"/>
    </xf>
    <xf numFmtId="171" fontId="32" fillId="0" borderId="33" xfId="0" applyNumberFormat="1" applyFont="1" applyFill="1" applyBorder="1" applyAlignment="1">
      <alignment horizontal="center"/>
    </xf>
    <xf numFmtId="171" fontId="32" fillId="0" borderId="1" xfId="0" applyNumberFormat="1" applyFont="1" applyBorder="1" applyAlignment="1">
      <alignment horizontal="center"/>
    </xf>
    <xf numFmtId="171" fontId="32" fillId="0" borderId="36" xfId="0" applyNumberFormat="1" applyFont="1" applyBorder="1" applyAlignment="1">
      <alignment horizontal="center"/>
    </xf>
    <xf numFmtId="171" fontId="32" fillId="0" borderId="33" xfId="0" applyNumberFormat="1" applyFont="1" applyBorder="1" applyAlignment="1">
      <alignment horizontal="center"/>
    </xf>
    <xf numFmtId="171" fontId="32" fillId="0" borderId="0" xfId="0" applyNumberFormat="1" applyFont="1" applyBorder="1" applyAlignment="1">
      <alignment horizontal="center"/>
    </xf>
    <xf numFmtId="10" fontId="10" fillId="14" borderId="0" xfId="1" applyNumberFormat="1" applyFont="1" applyFill="1" applyBorder="1"/>
    <xf numFmtId="164" fontId="31" fillId="0" borderId="10" xfId="0" applyNumberFormat="1" applyFont="1" applyFill="1" applyBorder="1" applyAlignment="1">
      <alignment horizontal="center"/>
    </xf>
    <xf numFmtId="164" fontId="31" fillId="0" borderId="38" xfId="0" applyNumberFormat="1" applyFont="1" applyFill="1" applyBorder="1" applyAlignment="1">
      <alignment horizontal="center"/>
    </xf>
    <xf numFmtId="164" fontId="31" fillId="0" borderId="80" xfId="0" applyNumberFormat="1" applyFont="1" applyFill="1" applyBorder="1" applyAlignment="1">
      <alignment horizontal="center"/>
    </xf>
    <xf numFmtId="0" fontId="10" fillId="0" borderId="52" xfId="0" applyFont="1" applyBorder="1"/>
    <xf numFmtId="0" fontId="10" fillId="0" borderId="0" xfId="0" applyFont="1" applyBorder="1"/>
    <xf numFmtId="0" fontId="10" fillId="0" borderId="46" xfId="0" applyFont="1" applyBorder="1"/>
    <xf numFmtId="0" fontId="10" fillId="0" borderId="47" xfId="0" applyFont="1" applyBorder="1"/>
    <xf numFmtId="0" fontId="10" fillId="0" borderId="50" xfId="0" applyFont="1" applyBorder="1"/>
    <xf numFmtId="0" fontId="10" fillId="0" borderId="0" xfId="0" applyFont="1" applyFill="1" applyBorder="1" applyAlignment="1">
      <alignment horizontal="center"/>
    </xf>
    <xf numFmtId="0" fontId="10" fillId="0" borderId="51" xfId="0" applyFont="1" applyBorder="1"/>
    <xf numFmtId="0" fontId="10" fillId="0" borderId="53" xfId="0" applyFont="1" applyBorder="1"/>
    <xf numFmtId="0" fontId="9" fillId="0" borderId="54" xfId="0" applyFont="1" applyBorder="1" applyAlignment="1">
      <alignment horizontal="center"/>
    </xf>
    <xf numFmtId="0" fontId="9" fillId="0" borderId="54" xfId="0" applyFont="1" applyBorder="1" applyAlignment="1">
      <alignment horizontal="center" vertical="center"/>
    </xf>
    <xf numFmtId="0" fontId="10" fillId="0" borderId="54" xfId="0" applyFont="1" applyBorder="1" applyAlignment="1">
      <alignment horizontal="center"/>
    </xf>
    <xf numFmtId="0" fontId="27" fillId="0" borderId="15" xfId="0" applyNumberFormat="1" applyFont="1" applyFill="1" applyBorder="1" applyAlignment="1">
      <alignment horizontal="center" vertical="center" wrapText="1"/>
    </xf>
    <xf numFmtId="0" fontId="10" fillId="0" borderId="0" xfId="0" applyFont="1" applyBorder="1"/>
    <xf numFmtId="0" fontId="24" fillId="0" borderId="54" xfId="8" applyNumberFormat="1" applyFont="1" applyBorder="1" applyAlignment="1">
      <alignment horizontal="left" vertical="top" wrapText="1"/>
    </xf>
    <xf numFmtId="0" fontId="24" fillId="0" borderId="54" xfId="8" applyNumberFormat="1" applyFont="1" applyFill="1" applyBorder="1" applyAlignment="1">
      <alignment horizontal="left" vertical="top" wrapText="1"/>
    </xf>
    <xf numFmtId="0" fontId="24" fillId="0" borderId="7" xfId="8" applyNumberFormat="1" applyFont="1" applyFill="1" applyBorder="1" applyAlignment="1">
      <alignment horizontal="left" vertical="top" wrapText="1"/>
    </xf>
    <xf numFmtId="0" fontId="22" fillId="0" borderId="50" xfId="0" applyNumberFormat="1" applyFont="1" applyFill="1" applyBorder="1" applyAlignment="1">
      <alignment horizontal="center" vertical="center" wrapText="1"/>
    </xf>
    <xf numFmtId="0" fontId="51" fillId="0" borderId="1" xfId="8" applyNumberFormat="1" applyFont="1" applyBorder="1" applyAlignment="1">
      <alignment horizontal="left" vertical="top" wrapText="1"/>
    </xf>
    <xf numFmtId="0" fontId="24" fillId="0" borderId="54" xfId="8" applyFont="1" applyBorder="1" applyAlignment="1">
      <alignment horizontal="left" vertical="top" wrapText="1"/>
    </xf>
    <xf numFmtId="0" fontId="24" fillId="0" borderId="8" xfId="8" applyNumberFormat="1" applyFont="1" applyBorder="1" applyAlignment="1">
      <alignment horizontal="left" vertical="top" wrapText="1"/>
    </xf>
    <xf numFmtId="0" fontId="46" fillId="0" borderId="2" xfId="0" applyNumberFormat="1" applyFont="1" applyFill="1" applyBorder="1" applyAlignment="1">
      <alignment horizontal="center" vertical="center"/>
    </xf>
    <xf numFmtId="0" fontId="10" fillId="0" borderId="54" xfId="0" applyFont="1" applyBorder="1" applyAlignment="1">
      <alignment horizontal="center"/>
    </xf>
    <xf numFmtId="0" fontId="10" fillId="0" borderId="53" xfId="0" applyFont="1" applyBorder="1"/>
    <xf numFmtId="170" fontId="32" fillId="0" borderId="9" xfId="1" applyNumberFormat="1" applyFont="1" applyFill="1" applyBorder="1"/>
    <xf numFmtId="170" fontId="32" fillId="0" borderId="0" xfId="1" applyNumberFormat="1" applyFont="1" applyFill="1" applyBorder="1"/>
    <xf numFmtId="170" fontId="32" fillId="0" borderId="28" xfId="1" applyNumberFormat="1" applyFont="1" applyFill="1" applyBorder="1"/>
    <xf numFmtId="0" fontId="9" fillId="0" borderId="0" xfId="0" applyFont="1" applyFill="1" applyBorder="1" applyAlignment="1">
      <alignment horizontal="center" vertical="center"/>
    </xf>
    <xf numFmtId="168" fontId="29" fillId="0" borderId="39" xfId="1" applyNumberFormat="1" applyFont="1" applyFill="1" applyBorder="1" applyAlignment="1">
      <alignment horizontal="center"/>
    </xf>
    <xf numFmtId="164" fontId="22" fillId="0" borderId="1" xfId="1" applyNumberFormat="1" applyFont="1" applyFill="1" applyBorder="1"/>
    <xf numFmtId="170" fontId="32" fillId="0" borderId="9" xfId="0" applyNumberFormat="1" applyFont="1" applyFill="1" applyBorder="1"/>
    <xf numFmtId="170" fontId="32" fillId="0" borderId="28" xfId="0" applyNumberFormat="1" applyFont="1" applyFill="1" applyBorder="1"/>
    <xf numFmtId="169" fontId="29" fillId="0" borderId="9" xfId="0" applyNumberFormat="1" applyFont="1" applyFill="1" applyBorder="1"/>
    <xf numFmtId="0" fontId="10" fillId="0" borderId="53" xfId="0" applyFont="1" applyBorder="1" applyAlignment="1">
      <alignment horizontal="center"/>
    </xf>
    <xf numFmtId="167" fontId="32" fillId="0" borderId="0" xfId="0" applyNumberFormat="1" applyFont="1"/>
    <xf numFmtId="165" fontId="9" fillId="0" borderId="7" xfId="0" applyNumberFormat="1" applyFont="1" applyBorder="1" applyAlignment="1">
      <alignment horizontal="center"/>
    </xf>
    <xf numFmtId="165" fontId="9" fillId="0" borderId="54" xfId="0" applyNumberFormat="1" applyFont="1" applyBorder="1" applyAlignment="1">
      <alignment horizontal="right"/>
    </xf>
    <xf numFmtId="0" fontId="6" fillId="0" borderId="0" xfId="8" applyNumberFormat="1" applyAlignment="1">
      <alignment horizontal="left" vertical="top" wrapText="1"/>
    </xf>
    <xf numFmtId="0" fontId="51" fillId="0" borderId="1" xfId="8" applyNumberFormat="1" applyFont="1" applyBorder="1" applyAlignment="1">
      <alignment horizontal="left" vertical="top"/>
    </xf>
    <xf numFmtId="0" fontId="24" fillId="0" borderId="7" xfId="8" applyNumberFormat="1" applyFont="1" applyFill="1" applyBorder="1" applyAlignment="1">
      <alignment wrapText="1"/>
    </xf>
    <xf numFmtId="0" fontId="24" fillId="0" borderId="2" xfId="8" applyNumberFormat="1" applyFont="1" applyFill="1" applyBorder="1" applyAlignment="1">
      <alignment vertical="top" wrapText="1"/>
    </xf>
    <xf numFmtId="10" fontId="24" fillId="0" borderId="66" xfId="8" applyNumberFormat="1" applyFont="1" applyFill="1" applyBorder="1" applyAlignment="1">
      <alignment vertical="top" wrapText="1"/>
    </xf>
    <xf numFmtId="10" fontId="24" fillId="0" borderId="99" xfId="8" applyNumberFormat="1" applyFont="1" applyFill="1" applyBorder="1" applyAlignment="1">
      <alignment horizontal="left" vertical="top" wrapText="1"/>
    </xf>
    <xf numFmtId="1" fontId="10" fillId="0" borderId="54" xfId="0" applyNumberFormat="1" applyFont="1" applyFill="1" applyBorder="1"/>
    <xf numFmtId="0" fontId="10" fillId="0" borderId="0" xfId="0" applyFont="1" applyBorder="1"/>
    <xf numFmtId="0" fontId="10" fillId="0" borderId="54" xfId="0" applyFont="1" applyBorder="1" applyAlignment="1">
      <alignment horizontal="center"/>
    </xf>
    <xf numFmtId="0" fontId="10" fillId="0" borderId="56" xfId="0" applyFont="1" applyBorder="1" applyAlignment="1">
      <alignment horizontal="center" vertical="center"/>
    </xf>
    <xf numFmtId="0" fontId="10" fillId="0" borderId="54" xfId="0" applyFont="1" applyBorder="1" applyAlignment="1">
      <alignment horizontal="center" vertical="center"/>
    </xf>
    <xf numFmtId="165" fontId="9" fillId="0" borderId="22" xfId="0" applyNumberFormat="1" applyFont="1" applyBorder="1" applyAlignment="1" applyProtection="1">
      <alignment horizontal="center" vertical="center"/>
    </xf>
    <xf numFmtId="0" fontId="10" fillId="30" borderId="22" xfId="0" applyFont="1" applyFill="1" applyBorder="1" applyAlignment="1" applyProtection="1">
      <alignment vertical="center"/>
      <protection locked="0"/>
    </xf>
    <xf numFmtId="0" fontId="10" fillId="30" borderId="22" xfId="0" applyFont="1" applyFill="1" applyBorder="1" applyAlignment="1" applyProtection="1">
      <alignment vertical="center"/>
    </xf>
    <xf numFmtId="165" fontId="9" fillId="0" borderId="54" xfId="0" applyNumberFormat="1" applyFont="1" applyBorder="1" applyAlignment="1" applyProtection="1">
      <alignment horizontal="center" vertical="center"/>
    </xf>
    <xf numFmtId="1" fontId="10" fillId="0" borderId="22" xfId="0" applyNumberFormat="1" applyFont="1" applyFill="1" applyBorder="1" applyAlignment="1" applyProtection="1">
      <alignment horizontal="center" vertical="center"/>
    </xf>
    <xf numFmtId="0" fontId="22" fillId="0" borderId="50" xfId="0" applyNumberFormat="1" applyFont="1" applyFill="1" applyBorder="1" applyAlignment="1">
      <alignment horizontal="center" vertical="center" wrapText="1"/>
    </xf>
    <xf numFmtId="0" fontId="41" fillId="0" borderId="2" xfId="0" applyNumberFormat="1" applyFont="1" applyFill="1" applyBorder="1" applyAlignment="1">
      <alignment horizontal="center" vertical="center"/>
    </xf>
    <xf numFmtId="0" fontId="24" fillId="0" borderId="7" xfId="8" applyFont="1" applyBorder="1" applyAlignment="1">
      <alignment horizontal="left" vertical="top" wrapText="1"/>
    </xf>
    <xf numFmtId="0" fontId="46" fillId="0" borderId="2" xfId="0" applyNumberFormat="1" applyFont="1" applyFill="1" applyBorder="1" applyAlignment="1">
      <alignment horizontal="center" vertical="center"/>
    </xf>
    <xf numFmtId="0" fontId="13" fillId="0" borderId="59" xfId="0" applyFont="1" applyFill="1" applyBorder="1" applyAlignment="1" applyProtection="1">
      <alignment horizontal="center" vertical="center" wrapText="1"/>
    </xf>
    <xf numFmtId="0" fontId="10" fillId="0" borderId="53" xfId="0" applyFont="1" applyBorder="1" applyAlignment="1">
      <alignment vertical="center"/>
    </xf>
    <xf numFmtId="0" fontId="10" fillId="0" borderId="22" xfId="0" applyFont="1" applyFill="1" applyBorder="1" applyAlignment="1" applyProtection="1">
      <alignment horizontal="center" vertical="center"/>
    </xf>
    <xf numFmtId="0" fontId="10" fillId="0" borderId="54" xfId="0" applyFont="1" applyFill="1" applyBorder="1" applyAlignment="1" applyProtection="1">
      <alignment horizontal="center" vertical="center"/>
    </xf>
    <xf numFmtId="8" fontId="9" fillId="0" borderId="22" xfId="0" applyNumberFormat="1" applyFont="1" applyFill="1" applyBorder="1" applyAlignment="1" applyProtection="1">
      <alignment horizontal="center" vertical="center"/>
    </xf>
    <xf numFmtId="0" fontId="48" fillId="0" borderId="1" xfId="0" applyNumberFormat="1" applyFont="1" applyBorder="1" applyAlignment="1">
      <alignment vertical="top" wrapText="1"/>
    </xf>
    <xf numFmtId="0" fontId="6" fillId="0" borderId="54" xfId="8" applyFill="1" applyBorder="1" applyAlignment="1">
      <alignment vertical="top" wrapText="1"/>
    </xf>
    <xf numFmtId="0" fontId="10" fillId="0" borderId="0" xfId="0" applyFont="1" applyBorder="1"/>
    <xf numFmtId="0" fontId="10" fillId="0" borderId="54" xfId="0" applyFont="1" applyBorder="1" applyAlignment="1">
      <alignment horizontal="center"/>
    </xf>
    <xf numFmtId="9" fontId="10" fillId="0" borderId="56" xfId="0" applyNumberFormat="1" applyFont="1" applyFill="1" applyBorder="1" applyAlignment="1">
      <alignment horizontal="center" vertical="center"/>
    </xf>
    <xf numFmtId="0" fontId="10" fillId="0" borderId="64" xfId="0" applyFont="1" applyFill="1" applyBorder="1" applyAlignment="1">
      <alignment horizontal="center" vertical="center"/>
    </xf>
    <xf numFmtId="10" fontId="10" fillId="0" borderId="54" xfId="0" applyNumberFormat="1" applyFont="1" applyFill="1" applyBorder="1"/>
    <xf numFmtId="10" fontId="10" fillId="0" borderId="90" xfId="0" applyNumberFormat="1" applyFont="1" applyFill="1" applyBorder="1"/>
    <xf numFmtId="0" fontId="10" fillId="0" borderId="0" xfId="0" applyFont="1" applyBorder="1"/>
    <xf numFmtId="0" fontId="10" fillId="0" borderId="47" xfId="0" applyFont="1" applyBorder="1"/>
    <xf numFmtId="0" fontId="10" fillId="0" borderId="50" xfId="0" applyFont="1" applyBorder="1"/>
    <xf numFmtId="0" fontId="24" fillId="0" borderId="8" xfId="8" applyNumberFormat="1" applyFont="1" applyFill="1" applyBorder="1" applyAlignment="1">
      <alignment horizontal="left" vertical="top" wrapText="1"/>
    </xf>
    <xf numFmtId="0" fontId="9" fillId="0" borderId="56" xfId="0" applyFont="1" applyBorder="1" applyAlignment="1">
      <alignment horizontal="center"/>
    </xf>
    <xf numFmtId="0" fontId="10" fillId="0" borderId="54" xfId="0" applyFont="1" applyBorder="1" applyAlignment="1">
      <alignment horizontal="center"/>
    </xf>
    <xf numFmtId="0" fontId="9" fillId="0" borderId="56" xfId="0" applyFont="1" applyBorder="1" applyAlignment="1">
      <alignment horizontal="center" vertical="center"/>
    </xf>
    <xf numFmtId="0" fontId="10" fillId="0" borderId="56" xfId="0" applyFont="1" applyBorder="1" applyAlignment="1">
      <alignment horizontal="center" vertical="center"/>
    </xf>
    <xf numFmtId="166" fontId="32" fillId="0" borderId="0" xfId="0" applyNumberFormat="1" applyFont="1" applyBorder="1"/>
    <xf numFmtId="164" fontId="31" fillId="0" borderId="13" xfId="0" applyNumberFormat="1" applyFont="1" applyBorder="1" applyAlignment="1">
      <alignment horizontal="center"/>
    </xf>
    <xf numFmtId="1" fontId="10" fillId="0" borderId="117" xfId="0" applyNumberFormat="1" applyFont="1" applyFill="1" applyBorder="1" applyAlignment="1">
      <alignment horizontal="center" vertical="center"/>
    </xf>
    <xf numFmtId="0" fontId="39" fillId="0" borderId="28" xfId="0" applyFont="1" applyFill="1" applyBorder="1" applyAlignment="1">
      <alignment vertical="center" wrapText="1"/>
    </xf>
    <xf numFmtId="1" fontId="10" fillId="0" borderId="120" xfId="0" applyNumberFormat="1" applyFont="1" applyFill="1" applyBorder="1" applyAlignment="1">
      <alignment horizontal="center" vertical="center"/>
    </xf>
    <xf numFmtId="0" fontId="43" fillId="0" borderId="55" xfId="0" applyNumberFormat="1" applyFont="1" applyBorder="1" applyAlignment="1">
      <alignment horizontal="center" vertical="center"/>
    </xf>
    <xf numFmtId="166" fontId="29" fillId="0" borderId="28" xfId="0" applyNumberFormat="1" applyFont="1" applyFill="1" applyBorder="1"/>
    <xf numFmtId="167" fontId="32" fillId="0" borderId="28" xfId="0" applyNumberFormat="1" applyFont="1" applyBorder="1"/>
    <xf numFmtId="166" fontId="32" fillId="0" borderId="28" xfId="0" applyNumberFormat="1" applyFont="1" applyBorder="1"/>
    <xf numFmtId="164" fontId="32" fillId="0" borderId="28" xfId="1" applyNumberFormat="1" applyFont="1" applyBorder="1"/>
    <xf numFmtId="168" fontId="32" fillId="0" borderId="41" xfId="1" applyNumberFormat="1" applyFont="1" applyBorder="1" applyAlignment="1">
      <alignment horizontal="center"/>
    </xf>
    <xf numFmtId="171" fontId="32" fillId="0" borderId="28" xfId="0" applyNumberFormat="1" applyFont="1" applyBorder="1" applyAlignment="1">
      <alignment horizontal="center"/>
    </xf>
    <xf numFmtId="0" fontId="62" fillId="0" borderId="28" xfId="0" applyNumberFormat="1" applyFont="1" applyBorder="1" applyAlignment="1">
      <alignment horizontal="center"/>
    </xf>
    <xf numFmtId="169" fontId="32" fillId="0" borderId="28" xfId="0" applyNumberFormat="1" applyFont="1" applyBorder="1"/>
    <xf numFmtId="0" fontId="32" fillId="0" borderId="28" xfId="0" applyFont="1" applyBorder="1"/>
    <xf numFmtId="164" fontId="3" fillId="0" borderId="28" xfId="0" applyNumberFormat="1" applyFont="1" applyBorder="1"/>
    <xf numFmtId="164" fontId="32" fillId="0" borderId="28" xfId="0" applyNumberFormat="1" applyFont="1" applyBorder="1"/>
    <xf numFmtId="10" fontId="32" fillId="0" borderId="28" xfId="0" applyNumberFormat="1" applyFont="1" applyBorder="1"/>
    <xf numFmtId="171" fontId="32" fillId="0" borderId="28" xfId="0" applyNumberFormat="1" applyFont="1" applyFill="1" applyBorder="1" applyAlignment="1">
      <alignment horizontal="center"/>
    </xf>
    <xf numFmtId="168" fontId="29" fillId="0" borderId="41" xfId="1" applyNumberFormat="1" applyFont="1" applyFill="1" applyBorder="1" applyAlignment="1">
      <alignment horizontal="center"/>
    </xf>
    <xf numFmtId="164" fontId="22" fillId="0" borderId="36" xfId="1" applyNumberFormat="1" applyFont="1" applyFill="1" applyBorder="1"/>
    <xf numFmtId="10" fontId="10" fillId="0" borderId="28" xfId="0" applyNumberFormat="1" applyFont="1" applyFill="1" applyBorder="1"/>
    <xf numFmtId="0" fontId="10" fillId="26" borderId="0" xfId="0" applyFont="1" applyFill="1" applyBorder="1"/>
    <xf numFmtId="0" fontId="62" fillId="0" borderId="0" xfId="0" applyNumberFormat="1" applyFont="1" applyFill="1" applyBorder="1" applyAlignment="1">
      <alignment horizontal="center" vertical="center" wrapText="1"/>
    </xf>
    <xf numFmtId="0" fontId="62" fillId="0" borderId="15" xfId="0" applyNumberFormat="1" applyFont="1" applyFill="1" applyBorder="1" applyAlignment="1">
      <alignment horizontal="center" vertical="center" wrapText="1"/>
    </xf>
    <xf numFmtId="0" fontId="24" fillId="0" borderId="21" xfId="8" applyFont="1" applyFill="1" applyBorder="1" applyAlignment="1">
      <alignment horizontal="left" vertical="top" wrapText="1"/>
    </xf>
    <xf numFmtId="0" fontId="24" fillId="0" borderId="8" xfId="8" applyFont="1" applyFill="1" applyBorder="1" applyAlignment="1">
      <alignment horizontal="left" vertical="top" wrapText="1"/>
    </xf>
    <xf numFmtId="0" fontId="6" fillId="0" borderId="2" xfId="8" applyFill="1" applyBorder="1" applyAlignment="1">
      <alignment horizontal="left" vertical="top" wrapText="1"/>
    </xf>
    <xf numFmtId="0" fontId="6" fillId="0" borderId="8" xfId="8" applyFill="1" applyBorder="1" applyAlignment="1">
      <alignment vertical="top" wrapText="1"/>
    </xf>
    <xf numFmtId="0" fontId="6" fillId="0" borderId="8" xfId="8" applyNumberFormat="1" applyFill="1" applyBorder="1" applyAlignment="1">
      <alignment horizontal="left" vertical="top" wrapText="1"/>
    </xf>
    <xf numFmtId="2" fontId="10" fillId="0" borderId="54" xfId="0" applyNumberFormat="1" applyFont="1" applyFill="1" applyBorder="1" applyAlignment="1">
      <alignment horizontal="center" vertical="center"/>
    </xf>
    <xf numFmtId="0" fontId="10" fillId="0" borderId="0" xfId="0" applyFont="1" applyBorder="1"/>
    <xf numFmtId="0" fontId="10" fillId="0" borderId="54" xfId="0" applyFont="1" applyBorder="1" applyAlignment="1">
      <alignment horizontal="center"/>
    </xf>
    <xf numFmtId="1" fontId="10" fillId="0" borderId="0" xfId="0" applyNumberFormat="1" applyFont="1" applyAlignment="1">
      <alignment horizontal="center"/>
    </xf>
    <xf numFmtId="0" fontId="17" fillId="0" borderId="0" xfId="0" applyFont="1" applyBorder="1" applyAlignment="1">
      <alignment horizontal="center" vertical="center"/>
    </xf>
    <xf numFmtId="0" fontId="10" fillId="0" borderId="0" xfId="0" applyFont="1" applyBorder="1"/>
    <xf numFmtId="0" fontId="10" fillId="0" borderId="0" xfId="0" applyFont="1" applyFill="1" applyBorder="1" applyAlignment="1">
      <alignment horizontal="center"/>
    </xf>
    <xf numFmtId="0" fontId="10" fillId="0" borderId="0" xfId="0" applyFont="1" applyFill="1" applyBorder="1"/>
    <xf numFmtId="0" fontId="9" fillId="0" borderId="54" xfId="0" applyFont="1" applyBorder="1" applyAlignment="1">
      <alignment horizontal="center"/>
    </xf>
    <xf numFmtId="0" fontId="10" fillId="0" borderId="54" xfId="0" applyFont="1" applyBorder="1" applyAlignment="1">
      <alignment horizontal="center"/>
    </xf>
    <xf numFmtId="0" fontId="10" fillId="0" borderId="54" xfId="0" applyFont="1" applyBorder="1" applyAlignment="1">
      <alignment horizontal="center" vertical="center"/>
    </xf>
    <xf numFmtId="0" fontId="9" fillId="0" borderId="15" xfId="0" applyNumberFormat="1" applyFont="1" applyFill="1" applyBorder="1" applyAlignment="1">
      <alignment horizontal="center" vertical="center" wrapText="1"/>
    </xf>
    <xf numFmtId="0" fontId="9" fillId="0" borderId="0" xfId="0" applyNumberFormat="1" applyFont="1" applyFill="1" applyBorder="1" applyAlignment="1">
      <alignment horizontal="center" vertical="center" wrapText="1"/>
    </xf>
    <xf numFmtId="0" fontId="9" fillId="0" borderId="1" xfId="0" applyNumberFormat="1" applyFont="1" applyFill="1" applyBorder="1" applyAlignment="1">
      <alignment horizontal="center" vertical="center" wrapText="1"/>
    </xf>
    <xf numFmtId="0" fontId="27" fillId="0" borderId="9" xfId="0" applyNumberFormat="1" applyFont="1" applyFill="1" applyBorder="1" applyAlignment="1">
      <alignment horizontal="center" vertical="center" wrapText="1"/>
    </xf>
    <xf numFmtId="0" fontId="6" fillId="0" borderId="2" xfId="8" applyNumberFormat="1" applyFill="1" applyBorder="1" applyAlignment="1">
      <alignment horizontal="left" vertical="top" wrapText="1"/>
    </xf>
    <xf numFmtId="0" fontId="6" fillId="0" borderId="54" xfId="8" applyNumberFormat="1" applyBorder="1" applyAlignment="1">
      <alignment horizontal="left" vertical="top" wrapText="1"/>
    </xf>
    <xf numFmtId="0" fontId="6" fillId="0" borderId="2" xfId="8" applyNumberFormat="1" applyBorder="1" applyAlignment="1">
      <alignment horizontal="left" vertical="top" wrapText="1"/>
    </xf>
    <xf numFmtId="0" fontId="6" fillId="0" borderId="54" xfId="8" applyNumberFormat="1" applyFill="1" applyBorder="1" applyAlignment="1">
      <alignment horizontal="left" vertical="top" wrapText="1"/>
    </xf>
    <xf numFmtId="0" fontId="41" fillId="0" borderId="7" xfId="0" applyNumberFormat="1" applyFont="1" applyBorder="1" applyAlignment="1">
      <alignment horizontal="center" vertical="center"/>
    </xf>
    <xf numFmtId="0" fontId="41" fillId="0" borderId="2" xfId="0" applyNumberFormat="1" applyFont="1" applyFill="1" applyBorder="1" applyAlignment="1">
      <alignment horizontal="center" vertical="center"/>
    </xf>
    <xf numFmtId="0" fontId="22" fillId="0" borderId="50" xfId="0" applyNumberFormat="1" applyFont="1" applyFill="1" applyBorder="1" applyAlignment="1">
      <alignment horizontal="center" vertical="center" wrapText="1"/>
    </xf>
    <xf numFmtId="0" fontId="48" fillId="0" borderId="1" xfId="0" applyNumberFormat="1" applyFont="1" applyFill="1" applyBorder="1" applyAlignment="1">
      <alignment horizontal="left" vertical="top" wrapText="1"/>
    </xf>
    <xf numFmtId="0" fontId="10" fillId="5" borderId="54" xfId="0" applyFont="1" applyFill="1" applyBorder="1" applyAlignment="1">
      <alignment horizontal="center" vertical="center"/>
    </xf>
    <xf numFmtId="0" fontId="22" fillId="5" borderId="54" xfId="0" applyFont="1" applyFill="1" applyBorder="1" applyAlignment="1">
      <alignment horizontal="center" vertical="center"/>
    </xf>
    <xf numFmtId="0" fontId="6" fillId="0" borderId="2" xfId="8" applyFill="1" applyBorder="1" applyAlignment="1">
      <alignment vertical="top" wrapText="1"/>
    </xf>
    <xf numFmtId="0" fontId="6" fillId="0" borderId="54" xfId="8" applyFill="1" applyBorder="1" applyAlignment="1">
      <alignment horizontal="left" vertical="top" wrapText="1"/>
    </xf>
    <xf numFmtId="0" fontId="28" fillId="0" borderId="2" xfId="8" applyNumberFormat="1" applyFont="1" applyBorder="1" applyAlignment="1">
      <alignment horizontal="left" vertical="top" wrapText="1"/>
    </xf>
    <xf numFmtId="0" fontId="48" fillId="0" borderId="47" xfId="0" applyNumberFormat="1" applyFont="1" applyBorder="1" applyAlignment="1">
      <alignment horizontal="left" vertical="top" wrapText="1"/>
    </xf>
    <xf numFmtId="0" fontId="48" fillId="0" borderId="112" xfId="0" applyNumberFormat="1" applyFont="1" applyBorder="1" applyAlignment="1">
      <alignment horizontal="left" vertical="top" wrapText="1"/>
    </xf>
    <xf numFmtId="0" fontId="10" fillId="0" borderId="52" xfId="0" applyFont="1" applyBorder="1"/>
    <xf numFmtId="0" fontId="10" fillId="0" borderId="0" xfId="0" applyFont="1" applyBorder="1"/>
    <xf numFmtId="0" fontId="6" fillId="0" borderId="54" xfId="8" applyNumberFormat="1" applyBorder="1" applyAlignment="1">
      <alignment horizontal="left" vertical="top" wrapText="1"/>
    </xf>
    <xf numFmtId="0" fontId="10" fillId="0" borderId="54" xfId="0" applyFont="1" applyBorder="1" applyAlignment="1">
      <alignment horizontal="center"/>
    </xf>
    <xf numFmtId="0" fontId="6" fillId="0" borderId="2" xfId="8" applyNumberFormat="1" applyFill="1" applyBorder="1" applyAlignment="1">
      <alignment horizontal="left" vertical="top" wrapText="1"/>
    </xf>
    <xf numFmtId="0" fontId="24" fillId="0" borderId="54" xfId="8" applyNumberFormat="1" applyFont="1" applyFill="1" applyBorder="1" applyAlignment="1">
      <alignment horizontal="left" vertical="top" wrapText="1"/>
    </xf>
    <xf numFmtId="0" fontId="6" fillId="0" borderId="7" xfId="8" applyNumberFormat="1" applyFill="1" applyBorder="1" applyAlignment="1">
      <alignment horizontal="left" vertical="top" wrapText="1"/>
    </xf>
    <xf numFmtId="0" fontId="6" fillId="0" borderId="54" xfId="8" applyNumberFormat="1" applyFill="1" applyBorder="1" applyAlignment="1">
      <alignment horizontal="left" vertical="top" wrapText="1"/>
    </xf>
    <xf numFmtId="0" fontId="41" fillId="0" borderId="8" xfId="0" applyNumberFormat="1" applyFont="1" applyFill="1" applyBorder="1" applyAlignment="1">
      <alignment horizontal="center" vertical="center"/>
    </xf>
    <xf numFmtId="1" fontId="10" fillId="0" borderId="37" xfId="0" applyNumberFormat="1" applyFont="1" applyFill="1" applyBorder="1"/>
    <xf numFmtId="1" fontId="10" fillId="0" borderId="37" xfId="0" applyNumberFormat="1" applyFont="1" applyFill="1" applyBorder="1" applyAlignment="1">
      <alignment horizontal="center"/>
    </xf>
    <xf numFmtId="0" fontId="10" fillId="26" borderId="54" xfId="0" applyFont="1" applyFill="1" applyBorder="1"/>
    <xf numFmtId="14" fontId="10" fillId="0" borderId="54" xfId="0" applyNumberFormat="1" applyFont="1" applyFill="1" applyBorder="1" applyAlignment="1">
      <alignment horizontal="center"/>
    </xf>
    <xf numFmtId="170" fontId="32" fillId="0" borderId="13" xfId="0" applyNumberFormat="1" applyFont="1" applyFill="1" applyBorder="1"/>
    <xf numFmtId="10" fontId="10" fillId="0" borderId="13" xfId="0" applyNumberFormat="1" applyFont="1" applyFill="1" applyBorder="1"/>
    <xf numFmtId="9" fontId="10" fillId="0" borderId="0" xfId="0" applyNumberFormat="1" applyFont="1" applyFill="1" applyBorder="1"/>
    <xf numFmtId="0" fontId="10" fillId="0" borderId="54" xfId="0" applyFont="1" applyFill="1" applyBorder="1" applyAlignment="1">
      <alignment vertical="center"/>
    </xf>
    <xf numFmtId="164" fontId="10" fillId="0" borderId="37" xfId="0" applyNumberFormat="1" applyFont="1" applyFill="1" applyBorder="1" applyAlignment="1">
      <alignment horizontal="right" vertical="center"/>
    </xf>
    <xf numFmtId="0" fontId="12" fillId="0" borderId="61" xfId="0" applyFont="1" applyBorder="1" applyAlignment="1">
      <alignment horizontal="center" vertical="top"/>
    </xf>
    <xf numFmtId="0" fontId="12" fillId="0" borderId="157" xfId="0" applyFont="1" applyBorder="1" applyAlignment="1">
      <alignment horizontal="center" vertical="top"/>
    </xf>
    <xf numFmtId="0" fontId="69" fillId="0" borderId="158" xfId="8" applyFont="1" applyFill="1" applyBorder="1" applyAlignment="1">
      <alignment horizontal="left" vertical="top"/>
    </xf>
    <xf numFmtId="0" fontId="69" fillId="0" borderId="159" xfId="8" applyFont="1" applyFill="1" applyBorder="1" applyAlignment="1">
      <alignment horizontal="left" vertical="top"/>
    </xf>
    <xf numFmtId="0" fontId="69" fillId="0" borderId="54" xfId="8" applyFont="1" applyFill="1" applyBorder="1" applyAlignment="1">
      <alignment horizontal="left" vertical="top"/>
    </xf>
    <xf numFmtId="0" fontId="69" fillId="0" borderId="8" xfId="8" applyFont="1" applyFill="1" applyBorder="1" applyAlignment="1">
      <alignment horizontal="left" vertical="top"/>
    </xf>
    <xf numFmtId="0" fontId="13" fillId="0" borderId="61" xfId="0" applyFont="1" applyBorder="1" applyAlignment="1">
      <alignment horizontal="left" vertical="top"/>
    </xf>
    <xf numFmtId="0" fontId="13" fillId="0" borderId="54" xfId="0" applyFont="1" applyBorder="1" applyAlignment="1">
      <alignment horizontal="left" vertical="top"/>
    </xf>
    <xf numFmtId="0" fontId="13" fillId="0" borderId="8" xfId="0" applyFont="1" applyBorder="1" applyAlignment="1">
      <alignment horizontal="left" vertical="top"/>
    </xf>
    <xf numFmtId="0" fontId="69" fillId="0" borderId="54" xfId="8" applyFont="1" applyFill="1" applyBorder="1" applyAlignment="1">
      <alignment horizontal="center" vertical="top"/>
    </xf>
    <xf numFmtId="0" fontId="69" fillId="0" borderId="61" xfId="8" applyFont="1" applyFill="1" applyBorder="1" applyAlignment="1">
      <alignment horizontal="center" vertical="top"/>
    </xf>
    <xf numFmtId="0" fontId="11" fillId="14" borderId="46" xfId="0" applyFont="1" applyFill="1" applyBorder="1" applyAlignment="1">
      <alignment horizontal="center" vertical="center"/>
    </xf>
    <xf numFmtId="0" fontId="11" fillId="14" borderId="47" xfId="0" applyFont="1" applyFill="1" applyBorder="1" applyAlignment="1">
      <alignment horizontal="center" vertical="center"/>
    </xf>
    <xf numFmtId="0" fontId="11" fillId="14" borderId="48" xfId="0" applyFont="1" applyFill="1" applyBorder="1" applyAlignment="1">
      <alignment horizontal="center" vertical="center"/>
    </xf>
    <xf numFmtId="0" fontId="11" fillId="14" borderId="52" xfId="0" applyFont="1" applyFill="1" applyBorder="1" applyAlignment="1">
      <alignment horizontal="center" vertical="center"/>
    </xf>
    <xf numFmtId="0" fontId="11" fillId="14" borderId="0" xfId="0" applyFont="1" applyFill="1" applyBorder="1" applyAlignment="1">
      <alignment horizontal="center" vertical="center"/>
    </xf>
    <xf numFmtId="0" fontId="11" fillId="14" borderId="53" xfId="0" applyFont="1" applyFill="1" applyBorder="1" applyAlignment="1">
      <alignment horizontal="center" vertical="center"/>
    </xf>
    <xf numFmtId="0" fontId="11" fillId="14" borderId="153" xfId="0" applyFont="1" applyFill="1" applyBorder="1" applyAlignment="1">
      <alignment horizontal="center" vertical="center"/>
    </xf>
    <xf numFmtId="0" fontId="11" fillId="14" borderId="154" xfId="0" applyFont="1" applyFill="1" applyBorder="1" applyAlignment="1">
      <alignment horizontal="center" vertical="center"/>
    </xf>
    <xf numFmtId="0" fontId="11" fillId="14" borderId="155" xfId="0" applyFont="1" applyFill="1" applyBorder="1" applyAlignment="1">
      <alignment horizontal="center" vertical="center"/>
    </xf>
    <xf numFmtId="0" fontId="11" fillId="14" borderId="61" xfId="0" applyFont="1" applyFill="1" applyBorder="1" applyAlignment="1">
      <alignment horizontal="center" vertical="center"/>
    </xf>
    <xf numFmtId="0" fontId="11" fillId="14" borderId="54" xfId="0" applyFont="1" applyFill="1" applyBorder="1" applyAlignment="1">
      <alignment horizontal="center" vertical="center"/>
    </xf>
    <xf numFmtId="0" fontId="11" fillId="14" borderId="97" xfId="0" applyFont="1" applyFill="1" applyBorder="1" applyAlignment="1">
      <alignment horizontal="center" vertical="center"/>
    </xf>
    <xf numFmtId="0" fontId="10" fillId="14" borderId="52" xfId="0" applyFont="1" applyFill="1" applyBorder="1" applyAlignment="1">
      <alignment horizontal="left" vertical="top" wrapText="1"/>
    </xf>
    <xf numFmtId="0" fontId="10" fillId="14" borderId="0" xfId="0" applyFont="1" applyFill="1" applyBorder="1" applyAlignment="1">
      <alignment horizontal="left" vertical="top" wrapText="1"/>
    </xf>
    <xf numFmtId="0" fontId="10" fillId="14" borderId="53" xfId="0" applyFont="1" applyFill="1" applyBorder="1" applyAlignment="1">
      <alignment horizontal="left" vertical="top" wrapText="1"/>
    </xf>
    <xf numFmtId="0" fontId="10" fillId="14" borderId="49" xfId="0" applyFont="1" applyFill="1" applyBorder="1" applyAlignment="1">
      <alignment horizontal="left" vertical="top" wrapText="1"/>
    </xf>
    <xf numFmtId="0" fontId="10" fillId="14" borderId="50" xfId="0" applyFont="1" applyFill="1" applyBorder="1" applyAlignment="1">
      <alignment horizontal="left" vertical="top" wrapText="1"/>
    </xf>
    <xf numFmtId="0" fontId="10" fillId="14" borderId="51" xfId="0" applyFont="1" applyFill="1" applyBorder="1" applyAlignment="1">
      <alignment horizontal="left" vertical="top" wrapText="1"/>
    </xf>
    <xf numFmtId="0" fontId="12" fillId="0" borderId="56" xfId="0" applyFont="1" applyBorder="1"/>
    <xf numFmtId="0" fontId="12" fillId="0" borderId="54" xfId="0" applyFont="1" applyBorder="1"/>
    <xf numFmtId="0" fontId="12" fillId="0" borderId="97" xfId="0" applyFont="1" applyBorder="1"/>
    <xf numFmtId="0" fontId="12" fillId="0" borderId="160" xfId="0" applyFont="1" applyBorder="1"/>
    <xf numFmtId="0" fontId="12" fillId="0" borderId="158" xfId="0" applyFont="1" applyBorder="1"/>
    <xf numFmtId="0" fontId="12" fillId="0" borderId="161" xfId="0" applyFont="1" applyBorder="1"/>
    <xf numFmtId="0" fontId="61" fillId="0" borderId="61" xfId="8" applyFont="1" applyFill="1" applyBorder="1" applyAlignment="1">
      <alignment horizontal="left" vertical="top"/>
    </xf>
    <xf numFmtId="0" fontId="61" fillId="0" borderId="54" xfId="8" applyFont="1" applyFill="1" applyBorder="1" applyAlignment="1">
      <alignment horizontal="left" vertical="top"/>
    </xf>
    <xf numFmtId="0" fontId="61" fillId="0" borderId="8" xfId="8" applyFont="1" applyFill="1" applyBorder="1" applyAlignment="1">
      <alignment horizontal="left" vertical="top"/>
    </xf>
    <xf numFmtId="0" fontId="39" fillId="0" borderId="92" xfId="0" applyFont="1" applyBorder="1" applyAlignment="1">
      <alignment horizontal="center" vertical="center"/>
    </xf>
    <xf numFmtId="0" fontId="39" fillId="0" borderId="59" xfId="0" applyFont="1" applyBorder="1" applyAlignment="1">
      <alignment horizontal="center" vertical="center"/>
    </xf>
    <xf numFmtId="0" fontId="39" fillId="0" borderId="98" xfId="0" applyFont="1" applyBorder="1" applyAlignment="1">
      <alignment horizontal="center" vertical="center"/>
    </xf>
    <xf numFmtId="0" fontId="13" fillId="0" borderId="55" xfId="0" applyFont="1" applyBorder="1"/>
    <xf numFmtId="0" fontId="13" fillId="0" borderId="22" xfId="0" applyFont="1" applyBorder="1"/>
    <xf numFmtId="0" fontId="13" fillId="0" borderId="151" xfId="0" applyFont="1" applyBorder="1"/>
    <xf numFmtId="0" fontId="13" fillId="0" borderId="56" xfId="0" applyFont="1" applyBorder="1"/>
    <xf numFmtId="0" fontId="13" fillId="0" borderId="54" xfId="0" applyFont="1" applyBorder="1"/>
    <xf numFmtId="0" fontId="13" fillId="0" borderId="97" xfId="0" applyFont="1" applyBorder="1"/>
    <xf numFmtId="0" fontId="61" fillId="0" borderId="62" xfId="8" applyFont="1" applyFill="1" applyBorder="1" applyAlignment="1">
      <alignment horizontal="left" vertical="top"/>
    </xf>
    <xf numFmtId="0" fontId="61" fillId="0" borderId="22" xfId="8" applyFont="1" applyFill="1" applyBorder="1" applyAlignment="1">
      <alignment horizontal="left" vertical="top"/>
    </xf>
    <xf numFmtId="0" fontId="61" fillId="0" borderId="21" xfId="8" applyFont="1" applyFill="1" applyBorder="1" applyAlignment="1">
      <alignment horizontal="left" vertical="top"/>
    </xf>
    <xf numFmtId="0" fontId="48" fillId="0" borderId="56" xfId="0" applyFont="1" applyBorder="1"/>
    <xf numFmtId="0" fontId="48" fillId="0" borderId="54" xfId="0" applyFont="1" applyBorder="1"/>
    <xf numFmtId="0" fontId="48" fillId="0" borderId="97" xfId="0" applyFont="1" applyBorder="1"/>
    <xf numFmtId="0" fontId="39" fillId="0" borderId="64" xfId="0" applyFont="1" applyBorder="1" applyAlignment="1">
      <alignment horizontal="center" vertical="center"/>
    </xf>
    <xf numFmtId="0" fontId="39" fillId="0" borderId="156" xfId="0" applyFont="1" applyBorder="1" applyAlignment="1">
      <alignment horizontal="center" vertical="center"/>
    </xf>
    <xf numFmtId="0" fontId="12" fillId="0" borderId="56" xfId="0" applyFont="1" applyBorder="1" applyAlignment="1"/>
    <xf numFmtId="0" fontId="12" fillId="0" borderId="54" xfId="0" applyFont="1" applyBorder="1" applyAlignment="1"/>
    <xf numFmtId="0" fontId="12" fillId="0" borderId="97" xfId="0" applyFont="1" applyBorder="1" applyAlignment="1"/>
    <xf numFmtId="0" fontId="48" fillId="0" borderId="56" xfId="0" applyFont="1" applyBorder="1" applyAlignment="1"/>
    <xf numFmtId="0" fontId="48" fillId="0" borderId="54" xfId="0" applyFont="1" applyBorder="1" applyAlignment="1"/>
    <xf numFmtId="0" fontId="48" fillId="0" borderId="97" xfId="0" applyFont="1" applyBorder="1" applyAlignment="1"/>
    <xf numFmtId="0" fontId="8" fillId="14" borderId="46" xfId="0" applyFont="1" applyFill="1" applyBorder="1" applyAlignment="1" applyProtection="1">
      <alignment horizontal="center" vertical="center"/>
    </xf>
    <xf numFmtId="0" fontId="8" fillId="14" borderId="47" xfId="0" applyFont="1" applyFill="1" applyBorder="1" applyAlignment="1" applyProtection="1">
      <alignment horizontal="center" vertical="center"/>
    </xf>
    <xf numFmtId="0" fontId="8" fillId="14" borderId="48" xfId="0" applyFont="1" applyFill="1" applyBorder="1" applyAlignment="1" applyProtection="1">
      <alignment horizontal="center" vertical="center"/>
    </xf>
    <xf numFmtId="0" fontId="67" fillId="26" borderId="43" xfId="0" applyFont="1" applyFill="1" applyBorder="1" applyAlignment="1" applyProtection="1">
      <alignment horizontal="center" vertical="center"/>
    </xf>
    <xf numFmtId="0" fontId="67" fillId="26" borderId="44" xfId="0" applyFont="1" applyFill="1" applyBorder="1" applyAlignment="1" applyProtection="1">
      <alignment horizontal="center" vertical="center"/>
    </xf>
    <xf numFmtId="0" fontId="67" fillId="26" borderId="45" xfId="0" applyFont="1" applyFill="1" applyBorder="1" applyAlignment="1" applyProtection="1">
      <alignment horizontal="center" vertical="center"/>
    </xf>
    <xf numFmtId="165" fontId="14" fillId="30" borderId="99" xfId="0" applyNumberFormat="1" applyFont="1" applyFill="1" applyBorder="1" applyAlignment="1" applyProtection="1">
      <alignment horizontal="center" vertical="center"/>
      <protection locked="0"/>
    </xf>
    <xf numFmtId="165" fontId="14" fillId="30" borderId="65" xfId="0" applyNumberFormat="1" applyFont="1" applyFill="1" applyBorder="1" applyAlignment="1" applyProtection="1">
      <alignment horizontal="center" vertical="center"/>
      <protection locked="0"/>
    </xf>
    <xf numFmtId="165" fontId="14" fillId="30" borderId="98" xfId="0" applyNumberFormat="1" applyFont="1" applyFill="1" applyBorder="1" applyAlignment="1" applyProtection="1">
      <alignment horizontal="center" vertical="center"/>
      <protection locked="0"/>
    </xf>
    <xf numFmtId="165" fontId="14" fillId="30" borderId="106" xfId="0" applyNumberFormat="1" applyFont="1" applyFill="1" applyBorder="1" applyAlignment="1" applyProtection="1">
      <alignment horizontal="center" vertical="center"/>
      <protection locked="0"/>
    </xf>
    <xf numFmtId="8" fontId="14" fillId="30" borderId="114" xfId="0" applyNumberFormat="1" applyFont="1" applyFill="1" applyBorder="1" applyAlignment="1" applyProtection="1">
      <alignment horizontal="center" vertical="center" wrapText="1"/>
      <protection locked="0"/>
    </xf>
    <xf numFmtId="8" fontId="14" fillId="30" borderId="44" xfId="0" applyNumberFormat="1" applyFont="1" applyFill="1" applyBorder="1" applyAlignment="1" applyProtection="1">
      <alignment horizontal="center" vertical="center" wrapText="1"/>
      <protection locked="0"/>
    </xf>
    <xf numFmtId="0" fontId="69" fillId="0" borderId="46" xfId="8" applyFont="1" applyBorder="1" applyAlignment="1" applyProtection="1">
      <alignment horizontal="center" vertical="center" wrapText="1"/>
    </xf>
    <xf numFmtId="0" fontId="69" fillId="0" borderId="52" xfId="8" applyFont="1" applyBorder="1" applyAlignment="1" applyProtection="1">
      <alignment horizontal="center" vertical="center" wrapText="1"/>
    </xf>
    <xf numFmtId="0" fontId="69" fillId="0" borderId="49" xfId="8" applyFont="1" applyBorder="1" applyAlignment="1" applyProtection="1">
      <alignment horizontal="center" vertical="center" wrapText="1"/>
    </xf>
    <xf numFmtId="0" fontId="13" fillId="0" borderId="8" xfId="0" applyFont="1" applyFill="1" applyBorder="1" applyAlignment="1" applyProtection="1">
      <alignment horizontal="center" vertical="center"/>
    </xf>
    <xf numFmtId="0" fontId="13" fillId="0" borderId="104" xfId="0" applyFont="1" applyFill="1" applyBorder="1" applyAlignment="1" applyProtection="1">
      <alignment horizontal="center" vertical="center"/>
    </xf>
    <xf numFmtId="0" fontId="13" fillId="0" borderId="98" xfId="0" applyFont="1" applyFill="1" applyBorder="1" applyAlignment="1" applyProtection="1">
      <alignment horizontal="center" vertical="center"/>
    </xf>
    <xf numFmtId="0" fontId="13" fillId="0" borderId="107" xfId="0" applyFont="1" applyFill="1" applyBorder="1" applyAlignment="1" applyProtection="1">
      <alignment horizontal="center" vertical="center"/>
    </xf>
    <xf numFmtId="0" fontId="12" fillId="14" borderId="52" xfId="0" applyFont="1" applyFill="1" applyBorder="1" applyAlignment="1" applyProtection="1">
      <alignment horizontal="center" vertical="top" wrapText="1"/>
    </xf>
    <xf numFmtId="0" fontId="12" fillId="14" borderId="0" xfId="0" applyFont="1" applyFill="1" applyBorder="1" applyAlignment="1" applyProtection="1">
      <alignment horizontal="center" vertical="top" wrapText="1"/>
    </xf>
    <xf numFmtId="0" fontId="12" fillId="14" borderId="53" xfId="0" applyFont="1" applyFill="1" applyBorder="1" applyAlignment="1" applyProtection="1">
      <alignment horizontal="center" vertical="top" wrapText="1"/>
    </xf>
    <xf numFmtId="0" fontId="12" fillId="14" borderId="49" xfId="0" applyFont="1" applyFill="1" applyBorder="1" applyAlignment="1" applyProtection="1">
      <alignment horizontal="center" vertical="top" wrapText="1"/>
    </xf>
    <xf numFmtId="0" fontId="12" fillId="14" borderId="50" xfId="0" applyFont="1" applyFill="1" applyBorder="1" applyAlignment="1" applyProtection="1">
      <alignment horizontal="center" vertical="top" wrapText="1"/>
    </xf>
    <xf numFmtId="0" fontId="12" fillId="14" borderId="51" xfId="0" applyFont="1" applyFill="1" applyBorder="1" applyAlignment="1" applyProtection="1">
      <alignment horizontal="center" vertical="top" wrapText="1"/>
    </xf>
    <xf numFmtId="0" fontId="69" fillId="0" borderId="152" xfId="8" applyFont="1" applyBorder="1" applyAlignment="1" applyProtection="1">
      <alignment horizontal="center" vertical="center"/>
    </xf>
    <xf numFmtId="0" fontId="63" fillId="0" borderId="13" xfId="0" applyFont="1" applyBorder="1" applyAlignment="1">
      <alignment horizontal="center" wrapText="1"/>
    </xf>
    <xf numFmtId="0" fontId="63" fillId="0" borderId="0" xfId="0" applyFont="1" applyAlignment="1">
      <alignment horizontal="center" wrapText="1"/>
    </xf>
    <xf numFmtId="0" fontId="11" fillId="14" borderId="43" xfId="0" applyFont="1" applyFill="1" applyBorder="1" applyAlignment="1" applyProtection="1">
      <alignment horizontal="center" vertical="center"/>
    </xf>
    <xf numFmtId="0" fontId="11" fillId="14" borderId="44" xfId="0" applyFont="1" applyFill="1" applyBorder="1" applyAlignment="1" applyProtection="1">
      <alignment horizontal="center" vertical="center"/>
    </xf>
    <xf numFmtId="0" fontId="11" fillId="14" borderId="45" xfId="0" applyFont="1" applyFill="1" applyBorder="1" applyAlignment="1" applyProtection="1">
      <alignment horizontal="center" vertical="center"/>
    </xf>
    <xf numFmtId="0" fontId="10" fillId="0" borderId="0" xfId="0" applyFont="1" applyFill="1" applyProtection="1"/>
    <xf numFmtId="2" fontId="17" fillId="0" borderId="1" xfId="0" applyNumberFormat="1" applyFont="1" applyFill="1" applyBorder="1" applyAlignment="1" applyProtection="1">
      <alignment horizontal="center" vertical="center" wrapText="1"/>
    </xf>
    <xf numFmtId="0" fontId="17" fillId="0" borderId="1" xfId="0" applyFont="1" applyFill="1" applyBorder="1" applyAlignment="1" applyProtection="1">
      <alignment horizontal="center" vertical="center" wrapText="1"/>
    </xf>
    <xf numFmtId="0" fontId="10" fillId="0" borderId="39" xfId="0" applyFont="1" applyBorder="1" applyAlignment="1" applyProtection="1">
      <alignment horizontal="center" vertical="center" wrapText="1"/>
    </xf>
    <xf numFmtId="0" fontId="14" fillId="0" borderId="56" xfId="0" applyNumberFormat="1" applyFont="1" applyFill="1" applyBorder="1" applyAlignment="1">
      <alignment horizontal="center" vertical="center"/>
    </xf>
    <xf numFmtId="0" fontId="14" fillId="0" borderId="54" xfId="0" applyNumberFormat="1" applyFont="1" applyFill="1" applyBorder="1" applyAlignment="1">
      <alignment horizontal="center" vertical="center"/>
    </xf>
    <xf numFmtId="0" fontId="14" fillId="0" borderId="8" xfId="0" applyNumberFormat="1" applyFont="1" applyFill="1" applyBorder="1" applyAlignment="1">
      <alignment horizontal="center" vertical="center"/>
    </xf>
    <xf numFmtId="0" fontId="14" fillId="0" borderId="81" xfId="0" applyNumberFormat="1" applyFont="1" applyFill="1" applyBorder="1" applyAlignment="1">
      <alignment horizontal="center" vertical="center"/>
    </xf>
    <xf numFmtId="0" fontId="14" fillId="0" borderId="7" xfId="0" applyNumberFormat="1" applyFont="1" applyBorder="1" applyAlignment="1">
      <alignment horizontal="center" vertical="center"/>
    </xf>
    <xf numFmtId="0" fontId="14" fillId="0" borderId="54" xfId="0" applyNumberFormat="1" applyFont="1" applyBorder="1" applyAlignment="1">
      <alignment horizontal="center" vertical="center"/>
    </xf>
    <xf numFmtId="0" fontId="14" fillId="0" borderId="97" xfId="0" applyNumberFormat="1" applyFont="1" applyBorder="1" applyAlignment="1">
      <alignment horizontal="center" vertical="center"/>
    </xf>
    <xf numFmtId="0" fontId="9" fillId="0" borderId="9" xfId="0" applyNumberFormat="1" applyFont="1" applyFill="1" applyBorder="1" applyAlignment="1">
      <alignment horizontal="center" vertical="center" wrapText="1"/>
    </xf>
    <xf numFmtId="0" fontId="9" fillId="0" borderId="16" xfId="0" applyNumberFormat="1" applyFont="1" applyFill="1" applyBorder="1" applyAlignment="1">
      <alignment horizontal="center" vertical="center" wrapText="1"/>
    </xf>
    <xf numFmtId="0" fontId="9" fillId="0" borderId="15" xfId="0" applyNumberFormat="1" applyFont="1" applyFill="1" applyBorder="1" applyAlignment="1">
      <alignment horizontal="center" vertical="center" wrapText="1"/>
    </xf>
    <xf numFmtId="0" fontId="9" fillId="0" borderId="20" xfId="0" applyNumberFormat="1" applyFont="1" applyFill="1" applyBorder="1" applyAlignment="1">
      <alignment horizontal="center" vertical="center" wrapText="1"/>
    </xf>
    <xf numFmtId="0" fontId="25" fillId="20" borderId="49" xfId="0" applyNumberFormat="1" applyFont="1" applyFill="1" applyBorder="1" applyAlignment="1">
      <alignment horizontal="right" vertical="center"/>
    </xf>
    <xf numFmtId="0" fontId="25" fillId="20" borderId="50" xfId="0" applyNumberFormat="1" applyFont="1" applyFill="1" applyBorder="1" applyAlignment="1">
      <alignment horizontal="right" vertical="center"/>
    </xf>
    <xf numFmtId="0" fontId="26" fillId="20" borderId="50" xfId="0" applyNumberFormat="1" applyFont="1" applyFill="1" applyBorder="1" applyAlignment="1">
      <alignment horizontal="center" vertical="center"/>
    </xf>
    <xf numFmtId="0" fontId="26" fillId="20" borderId="51" xfId="0" applyNumberFormat="1" applyFont="1" applyFill="1" applyBorder="1" applyAlignment="1">
      <alignment horizontal="center" vertical="center"/>
    </xf>
    <xf numFmtId="0" fontId="25" fillId="20" borderId="46" xfId="0" applyNumberFormat="1" applyFont="1" applyFill="1" applyBorder="1" applyAlignment="1">
      <alignment horizontal="left"/>
    </xf>
    <xf numFmtId="0" fontId="25" fillId="20" borderId="47" xfId="0" applyNumberFormat="1" applyFont="1" applyFill="1" applyBorder="1" applyAlignment="1">
      <alignment horizontal="left"/>
    </xf>
    <xf numFmtId="0" fontId="25" fillId="20" borderId="46" xfId="0" applyNumberFormat="1" applyFont="1" applyFill="1" applyBorder="1" applyAlignment="1">
      <alignment horizontal="right" vertical="center"/>
    </xf>
    <xf numFmtId="0" fontId="25" fillId="20" borderId="47" xfId="0" applyNumberFormat="1" applyFont="1" applyFill="1" applyBorder="1" applyAlignment="1">
      <alignment horizontal="right" vertical="center"/>
    </xf>
    <xf numFmtId="0" fontId="26" fillId="20" borderId="47" xfId="0" applyNumberFormat="1" applyFont="1" applyFill="1" applyBorder="1" applyAlignment="1">
      <alignment horizontal="center" vertical="center"/>
    </xf>
    <xf numFmtId="0" fontId="26" fillId="20" borderId="48" xfId="0" applyNumberFormat="1" applyFont="1" applyFill="1" applyBorder="1" applyAlignment="1">
      <alignment horizontal="center" vertical="center"/>
    </xf>
    <xf numFmtId="0" fontId="25" fillId="20" borderId="52" xfId="0" applyNumberFormat="1" applyFont="1" applyFill="1" applyBorder="1" applyAlignment="1">
      <alignment horizontal="left" vertical="top"/>
    </xf>
    <xf numFmtId="0" fontId="25" fillId="20" borderId="0" xfId="0" applyNumberFormat="1" applyFont="1" applyFill="1" applyBorder="1" applyAlignment="1">
      <alignment horizontal="left" vertical="top"/>
    </xf>
    <xf numFmtId="0" fontId="24" fillId="20" borderId="0" xfId="8" applyNumberFormat="1" applyFont="1" applyFill="1" applyBorder="1" applyAlignment="1">
      <alignment horizontal="center" vertical="center"/>
    </xf>
    <xf numFmtId="0" fontId="31" fillId="0" borderId="54" xfId="0" applyNumberFormat="1" applyFont="1" applyFill="1" applyBorder="1" applyAlignment="1">
      <alignment horizontal="center" vertical="center"/>
    </xf>
    <xf numFmtId="0" fontId="14" fillId="0" borderId="8" xfId="0" applyNumberFormat="1" applyFont="1" applyBorder="1" applyAlignment="1">
      <alignment horizontal="center" vertical="center"/>
    </xf>
    <xf numFmtId="0" fontId="14" fillId="0" borderId="2" xfId="0" applyNumberFormat="1" applyFont="1" applyBorder="1" applyAlignment="1">
      <alignment horizontal="center" vertical="center"/>
    </xf>
    <xf numFmtId="0" fontId="9" fillId="0" borderId="12" xfId="0" applyNumberFormat="1" applyFont="1" applyFill="1" applyBorder="1" applyAlignment="1">
      <alignment horizontal="center" vertical="center" wrapText="1"/>
    </xf>
    <xf numFmtId="0" fontId="9" fillId="0" borderId="19" xfId="0" applyNumberFormat="1" applyFont="1" applyFill="1" applyBorder="1" applyAlignment="1">
      <alignment horizontal="center" vertical="center" wrapText="1"/>
    </xf>
    <xf numFmtId="0" fontId="14" fillId="0" borderId="7" xfId="0" applyNumberFormat="1" applyFont="1" applyFill="1" applyBorder="1" applyAlignment="1">
      <alignment horizontal="center" vertical="center"/>
    </xf>
    <xf numFmtId="0" fontId="27" fillId="0" borderId="15" xfId="0" applyNumberFormat="1" applyFont="1" applyFill="1" applyBorder="1" applyAlignment="1">
      <alignment horizontal="center" vertical="center" wrapText="1"/>
    </xf>
    <xf numFmtId="0" fontId="27" fillId="0" borderId="20" xfId="0" applyNumberFormat="1" applyFont="1" applyFill="1" applyBorder="1" applyAlignment="1">
      <alignment horizontal="center" vertical="center" wrapText="1"/>
    </xf>
    <xf numFmtId="0" fontId="31" fillId="0" borderId="7" xfId="0" applyNumberFormat="1" applyFont="1" applyFill="1" applyBorder="1" applyAlignment="1">
      <alignment horizontal="center" vertical="center"/>
    </xf>
    <xf numFmtId="0" fontId="14" fillId="0" borderId="2" xfId="0" applyNumberFormat="1" applyFont="1" applyFill="1" applyBorder="1" applyAlignment="1">
      <alignment horizontal="center" vertical="center"/>
    </xf>
    <xf numFmtId="0" fontId="25" fillId="17" borderId="46" xfId="0" applyNumberFormat="1" applyFont="1" applyFill="1" applyBorder="1" applyAlignment="1">
      <alignment horizontal="left"/>
    </xf>
    <xf numFmtId="0" fontId="25" fillId="17" borderId="47" xfId="0" applyNumberFormat="1" applyFont="1" applyFill="1" applyBorder="1" applyAlignment="1">
      <alignment horizontal="left"/>
    </xf>
    <xf numFmtId="0" fontId="25" fillId="17" borderId="46" xfId="0" applyNumberFormat="1" applyFont="1" applyFill="1" applyBorder="1" applyAlignment="1">
      <alignment horizontal="right" vertical="center"/>
    </xf>
    <xf numFmtId="0" fontId="25" fillId="17" borderId="47" xfId="0" applyNumberFormat="1" applyFont="1" applyFill="1" applyBorder="1" applyAlignment="1">
      <alignment horizontal="right" vertical="center"/>
    </xf>
    <xf numFmtId="0" fontId="26" fillId="17" borderId="47" xfId="0" applyNumberFormat="1" applyFont="1" applyFill="1" applyBorder="1" applyAlignment="1">
      <alignment horizontal="center" vertical="center"/>
    </xf>
    <xf numFmtId="0" fontId="26" fillId="17" borderId="48" xfId="0" applyNumberFormat="1" applyFont="1" applyFill="1" applyBorder="1" applyAlignment="1">
      <alignment horizontal="center" vertical="center"/>
    </xf>
    <xf numFmtId="0" fontId="25" fillId="17" borderId="52" xfId="0" applyNumberFormat="1" applyFont="1" applyFill="1" applyBorder="1" applyAlignment="1">
      <alignment horizontal="left" vertical="top"/>
    </xf>
    <xf numFmtId="0" fontId="25" fillId="17" borderId="0" xfId="0" applyNumberFormat="1" applyFont="1" applyFill="1" applyBorder="1" applyAlignment="1">
      <alignment horizontal="left" vertical="top"/>
    </xf>
    <xf numFmtId="0" fontId="24" fillId="17" borderId="0" xfId="8" applyNumberFormat="1" applyFont="1" applyFill="1" applyBorder="1" applyAlignment="1">
      <alignment horizontal="center" vertical="center"/>
    </xf>
    <xf numFmtId="0" fontId="25" fillId="17" borderId="49" xfId="0" applyNumberFormat="1" applyFont="1" applyFill="1" applyBorder="1" applyAlignment="1">
      <alignment horizontal="right" vertical="center"/>
    </xf>
    <xf numFmtId="0" fontId="25" fillId="17" borderId="50" xfId="0" applyNumberFormat="1" applyFont="1" applyFill="1" applyBorder="1" applyAlignment="1">
      <alignment horizontal="right" vertical="center"/>
    </xf>
    <xf numFmtId="0" fontId="26" fillId="17" borderId="50" xfId="0" applyNumberFormat="1" applyFont="1" applyFill="1" applyBorder="1" applyAlignment="1">
      <alignment horizontal="center" vertical="center"/>
    </xf>
    <xf numFmtId="0" fontId="26" fillId="17" borderId="51" xfId="0" applyNumberFormat="1" applyFont="1" applyFill="1" applyBorder="1" applyAlignment="1">
      <alignment horizontal="center" vertical="center"/>
    </xf>
    <xf numFmtId="0" fontId="9" fillId="0" borderId="11" xfId="0" applyNumberFormat="1" applyFont="1" applyFill="1" applyBorder="1" applyAlignment="1">
      <alignment horizontal="center" vertical="center" wrapText="1"/>
    </xf>
    <xf numFmtId="0" fontId="9" fillId="0" borderId="18" xfId="0" applyNumberFormat="1" applyFont="1" applyFill="1" applyBorder="1" applyAlignment="1">
      <alignment horizontal="center" vertical="center" wrapText="1"/>
    </xf>
    <xf numFmtId="0" fontId="14" fillId="0" borderId="4" xfId="0" applyNumberFormat="1" applyFont="1" applyFill="1" applyBorder="1" applyAlignment="1">
      <alignment horizontal="center" vertical="center"/>
    </xf>
    <xf numFmtId="0" fontId="14" fillId="0" borderId="5" xfId="0" applyNumberFormat="1" applyFont="1" applyFill="1" applyBorder="1" applyAlignment="1">
      <alignment horizontal="center" vertical="center"/>
    </xf>
    <xf numFmtId="0" fontId="9" fillId="0" borderId="136" xfId="0" applyFont="1" applyBorder="1" applyAlignment="1">
      <alignment horizontal="center"/>
    </xf>
    <xf numFmtId="0" fontId="11" fillId="14" borderId="43" xfId="0" applyFont="1" applyFill="1" applyBorder="1" applyAlignment="1">
      <alignment horizontal="center" vertical="center"/>
    </xf>
    <xf numFmtId="0" fontId="11" fillId="14" borderId="44" xfId="0" applyFont="1" applyFill="1" applyBorder="1" applyAlignment="1">
      <alignment horizontal="center" vertical="center"/>
    </xf>
    <xf numFmtId="0" fontId="11" fillId="14" borderId="45" xfId="0" applyFont="1" applyFill="1" applyBorder="1" applyAlignment="1">
      <alignment horizontal="center" vertical="center"/>
    </xf>
    <xf numFmtId="0" fontId="19" fillId="11" borderId="49" xfId="0" applyFont="1" applyFill="1" applyBorder="1" applyAlignment="1" applyProtection="1">
      <alignment horizontal="center" vertical="center"/>
      <protection locked="0"/>
    </xf>
    <xf numFmtId="0" fontId="19" fillId="11" borderId="50" xfId="0" applyFont="1" applyFill="1" applyBorder="1" applyAlignment="1" applyProtection="1">
      <alignment horizontal="center" vertical="center"/>
      <protection locked="0"/>
    </xf>
    <xf numFmtId="0" fontId="9" fillId="0" borderId="136" xfId="0" applyFont="1" applyFill="1" applyBorder="1" applyAlignment="1">
      <alignment horizontal="center" vertical="center"/>
    </xf>
    <xf numFmtId="0" fontId="19" fillId="13" borderId="43" xfId="0" applyFont="1" applyFill="1" applyBorder="1" applyAlignment="1" applyProtection="1">
      <alignment horizontal="center" vertical="center"/>
      <protection locked="0"/>
    </xf>
    <xf numFmtId="0" fontId="19" fillId="13" borderId="44" xfId="0" applyFont="1" applyFill="1" applyBorder="1" applyAlignment="1" applyProtection="1">
      <alignment horizontal="center" vertical="center"/>
      <protection locked="0"/>
    </xf>
    <xf numFmtId="0" fontId="73" fillId="0" borderId="0" xfId="8" applyFont="1" applyBorder="1" applyAlignment="1">
      <alignment horizontal="center" vertical="center"/>
    </xf>
    <xf numFmtId="0" fontId="20" fillId="14" borderId="46" xfId="8" applyNumberFormat="1" applyFont="1" applyFill="1" applyBorder="1" applyAlignment="1">
      <alignment horizontal="center" vertical="center"/>
    </xf>
    <xf numFmtId="0" fontId="20" fillId="14" borderId="47" xfId="8" applyNumberFormat="1" applyFont="1" applyFill="1" applyBorder="1" applyAlignment="1">
      <alignment horizontal="center" vertical="center"/>
    </xf>
    <xf numFmtId="0" fontId="20" fillId="14" borderId="48" xfId="8" applyNumberFormat="1" applyFont="1" applyFill="1" applyBorder="1" applyAlignment="1">
      <alignment horizontal="center" vertical="center"/>
    </xf>
    <xf numFmtId="0" fontId="20" fillId="14" borderId="49" xfId="8" applyNumberFormat="1" applyFont="1" applyFill="1" applyBorder="1" applyAlignment="1">
      <alignment horizontal="center" vertical="center"/>
    </xf>
    <xf numFmtId="0" fontId="20" fillId="14" borderId="50" xfId="8" applyNumberFormat="1" applyFont="1" applyFill="1" applyBorder="1" applyAlignment="1">
      <alignment horizontal="center" vertical="center"/>
    </xf>
    <xf numFmtId="0" fontId="20" fillId="14" borderId="51" xfId="8" applyNumberFormat="1" applyFont="1" applyFill="1" applyBorder="1" applyAlignment="1">
      <alignment horizontal="center" vertical="center"/>
    </xf>
    <xf numFmtId="0" fontId="10" fillId="5" borderId="43" xfId="0" applyFont="1" applyFill="1" applyBorder="1" applyAlignment="1" applyProtection="1">
      <alignment horizontal="center" vertical="center"/>
      <protection locked="0"/>
    </xf>
    <xf numFmtId="0" fontId="10" fillId="5" borderId="44" xfId="0" applyFont="1" applyFill="1" applyBorder="1" applyAlignment="1" applyProtection="1">
      <alignment horizontal="center" vertical="center"/>
      <protection locked="0"/>
    </xf>
    <xf numFmtId="0" fontId="19" fillId="4" borderId="43" xfId="0" applyFont="1" applyFill="1" applyBorder="1" applyAlignment="1" applyProtection="1">
      <alignment horizontal="center" vertical="center"/>
      <protection locked="0"/>
    </xf>
    <xf numFmtId="0" fontId="19" fillId="4" borderId="44" xfId="0" applyFont="1" applyFill="1" applyBorder="1" applyAlignment="1" applyProtection="1">
      <alignment horizontal="center" vertical="center"/>
      <protection locked="0"/>
    </xf>
    <xf numFmtId="0" fontId="17" fillId="0" borderId="0" xfId="0" applyFont="1" applyFill="1" applyBorder="1" applyAlignment="1">
      <alignment horizontal="center" vertical="center"/>
    </xf>
    <xf numFmtId="0" fontId="19" fillId="9" borderId="43" xfId="0" applyFont="1" applyFill="1" applyBorder="1" applyAlignment="1" applyProtection="1">
      <alignment horizontal="center" vertical="center"/>
      <protection locked="0"/>
    </xf>
    <xf numFmtId="0" fontId="19" fillId="9" borderId="44" xfId="0" applyFont="1" applyFill="1" applyBorder="1" applyAlignment="1" applyProtection="1">
      <alignment horizontal="center" vertical="center"/>
      <protection locked="0"/>
    </xf>
    <xf numFmtId="0" fontId="8" fillId="14" borderId="46" xfId="0" applyFont="1" applyFill="1" applyBorder="1" applyAlignment="1">
      <alignment horizontal="center" vertical="center"/>
    </xf>
    <xf numFmtId="0" fontId="31" fillId="14" borderId="47" xfId="0" applyFont="1" applyFill="1" applyBorder="1" applyAlignment="1">
      <alignment horizontal="center" vertical="center"/>
    </xf>
    <xf numFmtId="0" fontId="31" fillId="14" borderId="48" xfId="0" applyFont="1" applyFill="1" applyBorder="1" applyAlignment="1">
      <alignment horizontal="center" vertical="center"/>
    </xf>
    <xf numFmtId="0" fontId="9" fillId="0" borderId="137" xfId="0" applyFont="1" applyFill="1" applyBorder="1" applyAlignment="1">
      <alignment horizontal="center" vertical="center"/>
    </xf>
    <xf numFmtId="0" fontId="19" fillId="2" borderId="43" xfId="0" applyFont="1" applyFill="1" applyBorder="1" applyAlignment="1" applyProtection="1">
      <alignment horizontal="center" vertical="center"/>
      <protection locked="0"/>
    </xf>
    <xf numFmtId="0" fontId="19" fillId="2" borderId="44" xfId="0" applyFont="1" applyFill="1" applyBorder="1" applyAlignment="1" applyProtection="1">
      <alignment horizontal="center" vertical="center"/>
      <protection locked="0"/>
    </xf>
    <xf numFmtId="0" fontId="19" fillId="3" borderId="43" xfId="0" applyFont="1" applyFill="1" applyBorder="1" applyAlignment="1" applyProtection="1">
      <alignment horizontal="center" vertical="center"/>
      <protection locked="0"/>
    </xf>
    <xf numFmtId="0" fontId="19" fillId="3" borderId="44" xfId="0" applyFont="1" applyFill="1" applyBorder="1" applyAlignment="1" applyProtection="1">
      <alignment horizontal="center" vertical="center"/>
      <protection locked="0"/>
    </xf>
    <xf numFmtId="0" fontId="17" fillId="0" borderId="0" xfId="0" applyFont="1" applyBorder="1" applyAlignment="1">
      <alignment horizontal="center" vertical="center"/>
    </xf>
    <xf numFmtId="0" fontId="10" fillId="0" borderId="52" xfId="0" applyFont="1" applyBorder="1"/>
    <xf numFmtId="0" fontId="10" fillId="0" borderId="0" xfId="0" applyFont="1" applyBorder="1"/>
    <xf numFmtId="0" fontId="9" fillId="0" borderId="85" xfId="0" applyFont="1" applyFill="1" applyBorder="1" applyAlignment="1">
      <alignment horizontal="right"/>
    </xf>
    <xf numFmtId="0" fontId="9" fillId="0" borderId="66" xfId="0" applyFont="1" applyFill="1" applyBorder="1" applyAlignment="1">
      <alignment horizontal="right"/>
    </xf>
    <xf numFmtId="0" fontId="9" fillId="0" borderId="103" xfId="0" applyFont="1" applyFill="1" applyBorder="1" applyAlignment="1">
      <alignment horizontal="right"/>
    </xf>
    <xf numFmtId="0" fontId="9" fillId="0" borderId="7" xfId="0" applyFont="1" applyFill="1" applyBorder="1" applyAlignment="1">
      <alignment horizontal="right"/>
    </xf>
    <xf numFmtId="165" fontId="9" fillId="0" borderId="52" xfId="0" applyNumberFormat="1" applyFont="1" applyBorder="1" applyAlignment="1">
      <alignment horizontal="center"/>
    </xf>
    <xf numFmtId="165" fontId="9" fillId="0" borderId="1" xfId="0" applyNumberFormat="1" applyFont="1" applyBorder="1" applyAlignment="1">
      <alignment horizontal="center"/>
    </xf>
    <xf numFmtId="0" fontId="58" fillId="0" borderId="0" xfId="0" applyFont="1" applyFill="1" applyBorder="1" applyAlignment="1">
      <alignment horizontal="center" vertical="center"/>
    </xf>
    <xf numFmtId="0" fontId="10" fillId="0" borderId="43" xfId="0" applyFont="1" applyBorder="1"/>
    <xf numFmtId="0" fontId="10" fillId="0" borderId="44" xfId="0" applyFont="1" applyBorder="1"/>
    <xf numFmtId="0" fontId="10" fillId="0" borderId="46" xfId="0" applyFont="1" applyBorder="1"/>
    <xf numFmtId="0" fontId="10" fillId="0" borderId="47" xfId="0" applyFont="1" applyBorder="1"/>
    <xf numFmtId="0" fontId="10" fillId="0" borderId="50" xfId="0" applyFont="1" applyBorder="1"/>
    <xf numFmtId="165" fontId="9" fillId="0" borderId="46" xfId="0" applyNumberFormat="1" applyFont="1" applyBorder="1" applyAlignment="1">
      <alignment horizontal="center"/>
    </xf>
    <xf numFmtId="165" fontId="9" fillId="0" borderId="112" xfId="0" applyNumberFormat="1" applyFont="1" applyBorder="1" applyAlignment="1">
      <alignment horizontal="center"/>
    </xf>
    <xf numFmtId="0" fontId="58" fillId="0" borderId="50" xfId="0" applyFont="1" applyFill="1" applyBorder="1" applyAlignment="1">
      <alignment horizontal="center" vertical="center"/>
    </xf>
    <xf numFmtId="0" fontId="31" fillId="0" borderId="103" xfId="0" applyFont="1" applyBorder="1" applyAlignment="1">
      <alignment horizontal="right"/>
    </xf>
    <xf numFmtId="0" fontId="31" fillId="0" borderId="7" xfId="0" applyFont="1" applyBorder="1" applyAlignment="1">
      <alignment horizontal="right"/>
    </xf>
    <xf numFmtId="0" fontId="10" fillId="0" borderId="84" xfId="0" applyFont="1" applyBorder="1"/>
    <xf numFmtId="0" fontId="10" fillId="0" borderId="9" xfId="0" applyFont="1" applyBorder="1"/>
    <xf numFmtId="0" fontId="58" fillId="24" borderId="47" xfId="0" applyFont="1" applyFill="1" applyBorder="1" applyAlignment="1">
      <alignment horizontal="left" vertical="center"/>
    </xf>
    <xf numFmtId="0" fontId="58" fillId="24" borderId="0" xfId="0" applyFont="1" applyFill="1" applyBorder="1" applyAlignment="1">
      <alignment horizontal="left" vertical="center"/>
    </xf>
    <xf numFmtId="0" fontId="10" fillId="14" borderId="47" xfId="0" applyFont="1" applyFill="1" applyBorder="1" applyAlignment="1">
      <alignment horizontal="center"/>
    </xf>
    <xf numFmtId="0" fontId="10" fillId="14" borderId="48" xfId="0" applyFont="1" applyFill="1" applyBorder="1" applyAlignment="1">
      <alignment horizontal="center"/>
    </xf>
    <xf numFmtId="0" fontId="10" fillId="14" borderId="0" xfId="0" applyFont="1" applyFill="1" applyBorder="1" applyAlignment="1">
      <alignment horizontal="center"/>
    </xf>
    <xf numFmtId="0" fontId="10" fillId="14" borderId="53" xfId="0" applyFont="1" applyFill="1" applyBorder="1" applyAlignment="1">
      <alignment horizontal="center"/>
    </xf>
    <xf numFmtId="0" fontId="10" fillId="14" borderId="50" xfId="0" applyFont="1" applyFill="1" applyBorder="1" applyAlignment="1">
      <alignment horizontal="center"/>
    </xf>
    <xf numFmtId="0" fontId="10" fillId="14" borderId="51" xfId="0" applyFont="1" applyFill="1" applyBorder="1" applyAlignment="1">
      <alignment horizontal="center"/>
    </xf>
    <xf numFmtId="0" fontId="11" fillId="14" borderId="49" xfId="0" applyFont="1" applyFill="1" applyBorder="1" applyAlignment="1">
      <alignment horizontal="center" vertical="center"/>
    </xf>
    <xf numFmtId="0" fontId="11" fillId="14" borderId="50" xfId="0" applyFont="1" applyFill="1" applyBorder="1" applyAlignment="1">
      <alignment horizontal="center" vertical="center"/>
    </xf>
    <xf numFmtId="0" fontId="11" fillId="14" borderId="51" xfId="0" applyFont="1" applyFill="1" applyBorder="1" applyAlignment="1">
      <alignment horizontal="center" vertical="center"/>
    </xf>
    <xf numFmtId="0" fontId="41" fillId="7" borderId="43" xfId="0" applyFont="1" applyFill="1" applyBorder="1" applyAlignment="1" applyProtection="1">
      <alignment horizontal="center" vertical="center"/>
      <protection locked="0"/>
    </xf>
    <xf numFmtId="0" fontId="41" fillId="7" borderId="44" xfId="0" applyFont="1" applyFill="1" applyBorder="1" applyAlignment="1" applyProtection="1">
      <alignment horizontal="center" vertical="center"/>
      <protection locked="0"/>
    </xf>
    <xf numFmtId="0" fontId="41" fillId="7" borderId="45" xfId="0" applyFont="1" applyFill="1" applyBorder="1" applyAlignment="1" applyProtection="1">
      <alignment horizontal="center" vertical="center"/>
      <protection locked="0"/>
    </xf>
    <xf numFmtId="0" fontId="10" fillId="0" borderId="43" xfId="0" applyFont="1" applyBorder="1" applyAlignment="1">
      <alignment horizontal="center" vertical="center"/>
    </xf>
    <xf numFmtId="0" fontId="10" fillId="0" borderId="44" xfId="0" applyFont="1" applyBorder="1" applyAlignment="1">
      <alignment horizontal="center" vertical="center"/>
    </xf>
    <xf numFmtId="0" fontId="10" fillId="0" borderId="45" xfId="0" applyFont="1" applyBorder="1" applyAlignment="1">
      <alignment horizontal="center" vertical="center"/>
    </xf>
    <xf numFmtId="0" fontId="58" fillId="24" borderId="47" xfId="0" applyFont="1" applyFill="1" applyBorder="1" applyAlignment="1">
      <alignment horizontal="left" vertical="center" wrapText="1"/>
    </xf>
    <xf numFmtId="0" fontId="58" fillId="24" borderId="0" xfId="0" applyFont="1" applyFill="1" applyBorder="1" applyAlignment="1">
      <alignment horizontal="left" vertical="center" wrapText="1"/>
    </xf>
    <xf numFmtId="0" fontId="10" fillId="0" borderId="47" xfId="0" applyFont="1" applyBorder="1" applyAlignment="1">
      <alignment horizontal="center"/>
    </xf>
    <xf numFmtId="0" fontId="10" fillId="0" borderId="111" xfId="0" applyFont="1" applyBorder="1" applyAlignment="1">
      <alignment horizontal="center"/>
    </xf>
    <xf numFmtId="0" fontId="10" fillId="0" borderId="106" xfId="0" applyFont="1" applyBorder="1" applyAlignment="1">
      <alignment horizontal="center"/>
    </xf>
    <xf numFmtId="0" fontId="10" fillId="0" borderId="50" xfId="0" applyFont="1" applyBorder="1" applyAlignment="1">
      <alignment horizontal="center"/>
    </xf>
    <xf numFmtId="0" fontId="41" fillId="7" borderId="109" xfId="0" applyFont="1" applyFill="1" applyBorder="1" applyAlignment="1" applyProtection="1">
      <alignment horizontal="center" vertical="center" wrapText="1"/>
      <protection locked="0"/>
    </xf>
    <xf numFmtId="0" fontId="41" fillId="7" borderId="64" xfId="0" applyFont="1" applyFill="1" applyBorder="1" applyAlignment="1" applyProtection="1">
      <alignment horizontal="center" vertical="center" wrapText="1"/>
      <protection locked="0"/>
    </xf>
    <xf numFmtId="0" fontId="7" fillId="25" borderId="110" xfId="8" applyFont="1" applyFill="1" applyBorder="1" applyAlignment="1">
      <alignment horizontal="center" vertical="top" wrapText="1"/>
    </xf>
    <xf numFmtId="0" fontId="7" fillId="25" borderId="87" xfId="8" applyFont="1" applyFill="1" applyBorder="1" applyAlignment="1">
      <alignment horizontal="center" vertical="top" wrapText="1"/>
    </xf>
    <xf numFmtId="0" fontId="10" fillId="0" borderId="0" xfId="0" applyFont="1" applyFill="1" applyBorder="1" applyAlignment="1">
      <alignment horizontal="center"/>
    </xf>
    <xf numFmtId="0" fontId="56" fillId="0" borderId="43" xfId="8" applyFont="1" applyBorder="1" applyAlignment="1">
      <alignment horizontal="center" vertical="center"/>
    </xf>
    <xf numFmtId="0" fontId="56" fillId="0" borderId="45" xfId="8" applyFont="1" applyBorder="1" applyAlignment="1">
      <alignment horizontal="center" vertical="center"/>
    </xf>
    <xf numFmtId="0" fontId="9" fillId="0" borderId="83" xfId="0" applyFont="1" applyFill="1" applyBorder="1" applyAlignment="1">
      <alignment horizontal="right" vertical="center"/>
    </xf>
    <xf numFmtId="0" fontId="9" fillId="0" borderId="20" xfId="0" applyFont="1" applyFill="1" applyBorder="1" applyAlignment="1">
      <alignment horizontal="right" vertical="center"/>
    </xf>
    <xf numFmtId="0" fontId="9" fillId="0" borderId="103" xfId="0" applyFont="1" applyFill="1" applyBorder="1" applyAlignment="1">
      <alignment horizontal="right" vertical="center"/>
    </xf>
    <xf numFmtId="0" fontId="9" fillId="0" borderId="7" xfId="0" applyFont="1" applyFill="1" applyBorder="1" applyAlignment="1">
      <alignment horizontal="right" vertical="center"/>
    </xf>
    <xf numFmtId="0" fontId="11" fillId="14" borderId="88" xfId="0" applyFont="1" applyFill="1" applyBorder="1" applyAlignment="1">
      <alignment horizontal="center" vertical="center"/>
    </xf>
    <xf numFmtId="0" fontId="11" fillId="14" borderId="101" xfId="0" applyFont="1" applyFill="1" applyBorder="1" applyAlignment="1">
      <alignment horizontal="center" vertical="center"/>
    </xf>
    <xf numFmtId="0" fontId="11" fillId="14" borderId="91" xfId="0" applyFont="1" applyFill="1" applyBorder="1" applyAlignment="1">
      <alignment horizontal="center" vertical="center"/>
    </xf>
    <xf numFmtId="0" fontId="11" fillId="14" borderId="89" xfId="0" applyFont="1" applyFill="1" applyBorder="1" applyAlignment="1">
      <alignment horizontal="center" vertical="center"/>
    </xf>
    <xf numFmtId="0" fontId="9" fillId="0" borderId="103" xfId="0" applyFont="1" applyFill="1" applyBorder="1" applyAlignment="1">
      <alignment horizontal="right" vertical="center" wrapText="1"/>
    </xf>
    <xf numFmtId="0" fontId="9" fillId="0" borderId="7" xfId="0" applyFont="1" applyFill="1" applyBorder="1" applyAlignment="1">
      <alignment horizontal="right" vertical="center" wrapText="1"/>
    </xf>
    <xf numFmtId="0" fontId="10" fillId="0" borderId="103" xfId="0" applyFont="1" applyBorder="1" applyAlignment="1">
      <alignment horizontal="center"/>
    </xf>
    <xf numFmtId="0" fontId="10" fillId="0" borderId="2" xfId="0" applyFont="1" applyBorder="1" applyAlignment="1">
      <alignment horizontal="center"/>
    </xf>
    <xf numFmtId="0" fontId="9" fillId="0" borderId="103" xfId="0" applyFont="1" applyBorder="1" applyAlignment="1">
      <alignment horizontal="right" vertical="center" wrapText="1"/>
    </xf>
    <xf numFmtId="0" fontId="9" fillId="0" borderId="7" xfId="0" applyFont="1" applyBorder="1" applyAlignment="1">
      <alignment horizontal="right" vertical="center" wrapText="1"/>
    </xf>
    <xf numFmtId="0" fontId="31" fillId="0" borderId="111" xfId="0" applyFont="1" applyBorder="1" applyAlignment="1">
      <alignment horizontal="right" vertical="center"/>
    </xf>
    <xf numFmtId="0" fontId="31" fillId="0" borderId="100" xfId="0" applyFont="1" applyBorder="1" applyAlignment="1">
      <alignment horizontal="right" vertical="center"/>
    </xf>
    <xf numFmtId="0" fontId="9" fillId="0" borderId="85" xfId="0" applyFont="1" applyFill="1" applyBorder="1" applyAlignment="1">
      <alignment horizontal="center" vertical="center" wrapText="1"/>
    </xf>
    <xf numFmtId="0" fontId="9" fillId="0" borderId="66" xfId="0" applyFont="1" applyFill="1" applyBorder="1" applyAlignment="1">
      <alignment horizontal="center" vertical="center" wrapText="1"/>
    </xf>
    <xf numFmtId="0" fontId="58" fillId="0" borderId="0" xfId="0" applyFont="1" applyFill="1" applyBorder="1" applyAlignment="1">
      <alignment horizontal="center" vertical="center" wrapText="1"/>
    </xf>
    <xf numFmtId="0" fontId="58" fillId="24" borderId="46" xfId="0" applyFont="1" applyFill="1" applyBorder="1" applyAlignment="1">
      <alignment horizontal="left" vertical="center"/>
    </xf>
    <xf numFmtId="0" fontId="58" fillId="24" borderId="48" xfId="0" applyFont="1" applyFill="1" applyBorder="1" applyAlignment="1">
      <alignment horizontal="left" vertical="center"/>
    </xf>
    <xf numFmtId="0" fontId="58" fillId="24" borderId="49" xfId="0" applyFont="1" applyFill="1" applyBorder="1" applyAlignment="1">
      <alignment horizontal="left" vertical="center"/>
    </xf>
    <xf numFmtId="0" fontId="58" fillId="24" borderId="50" xfId="0" applyFont="1" applyFill="1" applyBorder="1" applyAlignment="1">
      <alignment horizontal="left" vertical="center"/>
    </xf>
    <xf numFmtId="0" fontId="58" fillId="24" borderId="51" xfId="0" applyFont="1" applyFill="1" applyBorder="1" applyAlignment="1">
      <alignment horizontal="left" vertical="center"/>
    </xf>
    <xf numFmtId="0" fontId="53" fillId="0" borderId="21" xfId="0" applyFont="1" applyFill="1" applyBorder="1" applyAlignment="1">
      <alignment horizontal="center" vertical="center"/>
    </xf>
    <xf numFmtId="0" fontId="53" fillId="0" borderId="16" xfId="0" applyFont="1" applyFill="1" applyBorder="1" applyAlignment="1">
      <alignment horizontal="center" vertical="center"/>
    </xf>
    <xf numFmtId="0" fontId="53" fillId="0" borderId="20" xfId="0" applyFont="1" applyFill="1" applyBorder="1" applyAlignment="1">
      <alignment horizontal="center" vertical="center"/>
    </xf>
    <xf numFmtId="0" fontId="55" fillId="2" borderId="8" xfId="0" applyFont="1" applyFill="1" applyBorder="1" applyAlignment="1">
      <alignment horizontal="center" vertical="center"/>
    </xf>
    <xf numFmtId="0" fontId="55" fillId="2" borderId="2" xfId="0" applyFont="1" applyFill="1" applyBorder="1" applyAlignment="1">
      <alignment horizontal="center" vertical="center"/>
    </xf>
    <xf numFmtId="0" fontId="55" fillId="2" borderId="7" xfId="0" applyFont="1" applyFill="1" applyBorder="1" applyAlignment="1">
      <alignment horizontal="center" vertical="center"/>
    </xf>
    <xf numFmtId="0" fontId="8" fillId="14" borderId="47" xfId="0" applyFont="1" applyFill="1" applyBorder="1" applyAlignment="1">
      <alignment horizontal="center" vertical="center"/>
    </xf>
    <xf numFmtId="0" fontId="8" fillId="14" borderId="52" xfId="0" applyFont="1" applyFill="1" applyBorder="1" applyAlignment="1">
      <alignment horizontal="center" vertical="center"/>
    </xf>
    <xf numFmtId="0" fontId="8" fillId="14" borderId="0" xfId="0" applyFont="1" applyFill="1" applyBorder="1" applyAlignment="1">
      <alignment horizontal="center" vertical="center"/>
    </xf>
    <xf numFmtId="0" fontId="12" fillId="14" borderId="52" xfId="0" applyFont="1" applyFill="1" applyBorder="1" applyAlignment="1">
      <alignment horizontal="center" vertical="top" wrapText="1"/>
    </xf>
    <xf numFmtId="0" fontId="12" fillId="14" borderId="0" xfId="0" applyFont="1" applyFill="1" applyBorder="1" applyAlignment="1">
      <alignment horizontal="center" vertical="top" wrapText="1"/>
    </xf>
    <xf numFmtId="0" fontId="12" fillId="14" borderId="49" xfId="0" applyFont="1" applyFill="1" applyBorder="1" applyAlignment="1">
      <alignment horizontal="center" vertical="top" wrapText="1"/>
    </xf>
    <xf numFmtId="0" fontId="12" fillId="14" borderId="50" xfId="0" applyFont="1" applyFill="1" applyBorder="1" applyAlignment="1">
      <alignment horizontal="center" vertical="top" wrapText="1"/>
    </xf>
    <xf numFmtId="0" fontId="23" fillId="0" borderId="43" xfId="8" applyNumberFormat="1" applyFont="1" applyFill="1" applyBorder="1" applyAlignment="1">
      <alignment horizontal="center" vertical="center" wrapText="1"/>
    </xf>
    <xf numFmtId="0" fontId="23" fillId="0" borderId="44" xfId="8" applyNumberFormat="1" applyFont="1" applyFill="1" applyBorder="1" applyAlignment="1">
      <alignment horizontal="center" vertical="center" wrapText="1"/>
    </xf>
    <xf numFmtId="0" fontId="23" fillId="0" borderId="45" xfId="8" applyNumberFormat="1" applyFont="1" applyFill="1" applyBorder="1" applyAlignment="1">
      <alignment horizontal="center" vertical="center" wrapText="1"/>
    </xf>
    <xf numFmtId="0" fontId="23" fillId="0" borderId="46" xfId="8" quotePrefix="1" applyFont="1" applyBorder="1" applyAlignment="1">
      <alignment horizontal="center" vertical="center"/>
    </xf>
    <xf numFmtId="0" fontId="23" fillId="0" borderId="47" xfId="8" quotePrefix="1" applyFont="1" applyBorder="1" applyAlignment="1">
      <alignment horizontal="center" vertical="center"/>
    </xf>
    <xf numFmtId="0" fontId="23" fillId="0" borderId="48" xfId="8" quotePrefix="1" applyFont="1" applyBorder="1" applyAlignment="1">
      <alignment horizontal="center" vertical="center"/>
    </xf>
    <xf numFmtId="0" fontId="23" fillId="0" borderId="49" xfId="8" quotePrefix="1" applyFont="1" applyBorder="1" applyAlignment="1">
      <alignment horizontal="center" vertical="center"/>
    </xf>
    <xf numFmtId="0" fontId="23" fillId="0" borderId="50" xfId="8" quotePrefix="1" applyFont="1" applyBorder="1" applyAlignment="1">
      <alignment horizontal="center" vertical="center"/>
    </xf>
    <xf numFmtId="0" fontId="23" fillId="0" borderId="51" xfId="8" quotePrefix="1" applyFont="1" applyBorder="1" applyAlignment="1">
      <alignment horizontal="center" vertical="center"/>
    </xf>
    <xf numFmtId="0" fontId="28" fillId="0" borderId="46" xfId="8" applyNumberFormat="1" applyFont="1" applyFill="1" applyBorder="1" applyAlignment="1">
      <alignment horizontal="center" vertical="center"/>
    </xf>
    <xf numFmtId="0" fontId="28" fillId="0" borderId="47" xfId="8" applyNumberFormat="1" applyFont="1" applyFill="1" applyBorder="1" applyAlignment="1">
      <alignment horizontal="center" vertical="center"/>
    </xf>
    <xf numFmtId="0" fontId="28" fillId="0" borderId="48" xfId="8" applyNumberFormat="1" applyFont="1" applyFill="1" applyBorder="1" applyAlignment="1">
      <alignment horizontal="center" vertical="center"/>
    </xf>
    <xf numFmtId="0" fontId="28" fillId="0" borderId="49" xfId="8" applyNumberFormat="1" applyFont="1" applyFill="1" applyBorder="1" applyAlignment="1">
      <alignment horizontal="center" vertical="center"/>
    </xf>
    <xf numFmtId="0" fontId="28" fillId="0" borderId="50" xfId="8" applyNumberFormat="1" applyFont="1" applyFill="1" applyBorder="1" applyAlignment="1">
      <alignment horizontal="center" vertical="center"/>
    </xf>
    <xf numFmtId="0" fontId="28" fillId="0" borderId="51" xfId="8" applyNumberFormat="1" applyFont="1" applyFill="1" applyBorder="1" applyAlignment="1">
      <alignment horizontal="center" vertical="center"/>
    </xf>
    <xf numFmtId="0" fontId="55" fillId="3" borderId="54" xfId="0" applyFont="1" applyFill="1" applyBorder="1" applyAlignment="1">
      <alignment horizontal="center" vertical="center"/>
    </xf>
    <xf numFmtId="0" fontId="55" fillId="4" borderId="54" xfId="0" applyFont="1" applyFill="1" applyBorder="1" applyAlignment="1">
      <alignment horizontal="center" vertical="center"/>
    </xf>
    <xf numFmtId="0" fontId="53" fillId="5" borderId="59" xfId="0" applyFont="1" applyFill="1" applyBorder="1" applyAlignment="1">
      <alignment horizontal="center" vertical="center"/>
    </xf>
    <xf numFmtId="0" fontId="10" fillId="0" borderId="16" xfId="0" applyFont="1" applyBorder="1" applyAlignment="1">
      <alignment horizontal="center"/>
    </xf>
    <xf numFmtId="0" fontId="10" fillId="0" borderId="20" xfId="0" applyFont="1" applyBorder="1" applyAlignment="1">
      <alignment horizontal="center"/>
    </xf>
    <xf numFmtId="0" fontId="54" fillId="0" borderId="106" xfId="8" applyFont="1" applyBorder="1" applyAlignment="1">
      <alignment horizontal="center" vertical="center" wrapText="1"/>
    </xf>
    <xf numFmtId="0" fontId="54" fillId="0" borderId="100" xfId="8" applyFont="1" applyBorder="1" applyAlignment="1">
      <alignment horizontal="center" vertical="center" wrapText="1"/>
    </xf>
    <xf numFmtId="0" fontId="10" fillId="0" borderId="47" xfId="0" applyFont="1" applyFill="1" applyBorder="1" applyAlignment="1">
      <alignment horizontal="center"/>
    </xf>
    <xf numFmtId="0" fontId="54" fillId="0" borderId="2" xfId="8" applyFont="1" applyBorder="1" applyAlignment="1">
      <alignment horizontal="center" vertical="center" wrapText="1"/>
    </xf>
    <xf numFmtId="0" fontId="54" fillId="0" borderId="7" xfId="8" applyFont="1" applyBorder="1" applyAlignment="1">
      <alignment horizontal="center" vertical="center" wrapText="1"/>
    </xf>
    <xf numFmtId="0" fontId="39" fillId="0" borderId="14" xfId="0" applyFont="1" applyBorder="1" applyAlignment="1">
      <alignment horizontal="center" vertical="center" wrapText="1"/>
    </xf>
    <xf numFmtId="0" fontId="39" fillId="0" borderId="9" xfId="0" applyFont="1" applyBorder="1" applyAlignment="1">
      <alignment horizontal="center" vertical="center" wrapText="1"/>
    </xf>
    <xf numFmtId="0" fontId="39" fillId="0" borderId="15" xfId="0" applyFont="1" applyBorder="1" applyAlignment="1">
      <alignment horizontal="center" vertical="center" wrapText="1"/>
    </xf>
    <xf numFmtId="0" fontId="39" fillId="0" borderId="21" xfId="0" applyFont="1" applyBorder="1" applyAlignment="1">
      <alignment horizontal="center" vertical="center" wrapText="1"/>
    </xf>
    <xf numFmtId="0" fontId="39" fillId="0" borderId="16" xfId="0" applyFont="1" applyBorder="1" applyAlignment="1">
      <alignment horizontal="center" vertical="center" wrapText="1"/>
    </xf>
    <xf numFmtId="0" fontId="39" fillId="0" borderId="20" xfId="0" applyFont="1" applyBorder="1" applyAlignment="1">
      <alignment horizontal="center" vertical="center" wrapText="1"/>
    </xf>
    <xf numFmtId="0" fontId="55" fillId="2" borderId="54" xfId="0" applyFont="1" applyFill="1" applyBorder="1" applyAlignment="1">
      <alignment horizontal="center" vertical="center"/>
    </xf>
    <xf numFmtId="0" fontId="55" fillId="2" borderId="90" xfId="0" applyFont="1" applyFill="1" applyBorder="1" applyAlignment="1">
      <alignment horizontal="center" vertical="center"/>
    </xf>
    <xf numFmtId="0" fontId="55" fillId="3" borderId="90" xfId="0" applyFont="1" applyFill="1" applyBorder="1" applyAlignment="1">
      <alignment horizontal="center" vertical="center"/>
    </xf>
    <xf numFmtId="0" fontId="55" fillId="4" borderId="90" xfId="0" applyFont="1" applyFill="1" applyBorder="1" applyAlignment="1">
      <alignment horizontal="center" vertical="center"/>
    </xf>
    <xf numFmtId="0" fontId="53" fillId="5" borderId="87" xfId="0" applyFont="1" applyFill="1" applyBorder="1" applyAlignment="1">
      <alignment horizontal="center" vertical="center"/>
    </xf>
    <xf numFmtId="0" fontId="53" fillId="0" borderId="63" xfId="0" applyFont="1" applyFill="1" applyBorder="1" applyAlignment="1">
      <alignment horizontal="center" vertical="center"/>
    </xf>
    <xf numFmtId="0" fontId="53" fillId="0" borderId="110" xfId="0" applyFont="1" applyFill="1" applyBorder="1" applyAlignment="1">
      <alignment horizontal="center" vertical="center"/>
    </xf>
    <xf numFmtId="0" fontId="40" fillId="14" borderId="43" xfId="0" applyFont="1" applyFill="1" applyBorder="1" applyAlignment="1">
      <alignment horizontal="center" vertical="center"/>
    </xf>
    <xf numFmtId="0" fontId="40" fillId="14" borderId="44" xfId="0" applyFont="1" applyFill="1" applyBorder="1" applyAlignment="1">
      <alignment horizontal="center" vertical="center"/>
    </xf>
    <xf numFmtId="0" fontId="40" fillId="14" borderId="45" xfId="0" applyFont="1" applyFill="1" applyBorder="1" applyAlignment="1">
      <alignment horizontal="center" vertical="center"/>
    </xf>
    <xf numFmtId="0" fontId="41" fillId="7" borderId="46" xfId="0" applyFont="1" applyFill="1" applyBorder="1" applyAlignment="1" applyProtection="1">
      <alignment horizontal="center" vertical="center" wrapText="1"/>
      <protection locked="0"/>
    </xf>
    <xf numFmtId="0" fontId="41" fillId="7" borderId="49" xfId="0" applyFont="1" applyFill="1" applyBorder="1" applyAlignment="1" applyProtection="1">
      <alignment horizontal="center" vertical="center" wrapText="1"/>
      <protection locked="0"/>
    </xf>
    <xf numFmtId="0" fontId="7" fillId="25" borderId="113" xfId="8" applyFont="1" applyFill="1" applyBorder="1" applyAlignment="1">
      <alignment horizontal="center" vertical="top" wrapText="1"/>
    </xf>
    <xf numFmtId="0" fontId="7" fillId="25" borderId="96" xfId="8" applyFont="1" applyFill="1" applyBorder="1" applyAlignment="1">
      <alignment horizontal="center" vertical="top" wrapText="1"/>
    </xf>
    <xf numFmtId="0" fontId="64" fillId="0" borderId="46" xfId="0" applyFont="1" applyFill="1" applyBorder="1" applyAlignment="1">
      <alignment horizontal="center" vertical="center" wrapText="1"/>
    </xf>
    <xf numFmtId="0" fontId="64" fillId="0" borderId="47" xfId="0" applyFont="1" applyFill="1" applyBorder="1" applyAlignment="1">
      <alignment horizontal="center" vertical="center" wrapText="1"/>
    </xf>
    <xf numFmtId="0" fontId="64" fillId="0" borderId="48" xfId="0" applyFont="1" applyFill="1" applyBorder="1" applyAlignment="1">
      <alignment horizontal="center" vertical="center" wrapText="1"/>
    </xf>
    <xf numFmtId="0" fontId="64" fillId="0" borderId="49" xfId="0" applyFont="1" applyFill="1" applyBorder="1" applyAlignment="1">
      <alignment horizontal="center" vertical="center" wrapText="1"/>
    </xf>
    <xf numFmtId="0" fontId="64" fillId="0" borderId="50" xfId="0" applyFont="1" applyFill="1" applyBorder="1" applyAlignment="1">
      <alignment horizontal="center" vertical="center" wrapText="1"/>
    </xf>
    <xf numFmtId="0" fontId="64" fillId="0" borderId="51" xfId="0" applyFont="1" applyFill="1" applyBorder="1" applyAlignment="1">
      <alignment horizontal="center" vertical="center" wrapText="1"/>
    </xf>
    <xf numFmtId="165" fontId="9" fillId="0" borderId="72" xfId="0" applyNumberFormat="1" applyFont="1" applyBorder="1" applyAlignment="1">
      <alignment horizontal="center"/>
    </xf>
    <xf numFmtId="165" fontId="9" fillId="0" borderId="36" xfId="0" applyNumberFormat="1" applyFont="1" applyBorder="1" applyAlignment="1">
      <alignment horizontal="center"/>
    </xf>
    <xf numFmtId="165" fontId="9" fillId="0" borderId="71" xfId="0" applyNumberFormat="1" applyFont="1" applyBorder="1" applyAlignment="1">
      <alignment horizontal="center"/>
    </xf>
    <xf numFmtId="165" fontId="9" fillId="0" borderId="33" xfId="0" applyNumberFormat="1" applyFont="1" applyBorder="1" applyAlignment="1">
      <alignment horizontal="center"/>
    </xf>
    <xf numFmtId="0" fontId="10" fillId="0" borderId="49" xfId="0" applyFont="1" applyBorder="1"/>
    <xf numFmtId="0" fontId="58" fillId="0" borderId="47" xfId="0" applyFont="1" applyFill="1" applyBorder="1" applyAlignment="1">
      <alignment horizontal="left" vertical="center"/>
    </xf>
    <xf numFmtId="0" fontId="58" fillId="0" borderId="50" xfId="0" applyFont="1" applyFill="1" applyBorder="1" applyAlignment="1">
      <alignment horizontal="center" vertical="center" wrapText="1"/>
    </xf>
    <xf numFmtId="0" fontId="14" fillId="0" borderId="16" xfId="0" applyNumberFormat="1" applyFont="1" applyBorder="1" applyAlignment="1">
      <alignment horizontal="center" vertical="center"/>
    </xf>
    <xf numFmtId="0" fontId="14" fillId="0" borderId="20" xfId="0" applyNumberFormat="1" applyFont="1" applyBorder="1" applyAlignment="1">
      <alignment horizontal="center" vertical="center"/>
    </xf>
    <xf numFmtId="0" fontId="21" fillId="2" borderId="14" xfId="0" applyNumberFormat="1" applyFont="1" applyFill="1" applyBorder="1" applyAlignment="1">
      <alignment horizontal="left"/>
    </xf>
    <xf numFmtId="0" fontId="21" fillId="2" borderId="9" xfId="0" applyNumberFormat="1" applyFont="1" applyFill="1" applyBorder="1" applyAlignment="1">
      <alignment horizontal="left"/>
    </xf>
    <xf numFmtId="164" fontId="21" fillId="2" borderId="142" xfId="0" applyNumberFormat="1" applyFont="1" applyFill="1" applyBorder="1" applyAlignment="1">
      <alignment horizontal="right" vertical="center"/>
    </xf>
    <xf numFmtId="164" fontId="21" fillId="2" borderId="143" xfId="0" applyNumberFormat="1" applyFont="1" applyFill="1" applyBorder="1" applyAlignment="1">
      <alignment horizontal="right" vertical="center"/>
    </xf>
    <xf numFmtId="0" fontId="35" fillId="2" borderId="0" xfId="8" applyNumberFormat="1" applyFont="1" applyFill="1" applyBorder="1" applyAlignment="1">
      <alignment horizontal="left" vertical="center"/>
    </xf>
    <xf numFmtId="0" fontId="21" fillId="2" borderId="13" xfId="0" applyNumberFormat="1" applyFont="1" applyFill="1" applyBorder="1" applyAlignment="1">
      <alignment horizontal="left" vertical="top"/>
    </xf>
    <xf numFmtId="0" fontId="21" fillId="2" borderId="0" xfId="0" applyNumberFormat="1" applyFont="1" applyFill="1" applyBorder="1" applyAlignment="1">
      <alignment horizontal="left" vertical="top"/>
    </xf>
    <xf numFmtId="0" fontId="14" fillId="0" borderId="60" xfId="0" applyNumberFormat="1" applyFont="1" applyBorder="1" applyAlignment="1">
      <alignment horizontal="center" vertical="center"/>
    </xf>
    <xf numFmtId="164" fontId="21" fillId="2" borderId="139" xfId="0" applyNumberFormat="1" applyFont="1" applyFill="1" applyBorder="1" applyAlignment="1">
      <alignment horizontal="right" vertical="center"/>
    </xf>
    <xf numFmtId="164" fontId="21" fillId="2" borderId="140" xfId="0" applyNumberFormat="1" applyFont="1" applyFill="1" applyBorder="1" applyAlignment="1">
      <alignment horizontal="right" vertical="center"/>
    </xf>
    <xf numFmtId="0" fontId="34" fillId="2" borderId="140" xfId="0" applyNumberFormat="1" applyFont="1" applyFill="1" applyBorder="1" applyAlignment="1">
      <alignment horizontal="center" vertical="center"/>
    </xf>
    <xf numFmtId="0" fontId="34" fillId="2" borderId="145" xfId="0" applyNumberFormat="1" applyFont="1" applyFill="1" applyBorder="1" applyAlignment="1">
      <alignment horizontal="center" vertical="center"/>
    </xf>
    <xf numFmtId="0" fontId="34" fillId="2" borderId="143" xfId="0" applyNumberFormat="1" applyFont="1" applyFill="1" applyBorder="1" applyAlignment="1">
      <alignment horizontal="center" vertical="center"/>
    </xf>
    <xf numFmtId="0" fontId="34" fillId="2" borderId="144" xfId="0" applyNumberFormat="1" applyFont="1" applyFill="1" applyBorder="1" applyAlignment="1">
      <alignment horizontal="center" vertical="center"/>
    </xf>
    <xf numFmtId="0" fontId="14" fillId="0" borderId="16" xfId="0" applyNumberFormat="1" applyFont="1" applyFill="1" applyBorder="1" applyAlignment="1">
      <alignment horizontal="center" vertical="center"/>
    </xf>
    <xf numFmtId="0" fontId="14" fillId="0" borderId="17" xfId="0" applyNumberFormat="1" applyFont="1" applyFill="1" applyBorder="1" applyAlignment="1">
      <alignment horizontal="center" vertical="center"/>
    </xf>
    <xf numFmtId="0" fontId="14" fillId="0" borderId="18" xfId="0" applyNumberFormat="1" applyFont="1" applyBorder="1" applyAlignment="1">
      <alignment horizontal="center" vertical="center"/>
    </xf>
    <xf numFmtId="0" fontId="14" fillId="0" borderId="19" xfId="0" applyNumberFormat="1" applyFont="1" applyBorder="1" applyAlignment="1">
      <alignment horizontal="center" vertical="center"/>
    </xf>
    <xf numFmtId="0" fontId="9" fillId="0" borderId="15" xfId="0" applyNumberFormat="1" applyFont="1" applyBorder="1" applyAlignment="1">
      <alignment horizontal="center" vertical="center" wrapText="1"/>
    </xf>
    <xf numFmtId="0" fontId="9" fillId="0" borderId="1" xfId="0" applyNumberFormat="1" applyFont="1" applyBorder="1" applyAlignment="1">
      <alignment horizontal="center" vertical="center" wrapText="1"/>
    </xf>
    <xf numFmtId="0" fontId="9" fillId="0" borderId="20" xfId="0" applyNumberFormat="1" applyFont="1" applyBorder="1" applyAlignment="1">
      <alignment horizontal="center" vertical="center" wrapText="1"/>
    </xf>
    <xf numFmtId="0" fontId="9" fillId="0" borderId="0" xfId="0" applyNumberFormat="1" applyFont="1" applyBorder="1" applyAlignment="1">
      <alignment horizontal="center" vertical="center" wrapText="1"/>
    </xf>
    <xf numFmtId="0" fontId="9" fillId="0" borderId="16" xfId="0" applyNumberFormat="1" applyFont="1" applyBorder="1" applyAlignment="1">
      <alignment horizontal="center" vertical="center" wrapText="1"/>
    </xf>
    <xf numFmtId="0" fontId="14" fillId="0" borderId="21" xfId="0" applyNumberFormat="1" applyFont="1" applyBorder="1" applyAlignment="1">
      <alignment horizontal="center" vertical="center"/>
    </xf>
    <xf numFmtId="0" fontId="21" fillId="3" borderId="14" xfId="0" applyNumberFormat="1" applyFont="1" applyFill="1" applyBorder="1" applyAlignment="1">
      <alignment horizontal="left"/>
    </xf>
    <xf numFmtId="0" fontId="21" fillId="3" borderId="9" xfId="0" applyNumberFormat="1" applyFont="1" applyFill="1" applyBorder="1" applyAlignment="1">
      <alignment horizontal="left"/>
    </xf>
    <xf numFmtId="0" fontId="21" fillId="3" borderId="13" xfId="0" applyNumberFormat="1" applyFont="1" applyFill="1" applyBorder="1" applyAlignment="1">
      <alignment horizontal="left" vertical="top"/>
    </xf>
    <xf numFmtId="0" fontId="21" fillId="3" borderId="0" xfId="0" applyNumberFormat="1" applyFont="1" applyFill="1" applyBorder="1" applyAlignment="1">
      <alignment horizontal="left" vertical="top"/>
    </xf>
    <xf numFmtId="164" fontId="21" fillId="3" borderId="142" xfId="0" applyNumberFormat="1" applyFont="1" applyFill="1" applyBorder="1" applyAlignment="1">
      <alignment horizontal="right" vertical="center"/>
    </xf>
    <xf numFmtId="164" fontId="21" fillId="3" borderId="143" xfId="0" applyNumberFormat="1" applyFont="1" applyFill="1" applyBorder="1" applyAlignment="1">
      <alignment horizontal="right" vertical="center"/>
    </xf>
    <xf numFmtId="0" fontId="14" fillId="0" borderId="6" xfId="0" applyNumberFormat="1" applyFont="1" applyFill="1" applyBorder="1" applyAlignment="1">
      <alignment horizontal="center" vertical="center"/>
    </xf>
    <xf numFmtId="0" fontId="34" fillId="3" borderId="143" xfId="0" applyNumberFormat="1" applyFont="1" applyFill="1" applyBorder="1" applyAlignment="1">
      <alignment horizontal="center" vertical="center"/>
    </xf>
    <xf numFmtId="0" fontId="34" fillId="3" borderId="144" xfId="0" applyNumberFormat="1" applyFont="1" applyFill="1" applyBorder="1" applyAlignment="1">
      <alignment horizontal="center" vertical="center"/>
    </xf>
    <xf numFmtId="0" fontId="14" fillId="0" borderId="3" xfId="0" applyNumberFormat="1" applyFont="1" applyFill="1" applyBorder="1" applyAlignment="1">
      <alignment horizontal="center" vertical="center"/>
    </xf>
    <xf numFmtId="0" fontId="35" fillId="3" borderId="0" xfId="8" applyNumberFormat="1" applyFont="1" applyFill="1" applyBorder="1" applyAlignment="1">
      <alignment horizontal="left" vertical="center"/>
    </xf>
    <xf numFmtId="164" fontId="21" fillId="3" borderId="139" xfId="0" applyNumberFormat="1" applyFont="1" applyFill="1" applyBorder="1" applyAlignment="1">
      <alignment horizontal="right" vertical="center"/>
    </xf>
    <xf numFmtId="164" fontId="21" fillId="3" borderId="140" xfId="0" applyNumberFormat="1" applyFont="1" applyFill="1" applyBorder="1" applyAlignment="1">
      <alignment horizontal="right" vertical="center"/>
    </xf>
    <xf numFmtId="0" fontId="34" fillId="3" borderId="140" xfId="0" applyNumberFormat="1" applyFont="1" applyFill="1" applyBorder="1" applyAlignment="1">
      <alignment horizontal="center" vertical="center"/>
    </xf>
    <xf numFmtId="0" fontId="34" fillId="3" borderId="145" xfId="0" applyNumberFormat="1" applyFont="1" applyFill="1" applyBorder="1" applyAlignment="1">
      <alignment horizontal="center" vertical="center"/>
    </xf>
    <xf numFmtId="0" fontId="14" fillId="0" borderId="15" xfId="0" applyNumberFormat="1" applyFont="1" applyFill="1" applyBorder="1" applyAlignment="1">
      <alignment horizontal="center" vertical="center"/>
    </xf>
    <xf numFmtId="0" fontId="14" fillId="0" borderId="1" xfId="0" applyNumberFormat="1" applyFont="1" applyBorder="1" applyAlignment="1">
      <alignment horizontal="center" vertical="center"/>
    </xf>
    <xf numFmtId="0" fontId="21" fillId="4" borderId="14" xfId="0" applyNumberFormat="1" applyFont="1" applyFill="1" applyBorder="1" applyAlignment="1">
      <alignment horizontal="left"/>
    </xf>
    <xf numFmtId="0" fontId="21" fillId="4" borderId="9" xfId="0" applyNumberFormat="1" applyFont="1" applyFill="1" applyBorder="1" applyAlignment="1">
      <alignment horizontal="left"/>
    </xf>
    <xf numFmtId="0" fontId="21" fillId="4" borderId="13" xfId="0" applyNumberFormat="1" applyFont="1" applyFill="1" applyBorder="1" applyAlignment="1">
      <alignment horizontal="left" vertical="top" wrapText="1"/>
    </xf>
    <xf numFmtId="0" fontId="21" fillId="4" borderId="0" xfId="0" applyNumberFormat="1" applyFont="1" applyFill="1" applyBorder="1" applyAlignment="1">
      <alignment horizontal="left" vertical="top"/>
    </xf>
    <xf numFmtId="164" fontId="21" fillId="4" borderId="142" xfId="0" applyNumberFormat="1" applyFont="1" applyFill="1" applyBorder="1" applyAlignment="1">
      <alignment horizontal="right" vertical="center"/>
    </xf>
    <xf numFmtId="164" fontId="21" fillId="4" borderId="143" xfId="0" applyNumberFormat="1" applyFont="1" applyFill="1" applyBorder="1" applyAlignment="1">
      <alignment horizontal="right" vertical="center"/>
    </xf>
    <xf numFmtId="0" fontId="34" fillId="4" borderId="143" xfId="0" applyNumberFormat="1" applyFont="1" applyFill="1" applyBorder="1" applyAlignment="1">
      <alignment horizontal="center" vertical="center"/>
    </xf>
    <xf numFmtId="0" fontId="34" fillId="4" borderId="144" xfId="0" applyNumberFormat="1" applyFont="1" applyFill="1" applyBorder="1" applyAlignment="1">
      <alignment horizontal="center" vertical="center"/>
    </xf>
    <xf numFmtId="164" fontId="21" fillId="4" borderId="139" xfId="0" applyNumberFormat="1" applyFont="1" applyFill="1" applyBorder="1" applyAlignment="1">
      <alignment horizontal="right" vertical="center"/>
    </xf>
    <xf numFmtId="164" fontId="21" fillId="4" borderId="140" xfId="0" applyNumberFormat="1" applyFont="1" applyFill="1" applyBorder="1" applyAlignment="1">
      <alignment horizontal="right" vertical="center"/>
    </xf>
    <xf numFmtId="0" fontId="35" fillId="4" borderId="0" xfId="8" applyNumberFormat="1" applyFont="1" applyFill="1" applyBorder="1" applyAlignment="1">
      <alignment horizontal="left" vertical="center"/>
    </xf>
    <xf numFmtId="0" fontId="34" fillId="4" borderId="140" xfId="0" applyNumberFormat="1" applyFont="1" applyFill="1" applyBorder="1" applyAlignment="1">
      <alignment horizontal="center" vertical="center"/>
    </xf>
    <xf numFmtId="0" fontId="34" fillId="4" borderId="145" xfId="0" applyNumberFormat="1" applyFont="1" applyFill="1" applyBorder="1" applyAlignment="1">
      <alignment horizontal="center" vertical="center"/>
    </xf>
    <xf numFmtId="0" fontId="9" fillId="0" borderId="0" xfId="0" applyNumberFormat="1" applyFont="1" applyFill="1" applyBorder="1" applyAlignment="1">
      <alignment horizontal="center" vertical="center" wrapText="1"/>
    </xf>
    <xf numFmtId="0" fontId="25" fillId="5" borderId="14" xfId="0" applyNumberFormat="1" applyFont="1" applyFill="1" applyBorder="1" applyAlignment="1">
      <alignment horizontal="left"/>
    </xf>
    <xf numFmtId="0" fontId="25" fillId="5" borderId="9" xfId="0" applyNumberFormat="1" applyFont="1" applyFill="1" applyBorder="1" applyAlignment="1">
      <alignment horizontal="left"/>
    </xf>
    <xf numFmtId="0" fontId="25" fillId="5" borderId="13" xfId="0" applyNumberFormat="1" applyFont="1" applyFill="1" applyBorder="1" applyAlignment="1">
      <alignment horizontal="left" vertical="top"/>
    </xf>
    <xf numFmtId="0" fontId="25" fillId="5" borderId="0" xfId="0" applyNumberFormat="1" applyFont="1" applyFill="1" applyBorder="1" applyAlignment="1">
      <alignment horizontal="left" vertical="top"/>
    </xf>
    <xf numFmtId="0" fontId="25" fillId="5" borderId="46" xfId="0" applyNumberFormat="1" applyFont="1" applyFill="1" applyBorder="1" applyAlignment="1">
      <alignment horizontal="right" vertical="center"/>
    </xf>
    <xf numFmtId="0" fontId="25" fillId="5" borderId="47" xfId="0" applyNumberFormat="1" applyFont="1" applyFill="1" applyBorder="1" applyAlignment="1">
      <alignment horizontal="right" vertical="center"/>
    </xf>
    <xf numFmtId="0" fontId="26" fillId="5" borderId="47" xfId="0" applyNumberFormat="1" applyFont="1" applyFill="1" applyBorder="1" applyAlignment="1">
      <alignment horizontal="center" vertical="center"/>
    </xf>
    <xf numFmtId="0" fontId="26" fillId="5" borderId="48" xfId="0" applyNumberFormat="1" applyFont="1" applyFill="1" applyBorder="1" applyAlignment="1">
      <alignment horizontal="center" vertical="center"/>
    </xf>
    <xf numFmtId="0" fontId="28" fillId="5" borderId="0" xfId="8" applyNumberFormat="1" applyFont="1" applyFill="1" applyBorder="1" applyAlignment="1">
      <alignment horizontal="left" vertical="center"/>
    </xf>
    <xf numFmtId="164" fontId="25" fillId="5" borderId="49" xfId="0" applyNumberFormat="1" applyFont="1" applyFill="1" applyBorder="1" applyAlignment="1">
      <alignment horizontal="right" vertical="center"/>
    </xf>
    <xf numFmtId="164" fontId="25" fillId="5" borderId="50" xfId="0" applyNumberFormat="1" applyFont="1" applyFill="1" applyBorder="1" applyAlignment="1">
      <alignment horizontal="right" vertical="center"/>
    </xf>
    <xf numFmtId="0" fontId="26" fillId="5" borderId="50" xfId="0" applyNumberFormat="1" applyFont="1" applyFill="1" applyBorder="1" applyAlignment="1">
      <alignment horizontal="center" vertical="center"/>
    </xf>
    <xf numFmtId="0" fontId="26" fillId="5" borderId="51" xfId="0" applyNumberFormat="1" applyFont="1" applyFill="1" applyBorder="1" applyAlignment="1">
      <alignment horizontal="center" vertical="center"/>
    </xf>
    <xf numFmtId="0" fontId="23" fillId="0" borderId="46" xfId="8" applyFont="1" applyBorder="1" applyAlignment="1">
      <alignment horizontal="center" vertical="center"/>
    </xf>
    <xf numFmtId="0" fontId="23" fillId="0" borderId="47" xfId="8" applyFont="1" applyBorder="1" applyAlignment="1">
      <alignment horizontal="center" vertical="center"/>
    </xf>
    <xf numFmtId="0" fontId="23" fillId="0" borderId="48" xfId="8" applyFont="1" applyBorder="1" applyAlignment="1">
      <alignment horizontal="center" vertical="center"/>
    </xf>
    <xf numFmtId="0" fontId="23" fillId="0" borderId="49" xfId="8" applyFont="1" applyBorder="1" applyAlignment="1">
      <alignment horizontal="center" vertical="center"/>
    </xf>
    <xf numFmtId="0" fontId="23" fillId="0" borderId="50" xfId="8" applyFont="1" applyBorder="1" applyAlignment="1">
      <alignment horizontal="center" vertical="center"/>
    </xf>
    <xf numFmtId="0" fontId="23" fillId="0" borderId="51" xfId="8" applyFont="1" applyBorder="1" applyAlignment="1">
      <alignment horizontal="center" vertical="center"/>
    </xf>
    <xf numFmtId="0" fontId="53" fillId="0" borderId="22" xfId="0" applyFont="1" applyFill="1" applyBorder="1" applyAlignment="1">
      <alignment horizontal="center" vertical="center"/>
    </xf>
    <xf numFmtId="0" fontId="55" fillId="11" borderId="54" xfId="0" applyFont="1" applyFill="1" applyBorder="1" applyAlignment="1">
      <alignment horizontal="center" vertical="center"/>
    </xf>
    <xf numFmtId="0" fontId="55" fillId="13" borderId="54" xfId="0" applyFont="1" applyFill="1" applyBorder="1" applyAlignment="1">
      <alignment horizontal="center" vertical="center"/>
    </xf>
    <xf numFmtId="0" fontId="55" fillId="12" borderId="59" xfId="0" applyFont="1" applyFill="1" applyBorder="1" applyAlignment="1">
      <alignment horizontal="center" vertical="center"/>
    </xf>
    <xf numFmtId="0" fontId="10" fillId="0" borderId="65" xfId="0" applyFont="1" applyBorder="1"/>
    <xf numFmtId="0" fontId="10" fillId="0" borderId="66" xfId="0" applyFont="1" applyBorder="1"/>
    <xf numFmtId="0" fontId="9" fillId="0" borderId="52" xfId="0" applyFont="1" applyBorder="1" applyAlignment="1">
      <alignment horizontal="right" vertical="center" wrapText="1"/>
    </xf>
    <xf numFmtId="0" fontId="9" fillId="0" borderId="0" xfId="0" applyFont="1" applyBorder="1" applyAlignment="1">
      <alignment horizontal="right" vertical="center" wrapText="1"/>
    </xf>
    <xf numFmtId="0" fontId="9" fillId="0" borderId="103" xfId="0" applyFont="1" applyFill="1" applyBorder="1" applyAlignment="1">
      <alignment horizontal="center" vertical="center" wrapText="1"/>
    </xf>
    <xf numFmtId="0" fontId="9" fillId="0" borderId="7" xfId="0" applyFont="1" applyFill="1" applyBorder="1" applyAlignment="1">
      <alignment horizontal="center" vertical="center" wrapText="1"/>
    </xf>
    <xf numFmtId="0" fontId="10" fillId="0" borderId="103" xfId="0" applyFont="1" applyBorder="1" applyAlignment="1">
      <alignment vertical="center"/>
    </xf>
    <xf numFmtId="0" fontId="10" fillId="0" borderId="2" xfId="0" applyFont="1" applyBorder="1" applyAlignment="1">
      <alignment vertical="center"/>
    </xf>
    <xf numFmtId="0" fontId="58" fillId="0" borderId="52" xfId="0" applyFont="1" applyFill="1" applyBorder="1" applyAlignment="1">
      <alignment horizontal="center" vertical="center" wrapText="1"/>
    </xf>
    <xf numFmtId="0" fontId="55" fillId="11" borderId="8" xfId="0" applyFont="1" applyFill="1" applyBorder="1" applyAlignment="1">
      <alignment horizontal="center" vertical="center" wrapText="1"/>
    </xf>
    <xf numFmtId="0" fontId="55" fillId="11" borderId="104" xfId="0" applyFont="1" applyFill="1" applyBorder="1" applyAlignment="1">
      <alignment horizontal="center" vertical="center" wrapText="1"/>
    </xf>
    <xf numFmtId="0" fontId="55" fillId="13" borderId="8" xfId="0" applyFont="1" applyFill="1" applyBorder="1" applyAlignment="1">
      <alignment horizontal="center" vertical="center" wrapText="1"/>
    </xf>
    <xf numFmtId="0" fontId="55" fillId="13" borderId="104" xfId="0" applyFont="1" applyFill="1" applyBorder="1" applyAlignment="1">
      <alignment horizontal="center" vertical="center" wrapText="1"/>
    </xf>
    <xf numFmtId="0" fontId="55" fillId="12" borderId="98" xfId="0" applyFont="1" applyFill="1" applyBorder="1" applyAlignment="1">
      <alignment horizontal="center" vertical="center" wrapText="1"/>
    </xf>
    <xf numFmtId="0" fontId="55" fillId="12" borderId="107" xfId="0" applyFont="1" applyFill="1" applyBorder="1" applyAlignment="1">
      <alignment horizontal="center" vertical="center" wrapText="1"/>
    </xf>
    <xf numFmtId="0" fontId="58" fillId="0" borderId="43" xfId="0" applyFont="1" applyFill="1" applyBorder="1" applyAlignment="1">
      <alignment horizontal="center" vertical="center" wrapText="1"/>
    </xf>
    <xf numFmtId="0" fontId="58" fillId="0" borderId="44" xfId="0" applyFont="1" applyFill="1" applyBorder="1" applyAlignment="1">
      <alignment horizontal="center" vertical="center" wrapText="1"/>
    </xf>
    <xf numFmtId="0" fontId="58" fillId="0" borderId="0" xfId="0" applyFont="1" applyFill="1" applyBorder="1" applyAlignment="1">
      <alignment horizontal="left" vertical="center" wrapText="1"/>
    </xf>
    <xf numFmtId="0" fontId="9" fillId="0" borderId="85" xfId="0" applyFont="1" applyBorder="1" applyAlignment="1">
      <alignment horizontal="right" vertical="center"/>
    </xf>
    <xf numFmtId="0" fontId="9" fillId="0" borderId="66" xfId="0" applyFont="1" applyBorder="1" applyAlignment="1">
      <alignment horizontal="right" vertical="center"/>
    </xf>
    <xf numFmtId="0" fontId="9" fillId="0" borderId="103" xfId="0" applyFont="1" applyBorder="1" applyAlignment="1">
      <alignment horizontal="right" vertical="center"/>
    </xf>
    <xf numFmtId="0" fontId="9" fillId="0" borderId="7" xfId="0" applyFont="1" applyBorder="1" applyAlignment="1">
      <alignment horizontal="right" vertical="center"/>
    </xf>
    <xf numFmtId="0" fontId="31" fillId="0" borderId="103" xfId="0" applyFont="1" applyBorder="1" applyAlignment="1">
      <alignment horizontal="right" vertical="center"/>
    </xf>
    <xf numFmtId="0" fontId="31" fillId="0" borderId="7" xfId="0" applyFont="1" applyBorder="1" applyAlignment="1">
      <alignment horizontal="right" vertical="center"/>
    </xf>
    <xf numFmtId="0" fontId="58" fillId="0" borderId="49" xfId="0" applyFont="1" applyFill="1" applyBorder="1" applyAlignment="1">
      <alignment horizontal="center" vertical="center" wrapText="1"/>
    </xf>
    <xf numFmtId="0" fontId="58" fillId="0" borderId="0" xfId="0" applyFont="1" applyFill="1" applyBorder="1" applyAlignment="1">
      <alignment horizontal="left" vertical="center"/>
    </xf>
    <xf numFmtId="0" fontId="58" fillId="0" borderId="46" xfId="0" applyFont="1" applyFill="1" applyBorder="1" applyAlignment="1">
      <alignment horizontal="center" vertical="center" wrapText="1"/>
    </xf>
    <xf numFmtId="0" fontId="58" fillId="0" borderId="47" xfId="0" applyFont="1" applyFill="1" applyBorder="1" applyAlignment="1">
      <alignment horizontal="center" vertical="center" wrapText="1"/>
    </xf>
    <xf numFmtId="0" fontId="21" fillId="8" borderId="0" xfId="0" applyNumberFormat="1" applyFont="1" applyFill="1" applyBorder="1" applyAlignment="1">
      <alignment horizontal="left"/>
    </xf>
    <xf numFmtId="0" fontId="21" fillId="8" borderId="0" xfId="0" applyNumberFormat="1" applyFont="1" applyFill="1" applyBorder="1" applyAlignment="1">
      <alignment horizontal="left" vertical="top"/>
    </xf>
    <xf numFmtId="0" fontId="21" fillId="8" borderId="142" xfId="0" applyNumberFormat="1" applyFont="1" applyFill="1" applyBorder="1" applyAlignment="1">
      <alignment horizontal="right"/>
    </xf>
    <xf numFmtId="0" fontId="21" fillId="8" borderId="143" xfId="0" applyNumberFormat="1" applyFont="1" applyFill="1" applyBorder="1" applyAlignment="1">
      <alignment horizontal="right"/>
    </xf>
    <xf numFmtId="0" fontId="34" fillId="8" borderId="143" xfId="0" applyNumberFormat="1" applyFont="1" applyFill="1" applyBorder="1" applyAlignment="1">
      <alignment horizontal="center" vertical="center"/>
    </xf>
    <xf numFmtId="0" fontId="34" fillId="8" borderId="144" xfId="0" applyNumberFormat="1" applyFont="1" applyFill="1" applyBorder="1" applyAlignment="1">
      <alignment horizontal="center" vertical="center"/>
    </xf>
    <xf numFmtId="0" fontId="35" fillId="8" borderId="0" xfId="8" applyNumberFormat="1" applyFont="1" applyFill="1" applyBorder="1" applyAlignment="1">
      <alignment horizontal="left" vertical="center"/>
    </xf>
    <xf numFmtId="0" fontId="21" fillId="8" borderId="139" xfId="0" applyNumberFormat="1" applyFont="1" applyFill="1" applyBorder="1" applyAlignment="1">
      <alignment horizontal="right" vertical="center"/>
    </xf>
    <xf numFmtId="0" fontId="21" fillId="8" borderId="140" xfId="0" applyNumberFormat="1" applyFont="1" applyFill="1" applyBorder="1" applyAlignment="1">
      <alignment horizontal="right" vertical="center"/>
    </xf>
    <xf numFmtId="0" fontId="34" fillId="8" borderId="140" xfId="0" applyNumberFormat="1" applyFont="1" applyFill="1" applyBorder="1" applyAlignment="1">
      <alignment horizontal="center" vertical="center"/>
    </xf>
    <xf numFmtId="0" fontId="34" fillId="8" borderId="145" xfId="0" applyNumberFormat="1" applyFont="1" applyFill="1" applyBorder="1" applyAlignment="1">
      <alignment horizontal="center" vertical="center"/>
    </xf>
    <xf numFmtId="0" fontId="9" fillId="0" borderId="1" xfId="0" applyNumberFormat="1" applyFont="1" applyFill="1" applyBorder="1" applyAlignment="1">
      <alignment horizontal="center" vertical="center" wrapText="1"/>
    </xf>
    <xf numFmtId="0" fontId="25" fillId="0" borderId="6" xfId="0" applyNumberFormat="1" applyFont="1" applyFill="1" applyBorder="1" applyAlignment="1">
      <alignment horizontal="center" vertical="center"/>
    </xf>
    <xf numFmtId="0" fontId="25" fillId="0" borderId="7" xfId="0" applyNumberFormat="1" applyFont="1" applyFill="1" applyBorder="1" applyAlignment="1">
      <alignment horizontal="center" vertical="center"/>
    </xf>
    <xf numFmtId="0" fontId="25" fillId="0" borderId="2" xfId="0" applyNumberFormat="1" applyFont="1" applyFill="1" applyBorder="1" applyAlignment="1">
      <alignment horizontal="center" vertical="center"/>
    </xf>
    <xf numFmtId="0" fontId="25" fillId="0" borderId="8" xfId="0" applyNumberFormat="1" applyFont="1" applyFill="1" applyBorder="1" applyAlignment="1">
      <alignment horizontal="center" vertical="center"/>
    </xf>
    <xf numFmtId="0" fontId="35" fillId="13" borderId="0" xfId="8" applyNumberFormat="1" applyFont="1" applyFill="1" applyBorder="1" applyAlignment="1">
      <alignment horizontal="left" vertical="center"/>
    </xf>
    <xf numFmtId="0" fontId="25" fillId="0" borderId="9" xfId="0" applyNumberFormat="1" applyFont="1" applyFill="1" applyBorder="1" applyAlignment="1">
      <alignment horizontal="center" vertical="center"/>
    </xf>
    <xf numFmtId="0" fontId="21" fillId="13" borderId="142" xfId="0" applyNumberFormat="1" applyFont="1" applyFill="1" applyBorder="1" applyAlignment="1">
      <alignment horizontal="right"/>
    </xf>
    <xf numFmtId="0" fontId="21" fillId="13" borderId="143" xfId="0" applyNumberFormat="1" applyFont="1" applyFill="1" applyBorder="1" applyAlignment="1">
      <alignment horizontal="right"/>
    </xf>
    <xf numFmtId="0" fontId="21" fillId="13" borderId="0" xfId="0" applyNumberFormat="1" applyFont="1" applyFill="1" applyBorder="1" applyAlignment="1">
      <alignment horizontal="left" vertical="center"/>
    </xf>
    <xf numFmtId="0" fontId="34" fillId="13" borderId="143" xfId="0" applyNumberFormat="1" applyFont="1" applyFill="1" applyBorder="1" applyAlignment="1">
      <alignment horizontal="center" vertical="center"/>
    </xf>
    <xf numFmtId="0" fontId="34" fillId="13" borderId="144" xfId="0" applyNumberFormat="1" applyFont="1" applyFill="1" applyBorder="1" applyAlignment="1">
      <alignment horizontal="center" vertical="center"/>
    </xf>
    <xf numFmtId="0" fontId="25" fillId="0" borderId="3" xfId="0" applyNumberFormat="1" applyFont="1" applyFill="1" applyBorder="1" applyAlignment="1">
      <alignment horizontal="center" vertical="center"/>
    </xf>
    <xf numFmtId="0" fontId="25" fillId="0" borderId="4" xfId="0" applyNumberFormat="1" applyFont="1" applyFill="1" applyBorder="1" applyAlignment="1">
      <alignment horizontal="center" vertical="center"/>
    </xf>
    <xf numFmtId="0" fontId="25" fillId="0" borderId="5" xfId="0" applyNumberFormat="1" applyFont="1" applyFill="1" applyBorder="1" applyAlignment="1">
      <alignment horizontal="center" vertical="center"/>
    </xf>
    <xf numFmtId="0" fontId="21" fillId="13" borderId="0" xfId="0" applyNumberFormat="1" applyFont="1" applyFill="1" applyBorder="1" applyAlignment="1">
      <alignment horizontal="left" vertical="top"/>
    </xf>
    <xf numFmtId="0" fontId="21" fillId="13" borderId="139" xfId="0" applyNumberFormat="1" applyFont="1" applyFill="1" applyBorder="1" applyAlignment="1">
      <alignment horizontal="right" vertical="center"/>
    </xf>
    <xf numFmtId="0" fontId="21" fillId="13" borderId="140" xfId="0" applyNumberFormat="1" applyFont="1" applyFill="1" applyBorder="1" applyAlignment="1">
      <alignment horizontal="right" vertical="center"/>
    </xf>
    <xf numFmtId="0" fontId="34" fillId="13" borderId="140" xfId="0" applyNumberFormat="1" applyFont="1" applyFill="1" applyBorder="1" applyAlignment="1">
      <alignment horizontal="center" vertical="center"/>
    </xf>
    <xf numFmtId="0" fontId="34" fillId="13" borderId="145" xfId="0" applyNumberFormat="1" applyFont="1" applyFill="1" applyBorder="1" applyAlignment="1">
      <alignment horizontal="center" vertical="center"/>
    </xf>
    <xf numFmtId="0" fontId="27" fillId="0" borderId="9" xfId="0" applyNumberFormat="1" applyFont="1" applyFill="1" applyBorder="1" applyAlignment="1">
      <alignment horizontal="center" vertical="center" wrapText="1"/>
    </xf>
    <xf numFmtId="0" fontId="27" fillId="0" borderId="16" xfId="0" applyNumberFormat="1" applyFont="1" applyFill="1" applyBorder="1" applyAlignment="1">
      <alignment horizontal="center" vertical="center" wrapText="1"/>
    </xf>
    <xf numFmtId="0" fontId="27" fillId="0" borderId="1" xfId="0" applyNumberFormat="1" applyFont="1" applyFill="1" applyBorder="1" applyAlignment="1">
      <alignment horizontal="center" vertical="center" wrapText="1"/>
    </xf>
    <xf numFmtId="0" fontId="21" fillId="9" borderId="139" xfId="0" applyNumberFormat="1" applyFont="1" applyFill="1" applyBorder="1" applyAlignment="1">
      <alignment horizontal="right" vertical="center"/>
    </xf>
    <xf numFmtId="0" fontId="21" fillId="9" borderId="140" xfId="0" applyNumberFormat="1" applyFont="1" applyFill="1" applyBorder="1" applyAlignment="1">
      <alignment horizontal="right" vertical="center"/>
    </xf>
    <xf numFmtId="0" fontId="34" fillId="9" borderId="140" xfId="0" applyNumberFormat="1" applyFont="1" applyFill="1" applyBorder="1" applyAlignment="1">
      <alignment horizontal="center" vertical="center"/>
    </xf>
    <xf numFmtId="0" fontId="34" fillId="9" borderId="145" xfId="0" applyNumberFormat="1" applyFont="1" applyFill="1" applyBorder="1" applyAlignment="1">
      <alignment horizontal="center" vertical="center"/>
    </xf>
    <xf numFmtId="0" fontId="27" fillId="0" borderId="0" xfId="0" applyNumberFormat="1" applyFont="1" applyFill="1" applyBorder="1" applyAlignment="1">
      <alignment horizontal="center" vertical="center" wrapText="1"/>
    </xf>
    <xf numFmtId="0" fontId="21" fillId="9" borderId="142" xfId="0" applyNumberFormat="1" applyFont="1" applyFill="1" applyBorder="1" applyAlignment="1">
      <alignment horizontal="right"/>
    </xf>
    <xf numFmtId="0" fontId="21" fillId="9" borderId="143" xfId="0" applyNumberFormat="1" applyFont="1" applyFill="1" applyBorder="1" applyAlignment="1">
      <alignment horizontal="right"/>
    </xf>
    <xf numFmtId="0" fontId="34" fillId="9" borderId="143" xfId="0" applyNumberFormat="1" applyFont="1" applyFill="1" applyBorder="1" applyAlignment="1">
      <alignment horizontal="center" vertical="center"/>
    </xf>
    <xf numFmtId="0" fontId="34" fillId="9" borderId="144" xfId="0" applyNumberFormat="1" applyFont="1" applyFill="1" applyBorder="1" applyAlignment="1">
      <alignment horizontal="center" vertical="center"/>
    </xf>
    <xf numFmtId="0" fontId="21" fillId="9" borderId="0" xfId="0" applyNumberFormat="1" applyFont="1" applyFill="1" applyBorder="1" applyAlignment="1">
      <alignment horizontal="left" vertical="top"/>
    </xf>
    <xf numFmtId="0" fontId="21" fillId="9" borderId="0" xfId="0" applyNumberFormat="1" applyFont="1" applyFill="1" applyBorder="1" applyAlignment="1">
      <alignment horizontal="left"/>
    </xf>
    <xf numFmtId="0" fontId="35" fillId="9" borderId="0" xfId="8" applyNumberFormat="1" applyFont="1" applyFill="1" applyBorder="1" applyAlignment="1">
      <alignment horizontal="left" vertical="center"/>
    </xf>
    <xf numFmtId="0" fontId="24" fillId="0" borderId="135" xfId="8" applyNumberFormat="1" applyFont="1" applyFill="1" applyBorder="1" applyAlignment="1">
      <alignment horizontal="left" vertical="top" wrapText="1"/>
    </xf>
    <xf numFmtId="0" fontId="24" fillId="0" borderId="39" xfId="8" applyNumberFormat="1" applyFont="1" applyFill="1" applyBorder="1" applyAlignment="1">
      <alignment horizontal="left" vertical="top" wrapText="1"/>
    </xf>
    <xf numFmtId="0" fontId="24" fillId="0" borderId="22" xfId="8" applyNumberFormat="1" applyFont="1" applyFill="1" applyBorder="1" applyAlignment="1">
      <alignment horizontal="left" vertical="top" wrapText="1"/>
    </xf>
    <xf numFmtId="0" fontId="24" fillId="0" borderId="162" xfId="8" applyNumberFormat="1" applyFont="1" applyFill="1" applyBorder="1" applyAlignment="1">
      <alignment horizontal="left" vertical="top" wrapText="1"/>
    </xf>
    <xf numFmtId="0" fontId="24" fillId="0" borderId="163" xfId="8" applyNumberFormat="1" applyFont="1" applyFill="1" applyBorder="1" applyAlignment="1">
      <alignment horizontal="left" vertical="top" wrapText="1"/>
    </xf>
    <xf numFmtId="0" fontId="24" fillId="0" borderId="151" xfId="8" applyNumberFormat="1" applyFont="1" applyFill="1" applyBorder="1" applyAlignment="1">
      <alignment horizontal="left" vertical="top" wrapText="1"/>
    </xf>
    <xf numFmtId="0" fontId="6" fillId="0" borderId="54" xfId="8" applyNumberFormat="1" applyBorder="1" applyAlignment="1">
      <alignment horizontal="left" vertical="top"/>
    </xf>
    <xf numFmtId="0" fontId="6" fillId="0" borderId="7" xfId="8" applyNumberFormat="1" applyBorder="1" applyAlignment="1">
      <alignment horizontal="left" vertical="top"/>
    </xf>
    <xf numFmtId="0" fontId="24" fillId="0" borderId="54" xfId="8" applyNumberFormat="1" applyFont="1" applyBorder="1" applyAlignment="1">
      <alignment horizontal="left" vertical="top" wrapText="1"/>
    </xf>
    <xf numFmtId="0" fontId="6" fillId="0" borderId="54" xfId="8" applyNumberFormat="1" applyBorder="1" applyAlignment="1">
      <alignment horizontal="left" vertical="top" wrapText="1"/>
    </xf>
    <xf numFmtId="0" fontId="24" fillId="0" borderId="54" xfId="8" applyNumberFormat="1" applyFont="1" applyFill="1" applyBorder="1" applyAlignment="1">
      <alignment horizontal="left" vertical="top" wrapText="1"/>
    </xf>
    <xf numFmtId="0" fontId="6" fillId="0" borderId="15" xfId="8" applyNumberFormat="1" applyBorder="1" applyAlignment="1">
      <alignment horizontal="left" vertical="top" wrapText="1"/>
    </xf>
    <xf numFmtId="0" fontId="6" fillId="0" borderId="1" xfId="8" applyNumberFormat="1" applyBorder="1" applyAlignment="1">
      <alignment horizontal="left" vertical="top" wrapText="1"/>
    </xf>
    <xf numFmtId="0" fontId="6" fillId="0" borderId="20" xfId="8" applyNumberFormat="1" applyBorder="1" applyAlignment="1">
      <alignment horizontal="left" vertical="top" wrapText="1"/>
    </xf>
    <xf numFmtId="0" fontId="24" fillId="0" borderId="135" xfId="8" applyNumberFormat="1" applyFont="1" applyBorder="1" applyAlignment="1">
      <alignment horizontal="left" vertical="top" wrapText="1"/>
    </xf>
    <xf numFmtId="0" fontId="24" fillId="0" borderId="39" xfId="8" applyNumberFormat="1" applyFont="1" applyBorder="1" applyAlignment="1">
      <alignment horizontal="left" vertical="top" wrapText="1"/>
    </xf>
    <xf numFmtId="0" fontId="24" fillId="0" borderId="22" xfId="8" applyNumberFormat="1" applyFont="1" applyBorder="1" applyAlignment="1">
      <alignment horizontal="left" vertical="top" wrapText="1"/>
    </xf>
    <xf numFmtId="0" fontId="6" fillId="0" borderId="149" xfId="8" applyBorder="1" applyAlignment="1">
      <alignment horizontal="left" vertical="top"/>
    </xf>
    <xf numFmtId="0" fontId="6" fillId="0" borderId="112" xfId="8" applyBorder="1" applyAlignment="1">
      <alignment horizontal="left" vertical="top"/>
    </xf>
    <xf numFmtId="0" fontId="6" fillId="0" borderId="13" xfId="8" applyBorder="1" applyAlignment="1">
      <alignment horizontal="left" vertical="top"/>
    </xf>
    <xf numFmtId="0" fontId="6" fillId="0" borderId="1" xfId="8" applyBorder="1" applyAlignment="1">
      <alignment horizontal="left" vertical="top"/>
    </xf>
    <xf numFmtId="0" fontId="6" fillId="0" borderId="21" xfId="8" applyBorder="1" applyAlignment="1">
      <alignment horizontal="left" vertical="top"/>
    </xf>
    <xf numFmtId="0" fontId="6" fillId="0" borderId="20" xfId="8" applyBorder="1" applyAlignment="1">
      <alignment horizontal="left" vertical="top"/>
    </xf>
    <xf numFmtId="0" fontId="6" fillId="0" borderId="54" xfId="8" applyNumberFormat="1" applyFill="1" applyBorder="1" applyAlignment="1">
      <alignment horizontal="left" vertical="top" wrapText="1"/>
    </xf>
    <xf numFmtId="0" fontId="6" fillId="0" borderId="8" xfId="8" applyNumberFormat="1" applyBorder="1" applyAlignment="1">
      <alignment horizontal="left" vertical="top"/>
    </xf>
    <xf numFmtId="0" fontId="28" fillId="0" borderId="135" xfId="8" applyNumberFormat="1" applyFont="1" applyFill="1" applyBorder="1" applyAlignment="1">
      <alignment horizontal="left" vertical="top" wrapText="1"/>
    </xf>
    <xf numFmtId="0" fontId="28" fillId="0" borderId="39" xfId="8" applyNumberFormat="1" applyFont="1" applyFill="1" applyBorder="1" applyAlignment="1">
      <alignment horizontal="left" vertical="top" wrapText="1"/>
    </xf>
    <xf numFmtId="0" fontId="28" fillId="0" borderId="1" xfId="8" applyNumberFormat="1" applyFont="1" applyFill="1" applyBorder="1" applyAlignment="1">
      <alignment horizontal="left" vertical="top" wrapText="1"/>
    </xf>
    <xf numFmtId="0" fontId="28" fillId="0" borderId="20" xfId="8" applyNumberFormat="1" applyFont="1" applyFill="1" applyBorder="1" applyAlignment="1">
      <alignment horizontal="left" vertical="top" wrapText="1"/>
    </xf>
    <xf numFmtId="0" fontId="6" fillId="0" borderId="2" xfId="8" applyNumberFormat="1" applyFill="1" applyBorder="1" applyAlignment="1">
      <alignment horizontal="left" vertical="top" wrapText="1"/>
    </xf>
    <xf numFmtId="0" fontId="24" fillId="0" borderId="2" xfId="8" applyNumberFormat="1" applyFont="1" applyFill="1" applyBorder="1" applyAlignment="1">
      <alignment horizontal="left" vertical="top" wrapText="1"/>
    </xf>
    <xf numFmtId="0" fontId="70" fillId="0" borderId="29" xfId="0" applyFont="1" applyBorder="1" applyAlignment="1">
      <alignment horizontal="center" vertical="center"/>
    </xf>
    <xf numFmtId="0" fontId="70" fillId="0" borderId="73" xfId="0" applyFont="1" applyBorder="1" applyAlignment="1">
      <alignment horizontal="center" vertical="center"/>
    </xf>
    <xf numFmtId="0" fontId="70" fillId="0" borderId="0" xfId="0" applyFont="1" applyBorder="1" applyAlignment="1">
      <alignment horizontal="center" vertical="center"/>
    </xf>
    <xf numFmtId="0" fontId="70" fillId="0" borderId="53" xfId="0" applyFont="1" applyBorder="1" applyAlignment="1">
      <alignment horizontal="center" vertical="center"/>
    </xf>
    <xf numFmtId="0" fontId="6" fillId="0" borderId="150" xfId="8" applyBorder="1" applyAlignment="1">
      <alignment horizontal="left" vertical="top" wrapText="1"/>
    </xf>
    <xf numFmtId="0" fontId="6" fillId="0" borderId="69" xfId="8" applyBorder="1" applyAlignment="1">
      <alignment horizontal="left" vertical="top" wrapText="1"/>
    </xf>
    <xf numFmtId="0" fontId="6" fillId="0" borderId="62" xfId="8" applyBorder="1" applyAlignment="1">
      <alignment horizontal="left" vertical="top" wrapText="1"/>
    </xf>
    <xf numFmtId="0" fontId="6" fillId="10" borderId="164" xfId="8" applyFill="1" applyBorder="1" applyAlignment="1">
      <alignment horizontal="left" vertical="top" wrapText="1"/>
    </xf>
    <xf numFmtId="0" fontId="6" fillId="10" borderId="69" xfId="8" applyFill="1" applyBorder="1" applyAlignment="1">
      <alignment horizontal="left" vertical="top" wrapText="1"/>
    </xf>
    <xf numFmtId="0" fontId="6" fillId="10" borderId="62" xfId="8" applyFill="1" applyBorder="1" applyAlignment="1">
      <alignment horizontal="left" vertical="top" wrapText="1"/>
    </xf>
    <xf numFmtId="0" fontId="19" fillId="2" borderId="67" xfId="0" applyNumberFormat="1" applyFont="1" applyFill="1" applyBorder="1" applyAlignment="1">
      <alignment horizontal="left" vertical="top" wrapText="1"/>
    </xf>
    <xf numFmtId="0" fontId="19" fillId="2" borderId="47" xfId="0" applyNumberFormat="1" applyFont="1" applyFill="1" applyBorder="1" applyAlignment="1">
      <alignment horizontal="left" vertical="top" wrapText="1"/>
    </xf>
    <xf numFmtId="0" fontId="19" fillId="2" borderId="68" xfId="0" applyNumberFormat="1" applyFont="1" applyFill="1" applyBorder="1" applyAlignment="1">
      <alignment horizontal="left" vertical="top" wrapText="1"/>
    </xf>
    <xf numFmtId="0" fontId="19" fillId="2" borderId="26" xfId="0" applyNumberFormat="1" applyFont="1" applyFill="1" applyBorder="1" applyAlignment="1">
      <alignment horizontal="left" vertical="top" wrapText="1"/>
    </xf>
    <xf numFmtId="0" fontId="19" fillId="2" borderId="0" xfId="0" applyNumberFormat="1" applyFont="1" applyFill="1" applyBorder="1" applyAlignment="1">
      <alignment horizontal="left" vertical="top" wrapText="1"/>
    </xf>
    <xf numFmtId="0" fontId="19" fillId="2" borderId="24" xfId="0" applyNumberFormat="1" applyFont="1" applyFill="1" applyBorder="1" applyAlignment="1">
      <alignment horizontal="left" vertical="top" wrapText="1"/>
    </xf>
    <xf numFmtId="0" fontId="19" fillId="2" borderId="146" xfId="0" applyNumberFormat="1" applyFont="1" applyFill="1" applyBorder="1" applyAlignment="1">
      <alignment horizontal="left" vertical="top" wrapText="1"/>
    </xf>
    <xf numFmtId="0" fontId="19" fillId="2" borderId="147" xfId="0" applyNumberFormat="1" applyFont="1" applyFill="1" applyBorder="1" applyAlignment="1">
      <alignment horizontal="left" vertical="top" wrapText="1"/>
    </xf>
    <xf numFmtId="0" fontId="19" fillId="2" borderId="148" xfId="0" applyNumberFormat="1" applyFont="1" applyFill="1" applyBorder="1" applyAlignment="1">
      <alignment horizontal="left" vertical="top" wrapText="1"/>
    </xf>
    <xf numFmtId="0" fontId="19" fillId="3" borderId="67" xfId="0" applyNumberFormat="1" applyFont="1" applyFill="1" applyBorder="1" applyAlignment="1">
      <alignment horizontal="left" vertical="top" wrapText="1"/>
    </xf>
    <xf numFmtId="0" fontId="19" fillId="3" borderId="47" xfId="0" applyNumberFormat="1" applyFont="1" applyFill="1" applyBorder="1" applyAlignment="1">
      <alignment horizontal="left" vertical="top" wrapText="1"/>
    </xf>
    <xf numFmtId="0" fontId="19" fillId="3" borderId="68" xfId="0" applyNumberFormat="1" applyFont="1" applyFill="1" applyBorder="1" applyAlignment="1">
      <alignment horizontal="left" vertical="top" wrapText="1"/>
    </xf>
    <xf numFmtId="0" fontId="19" fillId="3" borderId="26" xfId="0" applyNumberFormat="1" applyFont="1" applyFill="1" applyBorder="1" applyAlignment="1">
      <alignment horizontal="left" vertical="top" wrapText="1"/>
    </xf>
    <xf numFmtId="0" fontId="19" fillId="3" borderId="0" xfId="0" applyNumberFormat="1" applyFont="1" applyFill="1" applyBorder="1" applyAlignment="1">
      <alignment horizontal="left" vertical="top" wrapText="1"/>
    </xf>
    <xf numFmtId="0" fontId="19" fillId="3" borderId="24" xfId="0" applyNumberFormat="1" applyFont="1" applyFill="1" applyBorder="1" applyAlignment="1">
      <alignment horizontal="left" vertical="top" wrapText="1"/>
    </xf>
    <xf numFmtId="0" fontId="19" fillId="3" borderId="146" xfId="0" applyNumberFormat="1" applyFont="1" applyFill="1" applyBorder="1" applyAlignment="1">
      <alignment horizontal="left" vertical="top" wrapText="1"/>
    </xf>
    <xf numFmtId="0" fontId="19" fillId="3" borderId="147" xfId="0" applyNumberFormat="1" applyFont="1" applyFill="1" applyBorder="1" applyAlignment="1">
      <alignment horizontal="left" vertical="top" wrapText="1"/>
    </xf>
    <xf numFmtId="0" fontId="19" fillId="3" borderId="148" xfId="0" applyNumberFormat="1" applyFont="1" applyFill="1" applyBorder="1" applyAlignment="1">
      <alignment horizontal="left" vertical="top" wrapText="1"/>
    </xf>
    <xf numFmtId="0" fontId="19" fillId="4" borderId="67" xfId="0" applyNumberFormat="1" applyFont="1" applyFill="1" applyBorder="1" applyAlignment="1">
      <alignment horizontal="left" vertical="top" wrapText="1"/>
    </xf>
    <xf numFmtId="0" fontId="19" fillId="4" borderId="47" xfId="0" applyNumberFormat="1" applyFont="1" applyFill="1" applyBorder="1" applyAlignment="1">
      <alignment horizontal="left" vertical="top" wrapText="1"/>
    </xf>
    <xf numFmtId="0" fontId="19" fillId="4" borderId="68" xfId="0" applyNumberFormat="1" applyFont="1" applyFill="1" applyBorder="1" applyAlignment="1">
      <alignment horizontal="left" vertical="top" wrapText="1"/>
    </xf>
    <xf numFmtId="0" fontId="19" fillId="4" borderId="26" xfId="0" applyNumberFormat="1" applyFont="1" applyFill="1" applyBorder="1" applyAlignment="1">
      <alignment horizontal="left" vertical="top" wrapText="1"/>
    </xf>
    <xf numFmtId="0" fontId="19" fillId="4" borderId="0" xfId="0" applyNumberFormat="1" applyFont="1" applyFill="1" applyBorder="1" applyAlignment="1">
      <alignment horizontal="left" vertical="top" wrapText="1"/>
    </xf>
    <xf numFmtId="0" fontId="19" fillId="4" borderId="24" xfId="0" applyNumberFormat="1" applyFont="1" applyFill="1" applyBorder="1" applyAlignment="1">
      <alignment horizontal="left" vertical="top" wrapText="1"/>
    </xf>
    <xf numFmtId="0" fontId="19" fillId="4" borderId="146" xfId="0" applyNumberFormat="1" applyFont="1" applyFill="1" applyBorder="1" applyAlignment="1">
      <alignment horizontal="left" vertical="top" wrapText="1"/>
    </xf>
    <xf numFmtId="0" fontId="19" fillId="4" borderId="147" xfId="0" applyNumberFormat="1" applyFont="1" applyFill="1" applyBorder="1" applyAlignment="1">
      <alignment horizontal="left" vertical="top" wrapText="1"/>
    </xf>
    <xf numFmtId="0" fontId="19" fillId="4" borderId="148" xfId="0" applyNumberFormat="1" applyFont="1" applyFill="1" applyBorder="1" applyAlignment="1">
      <alignment horizontal="left" vertical="top" wrapText="1"/>
    </xf>
    <xf numFmtId="0" fontId="10" fillId="5" borderId="67" xfId="0" applyNumberFormat="1" applyFont="1" applyFill="1" applyBorder="1" applyAlignment="1">
      <alignment horizontal="left" vertical="top" wrapText="1"/>
    </xf>
    <xf numFmtId="0" fontId="10" fillId="5" borderId="47" xfId="0" applyNumberFormat="1" applyFont="1" applyFill="1" applyBorder="1" applyAlignment="1">
      <alignment horizontal="left" vertical="top" wrapText="1"/>
    </xf>
    <xf numFmtId="0" fontId="10" fillId="5" borderId="68" xfId="0" applyNumberFormat="1" applyFont="1" applyFill="1" applyBorder="1" applyAlignment="1">
      <alignment horizontal="left" vertical="top" wrapText="1"/>
    </xf>
    <xf numFmtId="0" fontId="10" fillId="5" borderId="26" xfId="0" applyNumberFormat="1" applyFont="1" applyFill="1" applyBorder="1" applyAlignment="1">
      <alignment horizontal="left" vertical="top" wrapText="1"/>
    </xf>
    <xf numFmtId="0" fontId="10" fillId="5" borderId="0" xfId="0" applyNumberFormat="1" applyFont="1" applyFill="1" applyBorder="1" applyAlignment="1">
      <alignment horizontal="left" vertical="top" wrapText="1"/>
    </xf>
    <xf numFmtId="0" fontId="10" fillId="5" borderId="24" xfId="0" applyNumberFormat="1" applyFont="1" applyFill="1" applyBorder="1" applyAlignment="1">
      <alignment horizontal="left" vertical="top" wrapText="1"/>
    </xf>
    <xf numFmtId="0" fontId="10" fillId="5" borderId="146" xfId="0" applyNumberFormat="1" applyFont="1" applyFill="1" applyBorder="1" applyAlignment="1">
      <alignment horizontal="left" vertical="top" wrapText="1"/>
    </xf>
    <xf numFmtId="0" fontId="10" fillId="5" borderId="147" xfId="0" applyNumberFormat="1" applyFont="1" applyFill="1" applyBorder="1" applyAlignment="1">
      <alignment horizontal="left" vertical="top" wrapText="1"/>
    </xf>
    <xf numFmtId="0" fontId="10" fillId="5" borderId="148" xfId="0" applyNumberFormat="1" applyFont="1" applyFill="1" applyBorder="1" applyAlignment="1">
      <alignment horizontal="left" vertical="top" wrapText="1"/>
    </xf>
    <xf numFmtId="0" fontId="51" fillId="0" borderId="1" xfId="8" applyNumberFormat="1" applyFont="1" applyFill="1" applyBorder="1" applyAlignment="1">
      <alignment horizontal="left" vertical="top" wrapText="1"/>
    </xf>
    <xf numFmtId="0" fontId="51" fillId="0" borderId="77" xfId="8" applyNumberFormat="1" applyFont="1" applyFill="1" applyBorder="1" applyAlignment="1">
      <alignment horizontal="left" vertical="top" wrapText="1"/>
    </xf>
    <xf numFmtId="0" fontId="24" fillId="0" borderId="13" xfId="8" applyNumberFormat="1" applyFont="1" applyFill="1" applyBorder="1" applyAlignment="1">
      <alignment horizontal="left" vertical="top" wrapText="1"/>
    </xf>
    <xf numFmtId="0" fontId="24" fillId="0" borderId="1" xfId="8" applyNumberFormat="1" applyFont="1" applyFill="1" applyBorder="1" applyAlignment="1">
      <alignment horizontal="left" vertical="top" wrapText="1"/>
    </xf>
    <xf numFmtId="0" fontId="24" fillId="0" borderId="21" xfId="8" applyNumberFormat="1" applyFont="1" applyFill="1" applyBorder="1" applyAlignment="1">
      <alignment horizontal="left" vertical="top" wrapText="1"/>
    </xf>
    <xf numFmtId="0" fontId="24" fillId="0" borderId="20" xfId="8" applyNumberFormat="1" applyFont="1" applyFill="1" applyBorder="1" applyAlignment="1">
      <alignment horizontal="left" vertical="top" wrapText="1"/>
    </xf>
    <xf numFmtId="0" fontId="29" fillId="0" borderId="54" xfId="0" applyNumberFormat="1" applyFont="1" applyFill="1" applyBorder="1" applyAlignment="1">
      <alignment horizontal="left" vertical="top" wrapText="1"/>
    </xf>
    <xf numFmtId="0" fontId="29" fillId="0" borderId="2" xfId="0" applyNumberFormat="1" applyFont="1" applyFill="1" applyBorder="1" applyAlignment="1">
      <alignment horizontal="left" vertical="top" wrapText="1"/>
    </xf>
    <xf numFmtId="0" fontId="24" fillId="0" borderId="9" xfId="8" applyNumberFormat="1" applyFont="1" applyFill="1" applyBorder="1" applyAlignment="1">
      <alignment horizontal="left" vertical="top" wrapText="1"/>
    </xf>
    <xf numFmtId="0" fontId="24" fillId="0" borderId="0" xfId="8" applyNumberFormat="1" applyFont="1" applyFill="1" applyBorder="1" applyAlignment="1">
      <alignment horizontal="left" vertical="top" wrapText="1"/>
    </xf>
    <xf numFmtId="0" fontId="24" fillId="0" borderId="16" xfId="8" applyNumberFormat="1" applyFont="1" applyFill="1" applyBorder="1" applyAlignment="1">
      <alignment horizontal="left" vertical="top" wrapText="1"/>
    </xf>
    <xf numFmtId="0" fontId="6" fillId="0" borderId="8" xfId="8" applyNumberFormat="1" applyBorder="1" applyAlignment="1">
      <alignment horizontal="left" vertical="top" wrapText="1"/>
    </xf>
    <xf numFmtId="0" fontId="24" fillId="0" borderId="8" xfId="8" applyNumberFormat="1" applyFont="1" applyBorder="1" applyAlignment="1">
      <alignment horizontal="left" vertical="top" wrapText="1"/>
    </xf>
    <xf numFmtId="0" fontId="24" fillId="0" borderId="7" xfId="8" applyNumberFormat="1" applyFont="1" applyFill="1" applyBorder="1" applyAlignment="1">
      <alignment horizontal="left" vertical="top" wrapText="1"/>
    </xf>
    <xf numFmtId="0" fontId="29" fillId="0" borderId="7" xfId="0" applyNumberFormat="1" applyFont="1" applyFill="1" applyBorder="1" applyAlignment="1">
      <alignment horizontal="left" vertical="top" wrapText="1"/>
    </xf>
    <xf numFmtId="0" fontId="29" fillId="0" borderId="54" xfId="2" applyNumberFormat="1" applyFont="1" applyFill="1" applyBorder="1" applyAlignment="1">
      <alignment horizontal="left" vertical="top" wrapText="1"/>
    </xf>
    <xf numFmtId="0" fontId="29" fillId="0" borderId="15" xfId="2" applyNumberFormat="1" applyFont="1" applyFill="1" applyBorder="1" applyAlignment="1">
      <alignment horizontal="left" vertical="top" wrapText="1"/>
    </xf>
    <xf numFmtId="0" fontId="29" fillId="0" borderId="54" xfId="1" applyNumberFormat="1" applyFont="1" applyFill="1" applyBorder="1" applyAlignment="1">
      <alignment horizontal="left" vertical="top" wrapText="1"/>
    </xf>
    <xf numFmtId="0" fontId="24" fillId="0" borderId="15" xfId="8" applyNumberFormat="1" applyFont="1" applyFill="1" applyBorder="1" applyAlignment="1">
      <alignment horizontal="left" vertical="top" wrapText="1"/>
    </xf>
    <xf numFmtId="0" fontId="6" fillId="0" borderId="2" xfId="8" applyNumberFormat="1" applyBorder="1" applyAlignment="1">
      <alignment horizontal="left" vertical="top" wrapText="1"/>
    </xf>
    <xf numFmtId="0" fontId="24" fillId="0" borderId="37" xfId="8" applyNumberFormat="1" applyFont="1" applyFill="1" applyBorder="1" applyAlignment="1">
      <alignment horizontal="left" vertical="top" wrapText="1"/>
    </xf>
    <xf numFmtId="0" fontId="24" fillId="0" borderId="54" xfId="8" applyNumberFormat="1" applyFont="1" applyFill="1" applyBorder="1" applyAlignment="1">
      <alignment horizontal="left" vertical="top"/>
    </xf>
    <xf numFmtId="0" fontId="52" fillId="0" borderId="29" xfId="0" applyFont="1" applyBorder="1" applyAlignment="1">
      <alignment horizontal="center" vertical="center"/>
    </xf>
    <xf numFmtId="0" fontId="52" fillId="0" borderId="73" xfId="0" applyFont="1" applyBorder="1" applyAlignment="1">
      <alignment horizontal="center" vertical="center"/>
    </xf>
    <xf numFmtId="0" fontId="52" fillId="0" borderId="0" xfId="0" applyFont="1" applyBorder="1" applyAlignment="1">
      <alignment horizontal="center" vertical="center"/>
    </xf>
    <xf numFmtId="0" fontId="52" fillId="0" borderId="53" xfId="0" applyFont="1" applyBorder="1" applyAlignment="1">
      <alignment horizontal="center" vertical="center"/>
    </xf>
    <xf numFmtId="0" fontId="52" fillId="0" borderId="28" xfId="0" applyFont="1" applyBorder="1" applyAlignment="1">
      <alignment horizontal="center" vertical="center"/>
    </xf>
    <xf numFmtId="0" fontId="52" fillId="0" borderId="70" xfId="0" applyFont="1" applyBorder="1" applyAlignment="1">
      <alignment horizontal="center" vertical="center"/>
    </xf>
    <xf numFmtId="0" fontId="24" fillId="0" borderId="9" xfId="8" applyNumberFormat="1" applyFont="1" applyFill="1" applyBorder="1" applyAlignment="1">
      <alignment horizontal="left" vertical="top"/>
    </xf>
    <xf numFmtId="0" fontId="24" fillId="0" borderId="0" xfId="8" applyNumberFormat="1" applyFont="1" applyFill="1" applyBorder="1" applyAlignment="1">
      <alignment horizontal="left" vertical="top"/>
    </xf>
    <xf numFmtId="0" fontId="24" fillId="0" borderId="16" xfId="8" applyNumberFormat="1" applyFont="1" applyFill="1" applyBorder="1" applyAlignment="1">
      <alignment horizontal="left" vertical="top"/>
    </xf>
    <xf numFmtId="0" fontId="24" fillId="0" borderId="7" xfId="8" applyNumberFormat="1" applyFont="1" applyBorder="1" applyAlignment="1">
      <alignment horizontal="left" vertical="top"/>
    </xf>
    <xf numFmtId="0" fontId="10" fillId="0" borderId="54" xfId="0" applyNumberFormat="1" applyFont="1" applyBorder="1" applyAlignment="1">
      <alignment horizontal="left" vertical="top"/>
    </xf>
    <xf numFmtId="0" fontId="10" fillId="0" borderId="8" xfId="0" applyNumberFormat="1" applyFont="1" applyBorder="1" applyAlignment="1">
      <alignment horizontal="left" vertical="top"/>
    </xf>
    <xf numFmtId="0" fontId="10" fillId="0" borderId="7" xfId="0" applyNumberFormat="1" applyFont="1" applyBorder="1" applyAlignment="1">
      <alignment horizontal="left" vertical="top"/>
    </xf>
    <xf numFmtId="0" fontId="24" fillId="0" borderId="8" xfId="8" applyNumberFormat="1" applyFont="1" applyFill="1" applyBorder="1" applyAlignment="1">
      <alignment horizontal="left" vertical="top" wrapText="1"/>
    </xf>
    <xf numFmtId="0" fontId="32" fillId="0" borderId="54" xfId="1" applyNumberFormat="1" applyFont="1" applyBorder="1" applyAlignment="1">
      <alignment horizontal="left" vertical="top" wrapText="1"/>
    </xf>
    <xf numFmtId="0" fontId="24" fillId="0" borderId="14" xfId="8" applyNumberFormat="1" applyFont="1" applyFill="1" applyBorder="1" applyAlignment="1">
      <alignment horizontal="left" vertical="top" wrapText="1"/>
    </xf>
    <xf numFmtId="0" fontId="24" fillId="0" borderId="54" xfId="8" applyNumberFormat="1" applyFont="1" applyBorder="1" applyAlignment="1">
      <alignment vertical="top"/>
    </xf>
    <xf numFmtId="0" fontId="29" fillId="0" borderId="7" xfId="1" applyNumberFormat="1" applyFont="1" applyFill="1" applyBorder="1" applyAlignment="1">
      <alignment horizontal="left" vertical="top" wrapText="1"/>
    </xf>
    <xf numFmtId="0" fontId="24" fillId="0" borderId="54" xfId="8" applyNumberFormat="1" applyFont="1" applyFill="1" applyBorder="1" applyAlignment="1">
      <alignment horizontal="center" vertical="top" wrapText="1"/>
    </xf>
    <xf numFmtId="0" fontId="41" fillId="0" borderId="8" xfId="0" applyNumberFormat="1" applyFont="1" applyBorder="1" applyAlignment="1">
      <alignment horizontal="center" vertical="center"/>
    </xf>
    <xf numFmtId="0" fontId="41" fillId="0" borderId="2" xfId="0" applyNumberFormat="1" applyFont="1" applyBorder="1" applyAlignment="1">
      <alignment horizontal="center" vertical="center"/>
    </xf>
    <xf numFmtId="0" fontId="51" fillId="0" borderId="0" xfId="8" applyNumberFormat="1" applyFont="1" applyFill="1" applyBorder="1" applyAlignment="1">
      <alignment horizontal="left" vertical="top" wrapText="1"/>
    </xf>
    <xf numFmtId="0" fontId="51" fillId="0" borderId="50" xfId="8" applyNumberFormat="1" applyFont="1" applyFill="1" applyBorder="1" applyAlignment="1">
      <alignment horizontal="left" vertical="top" wrapText="1"/>
    </xf>
    <xf numFmtId="0" fontId="28" fillId="0" borderId="13" xfId="8" applyNumberFormat="1" applyFont="1" applyFill="1" applyBorder="1" applyAlignment="1">
      <alignment horizontal="left" vertical="top" wrapText="1"/>
    </xf>
    <xf numFmtId="0" fontId="28" fillId="0" borderId="0" xfId="8" applyNumberFormat="1" applyFont="1" applyFill="1" applyBorder="1" applyAlignment="1">
      <alignment horizontal="left" vertical="top" wrapText="1"/>
    </xf>
    <xf numFmtId="0" fontId="28" fillId="0" borderId="21" xfId="8" applyNumberFormat="1" applyFont="1" applyFill="1" applyBorder="1" applyAlignment="1">
      <alignment horizontal="left" vertical="top" wrapText="1"/>
    </xf>
    <xf numFmtId="0" fontId="28" fillId="0" borderId="16" xfId="8" applyNumberFormat="1" applyFont="1" applyFill="1" applyBorder="1" applyAlignment="1">
      <alignment horizontal="left" vertical="top" wrapText="1"/>
    </xf>
    <xf numFmtId="0" fontId="24" fillId="0" borderId="54" xfId="8" applyNumberFormat="1" applyFont="1" applyBorder="1" applyAlignment="1">
      <alignment horizontal="left" vertical="top"/>
    </xf>
    <xf numFmtId="0" fontId="29" fillId="0" borderId="13" xfId="1" applyNumberFormat="1" applyFont="1" applyFill="1" applyBorder="1" applyAlignment="1">
      <alignment horizontal="left" vertical="top" wrapText="1"/>
    </xf>
    <xf numFmtId="0" fontId="29" fillId="0" borderId="21" xfId="1" applyNumberFormat="1" applyFont="1" applyFill="1" applyBorder="1" applyAlignment="1">
      <alignment horizontal="left" vertical="top" wrapText="1"/>
    </xf>
    <xf numFmtId="0" fontId="51" fillId="0" borderId="1" xfId="8" applyNumberFormat="1" applyFont="1" applyBorder="1" applyAlignment="1">
      <alignment horizontal="left" vertical="top" wrapText="1"/>
    </xf>
    <xf numFmtId="0" fontId="51" fillId="0" borderId="77" xfId="8" applyNumberFormat="1" applyFont="1" applyBorder="1" applyAlignment="1">
      <alignment horizontal="left" vertical="top" wrapText="1"/>
    </xf>
    <xf numFmtId="0" fontId="29" fillId="0" borderId="8" xfId="2" applyNumberFormat="1" applyFont="1" applyFill="1" applyBorder="1" applyAlignment="1">
      <alignment horizontal="left" vertical="top" wrapText="1"/>
    </xf>
    <xf numFmtId="0" fontId="29" fillId="0" borderId="9" xfId="0" applyNumberFormat="1" applyFont="1" applyFill="1" applyBorder="1" applyAlignment="1">
      <alignment horizontal="left" vertical="top" wrapText="1"/>
    </xf>
    <xf numFmtId="0" fontId="29" fillId="0" borderId="15" xfId="0" applyNumberFormat="1" applyFont="1" applyFill="1" applyBorder="1" applyAlignment="1">
      <alignment horizontal="left" vertical="top" wrapText="1"/>
    </xf>
    <xf numFmtId="0" fontId="29" fillId="0" borderId="0" xfId="0" applyNumberFormat="1" applyFont="1" applyFill="1" applyBorder="1" applyAlignment="1">
      <alignment horizontal="left" vertical="top" wrapText="1"/>
    </xf>
    <xf numFmtId="0" fontId="29" fillId="0" borderId="1" xfId="0" applyNumberFormat="1" applyFont="1" applyFill="1" applyBorder="1" applyAlignment="1">
      <alignment horizontal="left" vertical="top" wrapText="1"/>
    </xf>
    <xf numFmtId="0" fontId="29" fillId="0" borderId="8" xfId="0" applyNumberFormat="1" applyFont="1" applyFill="1" applyBorder="1" applyAlignment="1">
      <alignment horizontal="left" vertical="top" wrapText="1"/>
    </xf>
    <xf numFmtId="0" fontId="29" fillId="0" borderId="13" xfId="2" applyNumberFormat="1" applyFont="1" applyFill="1" applyBorder="1" applyAlignment="1">
      <alignment horizontal="left" vertical="top" wrapText="1"/>
    </xf>
    <xf numFmtId="0" fontId="29" fillId="0" borderId="27" xfId="2" applyNumberFormat="1" applyFont="1" applyFill="1" applyBorder="1" applyAlignment="1">
      <alignment horizontal="left" vertical="top" wrapText="1"/>
    </xf>
    <xf numFmtId="0" fontId="24" fillId="0" borderId="21" xfId="8" applyNumberFormat="1" applyFont="1" applyBorder="1" applyAlignment="1">
      <alignment horizontal="left" vertical="top" wrapText="1"/>
    </xf>
    <xf numFmtId="0" fontId="29" fillId="0" borderId="8" xfId="1" applyNumberFormat="1" applyFont="1" applyBorder="1" applyAlignment="1">
      <alignment horizontal="left" vertical="top" wrapText="1"/>
    </xf>
    <xf numFmtId="0" fontId="24" fillId="0" borderId="7" xfId="8" applyFont="1" applyBorder="1" applyAlignment="1">
      <alignment horizontal="left" vertical="top" wrapText="1"/>
    </xf>
    <xf numFmtId="0" fontId="24" fillId="0" borderId="54" xfId="8" applyFont="1" applyBorder="1" applyAlignment="1">
      <alignment horizontal="left" vertical="top" wrapText="1"/>
    </xf>
    <xf numFmtId="0" fontId="29" fillId="0" borderId="39" xfId="1" applyNumberFormat="1" applyFont="1" applyFill="1" applyBorder="1" applyAlignment="1">
      <alignment horizontal="left" vertical="top" wrapText="1"/>
    </xf>
    <xf numFmtId="0" fontId="29" fillId="0" borderId="22" xfId="1" applyNumberFormat="1" applyFont="1" applyFill="1" applyBorder="1" applyAlignment="1">
      <alignment horizontal="left" vertical="top" wrapText="1"/>
    </xf>
    <xf numFmtId="0" fontId="24" fillId="0" borderId="54" xfId="8" applyFont="1" applyFill="1" applyBorder="1" applyAlignment="1">
      <alignment horizontal="left" vertical="top" wrapText="1"/>
    </xf>
    <xf numFmtId="0" fontId="32" fillId="0" borderId="39" xfId="0" applyNumberFormat="1" applyFont="1" applyFill="1" applyBorder="1" applyAlignment="1">
      <alignment horizontal="left" vertical="top" wrapText="1"/>
    </xf>
    <xf numFmtId="0" fontId="32" fillId="0" borderId="22" xfId="0" applyNumberFormat="1" applyFont="1" applyFill="1" applyBorder="1" applyAlignment="1">
      <alignment horizontal="left" vertical="top" wrapText="1"/>
    </xf>
    <xf numFmtId="0" fontId="51" fillId="0" borderId="69" xfId="8" applyNumberFormat="1" applyFont="1" applyBorder="1" applyAlignment="1">
      <alignment horizontal="left" vertical="top" wrapText="1"/>
    </xf>
    <xf numFmtId="0" fontId="51" fillId="0" borderId="74" xfId="8" applyNumberFormat="1" applyFont="1" applyBorder="1" applyAlignment="1">
      <alignment horizontal="left" vertical="top" wrapText="1"/>
    </xf>
    <xf numFmtId="0" fontId="49" fillId="0" borderId="50" xfId="1" applyNumberFormat="1" applyFont="1" applyFill="1" applyBorder="1" applyAlignment="1">
      <alignment horizontal="left" vertical="top" wrapText="1"/>
    </xf>
    <xf numFmtId="0" fontId="51" fillId="0" borderId="39" xfId="8" applyNumberFormat="1" applyFont="1" applyFill="1" applyBorder="1" applyAlignment="1">
      <alignment horizontal="left" vertical="top" wrapText="1"/>
    </xf>
    <xf numFmtId="0" fontId="49" fillId="0" borderId="75" xfId="0" applyNumberFormat="1" applyFont="1" applyFill="1" applyBorder="1" applyAlignment="1">
      <alignment horizontal="left" vertical="top" wrapText="1"/>
    </xf>
    <xf numFmtId="0" fontId="48" fillId="0" borderId="77" xfId="0" applyNumberFormat="1" applyFont="1" applyFill="1" applyBorder="1" applyAlignment="1">
      <alignment horizontal="left" vertical="top" wrapText="1"/>
    </xf>
    <xf numFmtId="0" fontId="51" fillId="0" borderId="13" xfId="8" applyNumberFormat="1" applyFont="1" applyFill="1" applyBorder="1" applyAlignment="1">
      <alignment horizontal="left" vertical="top" wrapText="1"/>
    </xf>
    <xf numFmtId="0" fontId="48" fillId="0" borderId="76" xfId="0" applyNumberFormat="1" applyFont="1" applyFill="1" applyBorder="1" applyAlignment="1">
      <alignment horizontal="left" vertical="top" wrapText="1"/>
    </xf>
    <xf numFmtId="0" fontId="51" fillId="10" borderId="39" xfId="8" applyNumberFormat="1" applyFont="1" applyFill="1" applyBorder="1" applyAlignment="1">
      <alignment horizontal="left" vertical="top" wrapText="1"/>
    </xf>
    <xf numFmtId="0" fontId="48" fillId="10" borderId="75" xfId="0" applyNumberFormat="1" applyFont="1" applyFill="1" applyBorder="1" applyAlignment="1">
      <alignment horizontal="left" vertical="top" wrapText="1"/>
    </xf>
    <xf numFmtId="0" fontId="51" fillId="0" borderId="13" xfId="8" applyNumberFormat="1" applyFont="1" applyBorder="1" applyAlignment="1">
      <alignment horizontal="left" vertical="top" wrapText="1"/>
    </xf>
    <xf numFmtId="0" fontId="49" fillId="0" borderId="76" xfId="0" applyNumberFormat="1" applyFont="1" applyBorder="1" applyAlignment="1">
      <alignment horizontal="left" vertical="top" wrapText="1"/>
    </xf>
    <xf numFmtId="0" fontId="49" fillId="0" borderId="77" xfId="0" applyNumberFormat="1" applyFont="1" applyBorder="1" applyAlignment="1">
      <alignment horizontal="left" vertical="top" wrapText="1"/>
    </xf>
    <xf numFmtId="0" fontId="51" fillId="0" borderId="39" xfId="8" applyNumberFormat="1" applyFont="1" applyBorder="1" applyAlignment="1">
      <alignment horizontal="left" vertical="top" wrapText="1"/>
    </xf>
    <xf numFmtId="0" fontId="49" fillId="0" borderId="75" xfId="0" applyNumberFormat="1" applyFont="1" applyBorder="1" applyAlignment="1">
      <alignment horizontal="left" vertical="top" wrapText="1"/>
    </xf>
    <xf numFmtId="0" fontId="49" fillId="0" borderId="0" xfId="0" applyNumberFormat="1" applyFont="1" applyFill="1" applyBorder="1" applyAlignment="1">
      <alignment horizontal="center" vertical="center" wrapText="1"/>
    </xf>
    <xf numFmtId="0" fontId="49" fillId="0" borderId="50" xfId="0" applyNumberFormat="1" applyFont="1" applyFill="1" applyBorder="1" applyAlignment="1">
      <alignment horizontal="center" vertical="center" wrapText="1"/>
    </xf>
    <xf numFmtId="0" fontId="49" fillId="0" borderId="13" xfId="0" applyNumberFormat="1" applyFont="1" applyFill="1" applyBorder="1" applyAlignment="1">
      <alignment horizontal="center" vertical="center" wrapText="1"/>
    </xf>
    <xf numFmtId="0" fontId="49" fillId="0" borderId="76" xfId="0" applyNumberFormat="1" applyFont="1" applyFill="1" applyBorder="1" applyAlignment="1">
      <alignment horizontal="center" vertical="center" wrapText="1"/>
    </xf>
    <xf numFmtId="0" fontId="16" fillId="0" borderId="46" xfId="0" applyFont="1" applyBorder="1" applyAlignment="1">
      <alignment horizontal="center" vertical="center"/>
    </xf>
    <xf numFmtId="0" fontId="16" fillId="0" borderId="47" xfId="0" applyFont="1" applyBorder="1" applyAlignment="1">
      <alignment horizontal="center" vertical="center"/>
    </xf>
    <xf numFmtId="0" fontId="16" fillId="0" borderId="68" xfId="0" applyFont="1" applyBorder="1" applyAlignment="1">
      <alignment horizontal="center" vertical="center"/>
    </xf>
    <xf numFmtId="0" fontId="16" fillId="0" borderId="49" xfId="0" applyFont="1" applyBorder="1" applyAlignment="1">
      <alignment horizontal="center" vertical="center"/>
    </xf>
    <xf numFmtId="0" fontId="16" fillId="0" borderId="50" xfId="0" applyFont="1" applyBorder="1" applyAlignment="1">
      <alignment horizontal="center" vertical="center"/>
    </xf>
    <xf numFmtId="0" fontId="16" fillId="0" borderId="58" xfId="0" applyFont="1" applyBorder="1" applyAlignment="1">
      <alignment horizontal="center" vertical="center"/>
    </xf>
    <xf numFmtId="0" fontId="29" fillId="0" borderId="54" xfId="3" applyNumberFormat="1" applyFont="1" applyFill="1" applyBorder="1" applyAlignment="1">
      <alignment horizontal="left" vertical="top" wrapText="1"/>
    </xf>
    <xf numFmtId="0" fontId="5" fillId="0" borderId="46" xfId="0" applyFont="1" applyBorder="1" applyAlignment="1">
      <alignment horizontal="left" vertical="top" wrapText="1"/>
    </xf>
    <xf numFmtId="0" fontId="30" fillId="0" borderId="47" xfId="0" applyFont="1" applyBorder="1" applyAlignment="1">
      <alignment horizontal="left" vertical="top" wrapText="1"/>
    </xf>
    <xf numFmtId="0" fontId="30" fillId="0" borderId="68" xfId="0" applyFont="1" applyBorder="1" applyAlignment="1">
      <alignment horizontal="left" vertical="top" wrapText="1"/>
    </xf>
    <xf numFmtId="0" fontId="30" fillId="0" borderId="52" xfId="0" applyFont="1" applyBorder="1" applyAlignment="1">
      <alignment horizontal="left" vertical="top" wrapText="1"/>
    </xf>
    <xf numFmtId="0" fontId="30" fillId="0" borderId="0" xfId="0" applyFont="1" applyBorder="1" applyAlignment="1">
      <alignment horizontal="left" vertical="top" wrapText="1"/>
    </xf>
    <xf numFmtId="0" fontId="30" fillId="0" borderId="24" xfId="0" applyFont="1" applyBorder="1" applyAlignment="1">
      <alignment horizontal="left" vertical="top" wrapText="1"/>
    </xf>
    <xf numFmtId="0" fontId="30" fillId="0" borderId="49" xfId="0" applyFont="1" applyBorder="1" applyAlignment="1">
      <alignment horizontal="left" vertical="top" wrapText="1"/>
    </xf>
    <xf numFmtId="0" fontId="30" fillId="0" borderId="50" xfId="0" applyFont="1" applyBorder="1" applyAlignment="1">
      <alignment horizontal="left" vertical="top" wrapText="1"/>
    </xf>
    <xf numFmtId="0" fontId="30" fillId="0" borderId="58" xfId="0" applyFont="1" applyBorder="1" applyAlignment="1">
      <alignment horizontal="left" vertical="top" wrapText="1"/>
    </xf>
    <xf numFmtId="0" fontId="45" fillId="0" borderId="50" xfId="0" applyFont="1" applyBorder="1" applyAlignment="1">
      <alignment horizontal="right" vertical="center"/>
    </xf>
    <xf numFmtId="0" fontId="45" fillId="0" borderId="58" xfId="0" applyFont="1" applyBorder="1" applyAlignment="1">
      <alignment horizontal="right" vertical="center"/>
    </xf>
    <xf numFmtId="0" fontId="44" fillId="3" borderId="0" xfId="0" applyNumberFormat="1" applyFont="1" applyFill="1" applyBorder="1" applyAlignment="1">
      <alignment horizontal="center" vertical="center"/>
    </xf>
    <xf numFmtId="0" fontId="44" fillId="3" borderId="24" xfId="0" applyNumberFormat="1" applyFont="1" applyFill="1" applyBorder="1" applyAlignment="1">
      <alignment horizontal="center" vertical="center"/>
    </xf>
    <xf numFmtId="0" fontId="44" fillId="3" borderId="16" xfId="0" applyNumberFormat="1" applyFont="1" applyFill="1" applyBorder="1" applyAlignment="1">
      <alignment horizontal="center" vertical="center"/>
    </xf>
    <xf numFmtId="0" fontId="44" fillId="3" borderId="19" xfId="0" applyNumberFormat="1" applyFont="1" applyFill="1" applyBorder="1" applyAlignment="1">
      <alignment horizontal="center" vertical="center"/>
    </xf>
    <xf numFmtId="0" fontId="41" fillId="0" borderId="7" xfId="0" applyNumberFormat="1" applyFont="1" applyBorder="1" applyAlignment="1">
      <alignment horizontal="center" vertical="center"/>
    </xf>
    <xf numFmtId="0" fontId="41" fillId="0" borderId="8" xfId="0" applyNumberFormat="1" applyFont="1" applyFill="1" applyBorder="1" applyAlignment="1">
      <alignment horizontal="center" vertical="center"/>
    </xf>
    <xf numFmtId="0" fontId="41" fillId="0" borderId="2" xfId="0" applyNumberFormat="1" applyFont="1" applyFill="1" applyBorder="1" applyAlignment="1">
      <alignment horizontal="center" vertical="center"/>
    </xf>
    <xf numFmtId="0" fontId="44" fillId="2" borderId="47" xfId="0" applyNumberFormat="1" applyFont="1" applyFill="1" applyBorder="1" applyAlignment="1">
      <alignment horizontal="left" vertical="center"/>
    </xf>
    <xf numFmtId="0" fontId="44" fillId="2" borderId="68" xfId="0" applyNumberFormat="1" applyFont="1" applyFill="1" applyBorder="1" applyAlignment="1">
      <alignment horizontal="left" vertical="center"/>
    </xf>
    <xf numFmtId="0" fontId="44" fillId="2" borderId="50" xfId="0" applyNumberFormat="1" applyFont="1" applyFill="1" applyBorder="1" applyAlignment="1">
      <alignment horizontal="left" vertical="center"/>
    </xf>
    <xf numFmtId="0" fontId="44" fillId="2" borderId="58" xfId="0" applyNumberFormat="1" applyFont="1" applyFill="1" applyBorder="1" applyAlignment="1">
      <alignment horizontal="left" vertical="center"/>
    </xf>
    <xf numFmtId="0" fontId="10" fillId="0" borderId="54" xfId="0" applyFont="1" applyBorder="1" applyAlignment="1">
      <alignment horizontal="left" vertical="top" wrapText="1"/>
    </xf>
    <xf numFmtId="0" fontId="47" fillId="0" borderId="52" xfId="0" applyFont="1" applyBorder="1" applyAlignment="1">
      <alignment horizontal="right" vertical="center"/>
    </xf>
    <xf numFmtId="0" fontId="47" fillId="0" borderId="0" xfId="0" applyFont="1" applyBorder="1" applyAlignment="1">
      <alignment horizontal="right" vertical="center"/>
    </xf>
    <xf numFmtId="0" fontId="47" fillId="0" borderId="24" xfId="0" applyFont="1" applyBorder="1" applyAlignment="1">
      <alignment horizontal="right" vertical="center"/>
    </xf>
    <xf numFmtId="0" fontId="30" fillId="0" borderId="49" xfId="0" applyFont="1" applyBorder="1" applyAlignment="1">
      <alignment horizontal="right" vertical="center"/>
    </xf>
    <xf numFmtId="0" fontId="30" fillId="0" borderId="50" xfId="0" applyFont="1" applyBorder="1" applyAlignment="1">
      <alignment horizontal="right" vertical="center"/>
    </xf>
    <xf numFmtId="0" fontId="30" fillId="0" borderId="58" xfId="0" applyFont="1" applyBorder="1" applyAlignment="1">
      <alignment horizontal="right" vertical="center"/>
    </xf>
    <xf numFmtId="0" fontId="49" fillId="0" borderId="75" xfId="1" applyNumberFormat="1" applyFont="1" applyFill="1" applyBorder="1" applyAlignment="1">
      <alignment horizontal="left" vertical="top" wrapText="1"/>
    </xf>
    <xf numFmtId="0" fontId="49" fillId="0" borderId="75" xfId="1" applyNumberFormat="1" applyFont="1" applyBorder="1" applyAlignment="1">
      <alignment horizontal="left" vertical="top" wrapText="1"/>
    </xf>
    <xf numFmtId="0" fontId="10" fillId="0" borderId="7" xfId="0" applyFont="1" applyBorder="1" applyAlignment="1">
      <alignment horizontal="left" vertical="top" wrapText="1"/>
    </xf>
    <xf numFmtId="0" fontId="51" fillId="0" borderId="0" xfId="8" applyNumberFormat="1" applyFont="1" applyBorder="1" applyAlignment="1">
      <alignment horizontal="left" vertical="top" wrapText="1"/>
    </xf>
    <xf numFmtId="0" fontId="49" fillId="0" borderId="50" xfId="0" applyNumberFormat="1" applyFont="1" applyBorder="1" applyAlignment="1">
      <alignment horizontal="left" vertical="top" wrapText="1"/>
    </xf>
    <xf numFmtId="0" fontId="49" fillId="0" borderId="50" xfId="1" applyNumberFormat="1" applyFont="1" applyBorder="1" applyAlignment="1">
      <alignment horizontal="left" vertical="top" wrapText="1"/>
    </xf>
    <xf numFmtId="0" fontId="49" fillId="0" borderId="77" xfId="1" applyNumberFormat="1" applyFont="1" applyBorder="1" applyAlignment="1">
      <alignment horizontal="left" vertical="top" wrapText="1"/>
    </xf>
    <xf numFmtId="0" fontId="44" fillId="4" borderId="47" xfId="0" applyNumberFormat="1" applyFont="1" applyFill="1" applyBorder="1" applyAlignment="1">
      <alignment horizontal="left" vertical="center"/>
    </xf>
    <xf numFmtId="0" fontId="44" fillId="4" borderId="68" xfId="0" applyNumberFormat="1" applyFont="1" applyFill="1" applyBorder="1" applyAlignment="1">
      <alignment horizontal="left" vertical="center"/>
    </xf>
    <xf numFmtId="0" fontId="44" fillId="4" borderId="50" xfId="0" applyNumberFormat="1" applyFont="1" applyFill="1" applyBorder="1" applyAlignment="1">
      <alignment horizontal="left" vertical="center"/>
    </xf>
    <xf numFmtId="0" fontId="44" fillId="4" borderId="58" xfId="0" applyNumberFormat="1" applyFont="1" applyFill="1" applyBorder="1" applyAlignment="1">
      <alignment horizontal="left" vertical="center"/>
    </xf>
    <xf numFmtId="0" fontId="44" fillId="4" borderId="0" xfId="0" applyNumberFormat="1" applyFont="1" applyFill="1" applyAlignment="1">
      <alignment horizontal="center" vertical="center"/>
    </xf>
    <xf numFmtId="0" fontId="44" fillId="4" borderId="24" xfId="0" applyNumberFormat="1" applyFont="1" applyFill="1" applyBorder="1" applyAlignment="1">
      <alignment horizontal="center" vertical="center"/>
    </xf>
    <xf numFmtId="0" fontId="44" fillId="4" borderId="16" xfId="0" applyNumberFormat="1" applyFont="1" applyFill="1" applyBorder="1" applyAlignment="1">
      <alignment horizontal="center" vertical="center"/>
    </xf>
    <xf numFmtId="0" fontId="44" fillId="4" borderId="19" xfId="0" applyNumberFormat="1" applyFont="1" applyFill="1" applyBorder="1" applyAlignment="1">
      <alignment horizontal="center" vertical="center"/>
    </xf>
    <xf numFmtId="0" fontId="18" fillId="4" borderId="67" xfId="0" applyNumberFormat="1" applyFont="1" applyFill="1" applyBorder="1" applyAlignment="1">
      <alignment horizontal="center" vertical="center" wrapText="1"/>
    </xf>
    <xf numFmtId="0" fontId="18" fillId="4" borderId="57" xfId="0" applyNumberFormat="1" applyFont="1" applyFill="1" applyBorder="1" applyAlignment="1">
      <alignment horizontal="center" vertical="center" wrapText="1"/>
    </xf>
    <xf numFmtId="0" fontId="46" fillId="0" borderId="8" xfId="0" applyNumberFormat="1" applyFont="1" applyBorder="1" applyAlignment="1">
      <alignment horizontal="center" vertical="center"/>
    </xf>
    <xf numFmtId="0" fontId="46" fillId="0" borderId="2" xfId="0" applyNumberFormat="1" applyFont="1" applyBorder="1" applyAlignment="1">
      <alignment horizontal="center" vertical="center"/>
    </xf>
    <xf numFmtId="0" fontId="50" fillId="0" borderId="50" xfId="0" applyNumberFormat="1" applyFont="1" applyFill="1" applyBorder="1" applyAlignment="1">
      <alignment horizontal="left" vertical="top" wrapText="1"/>
    </xf>
    <xf numFmtId="0" fontId="50" fillId="0" borderId="76" xfId="0" applyNumberFormat="1" applyFont="1" applyFill="1" applyBorder="1" applyAlignment="1">
      <alignment horizontal="left" vertical="top" wrapText="1"/>
    </xf>
    <xf numFmtId="0" fontId="22" fillId="0" borderId="50" xfId="0" applyNumberFormat="1" applyFont="1" applyFill="1" applyBorder="1" applyAlignment="1">
      <alignment horizontal="center" vertical="center" wrapText="1"/>
    </xf>
    <xf numFmtId="0" fontId="5" fillId="0" borderId="0" xfId="0" applyNumberFormat="1" applyFont="1" applyFill="1" applyBorder="1" applyAlignment="1">
      <alignment horizontal="left" vertical="top" wrapText="1"/>
    </xf>
    <xf numFmtId="0" fontId="51" fillId="10" borderId="13" xfId="8" applyNumberFormat="1" applyFont="1" applyFill="1" applyBorder="1" applyAlignment="1">
      <alignment horizontal="left" vertical="top" wrapText="1"/>
    </xf>
    <xf numFmtId="0" fontId="50" fillId="10" borderId="76" xfId="0" applyNumberFormat="1" applyFont="1" applyFill="1" applyBorder="1" applyAlignment="1">
      <alignment horizontal="left" vertical="top" wrapText="1"/>
    </xf>
    <xf numFmtId="0" fontId="51" fillId="10" borderId="1" xfId="8" applyNumberFormat="1" applyFont="1" applyFill="1" applyBorder="1" applyAlignment="1">
      <alignment horizontal="left" vertical="top" wrapText="1"/>
    </xf>
    <xf numFmtId="0" fontId="50" fillId="10" borderId="77" xfId="0" applyNumberFormat="1" applyFont="1" applyFill="1" applyBorder="1" applyAlignment="1">
      <alignment horizontal="left" vertical="top" wrapText="1"/>
    </xf>
    <xf numFmtId="0" fontId="6" fillId="0" borderId="37" xfId="8" applyNumberFormat="1" applyBorder="1" applyAlignment="1">
      <alignment horizontal="left" vertical="top" wrapText="1"/>
    </xf>
    <xf numFmtId="0" fontId="6" fillId="0" borderId="39" xfId="8" applyNumberFormat="1" applyBorder="1" applyAlignment="1">
      <alignment horizontal="left" vertical="top" wrapText="1"/>
    </xf>
    <xf numFmtId="0" fontId="6" fillId="0" borderId="22" xfId="8" applyNumberFormat="1" applyBorder="1" applyAlignment="1">
      <alignment horizontal="left" vertical="top" wrapText="1"/>
    </xf>
    <xf numFmtId="0" fontId="24" fillId="0" borderId="7" xfId="8" applyNumberFormat="1" applyFont="1" applyFill="1" applyBorder="1" applyAlignment="1">
      <alignment horizontal="left" vertical="top"/>
    </xf>
    <xf numFmtId="0" fontId="10" fillId="0" borderId="54" xfId="0" applyNumberFormat="1" applyFont="1" applyFill="1" applyBorder="1" applyAlignment="1">
      <alignment horizontal="left" vertical="top"/>
    </xf>
    <xf numFmtId="0" fontId="10" fillId="0" borderId="7" xfId="0" applyNumberFormat="1" applyFont="1" applyFill="1" applyBorder="1" applyAlignment="1">
      <alignment horizontal="left" vertical="top"/>
    </xf>
    <xf numFmtId="0" fontId="10" fillId="0" borderId="8" xfId="0" applyNumberFormat="1" applyFont="1" applyFill="1" applyBorder="1" applyAlignment="1">
      <alignment horizontal="left" vertical="top"/>
    </xf>
    <xf numFmtId="0" fontId="49" fillId="0" borderId="77" xfId="1" applyNumberFormat="1" applyFont="1" applyFill="1" applyBorder="1" applyAlignment="1">
      <alignment horizontal="left" vertical="top" wrapText="1"/>
    </xf>
    <xf numFmtId="0" fontId="51" fillId="10" borderId="77" xfId="8" applyNumberFormat="1" applyFont="1" applyFill="1" applyBorder="1" applyAlignment="1">
      <alignment horizontal="left" vertical="top" wrapText="1"/>
    </xf>
    <xf numFmtId="0" fontId="51" fillId="10" borderId="0" xfId="8" applyNumberFormat="1" applyFont="1" applyFill="1" applyBorder="1" applyAlignment="1">
      <alignment horizontal="left" vertical="top" wrapText="1"/>
    </xf>
    <xf numFmtId="0" fontId="48" fillId="10" borderId="50" xfId="0" applyNumberFormat="1" applyFont="1" applyFill="1" applyBorder="1" applyAlignment="1">
      <alignment horizontal="left" vertical="top" wrapText="1"/>
    </xf>
    <xf numFmtId="0" fontId="32" fillId="0" borderId="54" xfId="0" applyNumberFormat="1" applyFont="1" applyFill="1" applyBorder="1" applyAlignment="1">
      <alignment horizontal="left" vertical="top" wrapText="1"/>
    </xf>
    <xf numFmtId="0" fontId="24" fillId="0" borderId="22" xfId="8" applyFont="1" applyBorder="1" applyAlignment="1">
      <alignment horizontal="left" vertical="top" wrapText="1"/>
    </xf>
    <xf numFmtId="0" fontId="49" fillId="0" borderId="39" xfId="1" applyNumberFormat="1" applyFont="1" applyBorder="1" applyAlignment="1">
      <alignment horizontal="left" vertical="top" wrapText="1"/>
    </xf>
    <xf numFmtId="0" fontId="45" fillId="5" borderId="47" xfId="0" applyNumberFormat="1" applyFont="1" applyFill="1" applyBorder="1" applyAlignment="1">
      <alignment horizontal="left" vertical="center"/>
    </xf>
    <xf numFmtId="0" fontId="45" fillId="5" borderId="68" xfId="0" applyNumberFormat="1" applyFont="1" applyFill="1" applyBorder="1" applyAlignment="1">
      <alignment horizontal="left" vertical="center"/>
    </xf>
    <xf numFmtId="0" fontId="45" fillId="5" borderId="50" xfId="0" applyNumberFormat="1" applyFont="1" applyFill="1" applyBorder="1" applyAlignment="1">
      <alignment horizontal="left" vertical="center"/>
    </xf>
    <xf numFmtId="0" fontId="45" fillId="5" borderId="58" xfId="0" applyNumberFormat="1" applyFont="1" applyFill="1" applyBorder="1" applyAlignment="1">
      <alignment horizontal="left" vertical="center"/>
    </xf>
    <xf numFmtId="0" fontId="45" fillId="5" borderId="0" xfId="0" applyNumberFormat="1" applyFont="1" applyFill="1" applyAlignment="1">
      <alignment horizontal="center" vertical="center"/>
    </xf>
    <xf numFmtId="0" fontId="45" fillId="5" borderId="24" xfId="0" applyNumberFormat="1" applyFont="1" applyFill="1" applyBorder="1" applyAlignment="1">
      <alignment horizontal="center" vertical="center"/>
    </xf>
    <xf numFmtId="0" fontId="45" fillId="5" borderId="16" xfId="0" applyNumberFormat="1" applyFont="1" applyFill="1" applyBorder="1" applyAlignment="1">
      <alignment horizontal="center" vertical="center"/>
    </xf>
    <xf numFmtId="0" fontId="45" fillId="5" borderId="19" xfId="0" applyNumberFormat="1" applyFont="1" applyFill="1" applyBorder="1" applyAlignment="1">
      <alignment horizontal="center" vertical="center"/>
    </xf>
    <xf numFmtId="0" fontId="18" fillId="3" borderId="67" xfId="0" applyNumberFormat="1" applyFont="1" applyFill="1" applyBorder="1" applyAlignment="1">
      <alignment horizontal="center" vertical="center" wrapText="1"/>
    </xf>
    <xf numFmtId="0" fontId="18" fillId="3" borderId="57" xfId="0" applyNumberFormat="1" applyFont="1" applyFill="1" applyBorder="1" applyAlignment="1">
      <alignment horizontal="center" vertical="center" wrapText="1"/>
    </xf>
    <xf numFmtId="0" fontId="44" fillId="3" borderId="47" xfId="0" applyNumberFormat="1" applyFont="1" applyFill="1" applyBorder="1" applyAlignment="1">
      <alignment horizontal="left" vertical="center"/>
    </xf>
    <xf numFmtId="0" fontId="44" fillId="3" borderId="68" xfId="0" applyNumberFormat="1" applyFont="1" applyFill="1" applyBorder="1" applyAlignment="1">
      <alignment horizontal="left" vertical="center"/>
    </xf>
    <xf numFmtId="0" fontId="44" fillId="3" borderId="50" xfId="0" applyNumberFormat="1" applyFont="1" applyFill="1" applyBorder="1" applyAlignment="1">
      <alignment horizontal="left" vertical="center"/>
    </xf>
    <xf numFmtId="0" fontId="44" fillId="3" borderId="58" xfId="0" applyNumberFormat="1" applyFont="1" applyFill="1" applyBorder="1" applyAlignment="1">
      <alignment horizontal="left" vertical="center"/>
    </xf>
    <xf numFmtId="0" fontId="48" fillId="0" borderId="13" xfId="0" applyNumberFormat="1" applyFont="1" applyFill="1" applyBorder="1" applyAlignment="1">
      <alignment horizontal="left" vertical="top" wrapText="1"/>
    </xf>
    <xf numFmtId="0" fontId="48" fillId="0" borderId="1" xfId="0" applyNumberFormat="1" applyFont="1" applyFill="1" applyBorder="1" applyAlignment="1">
      <alignment horizontal="left" vertical="top" wrapText="1"/>
    </xf>
    <xf numFmtId="0" fontId="49" fillId="0" borderId="77" xfId="0" applyNumberFormat="1" applyFont="1" applyFill="1" applyBorder="1" applyAlignment="1">
      <alignment horizontal="left" vertical="top" wrapText="1"/>
    </xf>
    <xf numFmtId="0" fontId="50" fillId="0" borderId="77" xfId="0" applyNumberFormat="1" applyFont="1" applyFill="1" applyBorder="1" applyAlignment="1">
      <alignment horizontal="left" vertical="top" wrapText="1"/>
    </xf>
    <xf numFmtId="0" fontId="49" fillId="0" borderId="76" xfId="0" applyNumberFormat="1" applyFont="1" applyFill="1" applyBorder="1" applyAlignment="1">
      <alignment horizontal="left" vertical="top" wrapText="1"/>
    </xf>
    <xf numFmtId="0" fontId="51" fillId="0" borderId="76" xfId="8" applyNumberFormat="1" applyFont="1" applyFill="1" applyBorder="1" applyAlignment="1">
      <alignment horizontal="left" vertical="top" wrapText="1"/>
    </xf>
    <xf numFmtId="0" fontId="51" fillId="10" borderId="76" xfId="8" applyNumberFormat="1" applyFont="1" applyFill="1" applyBorder="1" applyAlignment="1">
      <alignment horizontal="left" vertical="top" wrapText="1"/>
    </xf>
    <xf numFmtId="0" fontId="49" fillId="10" borderId="50" xfId="0" applyNumberFormat="1" applyFont="1" applyFill="1" applyBorder="1" applyAlignment="1">
      <alignment horizontal="left" vertical="top" wrapText="1"/>
    </xf>
    <xf numFmtId="0" fontId="49" fillId="10" borderId="77" xfId="0" applyNumberFormat="1" applyFont="1" applyFill="1" applyBorder="1" applyAlignment="1">
      <alignment horizontal="left" vertical="top" wrapText="1"/>
    </xf>
    <xf numFmtId="0" fontId="49" fillId="0" borderId="0" xfId="0" applyNumberFormat="1" applyFont="1" applyFill="1" applyBorder="1" applyAlignment="1">
      <alignment horizontal="left" vertical="top" wrapText="1"/>
    </xf>
    <xf numFmtId="0" fontId="49" fillId="0" borderId="50" xfId="0" applyNumberFormat="1" applyFont="1" applyFill="1" applyBorder="1" applyAlignment="1">
      <alignment horizontal="left" vertical="top" wrapText="1"/>
    </xf>
    <xf numFmtId="0" fontId="49" fillId="0" borderId="13" xfId="0" applyNumberFormat="1" applyFont="1" applyFill="1" applyBorder="1" applyAlignment="1">
      <alignment horizontal="left" vertical="top" wrapText="1"/>
    </xf>
    <xf numFmtId="0" fontId="27" fillId="0" borderId="14" xfId="0" applyNumberFormat="1" applyFont="1" applyFill="1" applyBorder="1" applyAlignment="1">
      <alignment horizontal="center" vertical="center" wrapText="1"/>
    </xf>
    <xf numFmtId="0" fontId="22" fillId="0" borderId="76" xfId="0" applyNumberFormat="1" applyFont="1" applyFill="1" applyBorder="1" applyAlignment="1">
      <alignment horizontal="center" vertical="center" wrapText="1"/>
    </xf>
    <xf numFmtId="0" fontId="22" fillId="0" borderId="77" xfId="0" applyNumberFormat="1" applyFont="1" applyFill="1" applyBorder="1" applyAlignment="1">
      <alignment horizontal="center" vertical="center" wrapText="1"/>
    </xf>
    <xf numFmtId="0" fontId="36" fillId="5" borderId="67" xfId="0" applyNumberFormat="1" applyFont="1" applyFill="1" applyBorder="1" applyAlignment="1">
      <alignment horizontal="center" vertical="center" wrapText="1"/>
    </xf>
    <xf numFmtId="0" fontId="36" fillId="5" borderId="57" xfId="0" applyNumberFormat="1" applyFont="1" applyFill="1" applyBorder="1" applyAlignment="1">
      <alignment horizontal="center" vertical="center" wrapText="1"/>
    </xf>
    <xf numFmtId="0" fontId="6" fillId="0" borderId="54" xfId="8" applyNumberFormat="1" applyFill="1" applyBorder="1" applyAlignment="1">
      <alignment horizontal="left" vertical="top"/>
    </xf>
    <xf numFmtId="0" fontId="41" fillId="0" borderId="54" xfId="0" applyNumberFormat="1" applyFont="1" applyBorder="1" applyAlignment="1">
      <alignment horizontal="center" vertical="center"/>
    </xf>
    <xf numFmtId="0" fontId="29" fillId="0" borderId="54" xfId="2" applyNumberFormat="1" applyFont="1" applyFill="1" applyBorder="1" applyAlignment="1">
      <alignment horizontal="left" vertical="top"/>
    </xf>
    <xf numFmtId="0" fontId="29" fillId="0" borderId="7" xfId="2" applyNumberFormat="1" applyFont="1" applyFill="1" applyBorder="1" applyAlignment="1">
      <alignment horizontal="left" vertical="top"/>
    </xf>
    <xf numFmtId="0" fontId="44" fillId="2" borderId="0" xfId="0" applyNumberFormat="1" applyFont="1" applyFill="1" applyAlignment="1">
      <alignment horizontal="center" vertical="top"/>
    </xf>
    <xf numFmtId="0" fontId="44" fillId="2" borderId="24" xfId="0" applyNumberFormat="1" applyFont="1" applyFill="1" applyBorder="1" applyAlignment="1">
      <alignment horizontal="center" vertical="top"/>
    </xf>
    <xf numFmtId="0" fontId="44" fillId="2" borderId="16" xfId="0" applyNumberFormat="1" applyFont="1" applyFill="1" applyBorder="1" applyAlignment="1">
      <alignment horizontal="center" vertical="top"/>
    </xf>
    <xf numFmtId="0" fontId="44" fillId="2" borderId="19" xfId="0" applyNumberFormat="1" applyFont="1" applyFill="1" applyBorder="1" applyAlignment="1">
      <alignment horizontal="center" vertical="top"/>
    </xf>
    <xf numFmtId="0" fontId="18" fillId="2" borderId="67" xfId="0" applyNumberFormat="1" applyFont="1" applyFill="1" applyBorder="1" applyAlignment="1">
      <alignment horizontal="center" vertical="center" wrapText="1"/>
    </xf>
    <xf numFmtId="0" fontId="18" fillId="2" borderId="57" xfId="0" applyNumberFormat="1" applyFont="1" applyFill="1" applyBorder="1" applyAlignment="1">
      <alignment horizontal="center" vertical="center" wrapText="1"/>
    </xf>
    <xf numFmtId="0" fontId="29" fillId="0" borderId="0" xfId="2" applyNumberFormat="1" applyFont="1" applyFill="1" applyBorder="1" applyAlignment="1">
      <alignment horizontal="left" vertical="top" wrapText="1"/>
    </xf>
    <xf numFmtId="0" fontId="29" fillId="0" borderId="16" xfId="2" applyNumberFormat="1" applyFont="1" applyFill="1" applyBorder="1" applyAlignment="1">
      <alignment horizontal="left" vertical="top" wrapText="1"/>
    </xf>
    <xf numFmtId="0" fontId="29" fillId="0" borderId="16" xfId="0" applyNumberFormat="1" applyFont="1" applyFill="1" applyBorder="1" applyAlignment="1">
      <alignment horizontal="left" vertical="top" wrapText="1"/>
    </xf>
    <xf numFmtId="0" fontId="29" fillId="0" borderId="20" xfId="0" applyNumberFormat="1" applyFont="1" applyFill="1" applyBorder="1" applyAlignment="1">
      <alignment horizontal="left" vertical="top" wrapText="1"/>
    </xf>
    <xf numFmtId="0" fontId="29" fillId="0" borderId="9" xfId="0" applyNumberFormat="1" applyFont="1" applyFill="1" applyBorder="1" applyAlignment="1">
      <alignment horizontal="left" vertical="top"/>
    </xf>
    <xf numFmtId="0" fontId="29" fillId="0" borderId="15" xfId="0" applyNumberFormat="1" applyFont="1" applyFill="1" applyBorder="1" applyAlignment="1">
      <alignment horizontal="left" vertical="top"/>
    </xf>
    <xf numFmtId="0" fontId="29" fillId="0" borderId="16" xfId="0" applyNumberFormat="1" applyFont="1" applyFill="1" applyBorder="1" applyAlignment="1">
      <alignment horizontal="left" vertical="top"/>
    </xf>
    <xf numFmtId="0" fontId="29" fillId="0" borderId="20" xfId="0" applyNumberFormat="1" applyFont="1" applyFill="1" applyBorder="1" applyAlignment="1">
      <alignment horizontal="left" vertical="top"/>
    </xf>
    <xf numFmtId="0" fontId="6" fillId="0" borderId="7" xfId="8" applyNumberFormat="1" applyFill="1" applyBorder="1" applyAlignment="1">
      <alignment horizontal="left" vertical="top" wrapText="1"/>
    </xf>
    <xf numFmtId="0" fontId="6" fillId="0" borderId="9" xfId="8" applyNumberFormat="1" applyFill="1" applyBorder="1" applyAlignment="1">
      <alignment horizontal="left" vertical="top" wrapText="1"/>
    </xf>
    <xf numFmtId="0" fontId="6" fillId="0" borderId="37" xfId="8" applyNumberFormat="1" applyFill="1" applyBorder="1" applyAlignment="1">
      <alignment horizontal="left" vertical="top"/>
    </xf>
    <xf numFmtId="0" fontId="24" fillId="0" borderId="39" xfId="8" applyNumberFormat="1" applyFont="1" applyFill="1" applyBorder="1" applyAlignment="1">
      <alignment horizontal="left" vertical="top"/>
    </xf>
    <xf numFmtId="0" fontId="24" fillId="0" borderId="22" xfId="8" applyNumberFormat="1" applyFont="1" applyFill="1" applyBorder="1" applyAlignment="1">
      <alignment horizontal="left" vertical="top"/>
    </xf>
    <xf numFmtId="0" fontId="6" fillId="0" borderId="37" xfId="8" applyNumberFormat="1" applyBorder="1" applyAlignment="1">
      <alignment horizontal="left" vertical="top"/>
    </xf>
    <xf numFmtId="0" fontId="24" fillId="0" borderId="39" xfId="8" applyNumberFormat="1" applyFont="1" applyBorder="1" applyAlignment="1">
      <alignment horizontal="left" vertical="top"/>
    </xf>
    <xf numFmtId="0" fontId="24" fillId="0" borderId="22" xfId="8" applyNumberFormat="1" applyFont="1" applyBorder="1" applyAlignment="1">
      <alignment horizontal="left" vertical="top"/>
    </xf>
    <xf numFmtId="0" fontId="6" fillId="0" borderId="39" xfId="8" applyNumberFormat="1" applyBorder="1" applyAlignment="1">
      <alignment horizontal="left" vertical="top"/>
    </xf>
    <xf numFmtId="0" fontId="6" fillId="0" borderId="22" xfId="8" applyNumberFormat="1" applyBorder="1" applyAlignment="1">
      <alignment horizontal="left" vertical="top"/>
    </xf>
    <xf numFmtId="0" fontId="6" fillId="0" borderId="54" xfId="8" applyBorder="1" applyAlignment="1">
      <alignment horizontal="left" vertical="top" wrapText="1"/>
    </xf>
    <xf numFmtId="0" fontId="6" fillId="0" borderId="14" xfId="8" applyNumberFormat="1" applyBorder="1" applyAlignment="1">
      <alignment horizontal="left" vertical="top" wrapText="1"/>
    </xf>
    <xf numFmtId="0" fontId="6" fillId="0" borderId="13" xfId="8" applyNumberFormat="1" applyBorder="1" applyAlignment="1">
      <alignment horizontal="left" vertical="top" wrapText="1"/>
    </xf>
    <xf numFmtId="0" fontId="6" fillId="0" borderId="21" xfId="8" applyNumberFormat="1" applyBorder="1" applyAlignment="1">
      <alignment horizontal="left" vertical="top" wrapText="1"/>
    </xf>
    <xf numFmtId="0" fontId="70" fillId="0" borderId="28" xfId="0" applyFont="1" applyBorder="1" applyAlignment="1">
      <alignment horizontal="center" vertical="center"/>
    </xf>
    <xf numFmtId="0" fontId="70" fillId="0" borderId="70" xfId="0" applyFont="1" applyBorder="1" applyAlignment="1">
      <alignment horizontal="center" vertical="center"/>
    </xf>
    <xf numFmtId="0" fontId="6" fillId="0" borderId="14" xfId="8" applyNumberFormat="1" applyBorder="1" applyAlignment="1">
      <alignment horizontal="left" vertical="top"/>
    </xf>
    <xf numFmtId="0" fontId="6" fillId="0" borderId="15" xfId="8" applyNumberFormat="1" applyBorder="1" applyAlignment="1">
      <alignment horizontal="left" vertical="top"/>
    </xf>
    <xf numFmtId="0" fontId="6" fillId="0" borderId="13" xfId="8" applyNumberFormat="1" applyBorder="1" applyAlignment="1">
      <alignment horizontal="left" vertical="top"/>
    </xf>
    <xf numFmtId="0" fontId="6" fillId="0" borderId="1" xfId="8" applyNumberFormat="1" applyBorder="1" applyAlignment="1">
      <alignment horizontal="left" vertical="top"/>
    </xf>
    <xf numFmtId="0" fontId="6" fillId="0" borderId="21" xfId="8" applyNumberFormat="1" applyBorder="1" applyAlignment="1">
      <alignment horizontal="left" vertical="top"/>
    </xf>
    <xf numFmtId="0" fontId="6" fillId="0" borderId="20" xfId="8" applyNumberFormat="1" applyBorder="1" applyAlignment="1">
      <alignment horizontal="left" vertical="top"/>
    </xf>
    <xf numFmtId="0" fontId="6" fillId="0" borderId="15" xfId="8" applyBorder="1" applyAlignment="1">
      <alignment horizontal="left" vertical="top" wrapText="1"/>
    </xf>
    <xf numFmtId="0" fontId="24" fillId="0" borderId="1" xfId="8" applyFont="1" applyBorder="1" applyAlignment="1">
      <alignment horizontal="left" vertical="top" wrapText="1"/>
    </xf>
    <xf numFmtId="0" fontId="24" fillId="0" borderId="20" xfId="8" applyFont="1" applyBorder="1" applyAlignment="1">
      <alignment horizontal="left" vertical="top" wrapText="1"/>
    </xf>
    <xf numFmtId="0" fontId="6" fillId="0" borderId="9" xfId="8" applyNumberFormat="1" applyFill="1" applyBorder="1" applyAlignment="1">
      <alignment horizontal="left" vertical="top"/>
    </xf>
    <xf numFmtId="0" fontId="24" fillId="0" borderId="8" xfId="8" applyNumberFormat="1" applyFont="1" applyBorder="1" applyAlignment="1">
      <alignment horizontal="left" vertical="top"/>
    </xf>
    <xf numFmtId="0" fontId="6" fillId="0" borderId="9" xfId="8" applyNumberFormat="1" applyBorder="1" applyAlignment="1">
      <alignment horizontal="left" vertical="top" wrapText="1"/>
    </xf>
    <xf numFmtId="0" fontId="6" fillId="0" borderId="0" xfId="8" applyNumberFormat="1" applyBorder="1" applyAlignment="1">
      <alignment horizontal="left" vertical="top" wrapText="1"/>
    </xf>
    <xf numFmtId="0" fontId="6" fillId="0" borderId="16" xfId="8" applyNumberFormat="1" applyBorder="1" applyAlignment="1">
      <alignment horizontal="left" vertical="top" wrapText="1"/>
    </xf>
    <xf numFmtId="0" fontId="6" fillId="0" borderId="9" xfId="8" applyNumberFormat="1" applyBorder="1" applyAlignment="1">
      <alignment horizontal="left" vertical="top"/>
    </xf>
    <xf numFmtId="0" fontId="6" fillId="0" borderId="0" xfId="8" applyNumberFormat="1" applyBorder="1" applyAlignment="1">
      <alignment horizontal="left" vertical="top"/>
    </xf>
    <xf numFmtId="0" fontId="6" fillId="0" borderId="16" xfId="8" applyNumberFormat="1" applyBorder="1" applyAlignment="1">
      <alignment horizontal="left" vertical="top"/>
    </xf>
    <xf numFmtId="0" fontId="6" fillId="0" borderId="54" xfId="8" applyNumberFormat="1" applyBorder="1" applyAlignment="1">
      <alignment vertical="top"/>
    </xf>
    <xf numFmtId="0" fontId="24" fillId="0" borderId="0" xfId="8" applyNumberFormat="1" applyFont="1" applyBorder="1" applyAlignment="1">
      <alignment horizontal="left" vertical="top" wrapText="1"/>
    </xf>
    <xf numFmtId="0" fontId="24" fillId="0" borderId="16" xfId="8" applyNumberFormat="1" applyFont="1" applyBorder="1" applyAlignment="1">
      <alignment horizontal="left" vertical="top" wrapText="1"/>
    </xf>
    <xf numFmtId="0" fontId="24" fillId="10" borderId="8" xfId="8" applyNumberFormat="1" applyFont="1" applyFill="1" applyBorder="1" applyAlignment="1">
      <alignment horizontal="left" vertical="top" wrapText="1"/>
    </xf>
    <xf numFmtId="169" fontId="24" fillId="0" borderId="16" xfId="8" applyNumberFormat="1" applyFont="1" applyFill="1" applyBorder="1" applyAlignment="1">
      <alignment horizontal="left" vertical="top" wrapText="1"/>
    </xf>
    <xf numFmtId="169" fontId="24" fillId="0" borderId="2" xfId="8" applyNumberFormat="1" applyFont="1" applyFill="1" applyBorder="1" applyAlignment="1">
      <alignment horizontal="left" vertical="top" wrapText="1"/>
    </xf>
    <xf numFmtId="169" fontId="29" fillId="0" borderId="2" xfId="2" applyNumberFormat="1" applyFont="1" applyFill="1" applyBorder="1" applyAlignment="1">
      <alignment horizontal="left" vertical="top" wrapText="1"/>
    </xf>
    <xf numFmtId="178" fontId="24" fillId="0" borderId="37" xfId="8" applyNumberFormat="1" applyFont="1" applyFill="1" applyBorder="1" applyAlignment="1">
      <alignment horizontal="left" vertical="top" wrapText="1"/>
    </xf>
    <xf numFmtId="178" fontId="24" fillId="0" borderId="39" xfId="8" applyNumberFormat="1" applyFont="1" applyFill="1" applyBorder="1" applyAlignment="1">
      <alignment horizontal="left" vertical="top" wrapText="1"/>
    </xf>
    <xf numFmtId="178" fontId="24" fillId="0" borderId="13" xfId="8" applyNumberFormat="1" applyFont="1" applyFill="1" applyBorder="1" applyAlignment="1">
      <alignment horizontal="left" vertical="top" wrapText="1"/>
    </xf>
    <xf numFmtId="178" fontId="24" fillId="0" borderId="21" xfId="8" applyNumberFormat="1" applyFont="1" applyFill="1" applyBorder="1" applyAlignment="1">
      <alignment horizontal="left" vertical="top" wrapText="1"/>
    </xf>
    <xf numFmtId="10" fontId="24" fillId="0" borderId="15" xfId="8" applyNumberFormat="1" applyFont="1" applyFill="1" applyBorder="1" applyAlignment="1">
      <alignment horizontal="left" vertical="top" wrapText="1"/>
    </xf>
    <xf numFmtId="10" fontId="24" fillId="0" borderId="1" xfId="8" applyNumberFormat="1" applyFont="1" applyFill="1" applyBorder="1" applyAlignment="1">
      <alignment horizontal="left" vertical="top" wrapText="1"/>
    </xf>
    <xf numFmtId="10" fontId="24" fillId="0" borderId="20" xfId="8" applyNumberFormat="1" applyFont="1" applyFill="1" applyBorder="1" applyAlignment="1">
      <alignment horizontal="left" vertical="top" wrapText="1"/>
    </xf>
    <xf numFmtId="10" fontId="24" fillId="0" borderId="7" xfId="8" applyNumberFormat="1" applyFont="1" applyFill="1" applyBorder="1" applyAlignment="1">
      <alignment horizontal="left" vertical="top" wrapText="1"/>
    </xf>
    <xf numFmtId="0" fontId="48" fillId="0" borderId="13" xfId="0" applyNumberFormat="1" applyFont="1" applyBorder="1" applyAlignment="1">
      <alignment horizontal="center"/>
    </xf>
    <xf numFmtId="0" fontId="48" fillId="0" borderId="76" xfId="0" applyNumberFormat="1" applyFont="1" applyBorder="1" applyAlignment="1">
      <alignment horizontal="center"/>
    </xf>
    <xf numFmtId="0" fontId="48" fillId="0" borderId="0" xfId="0" applyNumberFormat="1" applyFont="1" applyBorder="1" applyAlignment="1">
      <alignment horizontal="center" wrapText="1"/>
    </xf>
    <xf numFmtId="0" fontId="48" fillId="0" borderId="50" xfId="0" applyNumberFormat="1" applyFont="1" applyBorder="1" applyAlignment="1">
      <alignment horizontal="center" wrapText="1"/>
    </xf>
    <xf numFmtId="0" fontId="48" fillId="0" borderId="50" xfId="0" applyNumberFormat="1" applyFont="1" applyBorder="1" applyAlignment="1">
      <alignment horizontal="left" vertical="top" wrapText="1"/>
    </xf>
    <xf numFmtId="0" fontId="6" fillId="0" borderId="0" xfId="8" applyNumberFormat="1" applyFill="1" applyBorder="1" applyAlignment="1">
      <alignment horizontal="left" vertical="top" wrapText="1"/>
    </xf>
    <xf numFmtId="0" fontId="6" fillId="0" borderId="37" xfId="8" applyNumberFormat="1" applyFill="1" applyBorder="1" applyAlignment="1">
      <alignment horizontal="left" vertical="top" wrapText="1"/>
    </xf>
    <xf numFmtId="0" fontId="6" fillId="0" borderId="39" xfId="8" applyNumberFormat="1" applyFill="1" applyBorder="1" applyAlignment="1">
      <alignment horizontal="left" vertical="top" wrapText="1"/>
    </xf>
    <xf numFmtId="0" fontId="6" fillId="0" borderId="22" xfId="8" applyNumberFormat="1" applyFill="1" applyBorder="1" applyAlignment="1">
      <alignment horizontal="left" vertical="top" wrapText="1"/>
    </xf>
    <xf numFmtId="0" fontId="28" fillId="0" borderId="22" xfId="8" applyNumberFormat="1" applyFont="1" applyFill="1" applyBorder="1" applyAlignment="1">
      <alignment horizontal="left" vertical="top" wrapText="1"/>
    </xf>
    <xf numFmtId="0" fontId="44" fillId="12" borderId="47" xfId="0" applyNumberFormat="1" applyFont="1" applyFill="1" applyBorder="1" applyAlignment="1">
      <alignment horizontal="left" vertical="center"/>
    </xf>
    <xf numFmtId="0" fontId="44" fillId="12" borderId="68" xfId="0" applyNumberFormat="1" applyFont="1" applyFill="1" applyBorder="1" applyAlignment="1">
      <alignment horizontal="left" vertical="center"/>
    </xf>
    <xf numFmtId="0" fontId="44" fillId="12" borderId="50" xfId="0" applyNumberFormat="1" applyFont="1" applyFill="1" applyBorder="1" applyAlignment="1">
      <alignment horizontal="left" vertical="center"/>
    </xf>
    <xf numFmtId="0" fontId="44" fillId="12" borderId="58" xfId="0" applyNumberFormat="1" applyFont="1" applyFill="1" applyBorder="1" applyAlignment="1">
      <alignment horizontal="left" vertical="center"/>
    </xf>
    <xf numFmtId="0" fontId="5" fillId="0" borderId="47" xfId="0" applyNumberFormat="1" applyFont="1" applyBorder="1" applyAlignment="1">
      <alignment horizontal="left" vertical="top" wrapText="1"/>
    </xf>
    <xf numFmtId="0" fontId="22" fillId="0" borderId="50" xfId="1" applyNumberFormat="1" applyFont="1" applyFill="1" applyBorder="1" applyAlignment="1">
      <alignment horizontal="center" vertical="center" wrapText="1"/>
    </xf>
    <xf numFmtId="0" fontId="5" fillId="0" borderId="13" xfId="0" applyNumberFormat="1" applyFont="1" applyBorder="1" applyAlignment="1">
      <alignment horizontal="center"/>
    </xf>
    <xf numFmtId="0" fontId="5" fillId="0" borderId="76" xfId="0" applyNumberFormat="1" applyFont="1" applyBorder="1" applyAlignment="1">
      <alignment horizontal="center"/>
    </xf>
    <xf numFmtId="0" fontId="51" fillId="0" borderId="39" xfId="8" applyNumberFormat="1" applyFont="1" applyBorder="1" applyAlignment="1">
      <alignment horizontal="left" vertical="top"/>
    </xf>
    <xf numFmtId="0" fontId="5" fillId="0" borderId="75" xfId="0" applyNumberFormat="1" applyFont="1" applyBorder="1" applyAlignment="1">
      <alignment horizontal="left" vertical="top"/>
    </xf>
    <xf numFmtId="0" fontId="46" fillId="0" borderId="8" xfId="0" applyNumberFormat="1" applyFont="1" applyFill="1" applyBorder="1" applyAlignment="1">
      <alignment horizontal="center" vertical="center"/>
    </xf>
    <xf numFmtId="0" fontId="46" fillId="0" borderId="2" xfId="0" applyNumberFormat="1" applyFont="1" applyFill="1" applyBorder="1" applyAlignment="1">
      <alignment horizontal="center" vertical="center"/>
    </xf>
    <xf numFmtId="0" fontId="46" fillId="0" borderId="7" xfId="0" applyNumberFormat="1" applyFont="1" applyFill="1" applyBorder="1" applyAlignment="1">
      <alignment horizontal="center" vertical="center"/>
    </xf>
    <xf numFmtId="0" fontId="51" fillId="0" borderId="50" xfId="8" applyNumberFormat="1" applyFont="1" applyBorder="1" applyAlignment="1">
      <alignment horizontal="left" vertical="top" wrapText="1"/>
    </xf>
    <xf numFmtId="0" fontId="5" fillId="0" borderId="50" xfId="0" applyNumberFormat="1" applyFont="1" applyBorder="1" applyAlignment="1">
      <alignment horizontal="left" vertical="top" wrapText="1"/>
    </xf>
    <xf numFmtId="0" fontId="51" fillId="0" borderId="13" xfId="8" applyNumberFormat="1" applyFont="1" applyBorder="1" applyAlignment="1">
      <alignment horizontal="left" vertical="top"/>
    </xf>
    <xf numFmtId="0" fontId="51" fillId="0" borderId="0" xfId="8" applyNumberFormat="1" applyFont="1" applyBorder="1" applyAlignment="1">
      <alignment horizontal="left" vertical="top"/>
    </xf>
    <xf numFmtId="0" fontId="19" fillId="12" borderId="67" xfId="0" applyNumberFormat="1" applyFont="1" applyFill="1" applyBorder="1" applyAlignment="1">
      <alignment horizontal="left" vertical="top" wrapText="1"/>
    </xf>
    <xf numFmtId="0" fontId="19" fillId="12" borderId="47" xfId="0" applyNumberFormat="1" applyFont="1" applyFill="1" applyBorder="1" applyAlignment="1">
      <alignment horizontal="left" vertical="top" wrapText="1"/>
    </xf>
    <xf numFmtId="0" fontId="19" fillId="12" borderId="68" xfId="0" applyNumberFormat="1" applyFont="1" applyFill="1" applyBorder="1" applyAlignment="1">
      <alignment horizontal="left" vertical="top" wrapText="1"/>
    </xf>
    <xf numFmtId="0" fontId="19" fillId="12" borderId="26" xfId="0" applyNumberFormat="1" applyFont="1" applyFill="1" applyBorder="1" applyAlignment="1">
      <alignment horizontal="left" vertical="top" wrapText="1"/>
    </xf>
    <xf numFmtId="0" fontId="19" fillId="12" borderId="0" xfId="0" applyNumberFormat="1" applyFont="1" applyFill="1" applyBorder="1" applyAlignment="1">
      <alignment horizontal="left" vertical="top" wrapText="1"/>
    </xf>
    <xf numFmtId="0" fontId="19" fillId="12" borderId="24" xfId="0" applyNumberFormat="1" applyFont="1" applyFill="1" applyBorder="1" applyAlignment="1">
      <alignment horizontal="left" vertical="top" wrapText="1"/>
    </xf>
    <xf numFmtId="0" fontId="19" fillId="12" borderId="146" xfId="0" applyNumberFormat="1" applyFont="1" applyFill="1" applyBorder="1" applyAlignment="1">
      <alignment horizontal="left" vertical="top" wrapText="1"/>
    </xf>
    <xf numFmtId="0" fontId="19" fillId="12" borderId="147" xfId="0" applyNumberFormat="1" applyFont="1" applyFill="1" applyBorder="1" applyAlignment="1">
      <alignment horizontal="left" vertical="top" wrapText="1"/>
    </xf>
    <xf numFmtId="0" fontId="19" fillId="12" borderId="148" xfId="0" applyNumberFormat="1" applyFont="1" applyFill="1" applyBorder="1" applyAlignment="1">
      <alignment horizontal="left" vertical="top" wrapText="1"/>
    </xf>
    <xf numFmtId="169" fontId="6" fillId="0" borderId="2" xfId="8" applyNumberFormat="1" applyFill="1" applyBorder="1" applyAlignment="1">
      <alignment horizontal="left" vertical="top" wrapText="1"/>
    </xf>
    <xf numFmtId="0" fontId="24" fillId="0" borderId="14" xfId="8" applyNumberFormat="1" applyFont="1" applyFill="1" applyBorder="1" applyAlignment="1">
      <alignment horizontal="left" vertical="top"/>
    </xf>
    <xf numFmtId="0" fontId="24" fillId="0" borderId="13" xfId="8" applyNumberFormat="1" applyFont="1" applyFill="1" applyBorder="1" applyAlignment="1">
      <alignment horizontal="left" vertical="top"/>
    </xf>
    <xf numFmtId="0" fontId="41" fillId="0" borderId="7" xfId="0" applyNumberFormat="1" applyFont="1" applyFill="1" applyBorder="1" applyAlignment="1">
      <alignment horizontal="center" vertical="center"/>
    </xf>
    <xf numFmtId="0" fontId="5" fillId="0" borderId="47" xfId="0" applyFont="1" applyBorder="1" applyAlignment="1">
      <alignment horizontal="left" vertical="top" wrapText="1"/>
    </xf>
    <xf numFmtId="0" fontId="5" fillId="0" borderId="68" xfId="0" applyFont="1" applyBorder="1" applyAlignment="1">
      <alignment horizontal="left" vertical="top" wrapText="1"/>
    </xf>
    <xf numFmtId="0" fontId="5" fillId="0" borderId="52" xfId="0" applyFont="1" applyBorder="1" applyAlignment="1">
      <alignment horizontal="left" vertical="top" wrapText="1"/>
    </xf>
    <xf numFmtId="0" fontId="5" fillId="0" borderId="0" xfId="0" applyFont="1" applyBorder="1" applyAlignment="1">
      <alignment horizontal="left" vertical="top" wrapText="1"/>
    </xf>
    <xf numFmtId="0" fontId="5" fillId="0" borderId="24" xfId="0" applyFont="1" applyBorder="1" applyAlignment="1">
      <alignment horizontal="left" vertical="top" wrapText="1"/>
    </xf>
    <xf numFmtId="0" fontId="5" fillId="0" borderId="49" xfId="0" applyFont="1" applyBorder="1" applyAlignment="1">
      <alignment horizontal="left" vertical="top" wrapText="1"/>
    </xf>
    <xf numFmtId="0" fontId="5" fillId="0" borderId="50" xfId="0" applyFont="1" applyBorder="1" applyAlignment="1">
      <alignment horizontal="left" vertical="top" wrapText="1"/>
    </xf>
    <xf numFmtId="0" fontId="5" fillId="0" borderId="58" xfId="0" applyFont="1" applyBorder="1" applyAlignment="1">
      <alignment horizontal="left" vertical="top" wrapText="1"/>
    </xf>
    <xf numFmtId="0" fontId="48" fillId="0" borderId="69" xfId="0" applyNumberFormat="1" applyFont="1" applyBorder="1" applyAlignment="1">
      <alignment horizontal="left" vertical="top" wrapText="1"/>
    </xf>
    <xf numFmtId="0" fontId="48" fillId="0" borderId="13" xfId="0" applyNumberFormat="1" applyFont="1" applyBorder="1" applyAlignment="1">
      <alignment horizontal="center" wrapText="1"/>
    </xf>
    <xf numFmtId="0" fontId="48" fillId="0" borderId="76" xfId="0" applyNumberFormat="1" applyFont="1" applyBorder="1" applyAlignment="1">
      <alignment horizontal="center" wrapText="1"/>
    </xf>
    <xf numFmtId="0" fontId="51" fillId="0" borderId="75" xfId="8" applyNumberFormat="1" applyFont="1" applyBorder="1" applyAlignment="1">
      <alignment horizontal="left" vertical="top" wrapText="1"/>
    </xf>
    <xf numFmtId="0" fontId="48" fillId="0" borderId="77" xfId="0" applyNumberFormat="1" applyFont="1" applyBorder="1" applyAlignment="1">
      <alignment horizontal="left" vertical="top" wrapText="1"/>
    </xf>
    <xf numFmtId="169" fontId="6" fillId="0" borderId="150" xfId="8" applyNumberFormat="1" applyFill="1" applyBorder="1" applyAlignment="1">
      <alignment horizontal="left" vertical="top" wrapText="1"/>
    </xf>
    <xf numFmtId="169" fontId="24" fillId="0" borderId="69" xfId="8" applyNumberFormat="1" applyFont="1" applyFill="1" applyBorder="1" applyAlignment="1">
      <alignment horizontal="left" vertical="top" wrapText="1"/>
    </xf>
    <xf numFmtId="169" fontId="24" fillId="0" borderId="62" xfId="8" applyNumberFormat="1" applyFont="1" applyFill="1" applyBorder="1" applyAlignment="1">
      <alignment horizontal="left" vertical="top" wrapText="1"/>
    </xf>
    <xf numFmtId="169" fontId="6" fillId="0" borderId="164" xfId="8" applyNumberFormat="1" applyFill="1" applyBorder="1" applyAlignment="1">
      <alignment horizontal="left" vertical="top" wrapText="1"/>
    </xf>
    <xf numFmtId="0" fontId="6" fillId="0" borderId="7" xfId="8" applyNumberFormat="1" applyBorder="1" applyAlignment="1">
      <alignment horizontal="left" vertical="top" wrapText="1"/>
    </xf>
    <xf numFmtId="0" fontId="52" fillId="0" borderId="47" xfId="0" applyFont="1" applyBorder="1" applyAlignment="1">
      <alignment horizontal="center" vertical="center"/>
    </xf>
    <xf numFmtId="0" fontId="52" fillId="0" borderId="48" xfId="0" applyFont="1" applyBorder="1" applyAlignment="1">
      <alignment horizontal="center" vertical="center"/>
    </xf>
    <xf numFmtId="0" fontId="44" fillId="13" borderId="0" xfId="0" applyNumberFormat="1" applyFont="1" applyFill="1" applyBorder="1" applyAlignment="1">
      <alignment horizontal="center" vertical="center"/>
    </xf>
    <xf numFmtId="0" fontId="44" fillId="13" borderId="16" xfId="0" applyNumberFormat="1" applyFont="1" applyFill="1" applyBorder="1" applyAlignment="1">
      <alignment horizontal="center" vertical="center"/>
    </xf>
    <xf numFmtId="0" fontId="18" fillId="13" borderId="67" xfId="0" applyNumberFormat="1" applyFont="1" applyFill="1" applyBorder="1" applyAlignment="1">
      <alignment horizontal="center" vertical="center" wrapText="1"/>
    </xf>
    <xf numFmtId="0" fontId="18" fillId="13" borderId="57" xfId="0" applyNumberFormat="1" applyFont="1" applyFill="1" applyBorder="1" applyAlignment="1">
      <alignment horizontal="center" vertical="center" wrapText="1"/>
    </xf>
    <xf numFmtId="0" fontId="44" fillId="13" borderId="47" xfId="0" applyNumberFormat="1" applyFont="1" applyFill="1" applyBorder="1" applyAlignment="1">
      <alignment horizontal="left" vertical="center"/>
    </xf>
    <xf numFmtId="0" fontId="44" fillId="13" borderId="68" xfId="0" applyNumberFormat="1" applyFont="1" applyFill="1" applyBorder="1" applyAlignment="1">
      <alignment horizontal="left" vertical="center"/>
    </xf>
    <xf numFmtId="0" fontId="44" fillId="13" borderId="50" xfId="0" applyNumberFormat="1" applyFont="1" applyFill="1" applyBorder="1" applyAlignment="1">
      <alignment horizontal="left" vertical="center"/>
    </xf>
    <xf numFmtId="0" fontId="44" fillId="13" borderId="58" xfId="0" applyNumberFormat="1" applyFont="1" applyFill="1" applyBorder="1" applyAlignment="1">
      <alignment horizontal="left" vertical="center"/>
    </xf>
    <xf numFmtId="0" fontId="44" fillId="12" borderId="0" xfId="0" applyNumberFormat="1" applyFont="1" applyFill="1" applyBorder="1" applyAlignment="1">
      <alignment horizontal="center" vertical="center"/>
    </xf>
    <xf numFmtId="0" fontId="44" fillId="12" borderId="16" xfId="0" applyNumberFormat="1" applyFont="1" applyFill="1" applyBorder="1" applyAlignment="1">
      <alignment horizontal="center" vertical="center"/>
    </xf>
    <xf numFmtId="0" fontId="18" fillId="12" borderId="67" xfId="0" applyNumberFormat="1" applyFont="1" applyFill="1" applyBorder="1" applyAlignment="1">
      <alignment horizontal="center" vertical="center" wrapText="1"/>
    </xf>
    <xf numFmtId="0" fontId="18" fillId="12" borderId="57" xfId="0" applyNumberFormat="1" applyFont="1" applyFill="1" applyBorder="1" applyAlignment="1">
      <alignment horizontal="center" vertical="center" wrapText="1"/>
    </xf>
    <xf numFmtId="0" fontId="44" fillId="11" borderId="26" xfId="0" applyNumberFormat="1" applyFont="1" applyFill="1" applyBorder="1" applyAlignment="1">
      <alignment horizontal="center" vertical="top"/>
    </xf>
    <xf numFmtId="0" fontId="44" fillId="11" borderId="0" xfId="0" applyNumberFormat="1" applyFont="1" applyFill="1" applyBorder="1" applyAlignment="1">
      <alignment horizontal="center" vertical="top"/>
    </xf>
    <xf numFmtId="0" fontId="44" fillId="11" borderId="24" xfId="0" applyNumberFormat="1" applyFont="1" applyFill="1" applyBorder="1" applyAlignment="1">
      <alignment horizontal="center" vertical="top"/>
    </xf>
    <xf numFmtId="0" fontId="44" fillId="11" borderId="60" xfId="0" applyNumberFormat="1" applyFont="1" applyFill="1" applyBorder="1" applyAlignment="1">
      <alignment horizontal="center" vertical="top"/>
    </xf>
    <xf numFmtId="0" fontId="44" fillId="11" borderId="16" xfId="0" applyNumberFormat="1" applyFont="1" applyFill="1" applyBorder="1" applyAlignment="1">
      <alignment horizontal="center" vertical="top"/>
    </xf>
    <xf numFmtId="0" fontId="44" fillId="11" borderId="19" xfId="0" applyNumberFormat="1" applyFont="1" applyFill="1" applyBorder="1" applyAlignment="1">
      <alignment horizontal="center" vertical="top"/>
    </xf>
    <xf numFmtId="0" fontId="18" fillId="11" borderId="67" xfId="0" applyNumberFormat="1" applyFont="1" applyFill="1" applyBorder="1" applyAlignment="1">
      <alignment horizontal="center" vertical="center" wrapText="1"/>
    </xf>
    <xf numFmtId="0" fontId="18" fillId="11" borderId="57" xfId="0" applyNumberFormat="1" applyFont="1" applyFill="1" applyBorder="1" applyAlignment="1">
      <alignment horizontal="center" vertical="center" wrapText="1"/>
    </xf>
    <xf numFmtId="0" fontId="44" fillId="11" borderId="47" xfId="0" applyNumberFormat="1" applyFont="1" applyFill="1" applyBorder="1" applyAlignment="1">
      <alignment horizontal="left" vertical="center"/>
    </xf>
    <xf numFmtId="0" fontId="44" fillId="11" borderId="68" xfId="0" applyNumberFormat="1" applyFont="1" applyFill="1" applyBorder="1" applyAlignment="1">
      <alignment horizontal="left" vertical="center"/>
    </xf>
    <xf numFmtId="0" fontId="44" fillId="11" borderId="50" xfId="0" applyNumberFormat="1" applyFont="1" applyFill="1" applyBorder="1" applyAlignment="1">
      <alignment horizontal="left" vertical="center"/>
    </xf>
    <xf numFmtId="0" fontId="44" fillId="11" borderId="58" xfId="0" applyNumberFormat="1" applyFont="1" applyFill="1" applyBorder="1" applyAlignment="1">
      <alignment horizontal="left" vertical="center"/>
    </xf>
    <xf numFmtId="178" fontId="24" fillId="0" borderId="54" xfId="8" applyNumberFormat="1" applyFont="1" applyFill="1" applyBorder="1" applyAlignment="1">
      <alignment horizontal="left" vertical="top" wrapText="1"/>
    </xf>
    <xf numFmtId="10" fontId="24" fillId="0" borderId="8" xfId="8" applyNumberFormat="1" applyFont="1" applyFill="1" applyBorder="1" applyAlignment="1">
      <alignment horizontal="left" vertical="top" wrapText="1"/>
    </xf>
    <xf numFmtId="0" fontId="6" fillId="0" borderId="14" xfId="8" applyNumberFormat="1" applyFill="1" applyBorder="1" applyAlignment="1">
      <alignment horizontal="left" vertical="top" wrapText="1"/>
    </xf>
    <xf numFmtId="0" fontId="6" fillId="0" borderId="13" xfId="8" applyNumberFormat="1" applyFill="1" applyBorder="1" applyAlignment="1">
      <alignment horizontal="left" vertical="top" wrapText="1"/>
    </xf>
    <xf numFmtId="0" fontId="6" fillId="0" borderId="21" xfId="8" applyNumberFormat="1" applyFill="1" applyBorder="1" applyAlignment="1">
      <alignment horizontal="left" vertical="top" wrapText="1"/>
    </xf>
    <xf numFmtId="0" fontId="19" fillId="13" borderId="67" xfId="0" applyNumberFormat="1" applyFont="1" applyFill="1" applyBorder="1" applyAlignment="1">
      <alignment horizontal="left" vertical="top" wrapText="1"/>
    </xf>
    <xf numFmtId="0" fontId="19" fillId="13" borderId="47" xfId="0" applyNumberFormat="1" applyFont="1" applyFill="1" applyBorder="1" applyAlignment="1">
      <alignment horizontal="left" vertical="top" wrapText="1"/>
    </xf>
    <xf numFmtId="0" fontId="19" fillId="13" borderId="68" xfId="0" applyNumberFormat="1" applyFont="1" applyFill="1" applyBorder="1" applyAlignment="1">
      <alignment horizontal="left" vertical="top" wrapText="1"/>
    </xf>
    <xf numFmtId="0" fontId="19" fillId="13" borderId="26" xfId="0" applyNumberFormat="1" applyFont="1" applyFill="1" applyBorder="1" applyAlignment="1">
      <alignment horizontal="left" vertical="top" wrapText="1"/>
    </xf>
    <xf numFmtId="0" fontId="19" fillId="13" borderId="0" xfId="0" applyNumberFormat="1" applyFont="1" applyFill="1" applyBorder="1" applyAlignment="1">
      <alignment horizontal="left" vertical="top" wrapText="1"/>
    </xf>
    <xf numFmtId="0" fontId="19" fillId="13" borderId="24" xfId="0" applyNumberFormat="1" applyFont="1" applyFill="1" applyBorder="1" applyAlignment="1">
      <alignment horizontal="left" vertical="top" wrapText="1"/>
    </xf>
    <xf numFmtId="0" fontId="19" fillId="13" borderId="146" xfId="0" applyNumberFormat="1" applyFont="1" applyFill="1" applyBorder="1" applyAlignment="1">
      <alignment horizontal="left" vertical="top" wrapText="1"/>
    </xf>
    <xf numFmtId="0" fontId="19" fillId="13" borderId="147" xfId="0" applyNumberFormat="1" applyFont="1" applyFill="1" applyBorder="1" applyAlignment="1">
      <alignment horizontal="left" vertical="top" wrapText="1"/>
    </xf>
    <xf numFmtId="0" fontId="19" fillId="13" borderId="148" xfId="0" applyNumberFormat="1" applyFont="1" applyFill="1" applyBorder="1" applyAlignment="1">
      <alignment horizontal="left" vertical="top" wrapText="1"/>
    </xf>
    <xf numFmtId="0" fontId="51" fillId="0" borderId="76" xfId="8" applyNumberFormat="1" applyFont="1" applyBorder="1" applyAlignment="1">
      <alignment horizontal="left" vertical="top" wrapText="1"/>
    </xf>
    <xf numFmtId="0" fontId="5" fillId="0" borderId="77" xfId="0" applyNumberFormat="1" applyFont="1" applyBorder="1" applyAlignment="1">
      <alignment horizontal="left" vertical="top" wrapText="1"/>
    </xf>
    <xf numFmtId="10" fontId="24" fillId="0" borderId="14" xfId="8" applyNumberFormat="1" applyFont="1" applyFill="1" applyBorder="1" applyAlignment="1">
      <alignment horizontal="left" vertical="top" wrapText="1"/>
    </xf>
    <xf numFmtId="10" fontId="24" fillId="0" borderId="13" xfId="8" applyNumberFormat="1" applyFont="1" applyFill="1" applyBorder="1" applyAlignment="1">
      <alignment horizontal="left" vertical="top" wrapText="1"/>
    </xf>
    <xf numFmtId="10" fontId="24" fillId="0" borderId="21" xfId="8" applyNumberFormat="1" applyFont="1" applyFill="1" applyBorder="1" applyAlignment="1">
      <alignment horizontal="left" vertical="top" wrapText="1"/>
    </xf>
    <xf numFmtId="0" fontId="24" fillId="0" borderId="21" xfId="8" applyNumberFormat="1" applyFont="1" applyFill="1" applyBorder="1" applyAlignment="1">
      <alignment horizontal="center" vertical="top" wrapText="1"/>
    </xf>
    <xf numFmtId="0" fontId="24" fillId="0" borderId="8" xfId="8" applyNumberFormat="1" applyFont="1" applyFill="1" applyBorder="1" applyAlignment="1">
      <alignment horizontal="center" vertical="top" wrapText="1"/>
    </xf>
    <xf numFmtId="0" fontId="48" fillId="0" borderId="76" xfId="0" applyNumberFormat="1" applyFont="1" applyBorder="1" applyAlignment="1">
      <alignment horizontal="left" vertical="top" wrapText="1"/>
    </xf>
    <xf numFmtId="0" fontId="45" fillId="0" borderId="44" xfId="0" applyFont="1" applyBorder="1" applyAlignment="1">
      <alignment horizontal="right" vertical="center"/>
    </xf>
    <xf numFmtId="0" fontId="45" fillId="0" borderId="78" xfId="0" applyFont="1" applyBorder="1" applyAlignment="1">
      <alignment horizontal="right" vertical="center"/>
    </xf>
    <xf numFmtId="0" fontId="51" fillId="0" borderId="13" xfId="8" applyNumberFormat="1" applyFont="1" applyBorder="1" applyAlignment="1">
      <alignment horizontal="center" vertical="top" wrapText="1"/>
    </xf>
    <xf numFmtId="0" fontId="51" fillId="0" borderId="1" xfId="8" applyNumberFormat="1" applyFont="1" applyBorder="1" applyAlignment="1">
      <alignment horizontal="center" vertical="top" wrapText="1"/>
    </xf>
    <xf numFmtId="0" fontId="51" fillId="0" borderId="76" xfId="8" applyNumberFormat="1" applyFont="1" applyBorder="1" applyAlignment="1">
      <alignment horizontal="center" vertical="top" wrapText="1"/>
    </xf>
    <xf numFmtId="0" fontId="51" fillId="0" borderId="77" xfId="8" applyNumberFormat="1" applyFont="1" applyBorder="1" applyAlignment="1">
      <alignment horizontal="center" vertical="top" wrapText="1"/>
    </xf>
    <xf numFmtId="0" fontId="48" fillId="0" borderId="1" xfId="0" applyNumberFormat="1" applyFont="1" applyBorder="1" applyAlignment="1">
      <alignment horizontal="left" vertical="top" wrapText="1"/>
    </xf>
    <xf numFmtId="0" fontId="24" fillId="0" borderId="47" xfId="8" applyNumberFormat="1" applyFont="1" applyFill="1" applyBorder="1" applyAlignment="1">
      <alignment horizontal="left" vertical="top" wrapText="1"/>
    </xf>
    <xf numFmtId="0" fontId="24" fillId="0" borderId="63" xfId="8" applyNumberFormat="1" applyFont="1" applyFill="1" applyBorder="1" applyAlignment="1">
      <alignment horizontal="left" vertical="top" wrapText="1"/>
    </xf>
    <xf numFmtId="169" fontId="24" fillId="0" borderId="150" xfId="8" applyNumberFormat="1" applyFont="1" applyFill="1" applyBorder="1" applyAlignment="1">
      <alignment horizontal="left" vertical="top" wrapText="1"/>
    </xf>
    <xf numFmtId="0" fontId="6" fillId="0" borderId="135" xfId="8" applyNumberFormat="1" applyFill="1" applyBorder="1" applyAlignment="1">
      <alignment horizontal="left" vertical="top" wrapText="1"/>
    </xf>
    <xf numFmtId="0" fontId="19" fillId="11" borderId="67" xfId="0" applyNumberFormat="1" applyFont="1" applyFill="1" applyBorder="1" applyAlignment="1">
      <alignment horizontal="left" vertical="top" wrapText="1"/>
    </xf>
    <xf numFmtId="0" fontId="19" fillId="11" borderId="47" xfId="0" applyNumberFormat="1" applyFont="1" applyFill="1" applyBorder="1" applyAlignment="1">
      <alignment horizontal="left" vertical="top" wrapText="1"/>
    </xf>
    <xf numFmtId="0" fontId="19" fillId="11" borderId="68" xfId="0" applyNumberFormat="1" applyFont="1" applyFill="1" applyBorder="1" applyAlignment="1">
      <alignment horizontal="left" vertical="top" wrapText="1"/>
    </xf>
    <xf numFmtId="0" fontId="19" fillId="11" borderId="26" xfId="0" applyNumberFormat="1" applyFont="1" applyFill="1" applyBorder="1" applyAlignment="1">
      <alignment horizontal="left" vertical="top" wrapText="1"/>
    </xf>
    <xf numFmtId="0" fontId="19" fillId="11" borderId="0" xfId="0" applyNumberFormat="1" applyFont="1" applyFill="1" applyBorder="1" applyAlignment="1">
      <alignment horizontal="left" vertical="top" wrapText="1"/>
    </xf>
    <xf numFmtId="0" fontId="19" fillId="11" borderId="24" xfId="0" applyNumberFormat="1" applyFont="1" applyFill="1" applyBorder="1" applyAlignment="1">
      <alignment horizontal="left" vertical="top" wrapText="1"/>
    </xf>
    <xf numFmtId="0" fontId="19" fillId="11" borderId="146" xfId="0" applyNumberFormat="1" applyFont="1" applyFill="1" applyBorder="1" applyAlignment="1">
      <alignment horizontal="left" vertical="top" wrapText="1"/>
    </xf>
    <xf numFmtId="0" fontId="19" fillId="11" borderId="147" xfId="0" applyNumberFormat="1" applyFont="1" applyFill="1" applyBorder="1" applyAlignment="1">
      <alignment horizontal="left" vertical="top" wrapText="1"/>
    </xf>
    <xf numFmtId="0" fontId="19" fillId="11" borderId="148" xfId="0" applyNumberFormat="1" applyFont="1" applyFill="1" applyBorder="1" applyAlignment="1">
      <alignment horizontal="left" vertical="top" wrapText="1"/>
    </xf>
    <xf numFmtId="10" fontId="24" fillId="0" borderId="7" xfId="8" applyNumberFormat="1" applyFont="1" applyFill="1" applyBorder="1" applyAlignment="1">
      <alignment horizontal="center" vertical="top" wrapText="1"/>
    </xf>
    <xf numFmtId="10" fontId="24" fillId="0" borderId="2" xfId="8" applyNumberFormat="1" applyFont="1" applyFill="1" applyBorder="1" applyAlignment="1">
      <alignment horizontal="left" vertical="top" wrapText="1"/>
    </xf>
    <xf numFmtId="170" fontId="6" fillId="0" borderId="135" xfId="8" applyNumberFormat="1" applyFill="1" applyBorder="1" applyAlignment="1">
      <alignment horizontal="left" vertical="top" wrapText="1"/>
    </xf>
    <xf numFmtId="170" fontId="6" fillId="0" borderId="39" xfId="8" applyNumberFormat="1" applyFill="1" applyBorder="1" applyAlignment="1">
      <alignment horizontal="left" vertical="top" wrapText="1"/>
    </xf>
    <xf numFmtId="170" fontId="6" fillId="0" borderId="22" xfId="8" applyNumberFormat="1" applyFill="1" applyBorder="1" applyAlignment="1">
      <alignment horizontal="left" vertical="top" wrapText="1"/>
    </xf>
    <xf numFmtId="169" fontId="6" fillId="0" borderId="69" xfId="8" applyNumberFormat="1" applyFill="1" applyBorder="1" applyAlignment="1">
      <alignment horizontal="left" vertical="top" wrapText="1"/>
    </xf>
    <xf numFmtId="169" fontId="6" fillId="0" borderId="62" xfId="8" applyNumberFormat="1" applyFill="1" applyBorder="1" applyAlignment="1">
      <alignment horizontal="left" vertical="top" wrapText="1"/>
    </xf>
    <xf numFmtId="169" fontId="6" fillId="0" borderId="135" xfId="8" applyNumberFormat="1" applyFill="1" applyBorder="1" applyAlignment="1">
      <alignment horizontal="left" vertical="top" wrapText="1"/>
    </xf>
    <xf numFmtId="169" fontId="6" fillId="0" borderId="39" xfId="8" applyNumberFormat="1" applyFill="1" applyBorder="1" applyAlignment="1">
      <alignment horizontal="left" vertical="top" wrapText="1"/>
    </xf>
    <xf numFmtId="169" fontId="6" fillId="0" borderId="22" xfId="8" applyNumberFormat="1" applyFill="1" applyBorder="1" applyAlignment="1">
      <alignment horizontal="left" vertical="top" wrapText="1"/>
    </xf>
    <xf numFmtId="169" fontId="6" fillId="0" borderId="54" xfId="8" applyNumberFormat="1" applyFill="1" applyBorder="1" applyAlignment="1">
      <alignment horizontal="left" vertical="top" wrapText="1"/>
    </xf>
    <xf numFmtId="10" fontId="24" fillId="0" borderId="112" xfId="8" applyNumberFormat="1" applyFont="1" applyFill="1" applyBorder="1" applyAlignment="1">
      <alignment horizontal="left" vertical="top" wrapText="1"/>
    </xf>
    <xf numFmtId="10" fontId="24" fillId="0" borderId="9" xfId="8" applyNumberFormat="1" applyFont="1" applyFill="1" applyBorder="1" applyAlignment="1">
      <alignment horizontal="left" vertical="top" wrapText="1"/>
    </xf>
    <xf numFmtId="10" fontId="24" fillId="0" borderId="0" xfId="8" applyNumberFormat="1" applyFont="1" applyFill="1" applyBorder="1" applyAlignment="1">
      <alignment horizontal="left" vertical="top" wrapText="1"/>
    </xf>
    <xf numFmtId="10" fontId="24" fillId="0" borderId="16" xfId="8" applyNumberFormat="1" applyFont="1" applyFill="1" applyBorder="1" applyAlignment="1">
      <alignment horizontal="left" vertical="top" wrapText="1"/>
    </xf>
    <xf numFmtId="178" fontId="29" fillId="0" borderId="39" xfId="1" applyNumberFormat="1" applyFont="1" applyFill="1" applyBorder="1" applyAlignment="1">
      <alignment horizontal="left" vertical="top" wrapText="1"/>
    </xf>
    <xf numFmtId="178" fontId="29" fillId="0" borderId="13" xfId="1" applyNumberFormat="1" applyFont="1" applyFill="1" applyBorder="1" applyAlignment="1">
      <alignment horizontal="left" vertical="top" wrapText="1"/>
    </xf>
    <xf numFmtId="178" fontId="29" fillId="0" borderId="21" xfId="1" applyNumberFormat="1" applyFont="1" applyFill="1" applyBorder="1" applyAlignment="1">
      <alignment horizontal="left" vertical="top" wrapText="1"/>
    </xf>
    <xf numFmtId="178" fontId="24" fillId="0" borderId="22" xfId="8" applyNumberFormat="1" applyFont="1" applyFill="1" applyBorder="1" applyAlignment="1">
      <alignment horizontal="left" vertical="top" wrapText="1"/>
    </xf>
    <xf numFmtId="0" fontId="41" fillId="14" borderId="83" xfId="0" applyFont="1" applyFill="1" applyBorder="1" applyAlignment="1">
      <alignment horizontal="center"/>
    </xf>
    <xf numFmtId="0" fontId="41" fillId="14" borderId="16" xfId="0" applyFont="1" applyFill="1" applyBorder="1" applyAlignment="1">
      <alignment horizontal="center"/>
    </xf>
    <xf numFmtId="0" fontId="60" fillId="26" borderId="52" xfId="0" applyFont="1" applyFill="1" applyBorder="1" applyAlignment="1">
      <alignment horizontal="center" vertical="center"/>
    </xf>
    <xf numFmtId="0" fontId="60" fillId="26" borderId="0" xfId="0" applyFont="1" applyFill="1" applyBorder="1" applyAlignment="1">
      <alignment horizontal="center" vertical="center"/>
    </xf>
    <xf numFmtId="0" fontId="10" fillId="0" borderId="14" xfId="0" applyFont="1" applyBorder="1" applyAlignment="1">
      <alignment horizontal="center" vertical="center" wrapText="1"/>
    </xf>
    <xf numFmtId="0" fontId="10" fillId="0" borderId="15" xfId="0" applyFont="1" applyBorder="1" applyAlignment="1">
      <alignment horizontal="center" vertical="center" wrapText="1"/>
    </xf>
    <xf numFmtId="0" fontId="10" fillId="0" borderId="21" xfId="0" applyFont="1" applyBorder="1" applyAlignment="1">
      <alignment horizontal="center" vertical="center" wrapText="1"/>
    </xf>
    <xf numFmtId="0" fontId="10" fillId="0" borderId="20" xfId="0" applyFont="1" applyBorder="1" applyAlignment="1">
      <alignment horizontal="center" vertical="center" wrapText="1"/>
    </xf>
    <xf numFmtId="0" fontId="31" fillId="0" borderId="22" xfId="0" applyFont="1" applyFill="1" applyBorder="1" applyAlignment="1">
      <alignment horizontal="center" vertical="center"/>
    </xf>
    <xf numFmtId="0" fontId="41" fillId="14" borderId="109" xfId="0" applyFont="1" applyFill="1" applyBorder="1" applyAlignment="1">
      <alignment horizontal="center" vertical="center"/>
    </xf>
    <xf numFmtId="0" fontId="41" fillId="14" borderId="63" xfId="0" applyFont="1" applyFill="1" applyBorder="1" applyAlignment="1">
      <alignment horizontal="center" vertical="center"/>
    </xf>
    <xf numFmtId="0" fontId="41" fillId="14" borderId="110" xfId="0" applyFont="1" applyFill="1" applyBorder="1" applyAlignment="1">
      <alignment horizontal="center" vertical="center"/>
    </xf>
    <xf numFmtId="0" fontId="41" fillId="14" borderId="64" xfId="0" applyFont="1" applyFill="1" applyBorder="1" applyAlignment="1">
      <alignment horizontal="center" vertical="center"/>
    </xf>
    <xf numFmtId="0" fontId="41" fillId="14" borderId="59" xfId="0" applyFont="1" applyFill="1" applyBorder="1" applyAlignment="1">
      <alignment horizontal="center" vertical="center"/>
    </xf>
    <xf numFmtId="0" fontId="41" fillId="14" borderId="87" xfId="0" applyFont="1" applyFill="1" applyBorder="1" applyAlignment="1">
      <alignment horizontal="center" vertical="center"/>
    </xf>
    <xf numFmtId="0" fontId="41" fillId="14" borderId="56" xfId="0" applyFont="1" applyFill="1" applyBorder="1" applyAlignment="1">
      <alignment horizontal="center" vertical="center"/>
    </xf>
    <xf numFmtId="0" fontId="41" fillId="14" borderId="54" xfId="0" applyFont="1" applyFill="1" applyBorder="1" applyAlignment="1">
      <alignment horizontal="center" vertical="center"/>
    </xf>
    <xf numFmtId="10" fontId="10" fillId="0" borderId="56" xfId="0" applyNumberFormat="1" applyFont="1" applyBorder="1" applyAlignment="1">
      <alignment horizontal="center" vertical="center"/>
    </xf>
    <xf numFmtId="10" fontId="10" fillId="0" borderId="54" xfId="0" applyNumberFormat="1" applyFont="1" applyBorder="1" applyAlignment="1">
      <alignment horizontal="center" vertical="center"/>
    </xf>
    <xf numFmtId="0" fontId="9" fillId="0" borderId="56" xfId="0" applyFont="1" applyBorder="1" applyAlignment="1">
      <alignment horizontal="center" vertical="center"/>
    </xf>
    <xf numFmtId="0" fontId="9" fillId="0" borderId="54" xfId="0" applyFont="1" applyBorder="1" applyAlignment="1">
      <alignment horizontal="center" vertical="center"/>
    </xf>
    <xf numFmtId="0" fontId="10" fillId="0" borderId="56" xfId="0" applyFont="1" applyBorder="1" applyAlignment="1">
      <alignment horizontal="center" vertical="center"/>
    </xf>
    <xf numFmtId="0" fontId="10" fillId="0" borderId="54" xfId="0" applyFont="1" applyBorder="1" applyAlignment="1">
      <alignment horizontal="center" vertical="center"/>
    </xf>
    <xf numFmtId="10" fontId="10" fillId="0" borderId="103" xfId="0" applyNumberFormat="1" applyFont="1" applyBorder="1" applyAlignment="1">
      <alignment horizontal="center" vertical="center"/>
    </xf>
    <xf numFmtId="10" fontId="10" fillId="0" borderId="2" xfId="0" applyNumberFormat="1" applyFont="1" applyBorder="1" applyAlignment="1">
      <alignment horizontal="center" vertical="center"/>
    </xf>
    <xf numFmtId="10" fontId="10" fillId="0" borderId="7" xfId="0" applyNumberFormat="1" applyFont="1" applyBorder="1" applyAlignment="1">
      <alignment horizontal="center" vertical="center"/>
    </xf>
    <xf numFmtId="0" fontId="40" fillId="14" borderId="54" xfId="0" applyFont="1" applyFill="1" applyBorder="1" applyAlignment="1">
      <alignment horizontal="center" vertical="center" wrapText="1"/>
    </xf>
    <xf numFmtId="0" fontId="40" fillId="14" borderId="56" xfId="0" applyFont="1" applyFill="1" applyBorder="1" applyAlignment="1">
      <alignment horizontal="center" vertical="center" wrapText="1"/>
    </xf>
    <xf numFmtId="0" fontId="31" fillId="0" borderId="54" xfId="0" applyFont="1" applyFill="1" applyBorder="1" applyAlignment="1">
      <alignment horizontal="center" vertical="center"/>
    </xf>
    <xf numFmtId="10" fontId="10" fillId="0" borderId="56" xfId="0" applyNumberFormat="1" applyFont="1" applyBorder="1" applyAlignment="1">
      <alignment vertical="center"/>
    </xf>
    <xf numFmtId="10" fontId="10" fillId="0" borderId="54" xfId="0" applyNumberFormat="1" applyFont="1" applyBorder="1" applyAlignment="1">
      <alignment vertical="center"/>
    </xf>
    <xf numFmtId="10" fontId="10" fillId="0" borderId="56" xfId="0" applyNumberFormat="1" applyFont="1" applyBorder="1" applyAlignment="1">
      <alignment horizontal="center" vertical="center" wrapText="1"/>
    </xf>
    <xf numFmtId="10" fontId="10" fillId="0" borderId="54" xfId="0" applyNumberFormat="1" applyFont="1" applyBorder="1" applyAlignment="1">
      <alignment horizontal="center" vertical="center" wrapText="1"/>
    </xf>
    <xf numFmtId="0" fontId="40" fillId="14" borderId="56" xfId="0" applyFont="1" applyFill="1" applyBorder="1" applyAlignment="1">
      <alignment horizontal="center"/>
    </xf>
    <xf numFmtId="0" fontId="40" fillId="14" borderId="54" xfId="0" applyFont="1" applyFill="1" applyBorder="1" applyAlignment="1">
      <alignment horizontal="center"/>
    </xf>
    <xf numFmtId="0" fontId="40" fillId="14" borderId="56" xfId="0" applyFont="1" applyFill="1" applyBorder="1" applyAlignment="1">
      <alignment horizontal="center" vertical="center"/>
    </xf>
    <xf numFmtId="0" fontId="40" fillId="14" borderId="54" xfId="0" applyFont="1" applyFill="1" applyBorder="1" applyAlignment="1">
      <alignment horizontal="center" vertical="center"/>
    </xf>
    <xf numFmtId="0" fontId="41" fillId="14" borderId="131" xfId="0" quotePrefix="1" applyFont="1" applyFill="1" applyBorder="1" applyAlignment="1">
      <alignment horizontal="center" vertical="center"/>
    </xf>
    <xf numFmtId="0" fontId="41" fillId="14" borderId="132" xfId="0" applyFont="1" applyFill="1" applyBorder="1" applyAlignment="1">
      <alignment horizontal="center" vertical="center"/>
    </xf>
    <xf numFmtId="0" fontId="41" fillId="14" borderId="133" xfId="0" applyFont="1" applyFill="1" applyBorder="1" applyAlignment="1">
      <alignment horizontal="center" vertical="center"/>
    </xf>
    <xf numFmtId="0" fontId="40" fillId="14" borderId="123" xfId="0" applyFont="1" applyFill="1" applyBorder="1" applyAlignment="1">
      <alignment horizontal="center" vertical="center" wrapText="1"/>
    </xf>
    <xf numFmtId="0" fontId="40" fillId="14" borderId="9" xfId="0" applyFont="1" applyFill="1" applyBorder="1" applyAlignment="1">
      <alignment horizontal="center" vertical="center" wrapText="1"/>
    </xf>
    <xf numFmtId="0" fontId="40" fillId="14" borderId="15" xfId="0" applyFont="1" applyFill="1" applyBorder="1" applyAlignment="1">
      <alignment horizontal="center" vertical="center" wrapText="1"/>
    </xf>
    <xf numFmtId="0" fontId="40" fillId="14" borderId="130" xfId="0" applyFont="1" applyFill="1" applyBorder="1" applyAlignment="1">
      <alignment horizontal="center" vertical="center" wrapText="1"/>
    </xf>
    <xf numFmtId="0" fontId="40" fillId="14" borderId="16" xfId="0" applyFont="1" applyFill="1" applyBorder="1" applyAlignment="1">
      <alignment horizontal="center" vertical="center" wrapText="1"/>
    </xf>
    <xf numFmtId="0" fontId="40" fillId="14" borderId="20" xfId="0" applyFont="1" applyFill="1" applyBorder="1" applyAlignment="1">
      <alignment horizontal="center" vertical="center" wrapText="1"/>
    </xf>
    <xf numFmtId="0" fontId="40" fillId="14" borderId="52" xfId="0" applyFont="1" applyFill="1" applyBorder="1" applyAlignment="1">
      <alignment horizontal="center" vertical="center"/>
    </xf>
    <xf numFmtId="0" fontId="40" fillId="14" borderId="0" xfId="0" applyFont="1" applyFill="1" applyBorder="1" applyAlignment="1">
      <alignment horizontal="center" vertical="center"/>
    </xf>
    <xf numFmtId="0" fontId="40" fillId="14" borderId="53" xfId="0" applyFont="1" applyFill="1" applyBorder="1" applyAlignment="1">
      <alignment horizontal="center" vertical="center"/>
    </xf>
    <xf numFmtId="0" fontId="40" fillId="14" borderId="49" xfId="0" applyFont="1" applyFill="1" applyBorder="1" applyAlignment="1">
      <alignment horizontal="center" vertical="center"/>
    </xf>
    <xf numFmtId="0" fontId="40" fillId="14" borderId="50" xfId="0" applyFont="1" applyFill="1" applyBorder="1" applyAlignment="1">
      <alignment horizontal="center" vertical="center"/>
    </xf>
    <xf numFmtId="0" fontId="40" fillId="14" borderId="51" xfId="0" applyFont="1" applyFill="1" applyBorder="1" applyAlignment="1">
      <alignment horizontal="center" vertical="center"/>
    </xf>
    <xf numFmtId="0" fontId="39" fillId="14" borderId="55" xfId="0" applyFont="1" applyFill="1" applyBorder="1" applyAlignment="1">
      <alignment horizontal="center" vertical="center"/>
    </xf>
    <xf numFmtId="0" fontId="39" fillId="14" borderId="22" xfId="0" applyFont="1" applyFill="1" applyBorder="1" applyAlignment="1">
      <alignment horizontal="center" vertical="center"/>
    </xf>
    <xf numFmtId="0" fontId="39" fillId="14" borderId="86" xfId="0" applyFont="1" applyFill="1" applyBorder="1" applyAlignment="1">
      <alignment horizontal="center" vertical="center"/>
    </xf>
    <xf numFmtId="0" fontId="39" fillId="14" borderId="64" xfId="0" applyFont="1" applyFill="1" applyBorder="1" applyAlignment="1">
      <alignment horizontal="center" vertical="center"/>
    </xf>
    <xf numFmtId="0" fontId="39" fillId="14" borderId="59" xfId="0" applyFont="1" applyFill="1" applyBorder="1" applyAlignment="1">
      <alignment horizontal="center" vertical="center"/>
    </xf>
    <xf numFmtId="0" fontId="39" fillId="14" borderId="87" xfId="0" applyFont="1" applyFill="1" applyBorder="1" applyAlignment="1">
      <alignment horizontal="center" vertical="center"/>
    </xf>
    <xf numFmtId="0" fontId="39" fillId="14" borderId="46" xfId="0" applyFont="1" applyFill="1" applyBorder="1" applyAlignment="1">
      <alignment horizontal="center" vertical="center" wrapText="1"/>
    </xf>
    <xf numFmtId="0" fontId="39" fillId="14" borderId="47" xfId="0" applyFont="1" applyFill="1" applyBorder="1" applyAlignment="1">
      <alignment horizontal="center" vertical="center" wrapText="1"/>
    </xf>
    <xf numFmtId="0" fontId="39" fillId="14" borderId="48" xfId="0" applyFont="1" applyFill="1" applyBorder="1" applyAlignment="1">
      <alignment horizontal="center" vertical="center" wrapText="1"/>
    </xf>
    <xf numFmtId="0" fontId="39" fillId="14" borderId="49" xfId="0" applyFont="1" applyFill="1" applyBorder="1" applyAlignment="1">
      <alignment horizontal="center" vertical="center" wrapText="1"/>
    </xf>
    <xf numFmtId="0" fontId="39" fillId="14" borderId="50" xfId="0" applyFont="1" applyFill="1" applyBorder="1" applyAlignment="1">
      <alignment horizontal="center" vertical="center" wrapText="1"/>
    </xf>
    <xf numFmtId="0" fontId="39" fillId="14" borderId="51" xfId="0" applyFont="1" applyFill="1" applyBorder="1" applyAlignment="1">
      <alignment horizontal="center" vertical="center" wrapText="1"/>
    </xf>
    <xf numFmtId="0" fontId="39" fillId="14" borderId="46" xfId="0" applyFont="1" applyFill="1" applyBorder="1" applyAlignment="1">
      <alignment horizontal="left" vertical="center"/>
    </xf>
    <xf numFmtId="0" fontId="39" fillId="14" borderId="47" xfId="0" applyFont="1" applyFill="1" applyBorder="1" applyAlignment="1">
      <alignment horizontal="left" vertical="center"/>
    </xf>
    <xf numFmtId="0" fontId="39" fillId="14" borderId="48" xfId="0" applyFont="1" applyFill="1" applyBorder="1" applyAlignment="1">
      <alignment horizontal="left" vertical="center"/>
    </xf>
    <xf numFmtId="0" fontId="39" fillId="14" borderId="49" xfId="0" applyFont="1" applyFill="1" applyBorder="1" applyAlignment="1">
      <alignment horizontal="left" vertical="center"/>
    </xf>
    <xf numFmtId="0" fontId="39" fillId="14" borderId="50" xfId="0" applyFont="1" applyFill="1" applyBorder="1" applyAlignment="1">
      <alignment horizontal="left" vertical="center"/>
    </xf>
    <xf numFmtId="0" fontId="39" fillId="14" borderId="51" xfId="0" applyFont="1" applyFill="1" applyBorder="1" applyAlignment="1">
      <alignment horizontal="left" vertical="center"/>
    </xf>
    <xf numFmtId="0" fontId="39" fillId="14" borderId="46" xfId="0" applyFont="1" applyFill="1" applyBorder="1" applyAlignment="1">
      <alignment horizontal="center" vertical="center"/>
    </xf>
    <xf numFmtId="0" fontId="10" fillId="14" borderId="47" xfId="0" applyFont="1" applyFill="1" applyBorder="1" applyAlignment="1">
      <alignment horizontal="center" vertical="center"/>
    </xf>
    <xf numFmtId="0" fontId="10" fillId="14" borderId="48" xfId="0" applyFont="1" applyFill="1" applyBorder="1" applyAlignment="1">
      <alignment horizontal="center" vertical="center"/>
    </xf>
    <xf numFmtId="0" fontId="10" fillId="14" borderId="49" xfId="0" applyFont="1" applyFill="1" applyBorder="1" applyAlignment="1">
      <alignment horizontal="center" vertical="center"/>
    </xf>
    <xf numFmtId="0" fontId="10" fillId="14" borderId="50" xfId="0" applyFont="1" applyFill="1" applyBorder="1" applyAlignment="1">
      <alignment horizontal="center" vertical="center"/>
    </xf>
    <xf numFmtId="0" fontId="10" fillId="14" borderId="51" xfId="0" applyFont="1" applyFill="1" applyBorder="1" applyAlignment="1">
      <alignment horizontal="center" vertical="center"/>
    </xf>
    <xf numFmtId="0" fontId="39" fillId="14" borderId="46" xfId="0" applyFont="1" applyFill="1" applyBorder="1" applyAlignment="1">
      <alignment horizontal="left" vertical="center" wrapText="1"/>
    </xf>
    <xf numFmtId="0" fontId="39" fillId="14" borderId="47" xfId="0" applyFont="1" applyFill="1" applyBorder="1" applyAlignment="1">
      <alignment horizontal="left" vertical="center" wrapText="1"/>
    </xf>
    <xf numFmtId="0" fontId="39" fillId="14" borderId="48" xfId="0" applyFont="1" applyFill="1" applyBorder="1" applyAlignment="1">
      <alignment horizontal="left" vertical="center" wrapText="1"/>
    </xf>
    <xf numFmtId="0" fontId="39" fillId="14" borderId="49" xfId="0" applyFont="1" applyFill="1" applyBorder="1" applyAlignment="1">
      <alignment horizontal="left" vertical="center" wrapText="1"/>
    </xf>
    <xf numFmtId="0" fontId="39" fillId="14" borderId="50" xfId="0" applyFont="1" applyFill="1" applyBorder="1" applyAlignment="1">
      <alignment horizontal="left" vertical="center" wrapText="1"/>
    </xf>
    <xf numFmtId="0" fontId="39" fillId="14" borderId="51" xfId="0" applyFont="1" applyFill="1" applyBorder="1" applyAlignment="1">
      <alignment horizontal="left" vertical="center" wrapText="1"/>
    </xf>
    <xf numFmtId="0" fontId="39" fillId="14" borderId="52" xfId="0" applyFont="1" applyFill="1" applyBorder="1" applyAlignment="1">
      <alignment horizontal="center" vertical="center"/>
    </xf>
    <xf numFmtId="0" fontId="39" fillId="14" borderId="0" xfId="0" applyFont="1" applyFill="1" applyBorder="1" applyAlignment="1">
      <alignment horizontal="center" vertical="center"/>
    </xf>
    <xf numFmtId="0" fontId="39" fillId="14" borderId="53" xfId="0" applyFont="1" applyFill="1" applyBorder="1" applyAlignment="1">
      <alignment horizontal="center" vertical="center"/>
    </xf>
    <xf numFmtId="0" fontId="39" fillId="14" borderId="49" xfId="0" applyFont="1" applyFill="1" applyBorder="1" applyAlignment="1">
      <alignment horizontal="center" vertical="center"/>
    </xf>
    <xf numFmtId="0" fontId="39" fillId="14" borderId="50" xfId="0" applyFont="1" applyFill="1" applyBorder="1" applyAlignment="1">
      <alignment horizontal="center" vertical="center"/>
    </xf>
    <xf numFmtId="0" fontId="39" fillId="14" borderId="51" xfId="0" applyFont="1" applyFill="1" applyBorder="1" applyAlignment="1">
      <alignment horizontal="center" vertical="center"/>
    </xf>
    <xf numFmtId="0" fontId="39" fillId="14" borderId="47" xfId="0" applyFont="1" applyFill="1" applyBorder="1" applyAlignment="1">
      <alignment horizontal="center" vertical="center"/>
    </xf>
    <xf numFmtId="0" fontId="39" fillId="14" borderId="48" xfId="0" applyFont="1" applyFill="1" applyBorder="1" applyAlignment="1">
      <alignment horizontal="center" vertical="center"/>
    </xf>
    <xf numFmtId="0" fontId="60" fillId="26" borderId="52" xfId="0" applyNumberFormat="1" applyFont="1" applyFill="1" applyBorder="1" applyAlignment="1">
      <alignment horizontal="center" vertical="center"/>
    </xf>
    <xf numFmtId="0" fontId="60" fillId="26" borderId="0" xfId="0" applyNumberFormat="1" applyFont="1" applyFill="1" applyBorder="1" applyAlignment="1">
      <alignment horizontal="center" vertical="center"/>
    </xf>
    <xf numFmtId="0" fontId="41" fillId="14" borderId="14" xfId="0" applyFont="1" applyFill="1" applyBorder="1" applyAlignment="1">
      <alignment horizontal="center" vertical="center"/>
    </xf>
    <xf numFmtId="0" fontId="41" fillId="14" borderId="9" xfId="0" applyFont="1" applyFill="1" applyBorder="1" applyAlignment="1">
      <alignment horizontal="center" vertical="center"/>
    </xf>
    <xf numFmtId="0" fontId="41" fillId="14" borderId="15" xfId="0" applyFont="1" applyFill="1" applyBorder="1" applyAlignment="1">
      <alignment horizontal="center" vertical="center"/>
    </xf>
    <xf numFmtId="0" fontId="41" fillId="14" borderId="21" xfId="0" applyFont="1" applyFill="1" applyBorder="1" applyAlignment="1">
      <alignment horizontal="center" vertical="center"/>
    </xf>
    <xf numFmtId="0" fontId="41" fillId="14" borderId="16" xfId="0" applyFont="1" applyFill="1" applyBorder="1" applyAlignment="1">
      <alignment horizontal="center" vertical="center"/>
    </xf>
    <xf numFmtId="0" fontId="41" fillId="14" borderId="20" xfId="0" applyFont="1" applyFill="1" applyBorder="1" applyAlignment="1">
      <alignment horizontal="center" vertical="center"/>
    </xf>
    <xf numFmtId="0" fontId="31" fillId="0" borderId="21" xfId="0" applyFont="1" applyFill="1" applyBorder="1" applyAlignment="1">
      <alignment horizontal="center" vertical="center"/>
    </xf>
    <xf numFmtId="0" fontId="31" fillId="0" borderId="16" xfId="0" applyFont="1" applyFill="1" applyBorder="1" applyAlignment="1">
      <alignment horizontal="center" vertical="center"/>
    </xf>
    <xf numFmtId="0" fontId="31" fillId="0" borderId="102" xfId="0" applyFont="1" applyFill="1" applyBorder="1" applyAlignment="1">
      <alignment horizontal="center" vertical="center"/>
    </xf>
    <xf numFmtId="0" fontId="10" fillId="0" borderId="105" xfId="0" applyFont="1" applyBorder="1" applyAlignment="1">
      <alignment horizontal="center"/>
    </xf>
    <xf numFmtId="0" fontId="10" fillId="0" borderId="55" xfId="0" applyFont="1" applyBorder="1" applyAlignment="1">
      <alignment horizontal="center"/>
    </xf>
    <xf numFmtId="0" fontId="10" fillId="0" borderId="54" xfId="0" applyFont="1" applyBorder="1" applyAlignment="1">
      <alignment horizontal="center"/>
    </xf>
    <xf numFmtId="0" fontId="10" fillId="0" borderId="37" xfId="0" applyFont="1" applyBorder="1" applyAlignment="1">
      <alignment horizontal="center"/>
    </xf>
    <xf numFmtId="0" fontId="10" fillId="0" borderId="22" xfId="0" applyFont="1" applyBorder="1" applyAlignment="1">
      <alignment horizontal="center"/>
    </xf>
    <xf numFmtId="0" fontId="10" fillId="0" borderId="54" xfId="0" applyFont="1" applyBorder="1" applyAlignment="1">
      <alignment horizontal="center" wrapText="1"/>
    </xf>
    <xf numFmtId="165" fontId="39" fillId="14" borderId="46" xfId="0" applyNumberFormat="1" applyFont="1" applyFill="1" applyBorder="1" applyAlignment="1">
      <alignment horizontal="center" vertical="center"/>
    </xf>
    <xf numFmtId="165" fontId="39" fillId="14" borderId="47" xfId="0" applyNumberFormat="1" applyFont="1" applyFill="1" applyBorder="1" applyAlignment="1">
      <alignment horizontal="center" vertical="center"/>
    </xf>
    <xf numFmtId="165" fontId="39" fillId="14" borderId="48" xfId="0" applyNumberFormat="1" applyFont="1" applyFill="1" applyBorder="1" applyAlignment="1">
      <alignment horizontal="center" vertical="center"/>
    </xf>
    <xf numFmtId="165" fontId="39" fillId="14" borderId="49" xfId="0" applyNumberFormat="1" applyFont="1" applyFill="1" applyBorder="1" applyAlignment="1">
      <alignment horizontal="center" vertical="center"/>
    </xf>
    <xf numFmtId="165" fontId="39" fillId="14" borderId="50" xfId="0" applyNumberFormat="1" applyFont="1" applyFill="1" applyBorder="1" applyAlignment="1">
      <alignment horizontal="center" vertical="center"/>
    </xf>
    <xf numFmtId="165" fontId="39" fillId="14" borderId="51" xfId="0" applyNumberFormat="1" applyFont="1" applyFill="1" applyBorder="1" applyAlignment="1">
      <alignment horizontal="center" vertical="center"/>
    </xf>
    <xf numFmtId="165" fontId="9" fillId="14" borderId="0" xfId="0" applyNumberFormat="1" applyFont="1" applyFill="1" applyBorder="1" applyAlignment="1">
      <alignment horizontal="center" vertical="center"/>
    </xf>
    <xf numFmtId="10" fontId="9" fillId="0" borderId="54" xfId="0" applyNumberFormat="1" applyFont="1" applyBorder="1" applyAlignment="1">
      <alignment horizontal="center"/>
    </xf>
    <xf numFmtId="0" fontId="9" fillId="0" borderId="54" xfId="0" applyNumberFormat="1" applyFont="1" applyBorder="1" applyAlignment="1">
      <alignment horizontal="center" vertical="center"/>
    </xf>
    <xf numFmtId="165" fontId="9" fillId="14" borderId="52" xfId="0" applyNumberFormat="1" applyFont="1" applyFill="1" applyBorder="1" applyAlignment="1">
      <alignment horizontal="center" vertical="center"/>
    </xf>
    <xf numFmtId="165" fontId="9" fillId="14" borderId="83" xfId="0" applyNumberFormat="1" applyFont="1" applyFill="1" applyBorder="1" applyAlignment="1">
      <alignment horizontal="center" vertical="center"/>
    </xf>
    <xf numFmtId="165" fontId="9" fillId="14" borderId="16" xfId="0" applyNumberFormat="1" applyFont="1" applyFill="1" applyBorder="1" applyAlignment="1">
      <alignment horizontal="center" vertical="center"/>
    </xf>
    <xf numFmtId="0" fontId="10" fillId="0" borderId="103" xfId="0" applyFont="1" applyBorder="1" applyAlignment="1">
      <alignment horizontal="center" vertical="center"/>
    </xf>
    <xf numFmtId="0" fontId="10" fillId="0" borderId="2" xfId="0" applyFont="1" applyBorder="1" applyAlignment="1">
      <alignment horizontal="center" vertical="center"/>
    </xf>
    <xf numFmtId="0" fontId="10" fillId="0" borderId="7" xfId="0" applyFont="1" applyBorder="1" applyAlignment="1">
      <alignment horizontal="center" vertical="center"/>
    </xf>
    <xf numFmtId="10" fontId="9" fillId="0" borderId="55" xfId="0" applyNumberFormat="1" applyFont="1" applyBorder="1" applyAlignment="1">
      <alignment horizontal="center"/>
    </xf>
    <xf numFmtId="10" fontId="9" fillId="0" borderId="22" xfId="0" applyNumberFormat="1" applyFont="1" applyBorder="1" applyAlignment="1">
      <alignment horizontal="center"/>
    </xf>
    <xf numFmtId="0" fontId="10" fillId="0" borderId="56" xfId="0" applyFont="1" applyBorder="1" applyAlignment="1">
      <alignment vertical="center"/>
    </xf>
    <xf numFmtId="0" fontId="10" fillId="0" borderId="54" xfId="0" applyFont="1" applyBorder="1" applyAlignment="1">
      <alignment vertical="center"/>
    </xf>
    <xf numFmtId="10" fontId="9" fillId="0" borderId="56" xfId="0" applyNumberFormat="1" applyFont="1" applyBorder="1" applyAlignment="1">
      <alignment horizontal="center" vertical="center"/>
    </xf>
    <xf numFmtId="10" fontId="9" fillId="0" borderId="54" xfId="0" applyNumberFormat="1" applyFont="1" applyBorder="1" applyAlignment="1">
      <alignment horizontal="center" vertical="center"/>
    </xf>
    <xf numFmtId="0" fontId="13" fillId="0" borderId="103" xfId="0" applyFont="1" applyBorder="1" applyAlignment="1">
      <alignment horizontal="center" vertical="center" wrapText="1"/>
    </xf>
    <xf numFmtId="0" fontId="13" fillId="0" borderId="2" xfId="0" applyFont="1" applyBorder="1" applyAlignment="1">
      <alignment horizontal="center" vertical="center" wrapText="1"/>
    </xf>
    <xf numFmtId="0" fontId="13" fillId="0" borderId="7" xfId="0" applyFont="1" applyBorder="1" applyAlignment="1">
      <alignment horizontal="center" vertical="center" wrapText="1"/>
    </xf>
    <xf numFmtId="0" fontId="13" fillId="0" borderId="8" xfId="0" applyFont="1" applyBorder="1" applyAlignment="1">
      <alignment horizontal="center" vertical="center"/>
    </xf>
    <xf numFmtId="0" fontId="13" fillId="0" borderId="2" xfId="0" applyFont="1" applyBorder="1" applyAlignment="1">
      <alignment horizontal="center" vertical="center"/>
    </xf>
    <xf numFmtId="0" fontId="13" fillId="0" borderId="7" xfId="0" applyFont="1" applyBorder="1" applyAlignment="1">
      <alignment horizontal="center" vertical="center"/>
    </xf>
    <xf numFmtId="0" fontId="9" fillId="0" borderId="22" xfId="0" applyFont="1" applyBorder="1" applyAlignment="1">
      <alignment horizontal="center" vertical="center"/>
    </xf>
    <xf numFmtId="0" fontId="9" fillId="0" borderId="21" xfId="0" applyFont="1" applyBorder="1" applyAlignment="1">
      <alignment horizontal="center" vertical="center"/>
    </xf>
    <xf numFmtId="0" fontId="60" fillId="26" borderId="83" xfId="0" applyFont="1" applyFill="1" applyBorder="1" applyAlignment="1">
      <alignment horizontal="center" vertical="center"/>
    </xf>
    <xf numFmtId="0" fontId="60" fillId="26" borderId="16" xfId="0" applyFont="1" applyFill="1" applyBorder="1" applyAlignment="1">
      <alignment horizontal="center" vertical="center"/>
    </xf>
    <xf numFmtId="0" fontId="39" fillId="14" borderId="46" xfId="0" applyNumberFormat="1" applyFont="1" applyFill="1" applyBorder="1" applyAlignment="1">
      <alignment horizontal="left" vertical="center"/>
    </xf>
    <xf numFmtId="0" fontId="39" fillId="14" borderId="47" xfId="0" applyNumberFormat="1" applyFont="1" applyFill="1" applyBorder="1" applyAlignment="1">
      <alignment horizontal="left" vertical="center"/>
    </xf>
    <xf numFmtId="0" fontId="39" fillId="14" borderId="48" xfId="0" applyNumberFormat="1" applyFont="1" applyFill="1" applyBorder="1" applyAlignment="1">
      <alignment horizontal="left" vertical="center"/>
    </xf>
    <xf numFmtId="0" fontId="39" fillId="14" borderId="49" xfId="0" applyNumberFormat="1" applyFont="1" applyFill="1" applyBorder="1" applyAlignment="1">
      <alignment horizontal="left" vertical="center"/>
    </xf>
    <xf numFmtId="0" fontId="39" fillId="14" borderId="50" xfId="0" applyNumberFormat="1" applyFont="1" applyFill="1" applyBorder="1" applyAlignment="1">
      <alignment horizontal="left" vertical="center"/>
    </xf>
    <xf numFmtId="0" fontId="39" fillId="14" borderId="51" xfId="0" applyNumberFormat="1" applyFont="1" applyFill="1" applyBorder="1" applyAlignment="1">
      <alignment horizontal="left" vertical="center"/>
    </xf>
    <xf numFmtId="0" fontId="9" fillId="0" borderId="62" xfId="0" applyFont="1" applyBorder="1" applyAlignment="1">
      <alignment horizontal="center" vertical="center"/>
    </xf>
    <xf numFmtId="0" fontId="39" fillId="14" borderId="43" xfId="0" applyFont="1" applyFill="1" applyBorder="1" applyAlignment="1">
      <alignment horizontal="center" vertical="center"/>
    </xf>
    <xf numFmtId="0" fontId="39" fillId="14" borderId="44" xfId="0" applyFont="1" applyFill="1" applyBorder="1" applyAlignment="1">
      <alignment horizontal="center" vertical="center"/>
    </xf>
    <xf numFmtId="0" fontId="39" fillId="14" borderId="45" xfId="0" applyFont="1" applyFill="1" applyBorder="1" applyAlignment="1">
      <alignment horizontal="center" vertical="center"/>
    </xf>
    <xf numFmtId="0" fontId="8" fillId="14" borderId="48" xfId="0" applyFont="1" applyFill="1" applyBorder="1" applyAlignment="1">
      <alignment horizontal="center" vertical="center"/>
    </xf>
    <xf numFmtId="0" fontId="8" fillId="14" borderId="53" xfId="0" applyFont="1" applyFill="1" applyBorder="1" applyAlignment="1">
      <alignment horizontal="center" vertical="center"/>
    </xf>
    <xf numFmtId="0" fontId="8" fillId="14" borderId="49" xfId="0" applyFont="1" applyFill="1" applyBorder="1" applyAlignment="1">
      <alignment horizontal="center" vertical="center"/>
    </xf>
    <xf numFmtId="0" fontId="8" fillId="14" borderId="50" xfId="0" applyFont="1" applyFill="1" applyBorder="1" applyAlignment="1">
      <alignment horizontal="center" vertical="center"/>
    </xf>
    <xf numFmtId="0" fontId="8" fillId="14" borderId="51" xfId="0" applyFont="1" applyFill="1" applyBorder="1" applyAlignment="1">
      <alignment horizontal="center" vertical="center"/>
    </xf>
    <xf numFmtId="0" fontId="71" fillId="0" borderId="52" xfId="8" applyFont="1" applyFill="1" applyBorder="1" applyAlignment="1"/>
    <xf numFmtId="0" fontId="71" fillId="0" borderId="0" xfId="8" applyFont="1" applyFill="1" applyBorder="1" applyAlignment="1"/>
    <xf numFmtId="0" fontId="51" fillId="0" borderId="52" xfId="8" applyFont="1" applyFill="1" applyBorder="1" applyAlignment="1">
      <alignment horizontal="left"/>
    </xf>
    <xf numFmtId="0" fontId="51" fillId="0" borderId="0" xfId="8" applyFont="1" applyFill="1" applyBorder="1" applyAlignment="1">
      <alignment horizontal="left"/>
    </xf>
    <xf numFmtId="0" fontId="71" fillId="0" borderId="52" xfId="8" applyFont="1" applyFill="1" applyBorder="1" applyAlignment="1">
      <alignment horizontal="left"/>
    </xf>
    <xf numFmtId="0" fontId="71" fillId="0" borderId="0" xfId="8" applyFont="1" applyFill="1" applyBorder="1" applyAlignment="1">
      <alignment horizontal="left"/>
    </xf>
    <xf numFmtId="0" fontId="71" fillId="0" borderId="49" xfId="8" applyFont="1" applyFill="1" applyBorder="1" applyAlignment="1">
      <alignment horizontal="left"/>
    </xf>
    <xf numFmtId="0" fontId="71" fillId="0" borderId="50" xfId="8" applyFont="1" applyFill="1" applyBorder="1" applyAlignment="1">
      <alignment horizontal="left"/>
    </xf>
    <xf numFmtId="0" fontId="16" fillId="7" borderId="43" xfId="0" applyFont="1" applyFill="1" applyBorder="1" applyAlignment="1">
      <alignment horizontal="center" vertical="center"/>
    </xf>
    <xf numFmtId="0" fontId="16" fillId="7" borderId="44" xfId="0" applyFont="1" applyFill="1" applyBorder="1" applyAlignment="1">
      <alignment horizontal="center" vertical="center"/>
    </xf>
    <xf numFmtId="0" fontId="16" fillId="7" borderId="45" xfId="0" applyFont="1" applyFill="1" applyBorder="1" applyAlignment="1">
      <alignment horizontal="center" vertical="center"/>
    </xf>
    <xf numFmtId="0" fontId="10" fillId="0" borderId="0" xfId="0" applyFont="1" applyFill="1" applyBorder="1"/>
    <xf numFmtId="0" fontId="10" fillId="0" borderId="53" xfId="0" applyFont="1" applyFill="1" applyBorder="1"/>
    <xf numFmtId="0" fontId="9" fillId="0" borderId="99" xfId="0" applyFont="1" applyBorder="1" applyAlignment="1">
      <alignment horizontal="center" vertical="center"/>
    </xf>
    <xf numFmtId="0" fontId="9" fillId="0" borderId="65" xfId="0" applyFont="1" applyBorder="1" applyAlignment="1">
      <alignment horizontal="center" vertical="center"/>
    </xf>
    <xf numFmtId="0" fontId="9" fillId="0" borderId="66" xfId="0" applyFont="1" applyBorder="1" applyAlignment="1">
      <alignment horizontal="center" vertical="center"/>
    </xf>
    <xf numFmtId="0" fontId="41" fillId="14" borderId="52" xfId="0" applyFont="1" applyFill="1" applyBorder="1" applyAlignment="1">
      <alignment horizontal="center"/>
    </xf>
    <xf numFmtId="0" fontId="41" fillId="14" borderId="0" xfId="0" applyFont="1" applyFill="1" applyBorder="1" applyAlignment="1">
      <alignment horizontal="center"/>
    </xf>
    <xf numFmtId="0" fontId="60" fillId="26" borderId="53" xfId="0" applyFont="1" applyFill="1" applyBorder="1" applyAlignment="1">
      <alignment horizontal="center" vertical="center"/>
    </xf>
    <xf numFmtId="0" fontId="9" fillId="0" borderId="54" xfId="0" applyFont="1" applyBorder="1" applyAlignment="1">
      <alignment horizontal="center"/>
    </xf>
    <xf numFmtId="0" fontId="40" fillId="14" borderId="122" xfId="0" applyFont="1" applyFill="1" applyBorder="1" applyAlignment="1">
      <alignment horizontal="center" vertical="center"/>
    </xf>
    <xf numFmtId="0" fontId="40" fillId="14" borderId="2" xfId="0" applyFont="1" applyFill="1" applyBorder="1" applyAlignment="1">
      <alignment horizontal="center" vertical="center"/>
    </xf>
    <xf numFmtId="0" fontId="40" fillId="14" borderId="7" xfId="0" applyFont="1" applyFill="1" applyBorder="1" applyAlignment="1">
      <alignment horizontal="center" vertical="center"/>
    </xf>
    <xf numFmtId="0" fontId="13" fillId="0" borderId="8" xfId="0" applyFont="1" applyBorder="1" applyAlignment="1">
      <alignment horizontal="center" vertical="center" wrapText="1"/>
    </xf>
    <xf numFmtId="0" fontId="13" fillId="0" borderId="8" xfId="0" applyFont="1" applyBorder="1" applyAlignment="1">
      <alignment horizontal="center"/>
    </xf>
    <xf numFmtId="0" fontId="13" fillId="0" borderId="2" xfId="0" applyFont="1" applyBorder="1" applyAlignment="1">
      <alignment horizontal="center"/>
    </xf>
    <xf numFmtId="0" fontId="13" fillId="0" borderId="7" xfId="0" applyFont="1" applyBorder="1" applyAlignment="1">
      <alignment horizontal="center"/>
    </xf>
    <xf numFmtId="0" fontId="13" fillId="0" borderId="103" xfId="0" applyFont="1" applyBorder="1" applyAlignment="1">
      <alignment horizontal="center" vertical="center"/>
    </xf>
    <xf numFmtId="0" fontId="40" fillId="14" borderId="14" xfId="0" applyFont="1" applyFill="1" applyBorder="1" applyAlignment="1">
      <alignment horizontal="center" vertical="center"/>
    </xf>
    <xf numFmtId="0" fontId="40" fillId="14" borderId="9" xfId="0" applyFont="1" applyFill="1" applyBorder="1" applyAlignment="1">
      <alignment horizontal="center" vertical="center"/>
    </xf>
    <xf numFmtId="0" fontId="40" fillId="14" borderId="127" xfId="0" applyFont="1" applyFill="1" applyBorder="1" applyAlignment="1">
      <alignment horizontal="center" vertical="center"/>
    </xf>
    <xf numFmtId="0" fontId="40" fillId="14" borderId="21" xfId="0" applyFont="1" applyFill="1" applyBorder="1" applyAlignment="1">
      <alignment horizontal="center" vertical="center"/>
    </xf>
    <xf numFmtId="0" fontId="40" fillId="14" borderId="16" xfId="0" applyFont="1" applyFill="1" applyBorder="1" applyAlignment="1">
      <alignment horizontal="center" vertical="center"/>
    </xf>
    <xf numFmtId="0" fontId="40" fillId="14" borderId="128" xfId="0" applyFont="1" applyFill="1" applyBorder="1" applyAlignment="1">
      <alignment horizontal="center" vertical="center"/>
    </xf>
    <xf numFmtId="0" fontId="40" fillId="14" borderId="121" xfId="0" applyFont="1" applyFill="1" applyBorder="1" applyAlignment="1">
      <alignment horizontal="center" vertical="center"/>
    </xf>
    <xf numFmtId="0" fontId="39" fillId="27" borderId="56" xfId="0" applyFont="1" applyFill="1" applyBorder="1" applyAlignment="1">
      <alignment horizontal="center" vertical="center"/>
    </xf>
    <xf numFmtId="0" fontId="39" fillId="27" borderId="54" xfId="0" applyFont="1" applyFill="1" applyBorder="1" applyAlignment="1">
      <alignment horizontal="center" vertical="center"/>
    </xf>
    <xf numFmtId="0" fontId="9" fillId="0" borderId="8" xfId="0" applyFont="1" applyBorder="1" applyAlignment="1">
      <alignment horizontal="center" vertical="center" wrapText="1"/>
    </xf>
    <xf numFmtId="0" fontId="9" fillId="0" borderId="2" xfId="0" applyFont="1" applyBorder="1" applyAlignment="1">
      <alignment horizontal="center" vertical="center" wrapText="1"/>
    </xf>
    <xf numFmtId="0" fontId="9" fillId="0" borderId="7" xfId="0" applyFont="1" applyBorder="1" applyAlignment="1">
      <alignment horizontal="center" vertical="center" wrapText="1"/>
    </xf>
    <xf numFmtId="0" fontId="9" fillId="0" borderId="8" xfId="0" applyFont="1" applyBorder="1" applyAlignment="1">
      <alignment horizontal="center" vertical="center"/>
    </xf>
    <xf numFmtId="0" fontId="9" fillId="0" borderId="2" xfId="0" applyFont="1" applyBorder="1" applyAlignment="1">
      <alignment horizontal="center" vertical="center"/>
    </xf>
    <xf numFmtId="0" fontId="9" fillId="0" borderId="7" xfId="0" applyFont="1" applyBorder="1" applyAlignment="1">
      <alignment horizontal="center" vertical="center"/>
    </xf>
    <xf numFmtId="0" fontId="71" fillId="0" borderId="47" xfId="8" applyFont="1" applyFill="1" applyBorder="1" applyAlignment="1">
      <alignment horizontal="left"/>
    </xf>
    <xf numFmtId="0" fontId="71" fillId="0" borderId="48" xfId="8" applyFont="1" applyFill="1" applyBorder="1" applyAlignment="1">
      <alignment horizontal="left"/>
    </xf>
    <xf numFmtId="0" fontId="71" fillId="0" borderId="53" xfId="8" applyFont="1" applyFill="1" applyBorder="1" applyAlignment="1">
      <alignment horizontal="left"/>
    </xf>
    <xf numFmtId="0" fontId="41" fillId="14" borderId="8" xfId="0" applyFont="1" applyFill="1" applyBorder="1" applyAlignment="1">
      <alignment horizontal="center" vertical="center"/>
    </xf>
    <xf numFmtId="0" fontId="41" fillId="14" borderId="2" xfId="0" applyFont="1" applyFill="1" applyBorder="1" applyAlignment="1">
      <alignment horizontal="center" vertical="center"/>
    </xf>
    <xf numFmtId="0" fontId="41" fillId="14" borderId="7" xfId="0" applyFont="1" applyFill="1" applyBorder="1" applyAlignment="1">
      <alignment horizontal="center" vertical="center"/>
    </xf>
    <xf numFmtId="0" fontId="41" fillId="14" borderId="54" xfId="0" applyFont="1" applyFill="1" applyBorder="1" applyAlignment="1">
      <alignment horizontal="center"/>
    </xf>
    <xf numFmtId="0" fontId="10" fillId="0" borderId="50" xfId="0" applyFont="1" applyFill="1" applyBorder="1"/>
    <xf numFmtId="0" fontId="10" fillId="0" borderId="51" xfId="0" applyFont="1" applyFill="1" applyBorder="1"/>
    <xf numFmtId="0" fontId="31" fillId="0" borderId="59" xfId="0" applyFont="1" applyBorder="1" applyAlignment="1">
      <alignment horizontal="center"/>
    </xf>
    <xf numFmtId="0" fontId="41" fillId="14" borderId="71" xfId="0" quotePrefix="1" applyFont="1" applyFill="1" applyBorder="1" applyAlignment="1">
      <alignment horizontal="center" vertical="center"/>
    </xf>
    <xf numFmtId="0" fontId="41" fillId="14" borderId="29" xfId="0" applyFont="1" applyFill="1" applyBorder="1" applyAlignment="1">
      <alignment horizontal="center" vertical="center"/>
    </xf>
    <xf numFmtId="0" fontId="41" fillId="14" borderId="116" xfId="0" applyFont="1" applyFill="1" applyBorder="1" applyAlignment="1">
      <alignment horizontal="center" vertical="center"/>
    </xf>
    <xf numFmtId="0" fontId="41" fillId="14" borderId="49" xfId="0" applyFont="1" applyFill="1" applyBorder="1" applyAlignment="1">
      <alignment horizontal="center" vertical="center"/>
    </xf>
    <xf numFmtId="0" fontId="41" fillId="14" borderId="50" xfId="0" applyFont="1" applyFill="1" applyBorder="1" applyAlignment="1">
      <alignment horizontal="center" vertical="center"/>
    </xf>
    <xf numFmtId="0" fontId="41" fillId="14" borderId="126" xfId="0" applyFont="1" applyFill="1" applyBorder="1" applyAlignment="1">
      <alignment horizontal="center" vertical="center"/>
    </xf>
    <xf numFmtId="165" fontId="39" fillId="14" borderId="46" xfId="0" applyNumberFormat="1" applyFont="1" applyFill="1" applyBorder="1" applyAlignment="1">
      <alignment horizontal="left" vertical="center"/>
    </xf>
    <xf numFmtId="165" fontId="39" fillId="14" borderId="47" xfId="0" applyNumberFormat="1" applyFont="1" applyFill="1" applyBorder="1" applyAlignment="1">
      <alignment horizontal="left" vertical="center"/>
    </xf>
    <xf numFmtId="165" fontId="39" fillId="14" borderId="48" xfId="0" applyNumberFormat="1" applyFont="1" applyFill="1" applyBorder="1" applyAlignment="1">
      <alignment horizontal="left" vertical="center"/>
    </xf>
    <xf numFmtId="165" fontId="39" fillId="14" borderId="49" xfId="0" applyNumberFormat="1" applyFont="1" applyFill="1" applyBorder="1" applyAlignment="1">
      <alignment horizontal="left" vertical="center"/>
    </xf>
    <xf numFmtId="165" fontId="39" fillId="14" borderId="50" xfId="0" applyNumberFormat="1" applyFont="1" applyFill="1" applyBorder="1" applyAlignment="1">
      <alignment horizontal="left" vertical="center"/>
    </xf>
    <xf numFmtId="165" fontId="39" fillId="14" borderId="51" xfId="0" applyNumberFormat="1" applyFont="1" applyFill="1" applyBorder="1" applyAlignment="1">
      <alignment horizontal="left" vertical="center"/>
    </xf>
    <xf numFmtId="0" fontId="60" fillId="26" borderId="49" xfId="0" applyFont="1" applyFill="1" applyBorder="1" applyAlignment="1">
      <alignment horizontal="center" vertical="center"/>
    </xf>
    <xf numFmtId="0" fontId="60" fillId="26" borderId="50" xfId="0" applyFont="1" applyFill="1" applyBorder="1" applyAlignment="1">
      <alignment horizontal="center" vertical="center"/>
    </xf>
    <xf numFmtId="0" fontId="9" fillId="0" borderId="56" xfId="0" applyFont="1" applyBorder="1" applyAlignment="1">
      <alignment horizontal="center"/>
    </xf>
    <xf numFmtId="0" fontId="9" fillId="0" borderId="103" xfId="0" applyFont="1" applyBorder="1" applyAlignment="1">
      <alignment horizontal="center" vertical="center"/>
    </xf>
  </cellXfs>
  <cellStyles count="9">
    <cellStyle name="Comma 2" xfId="4"/>
    <cellStyle name="Hyperlink" xfId="8" builtinId="8"/>
    <cellStyle name="Normal" xfId="0" builtinId="0"/>
    <cellStyle name="Normal 11" xfId="5"/>
    <cellStyle name="Normal 4" xfId="2"/>
    <cellStyle name="Normal 5" xfId="6"/>
    <cellStyle name="Normal 8" xfId="7"/>
    <cellStyle name="Percent" xfId="1" builtinId="5"/>
    <cellStyle name="Percent 2" xfId="3"/>
  </cellStyles>
  <dxfs count="74">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fill>
        <patternFill patternType="none">
          <bgColor auto="1"/>
        </patternFill>
      </fill>
    </dxf>
    <dxf>
      <font>
        <color rgb="FFFF0000"/>
      </font>
      <fill>
        <patternFill patternType="none">
          <bgColor auto="1"/>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border>
        <left style="thin">
          <color rgb="FFFF0000"/>
        </left>
        <right style="thin">
          <color rgb="FFFF0000"/>
        </right>
        <top style="thin">
          <color rgb="FFFF0000"/>
        </top>
        <bottom style="thin">
          <color rgb="FFFF0000"/>
        </bottom>
        <vertical/>
        <horizontal/>
      </border>
    </dxf>
    <dxf>
      <border>
        <left style="thin">
          <color rgb="FFFF0000"/>
        </left>
        <right style="thin">
          <color rgb="FFFF0000"/>
        </right>
        <top style="thin">
          <color rgb="FFFF0000"/>
        </top>
        <bottom style="thin">
          <color rgb="FFFF0000"/>
        </bottom>
        <vertical/>
        <horizontal/>
      </border>
    </dxf>
    <dxf>
      <border>
        <left style="thin">
          <color rgb="FFFF0000"/>
        </left>
        <right style="thin">
          <color rgb="FFFF0000"/>
        </right>
        <top style="thin">
          <color rgb="FFFF0000"/>
        </top>
        <bottom style="thin">
          <color rgb="FFFF0000"/>
        </bottom>
        <vertical/>
        <horizontal/>
      </border>
    </dxf>
    <dxf>
      <border>
        <left style="thin">
          <color rgb="FFFF0000"/>
        </left>
        <right style="thin">
          <color rgb="FFFF0000"/>
        </right>
        <top style="thin">
          <color rgb="FFFF0000"/>
        </top>
        <bottom style="thin">
          <color rgb="FFFF0000"/>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numFmt numFmtId="178" formatCode="0.0000%"/>
    </dxf>
    <dxf>
      <numFmt numFmtId="171" formatCode="0_);[Red]\(0\)"/>
    </dxf>
    <dxf>
      <numFmt numFmtId="14" formatCode="0.00%"/>
    </dxf>
    <dxf>
      <numFmt numFmtId="14" formatCode="0.00%"/>
    </dxf>
    <dxf>
      <numFmt numFmtId="166" formatCode="0.0000_);[Red]\(0.0000\)"/>
    </dxf>
    <dxf>
      <numFmt numFmtId="170" formatCode="0.000_);[Red]\(0.000\)"/>
    </dxf>
    <dxf>
      <numFmt numFmtId="183" formatCode="0.00000_);[Red]\(0.00000\)"/>
    </dxf>
    <dxf>
      <numFmt numFmtId="164" formatCode="0.00_);[Red]\(0.00\)"/>
    </dxf>
    <dxf>
      <numFmt numFmtId="167" formatCode="0.000000_);[Red]\(0.000000\)"/>
    </dxf>
    <dxf>
      <numFmt numFmtId="170" formatCode="0.000_);[Red]\(0.000\)"/>
    </dxf>
    <dxf>
      <numFmt numFmtId="164" formatCode="0.00_);[Red]\(0.00\)"/>
    </dxf>
    <dxf>
      <numFmt numFmtId="166" formatCode="0.0000_);[Red]\(0.0000\)"/>
    </dxf>
    <dxf>
      <numFmt numFmtId="166" formatCode="0.0000_);[Red]\(0.0000\)"/>
    </dxf>
    <dxf>
      <numFmt numFmtId="166" formatCode="0.0000_);[Red]\(0.0000\)"/>
    </dxf>
    <dxf>
      <numFmt numFmtId="170" formatCode="0.000_);[Red]\(0.000\)"/>
    </dxf>
    <dxf>
      <numFmt numFmtId="171" formatCode="0_);[Red]\(0\)"/>
    </dxf>
    <dxf>
      <numFmt numFmtId="14" formatCode="0.00%"/>
    </dxf>
    <dxf>
      <font>
        <color rgb="FFFF0000"/>
      </font>
    </dxf>
    <dxf>
      <numFmt numFmtId="14" formatCode="0.00%"/>
    </dxf>
    <dxf>
      <font>
        <color rgb="FFFF0000"/>
      </font>
    </dxf>
    <dxf>
      <numFmt numFmtId="14" formatCode="0.00%"/>
    </dxf>
    <dxf>
      <font>
        <color rgb="FFFF0000"/>
      </font>
    </dxf>
    <dxf>
      <numFmt numFmtId="14" formatCode="0.00%"/>
    </dxf>
    <dxf>
      <font>
        <color rgb="FFFF0000"/>
      </font>
    </dxf>
    <dxf>
      <numFmt numFmtId="14" formatCode="0.00%"/>
    </dxf>
    <dxf>
      <font>
        <color theme="0"/>
      </font>
      <fill>
        <patternFill patternType="none">
          <bgColor auto="1"/>
        </patternFill>
      </fill>
    </dxf>
    <dxf>
      <font>
        <color theme="0"/>
      </font>
    </dxf>
    <dxf>
      <font>
        <color rgb="FFFF0000"/>
      </font>
      <border>
        <left style="thin">
          <color rgb="FFFF0000"/>
        </left>
        <right style="thin">
          <color rgb="FFFF0000"/>
        </right>
        <top style="thin">
          <color rgb="FFFF0000"/>
        </top>
        <bottom style="thin">
          <color rgb="FFFF0000"/>
        </bottom>
        <vertical/>
        <horizontal/>
      </border>
    </dxf>
    <dxf>
      <font>
        <color theme="0"/>
      </font>
      <fill>
        <patternFill patternType="none">
          <bgColor auto="1"/>
        </patternFill>
      </fill>
      <border>
        <left/>
        <top style="thin">
          <color auto="1"/>
        </top>
        <bottom/>
        <vertical/>
        <horizontal/>
      </border>
    </dxf>
    <dxf>
      <font>
        <color theme="0"/>
      </font>
      <fill>
        <patternFill patternType="none">
          <bgColor auto="1"/>
        </patternFill>
      </fill>
      <border>
        <left/>
        <top/>
        <bottom style="thin">
          <color auto="1"/>
        </bottom>
        <vertical/>
        <horizontal/>
      </border>
    </dxf>
    <dxf>
      <font>
        <color theme="0"/>
      </font>
      <fill>
        <patternFill patternType="none">
          <bgColor auto="1"/>
        </patternFill>
      </fill>
      <border>
        <left/>
        <top/>
        <bottom/>
        <vertical/>
        <horizontal/>
      </border>
    </dxf>
    <dxf>
      <font>
        <color theme="0"/>
      </font>
      <fill>
        <patternFill patternType="none">
          <bgColor auto="1"/>
        </patternFill>
      </fill>
      <border>
        <lef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border>
        <right style="thin">
          <color auto="1"/>
        </right>
        <vertical/>
        <horizontal/>
      </border>
    </dxf>
    <dxf>
      <font>
        <color theme="0"/>
      </font>
      <fill>
        <patternFill patternType="none">
          <bgColor auto="1"/>
        </patternFill>
      </fill>
      <border>
        <left/>
        <right/>
        <top/>
        <bottom/>
      </border>
    </dxf>
    <dxf>
      <border>
        <right style="thin">
          <color auto="1"/>
        </right>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style="thin">
          <color auto="1"/>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border>
        <left style="thin">
          <color rgb="FFFF0000"/>
        </left>
        <right style="thin">
          <color rgb="FFFF0000"/>
        </right>
        <top style="thin">
          <color rgb="FFFF0000"/>
        </top>
        <bottom style="thin">
          <color rgb="FFFF0000"/>
        </bottom>
        <vertical/>
        <horizontal/>
      </border>
    </dxf>
    <dxf>
      <border>
        <left style="thin">
          <color rgb="FFFF0000"/>
        </left>
        <right style="thin">
          <color rgb="FFFF0000"/>
        </right>
        <top style="thin">
          <color rgb="FFFF0000"/>
        </top>
        <bottom style="thin">
          <color rgb="FFFF0000"/>
        </bottom>
        <vertical/>
        <horizontal/>
      </border>
    </dxf>
  </dxfs>
  <tableStyles count="0" defaultTableStyle="TableStyleMedium2" defaultPivotStyle="PivotStyleLight16"/>
  <colors>
    <mruColors>
      <color rgb="FFFFCC00"/>
      <color rgb="FF996633"/>
      <color rgb="FFFF66CC"/>
      <color rgb="FF0B02BE"/>
      <color rgb="FF0088EE"/>
      <color rgb="FFFF9900"/>
      <color rgb="FF3BA0BB"/>
      <color rgb="FF993300"/>
      <color rgb="FF008000"/>
      <color rgb="FF009999"/>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harts/_rels/chart1.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0.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21.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'Misc. Data &amp; Mechanisms'!$A$705</c:f>
          <c:strCache>
            <c:ptCount val="1"/>
            <c:pt idx="0">
              <c:v>RRO Rate (¢/kWh) 2012-2019, by Service Zone</c:v>
            </c:pt>
          </c:strCache>
        </c:strRef>
      </c:tx>
      <c:layout>
        <c:manualLayout>
          <c:xMode val="edge"/>
          <c:yMode val="edge"/>
          <c:x val="0.38200864041237814"/>
          <c:y val="1.5434083601286173E-2"/>
        </c:manualLayout>
      </c:layout>
      <c:overlay val="0"/>
    </c:title>
    <c:autoTitleDeleted val="0"/>
    <c:plotArea>
      <c:layout/>
      <c:lineChart>
        <c:grouping val="standard"/>
        <c:varyColors val="0"/>
        <c:ser>
          <c:idx val="0"/>
          <c:order val="0"/>
          <c:tx>
            <c:strRef>
              <c:f>'Misc. Data &amp; Mechanisms'!$B$707</c:f>
              <c:strCache>
                <c:ptCount val="1"/>
                <c:pt idx="0">
                  <c:v>ENMAX</c:v>
                </c:pt>
              </c:strCache>
            </c:strRef>
          </c:tx>
          <c:spPr>
            <a:ln w="38100">
              <a:solidFill>
                <a:srgbClr val="C00000"/>
              </a:solidFill>
            </a:ln>
          </c:spPr>
          <c:marker>
            <c:symbol val="none"/>
          </c:marker>
          <c:cat>
            <c:numRef>
              <c:f>'Misc. Data &amp; Mechanisms'!$A$708:$A$797</c:f>
              <c:numCache>
                <c:formatCode>[$-409]mmm-yy;@</c:formatCode>
                <c:ptCount val="90"/>
                <c:pt idx="0">
                  <c:v>40909</c:v>
                </c:pt>
                <c:pt idx="1">
                  <c:v>40940</c:v>
                </c:pt>
                <c:pt idx="2">
                  <c:v>40969</c:v>
                </c:pt>
                <c:pt idx="3">
                  <c:v>41000</c:v>
                </c:pt>
                <c:pt idx="4">
                  <c:v>41030</c:v>
                </c:pt>
                <c:pt idx="5">
                  <c:v>41061</c:v>
                </c:pt>
                <c:pt idx="6">
                  <c:v>41091</c:v>
                </c:pt>
                <c:pt idx="7">
                  <c:v>41122</c:v>
                </c:pt>
                <c:pt idx="8">
                  <c:v>41153</c:v>
                </c:pt>
                <c:pt idx="9">
                  <c:v>41183</c:v>
                </c:pt>
                <c:pt idx="10">
                  <c:v>41214</c:v>
                </c:pt>
                <c:pt idx="11">
                  <c:v>41244</c:v>
                </c:pt>
                <c:pt idx="12">
                  <c:v>41275</c:v>
                </c:pt>
                <c:pt idx="13">
                  <c:v>41306</c:v>
                </c:pt>
                <c:pt idx="14">
                  <c:v>41334</c:v>
                </c:pt>
                <c:pt idx="15">
                  <c:v>41365</c:v>
                </c:pt>
                <c:pt idx="16">
                  <c:v>41395</c:v>
                </c:pt>
                <c:pt idx="17">
                  <c:v>41426</c:v>
                </c:pt>
                <c:pt idx="18">
                  <c:v>41456</c:v>
                </c:pt>
                <c:pt idx="19">
                  <c:v>41487</c:v>
                </c:pt>
                <c:pt idx="20">
                  <c:v>41518</c:v>
                </c:pt>
                <c:pt idx="21">
                  <c:v>41548</c:v>
                </c:pt>
                <c:pt idx="22">
                  <c:v>41579</c:v>
                </c:pt>
                <c:pt idx="23">
                  <c:v>41609</c:v>
                </c:pt>
                <c:pt idx="24">
                  <c:v>41640</c:v>
                </c:pt>
                <c:pt idx="25">
                  <c:v>41671</c:v>
                </c:pt>
                <c:pt idx="26">
                  <c:v>41699</c:v>
                </c:pt>
                <c:pt idx="27">
                  <c:v>41730</c:v>
                </c:pt>
                <c:pt idx="28">
                  <c:v>41760</c:v>
                </c:pt>
                <c:pt idx="29">
                  <c:v>41791</c:v>
                </c:pt>
                <c:pt idx="30">
                  <c:v>41821</c:v>
                </c:pt>
                <c:pt idx="31">
                  <c:v>41852</c:v>
                </c:pt>
                <c:pt idx="32">
                  <c:v>41883</c:v>
                </c:pt>
                <c:pt idx="33">
                  <c:v>41913</c:v>
                </c:pt>
                <c:pt idx="34">
                  <c:v>41944</c:v>
                </c:pt>
                <c:pt idx="35">
                  <c:v>41974</c:v>
                </c:pt>
                <c:pt idx="36">
                  <c:v>42005</c:v>
                </c:pt>
                <c:pt idx="37">
                  <c:v>42036</c:v>
                </c:pt>
                <c:pt idx="38">
                  <c:v>42064</c:v>
                </c:pt>
                <c:pt idx="39">
                  <c:v>42095</c:v>
                </c:pt>
                <c:pt idx="40">
                  <c:v>42125</c:v>
                </c:pt>
                <c:pt idx="41">
                  <c:v>42156</c:v>
                </c:pt>
                <c:pt idx="42">
                  <c:v>42186</c:v>
                </c:pt>
                <c:pt idx="43">
                  <c:v>42217</c:v>
                </c:pt>
                <c:pt idx="44">
                  <c:v>42248</c:v>
                </c:pt>
                <c:pt idx="45">
                  <c:v>42278</c:v>
                </c:pt>
                <c:pt idx="46">
                  <c:v>42309</c:v>
                </c:pt>
                <c:pt idx="47">
                  <c:v>42339</c:v>
                </c:pt>
                <c:pt idx="48">
                  <c:v>42370</c:v>
                </c:pt>
                <c:pt idx="49">
                  <c:v>42401</c:v>
                </c:pt>
                <c:pt idx="50">
                  <c:v>42430</c:v>
                </c:pt>
                <c:pt idx="51">
                  <c:v>42461</c:v>
                </c:pt>
                <c:pt idx="52">
                  <c:v>42491</c:v>
                </c:pt>
                <c:pt idx="53">
                  <c:v>42522</c:v>
                </c:pt>
                <c:pt idx="54">
                  <c:v>42552</c:v>
                </c:pt>
                <c:pt idx="55">
                  <c:v>42583</c:v>
                </c:pt>
                <c:pt idx="56">
                  <c:v>42614</c:v>
                </c:pt>
                <c:pt idx="57">
                  <c:v>42644</c:v>
                </c:pt>
                <c:pt idx="58">
                  <c:v>42675</c:v>
                </c:pt>
                <c:pt idx="59">
                  <c:v>42705</c:v>
                </c:pt>
                <c:pt idx="60">
                  <c:v>42736</c:v>
                </c:pt>
                <c:pt idx="61">
                  <c:v>42767</c:v>
                </c:pt>
                <c:pt idx="62">
                  <c:v>42795</c:v>
                </c:pt>
                <c:pt idx="63">
                  <c:v>42826</c:v>
                </c:pt>
                <c:pt idx="64">
                  <c:v>42856</c:v>
                </c:pt>
                <c:pt idx="65">
                  <c:v>42887</c:v>
                </c:pt>
                <c:pt idx="66">
                  <c:v>42917</c:v>
                </c:pt>
                <c:pt idx="67">
                  <c:v>42948</c:v>
                </c:pt>
                <c:pt idx="68">
                  <c:v>42979</c:v>
                </c:pt>
                <c:pt idx="69">
                  <c:v>43009</c:v>
                </c:pt>
                <c:pt idx="70">
                  <c:v>43040</c:v>
                </c:pt>
                <c:pt idx="71">
                  <c:v>43070</c:v>
                </c:pt>
                <c:pt idx="72">
                  <c:v>43101</c:v>
                </c:pt>
                <c:pt idx="73">
                  <c:v>43132</c:v>
                </c:pt>
                <c:pt idx="74">
                  <c:v>43160</c:v>
                </c:pt>
                <c:pt idx="75">
                  <c:v>43191</c:v>
                </c:pt>
                <c:pt idx="76">
                  <c:v>43221</c:v>
                </c:pt>
                <c:pt idx="77">
                  <c:v>43252</c:v>
                </c:pt>
                <c:pt idx="78">
                  <c:v>43282</c:v>
                </c:pt>
                <c:pt idx="79">
                  <c:v>43313</c:v>
                </c:pt>
                <c:pt idx="80">
                  <c:v>43344</c:v>
                </c:pt>
                <c:pt idx="81">
                  <c:v>43374</c:v>
                </c:pt>
                <c:pt idx="82">
                  <c:v>43405</c:v>
                </c:pt>
                <c:pt idx="83">
                  <c:v>43435</c:v>
                </c:pt>
                <c:pt idx="84">
                  <c:v>43466</c:v>
                </c:pt>
                <c:pt idx="85">
                  <c:v>43497</c:v>
                </c:pt>
                <c:pt idx="86">
                  <c:v>43525</c:v>
                </c:pt>
                <c:pt idx="87">
                  <c:v>43556</c:v>
                </c:pt>
                <c:pt idx="88">
                  <c:v>43586</c:v>
                </c:pt>
                <c:pt idx="89">
                  <c:v>43617</c:v>
                </c:pt>
              </c:numCache>
            </c:numRef>
          </c:cat>
          <c:val>
            <c:numRef>
              <c:f>'Misc. Data &amp; Mechanisms'!$B$708:$B$797</c:f>
              <c:numCache>
                <c:formatCode>0.00_);[Red]\(0.00\)</c:formatCode>
                <c:ptCount val="90"/>
                <c:pt idx="0">
                  <c:v>15.284000000000001</c:v>
                </c:pt>
                <c:pt idx="1">
                  <c:v>13.69</c:v>
                </c:pt>
                <c:pt idx="2">
                  <c:v>8.218</c:v>
                </c:pt>
                <c:pt idx="3">
                  <c:v>7.1760000000000002</c:v>
                </c:pt>
                <c:pt idx="4">
                  <c:v>6.3503999999999996</c:v>
                </c:pt>
                <c:pt idx="5">
                  <c:v>7.6746999999999996</c:v>
                </c:pt>
                <c:pt idx="6">
                  <c:v>9.0332000000000008</c:v>
                </c:pt>
                <c:pt idx="7">
                  <c:v>11.3147</c:v>
                </c:pt>
                <c:pt idx="8">
                  <c:v>10.763</c:v>
                </c:pt>
                <c:pt idx="9">
                  <c:v>9.6221999999999994</c:v>
                </c:pt>
                <c:pt idx="10">
                  <c:v>7.3994999999999997</c:v>
                </c:pt>
                <c:pt idx="11">
                  <c:v>8.4816000000000003</c:v>
                </c:pt>
                <c:pt idx="12">
                  <c:v>9.1424000000000003</c:v>
                </c:pt>
                <c:pt idx="13">
                  <c:v>7.6902999999999997</c:v>
                </c:pt>
                <c:pt idx="14">
                  <c:v>7.2336</c:v>
                </c:pt>
                <c:pt idx="15">
                  <c:v>8.3926999999999996</c:v>
                </c:pt>
                <c:pt idx="16">
                  <c:v>7.2154999999999996</c:v>
                </c:pt>
                <c:pt idx="17">
                  <c:v>7.7211999999999996</c:v>
                </c:pt>
                <c:pt idx="18">
                  <c:v>11.292999999999999</c:v>
                </c:pt>
                <c:pt idx="19">
                  <c:v>11.211</c:v>
                </c:pt>
                <c:pt idx="20">
                  <c:v>10.948</c:v>
                </c:pt>
                <c:pt idx="21">
                  <c:v>8.0594000000000001</c:v>
                </c:pt>
                <c:pt idx="22">
                  <c:v>7.9027000000000003</c:v>
                </c:pt>
                <c:pt idx="23">
                  <c:v>7.5796000000000001</c:v>
                </c:pt>
                <c:pt idx="24">
                  <c:v>7.8040000000000003</c:v>
                </c:pt>
                <c:pt idx="25">
                  <c:v>7.1909000000000001</c:v>
                </c:pt>
                <c:pt idx="26">
                  <c:v>7.3186999999999998</c:v>
                </c:pt>
                <c:pt idx="27">
                  <c:v>7.0838000000000001</c:v>
                </c:pt>
                <c:pt idx="28">
                  <c:v>10.612</c:v>
                </c:pt>
                <c:pt idx="29">
                  <c:v>5.4981</c:v>
                </c:pt>
                <c:pt idx="30">
                  <c:v>7.7039999999999997</c:v>
                </c:pt>
                <c:pt idx="31">
                  <c:v>8.6411999999999995</c:v>
                </c:pt>
                <c:pt idx="32">
                  <c:v>9.0046999999999997</c:v>
                </c:pt>
                <c:pt idx="33">
                  <c:v>8.4507999999999992</c:v>
                </c:pt>
                <c:pt idx="34">
                  <c:v>6.3208000000000002</c:v>
                </c:pt>
                <c:pt idx="35">
                  <c:v>7.2981999999999996</c:v>
                </c:pt>
                <c:pt idx="36">
                  <c:v>7.4088000000000003</c:v>
                </c:pt>
                <c:pt idx="37">
                  <c:v>5.9298999999999999</c:v>
                </c:pt>
                <c:pt idx="38">
                  <c:v>4.9176000000000002</c:v>
                </c:pt>
                <c:pt idx="39">
                  <c:v>5.1140999999999996</c:v>
                </c:pt>
                <c:pt idx="40">
                  <c:v>4.5153999999999996</c:v>
                </c:pt>
                <c:pt idx="41">
                  <c:v>3.8008000000000002</c:v>
                </c:pt>
                <c:pt idx="42">
                  <c:v>8.2159999999999993</c:v>
                </c:pt>
                <c:pt idx="43">
                  <c:v>7.8959999999999999</c:v>
                </c:pt>
                <c:pt idx="44">
                  <c:v>5.407</c:v>
                </c:pt>
                <c:pt idx="45">
                  <c:v>5.5547000000000004</c:v>
                </c:pt>
                <c:pt idx="46">
                  <c:v>5.0035999999999996</c:v>
                </c:pt>
                <c:pt idx="47">
                  <c:v>5.1921999999999997</c:v>
                </c:pt>
                <c:pt idx="48">
                  <c:v>4.7946999999999997</c:v>
                </c:pt>
                <c:pt idx="49">
                  <c:v>4.3921000000000001</c:v>
                </c:pt>
                <c:pt idx="50">
                  <c:v>4.1858000000000004</c:v>
                </c:pt>
                <c:pt idx="51">
                  <c:v>3.3496999999999999</c:v>
                </c:pt>
                <c:pt idx="52">
                  <c:v>3.3043</c:v>
                </c:pt>
                <c:pt idx="53">
                  <c:v>3.4636999999999998</c:v>
                </c:pt>
                <c:pt idx="54">
                  <c:v>4.9828000000000001</c:v>
                </c:pt>
                <c:pt idx="55">
                  <c:v>4.8665000000000003</c:v>
                </c:pt>
                <c:pt idx="56">
                  <c:v>3.6665999999999999</c:v>
                </c:pt>
                <c:pt idx="57">
                  <c:v>4.1272000000000002</c:v>
                </c:pt>
                <c:pt idx="58">
                  <c:v>3.8113999999999999</c:v>
                </c:pt>
                <c:pt idx="59">
                  <c:v>4.1670999999999996</c:v>
                </c:pt>
                <c:pt idx="60">
                  <c:v>4.3943000000000003</c:v>
                </c:pt>
                <c:pt idx="61">
                  <c:v>3.9241999999999999</c:v>
                </c:pt>
                <c:pt idx="62">
                  <c:v>3.4390000000000001</c:v>
                </c:pt>
                <c:pt idx="63">
                  <c:v>3.0567000000000002</c:v>
                </c:pt>
                <c:pt idx="64">
                  <c:v>2.9834999999999998</c:v>
                </c:pt>
                <c:pt idx="65">
                  <c:v>3.3946999999999998</c:v>
                </c:pt>
                <c:pt idx="66">
                  <c:v>4.2127999999999997</c:v>
                </c:pt>
                <c:pt idx="67">
                  <c:v>4.1050000000000004</c:v>
                </c:pt>
                <c:pt idx="68">
                  <c:v>3.766</c:v>
                </c:pt>
                <c:pt idx="69">
                  <c:v>3.8519999999999999</c:v>
                </c:pt>
                <c:pt idx="70">
                  <c:v>3.653</c:v>
                </c:pt>
                <c:pt idx="71">
                  <c:v>3.996</c:v>
                </c:pt>
                <c:pt idx="72">
                  <c:v>5.1120000000000001</c:v>
                </c:pt>
                <c:pt idx="73">
                  <c:v>5.1829999999999998</c:v>
                </c:pt>
                <c:pt idx="74">
                  <c:v>5.1100000000000003</c:v>
                </c:pt>
                <c:pt idx="75">
                  <c:v>6.8</c:v>
                </c:pt>
                <c:pt idx="76">
                  <c:v>5.5659999999999998</c:v>
                </c:pt>
                <c:pt idx="77">
                  <c:v>5.0620000000000003</c:v>
                </c:pt>
                <c:pt idx="78">
                  <c:v>6.8</c:v>
                </c:pt>
                <c:pt idx="79">
                  <c:v>6.8</c:v>
                </c:pt>
                <c:pt idx="80">
                  <c:v>6.8</c:v>
                </c:pt>
                <c:pt idx="81">
                  <c:v>6.4139999999999997</c:v>
                </c:pt>
                <c:pt idx="82">
                  <c:v>6.306</c:v>
                </c:pt>
                <c:pt idx="83">
                  <c:v>6.8</c:v>
                </c:pt>
                <c:pt idx="84">
                  <c:v>6.8</c:v>
                </c:pt>
                <c:pt idx="85">
                  <c:v>6.8</c:v>
                </c:pt>
                <c:pt idx="86">
                  <c:v>5.9139999999999997</c:v>
                </c:pt>
                <c:pt idx="87">
                  <c:v>6.0670000000000002</c:v>
                </c:pt>
                <c:pt idx="88">
                  <c:v>6.39</c:v>
                </c:pt>
                <c:pt idx="89">
                  <c:v>6.391</c:v>
                </c:pt>
              </c:numCache>
            </c:numRef>
          </c:val>
          <c:smooth val="0"/>
        </c:ser>
        <c:ser>
          <c:idx val="1"/>
          <c:order val="1"/>
          <c:tx>
            <c:strRef>
              <c:f>'Misc. Data &amp; Mechanisms'!$C$707</c:f>
              <c:strCache>
                <c:ptCount val="1"/>
                <c:pt idx="0">
                  <c:v>EPCOR</c:v>
                </c:pt>
              </c:strCache>
            </c:strRef>
          </c:tx>
          <c:spPr>
            <a:ln w="38100">
              <a:solidFill>
                <a:srgbClr val="4F81BD">
                  <a:lumMod val="75000"/>
                </a:srgbClr>
              </a:solidFill>
            </a:ln>
          </c:spPr>
          <c:marker>
            <c:symbol val="none"/>
          </c:marker>
          <c:cat>
            <c:numRef>
              <c:f>'Misc. Data &amp; Mechanisms'!$A$708:$A$797</c:f>
              <c:numCache>
                <c:formatCode>[$-409]mmm-yy;@</c:formatCode>
                <c:ptCount val="90"/>
                <c:pt idx="0">
                  <c:v>40909</c:v>
                </c:pt>
                <c:pt idx="1">
                  <c:v>40940</c:v>
                </c:pt>
                <c:pt idx="2">
                  <c:v>40969</c:v>
                </c:pt>
                <c:pt idx="3">
                  <c:v>41000</c:v>
                </c:pt>
                <c:pt idx="4">
                  <c:v>41030</c:v>
                </c:pt>
                <c:pt idx="5">
                  <c:v>41061</c:v>
                </c:pt>
                <c:pt idx="6">
                  <c:v>41091</c:v>
                </c:pt>
                <c:pt idx="7">
                  <c:v>41122</c:v>
                </c:pt>
                <c:pt idx="8">
                  <c:v>41153</c:v>
                </c:pt>
                <c:pt idx="9">
                  <c:v>41183</c:v>
                </c:pt>
                <c:pt idx="10">
                  <c:v>41214</c:v>
                </c:pt>
                <c:pt idx="11">
                  <c:v>41244</c:v>
                </c:pt>
                <c:pt idx="12">
                  <c:v>41275</c:v>
                </c:pt>
                <c:pt idx="13">
                  <c:v>41306</c:v>
                </c:pt>
                <c:pt idx="14">
                  <c:v>41334</c:v>
                </c:pt>
                <c:pt idx="15">
                  <c:v>41365</c:v>
                </c:pt>
                <c:pt idx="16">
                  <c:v>41395</c:v>
                </c:pt>
                <c:pt idx="17">
                  <c:v>41426</c:v>
                </c:pt>
                <c:pt idx="18">
                  <c:v>41456</c:v>
                </c:pt>
                <c:pt idx="19">
                  <c:v>41487</c:v>
                </c:pt>
                <c:pt idx="20">
                  <c:v>41518</c:v>
                </c:pt>
                <c:pt idx="21">
                  <c:v>41548</c:v>
                </c:pt>
                <c:pt idx="22">
                  <c:v>41579</c:v>
                </c:pt>
                <c:pt idx="23">
                  <c:v>41609</c:v>
                </c:pt>
                <c:pt idx="24">
                  <c:v>41640</c:v>
                </c:pt>
                <c:pt idx="25">
                  <c:v>41671</c:v>
                </c:pt>
                <c:pt idx="26">
                  <c:v>41699</c:v>
                </c:pt>
                <c:pt idx="27">
                  <c:v>41730</c:v>
                </c:pt>
                <c:pt idx="28">
                  <c:v>41760</c:v>
                </c:pt>
                <c:pt idx="29">
                  <c:v>41791</c:v>
                </c:pt>
                <c:pt idx="30">
                  <c:v>41821</c:v>
                </c:pt>
                <c:pt idx="31">
                  <c:v>41852</c:v>
                </c:pt>
                <c:pt idx="32">
                  <c:v>41883</c:v>
                </c:pt>
                <c:pt idx="33">
                  <c:v>41913</c:v>
                </c:pt>
                <c:pt idx="34">
                  <c:v>41944</c:v>
                </c:pt>
                <c:pt idx="35">
                  <c:v>41974</c:v>
                </c:pt>
                <c:pt idx="36">
                  <c:v>42005</c:v>
                </c:pt>
                <c:pt idx="37">
                  <c:v>42036</c:v>
                </c:pt>
                <c:pt idx="38">
                  <c:v>42064</c:v>
                </c:pt>
                <c:pt idx="39">
                  <c:v>42095</c:v>
                </c:pt>
                <c:pt idx="40">
                  <c:v>42125</c:v>
                </c:pt>
                <c:pt idx="41">
                  <c:v>42156</c:v>
                </c:pt>
                <c:pt idx="42">
                  <c:v>42186</c:v>
                </c:pt>
                <c:pt idx="43">
                  <c:v>42217</c:v>
                </c:pt>
                <c:pt idx="44">
                  <c:v>42248</c:v>
                </c:pt>
                <c:pt idx="45">
                  <c:v>42278</c:v>
                </c:pt>
                <c:pt idx="46">
                  <c:v>42309</c:v>
                </c:pt>
                <c:pt idx="47">
                  <c:v>42339</c:v>
                </c:pt>
                <c:pt idx="48">
                  <c:v>42370</c:v>
                </c:pt>
                <c:pt idx="49">
                  <c:v>42401</c:v>
                </c:pt>
                <c:pt idx="50">
                  <c:v>42430</c:v>
                </c:pt>
                <c:pt idx="51">
                  <c:v>42461</c:v>
                </c:pt>
                <c:pt idx="52">
                  <c:v>42491</c:v>
                </c:pt>
                <c:pt idx="53">
                  <c:v>42522</c:v>
                </c:pt>
                <c:pt idx="54">
                  <c:v>42552</c:v>
                </c:pt>
                <c:pt idx="55">
                  <c:v>42583</c:v>
                </c:pt>
                <c:pt idx="56">
                  <c:v>42614</c:v>
                </c:pt>
                <c:pt idx="57">
                  <c:v>42644</c:v>
                </c:pt>
                <c:pt idx="58">
                  <c:v>42675</c:v>
                </c:pt>
                <c:pt idx="59">
                  <c:v>42705</c:v>
                </c:pt>
                <c:pt idx="60">
                  <c:v>42736</c:v>
                </c:pt>
                <c:pt idx="61">
                  <c:v>42767</c:v>
                </c:pt>
                <c:pt idx="62">
                  <c:v>42795</c:v>
                </c:pt>
                <c:pt idx="63">
                  <c:v>42826</c:v>
                </c:pt>
                <c:pt idx="64">
                  <c:v>42856</c:v>
                </c:pt>
                <c:pt idx="65">
                  <c:v>42887</c:v>
                </c:pt>
                <c:pt idx="66">
                  <c:v>42917</c:v>
                </c:pt>
                <c:pt idx="67">
                  <c:v>42948</c:v>
                </c:pt>
                <c:pt idx="68">
                  <c:v>42979</c:v>
                </c:pt>
                <c:pt idx="69">
                  <c:v>43009</c:v>
                </c:pt>
                <c:pt idx="70">
                  <c:v>43040</c:v>
                </c:pt>
                <c:pt idx="71">
                  <c:v>43070</c:v>
                </c:pt>
                <c:pt idx="72">
                  <c:v>43101</c:v>
                </c:pt>
                <c:pt idx="73">
                  <c:v>43132</c:v>
                </c:pt>
                <c:pt idx="74">
                  <c:v>43160</c:v>
                </c:pt>
                <c:pt idx="75">
                  <c:v>43191</c:v>
                </c:pt>
                <c:pt idx="76">
                  <c:v>43221</c:v>
                </c:pt>
                <c:pt idx="77">
                  <c:v>43252</c:v>
                </c:pt>
                <c:pt idx="78">
                  <c:v>43282</c:v>
                </c:pt>
                <c:pt idx="79">
                  <c:v>43313</c:v>
                </c:pt>
                <c:pt idx="80">
                  <c:v>43344</c:v>
                </c:pt>
                <c:pt idx="81">
                  <c:v>43374</c:v>
                </c:pt>
                <c:pt idx="82">
                  <c:v>43405</c:v>
                </c:pt>
                <c:pt idx="83">
                  <c:v>43435</c:v>
                </c:pt>
                <c:pt idx="84">
                  <c:v>43466</c:v>
                </c:pt>
                <c:pt idx="85">
                  <c:v>43497</c:v>
                </c:pt>
                <c:pt idx="86">
                  <c:v>43525</c:v>
                </c:pt>
                <c:pt idx="87">
                  <c:v>43556</c:v>
                </c:pt>
                <c:pt idx="88">
                  <c:v>43586</c:v>
                </c:pt>
                <c:pt idx="89">
                  <c:v>43617</c:v>
                </c:pt>
              </c:numCache>
            </c:numRef>
          </c:cat>
          <c:val>
            <c:numRef>
              <c:f>'Misc. Data &amp; Mechanisms'!$C$708:$C$797</c:f>
              <c:numCache>
                <c:formatCode>0.00_);[Red]\(0.00\)</c:formatCode>
                <c:ptCount val="90"/>
                <c:pt idx="0">
                  <c:v>15.114000000000001</c:v>
                </c:pt>
                <c:pt idx="1">
                  <c:v>13.952</c:v>
                </c:pt>
                <c:pt idx="2">
                  <c:v>7.9829999999999997</c:v>
                </c:pt>
                <c:pt idx="3">
                  <c:v>7.3</c:v>
                </c:pt>
                <c:pt idx="4">
                  <c:v>6.3559999999999999</c:v>
                </c:pt>
                <c:pt idx="5">
                  <c:v>7.8410000000000002</c:v>
                </c:pt>
                <c:pt idx="6">
                  <c:v>9.0299999999999994</c:v>
                </c:pt>
                <c:pt idx="7">
                  <c:v>11.547000000000001</c:v>
                </c:pt>
                <c:pt idx="8">
                  <c:v>10.36</c:v>
                </c:pt>
                <c:pt idx="9">
                  <c:v>10.287000000000001</c:v>
                </c:pt>
                <c:pt idx="10">
                  <c:v>7.5679999999999996</c:v>
                </c:pt>
                <c:pt idx="11">
                  <c:v>8.5609999999999999</c:v>
                </c:pt>
                <c:pt idx="12">
                  <c:v>8.8759999999999994</c:v>
                </c:pt>
                <c:pt idx="13">
                  <c:v>7.5229999999999997</c:v>
                </c:pt>
                <c:pt idx="14">
                  <c:v>7.2880000000000003</c:v>
                </c:pt>
                <c:pt idx="15">
                  <c:v>8.2059999999999995</c:v>
                </c:pt>
                <c:pt idx="16">
                  <c:v>7.1</c:v>
                </c:pt>
                <c:pt idx="17">
                  <c:v>7.0739999999999998</c:v>
                </c:pt>
                <c:pt idx="18">
                  <c:v>10.76</c:v>
                </c:pt>
                <c:pt idx="19">
                  <c:v>11.406000000000001</c:v>
                </c:pt>
                <c:pt idx="20">
                  <c:v>10.522</c:v>
                </c:pt>
                <c:pt idx="21">
                  <c:v>8.2319999999999993</c:v>
                </c:pt>
                <c:pt idx="22">
                  <c:v>8.2439999999999998</c:v>
                </c:pt>
                <c:pt idx="23">
                  <c:v>8.1460000000000008</c:v>
                </c:pt>
                <c:pt idx="24">
                  <c:v>8.6890000000000001</c:v>
                </c:pt>
                <c:pt idx="25">
                  <c:v>7.4710000000000001</c:v>
                </c:pt>
                <c:pt idx="26">
                  <c:v>6.9909999999999997</c:v>
                </c:pt>
                <c:pt idx="27">
                  <c:v>6.9859999999999998</c:v>
                </c:pt>
                <c:pt idx="28">
                  <c:v>8.9220000000000006</c:v>
                </c:pt>
                <c:pt idx="29">
                  <c:v>5.9950000000000001</c:v>
                </c:pt>
                <c:pt idx="30">
                  <c:v>7.1980000000000004</c:v>
                </c:pt>
                <c:pt idx="31">
                  <c:v>8.0210000000000008</c:v>
                </c:pt>
                <c:pt idx="32">
                  <c:v>7.9539999999999997</c:v>
                </c:pt>
                <c:pt idx="33">
                  <c:v>8.7370000000000001</c:v>
                </c:pt>
                <c:pt idx="34">
                  <c:v>7.1269999999999998</c:v>
                </c:pt>
                <c:pt idx="35">
                  <c:v>7.5449999999999999</c:v>
                </c:pt>
                <c:pt idx="36">
                  <c:v>7.3019999999999996</c:v>
                </c:pt>
                <c:pt idx="37">
                  <c:v>6.5830000000000002</c:v>
                </c:pt>
                <c:pt idx="38">
                  <c:v>5.431</c:v>
                </c:pt>
                <c:pt idx="39">
                  <c:v>5.8319999999999999</c:v>
                </c:pt>
                <c:pt idx="40">
                  <c:v>4.3369999999999997</c:v>
                </c:pt>
                <c:pt idx="41">
                  <c:v>4.0890000000000004</c:v>
                </c:pt>
                <c:pt idx="42">
                  <c:v>6.14</c:v>
                </c:pt>
                <c:pt idx="43">
                  <c:v>5.8129999999999997</c:v>
                </c:pt>
                <c:pt idx="44">
                  <c:v>5.3869999999999996</c:v>
                </c:pt>
                <c:pt idx="45">
                  <c:v>5.4980000000000002</c:v>
                </c:pt>
                <c:pt idx="46">
                  <c:v>5.2119999999999997</c:v>
                </c:pt>
                <c:pt idx="47">
                  <c:v>5.4889999999999999</c:v>
                </c:pt>
                <c:pt idx="48">
                  <c:v>5.3040000000000003</c:v>
                </c:pt>
                <c:pt idx="49">
                  <c:v>4.7530000000000001</c:v>
                </c:pt>
                <c:pt idx="50">
                  <c:v>4.5209999999999999</c:v>
                </c:pt>
                <c:pt idx="51">
                  <c:v>3.65</c:v>
                </c:pt>
                <c:pt idx="52">
                  <c:v>3.3460000000000001</c:v>
                </c:pt>
                <c:pt idx="53">
                  <c:v>3.6110000000000002</c:v>
                </c:pt>
                <c:pt idx="54">
                  <c:v>4.9749999999999996</c:v>
                </c:pt>
                <c:pt idx="55">
                  <c:v>4.7539999999999996</c:v>
                </c:pt>
                <c:pt idx="56">
                  <c:v>3.9710000000000001</c:v>
                </c:pt>
                <c:pt idx="57">
                  <c:v>4.4560000000000004</c:v>
                </c:pt>
                <c:pt idx="58">
                  <c:v>3.7360000000000002</c:v>
                </c:pt>
                <c:pt idx="59">
                  <c:v>3.9820000000000002</c:v>
                </c:pt>
                <c:pt idx="60">
                  <c:v>4.1109999999999998</c:v>
                </c:pt>
                <c:pt idx="61">
                  <c:v>3.8729999999999998</c:v>
                </c:pt>
                <c:pt idx="62">
                  <c:v>3.32</c:v>
                </c:pt>
                <c:pt idx="63">
                  <c:v>3.032</c:v>
                </c:pt>
                <c:pt idx="64">
                  <c:v>2.782</c:v>
                </c:pt>
                <c:pt idx="65">
                  <c:v>2.823</c:v>
                </c:pt>
                <c:pt idx="66">
                  <c:v>3.4689999999999999</c:v>
                </c:pt>
                <c:pt idx="67">
                  <c:v>3.7149999999999999</c:v>
                </c:pt>
                <c:pt idx="68">
                  <c:v>3.3650000000000002</c:v>
                </c:pt>
                <c:pt idx="69">
                  <c:v>3.444</c:v>
                </c:pt>
                <c:pt idx="70">
                  <c:v>3.3330000000000002</c:v>
                </c:pt>
                <c:pt idx="71">
                  <c:v>3.774</c:v>
                </c:pt>
                <c:pt idx="72">
                  <c:v>4.7720000000000002</c:v>
                </c:pt>
                <c:pt idx="73">
                  <c:v>4.7809999999999997</c:v>
                </c:pt>
                <c:pt idx="74">
                  <c:v>4.5650000000000004</c:v>
                </c:pt>
                <c:pt idx="75">
                  <c:v>6.8</c:v>
                </c:pt>
                <c:pt idx="76">
                  <c:v>5.3789999999999996</c:v>
                </c:pt>
                <c:pt idx="77">
                  <c:v>5.9279999999999999</c:v>
                </c:pt>
                <c:pt idx="78">
                  <c:v>6.8</c:v>
                </c:pt>
                <c:pt idx="79">
                  <c:v>6.8</c:v>
                </c:pt>
                <c:pt idx="80">
                  <c:v>6.8</c:v>
                </c:pt>
                <c:pt idx="81">
                  <c:v>6.577</c:v>
                </c:pt>
                <c:pt idx="82">
                  <c:v>6.2220000000000004</c:v>
                </c:pt>
                <c:pt idx="83">
                  <c:v>6.8</c:v>
                </c:pt>
                <c:pt idx="84">
                  <c:v>6.8</c:v>
                </c:pt>
                <c:pt idx="85">
                  <c:v>6.8</c:v>
                </c:pt>
                <c:pt idx="86">
                  <c:v>5.9909999999999997</c:v>
                </c:pt>
                <c:pt idx="87">
                  <c:v>6.8</c:v>
                </c:pt>
                <c:pt idx="88">
                  <c:v>6.8</c:v>
                </c:pt>
                <c:pt idx="89">
                  <c:v>6.8</c:v>
                </c:pt>
              </c:numCache>
            </c:numRef>
          </c:val>
          <c:smooth val="0"/>
        </c:ser>
        <c:ser>
          <c:idx val="2"/>
          <c:order val="2"/>
          <c:tx>
            <c:strRef>
              <c:f>'Misc. Data &amp; Mechanisms'!$D$707</c:f>
              <c:strCache>
                <c:ptCount val="1"/>
                <c:pt idx="0">
                  <c:v>FORTIS</c:v>
                </c:pt>
              </c:strCache>
            </c:strRef>
          </c:tx>
          <c:spPr>
            <a:ln w="38100">
              <a:solidFill>
                <a:srgbClr val="9BBB59">
                  <a:lumMod val="75000"/>
                </a:srgbClr>
              </a:solidFill>
            </a:ln>
          </c:spPr>
          <c:marker>
            <c:symbol val="none"/>
          </c:marker>
          <c:cat>
            <c:numRef>
              <c:f>'Misc. Data &amp; Mechanisms'!$A$708:$A$797</c:f>
              <c:numCache>
                <c:formatCode>[$-409]mmm-yy;@</c:formatCode>
                <c:ptCount val="90"/>
                <c:pt idx="0">
                  <c:v>40909</c:v>
                </c:pt>
                <c:pt idx="1">
                  <c:v>40940</c:v>
                </c:pt>
                <c:pt idx="2">
                  <c:v>40969</c:v>
                </c:pt>
                <c:pt idx="3">
                  <c:v>41000</c:v>
                </c:pt>
                <c:pt idx="4">
                  <c:v>41030</c:v>
                </c:pt>
                <c:pt idx="5">
                  <c:v>41061</c:v>
                </c:pt>
                <c:pt idx="6">
                  <c:v>41091</c:v>
                </c:pt>
                <c:pt idx="7">
                  <c:v>41122</c:v>
                </c:pt>
                <c:pt idx="8">
                  <c:v>41153</c:v>
                </c:pt>
                <c:pt idx="9">
                  <c:v>41183</c:v>
                </c:pt>
                <c:pt idx="10">
                  <c:v>41214</c:v>
                </c:pt>
                <c:pt idx="11">
                  <c:v>41244</c:v>
                </c:pt>
                <c:pt idx="12">
                  <c:v>41275</c:v>
                </c:pt>
                <c:pt idx="13">
                  <c:v>41306</c:v>
                </c:pt>
                <c:pt idx="14">
                  <c:v>41334</c:v>
                </c:pt>
                <c:pt idx="15">
                  <c:v>41365</c:v>
                </c:pt>
                <c:pt idx="16">
                  <c:v>41395</c:v>
                </c:pt>
                <c:pt idx="17">
                  <c:v>41426</c:v>
                </c:pt>
                <c:pt idx="18">
                  <c:v>41456</c:v>
                </c:pt>
                <c:pt idx="19">
                  <c:v>41487</c:v>
                </c:pt>
                <c:pt idx="20">
                  <c:v>41518</c:v>
                </c:pt>
                <c:pt idx="21">
                  <c:v>41548</c:v>
                </c:pt>
                <c:pt idx="22">
                  <c:v>41579</c:v>
                </c:pt>
                <c:pt idx="23">
                  <c:v>41609</c:v>
                </c:pt>
                <c:pt idx="24">
                  <c:v>41640</c:v>
                </c:pt>
                <c:pt idx="25">
                  <c:v>41671</c:v>
                </c:pt>
                <c:pt idx="26">
                  <c:v>41699</c:v>
                </c:pt>
                <c:pt idx="27">
                  <c:v>41730</c:v>
                </c:pt>
                <c:pt idx="28">
                  <c:v>41760</c:v>
                </c:pt>
                <c:pt idx="29">
                  <c:v>41791</c:v>
                </c:pt>
                <c:pt idx="30">
                  <c:v>41821</c:v>
                </c:pt>
                <c:pt idx="31">
                  <c:v>41852</c:v>
                </c:pt>
                <c:pt idx="32">
                  <c:v>41883</c:v>
                </c:pt>
                <c:pt idx="33">
                  <c:v>41913</c:v>
                </c:pt>
                <c:pt idx="34">
                  <c:v>41944</c:v>
                </c:pt>
                <c:pt idx="35">
                  <c:v>41974</c:v>
                </c:pt>
                <c:pt idx="36">
                  <c:v>42005</c:v>
                </c:pt>
                <c:pt idx="37">
                  <c:v>42036</c:v>
                </c:pt>
                <c:pt idx="38">
                  <c:v>42064</c:v>
                </c:pt>
                <c:pt idx="39">
                  <c:v>42095</c:v>
                </c:pt>
                <c:pt idx="40">
                  <c:v>42125</c:v>
                </c:pt>
                <c:pt idx="41">
                  <c:v>42156</c:v>
                </c:pt>
                <c:pt idx="42">
                  <c:v>42186</c:v>
                </c:pt>
                <c:pt idx="43">
                  <c:v>42217</c:v>
                </c:pt>
                <c:pt idx="44">
                  <c:v>42248</c:v>
                </c:pt>
                <c:pt idx="45">
                  <c:v>42278</c:v>
                </c:pt>
                <c:pt idx="46">
                  <c:v>42309</c:v>
                </c:pt>
                <c:pt idx="47">
                  <c:v>42339</c:v>
                </c:pt>
                <c:pt idx="48">
                  <c:v>42370</c:v>
                </c:pt>
                <c:pt idx="49">
                  <c:v>42401</c:v>
                </c:pt>
                <c:pt idx="50">
                  <c:v>42430</c:v>
                </c:pt>
                <c:pt idx="51">
                  <c:v>42461</c:v>
                </c:pt>
                <c:pt idx="52">
                  <c:v>42491</c:v>
                </c:pt>
                <c:pt idx="53">
                  <c:v>42522</c:v>
                </c:pt>
                <c:pt idx="54">
                  <c:v>42552</c:v>
                </c:pt>
                <c:pt idx="55">
                  <c:v>42583</c:v>
                </c:pt>
                <c:pt idx="56">
                  <c:v>42614</c:v>
                </c:pt>
                <c:pt idx="57">
                  <c:v>42644</c:v>
                </c:pt>
                <c:pt idx="58">
                  <c:v>42675</c:v>
                </c:pt>
                <c:pt idx="59">
                  <c:v>42705</c:v>
                </c:pt>
                <c:pt idx="60">
                  <c:v>42736</c:v>
                </c:pt>
                <c:pt idx="61">
                  <c:v>42767</c:v>
                </c:pt>
                <c:pt idx="62">
                  <c:v>42795</c:v>
                </c:pt>
                <c:pt idx="63">
                  <c:v>42826</c:v>
                </c:pt>
                <c:pt idx="64">
                  <c:v>42856</c:v>
                </c:pt>
                <c:pt idx="65">
                  <c:v>42887</c:v>
                </c:pt>
                <c:pt idx="66">
                  <c:v>42917</c:v>
                </c:pt>
                <c:pt idx="67">
                  <c:v>42948</c:v>
                </c:pt>
                <c:pt idx="68">
                  <c:v>42979</c:v>
                </c:pt>
                <c:pt idx="69">
                  <c:v>43009</c:v>
                </c:pt>
                <c:pt idx="70">
                  <c:v>43040</c:v>
                </c:pt>
                <c:pt idx="71">
                  <c:v>43070</c:v>
                </c:pt>
                <c:pt idx="72">
                  <c:v>43101</c:v>
                </c:pt>
                <c:pt idx="73">
                  <c:v>43132</c:v>
                </c:pt>
                <c:pt idx="74">
                  <c:v>43160</c:v>
                </c:pt>
                <c:pt idx="75">
                  <c:v>43191</c:v>
                </c:pt>
                <c:pt idx="76">
                  <c:v>43221</c:v>
                </c:pt>
                <c:pt idx="77">
                  <c:v>43252</c:v>
                </c:pt>
                <c:pt idx="78">
                  <c:v>43282</c:v>
                </c:pt>
                <c:pt idx="79">
                  <c:v>43313</c:v>
                </c:pt>
                <c:pt idx="80">
                  <c:v>43344</c:v>
                </c:pt>
                <c:pt idx="81">
                  <c:v>43374</c:v>
                </c:pt>
                <c:pt idx="82">
                  <c:v>43405</c:v>
                </c:pt>
                <c:pt idx="83">
                  <c:v>43435</c:v>
                </c:pt>
                <c:pt idx="84">
                  <c:v>43466</c:v>
                </c:pt>
                <c:pt idx="85">
                  <c:v>43497</c:v>
                </c:pt>
                <c:pt idx="86">
                  <c:v>43525</c:v>
                </c:pt>
                <c:pt idx="87">
                  <c:v>43556</c:v>
                </c:pt>
                <c:pt idx="88">
                  <c:v>43586</c:v>
                </c:pt>
                <c:pt idx="89">
                  <c:v>43617</c:v>
                </c:pt>
              </c:numCache>
            </c:numRef>
          </c:cat>
          <c:val>
            <c:numRef>
              <c:f>'Misc. Data &amp; Mechanisms'!$D$708:$D$797</c:f>
              <c:numCache>
                <c:formatCode>0.00_);[Red]\(0.00\)</c:formatCode>
                <c:ptCount val="90"/>
                <c:pt idx="0">
                  <c:v>14.664</c:v>
                </c:pt>
                <c:pt idx="1">
                  <c:v>13.561</c:v>
                </c:pt>
                <c:pt idx="2">
                  <c:v>7.7869999999999999</c:v>
                </c:pt>
                <c:pt idx="3">
                  <c:v>7.0869999999999997</c:v>
                </c:pt>
                <c:pt idx="4">
                  <c:v>6.2069999999999999</c:v>
                </c:pt>
                <c:pt idx="5">
                  <c:v>7.62</c:v>
                </c:pt>
                <c:pt idx="6">
                  <c:v>8.7739999999999991</c:v>
                </c:pt>
                <c:pt idx="7">
                  <c:v>11.207000000000001</c:v>
                </c:pt>
                <c:pt idx="8">
                  <c:v>10.042</c:v>
                </c:pt>
                <c:pt idx="9">
                  <c:v>9.9179999999999993</c:v>
                </c:pt>
                <c:pt idx="10">
                  <c:v>7.3689999999999998</c:v>
                </c:pt>
                <c:pt idx="11">
                  <c:v>8.3650000000000002</c:v>
                </c:pt>
                <c:pt idx="12">
                  <c:v>8.6430000000000007</c:v>
                </c:pt>
                <c:pt idx="13">
                  <c:v>7.327</c:v>
                </c:pt>
                <c:pt idx="14">
                  <c:v>7.12</c:v>
                </c:pt>
                <c:pt idx="15">
                  <c:v>8.0039999999999996</c:v>
                </c:pt>
                <c:pt idx="16">
                  <c:v>6.8949999999999996</c:v>
                </c:pt>
                <c:pt idx="17">
                  <c:v>6.867</c:v>
                </c:pt>
                <c:pt idx="18">
                  <c:v>10.465</c:v>
                </c:pt>
                <c:pt idx="19">
                  <c:v>11.106999999999999</c:v>
                </c:pt>
                <c:pt idx="20">
                  <c:v>10.247999999999999</c:v>
                </c:pt>
                <c:pt idx="21">
                  <c:v>8.0090000000000003</c:v>
                </c:pt>
                <c:pt idx="22">
                  <c:v>8.0180000000000007</c:v>
                </c:pt>
                <c:pt idx="23">
                  <c:v>7.9390000000000001</c:v>
                </c:pt>
                <c:pt idx="24">
                  <c:v>8.4559999999999995</c:v>
                </c:pt>
                <c:pt idx="25">
                  <c:v>7.2830000000000004</c:v>
                </c:pt>
                <c:pt idx="26">
                  <c:v>6.8159999999999998</c:v>
                </c:pt>
                <c:pt idx="27">
                  <c:v>6.8040000000000003</c:v>
                </c:pt>
                <c:pt idx="28">
                  <c:v>8.6679999999999993</c:v>
                </c:pt>
                <c:pt idx="29">
                  <c:v>5.8570000000000002</c:v>
                </c:pt>
                <c:pt idx="30">
                  <c:v>7.032</c:v>
                </c:pt>
                <c:pt idx="31">
                  <c:v>7.827</c:v>
                </c:pt>
                <c:pt idx="32">
                  <c:v>7.774</c:v>
                </c:pt>
                <c:pt idx="33">
                  <c:v>8.4930000000000003</c:v>
                </c:pt>
                <c:pt idx="34">
                  <c:v>6.9420000000000002</c:v>
                </c:pt>
                <c:pt idx="35">
                  <c:v>7.3760000000000003</c:v>
                </c:pt>
                <c:pt idx="36">
                  <c:v>7.1390000000000002</c:v>
                </c:pt>
                <c:pt idx="37">
                  <c:v>6.4219999999999997</c:v>
                </c:pt>
                <c:pt idx="38">
                  <c:v>5.3280000000000003</c:v>
                </c:pt>
                <c:pt idx="39">
                  <c:v>5.6890000000000001</c:v>
                </c:pt>
                <c:pt idx="40">
                  <c:v>4.2290000000000001</c:v>
                </c:pt>
                <c:pt idx="41">
                  <c:v>3.992</c:v>
                </c:pt>
                <c:pt idx="42">
                  <c:v>5.9790000000000001</c:v>
                </c:pt>
                <c:pt idx="43">
                  <c:v>5.6740000000000004</c:v>
                </c:pt>
                <c:pt idx="44">
                  <c:v>5.234</c:v>
                </c:pt>
                <c:pt idx="45">
                  <c:v>5.36</c:v>
                </c:pt>
                <c:pt idx="46">
                  <c:v>5.0830000000000002</c:v>
                </c:pt>
                <c:pt idx="47">
                  <c:v>5.3639999999999999</c:v>
                </c:pt>
                <c:pt idx="48">
                  <c:v>5.1859999999999999</c:v>
                </c:pt>
                <c:pt idx="49">
                  <c:v>4.66</c:v>
                </c:pt>
                <c:pt idx="50">
                  <c:v>4.4290000000000003</c:v>
                </c:pt>
                <c:pt idx="51">
                  <c:v>3.5840000000000001</c:v>
                </c:pt>
                <c:pt idx="52">
                  <c:v>3.294</c:v>
                </c:pt>
                <c:pt idx="53">
                  <c:v>3.5430000000000001</c:v>
                </c:pt>
                <c:pt idx="54">
                  <c:v>4.8869999999999996</c:v>
                </c:pt>
                <c:pt idx="55">
                  <c:v>4.6779999999999999</c:v>
                </c:pt>
                <c:pt idx="56">
                  <c:v>3.9079999999999999</c:v>
                </c:pt>
                <c:pt idx="57">
                  <c:v>4.3849999999999998</c:v>
                </c:pt>
                <c:pt idx="58">
                  <c:v>3.6840000000000002</c:v>
                </c:pt>
                <c:pt idx="59">
                  <c:v>3.9249999999999998</c:v>
                </c:pt>
                <c:pt idx="60">
                  <c:v>4.056</c:v>
                </c:pt>
                <c:pt idx="61">
                  <c:v>3.8159999999999998</c:v>
                </c:pt>
                <c:pt idx="62">
                  <c:v>3.2749999999999999</c:v>
                </c:pt>
                <c:pt idx="63">
                  <c:v>2.9849999999999999</c:v>
                </c:pt>
                <c:pt idx="64">
                  <c:v>2.7440000000000002</c:v>
                </c:pt>
                <c:pt idx="65">
                  <c:v>2.7890000000000001</c:v>
                </c:pt>
                <c:pt idx="66">
                  <c:v>3.4319999999999999</c:v>
                </c:pt>
                <c:pt idx="67">
                  <c:v>3.6779999999999999</c:v>
                </c:pt>
                <c:pt idx="68">
                  <c:v>3.32</c:v>
                </c:pt>
                <c:pt idx="69">
                  <c:v>3.4049999999999998</c:v>
                </c:pt>
                <c:pt idx="70">
                  <c:v>3.2869999999999999</c:v>
                </c:pt>
                <c:pt idx="71">
                  <c:v>3.7320000000000002</c:v>
                </c:pt>
                <c:pt idx="72">
                  <c:v>4.7030000000000003</c:v>
                </c:pt>
                <c:pt idx="73">
                  <c:v>4.72</c:v>
                </c:pt>
                <c:pt idx="74">
                  <c:v>4.5149999999999997</c:v>
                </c:pt>
                <c:pt idx="75">
                  <c:v>6.8</c:v>
                </c:pt>
                <c:pt idx="76">
                  <c:v>5.3120000000000003</c:v>
                </c:pt>
                <c:pt idx="77">
                  <c:v>5.8419999999999996</c:v>
                </c:pt>
                <c:pt idx="78">
                  <c:v>6.8</c:v>
                </c:pt>
                <c:pt idx="79">
                  <c:v>6.8</c:v>
                </c:pt>
                <c:pt idx="80">
                  <c:v>6.8</c:v>
                </c:pt>
                <c:pt idx="81">
                  <c:v>6.4630000000000001</c:v>
                </c:pt>
                <c:pt idx="82">
                  <c:v>6.1340000000000003</c:v>
                </c:pt>
                <c:pt idx="83">
                  <c:v>6.8</c:v>
                </c:pt>
                <c:pt idx="84">
                  <c:v>6.8</c:v>
                </c:pt>
                <c:pt idx="85">
                  <c:v>6.8</c:v>
                </c:pt>
                <c:pt idx="86">
                  <c:v>5.9180000000000001</c:v>
                </c:pt>
                <c:pt idx="87">
                  <c:v>6.8</c:v>
                </c:pt>
                <c:pt idx="88">
                  <c:v>6.8</c:v>
                </c:pt>
                <c:pt idx="89">
                  <c:v>6.8</c:v>
                </c:pt>
              </c:numCache>
            </c:numRef>
          </c:val>
          <c:smooth val="0"/>
        </c:ser>
        <c:ser>
          <c:idx val="3"/>
          <c:order val="3"/>
          <c:tx>
            <c:strRef>
              <c:f>'Misc. Data &amp; Mechanisms'!$E$707</c:f>
              <c:strCache>
                <c:ptCount val="1"/>
                <c:pt idx="0">
                  <c:v>ATCO</c:v>
                </c:pt>
              </c:strCache>
            </c:strRef>
          </c:tx>
          <c:spPr>
            <a:ln w="38100">
              <a:solidFill>
                <a:srgbClr val="FFC000"/>
              </a:solidFill>
            </a:ln>
          </c:spPr>
          <c:marker>
            <c:symbol val="none"/>
          </c:marker>
          <c:cat>
            <c:numRef>
              <c:f>'Misc. Data &amp; Mechanisms'!$A$708:$A$797</c:f>
              <c:numCache>
                <c:formatCode>[$-409]mmm-yy;@</c:formatCode>
                <c:ptCount val="90"/>
                <c:pt idx="0">
                  <c:v>40909</c:v>
                </c:pt>
                <c:pt idx="1">
                  <c:v>40940</c:v>
                </c:pt>
                <c:pt idx="2">
                  <c:v>40969</c:v>
                </c:pt>
                <c:pt idx="3">
                  <c:v>41000</c:v>
                </c:pt>
                <c:pt idx="4">
                  <c:v>41030</c:v>
                </c:pt>
                <c:pt idx="5">
                  <c:v>41061</c:v>
                </c:pt>
                <c:pt idx="6">
                  <c:v>41091</c:v>
                </c:pt>
                <c:pt idx="7">
                  <c:v>41122</c:v>
                </c:pt>
                <c:pt idx="8">
                  <c:v>41153</c:v>
                </c:pt>
                <c:pt idx="9">
                  <c:v>41183</c:v>
                </c:pt>
                <c:pt idx="10">
                  <c:v>41214</c:v>
                </c:pt>
                <c:pt idx="11">
                  <c:v>41244</c:v>
                </c:pt>
                <c:pt idx="12">
                  <c:v>41275</c:v>
                </c:pt>
                <c:pt idx="13">
                  <c:v>41306</c:v>
                </c:pt>
                <c:pt idx="14">
                  <c:v>41334</c:v>
                </c:pt>
                <c:pt idx="15">
                  <c:v>41365</c:v>
                </c:pt>
                <c:pt idx="16">
                  <c:v>41395</c:v>
                </c:pt>
                <c:pt idx="17">
                  <c:v>41426</c:v>
                </c:pt>
                <c:pt idx="18">
                  <c:v>41456</c:v>
                </c:pt>
                <c:pt idx="19">
                  <c:v>41487</c:v>
                </c:pt>
                <c:pt idx="20">
                  <c:v>41518</c:v>
                </c:pt>
                <c:pt idx="21">
                  <c:v>41548</c:v>
                </c:pt>
                <c:pt idx="22">
                  <c:v>41579</c:v>
                </c:pt>
                <c:pt idx="23">
                  <c:v>41609</c:v>
                </c:pt>
                <c:pt idx="24">
                  <c:v>41640</c:v>
                </c:pt>
                <c:pt idx="25">
                  <c:v>41671</c:v>
                </c:pt>
                <c:pt idx="26">
                  <c:v>41699</c:v>
                </c:pt>
                <c:pt idx="27">
                  <c:v>41730</c:v>
                </c:pt>
                <c:pt idx="28">
                  <c:v>41760</c:v>
                </c:pt>
                <c:pt idx="29">
                  <c:v>41791</c:v>
                </c:pt>
                <c:pt idx="30">
                  <c:v>41821</c:v>
                </c:pt>
                <c:pt idx="31">
                  <c:v>41852</c:v>
                </c:pt>
                <c:pt idx="32">
                  <c:v>41883</c:v>
                </c:pt>
                <c:pt idx="33">
                  <c:v>41913</c:v>
                </c:pt>
                <c:pt idx="34">
                  <c:v>41944</c:v>
                </c:pt>
                <c:pt idx="35">
                  <c:v>41974</c:v>
                </c:pt>
                <c:pt idx="36">
                  <c:v>42005</c:v>
                </c:pt>
                <c:pt idx="37">
                  <c:v>42036</c:v>
                </c:pt>
                <c:pt idx="38">
                  <c:v>42064</c:v>
                </c:pt>
                <c:pt idx="39">
                  <c:v>42095</c:v>
                </c:pt>
                <c:pt idx="40">
                  <c:v>42125</c:v>
                </c:pt>
                <c:pt idx="41">
                  <c:v>42156</c:v>
                </c:pt>
                <c:pt idx="42">
                  <c:v>42186</c:v>
                </c:pt>
                <c:pt idx="43">
                  <c:v>42217</c:v>
                </c:pt>
                <c:pt idx="44">
                  <c:v>42248</c:v>
                </c:pt>
                <c:pt idx="45">
                  <c:v>42278</c:v>
                </c:pt>
                <c:pt idx="46">
                  <c:v>42309</c:v>
                </c:pt>
                <c:pt idx="47">
                  <c:v>42339</c:v>
                </c:pt>
                <c:pt idx="48">
                  <c:v>42370</c:v>
                </c:pt>
                <c:pt idx="49">
                  <c:v>42401</c:v>
                </c:pt>
                <c:pt idx="50">
                  <c:v>42430</c:v>
                </c:pt>
                <c:pt idx="51">
                  <c:v>42461</c:v>
                </c:pt>
                <c:pt idx="52">
                  <c:v>42491</c:v>
                </c:pt>
                <c:pt idx="53">
                  <c:v>42522</c:v>
                </c:pt>
                <c:pt idx="54">
                  <c:v>42552</c:v>
                </c:pt>
                <c:pt idx="55">
                  <c:v>42583</c:v>
                </c:pt>
                <c:pt idx="56">
                  <c:v>42614</c:v>
                </c:pt>
                <c:pt idx="57">
                  <c:v>42644</c:v>
                </c:pt>
                <c:pt idx="58">
                  <c:v>42675</c:v>
                </c:pt>
                <c:pt idx="59">
                  <c:v>42705</c:v>
                </c:pt>
                <c:pt idx="60">
                  <c:v>42736</c:v>
                </c:pt>
                <c:pt idx="61">
                  <c:v>42767</c:v>
                </c:pt>
                <c:pt idx="62">
                  <c:v>42795</c:v>
                </c:pt>
                <c:pt idx="63">
                  <c:v>42826</c:v>
                </c:pt>
                <c:pt idx="64">
                  <c:v>42856</c:v>
                </c:pt>
                <c:pt idx="65">
                  <c:v>42887</c:v>
                </c:pt>
                <c:pt idx="66">
                  <c:v>42917</c:v>
                </c:pt>
                <c:pt idx="67">
                  <c:v>42948</c:v>
                </c:pt>
                <c:pt idx="68">
                  <c:v>42979</c:v>
                </c:pt>
                <c:pt idx="69">
                  <c:v>43009</c:v>
                </c:pt>
                <c:pt idx="70">
                  <c:v>43040</c:v>
                </c:pt>
                <c:pt idx="71">
                  <c:v>43070</c:v>
                </c:pt>
                <c:pt idx="72">
                  <c:v>43101</c:v>
                </c:pt>
                <c:pt idx="73">
                  <c:v>43132</c:v>
                </c:pt>
                <c:pt idx="74">
                  <c:v>43160</c:v>
                </c:pt>
                <c:pt idx="75">
                  <c:v>43191</c:v>
                </c:pt>
                <c:pt idx="76">
                  <c:v>43221</c:v>
                </c:pt>
                <c:pt idx="77">
                  <c:v>43252</c:v>
                </c:pt>
                <c:pt idx="78">
                  <c:v>43282</c:v>
                </c:pt>
                <c:pt idx="79">
                  <c:v>43313</c:v>
                </c:pt>
                <c:pt idx="80">
                  <c:v>43344</c:v>
                </c:pt>
                <c:pt idx="81">
                  <c:v>43374</c:v>
                </c:pt>
                <c:pt idx="82">
                  <c:v>43405</c:v>
                </c:pt>
                <c:pt idx="83">
                  <c:v>43435</c:v>
                </c:pt>
                <c:pt idx="84">
                  <c:v>43466</c:v>
                </c:pt>
                <c:pt idx="85">
                  <c:v>43497</c:v>
                </c:pt>
                <c:pt idx="86">
                  <c:v>43525</c:v>
                </c:pt>
                <c:pt idx="87">
                  <c:v>43556</c:v>
                </c:pt>
                <c:pt idx="88">
                  <c:v>43586</c:v>
                </c:pt>
                <c:pt idx="89">
                  <c:v>43617</c:v>
                </c:pt>
              </c:numCache>
            </c:numRef>
          </c:cat>
          <c:val>
            <c:numRef>
              <c:f>'Misc. Data &amp; Mechanisms'!$E$708:$E$797</c:f>
              <c:numCache>
                <c:formatCode>0.00_);[Red]\(0.00\)</c:formatCode>
                <c:ptCount val="90"/>
                <c:pt idx="0">
                  <c:v>15.194000000000001</c:v>
                </c:pt>
                <c:pt idx="1">
                  <c:v>13.962999999999999</c:v>
                </c:pt>
                <c:pt idx="2">
                  <c:v>8.5079999999999991</c:v>
                </c:pt>
                <c:pt idx="3">
                  <c:v>7.383</c:v>
                </c:pt>
                <c:pt idx="4">
                  <c:v>6.3040000000000003</c:v>
                </c:pt>
                <c:pt idx="5">
                  <c:v>7.6429999999999998</c:v>
                </c:pt>
                <c:pt idx="6">
                  <c:v>8.9320000000000004</c:v>
                </c:pt>
                <c:pt idx="7">
                  <c:v>11.223000000000001</c:v>
                </c:pt>
                <c:pt idx="8">
                  <c:v>10.808</c:v>
                </c:pt>
                <c:pt idx="9">
                  <c:v>10.007999999999999</c:v>
                </c:pt>
                <c:pt idx="10">
                  <c:v>7.5019999999999998</c:v>
                </c:pt>
                <c:pt idx="11">
                  <c:v>8.6319999999999997</c:v>
                </c:pt>
                <c:pt idx="12">
                  <c:v>9.4450000000000003</c:v>
                </c:pt>
                <c:pt idx="13">
                  <c:v>7.7560000000000002</c:v>
                </c:pt>
                <c:pt idx="14">
                  <c:v>7.3250000000000002</c:v>
                </c:pt>
                <c:pt idx="15">
                  <c:v>8.4890000000000008</c:v>
                </c:pt>
                <c:pt idx="16">
                  <c:v>7.2270000000000003</c:v>
                </c:pt>
                <c:pt idx="17">
                  <c:v>7.7969999999999997</c:v>
                </c:pt>
                <c:pt idx="18">
                  <c:v>11.314</c:v>
                </c:pt>
                <c:pt idx="19">
                  <c:v>11.141999999999999</c:v>
                </c:pt>
                <c:pt idx="20">
                  <c:v>11.632</c:v>
                </c:pt>
                <c:pt idx="21">
                  <c:v>8.1880000000000006</c:v>
                </c:pt>
                <c:pt idx="22">
                  <c:v>8.0470000000000006</c:v>
                </c:pt>
                <c:pt idx="23">
                  <c:v>7.8019999999999996</c:v>
                </c:pt>
                <c:pt idx="24">
                  <c:v>7.9390000000000001</c:v>
                </c:pt>
                <c:pt idx="25">
                  <c:v>7.319</c:v>
                </c:pt>
                <c:pt idx="26">
                  <c:v>7.4080000000000004</c:v>
                </c:pt>
                <c:pt idx="27">
                  <c:v>7.1159999999999997</c:v>
                </c:pt>
                <c:pt idx="28">
                  <c:v>11.224</c:v>
                </c:pt>
                <c:pt idx="29">
                  <c:v>5.5279999999999996</c:v>
                </c:pt>
                <c:pt idx="30">
                  <c:v>7.8280000000000003</c:v>
                </c:pt>
                <c:pt idx="31">
                  <c:v>8.7750000000000004</c:v>
                </c:pt>
                <c:pt idx="32">
                  <c:v>9.0640000000000001</c:v>
                </c:pt>
                <c:pt idx="33">
                  <c:v>8.6340000000000003</c:v>
                </c:pt>
                <c:pt idx="34">
                  <c:v>6.2880000000000003</c:v>
                </c:pt>
                <c:pt idx="35">
                  <c:v>7.274</c:v>
                </c:pt>
                <c:pt idx="36">
                  <c:v>7.423</c:v>
                </c:pt>
                <c:pt idx="37">
                  <c:v>5.8730000000000002</c:v>
                </c:pt>
                <c:pt idx="38">
                  <c:v>4.8949999999999996</c:v>
                </c:pt>
                <c:pt idx="39">
                  <c:v>5.1769999999999996</c:v>
                </c:pt>
                <c:pt idx="40">
                  <c:v>4.5380000000000003</c:v>
                </c:pt>
                <c:pt idx="41">
                  <c:v>3.831</c:v>
                </c:pt>
                <c:pt idx="42">
                  <c:v>8.6340000000000003</c:v>
                </c:pt>
                <c:pt idx="43">
                  <c:v>7.82</c:v>
                </c:pt>
                <c:pt idx="44">
                  <c:v>5.577</c:v>
                </c:pt>
                <c:pt idx="45">
                  <c:v>5.5819999999999999</c:v>
                </c:pt>
                <c:pt idx="46">
                  <c:v>5.0819999999999999</c:v>
                </c:pt>
                <c:pt idx="47">
                  <c:v>5.2080000000000002</c:v>
                </c:pt>
                <c:pt idx="48">
                  <c:v>4.8520000000000003</c:v>
                </c:pt>
                <c:pt idx="49">
                  <c:v>4.4610000000000003</c:v>
                </c:pt>
                <c:pt idx="50">
                  <c:v>4.2649999999999997</c:v>
                </c:pt>
                <c:pt idx="51">
                  <c:v>3.4380000000000002</c:v>
                </c:pt>
                <c:pt idx="52">
                  <c:v>3.2810000000000001</c:v>
                </c:pt>
                <c:pt idx="53">
                  <c:v>3.5790000000000002</c:v>
                </c:pt>
                <c:pt idx="54">
                  <c:v>5.0410000000000004</c:v>
                </c:pt>
                <c:pt idx="55">
                  <c:v>4.9909999999999997</c:v>
                </c:pt>
                <c:pt idx="56">
                  <c:v>3.7250000000000001</c:v>
                </c:pt>
                <c:pt idx="57">
                  <c:v>4.1859999999999999</c:v>
                </c:pt>
                <c:pt idx="58">
                  <c:v>3.8879999999999999</c:v>
                </c:pt>
                <c:pt idx="59">
                  <c:v>4.1760000000000002</c:v>
                </c:pt>
                <c:pt idx="60">
                  <c:v>4.3979999999999997</c:v>
                </c:pt>
                <c:pt idx="61">
                  <c:v>3.9769999999999999</c:v>
                </c:pt>
                <c:pt idx="62">
                  <c:v>3.4620000000000002</c:v>
                </c:pt>
                <c:pt idx="63">
                  <c:v>3.0830000000000002</c:v>
                </c:pt>
                <c:pt idx="64">
                  <c:v>3.016</c:v>
                </c:pt>
                <c:pt idx="65">
                  <c:v>3.4340000000000002</c:v>
                </c:pt>
                <c:pt idx="66">
                  <c:v>4.1989999999999998</c:v>
                </c:pt>
                <c:pt idx="67">
                  <c:v>4.0860000000000003</c:v>
                </c:pt>
                <c:pt idx="68">
                  <c:v>3.8250000000000002</c:v>
                </c:pt>
                <c:pt idx="69">
                  <c:v>3.8740000000000001</c:v>
                </c:pt>
                <c:pt idx="70">
                  <c:v>3.6589999999999998</c:v>
                </c:pt>
                <c:pt idx="71">
                  <c:v>4.0270000000000001</c:v>
                </c:pt>
                <c:pt idx="72">
                  <c:v>5.1429999999999998</c:v>
                </c:pt>
                <c:pt idx="73">
                  <c:v>4.8310000000000004</c:v>
                </c:pt>
                <c:pt idx="74">
                  <c:v>4.5970000000000004</c:v>
                </c:pt>
                <c:pt idx="75">
                  <c:v>6.8</c:v>
                </c:pt>
                <c:pt idx="76">
                  <c:v>5.7</c:v>
                </c:pt>
                <c:pt idx="77">
                  <c:v>6.3490000000000002</c:v>
                </c:pt>
                <c:pt idx="78">
                  <c:v>6.8</c:v>
                </c:pt>
                <c:pt idx="79">
                  <c:v>6.8</c:v>
                </c:pt>
                <c:pt idx="80">
                  <c:v>6.8</c:v>
                </c:pt>
                <c:pt idx="81">
                  <c:v>6.8</c:v>
                </c:pt>
                <c:pt idx="82">
                  <c:v>6.8</c:v>
                </c:pt>
                <c:pt idx="83">
                  <c:v>6.8</c:v>
                </c:pt>
                <c:pt idx="84">
                  <c:v>6.8</c:v>
                </c:pt>
                <c:pt idx="85">
                  <c:v>6.8</c:v>
                </c:pt>
                <c:pt idx="86">
                  <c:v>5.9630000000000001</c:v>
                </c:pt>
                <c:pt idx="87">
                  <c:v>5.9260000000000002</c:v>
                </c:pt>
                <c:pt idx="88">
                  <c:v>6.2149999999999999</c:v>
                </c:pt>
                <c:pt idx="89">
                  <c:v>6.351</c:v>
                </c:pt>
              </c:numCache>
            </c:numRef>
          </c:val>
          <c:smooth val="0"/>
        </c:ser>
        <c:dLbls>
          <c:showLegendKey val="0"/>
          <c:showVal val="0"/>
          <c:showCatName val="0"/>
          <c:showSerName val="0"/>
          <c:showPercent val="0"/>
          <c:showBubbleSize val="0"/>
        </c:dLbls>
        <c:marker val="1"/>
        <c:smooth val="0"/>
        <c:axId val="231288192"/>
        <c:axId val="231294080"/>
      </c:lineChart>
      <c:dateAx>
        <c:axId val="231288192"/>
        <c:scaling>
          <c:orientation val="minMax"/>
        </c:scaling>
        <c:delete val="0"/>
        <c:axPos val="b"/>
        <c:numFmt formatCode="[$-409]mmm-yy;@" sourceLinked="1"/>
        <c:majorTickMark val="out"/>
        <c:minorTickMark val="none"/>
        <c:tickLblPos val="nextTo"/>
        <c:crossAx val="231294080"/>
        <c:crosses val="autoZero"/>
        <c:auto val="1"/>
        <c:lblOffset val="100"/>
        <c:baseTimeUnit val="months"/>
      </c:dateAx>
      <c:valAx>
        <c:axId val="231294080"/>
        <c:scaling>
          <c:orientation val="minMax"/>
        </c:scaling>
        <c:delete val="0"/>
        <c:axPos val="l"/>
        <c:majorGridlines>
          <c:spPr>
            <a:ln>
              <a:solidFill>
                <a:sysClr val="window" lastClr="FFFFFF">
                  <a:lumMod val="85000"/>
                </a:sysClr>
              </a:solidFill>
              <a:prstDash val="dash"/>
            </a:ln>
          </c:spPr>
        </c:majorGridlines>
        <c:numFmt formatCode="#,##0.0_);[Red]\(#,##0.0\)" sourceLinked="0"/>
        <c:majorTickMark val="none"/>
        <c:minorTickMark val="none"/>
        <c:tickLblPos val="nextTo"/>
        <c:spPr>
          <a:ln w="9525">
            <a:noFill/>
          </a:ln>
        </c:spPr>
        <c:crossAx val="231288192"/>
        <c:crosses val="autoZero"/>
        <c:crossBetween val="midCat"/>
      </c:valAx>
    </c:plotArea>
    <c:legend>
      <c:legendPos val="b"/>
      <c:overlay val="0"/>
      <c:txPr>
        <a:bodyPr/>
        <a:lstStyle/>
        <a:p>
          <a:pPr>
            <a:defRPr sz="1100"/>
          </a:pPr>
          <a:endParaRPr lang="en-US"/>
        </a:p>
      </c:txPr>
    </c:legend>
    <c:plotVisOnly val="1"/>
    <c:dispBlanksAs val="gap"/>
    <c:showDLblsOverMax val="0"/>
  </c:chart>
  <c:spPr>
    <a:ln>
      <a:noFill/>
    </a:ln>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'Misc. Data &amp; Mechanisms'!$B$909</c:f>
          <c:strCache>
            <c:ptCount val="1"/>
            <c:pt idx="0">
              <c:v>Primary Bill Component Shares of Total Bill (%) in the ENMAX Zone, 2012-2019</c:v>
            </c:pt>
          </c:strCache>
        </c:strRef>
      </c:tx>
      <c:overlay val="0"/>
    </c:title>
    <c:autoTitleDeleted val="0"/>
    <c:plotArea>
      <c:layout>
        <c:manualLayout>
          <c:layoutTarget val="inner"/>
          <c:xMode val="edge"/>
          <c:yMode val="edge"/>
          <c:x val="4.8312250679856353E-2"/>
          <c:y val="0.15223442774819435"/>
          <c:w val="0.82013796109421344"/>
          <c:h val="0.73876625071458901"/>
        </c:manualLayout>
      </c:layout>
      <c:areaChart>
        <c:grouping val="percentStacked"/>
        <c:varyColors val="0"/>
        <c:ser>
          <c:idx val="0"/>
          <c:order val="0"/>
          <c:tx>
            <c:strRef>
              <c:f>'Misc. Data &amp; Mechanisms'!$B$814</c:f>
              <c:strCache>
                <c:ptCount val="1"/>
                <c:pt idx="0">
                  <c:v>Energy</c:v>
                </c:pt>
              </c:strCache>
            </c:strRef>
          </c:tx>
          <c:spPr>
            <a:solidFill>
              <a:schemeClr val="accent5">
                <a:lumMod val="75000"/>
              </a:schemeClr>
            </a:solidFill>
          </c:spPr>
          <c:cat>
            <c:numRef>
              <c:f>'Misc. Data &amp; Mechanisms'!$A$815:$A$905</c:f>
              <c:numCache>
                <c:formatCode>[$-409]mmm-yy;@</c:formatCode>
                <c:ptCount val="91"/>
                <c:pt idx="0">
                  <c:v>40909</c:v>
                </c:pt>
                <c:pt idx="1">
                  <c:v>40940</c:v>
                </c:pt>
                <c:pt idx="2">
                  <c:v>40969</c:v>
                </c:pt>
                <c:pt idx="3">
                  <c:v>41000</c:v>
                </c:pt>
                <c:pt idx="4">
                  <c:v>41030</c:v>
                </c:pt>
                <c:pt idx="5">
                  <c:v>41061</c:v>
                </c:pt>
                <c:pt idx="6">
                  <c:v>41091</c:v>
                </c:pt>
                <c:pt idx="7">
                  <c:v>41122</c:v>
                </c:pt>
                <c:pt idx="8">
                  <c:v>41153</c:v>
                </c:pt>
                <c:pt idx="9">
                  <c:v>41183</c:v>
                </c:pt>
                <c:pt idx="10">
                  <c:v>41214</c:v>
                </c:pt>
                <c:pt idx="11">
                  <c:v>41244</c:v>
                </c:pt>
                <c:pt idx="12">
                  <c:v>41275</c:v>
                </c:pt>
                <c:pt idx="13">
                  <c:v>41306</c:v>
                </c:pt>
                <c:pt idx="14">
                  <c:v>41334</c:v>
                </c:pt>
                <c:pt idx="15">
                  <c:v>41365</c:v>
                </c:pt>
                <c:pt idx="16">
                  <c:v>41395</c:v>
                </c:pt>
                <c:pt idx="17">
                  <c:v>41426</c:v>
                </c:pt>
                <c:pt idx="18">
                  <c:v>41456</c:v>
                </c:pt>
                <c:pt idx="19">
                  <c:v>41487</c:v>
                </c:pt>
                <c:pt idx="20">
                  <c:v>41518</c:v>
                </c:pt>
                <c:pt idx="21">
                  <c:v>41548</c:v>
                </c:pt>
                <c:pt idx="22">
                  <c:v>41579</c:v>
                </c:pt>
                <c:pt idx="23">
                  <c:v>41609</c:v>
                </c:pt>
                <c:pt idx="24">
                  <c:v>41640</c:v>
                </c:pt>
                <c:pt idx="25">
                  <c:v>41671</c:v>
                </c:pt>
                <c:pt idx="26">
                  <c:v>41699</c:v>
                </c:pt>
                <c:pt idx="27">
                  <c:v>41730</c:v>
                </c:pt>
                <c:pt idx="28">
                  <c:v>41760</c:v>
                </c:pt>
                <c:pt idx="29">
                  <c:v>41791</c:v>
                </c:pt>
                <c:pt idx="30">
                  <c:v>41821</c:v>
                </c:pt>
                <c:pt idx="31">
                  <c:v>41852</c:v>
                </c:pt>
                <c:pt idx="32">
                  <c:v>41883</c:v>
                </c:pt>
                <c:pt idx="33">
                  <c:v>41913</c:v>
                </c:pt>
                <c:pt idx="34">
                  <c:v>41944</c:v>
                </c:pt>
                <c:pt idx="35">
                  <c:v>41974</c:v>
                </c:pt>
                <c:pt idx="36">
                  <c:v>42005</c:v>
                </c:pt>
                <c:pt idx="37">
                  <c:v>42036</c:v>
                </c:pt>
                <c:pt idx="38">
                  <c:v>42064</c:v>
                </c:pt>
                <c:pt idx="39">
                  <c:v>42095</c:v>
                </c:pt>
                <c:pt idx="40">
                  <c:v>42125</c:v>
                </c:pt>
                <c:pt idx="41">
                  <c:v>42156</c:v>
                </c:pt>
                <c:pt idx="42">
                  <c:v>42186</c:v>
                </c:pt>
                <c:pt idx="43">
                  <c:v>42217</c:v>
                </c:pt>
                <c:pt idx="44">
                  <c:v>42248</c:v>
                </c:pt>
                <c:pt idx="45">
                  <c:v>42278</c:v>
                </c:pt>
                <c:pt idx="46">
                  <c:v>42309</c:v>
                </c:pt>
                <c:pt idx="47">
                  <c:v>42339</c:v>
                </c:pt>
                <c:pt idx="48">
                  <c:v>42370</c:v>
                </c:pt>
                <c:pt idx="49">
                  <c:v>42401</c:v>
                </c:pt>
                <c:pt idx="50">
                  <c:v>42430</c:v>
                </c:pt>
                <c:pt idx="51">
                  <c:v>42461</c:v>
                </c:pt>
                <c:pt idx="52">
                  <c:v>42491</c:v>
                </c:pt>
                <c:pt idx="53">
                  <c:v>42522</c:v>
                </c:pt>
                <c:pt idx="54">
                  <c:v>42552</c:v>
                </c:pt>
                <c:pt idx="55">
                  <c:v>42583</c:v>
                </c:pt>
                <c:pt idx="56">
                  <c:v>42614</c:v>
                </c:pt>
                <c:pt idx="57">
                  <c:v>42644</c:v>
                </c:pt>
                <c:pt idx="58">
                  <c:v>42675</c:v>
                </c:pt>
                <c:pt idx="59">
                  <c:v>42705</c:v>
                </c:pt>
                <c:pt idx="60">
                  <c:v>42736</c:v>
                </c:pt>
                <c:pt idx="61">
                  <c:v>42767</c:v>
                </c:pt>
                <c:pt idx="62">
                  <c:v>42795</c:v>
                </c:pt>
                <c:pt idx="63">
                  <c:v>42826</c:v>
                </c:pt>
                <c:pt idx="64">
                  <c:v>42856</c:v>
                </c:pt>
                <c:pt idx="65">
                  <c:v>42887</c:v>
                </c:pt>
                <c:pt idx="66">
                  <c:v>42917</c:v>
                </c:pt>
                <c:pt idx="67">
                  <c:v>42948</c:v>
                </c:pt>
                <c:pt idx="68">
                  <c:v>42979</c:v>
                </c:pt>
                <c:pt idx="69">
                  <c:v>43009</c:v>
                </c:pt>
                <c:pt idx="70">
                  <c:v>43040</c:v>
                </c:pt>
                <c:pt idx="71">
                  <c:v>43070</c:v>
                </c:pt>
                <c:pt idx="72">
                  <c:v>43101</c:v>
                </c:pt>
                <c:pt idx="73">
                  <c:v>43132</c:v>
                </c:pt>
                <c:pt idx="74">
                  <c:v>43160</c:v>
                </c:pt>
                <c:pt idx="75">
                  <c:v>43191</c:v>
                </c:pt>
                <c:pt idx="76">
                  <c:v>43221</c:v>
                </c:pt>
                <c:pt idx="77">
                  <c:v>43252</c:v>
                </c:pt>
                <c:pt idx="78">
                  <c:v>43282</c:v>
                </c:pt>
                <c:pt idx="79">
                  <c:v>43313</c:v>
                </c:pt>
                <c:pt idx="80">
                  <c:v>43344</c:v>
                </c:pt>
                <c:pt idx="81">
                  <c:v>43374</c:v>
                </c:pt>
                <c:pt idx="82">
                  <c:v>43405</c:v>
                </c:pt>
                <c:pt idx="83">
                  <c:v>43435</c:v>
                </c:pt>
                <c:pt idx="84">
                  <c:v>43466</c:v>
                </c:pt>
                <c:pt idx="85">
                  <c:v>43497</c:v>
                </c:pt>
                <c:pt idx="86">
                  <c:v>43525</c:v>
                </c:pt>
                <c:pt idx="87">
                  <c:v>43556</c:v>
                </c:pt>
                <c:pt idx="88">
                  <c:v>43586</c:v>
                </c:pt>
                <c:pt idx="89">
                  <c:v>43617</c:v>
                </c:pt>
              </c:numCache>
            </c:numRef>
          </c:cat>
          <c:val>
            <c:numRef>
              <c:f>'Misc. Data &amp; Mechanisms'!$B$815:$B$905</c:f>
              <c:numCache>
                <c:formatCode>0.00%</c:formatCode>
                <c:ptCount val="91"/>
                <c:pt idx="0">
                  <c:v>0.61363489722414766</c:v>
                </c:pt>
                <c:pt idx="1">
                  <c:v>0.59057689081818088</c:v>
                </c:pt>
                <c:pt idx="2">
                  <c:v>0.48029432107817938</c:v>
                </c:pt>
                <c:pt idx="3">
                  <c:v>0.44527371265214272</c:v>
                </c:pt>
                <c:pt idx="4">
                  <c:v>0.41379128415767902</c:v>
                </c:pt>
                <c:pt idx="5">
                  <c:v>0.45264084584451236</c:v>
                </c:pt>
                <c:pt idx="6">
                  <c:v>0.49289380313408476</c:v>
                </c:pt>
                <c:pt idx="7">
                  <c:v>0.53608867260746695</c:v>
                </c:pt>
                <c:pt idx="8">
                  <c:v>0.52785841626219787</c:v>
                </c:pt>
                <c:pt idx="9">
                  <c:v>0.55023933696651095</c:v>
                </c:pt>
                <c:pt idx="10">
                  <c:v>0.50473365790153646</c:v>
                </c:pt>
                <c:pt idx="11">
                  <c:v>0.54341932220041544</c:v>
                </c:pt>
                <c:pt idx="12">
                  <c:v>0.5498623575371363</c:v>
                </c:pt>
                <c:pt idx="13">
                  <c:v>0.50838232584528453</c:v>
                </c:pt>
                <c:pt idx="14">
                  <c:v>0.49300040817826685</c:v>
                </c:pt>
                <c:pt idx="15">
                  <c:v>0.49612947653762768</c:v>
                </c:pt>
                <c:pt idx="16">
                  <c:v>0.45000460052400876</c:v>
                </c:pt>
                <c:pt idx="17">
                  <c:v>0.47558730599046545</c:v>
                </c:pt>
                <c:pt idx="18">
                  <c:v>0.56476383097831084</c:v>
                </c:pt>
                <c:pt idx="19">
                  <c:v>0.56509117860506186</c:v>
                </c:pt>
                <c:pt idx="20">
                  <c:v>0.55663403928660282</c:v>
                </c:pt>
                <c:pt idx="21">
                  <c:v>0.46434553214361962</c:v>
                </c:pt>
                <c:pt idx="22">
                  <c:v>0.46984643907487972</c:v>
                </c:pt>
                <c:pt idx="23">
                  <c:v>0.46461116643301226</c:v>
                </c:pt>
                <c:pt idx="24">
                  <c:v>0.44602557740850729</c:v>
                </c:pt>
                <c:pt idx="25">
                  <c:v>0.43346482649647428</c:v>
                </c:pt>
                <c:pt idx="26">
                  <c:v>0.42089131675122482</c:v>
                </c:pt>
                <c:pt idx="27">
                  <c:v>0.44291607642456704</c:v>
                </c:pt>
                <c:pt idx="28">
                  <c:v>0.5230308099302069</c:v>
                </c:pt>
                <c:pt idx="29">
                  <c:v>0.38534460720842995</c:v>
                </c:pt>
                <c:pt idx="30">
                  <c:v>0.45689856701444614</c:v>
                </c:pt>
                <c:pt idx="31">
                  <c:v>0.48088251965394824</c:v>
                </c:pt>
                <c:pt idx="32">
                  <c:v>0.49148591791697954</c:v>
                </c:pt>
                <c:pt idx="33">
                  <c:v>0.47370388521544476</c:v>
                </c:pt>
                <c:pt idx="34">
                  <c:v>0.43316358130320864</c:v>
                </c:pt>
                <c:pt idx="35">
                  <c:v>0.46375918193750526</c:v>
                </c:pt>
                <c:pt idx="36">
                  <c:v>0.44007559268959273</c:v>
                </c:pt>
                <c:pt idx="37">
                  <c:v>0.38946957090057827</c:v>
                </c:pt>
                <c:pt idx="38">
                  <c:v>0.34057065692738764</c:v>
                </c:pt>
                <c:pt idx="39">
                  <c:v>0.36169522040551122</c:v>
                </c:pt>
                <c:pt idx="40">
                  <c:v>0.3311600258441838</c:v>
                </c:pt>
                <c:pt idx="41">
                  <c:v>0.30148478474346829</c:v>
                </c:pt>
                <c:pt idx="42">
                  <c:v>0.46564246884869881</c:v>
                </c:pt>
                <c:pt idx="43">
                  <c:v>0.45778079262304788</c:v>
                </c:pt>
                <c:pt idx="44">
                  <c:v>0.37570803783141127</c:v>
                </c:pt>
                <c:pt idx="45">
                  <c:v>0.37631500399954754</c:v>
                </c:pt>
                <c:pt idx="46">
                  <c:v>0.36569827060275173</c:v>
                </c:pt>
                <c:pt idx="47">
                  <c:v>0.38198752777401024</c:v>
                </c:pt>
                <c:pt idx="48">
                  <c:v>0.33706758335135484</c:v>
                </c:pt>
                <c:pt idx="49">
                  <c:v>0.31438270551180103</c:v>
                </c:pt>
                <c:pt idx="50">
                  <c:v>0.29863788273291419</c:v>
                </c:pt>
                <c:pt idx="51">
                  <c:v>0.2567722908854323</c:v>
                </c:pt>
                <c:pt idx="52">
                  <c:v>0.25510104384188909</c:v>
                </c:pt>
                <c:pt idx="53">
                  <c:v>0.26264467087252469</c:v>
                </c:pt>
                <c:pt idx="54">
                  <c:v>0.33288524601836661</c:v>
                </c:pt>
                <c:pt idx="55">
                  <c:v>0.32607583860349232</c:v>
                </c:pt>
                <c:pt idx="56">
                  <c:v>0.27140094331996129</c:v>
                </c:pt>
                <c:pt idx="57">
                  <c:v>0.33605380474711249</c:v>
                </c:pt>
                <c:pt idx="58">
                  <c:v>0.34430041918703713</c:v>
                </c:pt>
                <c:pt idx="59">
                  <c:v>0.38521582310869679</c:v>
                </c:pt>
                <c:pt idx="60">
                  <c:v>0.35068877847576435</c:v>
                </c:pt>
                <c:pt idx="61">
                  <c:v>0.32492044961106159</c:v>
                </c:pt>
                <c:pt idx="62">
                  <c:v>0.29320596478733191</c:v>
                </c:pt>
                <c:pt idx="63">
                  <c:v>0.23923075018250026</c:v>
                </c:pt>
                <c:pt idx="64">
                  <c:v>0.21704010139692215</c:v>
                </c:pt>
                <c:pt idx="65">
                  <c:v>0.23746108186039255</c:v>
                </c:pt>
                <c:pt idx="66">
                  <c:v>0.28664678689876816</c:v>
                </c:pt>
                <c:pt idx="67">
                  <c:v>0.27460837371871455</c:v>
                </c:pt>
                <c:pt idx="68">
                  <c:v>0.26153068044764161</c:v>
                </c:pt>
                <c:pt idx="69">
                  <c:v>0.26998681673020386</c:v>
                </c:pt>
                <c:pt idx="70">
                  <c:v>0.27032224509687486</c:v>
                </c:pt>
                <c:pt idx="71">
                  <c:v>0.29403279096013862</c:v>
                </c:pt>
                <c:pt idx="72">
                  <c:v>0.3350024053062105</c:v>
                </c:pt>
                <c:pt idx="73">
                  <c:v>0.34072508468609825</c:v>
                </c:pt>
                <c:pt idx="74">
                  <c:v>0.3282261995160633</c:v>
                </c:pt>
                <c:pt idx="75">
                  <c:v>0.36583827483969333</c:v>
                </c:pt>
                <c:pt idx="76">
                  <c:v>0.31525075239530082</c:v>
                </c:pt>
                <c:pt idx="77">
                  <c:v>0.29706542733676183</c:v>
                </c:pt>
                <c:pt idx="78">
                  <c:v>0.36603794151304547</c:v>
                </c:pt>
                <c:pt idx="79">
                  <c:v>0.3686039361047847</c:v>
                </c:pt>
                <c:pt idx="80">
                  <c:v>0.36847031672892316</c:v>
                </c:pt>
                <c:pt idx="81">
                  <c:v>0.35032550575273252</c:v>
                </c:pt>
                <c:pt idx="82">
                  <c:v>0.35545258136663027</c:v>
                </c:pt>
                <c:pt idx="83">
                  <c:v>0.3745079265524594</c:v>
                </c:pt>
                <c:pt idx="84">
                  <c:v>0.35748107303076337</c:v>
                </c:pt>
                <c:pt idx="85">
                  <c:v>0.36879616159815687</c:v>
                </c:pt>
                <c:pt idx="86">
                  <c:v>0.32530603074943548</c:v>
                </c:pt>
                <c:pt idx="87">
                  <c:v>0.32118380025813853</c:v>
                </c:pt>
                <c:pt idx="88">
                  <c:v>0.32565846835364315</c:v>
                </c:pt>
                <c:pt idx="89">
                  <c:v>0.3260643796059044</c:v>
                </c:pt>
              </c:numCache>
            </c:numRef>
          </c:val>
        </c:ser>
        <c:ser>
          <c:idx val="1"/>
          <c:order val="1"/>
          <c:tx>
            <c:strRef>
              <c:f>'Misc. Data &amp; Mechanisms'!$C$814</c:f>
              <c:strCache>
                <c:ptCount val="1"/>
                <c:pt idx="0">
                  <c:v>Transmission</c:v>
                </c:pt>
              </c:strCache>
            </c:strRef>
          </c:tx>
          <c:spPr>
            <a:solidFill>
              <a:schemeClr val="bg1">
                <a:lumMod val="65000"/>
              </a:schemeClr>
            </a:solidFill>
            <a:ln w="25400">
              <a:noFill/>
            </a:ln>
          </c:spPr>
          <c:cat>
            <c:numRef>
              <c:f>'Misc. Data &amp; Mechanisms'!$A$815:$A$905</c:f>
              <c:numCache>
                <c:formatCode>[$-409]mmm-yy;@</c:formatCode>
                <c:ptCount val="91"/>
                <c:pt idx="0">
                  <c:v>40909</c:v>
                </c:pt>
                <c:pt idx="1">
                  <c:v>40940</c:v>
                </c:pt>
                <c:pt idx="2">
                  <c:v>40969</c:v>
                </c:pt>
                <c:pt idx="3">
                  <c:v>41000</c:v>
                </c:pt>
                <c:pt idx="4">
                  <c:v>41030</c:v>
                </c:pt>
                <c:pt idx="5">
                  <c:v>41061</c:v>
                </c:pt>
                <c:pt idx="6">
                  <c:v>41091</c:v>
                </c:pt>
                <c:pt idx="7">
                  <c:v>41122</c:v>
                </c:pt>
                <c:pt idx="8">
                  <c:v>41153</c:v>
                </c:pt>
                <c:pt idx="9">
                  <c:v>41183</c:v>
                </c:pt>
                <c:pt idx="10">
                  <c:v>41214</c:v>
                </c:pt>
                <c:pt idx="11">
                  <c:v>41244</c:v>
                </c:pt>
                <c:pt idx="12">
                  <c:v>41275</c:v>
                </c:pt>
                <c:pt idx="13">
                  <c:v>41306</c:v>
                </c:pt>
                <c:pt idx="14">
                  <c:v>41334</c:v>
                </c:pt>
                <c:pt idx="15">
                  <c:v>41365</c:v>
                </c:pt>
                <c:pt idx="16">
                  <c:v>41395</c:v>
                </c:pt>
                <c:pt idx="17">
                  <c:v>41426</c:v>
                </c:pt>
                <c:pt idx="18">
                  <c:v>41456</c:v>
                </c:pt>
                <c:pt idx="19">
                  <c:v>41487</c:v>
                </c:pt>
                <c:pt idx="20">
                  <c:v>41518</c:v>
                </c:pt>
                <c:pt idx="21">
                  <c:v>41548</c:v>
                </c:pt>
                <c:pt idx="22">
                  <c:v>41579</c:v>
                </c:pt>
                <c:pt idx="23">
                  <c:v>41609</c:v>
                </c:pt>
                <c:pt idx="24">
                  <c:v>41640</c:v>
                </c:pt>
                <c:pt idx="25">
                  <c:v>41671</c:v>
                </c:pt>
                <c:pt idx="26">
                  <c:v>41699</c:v>
                </c:pt>
                <c:pt idx="27">
                  <c:v>41730</c:v>
                </c:pt>
                <c:pt idx="28">
                  <c:v>41760</c:v>
                </c:pt>
                <c:pt idx="29">
                  <c:v>41791</c:v>
                </c:pt>
                <c:pt idx="30">
                  <c:v>41821</c:v>
                </c:pt>
                <c:pt idx="31">
                  <c:v>41852</c:v>
                </c:pt>
                <c:pt idx="32">
                  <c:v>41883</c:v>
                </c:pt>
                <c:pt idx="33">
                  <c:v>41913</c:v>
                </c:pt>
                <c:pt idx="34">
                  <c:v>41944</c:v>
                </c:pt>
                <c:pt idx="35">
                  <c:v>41974</c:v>
                </c:pt>
                <c:pt idx="36">
                  <c:v>42005</c:v>
                </c:pt>
                <c:pt idx="37">
                  <c:v>42036</c:v>
                </c:pt>
                <c:pt idx="38">
                  <c:v>42064</c:v>
                </c:pt>
                <c:pt idx="39">
                  <c:v>42095</c:v>
                </c:pt>
                <c:pt idx="40">
                  <c:v>42125</c:v>
                </c:pt>
                <c:pt idx="41">
                  <c:v>42156</c:v>
                </c:pt>
                <c:pt idx="42">
                  <c:v>42186</c:v>
                </c:pt>
                <c:pt idx="43">
                  <c:v>42217</c:v>
                </c:pt>
                <c:pt idx="44">
                  <c:v>42248</c:v>
                </c:pt>
                <c:pt idx="45">
                  <c:v>42278</c:v>
                </c:pt>
                <c:pt idx="46">
                  <c:v>42309</c:v>
                </c:pt>
                <c:pt idx="47">
                  <c:v>42339</c:v>
                </c:pt>
                <c:pt idx="48">
                  <c:v>42370</c:v>
                </c:pt>
                <c:pt idx="49">
                  <c:v>42401</c:v>
                </c:pt>
                <c:pt idx="50">
                  <c:v>42430</c:v>
                </c:pt>
                <c:pt idx="51">
                  <c:v>42461</c:v>
                </c:pt>
                <c:pt idx="52">
                  <c:v>42491</c:v>
                </c:pt>
                <c:pt idx="53">
                  <c:v>42522</c:v>
                </c:pt>
                <c:pt idx="54">
                  <c:v>42552</c:v>
                </c:pt>
                <c:pt idx="55">
                  <c:v>42583</c:v>
                </c:pt>
                <c:pt idx="56">
                  <c:v>42614</c:v>
                </c:pt>
                <c:pt idx="57">
                  <c:v>42644</c:v>
                </c:pt>
                <c:pt idx="58">
                  <c:v>42675</c:v>
                </c:pt>
                <c:pt idx="59">
                  <c:v>42705</c:v>
                </c:pt>
                <c:pt idx="60">
                  <c:v>42736</c:v>
                </c:pt>
                <c:pt idx="61">
                  <c:v>42767</c:v>
                </c:pt>
                <c:pt idx="62">
                  <c:v>42795</c:v>
                </c:pt>
                <c:pt idx="63">
                  <c:v>42826</c:v>
                </c:pt>
                <c:pt idx="64">
                  <c:v>42856</c:v>
                </c:pt>
                <c:pt idx="65">
                  <c:v>42887</c:v>
                </c:pt>
                <c:pt idx="66">
                  <c:v>42917</c:v>
                </c:pt>
                <c:pt idx="67">
                  <c:v>42948</c:v>
                </c:pt>
                <c:pt idx="68">
                  <c:v>42979</c:v>
                </c:pt>
                <c:pt idx="69">
                  <c:v>43009</c:v>
                </c:pt>
                <c:pt idx="70">
                  <c:v>43040</c:v>
                </c:pt>
                <c:pt idx="71">
                  <c:v>43070</c:v>
                </c:pt>
                <c:pt idx="72">
                  <c:v>43101</c:v>
                </c:pt>
                <c:pt idx="73">
                  <c:v>43132</c:v>
                </c:pt>
                <c:pt idx="74">
                  <c:v>43160</c:v>
                </c:pt>
                <c:pt idx="75">
                  <c:v>43191</c:v>
                </c:pt>
                <c:pt idx="76">
                  <c:v>43221</c:v>
                </c:pt>
                <c:pt idx="77">
                  <c:v>43252</c:v>
                </c:pt>
                <c:pt idx="78">
                  <c:v>43282</c:v>
                </c:pt>
                <c:pt idx="79">
                  <c:v>43313</c:v>
                </c:pt>
                <c:pt idx="80">
                  <c:v>43344</c:v>
                </c:pt>
                <c:pt idx="81">
                  <c:v>43374</c:v>
                </c:pt>
                <c:pt idx="82">
                  <c:v>43405</c:v>
                </c:pt>
                <c:pt idx="83">
                  <c:v>43435</c:v>
                </c:pt>
                <c:pt idx="84">
                  <c:v>43466</c:v>
                </c:pt>
                <c:pt idx="85">
                  <c:v>43497</c:v>
                </c:pt>
                <c:pt idx="86">
                  <c:v>43525</c:v>
                </c:pt>
                <c:pt idx="87">
                  <c:v>43556</c:v>
                </c:pt>
                <c:pt idx="88">
                  <c:v>43586</c:v>
                </c:pt>
                <c:pt idx="89">
                  <c:v>43617</c:v>
                </c:pt>
              </c:numCache>
            </c:numRef>
          </c:cat>
          <c:val>
            <c:numRef>
              <c:f>'Misc. Data &amp; Mechanisms'!$C$815:$C$905</c:f>
              <c:numCache>
                <c:formatCode>0.00%</c:formatCode>
                <c:ptCount val="91"/>
                <c:pt idx="0">
                  <c:v>7.8141690687474397E-2</c:v>
                </c:pt>
                <c:pt idx="1">
                  <c:v>8.3962001650798035E-2</c:v>
                </c:pt>
                <c:pt idx="2">
                  <c:v>0.11374991933736435</c:v>
                </c:pt>
                <c:pt idx="3">
                  <c:v>0.12076870497977497</c:v>
                </c:pt>
                <c:pt idx="4">
                  <c:v>0.12682066899031411</c:v>
                </c:pt>
                <c:pt idx="5">
                  <c:v>0.11478948731118797</c:v>
                </c:pt>
                <c:pt idx="6">
                  <c:v>0.10619926593453803</c:v>
                </c:pt>
                <c:pt idx="7">
                  <c:v>9.2215382068982193E-2</c:v>
                </c:pt>
                <c:pt idx="8">
                  <c:v>9.5453947372583448E-2</c:v>
                </c:pt>
                <c:pt idx="9">
                  <c:v>0.11129791747603669</c:v>
                </c:pt>
                <c:pt idx="10">
                  <c:v>0.13276074307368882</c:v>
                </c:pt>
                <c:pt idx="11">
                  <c:v>0.12470017765500242</c:v>
                </c:pt>
                <c:pt idx="12">
                  <c:v>0.11705866145372419</c:v>
                </c:pt>
                <c:pt idx="13">
                  <c:v>0.12866396899895677</c:v>
                </c:pt>
                <c:pt idx="14">
                  <c:v>0.13264856979061057</c:v>
                </c:pt>
                <c:pt idx="15">
                  <c:v>0.11505436869960615</c:v>
                </c:pt>
                <c:pt idx="16">
                  <c:v>0.12138368151893539</c:v>
                </c:pt>
                <c:pt idx="17">
                  <c:v>0.11988234648101884</c:v>
                </c:pt>
                <c:pt idx="18">
                  <c:v>9.7334618279738452E-2</c:v>
                </c:pt>
                <c:pt idx="19">
                  <c:v>9.8103377122382637E-2</c:v>
                </c:pt>
                <c:pt idx="20">
                  <c:v>9.8956597612670338E-2</c:v>
                </c:pt>
                <c:pt idx="21">
                  <c:v>0.11213684755827069</c:v>
                </c:pt>
                <c:pt idx="22">
                  <c:v>0.1157151510713349</c:v>
                </c:pt>
                <c:pt idx="23">
                  <c:v>0.11930348741735339</c:v>
                </c:pt>
                <c:pt idx="24">
                  <c:v>0.11123777310484079</c:v>
                </c:pt>
                <c:pt idx="25">
                  <c:v>0.11732225337719726</c:v>
                </c:pt>
                <c:pt idx="26">
                  <c:v>0.11192981947516756</c:v>
                </c:pt>
                <c:pt idx="27">
                  <c:v>0.12169281452682668</c:v>
                </c:pt>
                <c:pt idx="28">
                  <c:v>9.592676831578982E-2</c:v>
                </c:pt>
                <c:pt idx="29">
                  <c:v>0.13641007057160967</c:v>
                </c:pt>
                <c:pt idx="30">
                  <c:v>0.11542856710542788</c:v>
                </c:pt>
                <c:pt idx="31">
                  <c:v>0.10831153636097759</c:v>
                </c:pt>
                <c:pt idx="32">
                  <c:v>0.10623108399411607</c:v>
                </c:pt>
                <c:pt idx="33">
                  <c:v>0.10909853171236099</c:v>
                </c:pt>
                <c:pt idx="34">
                  <c:v>0.13337967951690211</c:v>
                </c:pt>
                <c:pt idx="35">
                  <c:v>0.12367631687333404</c:v>
                </c:pt>
                <c:pt idx="36">
                  <c:v>0.11560834764762906</c:v>
                </c:pt>
                <c:pt idx="37">
                  <c:v>0.12783092899438361</c:v>
                </c:pt>
                <c:pt idx="38">
                  <c:v>0.13479190450174361</c:v>
                </c:pt>
                <c:pt idx="39">
                  <c:v>0.1376522569905255</c:v>
                </c:pt>
                <c:pt idx="40">
                  <c:v>0.14274189624408357</c:v>
                </c:pt>
                <c:pt idx="41">
                  <c:v>0.15438324472379825</c:v>
                </c:pt>
                <c:pt idx="42">
                  <c:v>0.11030671094452561</c:v>
                </c:pt>
                <c:pt idx="43">
                  <c:v>0.11283925489896633</c:v>
                </c:pt>
                <c:pt idx="44">
                  <c:v>0.13523960681177652</c:v>
                </c:pt>
                <c:pt idx="45">
                  <c:v>0.13185624647313429</c:v>
                </c:pt>
                <c:pt idx="46">
                  <c:v>0.14224928932651204</c:v>
                </c:pt>
                <c:pt idx="47">
                  <c:v>0.14318830655725051</c:v>
                </c:pt>
                <c:pt idx="48">
                  <c:v>0.13682496036806097</c:v>
                </c:pt>
                <c:pt idx="49">
                  <c:v>0.13931446454716837</c:v>
                </c:pt>
                <c:pt idx="50">
                  <c:v>0.13885969495988121</c:v>
                </c:pt>
                <c:pt idx="51">
                  <c:v>0.14919422925943121</c:v>
                </c:pt>
                <c:pt idx="52">
                  <c:v>0.15025971056788689</c:v>
                </c:pt>
                <c:pt idx="53">
                  <c:v>0.14758360219395292</c:v>
                </c:pt>
                <c:pt idx="54">
                  <c:v>0.13002620099653747</c:v>
                </c:pt>
                <c:pt idx="55">
                  <c:v>0.13041023418760445</c:v>
                </c:pt>
                <c:pt idx="56">
                  <c:v>0.14406470735385388</c:v>
                </c:pt>
                <c:pt idx="57">
                  <c:v>0.15847584807600915</c:v>
                </c:pt>
                <c:pt idx="58">
                  <c:v>0.17581778503010184</c:v>
                </c:pt>
                <c:pt idx="59">
                  <c:v>0.17992022186087606</c:v>
                </c:pt>
                <c:pt idx="60">
                  <c:v>0.1553252098280454</c:v>
                </c:pt>
                <c:pt idx="61">
                  <c:v>0.16115199813414433</c:v>
                </c:pt>
                <c:pt idx="62">
                  <c:v>0.16593974099028319</c:v>
                </c:pt>
                <c:pt idx="63">
                  <c:v>0.15232597542454288</c:v>
                </c:pt>
                <c:pt idx="64">
                  <c:v>0.1415871122335611</c:v>
                </c:pt>
                <c:pt idx="65">
                  <c:v>0.13614472666947949</c:v>
                </c:pt>
                <c:pt idx="66">
                  <c:v>0.13242989017780868</c:v>
                </c:pt>
                <c:pt idx="67">
                  <c:v>0.13019982406059291</c:v>
                </c:pt>
                <c:pt idx="68">
                  <c:v>0.13516122234605546</c:v>
                </c:pt>
                <c:pt idx="69">
                  <c:v>0.13641623608566866</c:v>
                </c:pt>
                <c:pt idx="70">
                  <c:v>0.14402633058638037</c:v>
                </c:pt>
                <c:pt idx="71">
                  <c:v>0.1432122174789083</c:v>
                </c:pt>
                <c:pt idx="72">
                  <c:v>0.12754600576046118</c:v>
                </c:pt>
                <c:pt idx="73">
                  <c:v>0.12794775850367604</c:v>
                </c:pt>
                <c:pt idx="74">
                  <c:v>0.12501500041450372</c:v>
                </c:pt>
                <c:pt idx="75">
                  <c:v>0.10471044622360222</c:v>
                </c:pt>
                <c:pt idx="76">
                  <c:v>0.11023581375978692</c:v>
                </c:pt>
                <c:pt idx="77">
                  <c:v>0.11421936808090466</c:v>
                </c:pt>
                <c:pt idx="78">
                  <c:v>0.10476759493630006</c:v>
                </c:pt>
                <c:pt idx="79">
                  <c:v>0.10550203541775623</c:v>
                </c:pt>
                <c:pt idx="80">
                  <c:v>0.10546379080139751</c:v>
                </c:pt>
                <c:pt idx="81">
                  <c:v>0.10630472900632106</c:v>
                </c:pt>
                <c:pt idx="82">
                  <c:v>0.10970779560955793</c:v>
                </c:pt>
                <c:pt idx="83">
                  <c:v>0.10719187903662525</c:v>
                </c:pt>
                <c:pt idx="84">
                  <c:v>0.10231844300584922</c:v>
                </c:pt>
                <c:pt idx="85">
                  <c:v>0.10555705431154301</c:v>
                </c:pt>
                <c:pt idx="86">
                  <c:v>0.10705835773547959</c:v>
                </c:pt>
                <c:pt idx="87">
                  <c:v>0.10303610193545655</c:v>
                </c:pt>
                <c:pt idx="88">
                  <c:v>9.9190778866462534E-2</c:v>
                </c:pt>
                <c:pt idx="89">
                  <c:v>9.9298873732901222E-2</c:v>
                </c:pt>
              </c:numCache>
            </c:numRef>
          </c:val>
        </c:ser>
        <c:ser>
          <c:idx val="2"/>
          <c:order val="2"/>
          <c:tx>
            <c:strRef>
              <c:f>'Misc. Data &amp; Mechanisms'!$D$814</c:f>
              <c:strCache>
                <c:ptCount val="1"/>
                <c:pt idx="0">
                  <c:v>Distribution</c:v>
                </c:pt>
              </c:strCache>
            </c:strRef>
          </c:tx>
          <c:spPr>
            <a:solidFill>
              <a:schemeClr val="accent1">
                <a:lumMod val="75000"/>
              </a:schemeClr>
            </a:solidFill>
            <a:ln w="25400">
              <a:noFill/>
            </a:ln>
          </c:spPr>
          <c:cat>
            <c:numRef>
              <c:f>'Misc. Data &amp; Mechanisms'!$A$815:$A$905</c:f>
              <c:numCache>
                <c:formatCode>[$-409]mmm-yy;@</c:formatCode>
                <c:ptCount val="91"/>
                <c:pt idx="0">
                  <c:v>40909</c:v>
                </c:pt>
                <c:pt idx="1">
                  <c:v>40940</c:v>
                </c:pt>
                <c:pt idx="2">
                  <c:v>40969</c:v>
                </c:pt>
                <c:pt idx="3">
                  <c:v>41000</c:v>
                </c:pt>
                <c:pt idx="4">
                  <c:v>41030</c:v>
                </c:pt>
                <c:pt idx="5">
                  <c:v>41061</c:v>
                </c:pt>
                <c:pt idx="6">
                  <c:v>41091</c:v>
                </c:pt>
                <c:pt idx="7">
                  <c:v>41122</c:v>
                </c:pt>
                <c:pt idx="8">
                  <c:v>41153</c:v>
                </c:pt>
                <c:pt idx="9">
                  <c:v>41183</c:v>
                </c:pt>
                <c:pt idx="10">
                  <c:v>41214</c:v>
                </c:pt>
                <c:pt idx="11">
                  <c:v>41244</c:v>
                </c:pt>
                <c:pt idx="12">
                  <c:v>41275</c:v>
                </c:pt>
                <c:pt idx="13">
                  <c:v>41306</c:v>
                </c:pt>
                <c:pt idx="14">
                  <c:v>41334</c:v>
                </c:pt>
                <c:pt idx="15">
                  <c:v>41365</c:v>
                </c:pt>
                <c:pt idx="16">
                  <c:v>41395</c:v>
                </c:pt>
                <c:pt idx="17">
                  <c:v>41426</c:v>
                </c:pt>
                <c:pt idx="18">
                  <c:v>41456</c:v>
                </c:pt>
                <c:pt idx="19">
                  <c:v>41487</c:v>
                </c:pt>
                <c:pt idx="20">
                  <c:v>41518</c:v>
                </c:pt>
                <c:pt idx="21">
                  <c:v>41548</c:v>
                </c:pt>
                <c:pt idx="22">
                  <c:v>41579</c:v>
                </c:pt>
                <c:pt idx="23">
                  <c:v>41609</c:v>
                </c:pt>
                <c:pt idx="24">
                  <c:v>41640</c:v>
                </c:pt>
                <c:pt idx="25">
                  <c:v>41671</c:v>
                </c:pt>
                <c:pt idx="26">
                  <c:v>41699</c:v>
                </c:pt>
                <c:pt idx="27">
                  <c:v>41730</c:v>
                </c:pt>
                <c:pt idx="28">
                  <c:v>41760</c:v>
                </c:pt>
                <c:pt idx="29">
                  <c:v>41791</c:v>
                </c:pt>
                <c:pt idx="30">
                  <c:v>41821</c:v>
                </c:pt>
                <c:pt idx="31">
                  <c:v>41852</c:v>
                </c:pt>
                <c:pt idx="32">
                  <c:v>41883</c:v>
                </c:pt>
                <c:pt idx="33">
                  <c:v>41913</c:v>
                </c:pt>
                <c:pt idx="34">
                  <c:v>41944</c:v>
                </c:pt>
                <c:pt idx="35">
                  <c:v>41974</c:v>
                </c:pt>
                <c:pt idx="36">
                  <c:v>42005</c:v>
                </c:pt>
                <c:pt idx="37">
                  <c:v>42036</c:v>
                </c:pt>
                <c:pt idx="38">
                  <c:v>42064</c:v>
                </c:pt>
                <c:pt idx="39">
                  <c:v>42095</c:v>
                </c:pt>
                <c:pt idx="40">
                  <c:v>42125</c:v>
                </c:pt>
                <c:pt idx="41">
                  <c:v>42156</c:v>
                </c:pt>
                <c:pt idx="42">
                  <c:v>42186</c:v>
                </c:pt>
                <c:pt idx="43">
                  <c:v>42217</c:v>
                </c:pt>
                <c:pt idx="44">
                  <c:v>42248</c:v>
                </c:pt>
                <c:pt idx="45">
                  <c:v>42278</c:v>
                </c:pt>
                <c:pt idx="46">
                  <c:v>42309</c:v>
                </c:pt>
                <c:pt idx="47">
                  <c:v>42339</c:v>
                </c:pt>
                <c:pt idx="48">
                  <c:v>42370</c:v>
                </c:pt>
                <c:pt idx="49">
                  <c:v>42401</c:v>
                </c:pt>
                <c:pt idx="50">
                  <c:v>42430</c:v>
                </c:pt>
                <c:pt idx="51">
                  <c:v>42461</c:v>
                </c:pt>
                <c:pt idx="52">
                  <c:v>42491</c:v>
                </c:pt>
                <c:pt idx="53">
                  <c:v>42522</c:v>
                </c:pt>
                <c:pt idx="54">
                  <c:v>42552</c:v>
                </c:pt>
                <c:pt idx="55">
                  <c:v>42583</c:v>
                </c:pt>
                <c:pt idx="56">
                  <c:v>42614</c:v>
                </c:pt>
                <c:pt idx="57">
                  <c:v>42644</c:v>
                </c:pt>
                <c:pt idx="58">
                  <c:v>42675</c:v>
                </c:pt>
                <c:pt idx="59">
                  <c:v>42705</c:v>
                </c:pt>
                <c:pt idx="60">
                  <c:v>42736</c:v>
                </c:pt>
                <c:pt idx="61">
                  <c:v>42767</c:v>
                </c:pt>
                <c:pt idx="62">
                  <c:v>42795</c:v>
                </c:pt>
                <c:pt idx="63">
                  <c:v>42826</c:v>
                </c:pt>
                <c:pt idx="64">
                  <c:v>42856</c:v>
                </c:pt>
                <c:pt idx="65">
                  <c:v>42887</c:v>
                </c:pt>
                <c:pt idx="66">
                  <c:v>42917</c:v>
                </c:pt>
                <c:pt idx="67">
                  <c:v>42948</c:v>
                </c:pt>
                <c:pt idx="68">
                  <c:v>42979</c:v>
                </c:pt>
                <c:pt idx="69">
                  <c:v>43009</c:v>
                </c:pt>
                <c:pt idx="70">
                  <c:v>43040</c:v>
                </c:pt>
                <c:pt idx="71">
                  <c:v>43070</c:v>
                </c:pt>
                <c:pt idx="72">
                  <c:v>43101</c:v>
                </c:pt>
                <c:pt idx="73">
                  <c:v>43132</c:v>
                </c:pt>
                <c:pt idx="74">
                  <c:v>43160</c:v>
                </c:pt>
                <c:pt idx="75">
                  <c:v>43191</c:v>
                </c:pt>
                <c:pt idx="76">
                  <c:v>43221</c:v>
                </c:pt>
                <c:pt idx="77">
                  <c:v>43252</c:v>
                </c:pt>
                <c:pt idx="78">
                  <c:v>43282</c:v>
                </c:pt>
                <c:pt idx="79">
                  <c:v>43313</c:v>
                </c:pt>
                <c:pt idx="80">
                  <c:v>43344</c:v>
                </c:pt>
                <c:pt idx="81">
                  <c:v>43374</c:v>
                </c:pt>
                <c:pt idx="82">
                  <c:v>43405</c:v>
                </c:pt>
                <c:pt idx="83">
                  <c:v>43435</c:v>
                </c:pt>
                <c:pt idx="84">
                  <c:v>43466</c:v>
                </c:pt>
                <c:pt idx="85">
                  <c:v>43497</c:v>
                </c:pt>
                <c:pt idx="86">
                  <c:v>43525</c:v>
                </c:pt>
                <c:pt idx="87">
                  <c:v>43556</c:v>
                </c:pt>
                <c:pt idx="88">
                  <c:v>43586</c:v>
                </c:pt>
                <c:pt idx="89">
                  <c:v>43617</c:v>
                </c:pt>
              </c:numCache>
            </c:numRef>
          </c:cat>
          <c:val>
            <c:numRef>
              <c:f>'Misc. Data &amp; Mechanisms'!$D$815:$D$905</c:f>
              <c:numCache>
                <c:formatCode>0.00%</c:formatCode>
                <c:ptCount val="91"/>
                <c:pt idx="0">
                  <c:v>8.8458665635838776E-2</c:v>
                </c:pt>
                <c:pt idx="1">
                  <c:v>9.8098701428137189E-2</c:v>
                </c:pt>
                <c:pt idx="2">
                  <c:v>0.14264373493943636</c:v>
                </c:pt>
                <c:pt idx="3">
                  <c:v>0.15874323944408303</c:v>
                </c:pt>
                <c:pt idx="4">
                  <c:v>0.17342253186262518</c:v>
                </c:pt>
                <c:pt idx="5">
                  <c:v>0.15896175891774619</c:v>
                </c:pt>
                <c:pt idx="6">
                  <c:v>0.14087544862129067</c:v>
                </c:pt>
                <c:pt idx="7">
                  <c:v>0.12528328250420229</c:v>
                </c:pt>
                <c:pt idx="8">
                  <c:v>0.12779449463902753</c:v>
                </c:pt>
                <c:pt idx="9">
                  <c:v>0.13650505043805641</c:v>
                </c:pt>
                <c:pt idx="10">
                  <c:v>0.15434488874832278</c:v>
                </c:pt>
                <c:pt idx="11">
                  <c:v>0.13425161232603136</c:v>
                </c:pt>
                <c:pt idx="12">
                  <c:v>0.13395217606911916</c:v>
                </c:pt>
                <c:pt idx="13">
                  <c:v>0.1540637749565866</c:v>
                </c:pt>
                <c:pt idx="14">
                  <c:v>0.16167599243202696</c:v>
                </c:pt>
                <c:pt idx="15">
                  <c:v>0.14582006863893585</c:v>
                </c:pt>
                <c:pt idx="16">
                  <c:v>0.17013083465692611</c:v>
                </c:pt>
                <c:pt idx="17">
                  <c:v>0.16277190734246949</c:v>
                </c:pt>
                <c:pt idx="18">
                  <c:v>0.13294305478249269</c:v>
                </c:pt>
                <c:pt idx="19">
                  <c:v>0.13224884938617756</c:v>
                </c:pt>
                <c:pt idx="20">
                  <c:v>0.13094753517511581</c:v>
                </c:pt>
                <c:pt idx="21">
                  <c:v>0.14174544052167903</c:v>
                </c:pt>
                <c:pt idx="22">
                  <c:v>0.13508318691543256</c:v>
                </c:pt>
                <c:pt idx="23">
                  <c:v>0.12772176910453908</c:v>
                </c:pt>
                <c:pt idx="24">
                  <c:v>0.15727067854230428</c:v>
                </c:pt>
                <c:pt idx="25">
                  <c:v>0.1592883528946703</c:v>
                </c:pt>
                <c:pt idx="26">
                  <c:v>0.15943400041229375</c:v>
                </c:pt>
                <c:pt idx="27">
                  <c:v>0.19542504652178949</c:v>
                </c:pt>
                <c:pt idx="28">
                  <c:v>0.15868226707952518</c:v>
                </c:pt>
                <c:pt idx="29">
                  <c:v>0.23189373876053265</c:v>
                </c:pt>
                <c:pt idx="30">
                  <c:v>0.18957532984583006</c:v>
                </c:pt>
                <c:pt idx="31">
                  <c:v>0.17831066755593133</c:v>
                </c:pt>
                <c:pt idx="32">
                  <c:v>0.17282459115423321</c:v>
                </c:pt>
                <c:pt idx="33">
                  <c:v>0.17294306237427284</c:v>
                </c:pt>
                <c:pt idx="34">
                  <c:v>0.18410350583832891</c:v>
                </c:pt>
                <c:pt idx="35">
                  <c:v>0.17086230155340615</c:v>
                </c:pt>
                <c:pt idx="36">
                  <c:v>0.16993055213477476</c:v>
                </c:pt>
                <c:pt idx="37">
                  <c:v>0.1918799961364572</c:v>
                </c:pt>
                <c:pt idx="38">
                  <c:v>0.21673760037591816</c:v>
                </c:pt>
                <c:pt idx="39">
                  <c:v>0.23267380993762582</c:v>
                </c:pt>
                <c:pt idx="40">
                  <c:v>0.24951843933842757</c:v>
                </c:pt>
                <c:pt idx="41">
                  <c:v>0.26094751119053755</c:v>
                </c:pt>
                <c:pt idx="42">
                  <c:v>0.18818659578531377</c:v>
                </c:pt>
                <c:pt idx="43">
                  <c:v>0.19174683361009093</c:v>
                </c:pt>
                <c:pt idx="44">
                  <c:v>0.23349067322569733</c:v>
                </c:pt>
                <c:pt idx="45">
                  <c:v>0.21736520785347779</c:v>
                </c:pt>
                <c:pt idx="46">
                  <c:v>0.21594847757976565</c:v>
                </c:pt>
                <c:pt idx="47">
                  <c:v>0.20409337336704633</c:v>
                </c:pt>
                <c:pt idx="48">
                  <c:v>0.20616088574327895</c:v>
                </c:pt>
                <c:pt idx="49">
                  <c:v>0.21883236661093805</c:v>
                </c:pt>
                <c:pt idx="50">
                  <c:v>0.22993582022800751</c:v>
                </c:pt>
                <c:pt idx="51">
                  <c:v>0.26212892404100796</c:v>
                </c:pt>
                <c:pt idx="52">
                  <c:v>0.26223574698121571</c:v>
                </c:pt>
                <c:pt idx="53">
                  <c:v>0.2597099902348195</c:v>
                </c:pt>
                <c:pt idx="54">
                  <c:v>0.22800955303134038</c:v>
                </c:pt>
                <c:pt idx="55">
                  <c:v>0.23223236955269708</c:v>
                </c:pt>
                <c:pt idx="56">
                  <c:v>0.25592002245310108</c:v>
                </c:pt>
                <c:pt idx="57">
                  <c:v>0.25806685092293991</c:v>
                </c:pt>
                <c:pt idx="58">
                  <c:v>0.28143043891769887</c:v>
                </c:pt>
                <c:pt idx="59">
                  <c:v>0.243690918651192</c:v>
                </c:pt>
                <c:pt idx="60">
                  <c:v>0.27092904697200038</c:v>
                </c:pt>
                <c:pt idx="61">
                  <c:v>0.28689948451941505</c:v>
                </c:pt>
                <c:pt idx="62">
                  <c:v>0.30906486818354134</c:v>
                </c:pt>
                <c:pt idx="63">
                  <c:v>0.30330749318651812</c:v>
                </c:pt>
                <c:pt idx="64">
                  <c:v>0.29846179736340434</c:v>
                </c:pt>
                <c:pt idx="65">
                  <c:v>0.290039061374121</c:v>
                </c:pt>
                <c:pt idx="66">
                  <c:v>0.25877679523124347</c:v>
                </c:pt>
                <c:pt idx="67">
                  <c:v>0.27019663198122418</c:v>
                </c:pt>
                <c:pt idx="68">
                  <c:v>0.27384460778540393</c:v>
                </c:pt>
                <c:pt idx="69">
                  <c:v>0.26732144082138826</c:v>
                </c:pt>
                <c:pt idx="70">
                  <c:v>0.25811401785432331</c:v>
                </c:pt>
                <c:pt idx="71">
                  <c:v>0.24179008179972686</c:v>
                </c:pt>
                <c:pt idx="72">
                  <c:v>0.22538656360730333</c:v>
                </c:pt>
                <c:pt idx="73">
                  <c:v>0.22072637037810891</c:v>
                </c:pt>
                <c:pt idx="74">
                  <c:v>0.23340577588378583</c:v>
                </c:pt>
                <c:pt idx="75">
                  <c:v>0.21109948673463894</c:v>
                </c:pt>
                <c:pt idx="76">
                  <c:v>0.23883151177365414</c:v>
                </c:pt>
                <c:pt idx="77">
                  <c:v>0.24652206706686799</c:v>
                </c:pt>
                <c:pt idx="78">
                  <c:v>0.22018009623891821</c:v>
                </c:pt>
                <c:pt idx="79">
                  <c:v>0.2174131559675441</c:v>
                </c:pt>
                <c:pt idx="80">
                  <c:v>0.2175572392143667</c:v>
                </c:pt>
                <c:pt idx="81">
                  <c:v>0.21444817217287357</c:v>
                </c:pt>
                <c:pt idx="82">
                  <c:v>0.20572460325153094</c:v>
                </c:pt>
                <c:pt idx="83">
                  <c:v>0.19549466158271198</c:v>
                </c:pt>
                <c:pt idx="84">
                  <c:v>0.19556964506628541</c:v>
                </c:pt>
                <c:pt idx="85">
                  <c:v>0.18206417483042528</c:v>
                </c:pt>
                <c:pt idx="86">
                  <c:v>0.21118316077628912</c:v>
                </c:pt>
                <c:pt idx="87">
                  <c:v>0.2170578345411811</c:v>
                </c:pt>
                <c:pt idx="88">
                  <c:v>0.22022961053135634</c:v>
                </c:pt>
                <c:pt idx="89">
                  <c:v>0.21975446190469355</c:v>
                </c:pt>
              </c:numCache>
            </c:numRef>
          </c:val>
        </c:ser>
        <c:ser>
          <c:idx val="7"/>
          <c:order val="3"/>
          <c:tx>
            <c:strRef>
              <c:f>'Misc. Data &amp; Mechanisms'!$I$814</c:f>
              <c:strCache>
                <c:ptCount val="1"/>
                <c:pt idx="0">
                  <c:v>Other Charges</c:v>
                </c:pt>
              </c:strCache>
            </c:strRef>
          </c:tx>
          <c:spPr>
            <a:solidFill>
              <a:srgbClr val="C00000"/>
            </a:solidFill>
            <a:ln w="25400">
              <a:noFill/>
            </a:ln>
          </c:spPr>
          <c:cat>
            <c:numRef>
              <c:f>'Misc. Data &amp; Mechanisms'!$A$815:$A$905</c:f>
              <c:numCache>
                <c:formatCode>[$-409]mmm-yy;@</c:formatCode>
                <c:ptCount val="91"/>
                <c:pt idx="0">
                  <c:v>40909</c:v>
                </c:pt>
                <c:pt idx="1">
                  <c:v>40940</c:v>
                </c:pt>
                <c:pt idx="2">
                  <c:v>40969</c:v>
                </c:pt>
                <c:pt idx="3">
                  <c:v>41000</c:v>
                </c:pt>
                <c:pt idx="4">
                  <c:v>41030</c:v>
                </c:pt>
                <c:pt idx="5">
                  <c:v>41061</c:v>
                </c:pt>
                <c:pt idx="6">
                  <c:v>41091</c:v>
                </c:pt>
                <c:pt idx="7">
                  <c:v>41122</c:v>
                </c:pt>
                <c:pt idx="8">
                  <c:v>41153</c:v>
                </c:pt>
                <c:pt idx="9">
                  <c:v>41183</c:v>
                </c:pt>
                <c:pt idx="10">
                  <c:v>41214</c:v>
                </c:pt>
                <c:pt idx="11">
                  <c:v>41244</c:v>
                </c:pt>
                <c:pt idx="12">
                  <c:v>41275</c:v>
                </c:pt>
                <c:pt idx="13">
                  <c:v>41306</c:v>
                </c:pt>
                <c:pt idx="14">
                  <c:v>41334</c:v>
                </c:pt>
                <c:pt idx="15">
                  <c:v>41365</c:v>
                </c:pt>
                <c:pt idx="16">
                  <c:v>41395</c:v>
                </c:pt>
                <c:pt idx="17">
                  <c:v>41426</c:v>
                </c:pt>
                <c:pt idx="18">
                  <c:v>41456</c:v>
                </c:pt>
                <c:pt idx="19">
                  <c:v>41487</c:v>
                </c:pt>
                <c:pt idx="20">
                  <c:v>41518</c:v>
                </c:pt>
                <c:pt idx="21">
                  <c:v>41548</c:v>
                </c:pt>
                <c:pt idx="22">
                  <c:v>41579</c:v>
                </c:pt>
                <c:pt idx="23">
                  <c:v>41609</c:v>
                </c:pt>
                <c:pt idx="24">
                  <c:v>41640</c:v>
                </c:pt>
                <c:pt idx="25">
                  <c:v>41671</c:v>
                </c:pt>
                <c:pt idx="26">
                  <c:v>41699</c:v>
                </c:pt>
                <c:pt idx="27">
                  <c:v>41730</c:v>
                </c:pt>
                <c:pt idx="28">
                  <c:v>41760</c:v>
                </c:pt>
                <c:pt idx="29">
                  <c:v>41791</c:v>
                </c:pt>
                <c:pt idx="30">
                  <c:v>41821</c:v>
                </c:pt>
                <c:pt idx="31">
                  <c:v>41852</c:v>
                </c:pt>
                <c:pt idx="32">
                  <c:v>41883</c:v>
                </c:pt>
                <c:pt idx="33">
                  <c:v>41913</c:v>
                </c:pt>
                <c:pt idx="34">
                  <c:v>41944</c:v>
                </c:pt>
                <c:pt idx="35">
                  <c:v>41974</c:v>
                </c:pt>
                <c:pt idx="36">
                  <c:v>42005</c:v>
                </c:pt>
                <c:pt idx="37">
                  <c:v>42036</c:v>
                </c:pt>
                <c:pt idx="38">
                  <c:v>42064</c:v>
                </c:pt>
                <c:pt idx="39">
                  <c:v>42095</c:v>
                </c:pt>
                <c:pt idx="40">
                  <c:v>42125</c:v>
                </c:pt>
                <c:pt idx="41">
                  <c:v>42156</c:v>
                </c:pt>
                <c:pt idx="42">
                  <c:v>42186</c:v>
                </c:pt>
                <c:pt idx="43">
                  <c:v>42217</c:v>
                </c:pt>
                <c:pt idx="44">
                  <c:v>42248</c:v>
                </c:pt>
                <c:pt idx="45">
                  <c:v>42278</c:v>
                </c:pt>
                <c:pt idx="46">
                  <c:v>42309</c:v>
                </c:pt>
                <c:pt idx="47">
                  <c:v>42339</c:v>
                </c:pt>
                <c:pt idx="48">
                  <c:v>42370</c:v>
                </c:pt>
                <c:pt idx="49">
                  <c:v>42401</c:v>
                </c:pt>
                <c:pt idx="50">
                  <c:v>42430</c:v>
                </c:pt>
                <c:pt idx="51">
                  <c:v>42461</c:v>
                </c:pt>
                <c:pt idx="52">
                  <c:v>42491</c:v>
                </c:pt>
                <c:pt idx="53">
                  <c:v>42522</c:v>
                </c:pt>
                <c:pt idx="54">
                  <c:v>42552</c:v>
                </c:pt>
                <c:pt idx="55">
                  <c:v>42583</c:v>
                </c:pt>
                <c:pt idx="56">
                  <c:v>42614</c:v>
                </c:pt>
                <c:pt idx="57">
                  <c:v>42644</c:v>
                </c:pt>
                <c:pt idx="58">
                  <c:v>42675</c:v>
                </c:pt>
                <c:pt idx="59">
                  <c:v>42705</c:v>
                </c:pt>
                <c:pt idx="60">
                  <c:v>42736</c:v>
                </c:pt>
                <c:pt idx="61">
                  <c:v>42767</c:v>
                </c:pt>
                <c:pt idx="62">
                  <c:v>42795</c:v>
                </c:pt>
                <c:pt idx="63">
                  <c:v>42826</c:v>
                </c:pt>
                <c:pt idx="64">
                  <c:v>42856</c:v>
                </c:pt>
                <c:pt idx="65">
                  <c:v>42887</c:v>
                </c:pt>
                <c:pt idx="66">
                  <c:v>42917</c:v>
                </c:pt>
                <c:pt idx="67">
                  <c:v>42948</c:v>
                </c:pt>
                <c:pt idx="68">
                  <c:v>42979</c:v>
                </c:pt>
                <c:pt idx="69">
                  <c:v>43009</c:v>
                </c:pt>
                <c:pt idx="70">
                  <c:v>43040</c:v>
                </c:pt>
                <c:pt idx="71">
                  <c:v>43070</c:v>
                </c:pt>
                <c:pt idx="72">
                  <c:v>43101</c:v>
                </c:pt>
                <c:pt idx="73">
                  <c:v>43132</c:v>
                </c:pt>
                <c:pt idx="74">
                  <c:v>43160</c:v>
                </c:pt>
                <c:pt idx="75">
                  <c:v>43191</c:v>
                </c:pt>
                <c:pt idx="76">
                  <c:v>43221</c:v>
                </c:pt>
                <c:pt idx="77">
                  <c:v>43252</c:v>
                </c:pt>
                <c:pt idx="78">
                  <c:v>43282</c:v>
                </c:pt>
                <c:pt idx="79">
                  <c:v>43313</c:v>
                </c:pt>
                <c:pt idx="80">
                  <c:v>43344</c:v>
                </c:pt>
                <c:pt idx="81">
                  <c:v>43374</c:v>
                </c:pt>
                <c:pt idx="82">
                  <c:v>43405</c:v>
                </c:pt>
                <c:pt idx="83">
                  <c:v>43435</c:v>
                </c:pt>
                <c:pt idx="84">
                  <c:v>43466</c:v>
                </c:pt>
                <c:pt idx="85">
                  <c:v>43497</c:v>
                </c:pt>
                <c:pt idx="86">
                  <c:v>43525</c:v>
                </c:pt>
                <c:pt idx="87">
                  <c:v>43556</c:v>
                </c:pt>
                <c:pt idx="88">
                  <c:v>43586</c:v>
                </c:pt>
                <c:pt idx="89">
                  <c:v>43617</c:v>
                </c:pt>
              </c:numCache>
            </c:numRef>
          </c:cat>
          <c:val>
            <c:numRef>
              <c:f>'Misc. Data &amp; Mechanisms'!$I$815:$I$905</c:f>
              <c:numCache>
                <c:formatCode>0.00%</c:formatCode>
                <c:ptCount val="91"/>
                <c:pt idx="0">
                  <c:v>0.21976474645253913</c:v>
                </c:pt>
                <c:pt idx="1">
                  <c:v>0.22736240610288375</c:v>
                </c:pt>
                <c:pt idx="2">
                  <c:v>0.26331202464501996</c:v>
                </c:pt>
                <c:pt idx="3">
                  <c:v>0.27521434292399927</c:v>
                </c:pt>
                <c:pt idx="4">
                  <c:v>0.28596551498938161</c:v>
                </c:pt>
                <c:pt idx="5">
                  <c:v>0.27360790792655348</c:v>
                </c:pt>
                <c:pt idx="6">
                  <c:v>0.2600314823100866</c:v>
                </c:pt>
                <c:pt idx="7">
                  <c:v>0.24641266281934859</c:v>
                </c:pt>
                <c:pt idx="8">
                  <c:v>0.24889314172619131</c:v>
                </c:pt>
                <c:pt idx="9">
                  <c:v>0.20195769511939607</c:v>
                </c:pt>
                <c:pt idx="10">
                  <c:v>0.20816071027645186</c:v>
                </c:pt>
                <c:pt idx="11">
                  <c:v>0.19762888781855079</c:v>
                </c:pt>
                <c:pt idx="12">
                  <c:v>0.19912680494002033</c:v>
                </c:pt>
                <c:pt idx="13">
                  <c:v>0.20888993019917204</c:v>
                </c:pt>
                <c:pt idx="14">
                  <c:v>0.21267502959909576</c:v>
                </c:pt>
                <c:pt idx="15">
                  <c:v>0.24299608612383053</c:v>
                </c:pt>
                <c:pt idx="16">
                  <c:v>0.25848088330012964</c:v>
                </c:pt>
                <c:pt idx="17">
                  <c:v>0.24175844018604636</c:v>
                </c:pt>
                <c:pt idx="18">
                  <c:v>0.2049584959594582</c:v>
                </c:pt>
                <c:pt idx="19">
                  <c:v>0.20455659488637806</c:v>
                </c:pt>
                <c:pt idx="20">
                  <c:v>0.21346182792561103</c:v>
                </c:pt>
                <c:pt idx="21">
                  <c:v>0.28177217977643071</c:v>
                </c:pt>
                <c:pt idx="22">
                  <c:v>0.27935522293835291</c:v>
                </c:pt>
                <c:pt idx="23">
                  <c:v>0.28836357704509541</c:v>
                </c:pt>
                <c:pt idx="24">
                  <c:v>0.28546597094434767</c:v>
                </c:pt>
                <c:pt idx="25">
                  <c:v>0.28992456723165805</c:v>
                </c:pt>
                <c:pt idx="26">
                  <c:v>0.30774486336131396</c:v>
                </c:pt>
                <c:pt idx="27">
                  <c:v>0.23996606252681696</c:v>
                </c:pt>
                <c:pt idx="28">
                  <c:v>0.22236015467447806</c:v>
                </c:pt>
                <c:pt idx="29">
                  <c:v>0.24635158345942781</c:v>
                </c:pt>
                <c:pt idx="30">
                  <c:v>0.23809753603429595</c:v>
                </c:pt>
                <c:pt idx="31">
                  <c:v>0.23249527642914297</c:v>
                </c:pt>
                <c:pt idx="32">
                  <c:v>0.22945840693467134</c:v>
                </c:pt>
                <c:pt idx="33">
                  <c:v>0.2442545206979215</c:v>
                </c:pt>
                <c:pt idx="34">
                  <c:v>0.24935323334156034</c:v>
                </c:pt>
                <c:pt idx="35">
                  <c:v>0.24170219963575462</c:v>
                </c:pt>
                <c:pt idx="36">
                  <c:v>0.27438550752800345</c:v>
                </c:pt>
                <c:pt idx="37">
                  <c:v>0.29081950396858092</c:v>
                </c:pt>
                <c:pt idx="38">
                  <c:v>0.30789983819495076</c:v>
                </c:pt>
                <c:pt idx="39">
                  <c:v>0.26797871266633727</c:v>
                </c:pt>
                <c:pt idx="40">
                  <c:v>0.2765796385733052</c:v>
                </c:pt>
                <c:pt idx="41">
                  <c:v>0.28318445934219583</c:v>
                </c:pt>
                <c:pt idx="42">
                  <c:v>0.23586422442146168</c:v>
                </c:pt>
                <c:pt idx="43">
                  <c:v>0.23763311886789501</c:v>
                </c:pt>
                <c:pt idx="44">
                  <c:v>0.2555616821311148</c:v>
                </c:pt>
                <c:pt idx="45">
                  <c:v>0.27446354167384041</c:v>
                </c:pt>
                <c:pt idx="46">
                  <c:v>0.27610396249097058</c:v>
                </c:pt>
                <c:pt idx="47">
                  <c:v>0.27073079230169295</c:v>
                </c:pt>
                <c:pt idx="48">
                  <c:v>0.31994657053730508</c:v>
                </c:pt>
                <c:pt idx="49">
                  <c:v>0.32747046333009244</c:v>
                </c:pt>
                <c:pt idx="50">
                  <c:v>0.33256660207919714</c:v>
                </c:pt>
                <c:pt idx="51">
                  <c:v>0.33190455581412853</c:v>
                </c:pt>
                <c:pt idx="52">
                  <c:v>0.33240349860900825</c:v>
                </c:pt>
                <c:pt idx="53">
                  <c:v>0.33006173669870292</c:v>
                </c:pt>
                <c:pt idx="54">
                  <c:v>0.3090789999537556</c:v>
                </c:pt>
                <c:pt idx="55">
                  <c:v>0.31128155765620619</c:v>
                </c:pt>
                <c:pt idx="56">
                  <c:v>0.3286143268730839</c:v>
                </c:pt>
                <c:pt idx="57">
                  <c:v>0.24740349625393832</c:v>
                </c:pt>
                <c:pt idx="58">
                  <c:v>0.1984513568651623</c:v>
                </c:pt>
                <c:pt idx="59">
                  <c:v>0.19117303637923527</c:v>
                </c:pt>
                <c:pt idx="60">
                  <c:v>0.22305696472418998</c:v>
                </c:pt>
                <c:pt idx="61">
                  <c:v>0.22702806773537915</c:v>
                </c:pt>
                <c:pt idx="62">
                  <c:v>0.23178942603884362</c:v>
                </c:pt>
                <c:pt idx="63">
                  <c:v>0.30513578120643881</c:v>
                </c:pt>
                <c:pt idx="64">
                  <c:v>0.34291098900611239</c:v>
                </c:pt>
                <c:pt idx="65">
                  <c:v>0.33635513009600709</c:v>
                </c:pt>
                <c:pt idx="66">
                  <c:v>0.32214652769217972</c:v>
                </c:pt>
                <c:pt idx="67">
                  <c:v>0.3249951702394685</c:v>
                </c:pt>
                <c:pt idx="68">
                  <c:v>0.32946348942089893</c:v>
                </c:pt>
                <c:pt idx="69">
                  <c:v>0.32627550636273933</c:v>
                </c:pt>
                <c:pt idx="70">
                  <c:v>0.32753740646242163</c:v>
                </c:pt>
                <c:pt idx="71">
                  <c:v>0.32096490976122621</c:v>
                </c:pt>
                <c:pt idx="72">
                  <c:v>0.3120650253260252</c:v>
                </c:pt>
                <c:pt idx="73">
                  <c:v>0.31060078643211653</c:v>
                </c:pt>
                <c:pt idx="74">
                  <c:v>0.31335302418564726</c:v>
                </c:pt>
                <c:pt idx="75">
                  <c:v>0.31835179220206544</c:v>
                </c:pt>
                <c:pt idx="76">
                  <c:v>0.33568192207125824</c:v>
                </c:pt>
                <c:pt idx="77">
                  <c:v>0.34219313751546532</c:v>
                </c:pt>
                <c:pt idx="78">
                  <c:v>0.30901436731173626</c:v>
                </c:pt>
                <c:pt idx="79">
                  <c:v>0.30848087250991502</c:v>
                </c:pt>
                <c:pt idx="80">
                  <c:v>0.30850865325531263</c:v>
                </c:pt>
                <c:pt idx="81">
                  <c:v>0.32892159306807289</c:v>
                </c:pt>
                <c:pt idx="82">
                  <c:v>0.32911501977228097</c:v>
                </c:pt>
                <c:pt idx="83">
                  <c:v>0.32280553282820335</c:v>
                </c:pt>
                <c:pt idx="84">
                  <c:v>0.34463083889710194</c:v>
                </c:pt>
                <c:pt idx="85">
                  <c:v>0.34358260925987461</c:v>
                </c:pt>
                <c:pt idx="86">
                  <c:v>0.35645245073879583</c:v>
                </c:pt>
                <c:pt idx="87">
                  <c:v>0.35872226326522383</c:v>
                </c:pt>
                <c:pt idx="88">
                  <c:v>0.35492114224853782</c:v>
                </c:pt>
                <c:pt idx="89">
                  <c:v>0.35488228475650069</c:v>
                </c:pt>
              </c:numCache>
            </c:numRef>
          </c:val>
        </c:ser>
        <c:dLbls>
          <c:showLegendKey val="0"/>
          <c:showVal val="0"/>
          <c:showCatName val="0"/>
          <c:showSerName val="0"/>
          <c:showPercent val="0"/>
          <c:showBubbleSize val="0"/>
        </c:dLbls>
        <c:axId val="243307264"/>
        <c:axId val="243308800"/>
      </c:areaChart>
      <c:dateAx>
        <c:axId val="243307264"/>
        <c:scaling>
          <c:orientation val="minMax"/>
        </c:scaling>
        <c:delete val="0"/>
        <c:axPos val="b"/>
        <c:numFmt formatCode="[$-409]mmm-yy;@" sourceLinked="1"/>
        <c:majorTickMark val="out"/>
        <c:minorTickMark val="none"/>
        <c:tickLblPos val="nextTo"/>
        <c:crossAx val="243308800"/>
        <c:crosses val="autoZero"/>
        <c:auto val="1"/>
        <c:lblOffset val="100"/>
        <c:baseTimeUnit val="months"/>
      </c:dateAx>
      <c:valAx>
        <c:axId val="243308800"/>
        <c:scaling>
          <c:orientation val="minMax"/>
        </c:scaling>
        <c:delete val="0"/>
        <c:axPos val="l"/>
        <c:majorGridlines/>
        <c:numFmt formatCode="0%" sourceLinked="1"/>
        <c:majorTickMark val="out"/>
        <c:minorTickMark val="none"/>
        <c:tickLblPos val="nextTo"/>
        <c:crossAx val="243307264"/>
        <c:crosses val="autoZero"/>
        <c:crossBetween val="midCat"/>
      </c:valAx>
    </c:plotArea>
    <c:legend>
      <c:legendPos val="r"/>
      <c:legendEntry>
        <c:idx val="0"/>
        <c:txPr>
          <a:bodyPr/>
          <a:lstStyle/>
          <a:p>
            <a:pPr>
              <a:defRPr sz="1100"/>
            </a:pPr>
            <a:endParaRPr lang="en-US"/>
          </a:p>
        </c:txPr>
      </c:legendEntry>
      <c:legendEntry>
        <c:idx val="1"/>
        <c:txPr>
          <a:bodyPr/>
          <a:lstStyle/>
          <a:p>
            <a:pPr>
              <a:defRPr sz="1100"/>
            </a:pPr>
            <a:endParaRPr lang="en-US"/>
          </a:p>
        </c:txPr>
      </c:legendEntry>
      <c:overlay val="0"/>
      <c:txPr>
        <a:bodyPr/>
        <a:lstStyle/>
        <a:p>
          <a:pPr>
            <a:defRPr sz="1100"/>
          </a:pPr>
          <a:endParaRPr lang="en-US"/>
        </a:p>
      </c:txPr>
    </c:legend>
    <c:plotVisOnly val="1"/>
    <c:dispBlanksAs val="zero"/>
    <c:showDLblsOverMax val="0"/>
  </c:chart>
  <c:spPr>
    <a:ln>
      <a:noFill/>
    </a:ln>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'Misc. Data &amp; Mechanisms'!$A$1029</c:f>
          <c:strCache>
            <c:ptCount val="1"/>
            <c:pt idx="0">
              <c:v>Annual Cost Component Variation in the ENMAX Zone, 2012 - 2018</c:v>
            </c:pt>
          </c:strCache>
        </c:strRef>
      </c:tx>
      <c:overlay val="0"/>
    </c:title>
    <c:autoTitleDeleted val="0"/>
    <c:plotArea>
      <c:layout>
        <c:manualLayout>
          <c:layoutTarget val="inner"/>
          <c:xMode val="edge"/>
          <c:yMode val="edge"/>
          <c:x val="5.7226807175418865E-2"/>
          <c:y val="8.9954887556390556E-2"/>
          <c:w val="0.7544272072373932"/>
          <c:h val="0.86220110974861286"/>
        </c:manualLayout>
      </c:layout>
      <c:barChart>
        <c:barDir val="col"/>
        <c:grouping val="stacked"/>
        <c:varyColors val="0"/>
        <c:ser>
          <c:idx val="4"/>
          <c:order val="0"/>
          <c:tx>
            <c:strRef>
              <c:f>'Misc. Data &amp; Mechanisms'!$A$1037</c:f>
              <c:strCache>
                <c:ptCount val="1"/>
                <c:pt idx="0">
                  <c:v>Rate Riders</c:v>
                </c:pt>
              </c:strCache>
            </c:strRef>
          </c:tx>
          <c:spPr>
            <a:solidFill>
              <a:schemeClr val="accent4">
                <a:lumMod val="75000"/>
              </a:schemeClr>
            </a:solidFill>
          </c:spPr>
          <c:invertIfNegative val="0"/>
          <c:cat>
            <c:numRef>
              <c:f>'Misc. Data &amp; Mechanisms'!$B$1032:$H$1032</c:f>
              <c:numCache>
                <c:formatCode>General</c:formatCode>
                <c:ptCount val="7"/>
                <c:pt idx="0">
                  <c:v>2012</c:v>
                </c:pt>
                <c:pt idx="1">
                  <c:v>2013</c:v>
                </c:pt>
                <c:pt idx="2">
                  <c:v>2014</c:v>
                </c:pt>
                <c:pt idx="3">
                  <c:v>2015</c:v>
                </c:pt>
                <c:pt idx="4">
                  <c:v>2016</c:v>
                </c:pt>
                <c:pt idx="5">
                  <c:v>2017</c:v>
                </c:pt>
                <c:pt idx="6">
                  <c:v>2018</c:v>
                </c:pt>
              </c:numCache>
            </c:numRef>
          </c:cat>
          <c:val>
            <c:numRef>
              <c:f>'Misc. Data &amp; Mechanisms'!$B$1037:$H$1037</c:f>
              <c:numCache>
                <c:formatCode>General</c:formatCode>
                <c:ptCount val="7"/>
                <c:pt idx="0">
                  <c:v>51.725629093645878</c:v>
                </c:pt>
                <c:pt idx="1">
                  <c:v>39.137437924928562</c:v>
                </c:pt>
                <c:pt idx="2">
                  <c:v>58.416169047761358</c:v>
                </c:pt>
                <c:pt idx="3">
                  <c:v>56.530353682660333</c:v>
                </c:pt>
                <c:pt idx="4">
                  <c:v>63.484945830489103</c:v>
                </c:pt>
                <c:pt idx="5">
                  <c:v>76.501433118987023</c:v>
                </c:pt>
                <c:pt idx="6">
                  <c:v>135.96630094396079</c:v>
                </c:pt>
              </c:numCache>
            </c:numRef>
          </c:val>
        </c:ser>
        <c:ser>
          <c:idx val="0"/>
          <c:order val="1"/>
          <c:tx>
            <c:strRef>
              <c:f>'Misc. Data &amp; Mechanisms'!$A$1033</c:f>
              <c:strCache>
                <c:ptCount val="1"/>
                <c:pt idx="0">
                  <c:v>Energy</c:v>
                </c:pt>
              </c:strCache>
            </c:strRef>
          </c:tx>
          <c:spPr>
            <a:solidFill>
              <a:schemeClr val="accent5">
                <a:lumMod val="75000"/>
              </a:schemeClr>
            </a:solidFill>
          </c:spPr>
          <c:invertIfNegative val="0"/>
          <c:dLbls>
            <c:dLbl>
              <c:idx val="0"/>
              <c:tx>
                <c:strRef>
                  <c:f>'Misc. Data &amp; Mechanisms'!$B$1046</c:f>
                  <c:strCache>
                    <c:ptCount val="1"/>
                    <c:pt idx="0">
                      <c:v>52.4%</c:v>
                    </c:pt>
                  </c:strCache>
                </c:strRef>
              </c:tx>
              <c:showLegendKey val="0"/>
              <c:showVal val="1"/>
              <c:showCatName val="0"/>
              <c:showSerName val="0"/>
              <c:showPercent val="0"/>
              <c:showBubbleSize val="0"/>
            </c:dLbl>
            <c:dLbl>
              <c:idx val="1"/>
              <c:tx>
                <c:strRef>
                  <c:f>'Misc. Data &amp; Mechanisms'!$C$1046</c:f>
                  <c:strCache>
                    <c:ptCount val="1"/>
                    <c:pt idx="0">
                      <c:v>50.6%</c:v>
                    </c:pt>
                  </c:strCache>
                </c:strRef>
              </c:tx>
              <c:showLegendKey val="0"/>
              <c:showVal val="1"/>
              <c:showCatName val="0"/>
              <c:showSerName val="0"/>
              <c:showPercent val="0"/>
              <c:showBubbleSize val="0"/>
            </c:dLbl>
            <c:dLbl>
              <c:idx val="2"/>
              <c:tx>
                <c:strRef>
                  <c:f>'Misc. Data &amp; Mechanisms'!$D$1046</c:f>
                  <c:strCache>
                    <c:ptCount val="1"/>
                    <c:pt idx="0">
                      <c:v>45.6%</c:v>
                    </c:pt>
                  </c:strCache>
                </c:strRef>
              </c:tx>
              <c:showLegendKey val="0"/>
              <c:showVal val="1"/>
              <c:showCatName val="0"/>
              <c:showSerName val="0"/>
              <c:showPercent val="0"/>
              <c:showBubbleSize val="0"/>
            </c:dLbl>
            <c:dLbl>
              <c:idx val="3"/>
              <c:tx>
                <c:strRef>
                  <c:f>'Misc. Data &amp; Mechanisms'!$E$1046</c:f>
                  <c:strCache>
                    <c:ptCount val="1"/>
                    <c:pt idx="0">
                      <c:v>38.8%</c:v>
                    </c:pt>
                  </c:strCache>
                </c:strRef>
              </c:tx>
              <c:showLegendKey val="0"/>
              <c:showVal val="1"/>
              <c:showCatName val="0"/>
              <c:showSerName val="0"/>
              <c:showPercent val="0"/>
              <c:showBubbleSize val="0"/>
            </c:dLbl>
            <c:dLbl>
              <c:idx val="4"/>
              <c:tx>
                <c:strRef>
                  <c:f>'Misc. Data &amp; Mechanisms'!$F$1046</c:f>
                  <c:strCache>
                    <c:ptCount val="1"/>
                    <c:pt idx="0">
                      <c:v>31.2%</c:v>
                    </c:pt>
                  </c:strCache>
                </c:strRef>
              </c:tx>
              <c:showLegendKey val="0"/>
              <c:showVal val="1"/>
              <c:showCatName val="0"/>
              <c:showSerName val="0"/>
              <c:showPercent val="0"/>
              <c:showBubbleSize val="0"/>
            </c:dLbl>
            <c:dLbl>
              <c:idx val="5"/>
              <c:tx>
                <c:strRef>
                  <c:f>'Misc. Data &amp; Mechanisms'!$G$1046</c:f>
                  <c:strCache>
                    <c:ptCount val="1"/>
                    <c:pt idx="0">
                      <c:v>27.8%</c:v>
                    </c:pt>
                  </c:strCache>
                </c:strRef>
              </c:tx>
              <c:showLegendKey val="0"/>
              <c:showVal val="1"/>
              <c:showCatName val="0"/>
              <c:showSerName val="0"/>
              <c:showPercent val="0"/>
              <c:showBubbleSize val="0"/>
            </c:dLbl>
            <c:dLbl>
              <c:idx val="6"/>
              <c:tx>
                <c:strRef>
                  <c:f>'Misc. Data &amp; Mechanisms'!$H$1046</c:f>
                  <c:strCache>
                    <c:ptCount val="1"/>
                    <c:pt idx="0">
                      <c:v>34.9%</c:v>
                    </c:pt>
                  </c:strCache>
                </c:strRef>
              </c:tx>
              <c:showLegendKey val="0"/>
              <c:showVal val="1"/>
              <c:showCatName val="0"/>
              <c:showSerName val="0"/>
              <c:showPercent val="0"/>
              <c:showBubbleSize val="0"/>
            </c:dLbl>
            <c:txPr>
              <a:bodyPr/>
              <a:lstStyle/>
              <a:p>
                <a:pPr>
                  <a:defRPr>
                    <a:solidFill>
                      <a:schemeClr val="bg1"/>
                    </a:solidFill>
                  </a:defRPr>
                </a:pPr>
                <a:endParaRPr lang="en-US"/>
              </a:p>
            </c:txPr>
            <c:showLegendKey val="0"/>
            <c:showVal val="1"/>
            <c:showCatName val="0"/>
            <c:showSerName val="0"/>
            <c:showPercent val="0"/>
            <c:showBubbleSize val="0"/>
            <c:showLeaderLines val="0"/>
          </c:dLbls>
          <c:cat>
            <c:numRef>
              <c:f>'Misc. Data &amp; Mechanisms'!$B$1032:$H$1032</c:f>
              <c:numCache>
                <c:formatCode>General</c:formatCode>
                <c:ptCount val="7"/>
                <c:pt idx="0">
                  <c:v>2012</c:v>
                </c:pt>
                <c:pt idx="1">
                  <c:v>2013</c:v>
                </c:pt>
                <c:pt idx="2">
                  <c:v>2014</c:v>
                </c:pt>
                <c:pt idx="3">
                  <c:v>2015</c:v>
                </c:pt>
                <c:pt idx="4">
                  <c:v>2016</c:v>
                </c:pt>
                <c:pt idx="5">
                  <c:v>2017</c:v>
                </c:pt>
                <c:pt idx="6">
                  <c:v>2018</c:v>
                </c:pt>
              </c:numCache>
            </c:numRef>
          </c:cat>
          <c:val>
            <c:numRef>
              <c:f>'Misc. Data &amp; Mechanisms'!$B$1033:$H$1033</c:f>
              <c:numCache>
                <c:formatCode>General</c:formatCode>
                <c:ptCount val="7"/>
                <c:pt idx="0">
                  <c:v>703.1863508845272</c:v>
                </c:pt>
                <c:pt idx="1">
                  <c:v>624.23052376700457</c:v>
                </c:pt>
                <c:pt idx="2">
                  <c:v>555.38726015912823</c:v>
                </c:pt>
                <c:pt idx="3">
                  <c:v>400.84230026864429</c:v>
                </c:pt>
                <c:pt idx="4">
                  <c:v>279.10790765261851</c:v>
                </c:pt>
                <c:pt idx="5">
                  <c:v>252.0033218257565</c:v>
                </c:pt>
                <c:pt idx="6">
                  <c:v>401.57405964687996</c:v>
                </c:pt>
              </c:numCache>
            </c:numRef>
          </c:val>
        </c:ser>
        <c:ser>
          <c:idx val="1"/>
          <c:order val="2"/>
          <c:tx>
            <c:strRef>
              <c:f>'Misc. Data &amp; Mechanisms'!$A$1034</c:f>
              <c:strCache>
                <c:ptCount val="1"/>
                <c:pt idx="0">
                  <c:v>Transmission</c:v>
                </c:pt>
              </c:strCache>
            </c:strRef>
          </c:tx>
          <c:spPr>
            <a:solidFill>
              <a:schemeClr val="bg1">
                <a:lumMod val="65000"/>
              </a:schemeClr>
            </a:solidFill>
          </c:spPr>
          <c:invertIfNegative val="0"/>
          <c:dLbls>
            <c:dLbl>
              <c:idx val="0"/>
              <c:tx>
                <c:strRef>
                  <c:f>'Misc. Data &amp; Mechanisms'!$B$1047</c:f>
                  <c:strCache>
                    <c:ptCount val="1"/>
                    <c:pt idx="0">
                      <c:v>10.5%</c:v>
                    </c:pt>
                  </c:strCache>
                </c:strRef>
              </c:tx>
              <c:showLegendKey val="0"/>
              <c:showVal val="1"/>
              <c:showCatName val="0"/>
              <c:showSerName val="0"/>
              <c:showPercent val="0"/>
              <c:showBubbleSize val="0"/>
            </c:dLbl>
            <c:dLbl>
              <c:idx val="1"/>
              <c:tx>
                <c:strRef>
                  <c:f>'Misc. Data &amp; Mechanisms'!$C$1047</c:f>
                  <c:strCache>
                    <c:ptCount val="1"/>
                    <c:pt idx="0">
                      <c:v>11.4%</c:v>
                    </c:pt>
                  </c:strCache>
                </c:strRef>
              </c:tx>
              <c:showLegendKey val="0"/>
              <c:showVal val="1"/>
              <c:showCatName val="0"/>
              <c:showSerName val="0"/>
              <c:showPercent val="0"/>
              <c:showBubbleSize val="0"/>
            </c:dLbl>
            <c:dLbl>
              <c:idx val="2"/>
              <c:tx>
                <c:strRef>
                  <c:f>'Misc. Data &amp; Mechanisms'!$D$1047</c:f>
                  <c:strCache>
                    <c:ptCount val="1"/>
                    <c:pt idx="0">
                      <c:v>11.5%</c:v>
                    </c:pt>
                  </c:strCache>
                </c:strRef>
              </c:tx>
              <c:showLegendKey val="0"/>
              <c:showVal val="1"/>
              <c:showCatName val="0"/>
              <c:showSerName val="0"/>
              <c:showPercent val="0"/>
              <c:showBubbleSize val="0"/>
            </c:dLbl>
            <c:dLbl>
              <c:idx val="3"/>
              <c:tx>
                <c:strRef>
                  <c:f>'Misc. Data &amp; Mechanisms'!$E$1047</c:f>
                  <c:strCache>
                    <c:ptCount val="1"/>
                    <c:pt idx="0">
                      <c:v>13.1%</c:v>
                    </c:pt>
                  </c:strCache>
                </c:strRef>
              </c:tx>
              <c:showLegendKey val="0"/>
              <c:showVal val="1"/>
              <c:showCatName val="0"/>
              <c:showSerName val="0"/>
              <c:showPercent val="0"/>
              <c:showBubbleSize val="0"/>
            </c:dLbl>
            <c:dLbl>
              <c:idx val="4"/>
              <c:tx>
                <c:strRef>
                  <c:f>'Misc. Data &amp; Mechanisms'!$F$1047</c:f>
                  <c:strCache>
                    <c:ptCount val="1"/>
                    <c:pt idx="0">
                      <c:v>14.8%</c:v>
                    </c:pt>
                  </c:strCache>
                </c:strRef>
              </c:tx>
              <c:showLegendKey val="0"/>
              <c:showVal val="1"/>
              <c:showCatName val="0"/>
              <c:showSerName val="0"/>
              <c:showPercent val="0"/>
              <c:showBubbleSize val="0"/>
            </c:dLbl>
            <c:dLbl>
              <c:idx val="5"/>
              <c:tx>
                <c:strRef>
                  <c:f>'Misc. Data &amp; Mechanisms'!$G$1047</c:f>
                  <c:strCache>
                    <c:ptCount val="1"/>
                    <c:pt idx="0">
                      <c:v>14.4%</c:v>
                    </c:pt>
                  </c:strCache>
                </c:strRef>
              </c:tx>
              <c:showLegendKey val="0"/>
              <c:showVal val="1"/>
              <c:showCatName val="0"/>
              <c:showSerName val="0"/>
              <c:showPercent val="0"/>
              <c:showBubbleSize val="0"/>
            </c:dLbl>
            <c:dLbl>
              <c:idx val="6"/>
              <c:tx>
                <c:strRef>
                  <c:f>'Misc. Data &amp; Mechanisms'!$H$1047</c:f>
                  <c:strCache>
                    <c:ptCount val="1"/>
                    <c:pt idx="0">
                      <c:v>11.2%</c:v>
                    </c:pt>
                  </c:strCache>
                </c:strRef>
              </c:tx>
              <c:showLegendKey val="0"/>
              <c:showVal val="1"/>
              <c:showCatName val="0"/>
              <c:showSerName val="0"/>
              <c:showPercent val="0"/>
              <c:showBubbleSize val="0"/>
            </c:dLbl>
            <c:txPr>
              <a:bodyPr/>
              <a:lstStyle/>
              <a:p>
                <a:pPr>
                  <a:defRPr>
                    <a:solidFill>
                      <a:schemeClr val="bg1"/>
                    </a:solidFill>
                  </a:defRPr>
                </a:pPr>
                <a:endParaRPr lang="en-US"/>
              </a:p>
            </c:txPr>
            <c:showLegendKey val="0"/>
            <c:showVal val="1"/>
            <c:showCatName val="0"/>
            <c:showSerName val="0"/>
            <c:showPercent val="0"/>
            <c:showBubbleSize val="0"/>
            <c:showLeaderLines val="0"/>
          </c:dLbls>
          <c:cat>
            <c:numRef>
              <c:f>'Misc. Data &amp; Mechanisms'!$B$1032:$H$1032</c:f>
              <c:numCache>
                <c:formatCode>General</c:formatCode>
                <c:ptCount val="7"/>
                <c:pt idx="0">
                  <c:v>2012</c:v>
                </c:pt>
                <c:pt idx="1">
                  <c:v>2013</c:v>
                </c:pt>
                <c:pt idx="2">
                  <c:v>2014</c:v>
                </c:pt>
                <c:pt idx="3">
                  <c:v>2015</c:v>
                </c:pt>
                <c:pt idx="4">
                  <c:v>2016</c:v>
                </c:pt>
                <c:pt idx="5">
                  <c:v>2017</c:v>
                </c:pt>
                <c:pt idx="6">
                  <c:v>2018</c:v>
                </c:pt>
              </c:numCache>
            </c:numRef>
          </c:cat>
          <c:val>
            <c:numRef>
              <c:f>'Misc. Data &amp; Mechanisms'!$B$1034:$H$1034</c:f>
              <c:numCache>
                <c:formatCode>General</c:formatCode>
                <c:ptCount val="7"/>
                <c:pt idx="0">
                  <c:v>141.30538714924867</c:v>
                </c:pt>
                <c:pt idx="1">
                  <c:v>140.62017367678686</c:v>
                </c:pt>
                <c:pt idx="2">
                  <c:v>140.26743117992908</c:v>
                </c:pt>
                <c:pt idx="3">
                  <c:v>135.43794665415246</c:v>
                </c:pt>
                <c:pt idx="4">
                  <c:v>132.08848444700945</c:v>
                </c:pt>
                <c:pt idx="5">
                  <c:v>130.64659979710763</c:v>
                </c:pt>
                <c:pt idx="6">
                  <c:v>129.18126004262675</c:v>
                </c:pt>
              </c:numCache>
            </c:numRef>
          </c:val>
        </c:ser>
        <c:ser>
          <c:idx val="2"/>
          <c:order val="3"/>
          <c:tx>
            <c:strRef>
              <c:f>'Misc. Data &amp; Mechanisms'!$A$1035</c:f>
              <c:strCache>
                <c:ptCount val="1"/>
                <c:pt idx="0">
                  <c:v>Distribution</c:v>
                </c:pt>
              </c:strCache>
            </c:strRef>
          </c:tx>
          <c:spPr>
            <a:solidFill>
              <a:schemeClr val="accent1">
                <a:lumMod val="75000"/>
              </a:schemeClr>
            </a:solidFill>
          </c:spPr>
          <c:invertIfNegative val="0"/>
          <c:dLbls>
            <c:dLbl>
              <c:idx val="0"/>
              <c:tx>
                <c:strRef>
                  <c:f>'Misc. Data &amp; Mechanisms'!$B$1048</c:f>
                  <c:strCache>
                    <c:ptCount val="1"/>
                    <c:pt idx="0">
                      <c:v>13.1%</c:v>
                    </c:pt>
                  </c:strCache>
                </c:strRef>
              </c:tx>
              <c:showLegendKey val="0"/>
              <c:showVal val="1"/>
              <c:showCatName val="0"/>
              <c:showSerName val="0"/>
              <c:showPercent val="0"/>
              <c:showBubbleSize val="0"/>
            </c:dLbl>
            <c:dLbl>
              <c:idx val="1"/>
              <c:tx>
                <c:strRef>
                  <c:f>'Misc. Data &amp; Mechanisms'!$C$1048</c:f>
                  <c:strCache>
                    <c:ptCount val="1"/>
                    <c:pt idx="0">
                      <c:v>14.3%</c:v>
                    </c:pt>
                  </c:strCache>
                </c:strRef>
              </c:tx>
              <c:showLegendKey val="0"/>
              <c:showVal val="1"/>
              <c:showCatName val="0"/>
              <c:showSerName val="0"/>
              <c:showPercent val="0"/>
              <c:showBubbleSize val="0"/>
            </c:dLbl>
            <c:dLbl>
              <c:idx val="2"/>
              <c:tx>
                <c:strRef>
                  <c:f>'Misc. Data &amp; Mechanisms'!$D$1048</c:f>
                  <c:strCache>
                    <c:ptCount val="1"/>
                    <c:pt idx="0">
                      <c:v>17.5%</c:v>
                    </c:pt>
                  </c:strCache>
                </c:strRef>
              </c:tx>
              <c:showLegendKey val="0"/>
              <c:showVal val="1"/>
              <c:showCatName val="0"/>
              <c:showSerName val="0"/>
              <c:showPercent val="0"/>
              <c:showBubbleSize val="0"/>
            </c:dLbl>
            <c:dLbl>
              <c:idx val="3"/>
              <c:tx>
                <c:strRef>
                  <c:f>'Misc. Data &amp; Mechanisms'!$E$1048</c:f>
                  <c:strCache>
                    <c:ptCount val="1"/>
                    <c:pt idx="0">
                      <c:v>21.1%</c:v>
                    </c:pt>
                  </c:strCache>
                </c:strRef>
              </c:tx>
              <c:showLegendKey val="0"/>
              <c:showVal val="1"/>
              <c:showCatName val="0"/>
              <c:showSerName val="0"/>
              <c:showPercent val="0"/>
              <c:showBubbleSize val="0"/>
            </c:dLbl>
            <c:dLbl>
              <c:idx val="4"/>
              <c:tx>
                <c:strRef>
                  <c:f>'Misc. Data &amp; Mechanisms'!$F$1048</c:f>
                  <c:strCache>
                    <c:ptCount val="1"/>
                    <c:pt idx="0">
                      <c:v>24.3%</c:v>
                    </c:pt>
                  </c:strCache>
                </c:strRef>
              </c:tx>
              <c:showLegendKey val="0"/>
              <c:showVal val="1"/>
              <c:showCatName val="0"/>
              <c:showSerName val="0"/>
              <c:showPercent val="0"/>
              <c:showBubbleSize val="0"/>
            </c:dLbl>
            <c:dLbl>
              <c:idx val="5"/>
              <c:tx>
                <c:strRef>
                  <c:f>'Misc. Data &amp; Mechanisms'!$G$1048</c:f>
                  <c:strCache>
                    <c:ptCount val="1"/>
                    <c:pt idx="0">
                      <c:v>27.6%</c:v>
                    </c:pt>
                  </c:strCache>
                </c:strRef>
              </c:tx>
              <c:showLegendKey val="0"/>
              <c:showVal val="1"/>
              <c:showCatName val="0"/>
              <c:showSerName val="0"/>
              <c:showPercent val="0"/>
              <c:showBubbleSize val="0"/>
            </c:dLbl>
            <c:dLbl>
              <c:idx val="6"/>
              <c:tx>
                <c:strRef>
                  <c:f>'Misc. Data &amp; Mechanisms'!$H$1048</c:f>
                  <c:strCache>
                    <c:ptCount val="1"/>
                    <c:pt idx="0">
                      <c:v>22.0%</c:v>
                    </c:pt>
                  </c:strCache>
                </c:strRef>
              </c:tx>
              <c:showLegendKey val="0"/>
              <c:showVal val="1"/>
              <c:showCatName val="0"/>
              <c:showSerName val="0"/>
              <c:showPercent val="0"/>
              <c:showBubbleSize val="0"/>
            </c:dLbl>
            <c:txPr>
              <a:bodyPr/>
              <a:lstStyle/>
              <a:p>
                <a:pPr>
                  <a:defRPr>
                    <a:solidFill>
                      <a:schemeClr val="bg1"/>
                    </a:solidFill>
                  </a:defRPr>
                </a:pPr>
                <a:endParaRPr lang="en-US"/>
              </a:p>
            </c:txPr>
            <c:showLegendKey val="0"/>
            <c:showVal val="1"/>
            <c:showCatName val="0"/>
            <c:showSerName val="0"/>
            <c:showPercent val="0"/>
            <c:showBubbleSize val="0"/>
            <c:showLeaderLines val="0"/>
          </c:dLbls>
          <c:cat>
            <c:numRef>
              <c:f>'Misc. Data &amp; Mechanisms'!$B$1032:$H$1032</c:f>
              <c:numCache>
                <c:formatCode>General</c:formatCode>
                <c:ptCount val="7"/>
                <c:pt idx="0">
                  <c:v>2012</c:v>
                </c:pt>
                <c:pt idx="1">
                  <c:v>2013</c:v>
                </c:pt>
                <c:pt idx="2">
                  <c:v>2014</c:v>
                </c:pt>
                <c:pt idx="3">
                  <c:v>2015</c:v>
                </c:pt>
                <c:pt idx="4">
                  <c:v>2016</c:v>
                </c:pt>
                <c:pt idx="5">
                  <c:v>2017</c:v>
                </c:pt>
                <c:pt idx="6">
                  <c:v>2018</c:v>
                </c:pt>
              </c:numCache>
            </c:numRef>
          </c:cat>
          <c:val>
            <c:numRef>
              <c:f>'Misc. Data &amp; Mechanisms'!$B$1035:$H$1035</c:f>
              <c:numCache>
                <c:formatCode>General</c:formatCode>
                <c:ptCount val="7"/>
                <c:pt idx="0">
                  <c:v>176.29181461007886</c:v>
                </c:pt>
                <c:pt idx="1">
                  <c:v>175.70304952627293</c:v>
                </c:pt>
                <c:pt idx="2">
                  <c:v>213.37917958701991</c:v>
                </c:pt>
                <c:pt idx="3">
                  <c:v>217.97420148488618</c:v>
                </c:pt>
                <c:pt idx="4">
                  <c:v>216.87084177601582</c:v>
                </c:pt>
                <c:pt idx="5">
                  <c:v>249.74766330018707</c:v>
                </c:pt>
                <c:pt idx="6">
                  <c:v>252.91035539889205</c:v>
                </c:pt>
              </c:numCache>
            </c:numRef>
          </c:val>
        </c:ser>
        <c:ser>
          <c:idx val="3"/>
          <c:order val="4"/>
          <c:tx>
            <c:strRef>
              <c:f>'Misc. Data &amp; Mechanisms'!$A$1036</c:f>
              <c:strCache>
                <c:ptCount val="1"/>
                <c:pt idx="0">
                  <c:v>Local Access and Franchise Fees</c:v>
                </c:pt>
              </c:strCache>
            </c:strRef>
          </c:tx>
          <c:spPr>
            <a:solidFill>
              <a:schemeClr val="accent3">
                <a:lumMod val="75000"/>
              </a:schemeClr>
            </a:solidFill>
          </c:spPr>
          <c:invertIfNegative val="0"/>
          <c:dLbls>
            <c:dLbl>
              <c:idx val="0"/>
              <c:tx>
                <c:strRef>
                  <c:f>'Misc. Data &amp; Mechanisms'!$B$1049</c:f>
                  <c:strCache>
                    <c:ptCount val="1"/>
                    <c:pt idx="0">
                      <c:v>8.9%</c:v>
                    </c:pt>
                  </c:strCache>
                </c:strRef>
              </c:tx>
              <c:showLegendKey val="0"/>
              <c:showVal val="1"/>
              <c:showCatName val="0"/>
              <c:showSerName val="0"/>
              <c:showPercent val="0"/>
              <c:showBubbleSize val="0"/>
            </c:dLbl>
            <c:dLbl>
              <c:idx val="1"/>
              <c:tx>
                <c:strRef>
                  <c:f>'Misc. Data &amp; Mechanisms'!$C$1049</c:f>
                  <c:strCache>
                    <c:ptCount val="1"/>
                    <c:pt idx="0">
                      <c:v>8.8%</c:v>
                    </c:pt>
                  </c:strCache>
                </c:strRef>
              </c:tx>
              <c:showLegendKey val="0"/>
              <c:showVal val="1"/>
              <c:showCatName val="0"/>
              <c:showSerName val="0"/>
              <c:showPercent val="0"/>
              <c:showBubbleSize val="0"/>
            </c:dLbl>
            <c:dLbl>
              <c:idx val="2"/>
              <c:tx>
                <c:strRef>
                  <c:f>'Misc. Data &amp; Mechanisms'!$D$1049</c:f>
                  <c:strCache>
                    <c:ptCount val="1"/>
                    <c:pt idx="0">
                      <c:v>8.8%</c:v>
                    </c:pt>
                  </c:strCache>
                </c:strRef>
              </c:tx>
              <c:showLegendKey val="0"/>
              <c:showVal val="1"/>
              <c:showCatName val="0"/>
              <c:showSerName val="0"/>
              <c:showPercent val="0"/>
              <c:showBubbleSize val="0"/>
            </c:dLbl>
            <c:dLbl>
              <c:idx val="3"/>
              <c:tx>
                <c:strRef>
                  <c:f>'Misc. Data &amp; Mechanisms'!$E$1049</c:f>
                  <c:strCache>
                    <c:ptCount val="1"/>
                    <c:pt idx="0">
                      <c:v>8.7%</c:v>
                    </c:pt>
                  </c:strCache>
                </c:strRef>
              </c:tx>
              <c:showLegendKey val="0"/>
              <c:showVal val="1"/>
              <c:showCatName val="0"/>
              <c:showSerName val="0"/>
              <c:showPercent val="0"/>
              <c:showBubbleSize val="0"/>
            </c:dLbl>
            <c:dLbl>
              <c:idx val="4"/>
              <c:tx>
                <c:strRef>
                  <c:f>'Misc. Data &amp; Mechanisms'!$F$1049</c:f>
                  <c:strCache>
                    <c:ptCount val="1"/>
                    <c:pt idx="0">
                      <c:v>8.6%</c:v>
                    </c:pt>
                  </c:strCache>
                </c:strRef>
              </c:tx>
              <c:showLegendKey val="0"/>
              <c:showVal val="1"/>
              <c:showCatName val="0"/>
              <c:showSerName val="0"/>
              <c:showPercent val="0"/>
              <c:showBubbleSize val="0"/>
            </c:dLbl>
            <c:dLbl>
              <c:idx val="5"/>
              <c:tx>
                <c:strRef>
                  <c:f>'Misc. Data &amp; Mechanisms'!$G$1049</c:f>
                  <c:strCache>
                    <c:ptCount val="1"/>
                    <c:pt idx="0">
                      <c:v>8.7%</c:v>
                    </c:pt>
                  </c:strCache>
                </c:strRef>
              </c:tx>
              <c:showLegendKey val="0"/>
              <c:showVal val="1"/>
              <c:showCatName val="0"/>
              <c:showSerName val="0"/>
              <c:showPercent val="0"/>
              <c:showBubbleSize val="0"/>
            </c:dLbl>
            <c:dLbl>
              <c:idx val="6"/>
              <c:tx>
                <c:strRef>
                  <c:f>'Misc. Data &amp; Mechanisms'!$H$1049</c:f>
                  <c:strCache>
                    <c:ptCount val="1"/>
                    <c:pt idx="0">
                      <c:v>8.9%</c:v>
                    </c:pt>
                  </c:strCache>
                </c:strRef>
              </c:tx>
              <c:showLegendKey val="0"/>
              <c:showVal val="1"/>
              <c:showCatName val="0"/>
              <c:showSerName val="0"/>
              <c:showPercent val="0"/>
              <c:showBubbleSize val="0"/>
            </c:dLbl>
            <c:txPr>
              <a:bodyPr/>
              <a:lstStyle/>
              <a:p>
                <a:pPr>
                  <a:defRPr>
                    <a:solidFill>
                      <a:schemeClr val="bg1"/>
                    </a:solidFill>
                  </a:defRPr>
                </a:pPr>
                <a:endParaRPr lang="en-US"/>
              </a:p>
            </c:txPr>
            <c:showLegendKey val="0"/>
            <c:showVal val="1"/>
            <c:showCatName val="0"/>
            <c:showSerName val="0"/>
            <c:showPercent val="0"/>
            <c:showBubbleSize val="0"/>
            <c:showLeaderLines val="0"/>
          </c:dLbls>
          <c:cat>
            <c:numRef>
              <c:f>'Misc. Data &amp; Mechanisms'!$B$1032:$H$1032</c:f>
              <c:numCache>
                <c:formatCode>General</c:formatCode>
                <c:ptCount val="7"/>
                <c:pt idx="0">
                  <c:v>2012</c:v>
                </c:pt>
                <c:pt idx="1">
                  <c:v>2013</c:v>
                </c:pt>
                <c:pt idx="2">
                  <c:v>2014</c:v>
                </c:pt>
                <c:pt idx="3">
                  <c:v>2015</c:v>
                </c:pt>
                <c:pt idx="4">
                  <c:v>2016</c:v>
                </c:pt>
                <c:pt idx="5">
                  <c:v>2017</c:v>
                </c:pt>
                <c:pt idx="6">
                  <c:v>2018</c:v>
                </c:pt>
              </c:numCache>
            </c:numRef>
          </c:cat>
          <c:val>
            <c:numRef>
              <c:f>'Misc. Data &amp; Mechanisms'!$B$1036:$H$1036</c:f>
              <c:numCache>
                <c:formatCode>General</c:formatCode>
                <c:ptCount val="7"/>
                <c:pt idx="0">
                  <c:v>119.15577009103633</c:v>
                </c:pt>
                <c:pt idx="1">
                  <c:v>108.84369064183375</c:v>
                </c:pt>
                <c:pt idx="2">
                  <c:v>107.48369944109346</c:v>
                </c:pt>
                <c:pt idx="3">
                  <c:v>90.07819151223714</c:v>
                </c:pt>
                <c:pt idx="4">
                  <c:v>76.831447165351378</c:v>
                </c:pt>
                <c:pt idx="5">
                  <c:v>78.758680904470452</c:v>
                </c:pt>
                <c:pt idx="6">
                  <c:v>102.17111253719514</c:v>
                </c:pt>
              </c:numCache>
            </c:numRef>
          </c:val>
        </c:ser>
        <c:ser>
          <c:idx val="5"/>
          <c:order val="5"/>
          <c:tx>
            <c:strRef>
              <c:f>'Misc. Data &amp; Mechanisms'!$A$1038</c:f>
              <c:strCache>
                <c:ptCount val="1"/>
                <c:pt idx="0">
                  <c:v>Administration</c:v>
                </c:pt>
              </c:strCache>
            </c:strRef>
          </c:tx>
          <c:spPr>
            <a:solidFill>
              <a:schemeClr val="accent6">
                <a:lumMod val="75000"/>
              </a:schemeClr>
            </a:solidFill>
          </c:spPr>
          <c:invertIfNegative val="0"/>
          <c:dLbls>
            <c:dLbl>
              <c:idx val="0"/>
              <c:tx>
                <c:strRef>
                  <c:f>'Misc. Data &amp; Mechanisms'!$B$1051</c:f>
                  <c:strCache>
                    <c:ptCount val="1"/>
                    <c:pt idx="0">
                      <c:v>6.4%</c:v>
                    </c:pt>
                  </c:strCache>
                </c:strRef>
              </c:tx>
              <c:showLegendKey val="0"/>
              <c:showVal val="1"/>
              <c:showCatName val="0"/>
              <c:showSerName val="0"/>
              <c:showPercent val="0"/>
              <c:showBubbleSize val="0"/>
            </c:dLbl>
            <c:dLbl>
              <c:idx val="1"/>
              <c:tx>
                <c:strRef>
                  <c:f>'Misc. Data &amp; Mechanisms'!$C$1051</c:f>
                  <c:strCache>
                    <c:ptCount val="1"/>
                    <c:pt idx="0">
                      <c:v>6.9%</c:v>
                    </c:pt>
                  </c:strCache>
                </c:strRef>
              </c:tx>
              <c:showLegendKey val="0"/>
              <c:showVal val="1"/>
              <c:showCatName val="0"/>
              <c:showSerName val="0"/>
              <c:showPercent val="0"/>
              <c:showBubbleSize val="0"/>
            </c:dLbl>
            <c:dLbl>
              <c:idx val="2"/>
              <c:tx>
                <c:strRef>
                  <c:f>'Misc. Data &amp; Mechanisms'!$D$1051</c:f>
                  <c:strCache>
                    <c:ptCount val="1"/>
                    <c:pt idx="0">
                      <c:v>7.0%</c:v>
                    </c:pt>
                  </c:strCache>
                </c:strRef>
              </c:tx>
              <c:showLegendKey val="0"/>
              <c:showVal val="1"/>
              <c:showCatName val="0"/>
              <c:showSerName val="0"/>
              <c:showPercent val="0"/>
              <c:showBubbleSize val="0"/>
            </c:dLbl>
            <c:dLbl>
              <c:idx val="3"/>
              <c:tx>
                <c:strRef>
                  <c:f>'Misc. Data &amp; Mechanisms'!$E$1051</c:f>
                  <c:strCache>
                    <c:ptCount val="1"/>
                    <c:pt idx="0">
                      <c:v>8.1%</c:v>
                    </c:pt>
                  </c:strCache>
                </c:strRef>
              </c:tx>
              <c:showLegendKey val="0"/>
              <c:showVal val="1"/>
              <c:showCatName val="0"/>
              <c:showSerName val="0"/>
              <c:showPercent val="0"/>
              <c:showBubbleSize val="0"/>
            </c:dLbl>
            <c:dLbl>
              <c:idx val="4"/>
              <c:tx>
                <c:strRef>
                  <c:f>'Misc. Data &amp; Mechanisms'!$F$1051</c:f>
                  <c:strCache>
                    <c:ptCount val="1"/>
                    <c:pt idx="0">
                      <c:v>9.2%</c:v>
                    </c:pt>
                  </c:strCache>
                </c:strRef>
              </c:tx>
              <c:showLegendKey val="0"/>
              <c:showVal val="1"/>
              <c:showCatName val="0"/>
              <c:showSerName val="0"/>
              <c:showPercent val="0"/>
              <c:showBubbleSize val="0"/>
            </c:dLbl>
            <c:dLbl>
              <c:idx val="5"/>
              <c:tx>
                <c:strRef>
                  <c:f>'Misc. Data &amp; Mechanisms'!$G$1051</c:f>
                  <c:strCache>
                    <c:ptCount val="1"/>
                    <c:pt idx="0">
                      <c:v>8.3%</c:v>
                    </c:pt>
                  </c:strCache>
                </c:strRef>
              </c:tx>
              <c:showLegendKey val="0"/>
              <c:showVal val="1"/>
              <c:showCatName val="0"/>
              <c:showSerName val="0"/>
              <c:showPercent val="0"/>
              <c:showBubbleSize val="0"/>
            </c:dLbl>
            <c:dLbl>
              <c:idx val="6"/>
              <c:tx>
                <c:strRef>
                  <c:f>'Misc. Data &amp; Mechanisms'!$H$1051</c:f>
                  <c:strCache>
                    <c:ptCount val="1"/>
                    <c:pt idx="0">
                      <c:v>6.5%</c:v>
                    </c:pt>
                  </c:strCache>
                </c:strRef>
              </c:tx>
              <c:showLegendKey val="0"/>
              <c:showVal val="1"/>
              <c:showCatName val="0"/>
              <c:showSerName val="0"/>
              <c:showPercent val="0"/>
              <c:showBubbleSize val="0"/>
            </c:dLbl>
            <c:txPr>
              <a:bodyPr/>
              <a:lstStyle/>
              <a:p>
                <a:pPr>
                  <a:defRPr>
                    <a:solidFill>
                      <a:schemeClr val="bg1"/>
                    </a:solidFill>
                  </a:defRPr>
                </a:pPr>
                <a:endParaRPr lang="en-US"/>
              </a:p>
            </c:txPr>
            <c:showLegendKey val="0"/>
            <c:showVal val="1"/>
            <c:showCatName val="0"/>
            <c:showSerName val="0"/>
            <c:showPercent val="0"/>
            <c:showBubbleSize val="0"/>
            <c:showLeaderLines val="0"/>
          </c:dLbls>
          <c:cat>
            <c:numRef>
              <c:f>'Misc. Data &amp; Mechanisms'!$B$1032:$H$1032</c:f>
              <c:numCache>
                <c:formatCode>General</c:formatCode>
                <c:ptCount val="7"/>
                <c:pt idx="0">
                  <c:v>2012</c:v>
                </c:pt>
                <c:pt idx="1">
                  <c:v>2013</c:v>
                </c:pt>
                <c:pt idx="2">
                  <c:v>2014</c:v>
                </c:pt>
                <c:pt idx="3">
                  <c:v>2015</c:v>
                </c:pt>
                <c:pt idx="4">
                  <c:v>2016</c:v>
                </c:pt>
                <c:pt idx="5">
                  <c:v>2017</c:v>
                </c:pt>
                <c:pt idx="6">
                  <c:v>2018</c:v>
                </c:pt>
              </c:numCache>
            </c:numRef>
          </c:cat>
          <c:val>
            <c:numRef>
              <c:f>'Misc. Data &amp; Mechanisms'!$B$1038:$H$1038</c:f>
              <c:numCache>
                <c:formatCode>General</c:formatCode>
                <c:ptCount val="7"/>
                <c:pt idx="0">
                  <c:v>85.534199999999984</c:v>
                </c:pt>
                <c:pt idx="1">
                  <c:v>85.3005</c:v>
                </c:pt>
                <c:pt idx="2">
                  <c:v>85.3005</c:v>
                </c:pt>
                <c:pt idx="3">
                  <c:v>83.621499999999997</c:v>
                </c:pt>
                <c:pt idx="4">
                  <c:v>82.465899999999991</c:v>
                </c:pt>
                <c:pt idx="5">
                  <c:v>75.335999999999999</c:v>
                </c:pt>
                <c:pt idx="6">
                  <c:v>75.335999999999999</c:v>
                </c:pt>
              </c:numCache>
            </c:numRef>
          </c:val>
        </c:ser>
        <c:ser>
          <c:idx val="6"/>
          <c:order val="6"/>
          <c:tx>
            <c:strRef>
              <c:f>'Misc. Data &amp; Mechanisms'!$A$1039</c:f>
              <c:strCache>
                <c:ptCount val="1"/>
                <c:pt idx="0">
                  <c:v>GST</c:v>
                </c:pt>
              </c:strCache>
            </c:strRef>
          </c:tx>
          <c:spPr>
            <a:solidFill>
              <a:srgbClr val="996633"/>
            </a:solidFill>
          </c:spPr>
          <c:invertIfNegative val="0"/>
          <c:dLbls>
            <c:dLbl>
              <c:idx val="0"/>
              <c:tx>
                <c:strRef>
                  <c:f>'Misc. Data &amp; Mechanisms'!$B$1052</c:f>
                  <c:strCache>
                    <c:ptCount val="1"/>
                    <c:pt idx="0">
                      <c:v>4.8%</c:v>
                    </c:pt>
                  </c:strCache>
                </c:strRef>
              </c:tx>
              <c:showLegendKey val="0"/>
              <c:showVal val="1"/>
              <c:showCatName val="0"/>
              <c:showSerName val="0"/>
              <c:showPercent val="0"/>
              <c:showBubbleSize val="0"/>
            </c:dLbl>
            <c:dLbl>
              <c:idx val="1"/>
              <c:tx>
                <c:strRef>
                  <c:f>'Misc. Data &amp; Mechanisms'!$C$1052</c:f>
                  <c:strCache>
                    <c:ptCount val="1"/>
                    <c:pt idx="0">
                      <c:v>4.8%</c:v>
                    </c:pt>
                  </c:strCache>
                </c:strRef>
              </c:tx>
              <c:showLegendKey val="0"/>
              <c:showVal val="1"/>
              <c:showCatName val="0"/>
              <c:showSerName val="0"/>
              <c:showPercent val="0"/>
              <c:showBubbleSize val="0"/>
            </c:dLbl>
            <c:dLbl>
              <c:idx val="2"/>
              <c:tx>
                <c:strRef>
                  <c:f>'Misc. Data &amp; Mechanisms'!$D$1052</c:f>
                  <c:strCache>
                    <c:ptCount val="1"/>
                    <c:pt idx="0">
                      <c:v>4.8%</c:v>
                    </c:pt>
                  </c:strCache>
                </c:strRef>
              </c:tx>
              <c:showLegendKey val="0"/>
              <c:showVal val="1"/>
              <c:showCatName val="0"/>
              <c:showSerName val="0"/>
              <c:showPercent val="0"/>
              <c:showBubbleSize val="0"/>
            </c:dLbl>
            <c:dLbl>
              <c:idx val="3"/>
              <c:tx>
                <c:strRef>
                  <c:f>'Misc. Data &amp; Mechanisms'!$E$1052</c:f>
                  <c:strCache>
                    <c:ptCount val="1"/>
                    <c:pt idx="0">
                      <c:v>4.8%</c:v>
                    </c:pt>
                  </c:strCache>
                </c:strRef>
              </c:tx>
              <c:showLegendKey val="0"/>
              <c:showVal val="1"/>
              <c:showCatName val="0"/>
              <c:showSerName val="0"/>
              <c:showPercent val="0"/>
              <c:showBubbleSize val="0"/>
            </c:dLbl>
            <c:dLbl>
              <c:idx val="4"/>
              <c:tx>
                <c:strRef>
                  <c:f>'Misc. Data &amp; Mechanisms'!$F$1052</c:f>
                  <c:strCache>
                    <c:ptCount val="1"/>
                    <c:pt idx="0">
                      <c:v>4.8%</c:v>
                    </c:pt>
                  </c:strCache>
                </c:strRef>
              </c:tx>
              <c:showLegendKey val="0"/>
              <c:showVal val="1"/>
              <c:showCatName val="0"/>
              <c:showSerName val="0"/>
              <c:showPercent val="0"/>
              <c:showBubbleSize val="0"/>
            </c:dLbl>
            <c:dLbl>
              <c:idx val="5"/>
              <c:tx>
                <c:strRef>
                  <c:f>'Misc. Data &amp; Mechanisms'!$G$1052</c:f>
                  <c:strCache>
                    <c:ptCount val="1"/>
                    <c:pt idx="0">
                      <c:v>4.8%</c:v>
                    </c:pt>
                  </c:strCache>
                </c:strRef>
              </c:tx>
              <c:showLegendKey val="0"/>
              <c:showVal val="1"/>
              <c:showCatName val="0"/>
              <c:showSerName val="0"/>
              <c:showPercent val="0"/>
              <c:showBubbleSize val="0"/>
            </c:dLbl>
            <c:dLbl>
              <c:idx val="6"/>
              <c:tx>
                <c:strRef>
                  <c:f>'Misc. Data &amp; Mechanisms'!$H$1052</c:f>
                  <c:strCache>
                    <c:ptCount val="1"/>
                    <c:pt idx="0">
                      <c:v>4.8%</c:v>
                    </c:pt>
                  </c:strCache>
                </c:strRef>
              </c:tx>
              <c:showLegendKey val="0"/>
              <c:showVal val="1"/>
              <c:showCatName val="0"/>
              <c:showSerName val="0"/>
              <c:showPercent val="0"/>
              <c:showBubbleSize val="0"/>
            </c:dLbl>
            <c:numFmt formatCode="General" sourceLinked="0"/>
            <c:txPr>
              <a:bodyPr/>
              <a:lstStyle/>
              <a:p>
                <a:pPr>
                  <a:defRPr>
                    <a:solidFill>
                      <a:schemeClr val="bg1"/>
                    </a:solidFill>
                  </a:defRPr>
                </a:pPr>
                <a:endParaRPr lang="en-US"/>
              </a:p>
            </c:txPr>
            <c:showLegendKey val="0"/>
            <c:showVal val="1"/>
            <c:showCatName val="0"/>
            <c:showSerName val="0"/>
            <c:showPercent val="0"/>
            <c:showBubbleSize val="0"/>
            <c:showLeaderLines val="0"/>
          </c:dLbls>
          <c:cat>
            <c:numRef>
              <c:f>'Misc. Data &amp; Mechanisms'!$B$1032:$H$1032</c:f>
              <c:numCache>
                <c:formatCode>General</c:formatCode>
                <c:ptCount val="7"/>
                <c:pt idx="0">
                  <c:v>2012</c:v>
                </c:pt>
                <c:pt idx="1">
                  <c:v>2013</c:v>
                </c:pt>
                <c:pt idx="2">
                  <c:v>2014</c:v>
                </c:pt>
                <c:pt idx="3">
                  <c:v>2015</c:v>
                </c:pt>
                <c:pt idx="4">
                  <c:v>2016</c:v>
                </c:pt>
                <c:pt idx="5">
                  <c:v>2017</c:v>
                </c:pt>
                <c:pt idx="6">
                  <c:v>2018</c:v>
                </c:pt>
              </c:numCache>
            </c:numRef>
          </c:cat>
          <c:val>
            <c:numRef>
              <c:f>'Misc. Data &amp; Mechanisms'!$B$1039:$H$1039</c:f>
              <c:numCache>
                <c:formatCode>General</c:formatCode>
                <c:ptCount val="7"/>
                <c:pt idx="0">
                  <c:v>63.859957591426856</c:v>
                </c:pt>
                <c:pt idx="1">
                  <c:v>58.691768776841329</c:v>
                </c:pt>
                <c:pt idx="2">
                  <c:v>58.011711970746596</c:v>
                </c:pt>
                <c:pt idx="3">
                  <c:v>49.224224680129019</c:v>
                </c:pt>
                <c:pt idx="4">
                  <c:v>42.542476343574222</c:v>
                </c:pt>
                <c:pt idx="5">
                  <c:v>43.14968494732544</c:v>
                </c:pt>
                <c:pt idx="6">
                  <c:v>54.856954428477749</c:v>
                </c:pt>
              </c:numCache>
            </c:numRef>
          </c:val>
        </c:ser>
        <c:dLbls>
          <c:showLegendKey val="0"/>
          <c:showVal val="0"/>
          <c:showCatName val="0"/>
          <c:showSerName val="0"/>
          <c:showPercent val="0"/>
          <c:showBubbleSize val="0"/>
        </c:dLbls>
        <c:gapWidth val="150"/>
        <c:overlap val="100"/>
        <c:axId val="243485312"/>
        <c:axId val="243519872"/>
      </c:barChart>
      <c:catAx>
        <c:axId val="243485312"/>
        <c:scaling>
          <c:orientation val="minMax"/>
        </c:scaling>
        <c:delete val="0"/>
        <c:axPos val="b"/>
        <c:numFmt formatCode="General" sourceLinked="1"/>
        <c:majorTickMark val="out"/>
        <c:minorTickMark val="none"/>
        <c:tickLblPos val="nextTo"/>
        <c:spPr>
          <a:ln cmpd="tri">
            <a:solidFill>
              <a:schemeClr val="tx1"/>
            </a:solidFill>
          </a:ln>
        </c:spPr>
        <c:crossAx val="243519872"/>
        <c:crosses val="autoZero"/>
        <c:auto val="1"/>
        <c:lblAlgn val="ctr"/>
        <c:lblOffset val="100"/>
        <c:noMultiLvlLbl val="0"/>
      </c:catAx>
      <c:valAx>
        <c:axId val="243519872"/>
        <c:scaling>
          <c:orientation val="minMax"/>
        </c:scaling>
        <c:delete val="0"/>
        <c:axPos val="l"/>
        <c:majorGridlines>
          <c:spPr>
            <a:ln>
              <a:solidFill>
                <a:schemeClr val="bg1">
                  <a:lumMod val="85000"/>
                </a:schemeClr>
              </a:solidFill>
              <a:prstDash val="dash"/>
            </a:ln>
          </c:spPr>
        </c:majorGridlines>
        <c:title>
          <c:tx>
            <c:rich>
              <a:bodyPr rot="-5400000" vert="horz"/>
              <a:lstStyle/>
              <a:p>
                <a:pPr>
                  <a:defRPr/>
                </a:pPr>
                <a:r>
                  <a:rPr lang="en-US"/>
                  <a:t>Total Annual Regulated Bill ($)</a:t>
                </a:r>
              </a:p>
            </c:rich>
          </c:tx>
          <c:overlay val="0"/>
        </c:title>
        <c:numFmt formatCode="&quot;$&quot;#,##0" sourceLinked="0"/>
        <c:majorTickMark val="out"/>
        <c:minorTickMark val="none"/>
        <c:tickLblPos val="nextTo"/>
        <c:crossAx val="243485312"/>
        <c:crosses val="autoZero"/>
        <c:crossBetween val="between"/>
        <c:majorUnit val="100"/>
      </c:valAx>
    </c:plotArea>
    <c:legend>
      <c:legendPos val="r"/>
      <c:layout>
        <c:manualLayout>
          <c:xMode val="edge"/>
          <c:yMode val="edge"/>
          <c:x val="0.82442777062839434"/>
          <c:y val="0.34857889082198007"/>
          <c:w val="0.17082351548161742"/>
          <c:h val="0.33722731027063502"/>
        </c:manualLayout>
      </c:layout>
      <c:overlay val="0"/>
      <c:txPr>
        <a:bodyPr/>
        <a:lstStyle/>
        <a:p>
          <a:pPr>
            <a:defRPr sz="1100"/>
          </a:pPr>
          <a:endParaRPr lang="en-US"/>
        </a:p>
      </c:txPr>
    </c:legend>
    <c:plotVisOnly val="1"/>
    <c:dispBlanksAs val="gap"/>
    <c:showDLblsOverMax val="0"/>
  </c:chart>
  <c:spPr>
    <a:ln>
      <a:noFill/>
    </a:ln>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'Elec. Analysis'!$A$80:$N$80</c:f>
          <c:strCache>
            <c:ptCount val="1"/>
            <c:pt idx="0">
              <c:v>ENMAX Zone Cost Component Variation in 2019</c:v>
            </c:pt>
          </c:strCache>
        </c:strRef>
      </c:tx>
      <c:overlay val="0"/>
    </c:title>
    <c:autoTitleDeleted val="0"/>
    <c:plotArea>
      <c:layout/>
      <c:areaChart>
        <c:grouping val="stacked"/>
        <c:varyColors val="0"/>
        <c:ser>
          <c:idx val="1"/>
          <c:order val="0"/>
          <c:tx>
            <c:strRef>
              <c:f>'Misc. Data &amp; Mechanisms'!$C$1069</c:f>
              <c:strCache>
                <c:ptCount val="1"/>
                <c:pt idx="0">
                  <c:v>Transmission</c:v>
                </c:pt>
              </c:strCache>
            </c:strRef>
          </c:tx>
          <c:spPr>
            <a:solidFill>
              <a:schemeClr val="bg1">
                <a:lumMod val="65000"/>
              </a:schemeClr>
            </a:solidFill>
            <a:ln w="25400">
              <a:noFill/>
            </a:ln>
          </c:spPr>
          <c:cat>
            <c:numRef>
              <c:f>'Misc. Data &amp; Mechanisms'!$B$1070:$B$1159</c:f>
              <c:numCache>
                <c:formatCode>mmm-yy</c:formatCode>
                <c:ptCount val="9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43466</c:v>
                </c:pt>
                <c:pt idx="85">
                  <c:v>43497</c:v>
                </c:pt>
                <c:pt idx="86">
                  <c:v>43525</c:v>
                </c:pt>
                <c:pt idx="87">
                  <c:v>43556</c:v>
                </c:pt>
                <c:pt idx="88">
                  <c:v>43586</c:v>
                </c:pt>
                <c:pt idx="89">
                  <c:v>43617</c:v>
                </c:pt>
              </c:numCache>
            </c:numRef>
          </c:cat>
          <c:val>
            <c:numRef>
              <c:f>'Misc. Data &amp; Mechanisms'!$C$1070:$C$1159</c:f>
              <c:numCache>
                <c:formatCode>General</c:formatCode>
                <c:ptCount val="90"/>
                <c:pt idx="0">
                  <c:v>11.756793629373167</c:v>
                </c:pt>
                <c:pt idx="1">
                  <c:v>12.288850572617701</c:v>
                </c:pt>
                <c:pt idx="2">
                  <c:v>11.255044002309154</c:v>
                </c:pt>
                <c:pt idx="3">
                  <c:v>9.9612632133702341</c:v>
                </c:pt>
                <c:pt idx="4">
                  <c:v>9.5978677149152052</c:v>
                </c:pt>
                <c:pt idx="5">
                  <c:v>9.3281989935447278</c:v>
                </c:pt>
                <c:pt idx="6">
                  <c:v>0</c:v>
                </c:pt>
                <c:pt idx="7">
                  <c:v>0</c:v>
                </c:pt>
                <c:pt idx="8">
                  <c:v>0</c:v>
                </c:pt>
                <c:pt idx="9">
                  <c:v>0</c:v>
                </c:pt>
                <c:pt idx="10">
                  <c:v>0</c:v>
                </c:pt>
                <c:pt idx="11">
                  <c:v>0</c:v>
                </c:pt>
                <c:pt idx="12">
                  <c:v>11.756793629373167</c:v>
                </c:pt>
                <c:pt idx="13">
                  <c:v>12.288850572617701</c:v>
                </c:pt>
                <c:pt idx="14">
                  <c:v>11.255044002309154</c:v>
                </c:pt>
                <c:pt idx="15">
                  <c:v>9.9612632133702341</c:v>
                </c:pt>
                <c:pt idx="16">
                  <c:v>9.5978677149152052</c:v>
                </c:pt>
                <c:pt idx="17">
                  <c:v>9.3281989935447278</c:v>
                </c:pt>
                <c:pt idx="18">
                  <c:v>0</c:v>
                </c:pt>
                <c:pt idx="19">
                  <c:v>0</c:v>
                </c:pt>
                <c:pt idx="20">
                  <c:v>0</c:v>
                </c:pt>
                <c:pt idx="21">
                  <c:v>0</c:v>
                </c:pt>
                <c:pt idx="22">
                  <c:v>0</c:v>
                </c:pt>
                <c:pt idx="23">
                  <c:v>0</c:v>
                </c:pt>
                <c:pt idx="24">
                  <c:v>11.756793629373167</c:v>
                </c:pt>
                <c:pt idx="25">
                  <c:v>12.288850572617701</c:v>
                </c:pt>
                <c:pt idx="26">
                  <c:v>11.255044002309154</c:v>
                </c:pt>
                <c:pt idx="27">
                  <c:v>9.9612632133702341</c:v>
                </c:pt>
                <c:pt idx="28">
                  <c:v>9.5978677149152052</c:v>
                </c:pt>
                <c:pt idx="29">
                  <c:v>9.3281989935447278</c:v>
                </c:pt>
                <c:pt idx="30">
                  <c:v>0</c:v>
                </c:pt>
                <c:pt idx="31">
                  <c:v>0</c:v>
                </c:pt>
                <c:pt idx="32">
                  <c:v>0</c:v>
                </c:pt>
                <c:pt idx="33">
                  <c:v>0</c:v>
                </c:pt>
                <c:pt idx="34">
                  <c:v>0</c:v>
                </c:pt>
                <c:pt idx="35">
                  <c:v>0</c:v>
                </c:pt>
                <c:pt idx="36">
                  <c:v>11.756793629373167</c:v>
                </c:pt>
                <c:pt idx="37">
                  <c:v>12.288850572617701</c:v>
                </c:pt>
                <c:pt idx="38">
                  <c:v>11.255044002309154</c:v>
                </c:pt>
                <c:pt idx="39">
                  <c:v>9.9612632133702341</c:v>
                </c:pt>
                <c:pt idx="40">
                  <c:v>9.5978677149152052</c:v>
                </c:pt>
                <c:pt idx="41">
                  <c:v>9.3281989935447278</c:v>
                </c:pt>
                <c:pt idx="42">
                  <c:v>0</c:v>
                </c:pt>
                <c:pt idx="43">
                  <c:v>0</c:v>
                </c:pt>
                <c:pt idx="44">
                  <c:v>0</c:v>
                </c:pt>
                <c:pt idx="45">
                  <c:v>0</c:v>
                </c:pt>
                <c:pt idx="46">
                  <c:v>0</c:v>
                </c:pt>
                <c:pt idx="47">
                  <c:v>0</c:v>
                </c:pt>
                <c:pt idx="48">
                  <c:v>11.756793629373167</c:v>
                </c:pt>
                <c:pt idx="49">
                  <c:v>12.288850572617701</c:v>
                </c:pt>
                <c:pt idx="50">
                  <c:v>11.255044002309154</c:v>
                </c:pt>
                <c:pt idx="51">
                  <c:v>9.9612632133702341</c:v>
                </c:pt>
                <c:pt idx="52">
                  <c:v>9.5978677149152052</c:v>
                </c:pt>
                <c:pt idx="53">
                  <c:v>9.3281989935447278</c:v>
                </c:pt>
                <c:pt idx="54">
                  <c:v>0</c:v>
                </c:pt>
                <c:pt idx="55">
                  <c:v>0</c:v>
                </c:pt>
                <c:pt idx="56">
                  <c:v>0</c:v>
                </c:pt>
                <c:pt idx="57">
                  <c:v>0</c:v>
                </c:pt>
                <c:pt idx="58">
                  <c:v>0</c:v>
                </c:pt>
                <c:pt idx="59">
                  <c:v>0</c:v>
                </c:pt>
                <c:pt idx="60">
                  <c:v>11.756793629373167</c:v>
                </c:pt>
                <c:pt idx="61">
                  <c:v>12.288850572617701</c:v>
                </c:pt>
                <c:pt idx="62">
                  <c:v>11.255044002309154</c:v>
                </c:pt>
                <c:pt idx="63">
                  <c:v>9.9612632133702341</c:v>
                </c:pt>
                <c:pt idx="64">
                  <c:v>9.5978677149152052</c:v>
                </c:pt>
                <c:pt idx="65">
                  <c:v>9.3281989935447278</c:v>
                </c:pt>
                <c:pt idx="66">
                  <c:v>0</c:v>
                </c:pt>
                <c:pt idx="67">
                  <c:v>0</c:v>
                </c:pt>
                <c:pt idx="68">
                  <c:v>0</c:v>
                </c:pt>
                <c:pt idx="69">
                  <c:v>0</c:v>
                </c:pt>
                <c:pt idx="70">
                  <c:v>0</c:v>
                </c:pt>
                <c:pt idx="71">
                  <c:v>0</c:v>
                </c:pt>
                <c:pt idx="72">
                  <c:v>11.756793629373167</c:v>
                </c:pt>
                <c:pt idx="73">
                  <c:v>12.288850572617701</c:v>
                </c:pt>
                <c:pt idx="74">
                  <c:v>11.255044002309154</c:v>
                </c:pt>
                <c:pt idx="75">
                  <c:v>9.9612632133702341</c:v>
                </c:pt>
                <c:pt idx="76">
                  <c:v>9.5978677149152052</c:v>
                </c:pt>
                <c:pt idx="77">
                  <c:v>9.3281989935447278</c:v>
                </c:pt>
                <c:pt idx="78">
                  <c:v>0</c:v>
                </c:pt>
                <c:pt idx="79">
                  <c:v>0</c:v>
                </c:pt>
                <c:pt idx="80">
                  <c:v>0</c:v>
                </c:pt>
                <c:pt idx="81">
                  <c:v>0</c:v>
                </c:pt>
                <c:pt idx="82">
                  <c:v>0</c:v>
                </c:pt>
                <c:pt idx="83">
                  <c:v>0</c:v>
                </c:pt>
                <c:pt idx="84">
                  <c:v>11.756793629373167</c:v>
                </c:pt>
                <c:pt idx="85">
                  <c:v>12.288850572617701</c:v>
                </c:pt>
                <c:pt idx="86">
                  <c:v>11.255044002309154</c:v>
                </c:pt>
                <c:pt idx="87">
                  <c:v>9.9612632133702341</c:v>
                </c:pt>
                <c:pt idx="88">
                  <c:v>9.5978677149152052</c:v>
                </c:pt>
                <c:pt idx="89">
                  <c:v>9.3281989935447278</c:v>
                </c:pt>
              </c:numCache>
            </c:numRef>
          </c:val>
        </c:ser>
        <c:ser>
          <c:idx val="2"/>
          <c:order val="1"/>
          <c:tx>
            <c:strRef>
              <c:f>'Misc. Data &amp; Mechanisms'!$D$1069</c:f>
              <c:strCache>
                <c:ptCount val="1"/>
                <c:pt idx="0">
                  <c:v>Distribution - Fixed</c:v>
                </c:pt>
              </c:strCache>
            </c:strRef>
          </c:tx>
          <c:spPr>
            <a:solidFill>
              <a:schemeClr val="accent1">
                <a:lumMod val="75000"/>
              </a:schemeClr>
            </a:solidFill>
            <a:ln w="25400">
              <a:noFill/>
            </a:ln>
          </c:spPr>
          <c:cat>
            <c:numRef>
              <c:f>'Misc. Data &amp; Mechanisms'!$B$1070:$B$1159</c:f>
              <c:numCache>
                <c:formatCode>mmm-yy</c:formatCode>
                <c:ptCount val="9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43466</c:v>
                </c:pt>
                <c:pt idx="85">
                  <c:v>43497</c:v>
                </c:pt>
                <c:pt idx="86">
                  <c:v>43525</c:v>
                </c:pt>
                <c:pt idx="87">
                  <c:v>43556</c:v>
                </c:pt>
                <c:pt idx="88">
                  <c:v>43586</c:v>
                </c:pt>
                <c:pt idx="89">
                  <c:v>43617</c:v>
                </c:pt>
              </c:numCache>
            </c:numRef>
          </c:cat>
          <c:val>
            <c:numRef>
              <c:f>'Misc. Data &amp; Mechanisms'!$D$1070:$D$1159</c:f>
              <c:numCache>
                <c:formatCode>General</c:formatCode>
                <c:ptCount val="90"/>
                <c:pt idx="0">
                  <c:v>16.144211000000002</c:v>
                </c:pt>
                <c:pt idx="1">
                  <c:v>14.581868000000002</c:v>
                </c:pt>
                <c:pt idx="2">
                  <c:v>16.144211000000002</c:v>
                </c:pt>
                <c:pt idx="3">
                  <c:v>15.623430000000003</c:v>
                </c:pt>
                <c:pt idx="4">
                  <c:v>16.144211000000002</c:v>
                </c:pt>
                <c:pt idx="5">
                  <c:v>15.623429999999999</c:v>
                </c:pt>
                <c:pt idx="6">
                  <c:v>0</c:v>
                </c:pt>
                <c:pt idx="7">
                  <c:v>0</c:v>
                </c:pt>
                <c:pt idx="8">
                  <c:v>0</c:v>
                </c:pt>
                <c:pt idx="9">
                  <c:v>0</c:v>
                </c:pt>
                <c:pt idx="10">
                  <c:v>0</c:v>
                </c:pt>
                <c:pt idx="11">
                  <c:v>0</c:v>
                </c:pt>
                <c:pt idx="12">
                  <c:v>16.144211000000002</c:v>
                </c:pt>
                <c:pt idx="13">
                  <c:v>14.581868000000002</c:v>
                </c:pt>
                <c:pt idx="14">
                  <c:v>16.144211000000002</c:v>
                </c:pt>
                <c:pt idx="15">
                  <c:v>15.623430000000003</c:v>
                </c:pt>
                <c:pt idx="16">
                  <c:v>16.144211000000002</c:v>
                </c:pt>
                <c:pt idx="17">
                  <c:v>15.623429999999999</c:v>
                </c:pt>
                <c:pt idx="18">
                  <c:v>0</c:v>
                </c:pt>
                <c:pt idx="19">
                  <c:v>0</c:v>
                </c:pt>
                <c:pt idx="20">
                  <c:v>0</c:v>
                </c:pt>
                <c:pt idx="21">
                  <c:v>0</c:v>
                </c:pt>
                <c:pt idx="22">
                  <c:v>0</c:v>
                </c:pt>
                <c:pt idx="23">
                  <c:v>0</c:v>
                </c:pt>
                <c:pt idx="24">
                  <c:v>16.144211000000002</c:v>
                </c:pt>
                <c:pt idx="25">
                  <c:v>14.581868000000002</c:v>
                </c:pt>
                <c:pt idx="26">
                  <c:v>16.144211000000002</c:v>
                </c:pt>
                <c:pt idx="27">
                  <c:v>15.623430000000003</c:v>
                </c:pt>
                <c:pt idx="28">
                  <c:v>16.144211000000002</c:v>
                </c:pt>
                <c:pt idx="29">
                  <c:v>15.623429999999999</c:v>
                </c:pt>
                <c:pt idx="30">
                  <c:v>0</c:v>
                </c:pt>
                <c:pt idx="31">
                  <c:v>0</c:v>
                </c:pt>
                <c:pt idx="32">
                  <c:v>0</c:v>
                </c:pt>
                <c:pt idx="33">
                  <c:v>0</c:v>
                </c:pt>
                <c:pt idx="34">
                  <c:v>0</c:v>
                </c:pt>
                <c:pt idx="35">
                  <c:v>0</c:v>
                </c:pt>
                <c:pt idx="36">
                  <c:v>16.144211000000002</c:v>
                </c:pt>
                <c:pt idx="37">
                  <c:v>14.581868000000002</c:v>
                </c:pt>
                <c:pt idx="38">
                  <c:v>16.144211000000002</c:v>
                </c:pt>
                <c:pt idx="39">
                  <c:v>15.623430000000003</c:v>
                </c:pt>
                <c:pt idx="40">
                  <c:v>16.144211000000002</c:v>
                </c:pt>
                <c:pt idx="41">
                  <c:v>15.623429999999999</c:v>
                </c:pt>
                <c:pt idx="42">
                  <c:v>0</c:v>
                </c:pt>
                <c:pt idx="43">
                  <c:v>0</c:v>
                </c:pt>
                <c:pt idx="44">
                  <c:v>0</c:v>
                </c:pt>
                <c:pt idx="45">
                  <c:v>0</c:v>
                </c:pt>
                <c:pt idx="46">
                  <c:v>0</c:v>
                </c:pt>
                <c:pt idx="47">
                  <c:v>0</c:v>
                </c:pt>
                <c:pt idx="48">
                  <c:v>16.144211000000002</c:v>
                </c:pt>
                <c:pt idx="49">
                  <c:v>14.581868000000002</c:v>
                </c:pt>
                <c:pt idx="50">
                  <c:v>16.144211000000002</c:v>
                </c:pt>
                <c:pt idx="51">
                  <c:v>15.623430000000003</c:v>
                </c:pt>
                <c:pt idx="52">
                  <c:v>16.144211000000002</c:v>
                </c:pt>
                <c:pt idx="53">
                  <c:v>15.623429999999999</c:v>
                </c:pt>
                <c:pt idx="54">
                  <c:v>0</c:v>
                </c:pt>
                <c:pt idx="55">
                  <c:v>0</c:v>
                </c:pt>
                <c:pt idx="56">
                  <c:v>0</c:v>
                </c:pt>
                <c:pt idx="57">
                  <c:v>0</c:v>
                </c:pt>
                <c:pt idx="58">
                  <c:v>0</c:v>
                </c:pt>
                <c:pt idx="59">
                  <c:v>0</c:v>
                </c:pt>
                <c:pt idx="60">
                  <c:v>16.144211000000002</c:v>
                </c:pt>
                <c:pt idx="61">
                  <c:v>14.581868000000002</c:v>
                </c:pt>
                <c:pt idx="62">
                  <c:v>16.144211000000002</c:v>
                </c:pt>
                <c:pt idx="63">
                  <c:v>15.623430000000003</c:v>
                </c:pt>
                <c:pt idx="64">
                  <c:v>16.144211000000002</c:v>
                </c:pt>
                <c:pt idx="65">
                  <c:v>15.623429999999999</c:v>
                </c:pt>
                <c:pt idx="66">
                  <c:v>0</c:v>
                </c:pt>
                <c:pt idx="67">
                  <c:v>0</c:v>
                </c:pt>
                <c:pt idx="68">
                  <c:v>0</c:v>
                </c:pt>
                <c:pt idx="69">
                  <c:v>0</c:v>
                </c:pt>
                <c:pt idx="70">
                  <c:v>0</c:v>
                </c:pt>
                <c:pt idx="71">
                  <c:v>0</c:v>
                </c:pt>
                <c:pt idx="72">
                  <c:v>16.144211000000002</c:v>
                </c:pt>
                <c:pt idx="73">
                  <c:v>14.581868000000002</c:v>
                </c:pt>
                <c:pt idx="74">
                  <c:v>16.144211000000002</c:v>
                </c:pt>
                <c:pt idx="75">
                  <c:v>15.623430000000003</c:v>
                </c:pt>
                <c:pt idx="76">
                  <c:v>16.144211000000002</c:v>
                </c:pt>
                <c:pt idx="77">
                  <c:v>15.623429999999999</c:v>
                </c:pt>
                <c:pt idx="78">
                  <c:v>0</c:v>
                </c:pt>
                <c:pt idx="79">
                  <c:v>0</c:v>
                </c:pt>
                <c:pt idx="80">
                  <c:v>0</c:v>
                </c:pt>
                <c:pt idx="81">
                  <c:v>0</c:v>
                </c:pt>
                <c:pt idx="82">
                  <c:v>0</c:v>
                </c:pt>
                <c:pt idx="83">
                  <c:v>0</c:v>
                </c:pt>
                <c:pt idx="84">
                  <c:v>16.144211000000002</c:v>
                </c:pt>
                <c:pt idx="85">
                  <c:v>14.581868000000002</c:v>
                </c:pt>
                <c:pt idx="86">
                  <c:v>16.144211000000002</c:v>
                </c:pt>
                <c:pt idx="87">
                  <c:v>15.623430000000003</c:v>
                </c:pt>
                <c:pt idx="88">
                  <c:v>16.144211000000002</c:v>
                </c:pt>
                <c:pt idx="89">
                  <c:v>15.623429999999999</c:v>
                </c:pt>
              </c:numCache>
            </c:numRef>
          </c:val>
        </c:ser>
        <c:ser>
          <c:idx val="3"/>
          <c:order val="2"/>
          <c:tx>
            <c:strRef>
              <c:f>'Misc. Data &amp; Mechanisms'!$E$1069</c:f>
              <c:strCache>
                <c:ptCount val="1"/>
                <c:pt idx="0">
                  <c:v>Distribution - Variable</c:v>
                </c:pt>
              </c:strCache>
            </c:strRef>
          </c:tx>
          <c:spPr>
            <a:solidFill>
              <a:schemeClr val="accent2">
                <a:lumMod val="75000"/>
              </a:schemeClr>
            </a:solidFill>
            <a:ln w="25400">
              <a:noFill/>
            </a:ln>
          </c:spPr>
          <c:cat>
            <c:numRef>
              <c:f>'Misc. Data &amp; Mechanisms'!$B$1070:$B$1159</c:f>
              <c:numCache>
                <c:formatCode>mmm-yy</c:formatCode>
                <c:ptCount val="9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43466</c:v>
                </c:pt>
                <c:pt idx="85">
                  <c:v>43497</c:v>
                </c:pt>
                <c:pt idx="86">
                  <c:v>43525</c:v>
                </c:pt>
                <c:pt idx="87">
                  <c:v>43556</c:v>
                </c:pt>
                <c:pt idx="88">
                  <c:v>43586</c:v>
                </c:pt>
                <c:pt idx="89">
                  <c:v>43617</c:v>
                </c:pt>
              </c:numCache>
            </c:numRef>
          </c:cat>
          <c:val>
            <c:numRef>
              <c:f>'Misc. Data &amp; Mechanisms'!$E$1070:$E$1159</c:f>
              <c:numCache>
                <c:formatCode>General</c:formatCode>
                <c:ptCount val="90"/>
                <c:pt idx="0">
                  <c:v>6.3275144257146358</c:v>
                </c:pt>
                <c:pt idx="1">
                  <c:v>6.6138678388825181</c:v>
                </c:pt>
                <c:pt idx="2">
                  <c:v>6.0574724309812682</c:v>
                </c:pt>
                <c:pt idx="3">
                  <c:v>5.3611587196245809</c:v>
                </c:pt>
                <c:pt idx="4">
                  <c:v>5.1655790121634277</c:v>
                </c:pt>
                <c:pt idx="5">
                  <c:v>5.0204431206587401</c:v>
                </c:pt>
                <c:pt idx="6">
                  <c:v>0</c:v>
                </c:pt>
                <c:pt idx="7">
                  <c:v>0</c:v>
                </c:pt>
                <c:pt idx="8">
                  <c:v>0</c:v>
                </c:pt>
                <c:pt idx="9">
                  <c:v>0</c:v>
                </c:pt>
                <c:pt idx="10">
                  <c:v>0</c:v>
                </c:pt>
                <c:pt idx="11">
                  <c:v>0</c:v>
                </c:pt>
                <c:pt idx="12">
                  <c:v>6.3275144257146358</c:v>
                </c:pt>
                <c:pt idx="13">
                  <c:v>6.6138678388825181</c:v>
                </c:pt>
                <c:pt idx="14">
                  <c:v>6.0574724309812682</c:v>
                </c:pt>
                <c:pt idx="15">
                  <c:v>5.3611587196245809</c:v>
                </c:pt>
                <c:pt idx="16">
                  <c:v>5.1655790121634277</c:v>
                </c:pt>
                <c:pt idx="17">
                  <c:v>5.0204431206587401</c:v>
                </c:pt>
                <c:pt idx="18">
                  <c:v>0</c:v>
                </c:pt>
                <c:pt idx="19">
                  <c:v>0</c:v>
                </c:pt>
                <c:pt idx="20">
                  <c:v>0</c:v>
                </c:pt>
                <c:pt idx="21">
                  <c:v>0</c:v>
                </c:pt>
                <c:pt idx="22">
                  <c:v>0</c:v>
                </c:pt>
                <c:pt idx="23">
                  <c:v>0</c:v>
                </c:pt>
                <c:pt idx="24">
                  <c:v>6.3275144257146358</c:v>
                </c:pt>
                <c:pt idx="25">
                  <c:v>6.6138678388825181</c:v>
                </c:pt>
                <c:pt idx="26">
                  <c:v>6.0574724309812682</c:v>
                </c:pt>
                <c:pt idx="27">
                  <c:v>5.3611587196245809</c:v>
                </c:pt>
                <c:pt idx="28">
                  <c:v>5.1655790121634277</c:v>
                </c:pt>
                <c:pt idx="29">
                  <c:v>5.0204431206587401</c:v>
                </c:pt>
                <c:pt idx="30">
                  <c:v>0</c:v>
                </c:pt>
                <c:pt idx="31">
                  <c:v>0</c:v>
                </c:pt>
                <c:pt idx="32">
                  <c:v>0</c:v>
                </c:pt>
                <c:pt idx="33">
                  <c:v>0</c:v>
                </c:pt>
                <c:pt idx="34">
                  <c:v>0</c:v>
                </c:pt>
                <c:pt idx="35">
                  <c:v>0</c:v>
                </c:pt>
                <c:pt idx="36">
                  <c:v>6.3275144257146358</c:v>
                </c:pt>
                <c:pt idx="37">
                  <c:v>6.6138678388825181</c:v>
                </c:pt>
                <c:pt idx="38">
                  <c:v>6.0574724309812682</c:v>
                </c:pt>
                <c:pt idx="39">
                  <c:v>5.3611587196245809</c:v>
                </c:pt>
                <c:pt idx="40">
                  <c:v>5.1655790121634277</c:v>
                </c:pt>
                <c:pt idx="41">
                  <c:v>5.0204431206587401</c:v>
                </c:pt>
                <c:pt idx="42">
                  <c:v>0</c:v>
                </c:pt>
                <c:pt idx="43">
                  <c:v>0</c:v>
                </c:pt>
                <c:pt idx="44">
                  <c:v>0</c:v>
                </c:pt>
                <c:pt idx="45">
                  <c:v>0</c:v>
                </c:pt>
                <c:pt idx="46">
                  <c:v>0</c:v>
                </c:pt>
                <c:pt idx="47">
                  <c:v>0</c:v>
                </c:pt>
                <c:pt idx="48">
                  <c:v>6.3275144257146358</c:v>
                </c:pt>
                <c:pt idx="49">
                  <c:v>6.6138678388825181</c:v>
                </c:pt>
                <c:pt idx="50">
                  <c:v>6.0574724309812682</c:v>
                </c:pt>
                <c:pt idx="51">
                  <c:v>5.3611587196245809</c:v>
                </c:pt>
                <c:pt idx="52">
                  <c:v>5.1655790121634277</c:v>
                </c:pt>
                <c:pt idx="53">
                  <c:v>5.0204431206587401</c:v>
                </c:pt>
                <c:pt idx="54">
                  <c:v>0</c:v>
                </c:pt>
                <c:pt idx="55">
                  <c:v>0</c:v>
                </c:pt>
                <c:pt idx="56">
                  <c:v>0</c:v>
                </c:pt>
                <c:pt idx="57">
                  <c:v>0</c:v>
                </c:pt>
                <c:pt idx="58">
                  <c:v>0</c:v>
                </c:pt>
                <c:pt idx="59">
                  <c:v>0</c:v>
                </c:pt>
                <c:pt idx="60">
                  <c:v>6.3275144257146358</c:v>
                </c:pt>
                <c:pt idx="61">
                  <c:v>6.6138678388825181</c:v>
                </c:pt>
                <c:pt idx="62">
                  <c:v>6.0574724309812682</c:v>
                </c:pt>
                <c:pt idx="63">
                  <c:v>5.3611587196245809</c:v>
                </c:pt>
                <c:pt idx="64">
                  <c:v>5.1655790121634277</c:v>
                </c:pt>
                <c:pt idx="65">
                  <c:v>5.0204431206587401</c:v>
                </c:pt>
                <c:pt idx="66">
                  <c:v>0</c:v>
                </c:pt>
                <c:pt idx="67">
                  <c:v>0</c:v>
                </c:pt>
                <c:pt idx="68">
                  <c:v>0</c:v>
                </c:pt>
                <c:pt idx="69">
                  <c:v>0</c:v>
                </c:pt>
                <c:pt idx="70">
                  <c:v>0</c:v>
                </c:pt>
                <c:pt idx="71">
                  <c:v>0</c:v>
                </c:pt>
                <c:pt idx="72">
                  <c:v>6.3275144257146358</c:v>
                </c:pt>
                <c:pt idx="73">
                  <c:v>6.6138678388825181</c:v>
                </c:pt>
                <c:pt idx="74">
                  <c:v>6.0574724309812682</c:v>
                </c:pt>
                <c:pt idx="75">
                  <c:v>5.3611587196245809</c:v>
                </c:pt>
                <c:pt idx="76">
                  <c:v>5.1655790121634277</c:v>
                </c:pt>
                <c:pt idx="77">
                  <c:v>5.0204431206587401</c:v>
                </c:pt>
                <c:pt idx="78">
                  <c:v>0</c:v>
                </c:pt>
                <c:pt idx="79">
                  <c:v>0</c:v>
                </c:pt>
                <c:pt idx="80">
                  <c:v>0</c:v>
                </c:pt>
                <c:pt idx="81">
                  <c:v>0</c:v>
                </c:pt>
                <c:pt idx="82">
                  <c:v>0</c:v>
                </c:pt>
                <c:pt idx="83">
                  <c:v>0</c:v>
                </c:pt>
                <c:pt idx="84">
                  <c:v>6.3275144257146358</c:v>
                </c:pt>
                <c:pt idx="85">
                  <c:v>6.6138678388825181</c:v>
                </c:pt>
                <c:pt idx="86">
                  <c:v>6.0574724309812682</c:v>
                </c:pt>
                <c:pt idx="87">
                  <c:v>5.3611587196245809</c:v>
                </c:pt>
                <c:pt idx="88">
                  <c:v>5.1655790121634277</c:v>
                </c:pt>
                <c:pt idx="89">
                  <c:v>5.0204431206587401</c:v>
                </c:pt>
              </c:numCache>
            </c:numRef>
          </c:val>
        </c:ser>
        <c:ser>
          <c:idx val="6"/>
          <c:order val="3"/>
          <c:tx>
            <c:strRef>
              <c:f>'Misc. Data &amp; Mechanisms'!$F$1069</c:f>
              <c:strCache>
                <c:ptCount val="1"/>
                <c:pt idx="0">
                  <c:v>Local Access Fees</c:v>
                </c:pt>
              </c:strCache>
            </c:strRef>
          </c:tx>
          <c:spPr>
            <a:solidFill>
              <a:schemeClr val="accent3">
                <a:lumMod val="75000"/>
              </a:schemeClr>
            </a:solidFill>
            <a:ln w="25400">
              <a:noFill/>
            </a:ln>
          </c:spPr>
          <c:cat>
            <c:numRef>
              <c:f>'Misc. Data &amp; Mechanisms'!$B$1070:$B$1159</c:f>
              <c:numCache>
                <c:formatCode>mmm-yy</c:formatCode>
                <c:ptCount val="9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43466</c:v>
                </c:pt>
                <c:pt idx="85">
                  <c:v>43497</c:v>
                </c:pt>
                <c:pt idx="86">
                  <c:v>43525</c:v>
                </c:pt>
                <c:pt idx="87">
                  <c:v>43556</c:v>
                </c:pt>
                <c:pt idx="88">
                  <c:v>43586</c:v>
                </c:pt>
                <c:pt idx="89">
                  <c:v>43617</c:v>
                </c:pt>
              </c:numCache>
            </c:numRef>
          </c:cat>
          <c:val>
            <c:numRef>
              <c:f>'Misc. Data &amp; Mechanisms'!$F$1070:$F$1159</c:f>
              <c:numCache>
                <c:formatCode>General</c:formatCode>
                <c:ptCount val="90"/>
                <c:pt idx="0">
                  <c:v>10.302466363166253</c:v>
                </c:pt>
                <c:pt idx="1">
                  <c:v>10.508661424130576</c:v>
                </c:pt>
                <c:pt idx="2">
                  <c:v>9.3716963955057278</c:v>
                </c:pt>
                <c:pt idx="3">
                  <c:v>8.5873991990290754</c:v>
                </c:pt>
                <c:pt idx="4">
                  <c:v>8.5747875462120167</c:v>
                </c:pt>
                <c:pt idx="5">
                  <c:v>8.326777408853685</c:v>
                </c:pt>
                <c:pt idx="6">
                  <c:v>0</c:v>
                </c:pt>
                <c:pt idx="7">
                  <c:v>0</c:v>
                </c:pt>
                <c:pt idx="8">
                  <c:v>0</c:v>
                </c:pt>
                <c:pt idx="9">
                  <c:v>0</c:v>
                </c:pt>
                <c:pt idx="10">
                  <c:v>0</c:v>
                </c:pt>
                <c:pt idx="11">
                  <c:v>0</c:v>
                </c:pt>
                <c:pt idx="12">
                  <c:v>10.302466363166253</c:v>
                </c:pt>
                <c:pt idx="13">
                  <c:v>10.508661424130576</c:v>
                </c:pt>
                <c:pt idx="14">
                  <c:v>9.3716963955057278</c:v>
                </c:pt>
                <c:pt idx="15">
                  <c:v>8.5873991990290754</c:v>
                </c:pt>
                <c:pt idx="16">
                  <c:v>8.5747875462120167</c:v>
                </c:pt>
                <c:pt idx="17">
                  <c:v>8.326777408853685</c:v>
                </c:pt>
                <c:pt idx="18">
                  <c:v>0</c:v>
                </c:pt>
                <c:pt idx="19">
                  <c:v>0</c:v>
                </c:pt>
                <c:pt idx="20">
                  <c:v>0</c:v>
                </c:pt>
                <c:pt idx="21">
                  <c:v>0</c:v>
                </c:pt>
                <c:pt idx="22">
                  <c:v>0</c:v>
                </c:pt>
                <c:pt idx="23">
                  <c:v>0</c:v>
                </c:pt>
                <c:pt idx="24">
                  <c:v>10.302466363166253</c:v>
                </c:pt>
                <c:pt idx="25">
                  <c:v>10.508661424130576</c:v>
                </c:pt>
                <c:pt idx="26">
                  <c:v>9.3716963955057278</c:v>
                </c:pt>
                <c:pt idx="27">
                  <c:v>8.5873991990290754</c:v>
                </c:pt>
                <c:pt idx="28">
                  <c:v>8.5747875462120167</c:v>
                </c:pt>
                <c:pt idx="29">
                  <c:v>8.326777408853685</c:v>
                </c:pt>
                <c:pt idx="30">
                  <c:v>0</c:v>
                </c:pt>
                <c:pt idx="31">
                  <c:v>0</c:v>
                </c:pt>
                <c:pt idx="32">
                  <c:v>0</c:v>
                </c:pt>
                <c:pt idx="33">
                  <c:v>0</c:v>
                </c:pt>
                <c:pt idx="34">
                  <c:v>0</c:v>
                </c:pt>
                <c:pt idx="35">
                  <c:v>0</c:v>
                </c:pt>
                <c:pt idx="36">
                  <c:v>10.302466363166253</c:v>
                </c:pt>
                <c:pt idx="37">
                  <c:v>10.508661424130576</c:v>
                </c:pt>
                <c:pt idx="38">
                  <c:v>9.3716963955057278</c:v>
                </c:pt>
                <c:pt idx="39">
                  <c:v>8.5873991990290754</c:v>
                </c:pt>
                <c:pt idx="40">
                  <c:v>8.5747875462120167</c:v>
                </c:pt>
                <c:pt idx="41">
                  <c:v>8.326777408853685</c:v>
                </c:pt>
                <c:pt idx="42">
                  <c:v>0</c:v>
                </c:pt>
                <c:pt idx="43">
                  <c:v>0</c:v>
                </c:pt>
                <c:pt idx="44">
                  <c:v>0</c:v>
                </c:pt>
                <c:pt idx="45">
                  <c:v>0</c:v>
                </c:pt>
                <c:pt idx="46">
                  <c:v>0</c:v>
                </c:pt>
                <c:pt idx="47">
                  <c:v>0</c:v>
                </c:pt>
                <c:pt idx="48">
                  <c:v>10.302466363166253</c:v>
                </c:pt>
                <c:pt idx="49">
                  <c:v>10.508661424130576</c:v>
                </c:pt>
                <c:pt idx="50">
                  <c:v>9.3716963955057278</c:v>
                </c:pt>
                <c:pt idx="51">
                  <c:v>8.5873991990290754</c:v>
                </c:pt>
                <c:pt idx="52">
                  <c:v>8.5747875462120167</c:v>
                </c:pt>
                <c:pt idx="53">
                  <c:v>8.326777408853685</c:v>
                </c:pt>
                <c:pt idx="54">
                  <c:v>0</c:v>
                </c:pt>
                <c:pt idx="55">
                  <c:v>0</c:v>
                </c:pt>
                <c:pt idx="56">
                  <c:v>0</c:v>
                </c:pt>
                <c:pt idx="57">
                  <c:v>0</c:v>
                </c:pt>
                <c:pt idx="58">
                  <c:v>0</c:v>
                </c:pt>
                <c:pt idx="59">
                  <c:v>0</c:v>
                </c:pt>
                <c:pt idx="60">
                  <c:v>10.302466363166253</c:v>
                </c:pt>
                <c:pt idx="61">
                  <c:v>10.508661424130576</c:v>
                </c:pt>
                <c:pt idx="62">
                  <c:v>9.3716963955057278</c:v>
                </c:pt>
                <c:pt idx="63">
                  <c:v>8.5873991990290754</c:v>
                </c:pt>
                <c:pt idx="64">
                  <c:v>8.5747875462120167</c:v>
                </c:pt>
                <c:pt idx="65">
                  <c:v>8.326777408853685</c:v>
                </c:pt>
                <c:pt idx="66">
                  <c:v>0</c:v>
                </c:pt>
                <c:pt idx="67">
                  <c:v>0</c:v>
                </c:pt>
                <c:pt idx="68">
                  <c:v>0</c:v>
                </c:pt>
                <c:pt idx="69">
                  <c:v>0</c:v>
                </c:pt>
                <c:pt idx="70">
                  <c:v>0</c:v>
                </c:pt>
                <c:pt idx="71">
                  <c:v>0</c:v>
                </c:pt>
                <c:pt idx="72">
                  <c:v>10.302466363166253</c:v>
                </c:pt>
                <c:pt idx="73">
                  <c:v>10.508661424130576</c:v>
                </c:pt>
                <c:pt idx="74">
                  <c:v>9.3716963955057278</c:v>
                </c:pt>
                <c:pt idx="75">
                  <c:v>8.5873991990290754</c:v>
                </c:pt>
                <c:pt idx="76">
                  <c:v>8.5747875462120167</c:v>
                </c:pt>
                <c:pt idx="77">
                  <c:v>8.326777408853685</c:v>
                </c:pt>
                <c:pt idx="78">
                  <c:v>0</c:v>
                </c:pt>
                <c:pt idx="79">
                  <c:v>0</c:v>
                </c:pt>
                <c:pt idx="80">
                  <c:v>0</c:v>
                </c:pt>
                <c:pt idx="81">
                  <c:v>0</c:v>
                </c:pt>
                <c:pt idx="82">
                  <c:v>0</c:v>
                </c:pt>
                <c:pt idx="83">
                  <c:v>0</c:v>
                </c:pt>
                <c:pt idx="84">
                  <c:v>10.302466363166253</c:v>
                </c:pt>
                <c:pt idx="85">
                  <c:v>10.508661424130576</c:v>
                </c:pt>
                <c:pt idx="86">
                  <c:v>9.3716963955057278</c:v>
                </c:pt>
                <c:pt idx="87">
                  <c:v>8.5873991990290754</c:v>
                </c:pt>
                <c:pt idx="88">
                  <c:v>8.5747875462120167</c:v>
                </c:pt>
                <c:pt idx="89">
                  <c:v>8.326777408853685</c:v>
                </c:pt>
              </c:numCache>
            </c:numRef>
          </c:val>
        </c:ser>
        <c:ser>
          <c:idx val="7"/>
          <c:order val="4"/>
          <c:tx>
            <c:strRef>
              <c:f>'Misc. Data &amp; Mechanisms'!$I$1069</c:f>
              <c:strCache>
                <c:ptCount val="1"/>
                <c:pt idx="0">
                  <c:v>Energy Tariff</c:v>
                </c:pt>
              </c:strCache>
            </c:strRef>
          </c:tx>
          <c:spPr>
            <a:solidFill>
              <a:schemeClr val="accent5">
                <a:lumMod val="75000"/>
              </a:schemeClr>
            </a:solidFill>
            <a:ln w="25400">
              <a:noFill/>
            </a:ln>
          </c:spPr>
          <c:cat>
            <c:numRef>
              <c:f>'Misc. Data &amp; Mechanisms'!$B$1070:$B$1159</c:f>
              <c:numCache>
                <c:formatCode>mmm-yy</c:formatCode>
                <c:ptCount val="9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43466</c:v>
                </c:pt>
                <c:pt idx="85">
                  <c:v>43497</c:v>
                </c:pt>
                <c:pt idx="86">
                  <c:v>43525</c:v>
                </c:pt>
                <c:pt idx="87">
                  <c:v>43556</c:v>
                </c:pt>
                <c:pt idx="88">
                  <c:v>43586</c:v>
                </c:pt>
                <c:pt idx="89">
                  <c:v>43617</c:v>
                </c:pt>
              </c:numCache>
            </c:numRef>
          </c:cat>
          <c:val>
            <c:numRef>
              <c:f>'Misc. Data &amp; Mechanisms'!$I$1070:$I$1159</c:f>
              <c:numCache>
                <c:formatCode>General</c:formatCode>
                <c:ptCount val="90"/>
                <c:pt idx="0">
                  <c:v>41.075988634710761</c:v>
                </c:pt>
                <c:pt idx="1">
                  <c:v>42.93489384668365</c:v>
                </c:pt>
                <c:pt idx="2">
                  <c:v>34.199419529186834</c:v>
                </c:pt>
                <c:pt idx="3">
                  <c:v>31.051217137911532</c:v>
                </c:pt>
                <c:pt idx="4">
                  <c:v>31.51126480928334</c:v>
                </c:pt>
                <c:pt idx="5">
                  <c:v>30.630694018262528</c:v>
                </c:pt>
                <c:pt idx="6">
                  <c:v>0</c:v>
                </c:pt>
                <c:pt idx="7">
                  <c:v>0</c:v>
                </c:pt>
                <c:pt idx="8">
                  <c:v>0</c:v>
                </c:pt>
                <c:pt idx="9">
                  <c:v>0</c:v>
                </c:pt>
                <c:pt idx="10">
                  <c:v>0</c:v>
                </c:pt>
                <c:pt idx="11">
                  <c:v>0</c:v>
                </c:pt>
                <c:pt idx="12">
                  <c:v>41.075988634710761</c:v>
                </c:pt>
                <c:pt idx="13">
                  <c:v>42.93489384668365</c:v>
                </c:pt>
                <c:pt idx="14">
                  <c:v>34.199419529186834</c:v>
                </c:pt>
                <c:pt idx="15">
                  <c:v>31.051217137911532</c:v>
                </c:pt>
                <c:pt idx="16">
                  <c:v>31.51126480928334</c:v>
                </c:pt>
                <c:pt idx="17">
                  <c:v>30.630694018262528</c:v>
                </c:pt>
                <c:pt idx="18">
                  <c:v>0</c:v>
                </c:pt>
                <c:pt idx="19">
                  <c:v>0</c:v>
                </c:pt>
                <c:pt idx="20">
                  <c:v>0</c:v>
                </c:pt>
                <c:pt idx="21">
                  <c:v>0</c:v>
                </c:pt>
                <c:pt idx="22">
                  <c:v>0</c:v>
                </c:pt>
                <c:pt idx="23">
                  <c:v>0</c:v>
                </c:pt>
                <c:pt idx="24">
                  <c:v>41.075988634710761</c:v>
                </c:pt>
                <c:pt idx="25">
                  <c:v>42.93489384668365</c:v>
                </c:pt>
                <c:pt idx="26">
                  <c:v>34.199419529186834</c:v>
                </c:pt>
                <c:pt idx="27">
                  <c:v>31.051217137911532</c:v>
                </c:pt>
                <c:pt idx="28">
                  <c:v>31.51126480928334</c:v>
                </c:pt>
                <c:pt idx="29">
                  <c:v>30.630694018262528</c:v>
                </c:pt>
                <c:pt idx="30">
                  <c:v>0</c:v>
                </c:pt>
                <c:pt idx="31">
                  <c:v>0</c:v>
                </c:pt>
                <c:pt idx="32">
                  <c:v>0</c:v>
                </c:pt>
                <c:pt idx="33">
                  <c:v>0</c:v>
                </c:pt>
                <c:pt idx="34">
                  <c:v>0</c:v>
                </c:pt>
                <c:pt idx="35">
                  <c:v>0</c:v>
                </c:pt>
                <c:pt idx="36">
                  <c:v>41.075988634710761</c:v>
                </c:pt>
                <c:pt idx="37">
                  <c:v>42.93489384668365</c:v>
                </c:pt>
                <c:pt idx="38">
                  <c:v>34.199419529186834</c:v>
                </c:pt>
                <c:pt idx="39">
                  <c:v>31.051217137911532</c:v>
                </c:pt>
                <c:pt idx="40">
                  <c:v>31.51126480928334</c:v>
                </c:pt>
                <c:pt idx="41">
                  <c:v>30.630694018262528</c:v>
                </c:pt>
                <c:pt idx="42">
                  <c:v>0</c:v>
                </c:pt>
                <c:pt idx="43">
                  <c:v>0</c:v>
                </c:pt>
                <c:pt idx="44">
                  <c:v>0</c:v>
                </c:pt>
                <c:pt idx="45">
                  <c:v>0</c:v>
                </c:pt>
                <c:pt idx="46">
                  <c:v>0</c:v>
                </c:pt>
                <c:pt idx="47">
                  <c:v>0</c:v>
                </c:pt>
                <c:pt idx="48">
                  <c:v>41.075988634710761</c:v>
                </c:pt>
                <c:pt idx="49">
                  <c:v>42.93489384668365</c:v>
                </c:pt>
                <c:pt idx="50">
                  <c:v>34.199419529186834</c:v>
                </c:pt>
                <c:pt idx="51">
                  <c:v>31.051217137911532</c:v>
                </c:pt>
                <c:pt idx="52">
                  <c:v>31.51126480928334</c:v>
                </c:pt>
                <c:pt idx="53">
                  <c:v>30.630694018262528</c:v>
                </c:pt>
                <c:pt idx="54">
                  <c:v>0</c:v>
                </c:pt>
                <c:pt idx="55">
                  <c:v>0</c:v>
                </c:pt>
                <c:pt idx="56">
                  <c:v>0</c:v>
                </c:pt>
                <c:pt idx="57">
                  <c:v>0</c:v>
                </c:pt>
                <c:pt idx="58">
                  <c:v>0</c:v>
                </c:pt>
                <c:pt idx="59">
                  <c:v>0</c:v>
                </c:pt>
                <c:pt idx="60">
                  <c:v>41.075988634710761</c:v>
                </c:pt>
                <c:pt idx="61">
                  <c:v>42.93489384668365</c:v>
                </c:pt>
                <c:pt idx="62">
                  <c:v>34.199419529186834</c:v>
                </c:pt>
                <c:pt idx="63">
                  <c:v>31.051217137911532</c:v>
                </c:pt>
                <c:pt idx="64">
                  <c:v>31.51126480928334</c:v>
                </c:pt>
                <c:pt idx="65">
                  <c:v>30.630694018262528</c:v>
                </c:pt>
                <c:pt idx="66">
                  <c:v>0</c:v>
                </c:pt>
                <c:pt idx="67">
                  <c:v>0</c:v>
                </c:pt>
                <c:pt idx="68">
                  <c:v>0</c:v>
                </c:pt>
                <c:pt idx="69">
                  <c:v>0</c:v>
                </c:pt>
                <c:pt idx="70">
                  <c:v>0</c:v>
                </c:pt>
                <c:pt idx="71">
                  <c:v>0</c:v>
                </c:pt>
                <c:pt idx="72">
                  <c:v>41.075988634710761</c:v>
                </c:pt>
                <c:pt idx="73">
                  <c:v>42.93489384668365</c:v>
                </c:pt>
                <c:pt idx="74">
                  <c:v>34.199419529186834</c:v>
                </c:pt>
                <c:pt idx="75">
                  <c:v>31.051217137911532</c:v>
                </c:pt>
                <c:pt idx="76">
                  <c:v>31.51126480928334</c:v>
                </c:pt>
                <c:pt idx="77">
                  <c:v>30.630694018262528</c:v>
                </c:pt>
                <c:pt idx="78">
                  <c:v>0</c:v>
                </c:pt>
                <c:pt idx="79">
                  <c:v>0</c:v>
                </c:pt>
                <c:pt idx="80">
                  <c:v>0</c:v>
                </c:pt>
                <c:pt idx="81">
                  <c:v>0</c:v>
                </c:pt>
                <c:pt idx="82">
                  <c:v>0</c:v>
                </c:pt>
                <c:pt idx="83">
                  <c:v>0</c:v>
                </c:pt>
                <c:pt idx="84">
                  <c:v>41.075988634710761</c:v>
                </c:pt>
                <c:pt idx="85">
                  <c:v>42.93489384668365</c:v>
                </c:pt>
                <c:pt idx="86">
                  <c:v>34.199419529186834</c:v>
                </c:pt>
                <c:pt idx="87">
                  <c:v>31.051217137911532</c:v>
                </c:pt>
                <c:pt idx="88">
                  <c:v>31.51126480928334</c:v>
                </c:pt>
                <c:pt idx="89">
                  <c:v>30.630694018262528</c:v>
                </c:pt>
              </c:numCache>
            </c:numRef>
          </c:val>
        </c:ser>
        <c:ser>
          <c:idx val="8"/>
          <c:order val="5"/>
          <c:tx>
            <c:strRef>
              <c:f>'Misc. Data &amp; Mechanisms'!$J$1069</c:f>
              <c:strCache>
                <c:ptCount val="1"/>
                <c:pt idx="0">
                  <c:v>Administration </c:v>
                </c:pt>
              </c:strCache>
            </c:strRef>
          </c:tx>
          <c:spPr>
            <a:solidFill>
              <a:schemeClr val="accent6">
                <a:lumMod val="75000"/>
              </a:schemeClr>
            </a:solidFill>
            <a:ln w="25400">
              <a:noFill/>
            </a:ln>
          </c:spPr>
          <c:cat>
            <c:numRef>
              <c:f>'Misc. Data &amp; Mechanisms'!$B$1070:$B$1159</c:f>
              <c:numCache>
                <c:formatCode>mmm-yy</c:formatCode>
                <c:ptCount val="9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43466</c:v>
                </c:pt>
                <c:pt idx="85">
                  <c:v>43497</c:v>
                </c:pt>
                <c:pt idx="86">
                  <c:v>43525</c:v>
                </c:pt>
                <c:pt idx="87">
                  <c:v>43556</c:v>
                </c:pt>
                <c:pt idx="88">
                  <c:v>43586</c:v>
                </c:pt>
                <c:pt idx="89">
                  <c:v>43617</c:v>
                </c:pt>
              </c:numCache>
            </c:numRef>
          </c:cat>
          <c:val>
            <c:numRef>
              <c:f>'Misc. Data &amp; Mechanisms'!$J$1070:$J$1159</c:f>
              <c:numCache>
                <c:formatCode>General</c:formatCode>
                <c:ptCount val="90"/>
                <c:pt idx="0">
                  <c:v>6.3983999999999996</c:v>
                </c:pt>
                <c:pt idx="1">
                  <c:v>5.7792000000000003</c:v>
                </c:pt>
                <c:pt idx="2">
                  <c:v>6.3983999999999996</c:v>
                </c:pt>
                <c:pt idx="3">
                  <c:v>6.1920000000000002</c:v>
                </c:pt>
                <c:pt idx="4">
                  <c:v>6.3983999999999996</c:v>
                </c:pt>
                <c:pt idx="5">
                  <c:v>6.1920000000000002</c:v>
                </c:pt>
                <c:pt idx="6">
                  <c:v>0</c:v>
                </c:pt>
                <c:pt idx="7">
                  <c:v>0</c:v>
                </c:pt>
                <c:pt idx="8">
                  <c:v>0</c:v>
                </c:pt>
                <c:pt idx="9">
                  <c:v>0</c:v>
                </c:pt>
                <c:pt idx="10">
                  <c:v>0</c:v>
                </c:pt>
                <c:pt idx="11">
                  <c:v>0</c:v>
                </c:pt>
                <c:pt idx="12">
                  <c:v>6.3983999999999996</c:v>
                </c:pt>
                <c:pt idx="13">
                  <c:v>5.7792000000000003</c:v>
                </c:pt>
                <c:pt idx="14">
                  <c:v>6.3983999999999996</c:v>
                </c:pt>
                <c:pt idx="15">
                  <c:v>6.1920000000000002</c:v>
                </c:pt>
                <c:pt idx="16">
                  <c:v>6.3983999999999996</c:v>
                </c:pt>
                <c:pt idx="17">
                  <c:v>6.1920000000000002</c:v>
                </c:pt>
                <c:pt idx="18">
                  <c:v>0</c:v>
                </c:pt>
                <c:pt idx="19">
                  <c:v>0</c:v>
                </c:pt>
                <c:pt idx="20">
                  <c:v>0</c:v>
                </c:pt>
                <c:pt idx="21">
                  <c:v>0</c:v>
                </c:pt>
                <c:pt idx="22">
                  <c:v>0</c:v>
                </c:pt>
                <c:pt idx="23">
                  <c:v>0</c:v>
                </c:pt>
                <c:pt idx="24">
                  <c:v>6.3983999999999996</c:v>
                </c:pt>
                <c:pt idx="25">
                  <c:v>5.7792000000000003</c:v>
                </c:pt>
                <c:pt idx="26">
                  <c:v>6.3983999999999996</c:v>
                </c:pt>
                <c:pt idx="27">
                  <c:v>6.1920000000000002</c:v>
                </c:pt>
                <c:pt idx="28">
                  <c:v>6.3983999999999996</c:v>
                </c:pt>
                <c:pt idx="29">
                  <c:v>6.1920000000000002</c:v>
                </c:pt>
                <c:pt idx="30">
                  <c:v>0</c:v>
                </c:pt>
                <c:pt idx="31">
                  <c:v>0</c:v>
                </c:pt>
                <c:pt idx="32">
                  <c:v>0</c:v>
                </c:pt>
                <c:pt idx="33">
                  <c:v>0</c:v>
                </c:pt>
                <c:pt idx="34">
                  <c:v>0</c:v>
                </c:pt>
                <c:pt idx="35">
                  <c:v>0</c:v>
                </c:pt>
                <c:pt idx="36">
                  <c:v>6.3983999999999996</c:v>
                </c:pt>
                <c:pt idx="37">
                  <c:v>5.7792000000000003</c:v>
                </c:pt>
                <c:pt idx="38">
                  <c:v>6.3983999999999996</c:v>
                </c:pt>
                <c:pt idx="39">
                  <c:v>6.1920000000000002</c:v>
                </c:pt>
                <c:pt idx="40">
                  <c:v>6.3983999999999996</c:v>
                </c:pt>
                <c:pt idx="41">
                  <c:v>6.1920000000000002</c:v>
                </c:pt>
                <c:pt idx="42">
                  <c:v>0</c:v>
                </c:pt>
                <c:pt idx="43">
                  <c:v>0</c:v>
                </c:pt>
                <c:pt idx="44">
                  <c:v>0</c:v>
                </c:pt>
                <c:pt idx="45">
                  <c:v>0</c:v>
                </c:pt>
                <c:pt idx="46">
                  <c:v>0</c:v>
                </c:pt>
                <c:pt idx="47">
                  <c:v>0</c:v>
                </c:pt>
                <c:pt idx="48">
                  <c:v>6.3983999999999996</c:v>
                </c:pt>
                <c:pt idx="49">
                  <c:v>5.7792000000000003</c:v>
                </c:pt>
                <c:pt idx="50">
                  <c:v>6.3983999999999996</c:v>
                </c:pt>
                <c:pt idx="51">
                  <c:v>6.1920000000000002</c:v>
                </c:pt>
                <c:pt idx="52">
                  <c:v>6.3983999999999996</c:v>
                </c:pt>
                <c:pt idx="53">
                  <c:v>6.1920000000000002</c:v>
                </c:pt>
                <c:pt idx="54">
                  <c:v>0</c:v>
                </c:pt>
                <c:pt idx="55">
                  <c:v>0</c:v>
                </c:pt>
                <c:pt idx="56">
                  <c:v>0</c:v>
                </c:pt>
                <c:pt idx="57">
                  <c:v>0</c:v>
                </c:pt>
                <c:pt idx="58">
                  <c:v>0</c:v>
                </c:pt>
                <c:pt idx="59">
                  <c:v>0</c:v>
                </c:pt>
                <c:pt idx="60">
                  <c:v>6.3983999999999996</c:v>
                </c:pt>
                <c:pt idx="61">
                  <c:v>5.7792000000000003</c:v>
                </c:pt>
                <c:pt idx="62">
                  <c:v>6.3983999999999996</c:v>
                </c:pt>
                <c:pt idx="63">
                  <c:v>6.1920000000000002</c:v>
                </c:pt>
                <c:pt idx="64">
                  <c:v>6.3983999999999996</c:v>
                </c:pt>
                <c:pt idx="65">
                  <c:v>6.1920000000000002</c:v>
                </c:pt>
                <c:pt idx="66">
                  <c:v>0</c:v>
                </c:pt>
                <c:pt idx="67">
                  <c:v>0</c:v>
                </c:pt>
                <c:pt idx="68">
                  <c:v>0</c:v>
                </c:pt>
                <c:pt idx="69">
                  <c:v>0</c:v>
                </c:pt>
                <c:pt idx="70">
                  <c:v>0</c:v>
                </c:pt>
                <c:pt idx="71">
                  <c:v>0</c:v>
                </c:pt>
                <c:pt idx="72">
                  <c:v>6.3983999999999996</c:v>
                </c:pt>
                <c:pt idx="73">
                  <c:v>5.7792000000000003</c:v>
                </c:pt>
                <c:pt idx="74">
                  <c:v>6.3983999999999996</c:v>
                </c:pt>
                <c:pt idx="75">
                  <c:v>6.1920000000000002</c:v>
                </c:pt>
                <c:pt idx="76">
                  <c:v>6.3983999999999996</c:v>
                </c:pt>
                <c:pt idx="77">
                  <c:v>6.1920000000000002</c:v>
                </c:pt>
                <c:pt idx="78">
                  <c:v>0</c:v>
                </c:pt>
                <c:pt idx="79">
                  <c:v>0</c:v>
                </c:pt>
                <c:pt idx="80">
                  <c:v>0</c:v>
                </c:pt>
                <c:pt idx="81">
                  <c:v>0</c:v>
                </c:pt>
                <c:pt idx="82">
                  <c:v>0</c:v>
                </c:pt>
                <c:pt idx="83">
                  <c:v>0</c:v>
                </c:pt>
                <c:pt idx="84">
                  <c:v>6.3983999999999996</c:v>
                </c:pt>
                <c:pt idx="85">
                  <c:v>5.7792000000000003</c:v>
                </c:pt>
                <c:pt idx="86">
                  <c:v>6.3983999999999996</c:v>
                </c:pt>
                <c:pt idx="87">
                  <c:v>6.1920000000000002</c:v>
                </c:pt>
                <c:pt idx="88">
                  <c:v>6.3983999999999996</c:v>
                </c:pt>
                <c:pt idx="89">
                  <c:v>6.1920000000000002</c:v>
                </c:pt>
              </c:numCache>
            </c:numRef>
          </c:val>
        </c:ser>
        <c:ser>
          <c:idx val="4"/>
          <c:order val="6"/>
          <c:tx>
            <c:strRef>
              <c:f>'Misc. Data &amp; Mechanisms'!$K$1069</c:f>
              <c:strCache>
                <c:ptCount val="1"/>
                <c:pt idx="0">
                  <c:v>GST</c:v>
                </c:pt>
              </c:strCache>
            </c:strRef>
          </c:tx>
          <c:spPr>
            <a:solidFill>
              <a:srgbClr val="996633"/>
            </a:solidFill>
            <a:ln w="25400">
              <a:noFill/>
            </a:ln>
          </c:spPr>
          <c:cat>
            <c:numRef>
              <c:f>'Misc. Data &amp; Mechanisms'!$B$1070:$B$1159</c:f>
              <c:numCache>
                <c:formatCode>mmm-yy</c:formatCode>
                <c:ptCount val="9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43466</c:v>
                </c:pt>
                <c:pt idx="85">
                  <c:v>43497</c:v>
                </c:pt>
                <c:pt idx="86">
                  <c:v>43525</c:v>
                </c:pt>
                <c:pt idx="87">
                  <c:v>43556</c:v>
                </c:pt>
                <c:pt idx="88">
                  <c:v>43586</c:v>
                </c:pt>
                <c:pt idx="89">
                  <c:v>43617</c:v>
                </c:pt>
              </c:numCache>
            </c:numRef>
          </c:cat>
          <c:val>
            <c:numRef>
              <c:f>'Misc. Data &amp; Mechanisms'!$K$1070:$K$1159</c:f>
              <c:numCache>
                <c:formatCode>General</c:formatCode>
                <c:ptCount val="90"/>
                <c:pt idx="0">
                  <c:v>5.4716168389352049</c:v>
                </c:pt>
                <c:pt idx="1">
                  <c:v>5.5437636491230808</c:v>
                </c:pt>
                <c:pt idx="2">
                  <c:v>5.0061899662675131</c:v>
                </c:pt>
                <c:pt idx="3">
                  <c:v>4.6036860711256553</c:v>
                </c:pt>
                <c:pt idx="4">
                  <c:v>4.607699677135991</c:v>
                </c:pt>
                <c:pt idx="5">
                  <c:v>4.4733634468844867</c:v>
                </c:pt>
                <c:pt idx="6">
                  <c:v>0</c:v>
                </c:pt>
                <c:pt idx="7">
                  <c:v>0</c:v>
                </c:pt>
                <c:pt idx="8">
                  <c:v>0</c:v>
                </c:pt>
                <c:pt idx="9">
                  <c:v>0</c:v>
                </c:pt>
                <c:pt idx="10">
                  <c:v>0</c:v>
                </c:pt>
                <c:pt idx="11">
                  <c:v>0</c:v>
                </c:pt>
                <c:pt idx="12">
                  <c:v>5.4716168389352049</c:v>
                </c:pt>
                <c:pt idx="13">
                  <c:v>5.5437636491230808</c:v>
                </c:pt>
                <c:pt idx="14">
                  <c:v>5.0061899662675131</c:v>
                </c:pt>
                <c:pt idx="15">
                  <c:v>4.6036860711256553</c:v>
                </c:pt>
                <c:pt idx="16">
                  <c:v>4.607699677135991</c:v>
                </c:pt>
                <c:pt idx="17">
                  <c:v>4.4733634468844867</c:v>
                </c:pt>
                <c:pt idx="18">
                  <c:v>0</c:v>
                </c:pt>
                <c:pt idx="19">
                  <c:v>0</c:v>
                </c:pt>
                <c:pt idx="20">
                  <c:v>0</c:v>
                </c:pt>
                <c:pt idx="21">
                  <c:v>0</c:v>
                </c:pt>
                <c:pt idx="22">
                  <c:v>0</c:v>
                </c:pt>
                <c:pt idx="23">
                  <c:v>0</c:v>
                </c:pt>
                <c:pt idx="24">
                  <c:v>5.4716168389352049</c:v>
                </c:pt>
                <c:pt idx="25">
                  <c:v>5.5437636491230808</c:v>
                </c:pt>
                <c:pt idx="26">
                  <c:v>5.0061899662675131</c:v>
                </c:pt>
                <c:pt idx="27">
                  <c:v>4.6036860711256553</c:v>
                </c:pt>
                <c:pt idx="28">
                  <c:v>4.607699677135991</c:v>
                </c:pt>
                <c:pt idx="29">
                  <c:v>4.4733634468844867</c:v>
                </c:pt>
                <c:pt idx="30">
                  <c:v>0</c:v>
                </c:pt>
                <c:pt idx="31">
                  <c:v>0</c:v>
                </c:pt>
                <c:pt idx="32">
                  <c:v>0</c:v>
                </c:pt>
                <c:pt idx="33">
                  <c:v>0</c:v>
                </c:pt>
                <c:pt idx="34">
                  <c:v>0</c:v>
                </c:pt>
                <c:pt idx="35">
                  <c:v>0</c:v>
                </c:pt>
                <c:pt idx="36">
                  <c:v>5.4716168389352049</c:v>
                </c:pt>
                <c:pt idx="37">
                  <c:v>5.5437636491230808</c:v>
                </c:pt>
                <c:pt idx="38">
                  <c:v>5.0061899662675131</c:v>
                </c:pt>
                <c:pt idx="39">
                  <c:v>4.6036860711256553</c:v>
                </c:pt>
                <c:pt idx="40">
                  <c:v>4.607699677135991</c:v>
                </c:pt>
                <c:pt idx="41">
                  <c:v>4.4733634468844867</c:v>
                </c:pt>
                <c:pt idx="42">
                  <c:v>0</c:v>
                </c:pt>
                <c:pt idx="43">
                  <c:v>0</c:v>
                </c:pt>
                <c:pt idx="44">
                  <c:v>0</c:v>
                </c:pt>
                <c:pt idx="45">
                  <c:v>0</c:v>
                </c:pt>
                <c:pt idx="46">
                  <c:v>0</c:v>
                </c:pt>
                <c:pt idx="47">
                  <c:v>0</c:v>
                </c:pt>
                <c:pt idx="48">
                  <c:v>5.4716168389352049</c:v>
                </c:pt>
                <c:pt idx="49">
                  <c:v>5.5437636491230808</c:v>
                </c:pt>
                <c:pt idx="50">
                  <c:v>5.0061899662675131</c:v>
                </c:pt>
                <c:pt idx="51">
                  <c:v>4.6036860711256553</c:v>
                </c:pt>
                <c:pt idx="52">
                  <c:v>4.607699677135991</c:v>
                </c:pt>
                <c:pt idx="53">
                  <c:v>4.4733634468844867</c:v>
                </c:pt>
                <c:pt idx="54">
                  <c:v>0</c:v>
                </c:pt>
                <c:pt idx="55">
                  <c:v>0</c:v>
                </c:pt>
                <c:pt idx="56">
                  <c:v>0</c:v>
                </c:pt>
                <c:pt idx="57">
                  <c:v>0</c:v>
                </c:pt>
                <c:pt idx="58">
                  <c:v>0</c:v>
                </c:pt>
                <c:pt idx="59">
                  <c:v>0</c:v>
                </c:pt>
                <c:pt idx="60">
                  <c:v>5.4716168389352049</c:v>
                </c:pt>
                <c:pt idx="61">
                  <c:v>5.5437636491230808</c:v>
                </c:pt>
                <c:pt idx="62">
                  <c:v>5.0061899662675131</c:v>
                </c:pt>
                <c:pt idx="63">
                  <c:v>4.6036860711256553</c:v>
                </c:pt>
                <c:pt idx="64">
                  <c:v>4.607699677135991</c:v>
                </c:pt>
                <c:pt idx="65">
                  <c:v>4.4733634468844867</c:v>
                </c:pt>
                <c:pt idx="66">
                  <c:v>0</c:v>
                </c:pt>
                <c:pt idx="67">
                  <c:v>0</c:v>
                </c:pt>
                <c:pt idx="68">
                  <c:v>0</c:v>
                </c:pt>
                <c:pt idx="69">
                  <c:v>0</c:v>
                </c:pt>
                <c:pt idx="70">
                  <c:v>0</c:v>
                </c:pt>
                <c:pt idx="71">
                  <c:v>0</c:v>
                </c:pt>
                <c:pt idx="72">
                  <c:v>5.4716168389352049</c:v>
                </c:pt>
                <c:pt idx="73">
                  <c:v>5.5437636491230808</c:v>
                </c:pt>
                <c:pt idx="74">
                  <c:v>5.0061899662675131</c:v>
                </c:pt>
                <c:pt idx="75">
                  <c:v>4.6036860711256553</c:v>
                </c:pt>
                <c:pt idx="76">
                  <c:v>4.607699677135991</c:v>
                </c:pt>
                <c:pt idx="77">
                  <c:v>4.4733634468844867</c:v>
                </c:pt>
                <c:pt idx="78">
                  <c:v>0</c:v>
                </c:pt>
                <c:pt idx="79">
                  <c:v>0</c:v>
                </c:pt>
                <c:pt idx="80">
                  <c:v>0</c:v>
                </c:pt>
                <c:pt idx="81">
                  <c:v>0</c:v>
                </c:pt>
                <c:pt idx="82">
                  <c:v>0</c:v>
                </c:pt>
                <c:pt idx="83">
                  <c:v>0</c:v>
                </c:pt>
                <c:pt idx="84">
                  <c:v>5.4716168389352049</c:v>
                </c:pt>
                <c:pt idx="85">
                  <c:v>5.5437636491230808</c:v>
                </c:pt>
                <c:pt idx="86">
                  <c:v>5.0061899662675131</c:v>
                </c:pt>
                <c:pt idx="87">
                  <c:v>4.6036860711256553</c:v>
                </c:pt>
                <c:pt idx="88">
                  <c:v>4.607699677135991</c:v>
                </c:pt>
                <c:pt idx="89">
                  <c:v>4.4733634468844867</c:v>
                </c:pt>
              </c:numCache>
            </c:numRef>
          </c:val>
        </c:ser>
        <c:dLbls>
          <c:showLegendKey val="0"/>
          <c:showVal val="0"/>
          <c:showCatName val="0"/>
          <c:showSerName val="0"/>
          <c:showPercent val="0"/>
          <c:showBubbleSize val="0"/>
        </c:dLbls>
        <c:axId val="243063808"/>
        <c:axId val="243536640"/>
      </c:areaChart>
      <c:dateAx>
        <c:axId val="243063808"/>
        <c:scaling>
          <c:orientation val="minMax"/>
        </c:scaling>
        <c:delete val="0"/>
        <c:axPos val="b"/>
        <c:numFmt formatCode="mmm-yy" sourceLinked="1"/>
        <c:majorTickMark val="out"/>
        <c:minorTickMark val="none"/>
        <c:tickLblPos val="nextTo"/>
        <c:crossAx val="243536640"/>
        <c:crosses val="autoZero"/>
        <c:auto val="1"/>
        <c:lblOffset val="100"/>
        <c:baseTimeUnit val="months"/>
      </c:dateAx>
      <c:valAx>
        <c:axId val="243536640"/>
        <c:scaling>
          <c:orientation val="minMax"/>
        </c:scaling>
        <c:delete val="0"/>
        <c:axPos val="l"/>
        <c:majorGridlines>
          <c:spPr>
            <a:ln>
              <a:solidFill>
                <a:schemeClr val="bg1">
                  <a:lumMod val="85000"/>
                </a:schemeClr>
              </a:solidFill>
              <a:prstDash val="dash"/>
            </a:ln>
          </c:spPr>
        </c:majorGridlines>
        <c:numFmt formatCode="&quot;$&quot;#,##0" sourceLinked="0"/>
        <c:majorTickMark val="out"/>
        <c:minorTickMark val="none"/>
        <c:tickLblPos val="nextTo"/>
        <c:crossAx val="243063808"/>
        <c:crosses val="autoZero"/>
        <c:crossBetween val="midCat"/>
      </c:valAx>
    </c:plotArea>
    <c:legend>
      <c:legendPos val="r"/>
      <c:overlay val="0"/>
      <c:txPr>
        <a:bodyPr/>
        <a:lstStyle/>
        <a:p>
          <a:pPr>
            <a:defRPr sz="1100"/>
          </a:pPr>
          <a:endParaRPr lang="en-US"/>
        </a:p>
      </c:txPr>
    </c:legend>
    <c:plotVisOnly val="1"/>
    <c:dispBlanksAs val="zero"/>
    <c:showDLblsOverMax val="0"/>
  </c:chart>
  <c:spPr>
    <a:ln>
      <a:noFill/>
    </a:ln>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'Elec. Analysis'!$A$80:$N$80</c:f>
          <c:strCache>
            <c:ptCount val="1"/>
            <c:pt idx="0">
              <c:v>ENMAX Zone Cost Component Variation in 2019</c:v>
            </c:pt>
          </c:strCache>
        </c:strRef>
      </c:tx>
      <c:overlay val="0"/>
    </c:title>
    <c:autoTitleDeleted val="0"/>
    <c:plotArea>
      <c:layout>
        <c:manualLayout>
          <c:layoutTarget val="inner"/>
          <c:xMode val="edge"/>
          <c:yMode val="edge"/>
          <c:x val="6.4891783814981244E-2"/>
          <c:y val="0.1181462864307898"/>
          <c:w val="0.68211237993156615"/>
          <c:h val="0.79207211124738586"/>
        </c:manualLayout>
      </c:layout>
      <c:barChart>
        <c:barDir val="col"/>
        <c:grouping val="stacked"/>
        <c:varyColors val="0"/>
        <c:ser>
          <c:idx val="3"/>
          <c:order val="0"/>
          <c:tx>
            <c:strRef>
              <c:f>'Misc. Data &amp; Mechanisms'!$C$1069</c:f>
              <c:strCache>
                <c:ptCount val="1"/>
                <c:pt idx="0">
                  <c:v>Transmission</c:v>
                </c:pt>
              </c:strCache>
            </c:strRef>
          </c:tx>
          <c:spPr>
            <a:solidFill>
              <a:schemeClr val="bg1">
                <a:lumMod val="65000"/>
              </a:schemeClr>
            </a:solidFill>
          </c:spPr>
          <c:invertIfNegative val="0"/>
          <c:cat>
            <c:numRef>
              <c:f>'Misc. Data &amp; Mechanisms'!$B$1070:$B$1159</c:f>
              <c:numCache>
                <c:formatCode>mmm-yy</c:formatCode>
                <c:ptCount val="9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43466</c:v>
                </c:pt>
                <c:pt idx="85">
                  <c:v>43497</c:v>
                </c:pt>
                <c:pt idx="86">
                  <c:v>43525</c:v>
                </c:pt>
                <c:pt idx="87">
                  <c:v>43556</c:v>
                </c:pt>
                <c:pt idx="88">
                  <c:v>43586</c:v>
                </c:pt>
                <c:pt idx="89">
                  <c:v>43617</c:v>
                </c:pt>
              </c:numCache>
            </c:numRef>
          </c:cat>
          <c:val>
            <c:numRef>
              <c:f>'Misc. Data &amp; Mechanisms'!$C$1070:$C$1159</c:f>
              <c:numCache>
                <c:formatCode>General</c:formatCode>
                <c:ptCount val="90"/>
                <c:pt idx="0">
                  <c:v>11.756793629373167</c:v>
                </c:pt>
                <c:pt idx="1">
                  <c:v>12.288850572617701</c:v>
                </c:pt>
                <c:pt idx="2">
                  <c:v>11.255044002309154</c:v>
                </c:pt>
                <c:pt idx="3">
                  <c:v>9.9612632133702341</c:v>
                </c:pt>
                <c:pt idx="4">
                  <c:v>9.5978677149152052</c:v>
                </c:pt>
                <c:pt idx="5">
                  <c:v>9.3281989935447278</c:v>
                </c:pt>
                <c:pt idx="6">
                  <c:v>0</c:v>
                </c:pt>
                <c:pt idx="7">
                  <c:v>0</c:v>
                </c:pt>
                <c:pt idx="8">
                  <c:v>0</c:v>
                </c:pt>
                <c:pt idx="9">
                  <c:v>0</c:v>
                </c:pt>
                <c:pt idx="10">
                  <c:v>0</c:v>
                </c:pt>
                <c:pt idx="11">
                  <c:v>0</c:v>
                </c:pt>
                <c:pt idx="12">
                  <c:v>11.756793629373167</c:v>
                </c:pt>
                <c:pt idx="13">
                  <c:v>12.288850572617701</c:v>
                </c:pt>
                <c:pt idx="14">
                  <c:v>11.255044002309154</c:v>
                </c:pt>
                <c:pt idx="15">
                  <c:v>9.9612632133702341</c:v>
                </c:pt>
                <c:pt idx="16">
                  <c:v>9.5978677149152052</c:v>
                </c:pt>
                <c:pt idx="17">
                  <c:v>9.3281989935447278</c:v>
                </c:pt>
                <c:pt idx="18">
                  <c:v>0</c:v>
                </c:pt>
                <c:pt idx="19">
                  <c:v>0</c:v>
                </c:pt>
                <c:pt idx="20">
                  <c:v>0</c:v>
                </c:pt>
                <c:pt idx="21">
                  <c:v>0</c:v>
                </c:pt>
                <c:pt idx="22">
                  <c:v>0</c:v>
                </c:pt>
                <c:pt idx="23">
                  <c:v>0</c:v>
                </c:pt>
                <c:pt idx="24">
                  <c:v>11.756793629373167</c:v>
                </c:pt>
                <c:pt idx="25">
                  <c:v>12.288850572617701</c:v>
                </c:pt>
                <c:pt idx="26">
                  <c:v>11.255044002309154</c:v>
                </c:pt>
                <c:pt idx="27">
                  <c:v>9.9612632133702341</c:v>
                </c:pt>
                <c:pt idx="28">
                  <c:v>9.5978677149152052</c:v>
                </c:pt>
                <c:pt idx="29">
                  <c:v>9.3281989935447278</c:v>
                </c:pt>
                <c:pt idx="30">
                  <c:v>0</c:v>
                </c:pt>
                <c:pt idx="31">
                  <c:v>0</c:v>
                </c:pt>
                <c:pt idx="32">
                  <c:v>0</c:v>
                </c:pt>
                <c:pt idx="33">
                  <c:v>0</c:v>
                </c:pt>
                <c:pt idx="34">
                  <c:v>0</c:v>
                </c:pt>
                <c:pt idx="35">
                  <c:v>0</c:v>
                </c:pt>
                <c:pt idx="36">
                  <c:v>11.756793629373167</c:v>
                </c:pt>
                <c:pt idx="37">
                  <c:v>12.288850572617701</c:v>
                </c:pt>
                <c:pt idx="38">
                  <c:v>11.255044002309154</c:v>
                </c:pt>
                <c:pt idx="39">
                  <c:v>9.9612632133702341</c:v>
                </c:pt>
                <c:pt idx="40">
                  <c:v>9.5978677149152052</c:v>
                </c:pt>
                <c:pt idx="41">
                  <c:v>9.3281989935447278</c:v>
                </c:pt>
                <c:pt idx="42">
                  <c:v>0</c:v>
                </c:pt>
                <c:pt idx="43">
                  <c:v>0</c:v>
                </c:pt>
                <c:pt idx="44">
                  <c:v>0</c:v>
                </c:pt>
                <c:pt idx="45">
                  <c:v>0</c:v>
                </c:pt>
                <c:pt idx="46">
                  <c:v>0</c:v>
                </c:pt>
                <c:pt idx="47">
                  <c:v>0</c:v>
                </c:pt>
                <c:pt idx="48">
                  <c:v>11.756793629373167</c:v>
                </c:pt>
                <c:pt idx="49">
                  <c:v>12.288850572617701</c:v>
                </c:pt>
                <c:pt idx="50">
                  <c:v>11.255044002309154</c:v>
                </c:pt>
                <c:pt idx="51">
                  <c:v>9.9612632133702341</c:v>
                </c:pt>
                <c:pt idx="52">
                  <c:v>9.5978677149152052</c:v>
                </c:pt>
                <c:pt idx="53">
                  <c:v>9.3281989935447278</c:v>
                </c:pt>
                <c:pt idx="54">
                  <c:v>0</c:v>
                </c:pt>
                <c:pt idx="55">
                  <c:v>0</c:v>
                </c:pt>
                <c:pt idx="56">
                  <c:v>0</c:v>
                </c:pt>
                <c:pt idx="57">
                  <c:v>0</c:v>
                </c:pt>
                <c:pt idx="58">
                  <c:v>0</c:v>
                </c:pt>
                <c:pt idx="59">
                  <c:v>0</c:v>
                </c:pt>
                <c:pt idx="60">
                  <c:v>11.756793629373167</c:v>
                </c:pt>
                <c:pt idx="61">
                  <c:v>12.288850572617701</c:v>
                </c:pt>
                <c:pt idx="62">
                  <c:v>11.255044002309154</c:v>
                </c:pt>
                <c:pt idx="63">
                  <c:v>9.9612632133702341</c:v>
                </c:pt>
                <c:pt idx="64">
                  <c:v>9.5978677149152052</c:v>
                </c:pt>
                <c:pt idx="65">
                  <c:v>9.3281989935447278</c:v>
                </c:pt>
                <c:pt idx="66">
                  <c:v>0</c:v>
                </c:pt>
                <c:pt idx="67">
                  <c:v>0</c:v>
                </c:pt>
                <c:pt idx="68">
                  <c:v>0</c:v>
                </c:pt>
                <c:pt idx="69">
                  <c:v>0</c:v>
                </c:pt>
                <c:pt idx="70">
                  <c:v>0</c:v>
                </c:pt>
                <c:pt idx="71">
                  <c:v>0</c:v>
                </c:pt>
                <c:pt idx="72">
                  <c:v>11.756793629373167</c:v>
                </c:pt>
                <c:pt idx="73">
                  <c:v>12.288850572617701</c:v>
                </c:pt>
                <c:pt idx="74">
                  <c:v>11.255044002309154</c:v>
                </c:pt>
                <c:pt idx="75">
                  <c:v>9.9612632133702341</c:v>
                </c:pt>
                <c:pt idx="76">
                  <c:v>9.5978677149152052</c:v>
                </c:pt>
                <c:pt idx="77">
                  <c:v>9.3281989935447278</c:v>
                </c:pt>
                <c:pt idx="78">
                  <c:v>0</c:v>
                </c:pt>
                <c:pt idx="79">
                  <c:v>0</c:v>
                </c:pt>
                <c:pt idx="80">
                  <c:v>0</c:v>
                </c:pt>
                <c:pt idx="81">
                  <c:v>0</c:v>
                </c:pt>
                <c:pt idx="82">
                  <c:v>0</c:v>
                </c:pt>
                <c:pt idx="83">
                  <c:v>0</c:v>
                </c:pt>
                <c:pt idx="84">
                  <c:v>11.756793629373167</c:v>
                </c:pt>
                <c:pt idx="85">
                  <c:v>12.288850572617701</c:v>
                </c:pt>
                <c:pt idx="86">
                  <c:v>11.255044002309154</c:v>
                </c:pt>
                <c:pt idx="87">
                  <c:v>9.9612632133702341</c:v>
                </c:pt>
                <c:pt idx="88">
                  <c:v>9.5978677149152052</c:v>
                </c:pt>
                <c:pt idx="89">
                  <c:v>9.3281989935447278</c:v>
                </c:pt>
              </c:numCache>
            </c:numRef>
          </c:val>
        </c:ser>
        <c:ser>
          <c:idx val="4"/>
          <c:order val="1"/>
          <c:tx>
            <c:strRef>
              <c:f>'Misc. Data &amp; Mechanisms'!$D$1069</c:f>
              <c:strCache>
                <c:ptCount val="1"/>
                <c:pt idx="0">
                  <c:v>Distribution - Fixed</c:v>
                </c:pt>
              </c:strCache>
            </c:strRef>
          </c:tx>
          <c:spPr>
            <a:solidFill>
              <a:schemeClr val="accent1">
                <a:lumMod val="75000"/>
              </a:schemeClr>
            </a:solidFill>
          </c:spPr>
          <c:invertIfNegative val="0"/>
          <c:cat>
            <c:numRef>
              <c:f>'Misc. Data &amp; Mechanisms'!$B$1070:$B$1159</c:f>
              <c:numCache>
                <c:formatCode>mmm-yy</c:formatCode>
                <c:ptCount val="9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43466</c:v>
                </c:pt>
                <c:pt idx="85">
                  <c:v>43497</c:v>
                </c:pt>
                <c:pt idx="86">
                  <c:v>43525</c:v>
                </c:pt>
                <c:pt idx="87">
                  <c:v>43556</c:v>
                </c:pt>
                <c:pt idx="88">
                  <c:v>43586</c:v>
                </c:pt>
                <c:pt idx="89">
                  <c:v>43617</c:v>
                </c:pt>
              </c:numCache>
            </c:numRef>
          </c:cat>
          <c:val>
            <c:numRef>
              <c:f>'Misc. Data &amp; Mechanisms'!$D$1070:$D$1159</c:f>
              <c:numCache>
                <c:formatCode>General</c:formatCode>
                <c:ptCount val="90"/>
                <c:pt idx="0">
                  <c:v>16.144211000000002</c:v>
                </c:pt>
                <c:pt idx="1">
                  <c:v>14.581868000000002</c:v>
                </c:pt>
                <c:pt idx="2">
                  <c:v>16.144211000000002</c:v>
                </c:pt>
                <c:pt idx="3">
                  <c:v>15.623430000000003</c:v>
                </c:pt>
                <c:pt idx="4">
                  <c:v>16.144211000000002</c:v>
                </c:pt>
                <c:pt idx="5">
                  <c:v>15.623429999999999</c:v>
                </c:pt>
                <c:pt idx="6">
                  <c:v>0</c:v>
                </c:pt>
                <c:pt idx="7">
                  <c:v>0</c:v>
                </c:pt>
                <c:pt idx="8">
                  <c:v>0</c:v>
                </c:pt>
                <c:pt idx="9">
                  <c:v>0</c:v>
                </c:pt>
                <c:pt idx="10">
                  <c:v>0</c:v>
                </c:pt>
                <c:pt idx="11">
                  <c:v>0</c:v>
                </c:pt>
                <c:pt idx="12">
                  <c:v>16.144211000000002</c:v>
                </c:pt>
                <c:pt idx="13">
                  <c:v>14.581868000000002</c:v>
                </c:pt>
                <c:pt idx="14">
                  <c:v>16.144211000000002</c:v>
                </c:pt>
                <c:pt idx="15">
                  <c:v>15.623430000000003</c:v>
                </c:pt>
                <c:pt idx="16">
                  <c:v>16.144211000000002</c:v>
                </c:pt>
                <c:pt idx="17">
                  <c:v>15.623429999999999</c:v>
                </c:pt>
                <c:pt idx="18">
                  <c:v>0</c:v>
                </c:pt>
                <c:pt idx="19">
                  <c:v>0</c:v>
                </c:pt>
                <c:pt idx="20">
                  <c:v>0</c:v>
                </c:pt>
                <c:pt idx="21">
                  <c:v>0</c:v>
                </c:pt>
                <c:pt idx="22">
                  <c:v>0</c:v>
                </c:pt>
                <c:pt idx="23">
                  <c:v>0</c:v>
                </c:pt>
                <c:pt idx="24">
                  <c:v>16.144211000000002</c:v>
                </c:pt>
                <c:pt idx="25">
                  <c:v>14.581868000000002</c:v>
                </c:pt>
                <c:pt idx="26">
                  <c:v>16.144211000000002</c:v>
                </c:pt>
                <c:pt idx="27">
                  <c:v>15.623430000000003</c:v>
                </c:pt>
                <c:pt idx="28">
                  <c:v>16.144211000000002</c:v>
                </c:pt>
                <c:pt idx="29">
                  <c:v>15.623429999999999</c:v>
                </c:pt>
                <c:pt idx="30">
                  <c:v>0</c:v>
                </c:pt>
                <c:pt idx="31">
                  <c:v>0</c:v>
                </c:pt>
                <c:pt idx="32">
                  <c:v>0</c:v>
                </c:pt>
                <c:pt idx="33">
                  <c:v>0</c:v>
                </c:pt>
                <c:pt idx="34">
                  <c:v>0</c:v>
                </c:pt>
                <c:pt idx="35">
                  <c:v>0</c:v>
                </c:pt>
                <c:pt idx="36">
                  <c:v>16.144211000000002</c:v>
                </c:pt>
                <c:pt idx="37">
                  <c:v>14.581868000000002</c:v>
                </c:pt>
                <c:pt idx="38">
                  <c:v>16.144211000000002</c:v>
                </c:pt>
                <c:pt idx="39">
                  <c:v>15.623430000000003</c:v>
                </c:pt>
                <c:pt idx="40">
                  <c:v>16.144211000000002</c:v>
                </c:pt>
                <c:pt idx="41">
                  <c:v>15.623429999999999</c:v>
                </c:pt>
                <c:pt idx="42">
                  <c:v>0</c:v>
                </c:pt>
                <c:pt idx="43">
                  <c:v>0</c:v>
                </c:pt>
                <c:pt idx="44">
                  <c:v>0</c:v>
                </c:pt>
                <c:pt idx="45">
                  <c:v>0</c:v>
                </c:pt>
                <c:pt idx="46">
                  <c:v>0</c:v>
                </c:pt>
                <c:pt idx="47">
                  <c:v>0</c:v>
                </c:pt>
                <c:pt idx="48">
                  <c:v>16.144211000000002</c:v>
                </c:pt>
                <c:pt idx="49">
                  <c:v>14.581868000000002</c:v>
                </c:pt>
                <c:pt idx="50">
                  <c:v>16.144211000000002</c:v>
                </c:pt>
                <c:pt idx="51">
                  <c:v>15.623430000000003</c:v>
                </c:pt>
                <c:pt idx="52">
                  <c:v>16.144211000000002</c:v>
                </c:pt>
                <c:pt idx="53">
                  <c:v>15.623429999999999</c:v>
                </c:pt>
                <c:pt idx="54">
                  <c:v>0</c:v>
                </c:pt>
                <c:pt idx="55">
                  <c:v>0</c:v>
                </c:pt>
                <c:pt idx="56">
                  <c:v>0</c:v>
                </c:pt>
                <c:pt idx="57">
                  <c:v>0</c:v>
                </c:pt>
                <c:pt idx="58">
                  <c:v>0</c:v>
                </c:pt>
                <c:pt idx="59">
                  <c:v>0</c:v>
                </c:pt>
                <c:pt idx="60">
                  <c:v>16.144211000000002</c:v>
                </c:pt>
                <c:pt idx="61">
                  <c:v>14.581868000000002</c:v>
                </c:pt>
                <c:pt idx="62">
                  <c:v>16.144211000000002</c:v>
                </c:pt>
                <c:pt idx="63">
                  <c:v>15.623430000000003</c:v>
                </c:pt>
                <c:pt idx="64">
                  <c:v>16.144211000000002</c:v>
                </c:pt>
                <c:pt idx="65">
                  <c:v>15.623429999999999</c:v>
                </c:pt>
                <c:pt idx="66">
                  <c:v>0</c:v>
                </c:pt>
                <c:pt idx="67">
                  <c:v>0</c:v>
                </c:pt>
                <c:pt idx="68">
                  <c:v>0</c:v>
                </c:pt>
                <c:pt idx="69">
                  <c:v>0</c:v>
                </c:pt>
                <c:pt idx="70">
                  <c:v>0</c:v>
                </c:pt>
                <c:pt idx="71">
                  <c:v>0</c:v>
                </c:pt>
                <c:pt idx="72">
                  <c:v>16.144211000000002</c:v>
                </c:pt>
                <c:pt idx="73">
                  <c:v>14.581868000000002</c:v>
                </c:pt>
                <c:pt idx="74">
                  <c:v>16.144211000000002</c:v>
                </c:pt>
                <c:pt idx="75">
                  <c:v>15.623430000000003</c:v>
                </c:pt>
                <c:pt idx="76">
                  <c:v>16.144211000000002</c:v>
                </c:pt>
                <c:pt idx="77">
                  <c:v>15.623429999999999</c:v>
                </c:pt>
                <c:pt idx="78">
                  <c:v>0</c:v>
                </c:pt>
                <c:pt idx="79">
                  <c:v>0</c:v>
                </c:pt>
                <c:pt idx="80">
                  <c:v>0</c:v>
                </c:pt>
                <c:pt idx="81">
                  <c:v>0</c:v>
                </c:pt>
                <c:pt idx="82">
                  <c:v>0</c:v>
                </c:pt>
                <c:pt idx="83">
                  <c:v>0</c:v>
                </c:pt>
                <c:pt idx="84">
                  <c:v>16.144211000000002</c:v>
                </c:pt>
                <c:pt idx="85">
                  <c:v>14.581868000000002</c:v>
                </c:pt>
                <c:pt idx="86">
                  <c:v>16.144211000000002</c:v>
                </c:pt>
                <c:pt idx="87">
                  <c:v>15.623430000000003</c:v>
                </c:pt>
                <c:pt idx="88">
                  <c:v>16.144211000000002</c:v>
                </c:pt>
                <c:pt idx="89">
                  <c:v>15.623429999999999</c:v>
                </c:pt>
              </c:numCache>
            </c:numRef>
          </c:val>
        </c:ser>
        <c:ser>
          <c:idx val="5"/>
          <c:order val="2"/>
          <c:tx>
            <c:strRef>
              <c:f>'Misc. Data &amp; Mechanisms'!$E$1069</c:f>
              <c:strCache>
                <c:ptCount val="1"/>
                <c:pt idx="0">
                  <c:v>Distribution - Variable</c:v>
                </c:pt>
              </c:strCache>
            </c:strRef>
          </c:tx>
          <c:spPr>
            <a:solidFill>
              <a:schemeClr val="accent2">
                <a:lumMod val="75000"/>
              </a:schemeClr>
            </a:solidFill>
          </c:spPr>
          <c:invertIfNegative val="0"/>
          <c:cat>
            <c:numRef>
              <c:f>'Misc. Data &amp; Mechanisms'!$B$1070:$B$1159</c:f>
              <c:numCache>
                <c:formatCode>mmm-yy</c:formatCode>
                <c:ptCount val="9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43466</c:v>
                </c:pt>
                <c:pt idx="85">
                  <c:v>43497</c:v>
                </c:pt>
                <c:pt idx="86">
                  <c:v>43525</c:v>
                </c:pt>
                <c:pt idx="87">
                  <c:v>43556</c:v>
                </c:pt>
                <c:pt idx="88">
                  <c:v>43586</c:v>
                </c:pt>
                <c:pt idx="89">
                  <c:v>43617</c:v>
                </c:pt>
              </c:numCache>
            </c:numRef>
          </c:cat>
          <c:val>
            <c:numRef>
              <c:f>'Misc. Data &amp; Mechanisms'!$E$1070:$E$1159</c:f>
              <c:numCache>
                <c:formatCode>General</c:formatCode>
                <c:ptCount val="90"/>
                <c:pt idx="0">
                  <c:v>6.3275144257146358</c:v>
                </c:pt>
                <c:pt idx="1">
                  <c:v>6.6138678388825181</c:v>
                </c:pt>
                <c:pt idx="2">
                  <c:v>6.0574724309812682</c:v>
                </c:pt>
                <c:pt idx="3">
                  <c:v>5.3611587196245809</c:v>
                </c:pt>
                <c:pt idx="4">
                  <c:v>5.1655790121634277</c:v>
                </c:pt>
                <c:pt idx="5">
                  <c:v>5.0204431206587401</c:v>
                </c:pt>
                <c:pt idx="6">
                  <c:v>0</c:v>
                </c:pt>
                <c:pt idx="7">
                  <c:v>0</c:v>
                </c:pt>
                <c:pt idx="8">
                  <c:v>0</c:v>
                </c:pt>
                <c:pt idx="9">
                  <c:v>0</c:v>
                </c:pt>
                <c:pt idx="10">
                  <c:v>0</c:v>
                </c:pt>
                <c:pt idx="11">
                  <c:v>0</c:v>
                </c:pt>
                <c:pt idx="12">
                  <c:v>6.3275144257146358</c:v>
                </c:pt>
                <c:pt idx="13">
                  <c:v>6.6138678388825181</c:v>
                </c:pt>
                <c:pt idx="14">
                  <c:v>6.0574724309812682</c:v>
                </c:pt>
                <c:pt idx="15">
                  <c:v>5.3611587196245809</c:v>
                </c:pt>
                <c:pt idx="16">
                  <c:v>5.1655790121634277</c:v>
                </c:pt>
                <c:pt idx="17">
                  <c:v>5.0204431206587401</c:v>
                </c:pt>
                <c:pt idx="18">
                  <c:v>0</c:v>
                </c:pt>
                <c:pt idx="19">
                  <c:v>0</c:v>
                </c:pt>
                <c:pt idx="20">
                  <c:v>0</c:v>
                </c:pt>
                <c:pt idx="21">
                  <c:v>0</c:v>
                </c:pt>
                <c:pt idx="22">
                  <c:v>0</c:v>
                </c:pt>
                <c:pt idx="23">
                  <c:v>0</c:v>
                </c:pt>
                <c:pt idx="24">
                  <c:v>6.3275144257146358</c:v>
                </c:pt>
                <c:pt idx="25">
                  <c:v>6.6138678388825181</c:v>
                </c:pt>
                <c:pt idx="26">
                  <c:v>6.0574724309812682</c:v>
                </c:pt>
                <c:pt idx="27">
                  <c:v>5.3611587196245809</c:v>
                </c:pt>
                <c:pt idx="28">
                  <c:v>5.1655790121634277</c:v>
                </c:pt>
                <c:pt idx="29">
                  <c:v>5.0204431206587401</c:v>
                </c:pt>
                <c:pt idx="30">
                  <c:v>0</c:v>
                </c:pt>
                <c:pt idx="31">
                  <c:v>0</c:v>
                </c:pt>
                <c:pt idx="32">
                  <c:v>0</c:v>
                </c:pt>
                <c:pt idx="33">
                  <c:v>0</c:v>
                </c:pt>
                <c:pt idx="34">
                  <c:v>0</c:v>
                </c:pt>
                <c:pt idx="35">
                  <c:v>0</c:v>
                </c:pt>
                <c:pt idx="36">
                  <c:v>6.3275144257146358</c:v>
                </c:pt>
                <c:pt idx="37">
                  <c:v>6.6138678388825181</c:v>
                </c:pt>
                <c:pt idx="38">
                  <c:v>6.0574724309812682</c:v>
                </c:pt>
                <c:pt idx="39">
                  <c:v>5.3611587196245809</c:v>
                </c:pt>
                <c:pt idx="40">
                  <c:v>5.1655790121634277</c:v>
                </c:pt>
                <c:pt idx="41">
                  <c:v>5.0204431206587401</c:v>
                </c:pt>
                <c:pt idx="42">
                  <c:v>0</c:v>
                </c:pt>
                <c:pt idx="43">
                  <c:v>0</c:v>
                </c:pt>
                <c:pt idx="44">
                  <c:v>0</c:v>
                </c:pt>
                <c:pt idx="45">
                  <c:v>0</c:v>
                </c:pt>
                <c:pt idx="46">
                  <c:v>0</c:v>
                </c:pt>
                <c:pt idx="47">
                  <c:v>0</c:v>
                </c:pt>
                <c:pt idx="48">
                  <c:v>6.3275144257146358</c:v>
                </c:pt>
                <c:pt idx="49">
                  <c:v>6.6138678388825181</c:v>
                </c:pt>
                <c:pt idx="50">
                  <c:v>6.0574724309812682</c:v>
                </c:pt>
                <c:pt idx="51">
                  <c:v>5.3611587196245809</c:v>
                </c:pt>
                <c:pt idx="52">
                  <c:v>5.1655790121634277</c:v>
                </c:pt>
                <c:pt idx="53">
                  <c:v>5.0204431206587401</c:v>
                </c:pt>
                <c:pt idx="54">
                  <c:v>0</c:v>
                </c:pt>
                <c:pt idx="55">
                  <c:v>0</c:v>
                </c:pt>
                <c:pt idx="56">
                  <c:v>0</c:v>
                </c:pt>
                <c:pt idx="57">
                  <c:v>0</c:v>
                </c:pt>
                <c:pt idx="58">
                  <c:v>0</c:v>
                </c:pt>
                <c:pt idx="59">
                  <c:v>0</c:v>
                </c:pt>
                <c:pt idx="60">
                  <c:v>6.3275144257146358</c:v>
                </c:pt>
                <c:pt idx="61">
                  <c:v>6.6138678388825181</c:v>
                </c:pt>
                <c:pt idx="62">
                  <c:v>6.0574724309812682</c:v>
                </c:pt>
                <c:pt idx="63">
                  <c:v>5.3611587196245809</c:v>
                </c:pt>
                <c:pt idx="64">
                  <c:v>5.1655790121634277</c:v>
                </c:pt>
                <c:pt idx="65">
                  <c:v>5.0204431206587401</c:v>
                </c:pt>
                <c:pt idx="66">
                  <c:v>0</c:v>
                </c:pt>
                <c:pt idx="67">
                  <c:v>0</c:v>
                </c:pt>
                <c:pt idx="68">
                  <c:v>0</c:v>
                </c:pt>
                <c:pt idx="69">
                  <c:v>0</c:v>
                </c:pt>
                <c:pt idx="70">
                  <c:v>0</c:v>
                </c:pt>
                <c:pt idx="71">
                  <c:v>0</c:v>
                </c:pt>
                <c:pt idx="72">
                  <c:v>6.3275144257146358</c:v>
                </c:pt>
                <c:pt idx="73">
                  <c:v>6.6138678388825181</c:v>
                </c:pt>
                <c:pt idx="74">
                  <c:v>6.0574724309812682</c:v>
                </c:pt>
                <c:pt idx="75">
                  <c:v>5.3611587196245809</c:v>
                </c:pt>
                <c:pt idx="76">
                  <c:v>5.1655790121634277</c:v>
                </c:pt>
                <c:pt idx="77">
                  <c:v>5.0204431206587401</c:v>
                </c:pt>
                <c:pt idx="78">
                  <c:v>0</c:v>
                </c:pt>
                <c:pt idx="79">
                  <c:v>0</c:v>
                </c:pt>
                <c:pt idx="80">
                  <c:v>0</c:v>
                </c:pt>
                <c:pt idx="81">
                  <c:v>0</c:v>
                </c:pt>
                <c:pt idx="82">
                  <c:v>0</c:v>
                </c:pt>
                <c:pt idx="83">
                  <c:v>0</c:v>
                </c:pt>
                <c:pt idx="84">
                  <c:v>6.3275144257146358</c:v>
                </c:pt>
                <c:pt idx="85">
                  <c:v>6.6138678388825181</c:v>
                </c:pt>
                <c:pt idx="86">
                  <c:v>6.0574724309812682</c:v>
                </c:pt>
                <c:pt idx="87">
                  <c:v>5.3611587196245809</c:v>
                </c:pt>
                <c:pt idx="88">
                  <c:v>5.1655790121634277</c:v>
                </c:pt>
                <c:pt idx="89">
                  <c:v>5.0204431206587401</c:v>
                </c:pt>
              </c:numCache>
            </c:numRef>
          </c:val>
        </c:ser>
        <c:ser>
          <c:idx val="6"/>
          <c:order val="3"/>
          <c:tx>
            <c:strRef>
              <c:f>'Misc. Data &amp; Mechanisms'!$F$1069</c:f>
              <c:strCache>
                <c:ptCount val="1"/>
                <c:pt idx="0">
                  <c:v>Local Access Fees</c:v>
                </c:pt>
              </c:strCache>
            </c:strRef>
          </c:tx>
          <c:spPr>
            <a:solidFill>
              <a:schemeClr val="accent3">
                <a:lumMod val="75000"/>
              </a:schemeClr>
            </a:solidFill>
          </c:spPr>
          <c:invertIfNegative val="0"/>
          <c:cat>
            <c:numRef>
              <c:f>'Misc. Data &amp; Mechanisms'!$B$1070:$B$1159</c:f>
              <c:numCache>
                <c:formatCode>mmm-yy</c:formatCode>
                <c:ptCount val="9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43466</c:v>
                </c:pt>
                <c:pt idx="85">
                  <c:v>43497</c:v>
                </c:pt>
                <c:pt idx="86">
                  <c:v>43525</c:v>
                </c:pt>
                <c:pt idx="87">
                  <c:v>43556</c:v>
                </c:pt>
                <c:pt idx="88">
                  <c:v>43586</c:v>
                </c:pt>
                <c:pt idx="89">
                  <c:v>43617</c:v>
                </c:pt>
              </c:numCache>
            </c:numRef>
          </c:cat>
          <c:val>
            <c:numRef>
              <c:f>'Misc. Data &amp; Mechanisms'!$F$1070:$F$1159</c:f>
              <c:numCache>
                <c:formatCode>General</c:formatCode>
                <c:ptCount val="90"/>
                <c:pt idx="0">
                  <c:v>10.302466363166253</c:v>
                </c:pt>
                <c:pt idx="1">
                  <c:v>10.508661424130576</c:v>
                </c:pt>
                <c:pt idx="2">
                  <c:v>9.3716963955057278</c:v>
                </c:pt>
                <c:pt idx="3">
                  <c:v>8.5873991990290754</c:v>
                </c:pt>
                <c:pt idx="4">
                  <c:v>8.5747875462120167</c:v>
                </c:pt>
                <c:pt idx="5">
                  <c:v>8.326777408853685</c:v>
                </c:pt>
                <c:pt idx="6">
                  <c:v>0</c:v>
                </c:pt>
                <c:pt idx="7">
                  <c:v>0</c:v>
                </c:pt>
                <c:pt idx="8">
                  <c:v>0</c:v>
                </c:pt>
                <c:pt idx="9">
                  <c:v>0</c:v>
                </c:pt>
                <c:pt idx="10">
                  <c:v>0</c:v>
                </c:pt>
                <c:pt idx="11">
                  <c:v>0</c:v>
                </c:pt>
                <c:pt idx="12">
                  <c:v>10.302466363166253</c:v>
                </c:pt>
                <c:pt idx="13">
                  <c:v>10.508661424130576</c:v>
                </c:pt>
                <c:pt idx="14">
                  <c:v>9.3716963955057278</c:v>
                </c:pt>
                <c:pt idx="15">
                  <c:v>8.5873991990290754</c:v>
                </c:pt>
                <c:pt idx="16">
                  <c:v>8.5747875462120167</c:v>
                </c:pt>
                <c:pt idx="17">
                  <c:v>8.326777408853685</c:v>
                </c:pt>
                <c:pt idx="18">
                  <c:v>0</c:v>
                </c:pt>
                <c:pt idx="19">
                  <c:v>0</c:v>
                </c:pt>
                <c:pt idx="20">
                  <c:v>0</c:v>
                </c:pt>
                <c:pt idx="21">
                  <c:v>0</c:v>
                </c:pt>
                <c:pt idx="22">
                  <c:v>0</c:v>
                </c:pt>
                <c:pt idx="23">
                  <c:v>0</c:v>
                </c:pt>
                <c:pt idx="24">
                  <c:v>10.302466363166253</c:v>
                </c:pt>
                <c:pt idx="25">
                  <c:v>10.508661424130576</c:v>
                </c:pt>
                <c:pt idx="26">
                  <c:v>9.3716963955057278</c:v>
                </c:pt>
                <c:pt idx="27">
                  <c:v>8.5873991990290754</c:v>
                </c:pt>
                <c:pt idx="28">
                  <c:v>8.5747875462120167</c:v>
                </c:pt>
                <c:pt idx="29">
                  <c:v>8.326777408853685</c:v>
                </c:pt>
                <c:pt idx="30">
                  <c:v>0</c:v>
                </c:pt>
                <c:pt idx="31">
                  <c:v>0</c:v>
                </c:pt>
                <c:pt idx="32">
                  <c:v>0</c:v>
                </c:pt>
                <c:pt idx="33">
                  <c:v>0</c:v>
                </c:pt>
                <c:pt idx="34">
                  <c:v>0</c:v>
                </c:pt>
                <c:pt idx="35">
                  <c:v>0</c:v>
                </c:pt>
                <c:pt idx="36">
                  <c:v>10.302466363166253</c:v>
                </c:pt>
                <c:pt idx="37">
                  <c:v>10.508661424130576</c:v>
                </c:pt>
                <c:pt idx="38">
                  <c:v>9.3716963955057278</c:v>
                </c:pt>
                <c:pt idx="39">
                  <c:v>8.5873991990290754</c:v>
                </c:pt>
                <c:pt idx="40">
                  <c:v>8.5747875462120167</c:v>
                </c:pt>
                <c:pt idx="41">
                  <c:v>8.326777408853685</c:v>
                </c:pt>
                <c:pt idx="42">
                  <c:v>0</c:v>
                </c:pt>
                <c:pt idx="43">
                  <c:v>0</c:v>
                </c:pt>
                <c:pt idx="44">
                  <c:v>0</c:v>
                </c:pt>
                <c:pt idx="45">
                  <c:v>0</c:v>
                </c:pt>
                <c:pt idx="46">
                  <c:v>0</c:v>
                </c:pt>
                <c:pt idx="47">
                  <c:v>0</c:v>
                </c:pt>
                <c:pt idx="48">
                  <c:v>10.302466363166253</c:v>
                </c:pt>
                <c:pt idx="49">
                  <c:v>10.508661424130576</c:v>
                </c:pt>
                <c:pt idx="50">
                  <c:v>9.3716963955057278</c:v>
                </c:pt>
                <c:pt idx="51">
                  <c:v>8.5873991990290754</c:v>
                </c:pt>
                <c:pt idx="52">
                  <c:v>8.5747875462120167</c:v>
                </c:pt>
                <c:pt idx="53">
                  <c:v>8.326777408853685</c:v>
                </c:pt>
                <c:pt idx="54">
                  <c:v>0</c:v>
                </c:pt>
                <c:pt idx="55">
                  <c:v>0</c:v>
                </c:pt>
                <c:pt idx="56">
                  <c:v>0</c:v>
                </c:pt>
                <c:pt idx="57">
                  <c:v>0</c:v>
                </c:pt>
                <c:pt idx="58">
                  <c:v>0</c:v>
                </c:pt>
                <c:pt idx="59">
                  <c:v>0</c:v>
                </c:pt>
                <c:pt idx="60">
                  <c:v>10.302466363166253</c:v>
                </c:pt>
                <c:pt idx="61">
                  <c:v>10.508661424130576</c:v>
                </c:pt>
                <c:pt idx="62">
                  <c:v>9.3716963955057278</c:v>
                </c:pt>
                <c:pt idx="63">
                  <c:v>8.5873991990290754</c:v>
                </c:pt>
                <c:pt idx="64">
                  <c:v>8.5747875462120167</c:v>
                </c:pt>
                <c:pt idx="65">
                  <c:v>8.326777408853685</c:v>
                </c:pt>
                <c:pt idx="66">
                  <c:v>0</c:v>
                </c:pt>
                <c:pt idx="67">
                  <c:v>0</c:v>
                </c:pt>
                <c:pt idx="68">
                  <c:v>0</c:v>
                </c:pt>
                <c:pt idx="69">
                  <c:v>0</c:v>
                </c:pt>
                <c:pt idx="70">
                  <c:v>0</c:v>
                </c:pt>
                <c:pt idx="71">
                  <c:v>0</c:v>
                </c:pt>
                <c:pt idx="72">
                  <c:v>10.302466363166253</c:v>
                </c:pt>
                <c:pt idx="73">
                  <c:v>10.508661424130576</c:v>
                </c:pt>
                <c:pt idx="74">
                  <c:v>9.3716963955057278</c:v>
                </c:pt>
                <c:pt idx="75">
                  <c:v>8.5873991990290754</c:v>
                </c:pt>
                <c:pt idx="76">
                  <c:v>8.5747875462120167</c:v>
                </c:pt>
                <c:pt idx="77">
                  <c:v>8.326777408853685</c:v>
                </c:pt>
                <c:pt idx="78">
                  <c:v>0</c:v>
                </c:pt>
                <c:pt idx="79">
                  <c:v>0</c:v>
                </c:pt>
                <c:pt idx="80">
                  <c:v>0</c:v>
                </c:pt>
                <c:pt idx="81">
                  <c:v>0</c:v>
                </c:pt>
                <c:pt idx="82">
                  <c:v>0</c:v>
                </c:pt>
                <c:pt idx="83">
                  <c:v>0</c:v>
                </c:pt>
                <c:pt idx="84">
                  <c:v>10.302466363166253</c:v>
                </c:pt>
                <c:pt idx="85">
                  <c:v>10.508661424130576</c:v>
                </c:pt>
                <c:pt idx="86">
                  <c:v>9.3716963955057278</c:v>
                </c:pt>
                <c:pt idx="87">
                  <c:v>8.5873991990290754</c:v>
                </c:pt>
                <c:pt idx="88">
                  <c:v>8.5747875462120167</c:v>
                </c:pt>
                <c:pt idx="89">
                  <c:v>8.326777408853685</c:v>
                </c:pt>
              </c:numCache>
            </c:numRef>
          </c:val>
        </c:ser>
        <c:ser>
          <c:idx val="7"/>
          <c:order val="4"/>
          <c:tx>
            <c:strRef>
              <c:f>'Misc. Data &amp; Mechanisms'!$G$1069</c:f>
              <c:strCache>
                <c:ptCount val="1"/>
                <c:pt idx="0">
                  <c:v>D&amp;T Riders</c:v>
                </c:pt>
              </c:strCache>
            </c:strRef>
          </c:tx>
          <c:spPr>
            <a:solidFill>
              <a:schemeClr val="accent4">
                <a:lumMod val="75000"/>
              </a:schemeClr>
            </a:solidFill>
          </c:spPr>
          <c:invertIfNegative val="0"/>
          <c:cat>
            <c:numRef>
              <c:f>'Misc. Data &amp; Mechanisms'!$B$1070:$B$1159</c:f>
              <c:numCache>
                <c:formatCode>mmm-yy</c:formatCode>
                <c:ptCount val="9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43466</c:v>
                </c:pt>
                <c:pt idx="85">
                  <c:v>43497</c:v>
                </c:pt>
                <c:pt idx="86">
                  <c:v>43525</c:v>
                </c:pt>
                <c:pt idx="87">
                  <c:v>43556</c:v>
                </c:pt>
                <c:pt idx="88">
                  <c:v>43586</c:v>
                </c:pt>
                <c:pt idx="89">
                  <c:v>43617</c:v>
                </c:pt>
              </c:numCache>
            </c:numRef>
          </c:cat>
          <c:val>
            <c:numRef>
              <c:f>'Misc. Data &amp; Mechanisms'!$G$1070:$G$1159</c:f>
              <c:numCache>
                <c:formatCode>General</c:formatCode>
                <c:ptCount val="90"/>
                <c:pt idx="0">
                  <c:v>15.633512574909027</c:v>
                </c:pt>
                <c:pt idx="1">
                  <c:v>16.2933180673412</c:v>
                </c:pt>
                <c:pt idx="2">
                  <c:v>14.980645643015643</c:v>
                </c:pt>
                <c:pt idx="3">
                  <c:v>13.777703726461645</c:v>
                </c:pt>
                <c:pt idx="4">
                  <c:v>13.297768511495391</c:v>
                </c:pt>
                <c:pt idx="5">
                  <c:v>12.922747293722241</c:v>
                </c:pt>
                <c:pt idx="6">
                  <c:v>0</c:v>
                </c:pt>
                <c:pt idx="7">
                  <c:v>0</c:v>
                </c:pt>
                <c:pt idx="8">
                  <c:v>0</c:v>
                </c:pt>
                <c:pt idx="9">
                  <c:v>0</c:v>
                </c:pt>
                <c:pt idx="10">
                  <c:v>0</c:v>
                </c:pt>
                <c:pt idx="11">
                  <c:v>0</c:v>
                </c:pt>
                <c:pt idx="12">
                  <c:v>15.633512574909027</c:v>
                </c:pt>
                <c:pt idx="13">
                  <c:v>16.2933180673412</c:v>
                </c:pt>
                <c:pt idx="14">
                  <c:v>14.980645643015643</c:v>
                </c:pt>
                <c:pt idx="15">
                  <c:v>13.777703726461645</c:v>
                </c:pt>
                <c:pt idx="16">
                  <c:v>13.297768511495391</c:v>
                </c:pt>
                <c:pt idx="17">
                  <c:v>12.922747293722241</c:v>
                </c:pt>
                <c:pt idx="18">
                  <c:v>0</c:v>
                </c:pt>
                <c:pt idx="19">
                  <c:v>0</c:v>
                </c:pt>
                <c:pt idx="20">
                  <c:v>0</c:v>
                </c:pt>
                <c:pt idx="21">
                  <c:v>0</c:v>
                </c:pt>
                <c:pt idx="22">
                  <c:v>0</c:v>
                </c:pt>
                <c:pt idx="23">
                  <c:v>0</c:v>
                </c:pt>
                <c:pt idx="24">
                  <c:v>15.633512574909027</c:v>
                </c:pt>
                <c:pt idx="25">
                  <c:v>16.2933180673412</c:v>
                </c:pt>
                <c:pt idx="26">
                  <c:v>14.980645643015643</c:v>
                </c:pt>
                <c:pt idx="27">
                  <c:v>13.777703726461645</c:v>
                </c:pt>
                <c:pt idx="28">
                  <c:v>13.297768511495391</c:v>
                </c:pt>
                <c:pt idx="29">
                  <c:v>12.922747293722241</c:v>
                </c:pt>
                <c:pt idx="30">
                  <c:v>0</c:v>
                </c:pt>
                <c:pt idx="31">
                  <c:v>0</c:v>
                </c:pt>
                <c:pt idx="32">
                  <c:v>0</c:v>
                </c:pt>
                <c:pt idx="33">
                  <c:v>0</c:v>
                </c:pt>
                <c:pt idx="34">
                  <c:v>0</c:v>
                </c:pt>
                <c:pt idx="35">
                  <c:v>0</c:v>
                </c:pt>
                <c:pt idx="36">
                  <c:v>15.633512574909027</c:v>
                </c:pt>
                <c:pt idx="37">
                  <c:v>16.2933180673412</c:v>
                </c:pt>
                <c:pt idx="38">
                  <c:v>14.980645643015643</c:v>
                </c:pt>
                <c:pt idx="39">
                  <c:v>13.777703726461645</c:v>
                </c:pt>
                <c:pt idx="40">
                  <c:v>13.297768511495391</c:v>
                </c:pt>
                <c:pt idx="41">
                  <c:v>12.922747293722241</c:v>
                </c:pt>
                <c:pt idx="42">
                  <c:v>0</c:v>
                </c:pt>
                <c:pt idx="43">
                  <c:v>0</c:v>
                </c:pt>
                <c:pt idx="44">
                  <c:v>0</c:v>
                </c:pt>
                <c:pt idx="45">
                  <c:v>0</c:v>
                </c:pt>
                <c:pt idx="46">
                  <c:v>0</c:v>
                </c:pt>
                <c:pt idx="47">
                  <c:v>0</c:v>
                </c:pt>
                <c:pt idx="48">
                  <c:v>15.633512574909027</c:v>
                </c:pt>
                <c:pt idx="49">
                  <c:v>16.2933180673412</c:v>
                </c:pt>
                <c:pt idx="50">
                  <c:v>14.980645643015643</c:v>
                </c:pt>
                <c:pt idx="51">
                  <c:v>13.777703726461645</c:v>
                </c:pt>
                <c:pt idx="52">
                  <c:v>13.297768511495391</c:v>
                </c:pt>
                <c:pt idx="53">
                  <c:v>12.922747293722241</c:v>
                </c:pt>
                <c:pt idx="54">
                  <c:v>0</c:v>
                </c:pt>
                <c:pt idx="55">
                  <c:v>0</c:v>
                </c:pt>
                <c:pt idx="56">
                  <c:v>0</c:v>
                </c:pt>
                <c:pt idx="57">
                  <c:v>0</c:v>
                </c:pt>
                <c:pt idx="58">
                  <c:v>0</c:v>
                </c:pt>
                <c:pt idx="59">
                  <c:v>0</c:v>
                </c:pt>
                <c:pt idx="60">
                  <c:v>15.633512574909027</c:v>
                </c:pt>
                <c:pt idx="61">
                  <c:v>16.2933180673412</c:v>
                </c:pt>
                <c:pt idx="62">
                  <c:v>14.980645643015643</c:v>
                </c:pt>
                <c:pt idx="63">
                  <c:v>13.777703726461645</c:v>
                </c:pt>
                <c:pt idx="64">
                  <c:v>13.297768511495391</c:v>
                </c:pt>
                <c:pt idx="65">
                  <c:v>12.922747293722241</c:v>
                </c:pt>
                <c:pt idx="66">
                  <c:v>0</c:v>
                </c:pt>
                <c:pt idx="67">
                  <c:v>0</c:v>
                </c:pt>
                <c:pt idx="68">
                  <c:v>0</c:v>
                </c:pt>
                <c:pt idx="69">
                  <c:v>0</c:v>
                </c:pt>
                <c:pt idx="70">
                  <c:v>0</c:v>
                </c:pt>
                <c:pt idx="71">
                  <c:v>0</c:v>
                </c:pt>
                <c:pt idx="72">
                  <c:v>15.633512574909027</c:v>
                </c:pt>
                <c:pt idx="73">
                  <c:v>16.2933180673412</c:v>
                </c:pt>
                <c:pt idx="74">
                  <c:v>14.980645643015643</c:v>
                </c:pt>
                <c:pt idx="75">
                  <c:v>13.777703726461645</c:v>
                </c:pt>
                <c:pt idx="76">
                  <c:v>13.297768511495391</c:v>
                </c:pt>
                <c:pt idx="77">
                  <c:v>12.922747293722241</c:v>
                </c:pt>
                <c:pt idx="78">
                  <c:v>0</c:v>
                </c:pt>
                <c:pt idx="79">
                  <c:v>0</c:v>
                </c:pt>
                <c:pt idx="80">
                  <c:v>0</c:v>
                </c:pt>
                <c:pt idx="81">
                  <c:v>0</c:v>
                </c:pt>
                <c:pt idx="82">
                  <c:v>0</c:v>
                </c:pt>
                <c:pt idx="83">
                  <c:v>0</c:v>
                </c:pt>
                <c:pt idx="84">
                  <c:v>15.633512574909027</c:v>
                </c:pt>
                <c:pt idx="85">
                  <c:v>16.2933180673412</c:v>
                </c:pt>
                <c:pt idx="86">
                  <c:v>14.980645643015643</c:v>
                </c:pt>
                <c:pt idx="87">
                  <c:v>13.777703726461645</c:v>
                </c:pt>
                <c:pt idx="88">
                  <c:v>13.297768511495391</c:v>
                </c:pt>
                <c:pt idx="89">
                  <c:v>12.922747293722241</c:v>
                </c:pt>
              </c:numCache>
            </c:numRef>
          </c:val>
        </c:ser>
        <c:ser>
          <c:idx val="8"/>
          <c:order val="5"/>
          <c:tx>
            <c:strRef>
              <c:f>'Misc. Data &amp; Mechanisms'!$H$1069</c:f>
              <c:strCache>
                <c:ptCount val="1"/>
                <c:pt idx="0">
                  <c:v>Balancing Pool Rider</c:v>
                </c:pt>
              </c:strCache>
            </c:strRef>
          </c:tx>
          <c:spPr>
            <a:solidFill>
              <a:srgbClr val="FFCC00"/>
            </a:solidFill>
          </c:spPr>
          <c:invertIfNegative val="0"/>
          <c:cat>
            <c:numRef>
              <c:f>'Misc. Data &amp; Mechanisms'!$B$1070:$B$1159</c:f>
              <c:numCache>
                <c:formatCode>mmm-yy</c:formatCode>
                <c:ptCount val="9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43466</c:v>
                </c:pt>
                <c:pt idx="85">
                  <c:v>43497</c:v>
                </c:pt>
                <c:pt idx="86">
                  <c:v>43525</c:v>
                </c:pt>
                <c:pt idx="87">
                  <c:v>43556</c:v>
                </c:pt>
                <c:pt idx="88">
                  <c:v>43586</c:v>
                </c:pt>
                <c:pt idx="89">
                  <c:v>43617</c:v>
                </c:pt>
              </c:numCache>
            </c:numRef>
          </c:cat>
          <c:val>
            <c:numRef>
              <c:f>'Misc. Data &amp; Mechanisms'!$H$1070:$H$1159</c:f>
              <c:numCache>
                <c:formatCode>General</c:formatCode>
                <c:ptCount val="90"/>
                <c:pt idx="0">
                  <c:v>1.7934501508302387</c:v>
                </c:pt>
                <c:pt idx="1">
                  <c:v>1.8746132328059373</c:v>
                </c:pt>
                <c:pt idx="2">
                  <c:v>1.7169103243516355</c:v>
                </c:pt>
                <c:pt idx="3">
                  <c:v>1.5195494261160265</c:v>
                </c:pt>
                <c:pt idx="4">
                  <c:v>1.4641149486504261</c:v>
                </c:pt>
                <c:pt idx="5">
                  <c:v>1.4229781026478086</c:v>
                </c:pt>
                <c:pt idx="6">
                  <c:v>0</c:v>
                </c:pt>
                <c:pt idx="7">
                  <c:v>0</c:v>
                </c:pt>
                <c:pt idx="8">
                  <c:v>0</c:v>
                </c:pt>
                <c:pt idx="9">
                  <c:v>0</c:v>
                </c:pt>
                <c:pt idx="10">
                  <c:v>0</c:v>
                </c:pt>
                <c:pt idx="11">
                  <c:v>0</c:v>
                </c:pt>
                <c:pt idx="12">
                  <c:v>1.7934501508302387</c:v>
                </c:pt>
                <c:pt idx="13">
                  <c:v>1.8746132328059373</c:v>
                </c:pt>
                <c:pt idx="14">
                  <c:v>1.7169103243516355</c:v>
                </c:pt>
                <c:pt idx="15">
                  <c:v>1.5195494261160265</c:v>
                </c:pt>
                <c:pt idx="16">
                  <c:v>1.4641149486504261</c:v>
                </c:pt>
                <c:pt idx="17">
                  <c:v>1.4229781026478086</c:v>
                </c:pt>
                <c:pt idx="18">
                  <c:v>0</c:v>
                </c:pt>
                <c:pt idx="19">
                  <c:v>0</c:v>
                </c:pt>
                <c:pt idx="20">
                  <c:v>0</c:v>
                </c:pt>
                <c:pt idx="21">
                  <c:v>0</c:v>
                </c:pt>
                <c:pt idx="22">
                  <c:v>0</c:v>
                </c:pt>
                <c:pt idx="23">
                  <c:v>0</c:v>
                </c:pt>
                <c:pt idx="24">
                  <c:v>1.7934501508302387</c:v>
                </c:pt>
                <c:pt idx="25">
                  <c:v>1.8746132328059373</c:v>
                </c:pt>
                <c:pt idx="26">
                  <c:v>1.7169103243516355</c:v>
                </c:pt>
                <c:pt idx="27">
                  <c:v>1.5195494261160265</c:v>
                </c:pt>
                <c:pt idx="28">
                  <c:v>1.4641149486504261</c:v>
                </c:pt>
                <c:pt idx="29">
                  <c:v>1.4229781026478086</c:v>
                </c:pt>
                <c:pt idx="30">
                  <c:v>0</c:v>
                </c:pt>
                <c:pt idx="31">
                  <c:v>0</c:v>
                </c:pt>
                <c:pt idx="32">
                  <c:v>0</c:v>
                </c:pt>
                <c:pt idx="33">
                  <c:v>0</c:v>
                </c:pt>
                <c:pt idx="34">
                  <c:v>0</c:v>
                </c:pt>
                <c:pt idx="35">
                  <c:v>0</c:v>
                </c:pt>
                <c:pt idx="36">
                  <c:v>1.7934501508302387</c:v>
                </c:pt>
                <c:pt idx="37">
                  <c:v>1.8746132328059373</c:v>
                </c:pt>
                <c:pt idx="38">
                  <c:v>1.7169103243516355</c:v>
                </c:pt>
                <c:pt idx="39">
                  <c:v>1.5195494261160265</c:v>
                </c:pt>
                <c:pt idx="40">
                  <c:v>1.4641149486504261</c:v>
                </c:pt>
                <c:pt idx="41">
                  <c:v>1.4229781026478086</c:v>
                </c:pt>
                <c:pt idx="42">
                  <c:v>0</c:v>
                </c:pt>
                <c:pt idx="43">
                  <c:v>0</c:v>
                </c:pt>
                <c:pt idx="44">
                  <c:v>0</c:v>
                </c:pt>
                <c:pt idx="45">
                  <c:v>0</c:v>
                </c:pt>
                <c:pt idx="46">
                  <c:v>0</c:v>
                </c:pt>
                <c:pt idx="47">
                  <c:v>0</c:v>
                </c:pt>
                <c:pt idx="48">
                  <c:v>1.7934501508302387</c:v>
                </c:pt>
                <c:pt idx="49">
                  <c:v>1.8746132328059373</c:v>
                </c:pt>
                <c:pt idx="50">
                  <c:v>1.7169103243516355</c:v>
                </c:pt>
                <c:pt idx="51">
                  <c:v>1.5195494261160265</c:v>
                </c:pt>
                <c:pt idx="52">
                  <c:v>1.4641149486504261</c:v>
                </c:pt>
                <c:pt idx="53">
                  <c:v>1.4229781026478086</c:v>
                </c:pt>
                <c:pt idx="54">
                  <c:v>0</c:v>
                </c:pt>
                <c:pt idx="55">
                  <c:v>0</c:v>
                </c:pt>
                <c:pt idx="56">
                  <c:v>0</c:v>
                </c:pt>
                <c:pt idx="57">
                  <c:v>0</c:v>
                </c:pt>
                <c:pt idx="58">
                  <c:v>0</c:v>
                </c:pt>
                <c:pt idx="59">
                  <c:v>0</c:v>
                </c:pt>
                <c:pt idx="60">
                  <c:v>1.7934501508302387</c:v>
                </c:pt>
                <c:pt idx="61">
                  <c:v>1.8746132328059373</c:v>
                </c:pt>
                <c:pt idx="62">
                  <c:v>1.7169103243516355</c:v>
                </c:pt>
                <c:pt idx="63">
                  <c:v>1.5195494261160265</c:v>
                </c:pt>
                <c:pt idx="64">
                  <c:v>1.4641149486504261</c:v>
                </c:pt>
                <c:pt idx="65">
                  <c:v>1.4229781026478086</c:v>
                </c:pt>
                <c:pt idx="66">
                  <c:v>0</c:v>
                </c:pt>
                <c:pt idx="67">
                  <c:v>0</c:v>
                </c:pt>
                <c:pt idx="68">
                  <c:v>0</c:v>
                </c:pt>
                <c:pt idx="69">
                  <c:v>0</c:v>
                </c:pt>
                <c:pt idx="70">
                  <c:v>0</c:v>
                </c:pt>
                <c:pt idx="71">
                  <c:v>0</c:v>
                </c:pt>
                <c:pt idx="72">
                  <c:v>1.7934501508302387</c:v>
                </c:pt>
                <c:pt idx="73">
                  <c:v>1.8746132328059373</c:v>
                </c:pt>
                <c:pt idx="74">
                  <c:v>1.7169103243516355</c:v>
                </c:pt>
                <c:pt idx="75">
                  <c:v>1.5195494261160265</c:v>
                </c:pt>
                <c:pt idx="76">
                  <c:v>1.4641149486504261</c:v>
                </c:pt>
                <c:pt idx="77">
                  <c:v>1.4229781026478086</c:v>
                </c:pt>
                <c:pt idx="78">
                  <c:v>0</c:v>
                </c:pt>
                <c:pt idx="79">
                  <c:v>0</c:v>
                </c:pt>
                <c:pt idx="80">
                  <c:v>0</c:v>
                </c:pt>
                <c:pt idx="81">
                  <c:v>0</c:v>
                </c:pt>
                <c:pt idx="82">
                  <c:v>0</c:v>
                </c:pt>
                <c:pt idx="83">
                  <c:v>0</c:v>
                </c:pt>
                <c:pt idx="84">
                  <c:v>1.7934501508302387</c:v>
                </c:pt>
                <c:pt idx="85">
                  <c:v>1.8746132328059373</c:v>
                </c:pt>
                <c:pt idx="86">
                  <c:v>1.7169103243516355</c:v>
                </c:pt>
                <c:pt idx="87">
                  <c:v>1.5195494261160265</c:v>
                </c:pt>
                <c:pt idx="88">
                  <c:v>1.4641149486504261</c:v>
                </c:pt>
                <c:pt idx="89">
                  <c:v>1.4229781026478086</c:v>
                </c:pt>
              </c:numCache>
            </c:numRef>
          </c:val>
        </c:ser>
        <c:ser>
          <c:idx val="9"/>
          <c:order val="6"/>
          <c:tx>
            <c:strRef>
              <c:f>'Misc. Data &amp; Mechanisms'!$I$1069</c:f>
              <c:strCache>
                <c:ptCount val="1"/>
                <c:pt idx="0">
                  <c:v>Energy Tariff</c:v>
                </c:pt>
              </c:strCache>
            </c:strRef>
          </c:tx>
          <c:spPr>
            <a:solidFill>
              <a:schemeClr val="accent5">
                <a:lumMod val="75000"/>
              </a:schemeClr>
            </a:solidFill>
          </c:spPr>
          <c:invertIfNegative val="0"/>
          <c:cat>
            <c:numRef>
              <c:f>'Misc. Data &amp; Mechanisms'!$B$1070:$B$1159</c:f>
              <c:numCache>
                <c:formatCode>mmm-yy</c:formatCode>
                <c:ptCount val="9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43466</c:v>
                </c:pt>
                <c:pt idx="85">
                  <c:v>43497</c:v>
                </c:pt>
                <c:pt idx="86">
                  <c:v>43525</c:v>
                </c:pt>
                <c:pt idx="87">
                  <c:v>43556</c:v>
                </c:pt>
                <c:pt idx="88">
                  <c:v>43586</c:v>
                </c:pt>
                <c:pt idx="89">
                  <c:v>43617</c:v>
                </c:pt>
              </c:numCache>
            </c:numRef>
          </c:cat>
          <c:val>
            <c:numRef>
              <c:f>'Misc. Data &amp; Mechanisms'!$I$1070:$I$1159</c:f>
              <c:numCache>
                <c:formatCode>General</c:formatCode>
                <c:ptCount val="90"/>
                <c:pt idx="0">
                  <c:v>41.075988634710761</c:v>
                </c:pt>
                <c:pt idx="1">
                  <c:v>42.93489384668365</c:v>
                </c:pt>
                <c:pt idx="2">
                  <c:v>34.199419529186834</c:v>
                </c:pt>
                <c:pt idx="3">
                  <c:v>31.051217137911532</c:v>
                </c:pt>
                <c:pt idx="4">
                  <c:v>31.51126480928334</c:v>
                </c:pt>
                <c:pt idx="5">
                  <c:v>30.630694018262528</c:v>
                </c:pt>
                <c:pt idx="6">
                  <c:v>0</c:v>
                </c:pt>
                <c:pt idx="7">
                  <c:v>0</c:v>
                </c:pt>
                <c:pt idx="8">
                  <c:v>0</c:v>
                </c:pt>
                <c:pt idx="9">
                  <c:v>0</c:v>
                </c:pt>
                <c:pt idx="10">
                  <c:v>0</c:v>
                </c:pt>
                <c:pt idx="11">
                  <c:v>0</c:v>
                </c:pt>
                <c:pt idx="12">
                  <c:v>41.075988634710761</c:v>
                </c:pt>
                <c:pt idx="13">
                  <c:v>42.93489384668365</c:v>
                </c:pt>
                <c:pt idx="14">
                  <c:v>34.199419529186834</c:v>
                </c:pt>
                <c:pt idx="15">
                  <c:v>31.051217137911532</c:v>
                </c:pt>
                <c:pt idx="16">
                  <c:v>31.51126480928334</c:v>
                </c:pt>
                <c:pt idx="17">
                  <c:v>30.630694018262528</c:v>
                </c:pt>
                <c:pt idx="18">
                  <c:v>0</c:v>
                </c:pt>
                <c:pt idx="19">
                  <c:v>0</c:v>
                </c:pt>
                <c:pt idx="20">
                  <c:v>0</c:v>
                </c:pt>
                <c:pt idx="21">
                  <c:v>0</c:v>
                </c:pt>
                <c:pt idx="22">
                  <c:v>0</c:v>
                </c:pt>
                <c:pt idx="23">
                  <c:v>0</c:v>
                </c:pt>
                <c:pt idx="24">
                  <c:v>41.075988634710761</c:v>
                </c:pt>
                <c:pt idx="25">
                  <c:v>42.93489384668365</c:v>
                </c:pt>
                <c:pt idx="26">
                  <c:v>34.199419529186834</c:v>
                </c:pt>
                <c:pt idx="27">
                  <c:v>31.051217137911532</c:v>
                </c:pt>
                <c:pt idx="28">
                  <c:v>31.51126480928334</c:v>
                </c:pt>
                <c:pt idx="29">
                  <c:v>30.630694018262528</c:v>
                </c:pt>
                <c:pt idx="30">
                  <c:v>0</c:v>
                </c:pt>
                <c:pt idx="31">
                  <c:v>0</c:v>
                </c:pt>
                <c:pt idx="32">
                  <c:v>0</c:v>
                </c:pt>
                <c:pt idx="33">
                  <c:v>0</c:v>
                </c:pt>
                <c:pt idx="34">
                  <c:v>0</c:v>
                </c:pt>
                <c:pt idx="35">
                  <c:v>0</c:v>
                </c:pt>
                <c:pt idx="36">
                  <c:v>41.075988634710761</c:v>
                </c:pt>
                <c:pt idx="37">
                  <c:v>42.93489384668365</c:v>
                </c:pt>
                <c:pt idx="38">
                  <c:v>34.199419529186834</c:v>
                </c:pt>
                <c:pt idx="39">
                  <c:v>31.051217137911532</c:v>
                </c:pt>
                <c:pt idx="40">
                  <c:v>31.51126480928334</c:v>
                </c:pt>
                <c:pt idx="41">
                  <c:v>30.630694018262528</c:v>
                </c:pt>
                <c:pt idx="42">
                  <c:v>0</c:v>
                </c:pt>
                <c:pt idx="43">
                  <c:v>0</c:v>
                </c:pt>
                <c:pt idx="44">
                  <c:v>0</c:v>
                </c:pt>
                <c:pt idx="45">
                  <c:v>0</c:v>
                </c:pt>
                <c:pt idx="46">
                  <c:v>0</c:v>
                </c:pt>
                <c:pt idx="47">
                  <c:v>0</c:v>
                </c:pt>
                <c:pt idx="48">
                  <c:v>41.075988634710761</c:v>
                </c:pt>
                <c:pt idx="49">
                  <c:v>42.93489384668365</c:v>
                </c:pt>
                <c:pt idx="50">
                  <c:v>34.199419529186834</c:v>
                </c:pt>
                <c:pt idx="51">
                  <c:v>31.051217137911532</c:v>
                </c:pt>
                <c:pt idx="52">
                  <c:v>31.51126480928334</c:v>
                </c:pt>
                <c:pt idx="53">
                  <c:v>30.630694018262528</c:v>
                </c:pt>
                <c:pt idx="54">
                  <c:v>0</c:v>
                </c:pt>
                <c:pt idx="55">
                  <c:v>0</c:v>
                </c:pt>
                <c:pt idx="56">
                  <c:v>0</c:v>
                </c:pt>
                <c:pt idx="57">
                  <c:v>0</c:v>
                </c:pt>
                <c:pt idx="58">
                  <c:v>0</c:v>
                </c:pt>
                <c:pt idx="59">
                  <c:v>0</c:v>
                </c:pt>
                <c:pt idx="60">
                  <c:v>41.075988634710761</c:v>
                </c:pt>
                <c:pt idx="61">
                  <c:v>42.93489384668365</c:v>
                </c:pt>
                <c:pt idx="62">
                  <c:v>34.199419529186834</c:v>
                </c:pt>
                <c:pt idx="63">
                  <c:v>31.051217137911532</c:v>
                </c:pt>
                <c:pt idx="64">
                  <c:v>31.51126480928334</c:v>
                </c:pt>
                <c:pt idx="65">
                  <c:v>30.630694018262528</c:v>
                </c:pt>
                <c:pt idx="66">
                  <c:v>0</c:v>
                </c:pt>
                <c:pt idx="67">
                  <c:v>0</c:v>
                </c:pt>
                <c:pt idx="68">
                  <c:v>0</c:v>
                </c:pt>
                <c:pt idx="69">
                  <c:v>0</c:v>
                </c:pt>
                <c:pt idx="70">
                  <c:v>0</c:v>
                </c:pt>
                <c:pt idx="71">
                  <c:v>0</c:v>
                </c:pt>
                <c:pt idx="72">
                  <c:v>41.075988634710761</c:v>
                </c:pt>
                <c:pt idx="73">
                  <c:v>42.93489384668365</c:v>
                </c:pt>
                <c:pt idx="74">
                  <c:v>34.199419529186834</c:v>
                </c:pt>
                <c:pt idx="75">
                  <c:v>31.051217137911532</c:v>
                </c:pt>
                <c:pt idx="76">
                  <c:v>31.51126480928334</c:v>
                </c:pt>
                <c:pt idx="77">
                  <c:v>30.630694018262528</c:v>
                </c:pt>
                <c:pt idx="78">
                  <c:v>0</c:v>
                </c:pt>
                <c:pt idx="79">
                  <c:v>0</c:v>
                </c:pt>
                <c:pt idx="80">
                  <c:v>0</c:v>
                </c:pt>
                <c:pt idx="81">
                  <c:v>0</c:v>
                </c:pt>
                <c:pt idx="82">
                  <c:v>0</c:v>
                </c:pt>
                <c:pt idx="83">
                  <c:v>0</c:v>
                </c:pt>
                <c:pt idx="84">
                  <c:v>41.075988634710761</c:v>
                </c:pt>
                <c:pt idx="85">
                  <c:v>42.93489384668365</c:v>
                </c:pt>
                <c:pt idx="86">
                  <c:v>34.199419529186834</c:v>
                </c:pt>
                <c:pt idx="87">
                  <c:v>31.051217137911532</c:v>
                </c:pt>
                <c:pt idx="88">
                  <c:v>31.51126480928334</c:v>
                </c:pt>
                <c:pt idx="89">
                  <c:v>30.630694018262528</c:v>
                </c:pt>
              </c:numCache>
            </c:numRef>
          </c:val>
        </c:ser>
        <c:ser>
          <c:idx val="0"/>
          <c:order val="7"/>
          <c:tx>
            <c:strRef>
              <c:f>'Misc. Data &amp; Mechanisms'!$J$1069</c:f>
              <c:strCache>
                <c:ptCount val="1"/>
                <c:pt idx="0">
                  <c:v>Administration </c:v>
                </c:pt>
              </c:strCache>
            </c:strRef>
          </c:tx>
          <c:spPr>
            <a:solidFill>
              <a:schemeClr val="accent6">
                <a:lumMod val="75000"/>
              </a:schemeClr>
            </a:solidFill>
          </c:spPr>
          <c:invertIfNegative val="0"/>
          <c:cat>
            <c:numRef>
              <c:f>'Misc. Data &amp; Mechanisms'!$B$1070:$B$1159</c:f>
              <c:numCache>
                <c:formatCode>mmm-yy</c:formatCode>
                <c:ptCount val="9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43466</c:v>
                </c:pt>
                <c:pt idx="85">
                  <c:v>43497</c:v>
                </c:pt>
                <c:pt idx="86">
                  <c:v>43525</c:v>
                </c:pt>
                <c:pt idx="87">
                  <c:v>43556</c:v>
                </c:pt>
                <c:pt idx="88">
                  <c:v>43586</c:v>
                </c:pt>
                <c:pt idx="89">
                  <c:v>43617</c:v>
                </c:pt>
              </c:numCache>
            </c:numRef>
          </c:cat>
          <c:val>
            <c:numRef>
              <c:f>'Misc. Data &amp; Mechanisms'!$J$1070:$J$1159</c:f>
              <c:numCache>
                <c:formatCode>General</c:formatCode>
                <c:ptCount val="90"/>
                <c:pt idx="0">
                  <c:v>6.3983999999999996</c:v>
                </c:pt>
                <c:pt idx="1">
                  <c:v>5.7792000000000003</c:v>
                </c:pt>
                <c:pt idx="2">
                  <c:v>6.3983999999999996</c:v>
                </c:pt>
                <c:pt idx="3">
                  <c:v>6.1920000000000002</c:v>
                </c:pt>
                <c:pt idx="4">
                  <c:v>6.3983999999999996</c:v>
                </c:pt>
                <c:pt idx="5">
                  <c:v>6.1920000000000002</c:v>
                </c:pt>
                <c:pt idx="6">
                  <c:v>0</c:v>
                </c:pt>
                <c:pt idx="7">
                  <c:v>0</c:v>
                </c:pt>
                <c:pt idx="8">
                  <c:v>0</c:v>
                </c:pt>
                <c:pt idx="9">
                  <c:v>0</c:v>
                </c:pt>
                <c:pt idx="10">
                  <c:v>0</c:v>
                </c:pt>
                <c:pt idx="11">
                  <c:v>0</c:v>
                </c:pt>
                <c:pt idx="12">
                  <c:v>6.3983999999999996</c:v>
                </c:pt>
                <c:pt idx="13">
                  <c:v>5.7792000000000003</c:v>
                </c:pt>
                <c:pt idx="14">
                  <c:v>6.3983999999999996</c:v>
                </c:pt>
                <c:pt idx="15">
                  <c:v>6.1920000000000002</c:v>
                </c:pt>
                <c:pt idx="16">
                  <c:v>6.3983999999999996</c:v>
                </c:pt>
                <c:pt idx="17">
                  <c:v>6.1920000000000002</c:v>
                </c:pt>
                <c:pt idx="18">
                  <c:v>0</c:v>
                </c:pt>
                <c:pt idx="19">
                  <c:v>0</c:v>
                </c:pt>
                <c:pt idx="20">
                  <c:v>0</c:v>
                </c:pt>
                <c:pt idx="21">
                  <c:v>0</c:v>
                </c:pt>
                <c:pt idx="22">
                  <c:v>0</c:v>
                </c:pt>
                <c:pt idx="23">
                  <c:v>0</c:v>
                </c:pt>
                <c:pt idx="24">
                  <c:v>6.3983999999999996</c:v>
                </c:pt>
                <c:pt idx="25">
                  <c:v>5.7792000000000003</c:v>
                </c:pt>
                <c:pt idx="26">
                  <c:v>6.3983999999999996</c:v>
                </c:pt>
                <c:pt idx="27">
                  <c:v>6.1920000000000002</c:v>
                </c:pt>
                <c:pt idx="28">
                  <c:v>6.3983999999999996</c:v>
                </c:pt>
                <c:pt idx="29">
                  <c:v>6.1920000000000002</c:v>
                </c:pt>
                <c:pt idx="30">
                  <c:v>0</c:v>
                </c:pt>
                <c:pt idx="31">
                  <c:v>0</c:v>
                </c:pt>
                <c:pt idx="32">
                  <c:v>0</c:v>
                </c:pt>
                <c:pt idx="33">
                  <c:v>0</c:v>
                </c:pt>
                <c:pt idx="34">
                  <c:v>0</c:v>
                </c:pt>
                <c:pt idx="35">
                  <c:v>0</c:v>
                </c:pt>
                <c:pt idx="36">
                  <c:v>6.3983999999999996</c:v>
                </c:pt>
                <c:pt idx="37">
                  <c:v>5.7792000000000003</c:v>
                </c:pt>
                <c:pt idx="38">
                  <c:v>6.3983999999999996</c:v>
                </c:pt>
                <c:pt idx="39">
                  <c:v>6.1920000000000002</c:v>
                </c:pt>
                <c:pt idx="40">
                  <c:v>6.3983999999999996</c:v>
                </c:pt>
                <c:pt idx="41">
                  <c:v>6.1920000000000002</c:v>
                </c:pt>
                <c:pt idx="42">
                  <c:v>0</c:v>
                </c:pt>
                <c:pt idx="43">
                  <c:v>0</c:v>
                </c:pt>
                <c:pt idx="44">
                  <c:v>0</c:v>
                </c:pt>
                <c:pt idx="45">
                  <c:v>0</c:v>
                </c:pt>
                <c:pt idx="46">
                  <c:v>0</c:v>
                </c:pt>
                <c:pt idx="47">
                  <c:v>0</c:v>
                </c:pt>
                <c:pt idx="48">
                  <c:v>6.3983999999999996</c:v>
                </c:pt>
                <c:pt idx="49">
                  <c:v>5.7792000000000003</c:v>
                </c:pt>
                <c:pt idx="50">
                  <c:v>6.3983999999999996</c:v>
                </c:pt>
                <c:pt idx="51">
                  <c:v>6.1920000000000002</c:v>
                </c:pt>
                <c:pt idx="52">
                  <c:v>6.3983999999999996</c:v>
                </c:pt>
                <c:pt idx="53">
                  <c:v>6.1920000000000002</c:v>
                </c:pt>
                <c:pt idx="54">
                  <c:v>0</c:v>
                </c:pt>
                <c:pt idx="55">
                  <c:v>0</c:v>
                </c:pt>
                <c:pt idx="56">
                  <c:v>0</c:v>
                </c:pt>
                <c:pt idx="57">
                  <c:v>0</c:v>
                </c:pt>
                <c:pt idx="58">
                  <c:v>0</c:v>
                </c:pt>
                <c:pt idx="59">
                  <c:v>0</c:v>
                </c:pt>
                <c:pt idx="60">
                  <c:v>6.3983999999999996</c:v>
                </c:pt>
                <c:pt idx="61">
                  <c:v>5.7792000000000003</c:v>
                </c:pt>
                <c:pt idx="62">
                  <c:v>6.3983999999999996</c:v>
                </c:pt>
                <c:pt idx="63">
                  <c:v>6.1920000000000002</c:v>
                </c:pt>
                <c:pt idx="64">
                  <c:v>6.3983999999999996</c:v>
                </c:pt>
                <c:pt idx="65">
                  <c:v>6.1920000000000002</c:v>
                </c:pt>
                <c:pt idx="66">
                  <c:v>0</c:v>
                </c:pt>
                <c:pt idx="67">
                  <c:v>0</c:v>
                </c:pt>
                <c:pt idx="68">
                  <c:v>0</c:v>
                </c:pt>
                <c:pt idx="69">
                  <c:v>0</c:v>
                </c:pt>
                <c:pt idx="70">
                  <c:v>0</c:v>
                </c:pt>
                <c:pt idx="71">
                  <c:v>0</c:v>
                </c:pt>
                <c:pt idx="72">
                  <c:v>6.3983999999999996</c:v>
                </c:pt>
                <c:pt idx="73">
                  <c:v>5.7792000000000003</c:v>
                </c:pt>
                <c:pt idx="74">
                  <c:v>6.3983999999999996</c:v>
                </c:pt>
                <c:pt idx="75">
                  <c:v>6.1920000000000002</c:v>
                </c:pt>
                <c:pt idx="76">
                  <c:v>6.3983999999999996</c:v>
                </c:pt>
                <c:pt idx="77">
                  <c:v>6.1920000000000002</c:v>
                </c:pt>
                <c:pt idx="78">
                  <c:v>0</c:v>
                </c:pt>
                <c:pt idx="79">
                  <c:v>0</c:v>
                </c:pt>
                <c:pt idx="80">
                  <c:v>0</c:v>
                </c:pt>
                <c:pt idx="81">
                  <c:v>0</c:v>
                </c:pt>
                <c:pt idx="82">
                  <c:v>0</c:v>
                </c:pt>
                <c:pt idx="83">
                  <c:v>0</c:v>
                </c:pt>
                <c:pt idx="84">
                  <c:v>6.3983999999999996</c:v>
                </c:pt>
                <c:pt idx="85">
                  <c:v>5.7792000000000003</c:v>
                </c:pt>
                <c:pt idx="86">
                  <c:v>6.3983999999999996</c:v>
                </c:pt>
                <c:pt idx="87">
                  <c:v>6.1920000000000002</c:v>
                </c:pt>
                <c:pt idx="88">
                  <c:v>6.3983999999999996</c:v>
                </c:pt>
                <c:pt idx="89">
                  <c:v>6.1920000000000002</c:v>
                </c:pt>
              </c:numCache>
            </c:numRef>
          </c:val>
        </c:ser>
        <c:ser>
          <c:idx val="1"/>
          <c:order val="8"/>
          <c:tx>
            <c:strRef>
              <c:f>'Misc. Data &amp; Mechanisms'!$K$1069</c:f>
              <c:strCache>
                <c:ptCount val="1"/>
                <c:pt idx="0">
                  <c:v>GST</c:v>
                </c:pt>
              </c:strCache>
            </c:strRef>
          </c:tx>
          <c:spPr>
            <a:solidFill>
              <a:srgbClr val="996633"/>
            </a:solidFill>
          </c:spPr>
          <c:invertIfNegative val="0"/>
          <c:cat>
            <c:numRef>
              <c:f>'Misc. Data &amp; Mechanisms'!$B$1070:$B$1159</c:f>
              <c:numCache>
                <c:formatCode>mmm-yy</c:formatCode>
                <c:ptCount val="9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43466</c:v>
                </c:pt>
                <c:pt idx="85">
                  <c:v>43497</c:v>
                </c:pt>
                <c:pt idx="86">
                  <c:v>43525</c:v>
                </c:pt>
                <c:pt idx="87">
                  <c:v>43556</c:v>
                </c:pt>
                <c:pt idx="88">
                  <c:v>43586</c:v>
                </c:pt>
                <c:pt idx="89">
                  <c:v>43617</c:v>
                </c:pt>
              </c:numCache>
            </c:numRef>
          </c:cat>
          <c:val>
            <c:numRef>
              <c:f>'Misc. Data &amp; Mechanisms'!$K$1070:$K$1159</c:f>
              <c:numCache>
                <c:formatCode>General</c:formatCode>
                <c:ptCount val="90"/>
                <c:pt idx="0">
                  <c:v>5.4716168389352049</c:v>
                </c:pt>
                <c:pt idx="1">
                  <c:v>5.5437636491230808</c:v>
                </c:pt>
                <c:pt idx="2">
                  <c:v>5.0061899662675131</c:v>
                </c:pt>
                <c:pt idx="3">
                  <c:v>4.6036860711256553</c:v>
                </c:pt>
                <c:pt idx="4">
                  <c:v>4.607699677135991</c:v>
                </c:pt>
                <c:pt idx="5">
                  <c:v>4.4733634468844867</c:v>
                </c:pt>
                <c:pt idx="6">
                  <c:v>0</c:v>
                </c:pt>
                <c:pt idx="7">
                  <c:v>0</c:v>
                </c:pt>
                <c:pt idx="8">
                  <c:v>0</c:v>
                </c:pt>
                <c:pt idx="9">
                  <c:v>0</c:v>
                </c:pt>
                <c:pt idx="10">
                  <c:v>0</c:v>
                </c:pt>
                <c:pt idx="11">
                  <c:v>0</c:v>
                </c:pt>
                <c:pt idx="12">
                  <c:v>5.4716168389352049</c:v>
                </c:pt>
                <c:pt idx="13">
                  <c:v>5.5437636491230808</c:v>
                </c:pt>
                <c:pt idx="14">
                  <c:v>5.0061899662675131</c:v>
                </c:pt>
                <c:pt idx="15">
                  <c:v>4.6036860711256553</c:v>
                </c:pt>
                <c:pt idx="16">
                  <c:v>4.607699677135991</c:v>
                </c:pt>
                <c:pt idx="17">
                  <c:v>4.4733634468844867</c:v>
                </c:pt>
                <c:pt idx="18">
                  <c:v>0</c:v>
                </c:pt>
                <c:pt idx="19">
                  <c:v>0</c:v>
                </c:pt>
                <c:pt idx="20">
                  <c:v>0</c:v>
                </c:pt>
                <c:pt idx="21">
                  <c:v>0</c:v>
                </c:pt>
                <c:pt idx="22">
                  <c:v>0</c:v>
                </c:pt>
                <c:pt idx="23">
                  <c:v>0</c:v>
                </c:pt>
                <c:pt idx="24">
                  <c:v>5.4716168389352049</c:v>
                </c:pt>
                <c:pt idx="25">
                  <c:v>5.5437636491230808</c:v>
                </c:pt>
                <c:pt idx="26">
                  <c:v>5.0061899662675131</c:v>
                </c:pt>
                <c:pt idx="27">
                  <c:v>4.6036860711256553</c:v>
                </c:pt>
                <c:pt idx="28">
                  <c:v>4.607699677135991</c:v>
                </c:pt>
                <c:pt idx="29">
                  <c:v>4.4733634468844867</c:v>
                </c:pt>
                <c:pt idx="30">
                  <c:v>0</c:v>
                </c:pt>
                <c:pt idx="31">
                  <c:v>0</c:v>
                </c:pt>
                <c:pt idx="32">
                  <c:v>0</c:v>
                </c:pt>
                <c:pt idx="33">
                  <c:v>0</c:v>
                </c:pt>
                <c:pt idx="34">
                  <c:v>0</c:v>
                </c:pt>
                <c:pt idx="35">
                  <c:v>0</c:v>
                </c:pt>
                <c:pt idx="36">
                  <c:v>5.4716168389352049</c:v>
                </c:pt>
                <c:pt idx="37">
                  <c:v>5.5437636491230808</c:v>
                </c:pt>
                <c:pt idx="38">
                  <c:v>5.0061899662675131</c:v>
                </c:pt>
                <c:pt idx="39">
                  <c:v>4.6036860711256553</c:v>
                </c:pt>
                <c:pt idx="40">
                  <c:v>4.607699677135991</c:v>
                </c:pt>
                <c:pt idx="41">
                  <c:v>4.4733634468844867</c:v>
                </c:pt>
                <c:pt idx="42">
                  <c:v>0</c:v>
                </c:pt>
                <c:pt idx="43">
                  <c:v>0</c:v>
                </c:pt>
                <c:pt idx="44">
                  <c:v>0</c:v>
                </c:pt>
                <c:pt idx="45">
                  <c:v>0</c:v>
                </c:pt>
                <c:pt idx="46">
                  <c:v>0</c:v>
                </c:pt>
                <c:pt idx="47">
                  <c:v>0</c:v>
                </c:pt>
                <c:pt idx="48">
                  <c:v>5.4716168389352049</c:v>
                </c:pt>
                <c:pt idx="49">
                  <c:v>5.5437636491230808</c:v>
                </c:pt>
                <c:pt idx="50">
                  <c:v>5.0061899662675131</c:v>
                </c:pt>
                <c:pt idx="51">
                  <c:v>4.6036860711256553</c:v>
                </c:pt>
                <c:pt idx="52">
                  <c:v>4.607699677135991</c:v>
                </c:pt>
                <c:pt idx="53">
                  <c:v>4.4733634468844867</c:v>
                </c:pt>
                <c:pt idx="54">
                  <c:v>0</c:v>
                </c:pt>
                <c:pt idx="55">
                  <c:v>0</c:v>
                </c:pt>
                <c:pt idx="56">
                  <c:v>0</c:v>
                </c:pt>
                <c:pt idx="57">
                  <c:v>0</c:v>
                </c:pt>
                <c:pt idx="58">
                  <c:v>0</c:v>
                </c:pt>
                <c:pt idx="59">
                  <c:v>0</c:v>
                </c:pt>
                <c:pt idx="60">
                  <c:v>5.4716168389352049</c:v>
                </c:pt>
                <c:pt idx="61">
                  <c:v>5.5437636491230808</c:v>
                </c:pt>
                <c:pt idx="62">
                  <c:v>5.0061899662675131</c:v>
                </c:pt>
                <c:pt idx="63">
                  <c:v>4.6036860711256553</c:v>
                </c:pt>
                <c:pt idx="64">
                  <c:v>4.607699677135991</c:v>
                </c:pt>
                <c:pt idx="65">
                  <c:v>4.4733634468844867</c:v>
                </c:pt>
                <c:pt idx="66">
                  <c:v>0</c:v>
                </c:pt>
                <c:pt idx="67">
                  <c:v>0</c:v>
                </c:pt>
                <c:pt idx="68">
                  <c:v>0</c:v>
                </c:pt>
                <c:pt idx="69">
                  <c:v>0</c:v>
                </c:pt>
                <c:pt idx="70">
                  <c:v>0</c:v>
                </c:pt>
                <c:pt idx="71">
                  <c:v>0</c:v>
                </c:pt>
                <c:pt idx="72">
                  <c:v>5.4716168389352049</c:v>
                </c:pt>
                <c:pt idx="73">
                  <c:v>5.5437636491230808</c:v>
                </c:pt>
                <c:pt idx="74">
                  <c:v>5.0061899662675131</c:v>
                </c:pt>
                <c:pt idx="75">
                  <c:v>4.6036860711256553</c:v>
                </c:pt>
                <c:pt idx="76">
                  <c:v>4.607699677135991</c:v>
                </c:pt>
                <c:pt idx="77">
                  <c:v>4.4733634468844867</c:v>
                </c:pt>
                <c:pt idx="78">
                  <c:v>0</c:v>
                </c:pt>
                <c:pt idx="79">
                  <c:v>0</c:v>
                </c:pt>
                <c:pt idx="80">
                  <c:v>0</c:v>
                </c:pt>
                <c:pt idx="81">
                  <c:v>0</c:v>
                </c:pt>
                <c:pt idx="82">
                  <c:v>0</c:v>
                </c:pt>
                <c:pt idx="83">
                  <c:v>0</c:v>
                </c:pt>
                <c:pt idx="84">
                  <c:v>5.4716168389352049</c:v>
                </c:pt>
                <c:pt idx="85">
                  <c:v>5.5437636491230808</c:v>
                </c:pt>
                <c:pt idx="86">
                  <c:v>5.0061899662675131</c:v>
                </c:pt>
                <c:pt idx="87">
                  <c:v>4.6036860711256553</c:v>
                </c:pt>
                <c:pt idx="88">
                  <c:v>4.607699677135991</c:v>
                </c:pt>
                <c:pt idx="89">
                  <c:v>4.4733634468844867</c:v>
                </c:pt>
              </c:numCache>
            </c:numRef>
          </c:val>
        </c:ser>
        <c:dLbls>
          <c:showLegendKey val="0"/>
          <c:showVal val="0"/>
          <c:showCatName val="0"/>
          <c:showSerName val="0"/>
          <c:showPercent val="0"/>
          <c:showBubbleSize val="0"/>
        </c:dLbls>
        <c:gapWidth val="150"/>
        <c:overlap val="100"/>
        <c:axId val="243140864"/>
        <c:axId val="243146752"/>
      </c:barChart>
      <c:dateAx>
        <c:axId val="243140864"/>
        <c:scaling>
          <c:orientation val="minMax"/>
        </c:scaling>
        <c:delete val="0"/>
        <c:axPos val="b"/>
        <c:numFmt formatCode="mmm-yy" sourceLinked="1"/>
        <c:majorTickMark val="out"/>
        <c:minorTickMark val="none"/>
        <c:tickLblPos val="low"/>
        <c:crossAx val="243146752"/>
        <c:crosses val="autoZero"/>
        <c:auto val="1"/>
        <c:lblOffset val="100"/>
        <c:baseTimeUnit val="months"/>
      </c:dateAx>
      <c:valAx>
        <c:axId val="243146752"/>
        <c:scaling>
          <c:orientation val="minMax"/>
        </c:scaling>
        <c:delete val="0"/>
        <c:axPos val="l"/>
        <c:majorGridlines>
          <c:spPr>
            <a:ln>
              <a:solidFill>
                <a:schemeClr val="bg1">
                  <a:lumMod val="85000"/>
                </a:schemeClr>
              </a:solidFill>
              <a:prstDash val="dash"/>
            </a:ln>
          </c:spPr>
        </c:majorGridlines>
        <c:numFmt formatCode="&quot;$&quot;#,##0" sourceLinked="0"/>
        <c:majorTickMark val="out"/>
        <c:minorTickMark val="none"/>
        <c:tickLblPos val="nextTo"/>
        <c:crossAx val="243140864"/>
        <c:crosses val="autoZero"/>
        <c:crossBetween val="between"/>
      </c:valAx>
    </c:plotArea>
    <c:legend>
      <c:legendPos val="r"/>
      <c:layout>
        <c:manualLayout>
          <c:xMode val="edge"/>
          <c:yMode val="edge"/>
          <c:x val="0.75328688625963636"/>
          <c:y val="0.39963862834830288"/>
          <c:w val="0.2386863347362187"/>
          <c:h val="0.31660340155678524"/>
        </c:manualLayout>
      </c:layout>
      <c:overlay val="0"/>
      <c:txPr>
        <a:bodyPr/>
        <a:lstStyle/>
        <a:p>
          <a:pPr>
            <a:defRPr sz="1100"/>
          </a:pPr>
          <a:endParaRPr lang="en-US"/>
        </a:p>
      </c:txPr>
    </c:legend>
    <c:plotVisOnly val="1"/>
    <c:dispBlanksAs val="gap"/>
    <c:showDLblsOverMax val="0"/>
  </c:chart>
  <c:spPr>
    <a:ln>
      <a:noFill/>
    </a:ln>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'NG Analysis'!$A$18:$F$18</c:f>
          <c:strCache>
            <c:ptCount val="1"/>
            <c:pt idx="0">
              <c:v>Cost Comparison 2019 by Service Zone</c:v>
            </c:pt>
          </c:strCache>
        </c:strRef>
      </c:tx>
      <c:overlay val="0"/>
    </c:title>
    <c:autoTitleDeleted val="0"/>
    <c:plotArea>
      <c:layout/>
      <c:barChart>
        <c:barDir val="col"/>
        <c:grouping val="stacked"/>
        <c:varyColors val="0"/>
        <c:ser>
          <c:idx val="0"/>
          <c:order val="0"/>
          <c:tx>
            <c:strRef>
              <c:f>'NG Analysis'!$A$20</c:f>
              <c:strCache>
                <c:ptCount val="1"/>
                <c:pt idx="0">
                  <c:v>Distribution - Fixed</c:v>
                </c:pt>
              </c:strCache>
            </c:strRef>
          </c:tx>
          <c:spPr>
            <a:solidFill>
              <a:schemeClr val="accent1">
                <a:lumMod val="75000"/>
              </a:schemeClr>
            </a:solidFill>
          </c:spPr>
          <c:invertIfNegative val="0"/>
          <c:cat>
            <c:strRef>
              <c:f>'NG Analysis'!$C$19:$E$19</c:f>
              <c:strCache>
                <c:ptCount val="3"/>
                <c:pt idx="0">
                  <c:v>ATCO-N</c:v>
                </c:pt>
                <c:pt idx="1">
                  <c:v>ATCO-S</c:v>
                </c:pt>
                <c:pt idx="2">
                  <c:v>AltaGas</c:v>
                </c:pt>
              </c:strCache>
            </c:strRef>
          </c:cat>
          <c:val>
            <c:numRef>
              <c:f>'NG Analysis'!$C$20:$E$20</c:f>
              <c:numCache>
                <c:formatCode>0.00_);[Red]\(0.00\)</c:formatCode>
                <c:ptCount val="3"/>
                <c:pt idx="0">
                  <c:v>168.33</c:v>
                </c:pt>
                <c:pt idx="1">
                  <c:v>151.49700000000001</c:v>
                </c:pt>
                <c:pt idx="2">
                  <c:v>245.07400000000001</c:v>
                </c:pt>
              </c:numCache>
            </c:numRef>
          </c:val>
        </c:ser>
        <c:ser>
          <c:idx val="1"/>
          <c:order val="1"/>
          <c:tx>
            <c:strRef>
              <c:f>'NG Analysis'!$A$21</c:f>
              <c:strCache>
                <c:ptCount val="1"/>
                <c:pt idx="0">
                  <c:v>Distribution - Variable</c:v>
                </c:pt>
              </c:strCache>
            </c:strRef>
          </c:tx>
          <c:spPr>
            <a:solidFill>
              <a:schemeClr val="accent2">
                <a:lumMod val="75000"/>
              </a:schemeClr>
            </a:solidFill>
          </c:spPr>
          <c:invertIfNegative val="0"/>
          <c:cat>
            <c:strRef>
              <c:f>'NG Analysis'!$C$19:$E$19</c:f>
              <c:strCache>
                <c:ptCount val="3"/>
                <c:pt idx="0">
                  <c:v>ATCO-N</c:v>
                </c:pt>
                <c:pt idx="1">
                  <c:v>ATCO-S</c:v>
                </c:pt>
                <c:pt idx="2">
                  <c:v>AltaGas</c:v>
                </c:pt>
              </c:strCache>
            </c:strRef>
          </c:cat>
          <c:val>
            <c:numRef>
              <c:f>'NG Analysis'!$C$21:$E$21</c:f>
              <c:numCache>
                <c:formatCode>0.00_);[Red]\(0.00\)</c:formatCode>
                <c:ptCount val="3"/>
                <c:pt idx="0">
                  <c:v>66.301949138982977</c:v>
                </c:pt>
                <c:pt idx="1">
                  <c:v>65.978912546810008</c:v>
                </c:pt>
                <c:pt idx="2">
                  <c:v>180.99863736485591</c:v>
                </c:pt>
              </c:numCache>
            </c:numRef>
          </c:val>
        </c:ser>
        <c:ser>
          <c:idx val="2"/>
          <c:order val="2"/>
          <c:tx>
            <c:strRef>
              <c:f>'NG Analysis'!$A$22</c:f>
              <c:strCache>
                <c:ptCount val="1"/>
                <c:pt idx="0">
                  <c:v>Local Access Fees</c:v>
                </c:pt>
              </c:strCache>
            </c:strRef>
          </c:tx>
          <c:spPr>
            <a:solidFill>
              <a:schemeClr val="accent3">
                <a:lumMod val="75000"/>
              </a:schemeClr>
            </a:solidFill>
          </c:spPr>
          <c:invertIfNegative val="0"/>
          <c:cat>
            <c:strRef>
              <c:f>'NG Analysis'!$C$19:$E$19</c:f>
              <c:strCache>
                <c:ptCount val="3"/>
                <c:pt idx="0">
                  <c:v>ATCO-N</c:v>
                </c:pt>
                <c:pt idx="1">
                  <c:v>ATCO-S</c:v>
                </c:pt>
                <c:pt idx="2">
                  <c:v>AltaGas</c:v>
                </c:pt>
              </c:strCache>
            </c:strRef>
          </c:cat>
          <c:val>
            <c:numRef>
              <c:f>'NG Analysis'!$C$22:$E$22</c:f>
              <c:numCache>
                <c:formatCode>0.00_);[Red]\(0.00\)</c:formatCode>
                <c:ptCount val="3"/>
                <c:pt idx="0">
                  <c:v>121.93913099749973</c:v>
                </c:pt>
                <c:pt idx="1">
                  <c:v>50.774457608734913</c:v>
                </c:pt>
                <c:pt idx="2">
                  <c:v>59.355001743990989</c:v>
                </c:pt>
              </c:numCache>
            </c:numRef>
          </c:val>
        </c:ser>
        <c:ser>
          <c:idx val="8"/>
          <c:order val="3"/>
          <c:tx>
            <c:strRef>
              <c:f>'NG Analysis'!$A$23</c:f>
              <c:strCache>
                <c:ptCount val="1"/>
                <c:pt idx="0">
                  <c:v>Rate Riders</c:v>
                </c:pt>
              </c:strCache>
            </c:strRef>
          </c:tx>
          <c:spPr>
            <a:solidFill>
              <a:schemeClr val="accent4">
                <a:lumMod val="75000"/>
              </a:schemeClr>
            </a:solidFill>
          </c:spPr>
          <c:invertIfNegative val="0"/>
          <c:cat>
            <c:strRef>
              <c:f>'NG Analysis'!$C$19:$E$19</c:f>
              <c:strCache>
                <c:ptCount val="3"/>
                <c:pt idx="0">
                  <c:v>ATCO-N</c:v>
                </c:pt>
                <c:pt idx="1">
                  <c:v>ATCO-S</c:v>
                </c:pt>
                <c:pt idx="2">
                  <c:v>AltaGas</c:v>
                </c:pt>
              </c:strCache>
            </c:strRef>
          </c:cat>
          <c:val>
            <c:numRef>
              <c:f>'NG Analysis'!$C$23:$E$23</c:f>
              <c:numCache>
                <c:formatCode>0.00_);[Red]\(0.00\)</c:formatCode>
                <c:ptCount val="3"/>
                <c:pt idx="0">
                  <c:v>79.498538883639327</c:v>
                </c:pt>
                <c:pt idx="1">
                  <c:v>65.600137220658439</c:v>
                </c:pt>
                <c:pt idx="2">
                  <c:v>25.321567617459863</c:v>
                </c:pt>
              </c:numCache>
            </c:numRef>
          </c:val>
        </c:ser>
        <c:ser>
          <c:idx val="4"/>
          <c:order val="4"/>
          <c:tx>
            <c:strRef>
              <c:f>'NG Analysis'!$A$24</c:f>
              <c:strCache>
                <c:ptCount val="1"/>
                <c:pt idx="0">
                  <c:v>Energy Tariff</c:v>
                </c:pt>
              </c:strCache>
            </c:strRef>
          </c:tx>
          <c:spPr>
            <a:solidFill>
              <a:schemeClr val="accent5">
                <a:lumMod val="75000"/>
              </a:schemeClr>
            </a:solidFill>
          </c:spPr>
          <c:invertIfNegative val="0"/>
          <c:cat>
            <c:strRef>
              <c:f>'NG Analysis'!$C$19:$E$19</c:f>
              <c:strCache>
                <c:ptCount val="3"/>
                <c:pt idx="0">
                  <c:v>ATCO-N</c:v>
                </c:pt>
                <c:pt idx="1">
                  <c:v>ATCO-S</c:v>
                </c:pt>
                <c:pt idx="2">
                  <c:v>AltaGas</c:v>
                </c:pt>
              </c:strCache>
            </c:strRef>
          </c:cat>
          <c:val>
            <c:numRef>
              <c:f>'NG Analysis'!$C$24:$E$24</c:f>
              <c:numCache>
                <c:formatCode>0.00_);[Red]\(0.00\)</c:formatCode>
                <c:ptCount val="3"/>
                <c:pt idx="0">
                  <c:v>169.42499278925166</c:v>
                </c:pt>
                <c:pt idx="1">
                  <c:v>173.93977029315181</c:v>
                </c:pt>
                <c:pt idx="2">
                  <c:v>175.65295846626515</c:v>
                </c:pt>
              </c:numCache>
            </c:numRef>
          </c:val>
        </c:ser>
        <c:ser>
          <c:idx val="5"/>
          <c:order val="5"/>
          <c:tx>
            <c:strRef>
              <c:f>'NG Analysis'!$A$25</c:f>
              <c:strCache>
                <c:ptCount val="1"/>
                <c:pt idx="0">
                  <c:v>Administration </c:v>
                </c:pt>
              </c:strCache>
            </c:strRef>
          </c:tx>
          <c:spPr>
            <a:solidFill>
              <a:schemeClr val="accent6">
                <a:lumMod val="75000"/>
              </a:schemeClr>
            </a:solidFill>
          </c:spPr>
          <c:invertIfNegative val="0"/>
          <c:cat>
            <c:strRef>
              <c:f>'NG Analysis'!$C$19:$E$19</c:f>
              <c:strCache>
                <c:ptCount val="3"/>
                <c:pt idx="0">
                  <c:v>ATCO-N</c:v>
                </c:pt>
                <c:pt idx="1">
                  <c:v>ATCO-S</c:v>
                </c:pt>
                <c:pt idx="2">
                  <c:v>AltaGas</c:v>
                </c:pt>
              </c:strCache>
            </c:strRef>
          </c:cat>
          <c:val>
            <c:numRef>
              <c:f>'NG Analysis'!$C$25:$E$25</c:f>
              <c:numCache>
                <c:formatCode>0.00_);[Red]\(0.00\)</c:formatCode>
                <c:ptCount val="3"/>
                <c:pt idx="0">
                  <c:v>49.231999999999999</c:v>
                </c:pt>
                <c:pt idx="1">
                  <c:v>49.231999999999999</c:v>
                </c:pt>
                <c:pt idx="2">
                  <c:v>15.023000000000001</c:v>
                </c:pt>
              </c:numCache>
            </c:numRef>
          </c:val>
        </c:ser>
        <c:ser>
          <c:idx val="3"/>
          <c:order val="6"/>
          <c:tx>
            <c:strRef>
              <c:f>'NG Analysis'!$A$26:$B$26</c:f>
              <c:strCache>
                <c:ptCount val="1"/>
                <c:pt idx="0">
                  <c:v>Carbon</c:v>
                </c:pt>
              </c:strCache>
            </c:strRef>
          </c:tx>
          <c:spPr>
            <a:solidFill>
              <a:schemeClr val="tx1"/>
            </a:solidFill>
          </c:spPr>
          <c:invertIfNegative val="0"/>
          <c:cat>
            <c:strRef>
              <c:f>'NG Analysis'!$C$19:$E$19</c:f>
              <c:strCache>
                <c:ptCount val="3"/>
                <c:pt idx="0">
                  <c:v>ATCO-N</c:v>
                </c:pt>
                <c:pt idx="1">
                  <c:v>ATCO-S</c:v>
                </c:pt>
                <c:pt idx="2">
                  <c:v>AltaGas</c:v>
                </c:pt>
              </c:strCache>
            </c:strRef>
          </c:cat>
          <c:val>
            <c:numRef>
              <c:f>'NG Analysis'!$C$26:$E$26</c:f>
              <c:numCache>
                <c:formatCode>0.00_);[Red]\(0.00\)</c:formatCode>
                <c:ptCount val="3"/>
                <c:pt idx="0">
                  <c:v>113.13391153529939</c:v>
                </c:pt>
                <c:pt idx="1">
                  <c:v>114.32164769279609</c:v>
                </c:pt>
                <c:pt idx="2">
                  <c:v>116.68581273540623</c:v>
                </c:pt>
              </c:numCache>
            </c:numRef>
          </c:val>
        </c:ser>
        <c:ser>
          <c:idx val="6"/>
          <c:order val="7"/>
          <c:tx>
            <c:strRef>
              <c:f>'NG Analysis'!$A$27</c:f>
              <c:strCache>
                <c:ptCount val="1"/>
                <c:pt idx="0">
                  <c:v>GST</c:v>
                </c:pt>
              </c:strCache>
            </c:strRef>
          </c:tx>
          <c:spPr>
            <a:solidFill>
              <a:srgbClr val="996633"/>
            </a:solidFill>
          </c:spPr>
          <c:invertIfNegative val="0"/>
          <c:cat>
            <c:strRef>
              <c:f>'NG Analysis'!$C$19:$E$19</c:f>
              <c:strCache>
                <c:ptCount val="3"/>
                <c:pt idx="0">
                  <c:v>ATCO-N</c:v>
                </c:pt>
                <c:pt idx="1">
                  <c:v>ATCO-S</c:v>
                </c:pt>
                <c:pt idx="2">
                  <c:v>AltaGas</c:v>
                </c:pt>
              </c:strCache>
            </c:strRef>
          </c:cat>
          <c:val>
            <c:numRef>
              <c:f>'NG Analysis'!$C$27:$E$27</c:f>
              <c:numCache>
                <c:formatCode>0.00_);[Red]\(0.00\)</c:formatCode>
                <c:ptCount val="3"/>
                <c:pt idx="0">
                  <c:v>38.39302616723365</c:v>
                </c:pt>
                <c:pt idx="1">
                  <c:v>33.567196268107566</c:v>
                </c:pt>
                <c:pt idx="2">
                  <c:v>40.905548896398912</c:v>
                </c:pt>
              </c:numCache>
            </c:numRef>
          </c:val>
        </c:ser>
        <c:dLbls>
          <c:showLegendKey val="0"/>
          <c:showVal val="0"/>
          <c:showCatName val="0"/>
          <c:showSerName val="0"/>
          <c:showPercent val="0"/>
          <c:showBubbleSize val="0"/>
        </c:dLbls>
        <c:gapWidth val="100"/>
        <c:overlap val="100"/>
        <c:axId val="248790016"/>
        <c:axId val="248800000"/>
      </c:barChart>
      <c:catAx>
        <c:axId val="248790016"/>
        <c:scaling>
          <c:orientation val="minMax"/>
        </c:scaling>
        <c:delete val="0"/>
        <c:axPos val="b"/>
        <c:majorTickMark val="out"/>
        <c:minorTickMark val="none"/>
        <c:tickLblPos val="low"/>
        <c:crossAx val="248800000"/>
        <c:crosses val="autoZero"/>
        <c:auto val="1"/>
        <c:lblAlgn val="ctr"/>
        <c:lblOffset val="100"/>
        <c:noMultiLvlLbl val="0"/>
      </c:catAx>
      <c:valAx>
        <c:axId val="248800000"/>
        <c:scaling>
          <c:orientation val="minMax"/>
        </c:scaling>
        <c:delete val="0"/>
        <c:axPos val="l"/>
        <c:majorGridlines>
          <c:spPr>
            <a:ln>
              <a:solidFill>
                <a:schemeClr val="bg1">
                  <a:lumMod val="85000"/>
                </a:schemeClr>
              </a:solidFill>
              <a:prstDash val="dash"/>
            </a:ln>
          </c:spPr>
        </c:majorGridlines>
        <c:numFmt formatCode="&quot;$&quot;#,##0" sourceLinked="0"/>
        <c:majorTickMark val="out"/>
        <c:minorTickMark val="none"/>
        <c:tickLblPos val="nextTo"/>
        <c:crossAx val="248790016"/>
        <c:crosses val="autoZero"/>
        <c:crossBetween val="between"/>
      </c:valAx>
    </c:plotArea>
    <c:legend>
      <c:legendPos val="r"/>
      <c:overlay val="0"/>
      <c:txPr>
        <a:bodyPr/>
        <a:lstStyle/>
        <a:p>
          <a:pPr>
            <a:defRPr sz="1100"/>
          </a:pPr>
          <a:endParaRPr lang="en-US"/>
        </a:p>
      </c:txPr>
    </c:legend>
    <c:plotVisOnly val="1"/>
    <c:dispBlanksAs val="gap"/>
    <c:showDLblsOverMax val="0"/>
  </c:chart>
  <c:spPr>
    <a:ln>
      <a:noFill/>
    </a:ln>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'NG Analysis'!$A$29:$B$29</c:f>
          <c:strCache>
            <c:ptCount val="1"/>
            <c:pt idx="0">
              <c:v>Total Bill, Relative to ATCO-S in 2019</c:v>
            </c:pt>
          </c:strCache>
        </c:strRef>
      </c:tx>
      <c:overlay val="0"/>
    </c:title>
    <c:autoTitleDeleted val="0"/>
    <c:plotArea>
      <c:layout>
        <c:manualLayout>
          <c:layoutTarget val="inner"/>
          <c:xMode val="edge"/>
          <c:yMode val="edge"/>
          <c:x val="0.11136893887692219"/>
          <c:y val="0.13225345031492547"/>
          <c:w val="0.71115777621091103"/>
          <c:h val="0.79310474266247222"/>
        </c:manualLayout>
      </c:layout>
      <c:barChart>
        <c:barDir val="col"/>
        <c:grouping val="stacked"/>
        <c:varyColors val="0"/>
        <c:ser>
          <c:idx val="1"/>
          <c:order val="0"/>
          <c:tx>
            <c:strRef>
              <c:f>'NG Analysis'!$A$29</c:f>
              <c:strCache>
                <c:ptCount val="1"/>
                <c:pt idx="0">
                  <c:v>Total Bill, Relative to ATCO-S in 2019</c:v>
                </c:pt>
              </c:strCache>
            </c:strRef>
          </c:tx>
          <c:invertIfNegative val="0"/>
          <c:cat>
            <c:strRef>
              <c:f>'NG Analysis'!$C$19:$F$19</c:f>
              <c:strCache>
                <c:ptCount val="3"/>
                <c:pt idx="0">
                  <c:v>ATCO-N</c:v>
                </c:pt>
                <c:pt idx="1">
                  <c:v>ATCO-S</c:v>
                </c:pt>
                <c:pt idx="2">
                  <c:v>AltaGas</c:v>
                </c:pt>
              </c:strCache>
            </c:strRef>
          </c:cat>
          <c:val>
            <c:numRef>
              <c:f>'NG Analysis'!$C$29:$E$29</c:f>
              <c:numCache>
                <c:formatCode>0.0%</c:formatCode>
                <c:ptCount val="3"/>
                <c:pt idx="0">
                  <c:v>1.1437662490659413</c:v>
                </c:pt>
                <c:pt idx="1">
                  <c:v>1</c:v>
                </c:pt>
                <c:pt idx="2">
                  <c:v>1.2186167879401826</c:v>
                </c:pt>
              </c:numCache>
            </c:numRef>
          </c:val>
        </c:ser>
        <c:dLbls>
          <c:showLegendKey val="0"/>
          <c:showVal val="0"/>
          <c:showCatName val="0"/>
          <c:showSerName val="0"/>
          <c:showPercent val="0"/>
          <c:showBubbleSize val="0"/>
        </c:dLbls>
        <c:gapWidth val="150"/>
        <c:overlap val="100"/>
        <c:axId val="248832768"/>
        <c:axId val="248834304"/>
      </c:barChart>
      <c:catAx>
        <c:axId val="248832768"/>
        <c:scaling>
          <c:orientation val="minMax"/>
        </c:scaling>
        <c:delete val="0"/>
        <c:axPos val="b"/>
        <c:majorTickMark val="out"/>
        <c:minorTickMark val="none"/>
        <c:tickLblPos val="nextTo"/>
        <c:crossAx val="248834304"/>
        <c:crosses val="autoZero"/>
        <c:auto val="1"/>
        <c:lblAlgn val="ctr"/>
        <c:lblOffset val="100"/>
        <c:noMultiLvlLbl val="0"/>
      </c:catAx>
      <c:valAx>
        <c:axId val="248834304"/>
        <c:scaling>
          <c:orientation val="minMax"/>
        </c:scaling>
        <c:delete val="0"/>
        <c:axPos val="l"/>
        <c:majorGridlines>
          <c:spPr>
            <a:ln>
              <a:solidFill>
                <a:schemeClr val="bg1">
                  <a:lumMod val="85000"/>
                </a:schemeClr>
              </a:solidFill>
              <a:prstDash val="dash"/>
            </a:ln>
          </c:spPr>
        </c:majorGridlines>
        <c:numFmt formatCode="0.0%" sourceLinked="1"/>
        <c:majorTickMark val="out"/>
        <c:minorTickMark val="none"/>
        <c:tickLblPos val="nextTo"/>
        <c:crossAx val="248832768"/>
        <c:crosses val="autoZero"/>
        <c:crossBetween val="between"/>
      </c:valAx>
    </c:plotArea>
    <c:legend>
      <c:legendPos val="r"/>
      <c:layout>
        <c:manualLayout>
          <c:xMode val="edge"/>
          <c:yMode val="edge"/>
          <c:x val="0.81522077831429218"/>
          <c:y val="0.41887508336947954"/>
          <c:w val="0.17016734813862563"/>
          <c:h val="0.24715941332761213"/>
        </c:manualLayout>
      </c:layout>
      <c:overlay val="0"/>
      <c:txPr>
        <a:bodyPr/>
        <a:lstStyle/>
        <a:p>
          <a:pPr>
            <a:defRPr sz="1100"/>
          </a:pPr>
          <a:endParaRPr lang="en-US"/>
        </a:p>
      </c:txPr>
    </c:legend>
    <c:plotVisOnly val="1"/>
    <c:dispBlanksAs val="gap"/>
    <c:showDLblsOverMax val="0"/>
  </c:chart>
  <c:spPr>
    <a:ln>
      <a:noFill/>
    </a:ln>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'Misc. Data &amp; Mechanisms'!$Y$757</c:f>
          <c:strCache>
            <c:ptCount val="1"/>
            <c:pt idx="0">
              <c:v>Monthly Bill vs. Monthly Consumption in the ATCO-S Service Zone</c:v>
            </c:pt>
          </c:strCache>
        </c:strRef>
      </c:tx>
      <c:overlay val="0"/>
    </c:title>
    <c:autoTitleDeleted val="0"/>
    <c:plotArea>
      <c:layout/>
      <c:areaChart>
        <c:grouping val="standard"/>
        <c:varyColors val="0"/>
        <c:ser>
          <c:idx val="0"/>
          <c:order val="0"/>
          <c:tx>
            <c:strRef>
              <c:f>'NG Analysis'!$C$232</c:f>
              <c:strCache>
                <c:ptCount val="1"/>
                <c:pt idx="0">
                  <c:v>ATCO-S Total Monthly Bill ($)</c:v>
                </c:pt>
              </c:strCache>
            </c:strRef>
          </c:tx>
          <c:spPr>
            <a:solidFill>
              <a:schemeClr val="accent1"/>
            </a:solidFill>
            <a:ln>
              <a:solidFill>
                <a:schemeClr val="accent1"/>
              </a:solidFill>
            </a:ln>
          </c:spPr>
          <c:cat>
            <c:numRef>
              <c:f>'NG Analysis'!$A$233:$A$322</c:f>
              <c:numCache>
                <c:formatCode>[$-409]mmm-yy;@</c:formatCode>
                <c:ptCount val="90"/>
                <c:pt idx="0">
                  <c:v>40909</c:v>
                </c:pt>
                <c:pt idx="1">
                  <c:v>40940</c:v>
                </c:pt>
                <c:pt idx="2">
                  <c:v>40969</c:v>
                </c:pt>
                <c:pt idx="3">
                  <c:v>41000</c:v>
                </c:pt>
                <c:pt idx="4">
                  <c:v>41030</c:v>
                </c:pt>
                <c:pt idx="5">
                  <c:v>41061</c:v>
                </c:pt>
                <c:pt idx="6">
                  <c:v>41091</c:v>
                </c:pt>
                <c:pt idx="7">
                  <c:v>41122</c:v>
                </c:pt>
                <c:pt idx="8">
                  <c:v>41153</c:v>
                </c:pt>
                <c:pt idx="9">
                  <c:v>41183</c:v>
                </c:pt>
                <c:pt idx="10">
                  <c:v>41214</c:v>
                </c:pt>
                <c:pt idx="11">
                  <c:v>41244</c:v>
                </c:pt>
                <c:pt idx="12">
                  <c:v>41275</c:v>
                </c:pt>
                <c:pt idx="13">
                  <c:v>41306</c:v>
                </c:pt>
                <c:pt idx="14">
                  <c:v>41334</c:v>
                </c:pt>
                <c:pt idx="15">
                  <c:v>41365</c:v>
                </c:pt>
                <c:pt idx="16">
                  <c:v>41395</c:v>
                </c:pt>
                <c:pt idx="17">
                  <c:v>41426</c:v>
                </c:pt>
                <c:pt idx="18">
                  <c:v>41456</c:v>
                </c:pt>
                <c:pt idx="19">
                  <c:v>41487</c:v>
                </c:pt>
                <c:pt idx="20">
                  <c:v>41518</c:v>
                </c:pt>
                <c:pt idx="21">
                  <c:v>41548</c:v>
                </c:pt>
                <c:pt idx="22">
                  <c:v>41579</c:v>
                </c:pt>
                <c:pt idx="23">
                  <c:v>41609</c:v>
                </c:pt>
                <c:pt idx="24">
                  <c:v>41640</c:v>
                </c:pt>
                <c:pt idx="25">
                  <c:v>41671</c:v>
                </c:pt>
                <c:pt idx="26">
                  <c:v>41699</c:v>
                </c:pt>
                <c:pt idx="27">
                  <c:v>41730</c:v>
                </c:pt>
                <c:pt idx="28">
                  <c:v>41760</c:v>
                </c:pt>
                <c:pt idx="29">
                  <c:v>41791</c:v>
                </c:pt>
                <c:pt idx="30">
                  <c:v>41821</c:v>
                </c:pt>
                <c:pt idx="31">
                  <c:v>41852</c:v>
                </c:pt>
                <c:pt idx="32">
                  <c:v>41883</c:v>
                </c:pt>
                <c:pt idx="33">
                  <c:v>41913</c:v>
                </c:pt>
                <c:pt idx="34">
                  <c:v>41944</c:v>
                </c:pt>
                <c:pt idx="35">
                  <c:v>41974</c:v>
                </c:pt>
                <c:pt idx="36">
                  <c:v>42005</c:v>
                </c:pt>
                <c:pt idx="37">
                  <c:v>42036</c:v>
                </c:pt>
                <c:pt idx="38">
                  <c:v>42064</c:v>
                </c:pt>
                <c:pt idx="39">
                  <c:v>42095</c:v>
                </c:pt>
                <c:pt idx="40">
                  <c:v>42125</c:v>
                </c:pt>
                <c:pt idx="41">
                  <c:v>42156</c:v>
                </c:pt>
                <c:pt idx="42">
                  <c:v>42186</c:v>
                </c:pt>
                <c:pt idx="43">
                  <c:v>42217</c:v>
                </c:pt>
                <c:pt idx="44">
                  <c:v>42248</c:v>
                </c:pt>
                <c:pt idx="45">
                  <c:v>42278</c:v>
                </c:pt>
                <c:pt idx="46">
                  <c:v>42309</c:v>
                </c:pt>
                <c:pt idx="47">
                  <c:v>42339</c:v>
                </c:pt>
                <c:pt idx="48">
                  <c:v>42370</c:v>
                </c:pt>
                <c:pt idx="49">
                  <c:v>42401</c:v>
                </c:pt>
                <c:pt idx="50">
                  <c:v>42430</c:v>
                </c:pt>
                <c:pt idx="51">
                  <c:v>42461</c:v>
                </c:pt>
                <c:pt idx="52">
                  <c:v>42491</c:v>
                </c:pt>
                <c:pt idx="53">
                  <c:v>42522</c:v>
                </c:pt>
                <c:pt idx="54">
                  <c:v>42552</c:v>
                </c:pt>
                <c:pt idx="55">
                  <c:v>42583</c:v>
                </c:pt>
                <c:pt idx="56">
                  <c:v>42614</c:v>
                </c:pt>
                <c:pt idx="57">
                  <c:v>42644</c:v>
                </c:pt>
                <c:pt idx="58">
                  <c:v>42675</c:v>
                </c:pt>
                <c:pt idx="59">
                  <c:v>42705</c:v>
                </c:pt>
                <c:pt idx="60">
                  <c:v>42736</c:v>
                </c:pt>
                <c:pt idx="61">
                  <c:v>42767</c:v>
                </c:pt>
                <c:pt idx="62">
                  <c:v>42795</c:v>
                </c:pt>
                <c:pt idx="63">
                  <c:v>42826</c:v>
                </c:pt>
                <c:pt idx="64">
                  <c:v>42856</c:v>
                </c:pt>
                <c:pt idx="65">
                  <c:v>42887</c:v>
                </c:pt>
                <c:pt idx="66">
                  <c:v>42917</c:v>
                </c:pt>
                <c:pt idx="67">
                  <c:v>42948</c:v>
                </c:pt>
                <c:pt idx="68">
                  <c:v>42979</c:v>
                </c:pt>
                <c:pt idx="69">
                  <c:v>43009</c:v>
                </c:pt>
                <c:pt idx="70">
                  <c:v>43040</c:v>
                </c:pt>
                <c:pt idx="71">
                  <c:v>43070</c:v>
                </c:pt>
                <c:pt idx="72">
                  <c:v>43101</c:v>
                </c:pt>
                <c:pt idx="73">
                  <c:v>43132</c:v>
                </c:pt>
                <c:pt idx="74">
                  <c:v>43160</c:v>
                </c:pt>
                <c:pt idx="75">
                  <c:v>43191</c:v>
                </c:pt>
                <c:pt idx="76">
                  <c:v>43221</c:v>
                </c:pt>
                <c:pt idx="77">
                  <c:v>43252</c:v>
                </c:pt>
                <c:pt idx="78">
                  <c:v>43282</c:v>
                </c:pt>
                <c:pt idx="79">
                  <c:v>43313</c:v>
                </c:pt>
                <c:pt idx="80">
                  <c:v>43344</c:v>
                </c:pt>
                <c:pt idx="81">
                  <c:v>43374</c:v>
                </c:pt>
                <c:pt idx="82">
                  <c:v>43405</c:v>
                </c:pt>
                <c:pt idx="83">
                  <c:v>43435</c:v>
                </c:pt>
                <c:pt idx="84">
                  <c:v>43466</c:v>
                </c:pt>
                <c:pt idx="85">
                  <c:v>43497</c:v>
                </c:pt>
                <c:pt idx="86">
                  <c:v>43525</c:v>
                </c:pt>
                <c:pt idx="87">
                  <c:v>43556</c:v>
                </c:pt>
                <c:pt idx="88">
                  <c:v>43586</c:v>
                </c:pt>
                <c:pt idx="89">
                  <c:v>43617</c:v>
                </c:pt>
              </c:numCache>
            </c:numRef>
          </c:cat>
          <c:val>
            <c:numRef>
              <c:f>'NG Analysis'!$C$233:$C$322</c:f>
              <c:numCache>
                <c:formatCode>0.00_);[Red]\(0.00\)</c:formatCode>
                <c:ptCount val="90"/>
                <c:pt idx="0">
                  <c:v>110.67641450594077</c:v>
                </c:pt>
                <c:pt idx="1">
                  <c:v>86.080388053429772</c:v>
                </c:pt>
                <c:pt idx="2">
                  <c:v>78.268348726027085</c:v>
                </c:pt>
                <c:pt idx="3">
                  <c:v>62.98083944570196</c:v>
                </c:pt>
                <c:pt idx="4">
                  <c:v>46.952203773786366</c:v>
                </c:pt>
                <c:pt idx="5">
                  <c:v>44.109626167421865</c:v>
                </c:pt>
                <c:pt idx="6">
                  <c:v>38.572839005636759</c:v>
                </c:pt>
                <c:pt idx="7">
                  <c:v>40.686379568978985</c:v>
                </c:pt>
                <c:pt idx="8">
                  <c:v>38.62200654168484</c:v>
                </c:pt>
                <c:pt idx="9">
                  <c:v>81.728995934687759</c:v>
                </c:pt>
                <c:pt idx="10">
                  <c:v>114.62678198383027</c:v>
                </c:pt>
                <c:pt idx="11">
                  <c:v>135.87316923267124</c:v>
                </c:pt>
                <c:pt idx="12">
                  <c:v>118.84553489725054</c:v>
                </c:pt>
                <c:pt idx="13">
                  <c:v>97.593078533749576</c:v>
                </c:pt>
                <c:pt idx="14">
                  <c:v>106.07401798897844</c:v>
                </c:pt>
                <c:pt idx="15">
                  <c:v>99.481510100027037</c:v>
                </c:pt>
                <c:pt idx="16">
                  <c:v>66.975320096486413</c:v>
                </c:pt>
                <c:pt idx="17">
                  <c:v>57.414945728342317</c:v>
                </c:pt>
                <c:pt idx="18">
                  <c:v>49.639164247460933</c:v>
                </c:pt>
                <c:pt idx="19">
                  <c:v>45.111280260525895</c:v>
                </c:pt>
                <c:pt idx="20">
                  <c:v>53.888467957953324</c:v>
                </c:pt>
                <c:pt idx="21">
                  <c:v>79.87600848638165</c:v>
                </c:pt>
                <c:pt idx="22">
                  <c:v>131.19649626704214</c:v>
                </c:pt>
                <c:pt idx="23">
                  <c:v>156.04849560306945</c:v>
                </c:pt>
                <c:pt idx="24">
                  <c:v>145.53783266074225</c:v>
                </c:pt>
                <c:pt idx="25">
                  <c:v>191.58054732161304</c:v>
                </c:pt>
                <c:pt idx="26">
                  <c:v>290.41284828816111</c:v>
                </c:pt>
                <c:pt idx="27">
                  <c:v>107.87069425641586</c:v>
                </c:pt>
                <c:pt idx="28">
                  <c:v>83.303784609278566</c:v>
                </c:pt>
                <c:pt idx="29">
                  <c:v>56.39611100202147</c:v>
                </c:pt>
                <c:pt idx="30">
                  <c:v>56.0519489421348</c:v>
                </c:pt>
                <c:pt idx="31">
                  <c:v>55.40321760915463</c:v>
                </c:pt>
                <c:pt idx="32">
                  <c:v>70.595962905365027</c:v>
                </c:pt>
                <c:pt idx="33">
                  <c:v>93.661134078745661</c:v>
                </c:pt>
                <c:pt idx="34">
                  <c:v>124.75058571022659</c:v>
                </c:pt>
                <c:pt idx="35">
                  <c:v>140.55196539239572</c:v>
                </c:pt>
                <c:pt idx="36">
                  <c:v>128.83682163849937</c:v>
                </c:pt>
                <c:pt idx="37">
                  <c:v>110.79442922292377</c:v>
                </c:pt>
                <c:pt idx="38">
                  <c:v>100.13054963966638</c:v>
                </c:pt>
                <c:pt idx="39">
                  <c:v>85.900388043256001</c:v>
                </c:pt>
                <c:pt idx="40">
                  <c:v>65.22329934745909</c:v>
                </c:pt>
                <c:pt idx="41">
                  <c:v>56.792438954469745</c:v>
                </c:pt>
                <c:pt idx="42">
                  <c:v>47.973447936823277</c:v>
                </c:pt>
                <c:pt idx="43">
                  <c:v>51.095557892569801</c:v>
                </c:pt>
                <c:pt idx="44">
                  <c:v>67.369676375690318</c:v>
                </c:pt>
                <c:pt idx="45">
                  <c:v>77.714134720691305</c:v>
                </c:pt>
                <c:pt idx="46">
                  <c:v>106.91253460289242</c:v>
                </c:pt>
                <c:pt idx="47">
                  <c:v>121.49629415484651</c:v>
                </c:pt>
                <c:pt idx="48">
                  <c:v>113.66527840807856</c:v>
                </c:pt>
                <c:pt idx="49">
                  <c:v>102.15330785558639</c:v>
                </c:pt>
                <c:pt idx="50">
                  <c:v>92.032924561641124</c:v>
                </c:pt>
                <c:pt idx="51">
                  <c:v>57.390607796100561</c:v>
                </c:pt>
                <c:pt idx="52">
                  <c:v>55.699575264630532</c:v>
                </c:pt>
                <c:pt idx="53">
                  <c:v>45.838776888322961</c:v>
                </c:pt>
                <c:pt idx="54">
                  <c:v>47.819811903232178</c:v>
                </c:pt>
                <c:pt idx="55">
                  <c:v>51.38175067679682</c:v>
                </c:pt>
                <c:pt idx="56">
                  <c:v>65.636559674753059</c:v>
                </c:pt>
                <c:pt idx="57">
                  <c:v>106.61550104834454</c:v>
                </c:pt>
                <c:pt idx="58">
                  <c:v>109.7877683159076</c:v>
                </c:pt>
                <c:pt idx="59">
                  <c:v>158.43155024460896</c:v>
                </c:pt>
                <c:pt idx="60">
                  <c:v>192.15131520131538</c:v>
                </c:pt>
                <c:pt idx="61">
                  <c:v>155.93448000739468</c:v>
                </c:pt>
                <c:pt idx="62">
                  <c:v>134.24090970261412</c:v>
                </c:pt>
                <c:pt idx="63">
                  <c:v>100.21660758273963</c:v>
                </c:pt>
                <c:pt idx="64">
                  <c:v>66.036502159408244</c:v>
                </c:pt>
                <c:pt idx="65">
                  <c:v>50.967416976199523</c:v>
                </c:pt>
                <c:pt idx="66">
                  <c:v>52.739315303329278</c:v>
                </c:pt>
                <c:pt idx="67">
                  <c:v>53.567577467174374</c:v>
                </c:pt>
                <c:pt idx="68">
                  <c:v>61.991489151410498</c:v>
                </c:pt>
                <c:pt idx="69">
                  <c:v>87.916472197210851</c:v>
                </c:pt>
                <c:pt idx="70">
                  <c:v>129.83186386517079</c:v>
                </c:pt>
                <c:pt idx="71">
                  <c:v>134.75395540569266</c:v>
                </c:pt>
                <c:pt idx="72">
                  <c:v>151.08348440722767</c:v>
                </c:pt>
                <c:pt idx="73">
                  <c:v>174.28956965864296</c:v>
                </c:pt>
                <c:pt idx="74">
                  <c:v>125.75181616504598</c:v>
                </c:pt>
                <c:pt idx="75">
                  <c:v>105.73382805571367</c:v>
                </c:pt>
                <c:pt idx="76">
                  <c:v>54.93378792262952</c:v>
                </c:pt>
                <c:pt idx="77">
                  <c:v>47.346760186718846</c:v>
                </c:pt>
                <c:pt idx="78">
                  <c:v>50.354486965920238</c:v>
                </c:pt>
                <c:pt idx="79">
                  <c:v>51.000696333151538</c:v>
                </c:pt>
                <c:pt idx="80">
                  <c:v>70.60316676042919</c:v>
                </c:pt>
                <c:pt idx="81">
                  <c:v>87.287621919425717</c:v>
                </c:pt>
                <c:pt idx="82">
                  <c:v>114.4528104862833</c:v>
                </c:pt>
                <c:pt idx="83">
                  <c:v>125.58640441073138</c:v>
                </c:pt>
                <c:pt idx="84">
                  <c:v>120.86879919119347</c:v>
                </c:pt>
                <c:pt idx="85">
                  <c:v>179.51039671386988</c:v>
                </c:pt>
                <c:pt idx="86">
                  <c:v>157.23130726227279</c:v>
                </c:pt>
                <c:pt idx="87">
                  <c:v>107.54154618141597</c:v>
                </c:pt>
                <c:pt idx="88">
                  <c:v>89.294223888593962</c:v>
                </c:pt>
                <c:pt idx="89">
                  <c:v>50.464848392912721</c:v>
                </c:pt>
              </c:numCache>
            </c:numRef>
          </c:val>
        </c:ser>
        <c:dLbls>
          <c:showLegendKey val="0"/>
          <c:showVal val="0"/>
          <c:showCatName val="0"/>
          <c:showSerName val="0"/>
          <c:showPercent val="0"/>
          <c:showBubbleSize val="0"/>
        </c:dLbls>
        <c:axId val="251873152"/>
        <c:axId val="251874688"/>
      </c:areaChart>
      <c:lineChart>
        <c:grouping val="standard"/>
        <c:varyColors val="0"/>
        <c:ser>
          <c:idx val="1"/>
          <c:order val="1"/>
          <c:tx>
            <c:strRef>
              <c:f>'NG Analysis'!$D$232</c:f>
              <c:strCache>
                <c:ptCount val="1"/>
                <c:pt idx="0">
                  <c:v>Detached Home Consumption (GJ)</c:v>
                </c:pt>
              </c:strCache>
            </c:strRef>
          </c:tx>
          <c:spPr>
            <a:ln w="38100"/>
          </c:spPr>
          <c:marker>
            <c:symbol val="none"/>
          </c:marker>
          <c:cat>
            <c:numRef>
              <c:f>'NG Analysis'!$A$233:$A$319</c:f>
              <c:numCache>
                <c:formatCode>[$-409]mmm-yy;@</c:formatCode>
                <c:ptCount val="87"/>
                <c:pt idx="0">
                  <c:v>40909</c:v>
                </c:pt>
                <c:pt idx="1">
                  <c:v>40940</c:v>
                </c:pt>
                <c:pt idx="2">
                  <c:v>40969</c:v>
                </c:pt>
                <c:pt idx="3">
                  <c:v>41000</c:v>
                </c:pt>
                <c:pt idx="4">
                  <c:v>41030</c:v>
                </c:pt>
                <c:pt idx="5">
                  <c:v>41061</c:v>
                </c:pt>
                <c:pt idx="6">
                  <c:v>41091</c:v>
                </c:pt>
                <c:pt idx="7">
                  <c:v>41122</c:v>
                </c:pt>
                <c:pt idx="8">
                  <c:v>41153</c:v>
                </c:pt>
                <c:pt idx="9">
                  <c:v>41183</c:v>
                </c:pt>
                <c:pt idx="10">
                  <c:v>41214</c:v>
                </c:pt>
                <c:pt idx="11">
                  <c:v>41244</c:v>
                </c:pt>
                <c:pt idx="12">
                  <c:v>41275</c:v>
                </c:pt>
                <c:pt idx="13">
                  <c:v>41306</c:v>
                </c:pt>
                <c:pt idx="14">
                  <c:v>41334</c:v>
                </c:pt>
                <c:pt idx="15">
                  <c:v>41365</c:v>
                </c:pt>
                <c:pt idx="16">
                  <c:v>41395</c:v>
                </c:pt>
                <c:pt idx="17">
                  <c:v>41426</c:v>
                </c:pt>
                <c:pt idx="18">
                  <c:v>41456</c:v>
                </c:pt>
                <c:pt idx="19">
                  <c:v>41487</c:v>
                </c:pt>
                <c:pt idx="20">
                  <c:v>41518</c:v>
                </c:pt>
                <c:pt idx="21">
                  <c:v>41548</c:v>
                </c:pt>
                <c:pt idx="22">
                  <c:v>41579</c:v>
                </c:pt>
                <c:pt idx="23">
                  <c:v>41609</c:v>
                </c:pt>
                <c:pt idx="24">
                  <c:v>41640</c:v>
                </c:pt>
                <c:pt idx="25">
                  <c:v>41671</c:v>
                </c:pt>
                <c:pt idx="26">
                  <c:v>41699</c:v>
                </c:pt>
                <c:pt idx="27">
                  <c:v>41730</c:v>
                </c:pt>
                <c:pt idx="28">
                  <c:v>41760</c:v>
                </c:pt>
                <c:pt idx="29">
                  <c:v>41791</c:v>
                </c:pt>
                <c:pt idx="30">
                  <c:v>41821</c:v>
                </c:pt>
                <c:pt idx="31">
                  <c:v>41852</c:v>
                </c:pt>
                <c:pt idx="32">
                  <c:v>41883</c:v>
                </c:pt>
                <c:pt idx="33">
                  <c:v>41913</c:v>
                </c:pt>
                <c:pt idx="34">
                  <c:v>41944</c:v>
                </c:pt>
                <c:pt idx="35">
                  <c:v>41974</c:v>
                </c:pt>
                <c:pt idx="36">
                  <c:v>42005</c:v>
                </c:pt>
                <c:pt idx="37">
                  <c:v>42036</c:v>
                </c:pt>
                <c:pt idx="38">
                  <c:v>42064</c:v>
                </c:pt>
                <c:pt idx="39">
                  <c:v>42095</c:v>
                </c:pt>
                <c:pt idx="40">
                  <c:v>42125</c:v>
                </c:pt>
                <c:pt idx="41">
                  <c:v>42156</c:v>
                </c:pt>
                <c:pt idx="42">
                  <c:v>42186</c:v>
                </c:pt>
                <c:pt idx="43">
                  <c:v>42217</c:v>
                </c:pt>
                <c:pt idx="44">
                  <c:v>42248</c:v>
                </c:pt>
                <c:pt idx="45">
                  <c:v>42278</c:v>
                </c:pt>
                <c:pt idx="46">
                  <c:v>42309</c:v>
                </c:pt>
                <c:pt idx="47">
                  <c:v>42339</c:v>
                </c:pt>
                <c:pt idx="48">
                  <c:v>42370</c:v>
                </c:pt>
                <c:pt idx="49">
                  <c:v>42401</c:v>
                </c:pt>
                <c:pt idx="50">
                  <c:v>42430</c:v>
                </c:pt>
                <c:pt idx="51">
                  <c:v>42461</c:v>
                </c:pt>
                <c:pt idx="52">
                  <c:v>42491</c:v>
                </c:pt>
                <c:pt idx="53">
                  <c:v>42522</c:v>
                </c:pt>
                <c:pt idx="54">
                  <c:v>42552</c:v>
                </c:pt>
                <c:pt idx="55">
                  <c:v>42583</c:v>
                </c:pt>
                <c:pt idx="56">
                  <c:v>42614</c:v>
                </c:pt>
                <c:pt idx="57">
                  <c:v>42644</c:v>
                </c:pt>
                <c:pt idx="58">
                  <c:v>42675</c:v>
                </c:pt>
                <c:pt idx="59">
                  <c:v>42705</c:v>
                </c:pt>
                <c:pt idx="60">
                  <c:v>42736</c:v>
                </c:pt>
                <c:pt idx="61">
                  <c:v>42767</c:v>
                </c:pt>
                <c:pt idx="62">
                  <c:v>42795</c:v>
                </c:pt>
                <c:pt idx="63">
                  <c:v>42826</c:v>
                </c:pt>
                <c:pt idx="64">
                  <c:v>42856</c:v>
                </c:pt>
                <c:pt idx="65">
                  <c:v>42887</c:v>
                </c:pt>
                <c:pt idx="66">
                  <c:v>42917</c:v>
                </c:pt>
                <c:pt idx="67">
                  <c:v>42948</c:v>
                </c:pt>
                <c:pt idx="68">
                  <c:v>42979</c:v>
                </c:pt>
                <c:pt idx="69">
                  <c:v>43009</c:v>
                </c:pt>
                <c:pt idx="70">
                  <c:v>43040</c:v>
                </c:pt>
                <c:pt idx="71">
                  <c:v>43070</c:v>
                </c:pt>
                <c:pt idx="72">
                  <c:v>43101</c:v>
                </c:pt>
                <c:pt idx="73">
                  <c:v>43132</c:v>
                </c:pt>
                <c:pt idx="74">
                  <c:v>43160</c:v>
                </c:pt>
                <c:pt idx="75">
                  <c:v>43191</c:v>
                </c:pt>
                <c:pt idx="76">
                  <c:v>43221</c:v>
                </c:pt>
                <c:pt idx="77">
                  <c:v>43252</c:v>
                </c:pt>
                <c:pt idx="78">
                  <c:v>43282</c:v>
                </c:pt>
                <c:pt idx="79">
                  <c:v>43313</c:v>
                </c:pt>
                <c:pt idx="80">
                  <c:v>43344</c:v>
                </c:pt>
                <c:pt idx="81">
                  <c:v>43374</c:v>
                </c:pt>
                <c:pt idx="82">
                  <c:v>43405</c:v>
                </c:pt>
                <c:pt idx="83">
                  <c:v>43435</c:v>
                </c:pt>
                <c:pt idx="84">
                  <c:v>43466</c:v>
                </c:pt>
                <c:pt idx="85">
                  <c:v>43497</c:v>
                </c:pt>
                <c:pt idx="86">
                  <c:v>43525</c:v>
                </c:pt>
              </c:numCache>
            </c:numRef>
          </c:cat>
          <c:val>
            <c:numRef>
              <c:f>'NG Analysis'!$D$233:$D$322</c:f>
              <c:numCache>
                <c:formatCode>0_);[Red]\(0\)</c:formatCode>
                <c:ptCount val="90"/>
                <c:pt idx="0">
                  <c:v>16.955826922722459</c:v>
                </c:pt>
                <c:pt idx="1">
                  <c:v>15.590669862509053</c:v>
                </c:pt>
                <c:pt idx="2">
                  <c:v>12.508593180345372</c:v>
                </c:pt>
                <c:pt idx="3">
                  <c:v>9.733329308349191</c:v>
                </c:pt>
                <c:pt idx="4">
                  <c:v>6.8593521950446235</c:v>
                </c:pt>
                <c:pt idx="5">
                  <c:v>3.7578718591467029</c:v>
                </c:pt>
                <c:pt idx="6">
                  <c:v>2.6288830750628787</c:v>
                </c:pt>
                <c:pt idx="7">
                  <c:v>3.0892805662191671</c:v>
                </c:pt>
                <c:pt idx="8">
                  <c:v>3.2815686387127947</c:v>
                </c:pt>
                <c:pt idx="9">
                  <c:v>12.414546391241233</c:v>
                </c:pt>
                <c:pt idx="10">
                  <c:v>16.022770401470297</c:v>
                </c:pt>
                <c:pt idx="11">
                  <c:v>21.388281285725743</c:v>
                </c:pt>
                <c:pt idx="12">
                  <c:v>17.728016094174261</c:v>
                </c:pt>
                <c:pt idx="13">
                  <c:v>12.907658869082555</c:v>
                </c:pt>
                <c:pt idx="14">
                  <c:v>15.132218796418558</c:v>
                </c:pt>
                <c:pt idx="15">
                  <c:v>11.951872910186294</c:v>
                </c:pt>
                <c:pt idx="16">
                  <c:v>5.0917294193510614</c:v>
                </c:pt>
                <c:pt idx="17">
                  <c:v>3.6507685773041474</c:v>
                </c:pt>
                <c:pt idx="18">
                  <c:v>3.0114309199989338</c:v>
                </c:pt>
                <c:pt idx="19">
                  <c:v>2.6293565011386297</c:v>
                </c:pt>
                <c:pt idx="20">
                  <c:v>4.5340172280842532</c:v>
                </c:pt>
                <c:pt idx="21">
                  <c:v>10.594286816954245</c:v>
                </c:pt>
                <c:pt idx="22">
                  <c:v>16.963833197620971</c:v>
                </c:pt>
                <c:pt idx="23">
                  <c:v>22.923188669247907</c:v>
                </c:pt>
                <c:pt idx="24">
                  <c:v>17.678761695170117</c:v>
                </c:pt>
                <c:pt idx="25">
                  <c:v>23.856327590100207</c:v>
                </c:pt>
                <c:pt idx="26">
                  <c:v>20.574128672770144</c:v>
                </c:pt>
                <c:pt idx="27">
                  <c:v>11.107498159818526</c:v>
                </c:pt>
                <c:pt idx="28">
                  <c:v>7.6720066184584503</c:v>
                </c:pt>
                <c:pt idx="29">
                  <c:v>4.5897978449022441</c:v>
                </c:pt>
                <c:pt idx="30">
                  <c:v>2.7320829657733774</c:v>
                </c:pt>
                <c:pt idx="31">
                  <c:v>3.3502929773367698</c:v>
                </c:pt>
                <c:pt idx="32">
                  <c:v>6.0677895827545711</c:v>
                </c:pt>
                <c:pt idx="33">
                  <c:v>8.4870216904286888</c:v>
                </c:pt>
                <c:pt idx="34">
                  <c:v>16.328982044219593</c:v>
                </c:pt>
                <c:pt idx="35">
                  <c:v>17.155085931907376</c:v>
                </c:pt>
                <c:pt idx="36">
                  <c:v>17.023240041667705</c:v>
                </c:pt>
                <c:pt idx="37">
                  <c:v>16.070433558291903</c:v>
                </c:pt>
                <c:pt idx="38">
                  <c:v>12.142155132331677</c:v>
                </c:pt>
                <c:pt idx="39">
                  <c:v>9.7936096292748651</c:v>
                </c:pt>
                <c:pt idx="40">
                  <c:v>6.5541395721350089</c:v>
                </c:pt>
                <c:pt idx="41">
                  <c:v>3.4828054769975751</c:v>
                </c:pt>
                <c:pt idx="42">
                  <c:v>2.6677858527249043</c:v>
                </c:pt>
                <c:pt idx="43">
                  <c:v>3.1336200677179931</c:v>
                </c:pt>
                <c:pt idx="44">
                  <c:v>6.2236099217630061</c:v>
                </c:pt>
                <c:pt idx="45">
                  <c:v>8.3430798977230474</c:v>
                </c:pt>
                <c:pt idx="46">
                  <c:v>15.114799129282089</c:v>
                </c:pt>
                <c:pt idx="47">
                  <c:v>19.538732956479862</c:v>
                </c:pt>
                <c:pt idx="48">
                  <c:v>18.105874123716191</c:v>
                </c:pt>
                <c:pt idx="49">
                  <c:v>12.609699558786209</c:v>
                </c:pt>
                <c:pt idx="50">
                  <c:v>12.219487123971039</c:v>
                </c:pt>
                <c:pt idx="51">
                  <c:v>6.9950986930345893</c:v>
                </c:pt>
                <c:pt idx="52">
                  <c:v>6.1900362861615976</c:v>
                </c:pt>
                <c:pt idx="53">
                  <c:v>2.6287907600549798</c:v>
                </c:pt>
                <c:pt idx="54">
                  <c:v>2.4285142831424009</c:v>
                </c:pt>
                <c:pt idx="55">
                  <c:v>2.7213645106571978</c:v>
                </c:pt>
                <c:pt idx="56">
                  <c:v>5.6569072059323897</c:v>
                </c:pt>
                <c:pt idx="57">
                  <c:v>12.778760927886029</c:v>
                </c:pt>
                <c:pt idx="58">
                  <c:v>11.923103326329612</c:v>
                </c:pt>
                <c:pt idx="59">
                  <c:v>22.975462335017482</c:v>
                </c:pt>
                <c:pt idx="60">
                  <c:v>20.208502726578462</c:v>
                </c:pt>
                <c:pt idx="61">
                  <c:v>18.952457703042239</c:v>
                </c:pt>
                <c:pt idx="62">
                  <c:v>17.127877998710133</c:v>
                </c:pt>
                <c:pt idx="63">
                  <c:v>10.428180232781104</c:v>
                </c:pt>
                <c:pt idx="64">
                  <c:v>5.1525323465352963</c:v>
                </c:pt>
                <c:pt idx="65">
                  <c:v>3.0371525091241911</c:v>
                </c:pt>
                <c:pt idx="66">
                  <c:v>2.582040039601218</c:v>
                </c:pt>
                <c:pt idx="67">
                  <c:v>2.7079094858985315</c:v>
                </c:pt>
                <c:pt idx="68">
                  <c:v>5.3309229069401551</c:v>
                </c:pt>
                <c:pt idx="69">
                  <c:v>9.9233084229462563</c:v>
                </c:pt>
                <c:pt idx="70">
                  <c:v>17.884936436085585</c:v>
                </c:pt>
                <c:pt idx="71">
                  <c:v>16.79731043937776</c:v>
                </c:pt>
                <c:pt idx="72">
                  <c:v>19.379903428592719</c:v>
                </c:pt>
                <c:pt idx="73">
                  <c:v>22.136199814862515</c:v>
                </c:pt>
                <c:pt idx="74">
                  <c:v>16.888538624953767</c:v>
                </c:pt>
                <c:pt idx="75">
                  <c:v>13.10963277092905</c:v>
                </c:pt>
                <c:pt idx="76">
                  <c:v>4.4047814912747665</c:v>
                </c:pt>
                <c:pt idx="77">
                  <c:v>3.2976685156573131</c:v>
                </c:pt>
                <c:pt idx="78">
                  <c:v>2.9290657632313017</c:v>
                </c:pt>
                <c:pt idx="79">
                  <c:v>3.3237503926709211</c:v>
                </c:pt>
                <c:pt idx="80">
                  <c:v>7.8744686576995928</c:v>
                </c:pt>
                <c:pt idx="81">
                  <c:v>11.141358321688704</c:v>
                </c:pt>
                <c:pt idx="82">
                  <c:v>13.711123408120821</c:v>
                </c:pt>
                <c:pt idx="83">
                  <c:v>16.681040406493022</c:v>
                </c:pt>
                <c:pt idx="84">
                  <c:v>16.841756141444122</c:v>
                </c:pt>
                <c:pt idx="85">
                  <c:v>26.110234067013611</c:v>
                </c:pt>
                <c:pt idx="86">
                  <c:v>15.793485810362281</c:v>
                </c:pt>
                <c:pt idx="87">
                  <c:v>9.5930495907374951</c:v>
                </c:pt>
                <c:pt idx="88">
                  <c:v>7.5060858462941322</c:v>
                </c:pt>
                <c:pt idx="89">
                  <c:v>3.7439440891544029</c:v>
                </c:pt>
              </c:numCache>
            </c:numRef>
          </c:val>
          <c:smooth val="0"/>
        </c:ser>
        <c:dLbls>
          <c:showLegendKey val="0"/>
          <c:showVal val="0"/>
          <c:showCatName val="0"/>
          <c:showSerName val="0"/>
          <c:showPercent val="0"/>
          <c:showBubbleSize val="0"/>
        </c:dLbls>
        <c:marker val="1"/>
        <c:smooth val="0"/>
        <c:axId val="251886208"/>
        <c:axId val="251884672"/>
      </c:lineChart>
      <c:dateAx>
        <c:axId val="251873152"/>
        <c:scaling>
          <c:orientation val="minMax"/>
        </c:scaling>
        <c:delete val="0"/>
        <c:axPos val="b"/>
        <c:numFmt formatCode="[$-409]mmm-yy;@" sourceLinked="1"/>
        <c:majorTickMark val="out"/>
        <c:minorTickMark val="none"/>
        <c:tickLblPos val="nextTo"/>
        <c:crossAx val="251874688"/>
        <c:crosses val="autoZero"/>
        <c:auto val="1"/>
        <c:lblOffset val="100"/>
        <c:baseTimeUnit val="months"/>
      </c:dateAx>
      <c:valAx>
        <c:axId val="251874688"/>
        <c:scaling>
          <c:orientation val="minMax"/>
        </c:scaling>
        <c:delete val="0"/>
        <c:axPos val="l"/>
        <c:majorGridlines>
          <c:spPr>
            <a:ln>
              <a:solidFill>
                <a:schemeClr val="bg1">
                  <a:lumMod val="85000"/>
                </a:schemeClr>
              </a:solidFill>
              <a:prstDash val="dash"/>
            </a:ln>
          </c:spPr>
        </c:majorGridlines>
        <c:numFmt formatCode="&quot;$&quot;#,##0" sourceLinked="0"/>
        <c:majorTickMark val="none"/>
        <c:minorTickMark val="none"/>
        <c:tickLblPos val="nextTo"/>
        <c:spPr>
          <a:ln w="9525">
            <a:noFill/>
          </a:ln>
        </c:spPr>
        <c:crossAx val="251873152"/>
        <c:crosses val="autoZero"/>
        <c:crossBetween val="midCat"/>
      </c:valAx>
      <c:valAx>
        <c:axId val="251884672"/>
        <c:scaling>
          <c:orientation val="minMax"/>
        </c:scaling>
        <c:delete val="0"/>
        <c:axPos val="r"/>
        <c:numFmt formatCode="0_);[Red]\(0\)" sourceLinked="1"/>
        <c:majorTickMark val="out"/>
        <c:minorTickMark val="none"/>
        <c:tickLblPos val="nextTo"/>
        <c:crossAx val="251886208"/>
        <c:crosses val="max"/>
        <c:crossBetween val="between"/>
      </c:valAx>
      <c:dateAx>
        <c:axId val="251886208"/>
        <c:scaling>
          <c:orientation val="minMax"/>
        </c:scaling>
        <c:delete val="1"/>
        <c:axPos val="b"/>
        <c:numFmt formatCode="[$-409]mmm-yy;@" sourceLinked="1"/>
        <c:majorTickMark val="out"/>
        <c:minorTickMark val="none"/>
        <c:tickLblPos val="nextTo"/>
        <c:crossAx val="251884672"/>
        <c:crosses val="autoZero"/>
        <c:auto val="1"/>
        <c:lblOffset val="100"/>
        <c:baseTimeUnit val="months"/>
      </c:dateAx>
    </c:plotArea>
    <c:legend>
      <c:legendPos val="b"/>
      <c:overlay val="0"/>
      <c:txPr>
        <a:bodyPr/>
        <a:lstStyle/>
        <a:p>
          <a:pPr>
            <a:defRPr sz="1100"/>
          </a:pPr>
          <a:endParaRPr lang="en-US"/>
        </a:p>
      </c:txPr>
    </c:legend>
    <c:plotVisOnly val="1"/>
    <c:dispBlanksAs val="zero"/>
    <c:showDLblsOverMax val="0"/>
  </c:chart>
  <c:spPr>
    <a:ln>
      <a:noFill/>
    </a:ln>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'Misc. Data &amp; Mechanisms'!$Y$758</c:f>
          <c:strCache>
            <c:ptCount val="1"/>
            <c:pt idx="0">
              <c:v>Monthly Bill vs. Energy Rate in the ATCO-S Service Zone</c:v>
            </c:pt>
          </c:strCache>
        </c:strRef>
      </c:tx>
      <c:overlay val="0"/>
    </c:title>
    <c:autoTitleDeleted val="0"/>
    <c:plotArea>
      <c:layout/>
      <c:areaChart>
        <c:grouping val="standard"/>
        <c:varyColors val="0"/>
        <c:ser>
          <c:idx val="0"/>
          <c:order val="0"/>
          <c:tx>
            <c:strRef>
              <c:f>'NG Analysis'!$C$232</c:f>
              <c:strCache>
                <c:ptCount val="1"/>
                <c:pt idx="0">
                  <c:v>ATCO-S Total Monthly Bill ($)</c:v>
                </c:pt>
              </c:strCache>
            </c:strRef>
          </c:tx>
          <c:spPr>
            <a:solidFill>
              <a:schemeClr val="accent1"/>
            </a:solidFill>
            <a:ln>
              <a:solidFill>
                <a:schemeClr val="accent1"/>
              </a:solidFill>
            </a:ln>
          </c:spPr>
          <c:cat>
            <c:numRef>
              <c:f>'NG Analysis'!$A$233:$A$322</c:f>
              <c:numCache>
                <c:formatCode>[$-409]mmm-yy;@</c:formatCode>
                <c:ptCount val="90"/>
                <c:pt idx="0">
                  <c:v>40909</c:v>
                </c:pt>
                <c:pt idx="1">
                  <c:v>40940</c:v>
                </c:pt>
                <c:pt idx="2">
                  <c:v>40969</c:v>
                </c:pt>
                <c:pt idx="3">
                  <c:v>41000</c:v>
                </c:pt>
                <c:pt idx="4">
                  <c:v>41030</c:v>
                </c:pt>
                <c:pt idx="5">
                  <c:v>41061</c:v>
                </c:pt>
                <c:pt idx="6">
                  <c:v>41091</c:v>
                </c:pt>
                <c:pt idx="7">
                  <c:v>41122</c:v>
                </c:pt>
                <c:pt idx="8">
                  <c:v>41153</c:v>
                </c:pt>
                <c:pt idx="9">
                  <c:v>41183</c:v>
                </c:pt>
                <c:pt idx="10">
                  <c:v>41214</c:v>
                </c:pt>
                <c:pt idx="11">
                  <c:v>41244</c:v>
                </c:pt>
                <c:pt idx="12">
                  <c:v>41275</c:v>
                </c:pt>
                <c:pt idx="13">
                  <c:v>41306</c:v>
                </c:pt>
                <c:pt idx="14">
                  <c:v>41334</c:v>
                </c:pt>
                <c:pt idx="15">
                  <c:v>41365</c:v>
                </c:pt>
                <c:pt idx="16">
                  <c:v>41395</c:v>
                </c:pt>
                <c:pt idx="17">
                  <c:v>41426</c:v>
                </c:pt>
                <c:pt idx="18">
                  <c:v>41456</c:v>
                </c:pt>
                <c:pt idx="19">
                  <c:v>41487</c:v>
                </c:pt>
                <c:pt idx="20">
                  <c:v>41518</c:v>
                </c:pt>
                <c:pt idx="21">
                  <c:v>41548</c:v>
                </c:pt>
                <c:pt idx="22">
                  <c:v>41579</c:v>
                </c:pt>
                <c:pt idx="23">
                  <c:v>41609</c:v>
                </c:pt>
                <c:pt idx="24">
                  <c:v>41640</c:v>
                </c:pt>
                <c:pt idx="25">
                  <c:v>41671</c:v>
                </c:pt>
                <c:pt idx="26">
                  <c:v>41699</c:v>
                </c:pt>
                <c:pt idx="27">
                  <c:v>41730</c:v>
                </c:pt>
                <c:pt idx="28">
                  <c:v>41760</c:v>
                </c:pt>
                <c:pt idx="29">
                  <c:v>41791</c:v>
                </c:pt>
                <c:pt idx="30">
                  <c:v>41821</c:v>
                </c:pt>
                <c:pt idx="31">
                  <c:v>41852</c:v>
                </c:pt>
                <c:pt idx="32">
                  <c:v>41883</c:v>
                </c:pt>
                <c:pt idx="33">
                  <c:v>41913</c:v>
                </c:pt>
                <c:pt idx="34">
                  <c:v>41944</c:v>
                </c:pt>
                <c:pt idx="35">
                  <c:v>41974</c:v>
                </c:pt>
                <c:pt idx="36">
                  <c:v>42005</c:v>
                </c:pt>
                <c:pt idx="37">
                  <c:v>42036</c:v>
                </c:pt>
                <c:pt idx="38">
                  <c:v>42064</c:v>
                </c:pt>
                <c:pt idx="39">
                  <c:v>42095</c:v>
                </c:pt>
                <c:pt idx="40">
                  <c:v>42125</c:v>
                </c:pt>
                <c:pt idx="41">
                  <c:v>42156</c:v>
                </c:pt>
                <c:pt idx="42">
                  <c:v>42186</c:v>
                </c:pt>
                <c:pt idx="43">
                  <c:v>42217</c:v>
                </c:pt>
                <c:pt idx="44">
                  <c:v>42248</c:v>
                </c:pt>
                <c:pt idx="45">
                  <c:v>42278</c:v>
                </c:pt>
                <c:pt idx="46">
                  <c:v>42309</c:v>
                </c:pt>
                <c:pt idx="47">
                  <c:v>42339</c:v>
                </c:pt>
                <c:pt idx="48">
                  <c:v>42370</c:v>
                </c:pt>
                <c:pt idx="49">
                  <c:v>42401</c:v>
                </c:pt>
                <c:pt idx="50">
                  <c:v>42430</c:v>
                </c:pt>
                <c:pt idx="51">
                  <c:v>42461</c:v>
                </c:pt>
                <c:pt idx="52">
                  <c:v>42491</c:v>
                </c:pt>
                <c:pt idx="53">
                  <c:v>42522</c:v>
                </c:pt>
                <c:pt idx="54">
                  <c:v>42552</c:v>
                </c:pt>
                <c:pt idx="55">
                  <c:v>42583</c:v>
                </c:pt>
                <c:pt idx="56">
                  <c:v>42614</c:v>
                </c:pt>
                <c:pt idx="57">
                  <c:v>42644</c:v>
                </c:pt>
                <c:pt idx="58">
                  <c:v>42675</c:v>
                </c:pt>
                <c:pt idx="59">
                  <c:v>42705</c:v>
                </c:pt>
                <c:pt idx="60">
                  <c:v>42736</c:v>
                </c:pt>
                <c:pt idx="61">
                  <c:v>42767</c:v>
                </c:pt>
                <c:pt idx="62">
                  <c:v>42795</c:v>
                </c:pt>
                <c:pt idx="63">
                  <c:v>42826</c:v>
                </c:pt>
                <c:pt idx="64">
                  <c:v>42856</c:v>
                </c:pt>
                <c:pt idx="65">
                  <c:v>42887</c:v>
                </c:pt>
                <c:pt idx="66">
                  <c:v>42917</c:v>
                </c:pt>
                <c:pt idx="67">
                  <c:v>42948</c:v>
                </c:pt>
                <c:pt idx="68">
                  <c:v>42979</c:v>
                </c:pt>
                <c:pt idx="69">
                  <c:v>43009</c:v>
                </c:pt>
                <c:pt idx="70">
                  <c:v>43040</c:v>
                </c:pt>
                <c:pt idx="71">
                  <c:v>43070</c:v>
                </c:pt>
                <c:pt idx="72">
                  <c:v>43101</c:v>
                </c:pt>
                <c:pt idx="73">
                  <c:v>43132</c:v>
                </c:pt>
                <c:pt idx="74">
                  <c:v>43160</c:v>
                </c:pt>
                <c:pt idx="75">
                  <c:v>43191</c:v>
                </c:pt>
                <c:pt idx="76">
                  <c:v>43221</c:v>
                </c:pt>
                <c:pt idx="77">
                  <c:v>43252</c:v>
                </c:pt>
                <c:pt idx="78">
                  <c:v>43282</c:v>
                </c:pt>
                <c:pt idx="79">
                  <c:v>43313</c:v>
                </c:pt>
                <c:pt idx="80">
                  <c:v>43344</c:v>
                </c:pt>
                <c:pt idx="81">
                  <c:v>43374</c:v>
                </c:pt>
                <c:pt idx="82">
                  <c:v>43405</c:v>
                </c:pt>
                <c:pt idx="83">
                  <c:v>43435</c:v>
                </c:pt>
                <c:pt idx="84">
                  <c:v>43466</c:v>
                </c:pt>
                <c:pt idx="85">
                  <c:v>43497</c:v>
                </c:pt>
                <c:pt idx="86">
                  <c:v>43525</c:v>
                </c:pt>
                <c:pt idx="87">
                  <c:v>43556</c:v>
                </c:pt>
                <c:pt idx="88">
                  <c:v>43586</c:v>
                </c:pt>
                <c:pt idx="89">
                  <c:v>43617</c:v>
                </c:pt>
              </c:numCache>
            </c:numRef>
          </c:cat>
          <c:val>
            <c:numRef>
              <c:f>'NG Analysis'!$C$233:$C$322</c:f>
              <c:numCache>
                <c:formatCode>0.00_);[Red]\(0.00\)</c:formatCode>
                <c:ptCount val="90"/>
                <c:pt idx="0">
                  <c:v>110.67641450594077</c:v>
                </c:pt>
                <c:pt idx="1">
                  <c:v>86.080388053429772</c:v>
                </c:pt>
                <c:pt idx="2">
                  <c:v>78.268348726027085</c:v>
                </c:pt>
                <c:pt idx="3">
                  <c:v>62.98083944570196</c:v>
                </c:pt>
                <c:pt idx="4">
                  <c:v>46.952203773786366</c:v>
                </c:pt>
                <c:pt idx="5">
                  <c:v>44.109626167421865</c:v>
                </c:pt>
                <c:pt idx="6">
                  <c:v>38.572839005636759</c:v>
                </c:pt>
                <c:pt idx="7">
                  <c:v>40.686379568978985</c:v>
                </c:pt>
                <c:pt idx="8">
                  <c:v>38.62200654168484</c:v>
                </c:pt>
                <c:pt idx="9">
                  <c:v>81.728995934687759</c:v>
                </c:pt>
                <c:pt idx="10">
                  <c:v>114.62678198383027</c:v>
                </c:pt>
                <c:pt idx="11">
                  <c:v>135.87316923267124</c:v>
                </c:pt>
                <c:pt idx="12">
                  <c:v>118.84553489725054</c:v>
                </c:pt>
                <c:pt idx="13">
                  <c:v>97.593078533749576</c:v>
                </c:pt>
                <c:pt idx="14">
                  <c:v>106.07401798897844</c:v>
                </c:pt>
                <c:pt idx="15">
                  <c:v>99.481510100027037</c:v>
                </c:pt>
                <c:pt idx="16">
                  <c:v>66.975320096486413</c:v>
                </c:pt>
                <c:pt idx="17">
                  <c:v>57.414945728342317</c:v>
                </c:pt>
                <c:pt idx="18">
                  <c:v>49.639164247460933</c:v>
                </c:pt>
                <c:pt idx="19">
                  <c:v>45.111280260525895</c:v>
                </c:pt>
                <c:pt idx="20">
                  <c:v>53.888467957953324</c:v>
                </c:pt>
                <c:pt idx="21">
                  <c:v>79.87600848638165</c:v>
                </c:pt>
                <c:pt idx="22">
                  <c:v>131.19649626704214</c:v>
                </c:pt>
                <c:pt idx="23">
                  <c:v>156.04849560306945</c:v>
                </c:pt>
                <c:pt idx="24">
                  <c:v>145.53783266074225</c:v>
                </c:pt>
                <c:pt idx="25">
                  <c:v>191.58054732161304</c:v>
                </c:pt>
                <c:pt idx="26">
                  <c:v>290.41284828816111</c:v>
                </c:pt>
                <c:pt idx="27">
                  <c:v>107.87069425641586</c:v>
                </c:pt>
                <c:pt idx="28">
                  <c:v>83.303784609278566</c:v>
                </c:pt>
                <c:pt idx="29">
                  <c:v>56.39611100202147</c:v>
                </c:pt>
                <c:pt idx="30">
                  <c:v>56.0519489421348</c:v>
                </c:pt>
                <c:pt idx="31">
                  <c:v>55.40321760915463</c:v>
                </c:pt>
                <c:pt idx="32">
                  <c:v>70.595962905365027</c:v>
                </c:pt>
                <c:pt idx="33">
                  <c:v>93.661134078745661</c:v>
                </c:pt>
                <c:pt idx="34">
                  <c:v>124.75058571022659</c:v>
                </c:pt>
                <c:pt idx="35">
                  <c:v>140.55196539239572</c:v>
                </c:pt>
                <c:pt idx="36">
                  <c:v>128.83682163849937</c:v>
                </c:pt>
                <c:pt idx="37">
                  <c:v>110.79442922292377</c:v>
                </c:pt>
                <c:pt idx="38">
                  <c:v>100.13054963966638</c:v>
                </c:pt>
                <c:pt idx="39">
                  <c:v>85.900388043256001</c:v>
                </c:pt>
                <c:pt idx="40">
                  <c:v>65.22329934745909</c:v>
                </c:pt>
                <c:pt idx="41">
                  <c:v>56.792438954469745</c:v>
                </c:pt>
                <c:pt idx="42">
                  <c:v>47.973447936823277</c:v>
                </c:pt>
                <c:pt idx="43">
                  <c:v>51.095557892569801</c:v>
                </c:pt>
                <c:pt idx="44">
                  <c:v>67.369676375690318</c:v>
                </c:pt>
                <c:pt idx="45">
                  <c:v>77.714134720691305</c:v>
                </c:pt>
                <c:pt idx="46">
                  <c:v>106.91253460289242</c:v>
                </c:pt>
                <c:pt idx="47">
                  <c:v>121.49629415484651</c:v>
                </c:pt>
                <c:pt idx="48">
                  <c:v>113.66527840807856</c:v>
                </c:pt>
                <c:pt idx="49">
                  <c:v>102.15330785558639</c:v>
                </c:pt>
                <c:pt idx="50">
                  <c:v>92.032924561641124</c:v>
                </c:pt>
                <c:pt idx="51">
                  <c:v>57.390607796100561</c:v>
                </c:pt>
                <c:pt idx="52">
                  <c:v>55.699575264630532</c:v>
                </c:pt>
                <c:pt idx="53">
                  <c:v>45.838776888322961</c:v>
                </c:pt>
                <c:pt idx="54">
                  <c:v>47.819811903232178</c:v>
                </c:pt>
                <c:pt idx="55">
                  <c:v>51.38175067679682</c:v>
                </c:pt>
                <c:pt idx="56">
                  <c:v>65.636559674753059</c:v>
                </c:pt>
                <c:pt idx="57">
                  <c:v>106.61550104834454</c:v>
                </c:pt>
                <c:pt idx="58">
                  <c:v>109.7877683159076</c:v>
                </c:pt>
                <c:pt idx="59">
                  <c:v>158.43155024460896</c:v>
                </c:pt>
                <c:pt idx="60">
                  <c:v>192.15131520131538</c:v>
                </c:pt>
                <c:pt idx="61">
                  <c:v>155.93448000739468</c:v>
                </c:pt>
                <c:pt idx="62">
                  <c:v>134.24090970261412</c:v>
                </c:pt>
                <c:pt idx="63">
                  <c:v>100.21660758273963</c:v>
                </c:pt>
                <c:pt idx="64">
                  <c:v>66.036502159408244</c:v>
                </c:pt>
                <c:pt idx="65">
                  <c:v>50.967416976199523</c:v>
                </c:pt>
                <c:pt idx="66">
                  <c:v>52.739315303329278</c:v>
                </c:pt>
                <c:pt idx="67">
                  <c:v>53.567577467174374</c:v>
                </c:pt>
                <c:pt idx="68">
                  <c:v>61.991489151410498</c:v>
                </c:pt>
                <c:pt idx="69">
                  <c:v>87.916472197210851</c:v>
                </c:pt>
                <c:pt idx="70">
                  <c:v>129.83186386517079</c:v>
                </c:pt>
                <c:pt idx="71">
                  <c:v>134.75395540569266</c:v>
                </c:pt>
                <c:pt idx="72">
                  <c:v>151.08348440722767</c:v>
                </c:pt>
                <c:pt idx="73">
                  <c:v>174.28956965864296</c:v>
                </c:pt>
                <c:pt idx="74">
                  <c:v>125.75181616504598</c:v>
                </c:pt>
                <c:pt idx="75">
                  <c:v>105.73382805571367</c:v>
                </c:pt>
                <c:pt idx="76">
                  <c:v>54.93378792262952</c:v>
                </c:pt>
                <c:pt idx="77">
                  <c:v>47.346760186718846</c:v>
                </c:pt>
                <c:pt idx="78">
                  <c:v>50.354486965920238</c:v>
                </c:pt>
                <c:pt idx="79">
                  <c:v>51.000696333151538</c:v>
                </c:pt>
                <c:pt idx="80">
                  <c:v>70.60316676042919</c:v>
                </c:pt>
                <c:pt idx="81">
                  <c:v>87.287621919425717</c:v>
                </c:pt>
                <c:pt idx="82">
                  <c:v>114.4528104862833</c:v>
                </c:pt>
                <c:pt idx="83">
                  <c:v>125.58640441073138</c:v>
                </c:pt>
                <c:pt idx="84">
                  <c:v>120.86879919119347</c:v>
                </c:pt>
                <c:pt idx="85">
                  <c:v>179.51039671386988</c:v>
                </c:pt>
                <c:pt idx="86">
                  <c:v>157.23130726227279</c:v>
                </c:pt>
                <c:pt idx="87">
                  <c:v>107.54154618141597</c:v>
                </c:pt>
                <c:pt idx="88">
                  <c:v>89.294223888593962</c:v>
                </c:pt>
                <c:pt idx="89">
                  <c:v>50.464848392912721</c:v>
                </c:pt>
              </c:numCache>
            </c:numRef>
          </c:val>
        </c:ser>
        <c:dLbls>
          <c:showLegendKey val="0"/>
          <c:showVal val="0"/>
          <c:showCatName val="0"/>
          <c:showSerName val="0"/>
          <c:showPercent val="0"/>
          <c:showBubbleSize val="0"/>
        </c:dLbls>
        <c:axId val="251939456"/>
        <c:axId val="251945344"/>
      </c:areaChart>
      <c:lineChart>
        <c:grouping val="standard"/>
        <c:varyColors val="0"/>
        <c:ser>
          <c:idx val="1"/>
          <c:order val="1"/>
          <c:tx>
            <c:strRef>
              <c:f>'NG Analysis'!$E$232</c:f>
              <c:strCache>
                <c:ptCount val="1"/>
                <c:pt idx="0">
                  <c:v>DRT Rate (Rider F) ($/GJ)</c:v>
                </c:pt>
              </c:strCache>
            </c:strRef>
          </c:tx>
          <c:spPr>
            <a:ln w="38100">
              <a:solidFill>
                <a:srgbClr val="FFC000"/>
              </a:solidFill>
            </a:ln>
          </c:spPr>
          <c:marker>
            <c:symbol val="none"/>
          </c:marker>
          <c:cat>
            <c:numRef>
              <c:f>'NG Analysis'!$A$233:$A$319</c:f>
              <c:numCache>
                <c:formatCode>[$-409]mmm-yy;@</c:formatCode>
                <c:ptCount val="87"/>
                <c:pt idx="0">
                  <c:v>40909</c:v>
                </c:pt>
                <c:pt idx="1">
                  <c:v>40940</c:v>
                </c:pt>
                <c:pt idx="2">
                  <c:v>40969</c:v>
                </c:pt>
                <c:pt idx="3">
                  <c:v>41000</c:v>
                </c:pt>
                <c:pt idx="4">
                  <c:v>41030</c:v>
                </c:pt>
                <c:pt idx="5">
                  <c:v>41061</c:v>
                </c:pt>
                <c:pt idx="6">
                  <c:v>41091</c:v>
                </c:pt>
                <c:pt idx="7">
                  <c:v>41122</c:v>
                </c:pt>
                <c:pt idx="8">
                  <c:v>41153</c:v>
                </c:pt>
                <c:pt idx="9">
                  <c:v>41183</c:v>
                </c:pt>
                <c:pt idx="10">
                  <c:v>41214</c:v>
                </c:pt>
                <c:pt idx="11">
                  <c:v>41244</c:v>
                </c:pt>
                <c:pt idx="12">
                  <c:v>41275</c:v>
                </c:pt>
                <c:pt idx="13">
                  <c:v>41306</c:v>
                </c:pt>
                <c:pt idx="14">
                  <c:v>41334</c:v>
                </c:pt>
                <c:pt idx="15">
                  <c:v>41365</c:v>
                </c:pt>
                <c:pt idx="16">
                  <c:v>41395</c:v>
                </c:pt>
                <c:pt idx="17">
                  <c:v>41426</c:v>
                </c:pt>
                <c:pt idx="18">
                  <c:v>41456</c:v>
                </c:pt>
                <c:pt idx="19">
                  <c:v>41487</c:v>
                </c:pt>
                <c:pt idx="20">
                  <c:v>41518</c:v>
                </c:pt>
                <c:pt idx="21">
                  <c:v>41548</c:v>
                </c:pt>
                <c:pt idx="22">
                  <c:v>41579</c:v>
                </c:pt>
                <c:pt idx="23">
                  <c:v>41609</c:v>
                </c:pt>
                <c:pt idx="24">
                  <c:v>41640</c:v>
                </c:pt>
                <c:pt idx="25">
                  <c:v>41671</c:v>
                </c:pt>
                <c:pt idx="26">
                  <c:v>41699</c:v>
                </c:pt>
                <c:pt idx="27">
                  <c:v>41730</c:v>
                </c:pt>
                <c:pt idx="28">
                  <c:v>41760</c:v>
                </c:pt>
                <c:pt idx="29">
                  <c:v>41791</c:v>
                </c:pt>
                <c:pt idx="30">
                  <c:v>41821</c:v>
                </c:pt>
                <c:pt idx="31">
                  <c:v>41852</c:v>
                </c:pt>
                <c:pt idx="32">
                  <c:v>41883</c:v>
                </c:pt>
                <c:pt idx="33">
                  <c:v>41913</c:v>
                </c:pt>
                <c:pt idx="34">
                  <c:v>41944</c:v>
                </c:pt>
                <c:pt idx="35">
                  <c:v>41974</c:v>
                </c:pt>
                <c:pt idx="36">
                  <c:v>42005</c:v>
                </c:pt>
                <c:pt idx="37">
                  <c:v>42036</c:v>
                </c:pt>
                <c:pt idx="38">
                  <c:v>42064</c:v>
                </c:pt>
                <c:pt idx="39">
                  <c:v>42095</c:v>
                </c:pt>
                <c:pt idx="40">
                  <c:v>42125</c:v>
                </c:pt>
                <c:pt idx="41">
                  <c:v>42156</c:v>
                </c:pt>
                <c:pt idx="42">
                  <c:v>42186</c:v>
                </c:pt>
                <c:pt idx="43">
                  <c:v>42217</c:v>
                </c:pt>
                <c:pt idx="44">
                  <c:v>42248</c:v>
                </c:pt>
                <c:pt idx="45">
                  <c:v>42278</c:v>
                </c:pt>
                <c:pt idx="46">
                  <c:v>42309</c:v>
                </c:pt>
                <c:pt idx="47">
                  <c:v>42339</c:v>
                </c:pt>
                <c:pt idx="48">
                  <c:v>42370</c:v>
                </c:pt>
                <c:pt idx="49">
                  <c:v>42401</c:v>
                </c:pt>
                <c:pt idx="50">
                  <c:v>42430</c:v>
                </c:pt>
                <c:pt idx="51">
                  <c:v>42461</c:v>
                </c:pt>
                <c:pt idx="52">
                  <c:v>42491</c:v>
                </c:pt>
                <c:pt idx="53">
                  <c:v>42522</c:v>
                </c:pt>
                <c:pt idx="54">
                  <c:v>42552</c:v>
                </c:pt>
                <c:pt idx="55">
                  <c:v>42583</c:v>
                </c:pt>
                <c:pt idx="56">
                  <c:v>42614</c:v>
                </c:pt>
                <c:pt idx="57">
                  <c:v>42644</c:v>
                </c:pt>
                <c:pt idx="58">
                  <c:v>42675</c:v>
                </c:pt>
                <c:pt idx="59">
                  <c:v>42705</c:v>
                </c:pt>
                <c:pt idx="60">
                  <c:v>42736</c:v>
                </c:pt>
                <c:pt idx="61">
                  <c:v>42767</c:v>
                </c:pt>
                <c:pt idx="62">
                  <c:v>42795</c:v>
                </c:pt>
                <c:pt idx="63">
                  <c:v>42826</c:v>
                </c:pt>
                <c:pt idx="64">
                  <c:v>42856</c:v>
                </c:pt>
                <c:pt idx="65">
                  <c:v>42887</c:v>
                </c:pt>
                <c:pt idx="66">
                  <c:v>42917</c:v>
                </c:pt>
                <c:pt idx="67">
                  <c:v>42948</c:v>
                </c:pt>
                <c:pt idx="68">
                  <c:v>42979</c:v>
                </c:pt>
                <c:pt idx="69">
                  <c:v>43009</c:v>
                </c:pt>
                <c:pt idx="70">
                  <c:v>43040</c:v>
                </c:pt>
                <c:pt idx="71">
                  <c:v>43070</c:v>
                </c:pt>
                <c:pt idx="72">
                  <c:v>43101</c:v>
                </c:pt>
                <c:pt idx="73">
                  <c:v>43132</c:v>
                </c:pt>
                <c:pt idx="74">
                  <c:v>43160</c:v>
                </c:pt>
                <c:pt idx="75">
                  <c:v>43191</c:v>
                </c:pt>
                <c:pt idx="76">
                  <c:v>43221</c:v>
                </c:pt>
                <c:pt idx="77">
                  <c:v>43252</c:v>
                </c:pt>
                <c:pt idx="78">
                  <c:v>43282</c:v>
                </c:pt>
                <c:pt idx="79">
                  <c:v>43313</c:v>
                </c:pt>
                <c:pt idx="80">
                  <c:v>43344</c:v>
                </c:pt>
                <c:pt idx="81">
                  <c:v>43374</c:v>
                </c:pt>
                <c:pt idx="82">
                  <c:v>43405</c:v>
                </c:pt>
                <c:pt idx="83">
                  <c:v>43435</c:v>
                </c:pt>
                <c:pt idx="84">
                  <c:v>43466</c:v>
                </c:pt>
                <c:pt idx="85">
                  <c:v>43497</c:v>
                </c:pt>
                <c:pt idx="86">
                  <c:v>43525</c:v>
                </c:pt>
              </c:numCache>
            </c:numRef>
          </c:cat>
          <c:val>
            <c:numRef>
              <c:f>'NG Analysis'!$E$233:$E$322</c:f>
              <c:numCache>
                <c:formatCode>0.0000_);[Red]\(0.0000\)</c:formatCode>
                <c:ptCount val="90"/>
                <c:pt idx="0">
                  <c:v>2.9569999999999999</c:v>
                </c:pt>
                <c:pt idx="1">
                  <c:v>2.0640000000000001</c:v>
                </c:pt>
                <c:pt idx="2">
                  <c:v>2.0990000000000002</c:v>
                </c:pt>
                <c:pt idx="3">
                  <c:v>1.7</c:v>
                </c:pt>
                <c:pt idx="4">
                  <c:v>1.331</c:v>
                </c:pt>
                <c:pt idx="5">
                  <c:v>2.7480000000000002</c:v>
                </c:pt>
                <c:pt idx="6">
                  <c:v>2.21</c:v>
                </c:pt>
                <c:pt idx="7">
                  <c:v>2.1859999999999999</c:v>
                </c:pt>
                <c:pt idx="8">
                  <c:v>1.7010000000000001</c:v>
                </c:pt>
                <c:pt idx="9">
                  <c:v>2.5830000000000002</c:v>
                </c:pt>
                <c:pt idx="10">
                  <c:v>3.573</c:v>
                </c:pt>
                <c:pt idx="11">
                  <c:v>3.5419999999999998</c:v>
                </c:pt>
                <c:pt idx="12">
                  <c:v>2.9169999999999998</c:v>
                </c:pt>
                <c:pt idx="13">
                  <c:v>3.2530000000000001</c:v>
                </c:pt>
                <c:pt idx="14">
                  <c:v>2.8439999999999999</c:v>
                </c:pt>
                <c:pt idx="15">
                  <c:v>3.472</c:v>
                </c:pt>
                <c:pt idx="16">
                  <c:v>4.1459999999999999</c:v>
                </c:pt>
                <c:pt idx="17">
                  <c:v>4.2889999999999997</c:v>
                </c:pt>
                <c:pt idx="18">
                  <c:v>2.9260000000000002</c:v>
                </c:pt>
                <c:pt idx="19">
                  <c:v>2.0539999999999998</c:v>
                </c:pt>
                <c:pt idx="20">
                  <c:v>2.5470000000000002</c:v>
                </c:pt>
                <c:pt idx="21">
                  <c:v>2.3969999999999998</c:v>
                </c:pt>
                <c:pt idx="22">
                  <c:v>3.6850000000000001</c:v>
                </c:pt>
                <c:pt idx="23">
                  <c:v>3.294</c:v>
                </c:pt>
                <c:pt idx="24">
                  <c:v>4.1070000000000002</c:v>
                </c:pt>
                <c:pt idx="25">
                  <c:v>4.4939999999999998</c:v>
                </c:pt>
                <c:pt idx="26">
                  <c:v>9.3879999999999999</c:v>
                </c:pt>
                <c:pt idx="27">
                  <c:v>4.226</c:v>
                </c:pt>
                <c:pt idx="28">
                  <c:v>3.915</c:v>
                </c:pt>
                <c:pt idx="29">
                  <c:v>2.73</c:v>
                </c:pt>
                <c:pt idx="30">
                  <c:v>5.1379999999999999</c:v>
                </c:pt>
                <c:pt idx="31">
                  <c:v>3.7490000000000001</c:v>
                </c:pt>
                <c:pt idx="32">
                  <c:v>3.7080000000000002</c:v>
                </c:pt>
                <c:pt idx="33">
                  <c:v>4.18</c:v>
                </c:pt>
                <c:pt idx="34">
                  <c:v>3.6829999999999998</c:v>
                </c:pt>
                <c:pt idx="35">
                  <c:v>4.1820000000000004</c:v>
                </c:pt>
                <c:pt idx="36">
                  <c:v>3.1059999999999999</c:v>
                </c:pt>
                <c:pt idx="37">
                  <c:v>2.6080000000000001</c:v>
                </c:pt>
                <c:pt idx="38">
                  <c:v>2.97</c:v>
                </c:pt>
                <c:pt idx="39">
                  <c:v>2.903</c:v>
                </c:pt>
                <c:pt idx="40">
                  <c:v>2.2269999999999999</c:v>
                </c:pt>
                <c:pt idx="41">
                  <c:v>3.7410000000000001</c:v>
                </c:pt>
                <c:pt idx="42">
                  <c:v>2.133</c:v>
                </c:pt>
                <c:pt idx="43">
                  <c:v>2.4449999999999998</c:v>
                </c:pt>
                <c:pt idx="44">
                  <c:v>3.0710000000000002</c:v>
                </c:pt>
                <c:pt idx="45">
                  <c:v>2.8279999999999998</c:v>
                </c:pt>
                <c:pt idx="46">
                  <c:v>2.5539999999999998</c:v>
                </c:pt>
                <c:pt idx="47">
                  <c:v>2.2000000000000002</c:v>
                </c:pt>
                <c:pt idx="48">
                  <c:v>2.004</c:v>
                </c:pt>
                <c:pt idx="49">
                  <c:v>2.97</c:v>
                </c:pt>
                <c:pt idx="50">
                  <c:v>2.165</c:v>
                </c:pt>
                <c:pt idx="51">
                  <c:v>0.86199999999999999</c:v>
                </c:pt>
                <c:pt idx="52">
                  <c:v>0.79500000000000004</c:v>
                </c:pt>
                <c:pt idx="53">
                  <c:v>1.3740000000000001</c:v>
                </c:pt>
                <c:pt idx="54">
                  <c:v>1.631</c:v>
                </c:pt>
                <c:pt idx="55">
                  <c:v>2.3639999999999999</c:v>
                </c:pt>
                <c:pt idx="56">
                  <c:v>2.351</c:v>
                </c:pt>
                <c:pt idx="57">
                  <c:v>2.6589999999999998</c:v>
                </c:pt>
                <c:pt idx="58">
                  <c:v>3.3029999999999999</c:v>
                </c:pt>
                <c:pt idx="59">
                  <c:v>2.5790000000000002</c:v>
                </c:pt>
                <c:pt idx="60">
                  <c:v>3.7450000000000001</c:v>
                </c:pt>
                <c:pt idx="61">
                  <c:v>2.6419999999999999</c:v>
                </c:pt>
                <c:pt idx="62">
                  <c:v>1.885</c:v>
                </c:pt>
                <c:pt idx="63">
                  <c:v>2.2669999999999999</c:v>
                </c:pt>
                <c:pt idx="64">
                  <c:v>1.952</c:v>
                </c:pt>
                <c:pt idx="65">
                  <c:v>1.2350000000000001</c:v>
                </c:pt>
                <c:pt idx="66">
                  <c:v>1.8220000000000001</c:v>
                </c:pt>
                <c:pt idx="67">
                  <c:v>2.3279999999999998</c:v>
                </c:pt>
                <c:pt idx="68">
                  <c:v>1.4339999999999999</c:v>
                </c:pt>
                <c:pt idx="69">
                  <c:v>1.6819999999999999</c:v>
                </c:pt>
                <c:pt idx="70">
                  <c:v>1.825</c:v>
                </c:pt>
                <c:pt idx="71">
                  <c:v>2.3029999999999999</c:v>
                </c:pt>
                <c:pt idx="72">
                  <c:v>1.911</c:v>
                </c:pt>
                <c:pt idx="73">
                  <c:v>2.3279999999999998</c:v>
                </c:pt>
                <c:pt idx="74">
                  <c:v>1.7330000000000001</c:v>
                </c:pt>
                <c:pt idx="75">
                  <c:v>1.9670000000000001</c:v>
                </c:pt>
                <c:pt idx="76">
                  <c:v>0.98899999999999999</c:v>
                </c:pt>
                <c:pt idx="77">
                  <c:v>0.54400000000000004</c:v>
                </c:pt>
                <c:pt idx="78">
                  <c:v>1.4850000000000001</c:v>
                </c:pt>
                <c:pt idx="79">
                  <c:v>1.1599999999999999</c:v>
                </c:pt>
                <c:pt idx="80">
                  <c:v>1.321</c:v>
                </c:pt>
                <c:pt idx="81">
                  <c:v>1.3220000000000001</c:v>
                </c:pt>
                <c:pt idx="82">
                  <c:v>2.3690000000000002</c:v>
                </c:pt>
                <c:pt idx="83">
                  <c:v>2.004</c:v>
                </c:pt>
                <c:pt idx="84">
                  <c:v>1.5149999999999999</c:v>
                </c:pt>
                <c:pt idx="85">
                  <c:v>1.99</c:v>
                </c:pt>
                <c:pt idx="86">
                  <c:v>3.18</c:v>
                </c:pt>
                <c:pt idx="87">
                  <c:v>2.89</c:v>
                </c:pt>
                <c:pt idx="88">
                  <c:v>2.2850000000000001</c:v>
                </c:pt>
                <c:pt idx="89">
                  <c:v>0.36499999999999999</c:v>
                </c:pt>
              </c:numCache>
            </c:numRef>
          </c:val>
          <c:smooth val="0"/>
        </c:ser>
        <c:dLbls>
          <c:showLegendKey val="0"/>
          <c:showVal val="0"/>
          <c:showCatName val="0"/>
          <c:showSerName val="0"/>
          <c:showPercent val="0"/>
          <c:showBubbleSize val="0"/>
        </c:dLbls>
        <c:marker val="1"/>
        <c:smooth val="0"/>
        <c:axId val="251948416"/>
        <c:axId val="251946880"/>
      </c:lineChart>
      <c:dateAx>
        <c:axId val="251939456"/>
        <c:scaling>
          <c:orientation val="minMax"/>
        </c:scaling>
        <c:delete val="0"/>
        <c:axPos val="b"/>
        <c:numFmt formatCode="[$-409]mmm-yy;@" sourceLinked="1"/>
        <c:majorTickMark val="out"/>
        <c:minorTickMark val="none"/>
        <c:tickLblPos val="nextTo"/>
        <c:crossAx val="251945344"/>
        <c:crosses val="autoZero"/>
        <c:auto val="1"/>
        <c:lblOffset val="100"/>
        <c:baseTimeUnit val="months"/>
      </c:dateAx>
      <c:valAx>
        <c:axId val="251945344"/>
        <c:scaling>
          <c:orientation val="minMax"/>
        </c:scaling>
        <c:delete val="0"/>
        <c:axPos val="l"/>
        <c:majorGridlines>
          <c:spPr>
            <a:ln>
              <a:solidFill>
                <a:schemeClr val="bg1">
                  <a:lumMod val="85000"/>
                </a:schemeClr>
              </a:solidFill>
              <a:prstDash val="dash"/>
            </a:ln>
          </c:spPr>
        </c:majorGridlines>
        <c:numFmt formatCode="&quot;$&quot;#,##0" sourceLinked="0"/>
        <c:majorTickMark val="none"/>
        <c:minorTickMark val="none"/>
        <c:tickLblPos val="nextTo"/>
        <c:spPr>
          <a:ln w="9525">
            <a:noFill/>
          </a:ln>
        </c:spPr>
        <c:crossAx val="251939456"/>
        <c:crosses val="autoZero"/>
        <c:crossBetween val="midCat"/>
      </c:valAx>
      <c:valAx>
        <c:axId val="251946880"/>
        <c:scaling>
          <c:orientation val="minMax"/>
        </c:scaling>
        <c:delete val="0"/>
        <c:axPos val="r"/>
        <c:numFmt formatCode="&quot;$&quot;#,##0" sourceLinked="0"/>
        <c:majorTickMark val="out"/>
        <c:minorTickMark val="none"/>
        <c:tickLblPos val="nextTo"/>
        <c:crossAx val="251948416"/>
        <c:crosses val="max"/>
        <c:crossBetween val="between"/>
      </c:valAx>
      <c:dateAx>
        <c:axId val="251948416"/>
        <c:scaling>
          <c:orientation val="minMax"/>
        </c:scaling>
        <c:delete val="1"/>
        <c:axPos val="b"/>
        <c:numFmt formatCode="[$-409]mmm-yy;@" sourceLinked="1"/>
        <c:majorTickMark val="out"/>
        <c:minorTickMark val="none"/>
        <c:tickLblPos val="nextTo"/>
        <c:crossAx val="251946880"/>
        <c:crosses val="autoZero"/>
        <c:auto val="1"/>
        <c:lblOffset val="100"/>
        <c:baseTimeUnit val="months"/>
      </c:dateAx>
    </c:plotArea>
    <c:legend>
      <c:legendPos val="b"/>
      <c:overlay val="0"/>
    </c:legend>
    <c:plotVisOnly val="1"/>
    <c:dispBlanksAs val="zero"/>
    <c:showDLblsOverMax val="0"/>
  </c:chart>
  <c:spPr>
    <a:ln>
      <a:noFill/>
    </a:ln>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'Misc. Data &amp; Mechanisms'!$Y$759</c:f>
          <c:strCache>
            <c:ptCount val="1"/>
            <c:pt idx="0">
              <c:v>Monthly Consumption vs. Energy Rate in the ATCO-S Service Zone</c:v>
            </c:pt>
          </c:strCache>
        </c:strRef>
      </c:tx>
      <c:overlay val="0"/>
    </c:title>
    <c:autoTitleDeleted val="0"/>
    <c:plotArea>
      <c:layout/>
      <c:lineChart>
        <c:grouping val="standard"/>
        <c:varyColors val="0"/>
        <c:ser>
          <c:idx val="0"/>
          <c:order val="0"/>
          <c:tx>
            <c:strRef>
              <c:f>'NG Analysis'!$D$232</c:f>
              <c:strCache>
                <c:ptCount val="1"/>
                <c:pt idx="0">
                  <c:v>Detached Home Consumption (GJ)</c:v>
                </c:pt>
              </c:strCache>
            </c:strRef>
          </c:tx>
          <c:spPr>
            <a:ln w="38100">
              <a:solidFill>
                <a:schemeClr val="accent2"/>
              </a:solidFill>
            </a:ln>
          </c:spPr>
          <c:marker>
            <c:symbol val="none"/>
          </c:marker>
          <c:cat>
            <c:numRef>
              <c:f>'NG Analysis'!$A$233:$A$322</c:f>
              <c:numCache>
                <c:formatCode>[$-409]mmm-yy;@</c:formatCode>
                <c:ptCount val="90"/>
                <c:pt idx="0">
                  <c:v>40909</c:v>
                </c:pt>
                <c:pt idx="1">
                  <c:v>40940</c:v>
                </c:pt>
                <c:pt idx="2">
                  <c:v>40969</c:v>
                </c:pt>
                <c:pt idx="3">
                  <c:v>41000</c:v>
                </c:pt>
                <c:pt idx="4">
                  <c:v>41030</c:v>
                </c:pt>
                <c:pt idx="5">
                  <c:v>41061</c:v>
                </c:pt>
                <c:pt idx="6">
                  <c:v>41091</c:v>
                </c:pt>
                <c:pt idx="7">
                  <c:v>41122</c:v>
                </c:pt>
                <c:pt idx="8">
                  <c:v>41153</c:v>
                </c:pt>
                <c:pt idx="9">
                  <c:v>41183</c:v>
                </c:pt>
                <c:pt idx="10">
                  <c:v>41214</c:v>
                </c:pt>
                <c:pt idx="11">
                  <c:v>41244</c:v>
                </c:pt>
                <c:pt idx="12">
                  <c:v>41275</c:v>
                </c:pt>
                <c:pt idx="13">
                  <c:v>41306</c:v>
                </c:pt>
                <c:pt idx="14">
                  <c:v>41334</c:v>
                </c:pt>
                <c:pt idx="15">
                  <c:v>41365</c:v>
                </c:pt>
                <c:pt idx="16">
                  <c:v>41395</c:v>
                </c:pt>
                <c:pt idx="17">
                  <c:v>41426</c:v>
                </c:pt>
                <c:pt idx="18">
                  <c:v>41456</c:v>
                </c:pt>
                <c:pt idx="19">
                  <c:v>41487</c:v>
                </c:pt>
                <c:pt idx="20">
                  <c:v>41518</c:v>
                </c:pt>
                <c:pt idx="21">
                  <c:v>41548</c:v>
                </c:pt>
                <c:pt idx="22">
                  <c:v>41579</c:v>
                </c:pt>
                <c:pt idx="23">
                  <c:v>41609</c:v>
                </c:pt>
                <c:pt idx="24">
                  <c:v>41640</c:v>
                </c:pt>
                <c:pt idx="25">
                  <c:v>41671</c:v>
                </c:pt>
                <c:pt idx="26">
                  <c:v>41699</c:v>
                </c:pt>
                <c:pt idx="27">
                  <c:v>41730</c:v>
                </c:pt>
                <c:pt idx="28">
                  <c:v>41760</c:v>
                </c:pt>
                <c:pt idx="29">
                  <c:v>41791</c:v>
                </c:pt>
                <c:pt idx="30">
                  <c:v>41821</c:v>
                </c:pt>
                <c:pt idx="31">
                  <c:v>41852</c:v>
                </c:pt>
                <c:pt idx="32">
                  <c:v>41883</c:v>
                </c:pt>
                <c:pt idx="33">
                  <c:v>41913</c:v>
                </c:pt>
                <c:pt idx="34">
                  <c:v>41944</c:v>
                </c:pt>
                <c:pt idx="35">
                  <c:v>41974</c:v>
                </c:pt>
                <c:pt idx="36">
                  <c:v>42005</c:v>
                </c:pt>
                <c:pt idx="37">
                  <c:v>42036</c:v>
                </c:pt>
                <c:pt idx="38">
                  <c:v>42064</c:v>
                </c:pt>
                <c:pt idx="39">
                  <c:v>42095</c:v>
                </c:pt>
                <c:pt idx="40">
                  <c:v>42125</c:v>
                </c:pt>
                <c:pt idx="41">
                  <c:v>42156</c:v>
                </c:pt>
                <c:pt idx="42">
                  <c:v>42186</c:v>
                </c:pt>
                <c:pt idx="43">
                  <c:v>42217</c:v>
                </c:pt>
                <c:pt idx="44">
                  <c:v>42248</c:v>
                </c:pt>
                <c:pt idx="45">
                  <c:v>42278</c:v>
                </c:pt>
                <c:pt idx="46">
                  <c:v>42309</c:v>
                </c:pt>
                <c:pt idx="47">
                  <c:v>42339</c:v>
                </c:pt>
                <c:pt idx="48">
                  <c:v>42370</c:v>
                </c:pt>
                <c:pt idx="49">
                  <c:v>42401</c:v>
                </c:pt>
                <c:pt idx="50">
                  <c:v>42430</c:v>
                </c:pt>
                <c:pt idx="51">
                  <c:v>42461</c:v>
                </c:pt>
                <c:pt idx="52">
                  <c:v>42491</c:v>
                </c:pt>
                <c:pt idx="53">
                  <c:v>42522</c:v>
                </c:pt>
                <c:pt idx="54">
                  <c:v>42552</c:v>
                </c:pt>
                <c:pt idx="55">
                  <c:v>42583</c:v>
                </c:pt>
                <c:pt idx="56">
                  <c:v>42614</c:v>
                </c:pt>
                <c:pt idx="57">
                  <c:v>42644</c:v>
                </c:pt>
                <c:pt idx="58">
                  <c:v>42675</c:v>
                </c:pt>
                <c:pt idx="59">
                  <c:v>42705</c:v>
                </c:pt>
                <c:pt idx="60">
                  <c:v>42736</c:v>
                </c:pt>
                <c:pt idx="61">
                  <c:v>42767</c:v>
                </c:pt>
                <c:pt idx="62">
                  <c:v>42795</c:v>
                </c:pt>
                <c:pt idx="63">
                  <c:v>42826</c:v>
                </c:pt>
                <c:pt idx="64">
                  <c:v>42856</c:v>
                </c:pt>
                <c:pt idx="65">
                  <c:v>42887</c:v>
                </c:pt>
                <c:pt idx="66">
                  <c:v>42917</c:v>
                </c:pt>
                <c:pt idx="67">
                  <c:v>42948</c:v>
                </c:pt>
                <c:pt idx="68">
                  <c:v>42979</c:v>
                </c:pt>
                <c:pt idx="69">
                  <c:v>43009</c:v>
                </c:pt>
                <c:pt idx="70">
                  <c:v>43040</c:v>
                </c:pt>
                <c:pt idx="71">
                  <c:v>43070</c:v>
                </c:pt>
                <c:pt idx="72">
                  <c:v>43101</c:v>
                </c:pt>
                <c:pt idx="73">
                  <c:v>43132</c:v>
                </c:pt>
                <c:pt idx="74">
                  <c:v>43160</c:v>
                </c:pt>
                <c:pt idx="75">
                  <c:v>43191</c:v>
                </c:pt>
                <c:pt idx="76">
                  <c:v>43221</c:v>
                </c:pt>
                <c:pt idx="77">
                  <c:v>43252</c:v>
                </c:pt>
                <c:pt idx="78">
                  <c:v>43282</c:v>
                </c:pt>
                <c:pt idx="79">
                  <c:v>43313</c:v>
                </c:pt>
                <c:pt idx="80">
                  <c:v>43344</c:v>
                </c:pt>
                <c:pt idx="81">
                  <c:v>43374</c:v>
                </c:pt>
                <c:pt idx="82">
                  <c:v>43405</c:v>
                </c:pt>
                <c:pt idx="83">
                  <c:v>43435</c:v>
                </c:pt>
                <c:pt idx="84">
                  <c:v>43466</c:v>
                </c:pt>
                <c:pt idx="85">
                  <c:v>43497</c:v>
                </c:pt>
                <c:pt idx="86">
                  <c:v>43525</c:v>
                </c:pt>
                <c:pt idx="87">
                  <c:v>43556</c:v>
                </c:pt>
                <c:pt idx="88">
                  <c:v>43586</c:v>
                </c:pt>
                <c:pt idx="89">
                  <c:v>43617</c:v>
                </c:pt>
              </c:numCache>
            </c:numRef>
          </c:cat>
          <c:val>
            <c:numRef>
              <c:f>'NG Analysis'!$D$233:$D$322</c:f>
              <c:numCache>
                <c:formatCode>0_);[Red]\(0\)</c:formatCode>
                <c:ptCount val="90"/>
                <c:pt idx="0">
                  <c:v>16.955826922722459</c:v>
                </c:pt>
                <c:pt idx="1">
                  <c:v>15.590669862509053</c:v>
                </c:pt>
                <c:pt idx="2">
                  <c:v>12.508593180345372</c:v>
                </c:pt>
                <c:pt idx="3">
                  <c:v>9.733329308349191</c:v>
                </c:pt>
                <c:pt idx="4">
                  <c:v>6.8593521950446235</c:v>
                </c:pt>
                <c:pt idx="5">
                  <c:v>3.7578718591467029</c:v>
                </c:pt>
                <c:pt idx="6">
                  <c:v>2.6288830750628787</c:v>
                </c:pt>
                <c:pt idx="7">
                  <c:v>3.0892805662191671</c:v>
                </c:pt>
                <c:pt idx="8">
                  <c:v>3.2815686387127947</c:v>
                </c:pt>
                <c:pt idx="9">
                  <c:v>12.414546391241233</c:v>
                </c:pt>
                <c:pt idx="10">
                  <c:v>16.022770401470297</c:v>
                </c:pt>
                <c:pt idx="11">
                  <c:v>21.388281285725743</c:v>
                </c:pt>
                <c:pt idx="12">
                  <c:v>17.728016094174261</c:v>
                </c:pt>
                <c:pt idx="13">
                  <c:v>12.907658869082555</c:v>
                </c:pt>
                <c:pt idx="14">
                  <c:v>15.132218796418558</c:v>
                </c:pt>
                <c:pt idx="15">
                  <c:v>11.951872910186294</c:v>
                </c:pt>
                <c:pt idx="16">
                  <c:v>5.0917294193510614</c:v>
                </c:pt>
                <c:pt idx="17">
                  <c:v>3.6507685773041474</c:v>
                </c:pt>
                <c:pt idx="18">
                  <c:v>3.0114309199989338</c:v>
                </c:pt>
                <c:pt idx="19">
                  <c:v>2.6293565011386297</c:v>
                </c:pt>
                <c:pt idx="20">
                  <c:v>4.5340172280842532</c:v>
                </c:pt>
                <c:pt idx="21">
                  <c:v>10.594286816954245</c:v>
                </c:pt>
                <c:pt idx="22">
                  <c:v>16.963833197620971</c:v>
                </c:pt>
                <c:pt idx="23">
                  <c:v>22.923188669247907</c:v>
                </c:pt>
                <c:pt idx="24">
                  <c:v>17.678761695170117</c:v>
                </c:pt>
                <c:pt idx="25">
                  <c:v>23.856327590100207</c:v>
                </c:pt>
                <c:pt idx="26">
                  <c:v>20.574128672770144</c:v>
                </c:pt>
                <c:pt idx="27">
                  <c:v>11.107498159818526</c:v>
                </c:pt>
                <c:pt idx="28">
                  <c:v>7.6720066184584503</c:v>
                </c:pt>
                <c:pt idx="29">
                  <c:v>4.5897978449022441</c:v>
                </c:pt>
                <c:pt idx="30">
                  <c:v>2.7320829657733774</c:v>
                </c:pt>
                <c:pt idx="31">
                  <c:v>3.3502929773367698</c:v>
                </c:pt>
                <c:pt idx="32">
                  <c:v>6.0677895827545711</c:v>
                </c:pt>
                <c:pt idx="33">
                  <c:v>8.4870216904286888</c:v>
                </c:pt>
                <c:pt idx="34">
                  <c:v>16.328982044219593</c:v>
                </c:pt>
                <c:pt idx="35">
                  <c:v>17.155085931907376</c:v>
                </c:pt>
                <c:pt idx="36">
                  <c:v>17.023240041667705</c:v>
                </c:pt>
                <c:pt idx="37">
                  <c:v>16.070433558291903</c:v>
                </c:pt>
                <c:pt idx="38">
                  <c:v>12.142155132331677</c:v>
                </c:pt>
                <c:pt idx="39">
                  <c:v>9.7936096292748651</c:v>
                </c:pt>
                <c:pt idx="40">
                  <c:v>6.5541395721350089</c:v>
                </c:pt>
                <c:pt idx="41">
                  <c:v>3.4828054769975751</c:v>
                </c:pt>
                <c:pt idx="42">
                  <c:v>2.6677858527249043</c:v>
                </c:pt>
                <c:pt idx="43">
                  <c:v>3.1336200677179931</c:v>
                </c:pt>
                <c:pt idx="44">
                  <c:v>6.2236099217630061</c:v>
                </c:pt>
                <c:pt idx="45">
                  <c:v>8.3430798977230474</c:v>
                </c:pt>
                <c:pt idx="46">
                  <c:v>15.114799129282089</c:v>
                </c:pt>
                <c:pt idx="47">
                  <c:v>19.538732956479862</c:v>
                </c:pt>
                <c:pt idx="48">
                  <c:v>18.105874123716191</c:v>
                </c:pt>
                <c:pt idx="49">
                  <c:v>12.609699558786209</c:v>
                </c:pt>
                <c:pt idx="50">
                  <c:v>12.219487123971039</c:v>
                </c:pt>
                <c:pt idx="51">
                  <c:v>6.9950986930345893</c:v>
                </c:pt>
                <c:pt idx="52">
                  <c:v>6.1900362861615976</c:v>
                </c:pt>
                <c:pt idx="53">
                  <c:v>2.6287907600549798</c:v>
                </c:pt>
                <c:pt idx="54">
                  <c:v>2.4285142831424009</c:v>
                </c:pt>
                <c:pt idx="55">
                  <c:v>2.7213645106571978</c:v>
                </c:pt>
                <c:pt idx="56">
                  <c:v>5.6569072059323897</c:v>
                </c:pt>
                <c:pt idx="57">
                  <c:v>12.778760927886029</c:v>
                </c:pt>
                <c:pt idx="58">
                  <c:v>11.923103326329612</c:v>
                </c:pt>
                <c:pt idx="59">
                  <c:v>22.975462335017482</c:v>
                </c:pt>
                <c:pt idx="60">
                  <c:v>20.208502726578462</c:v>
                </c:pt>
                <c:pt idx="61">
                  <c:v>18.952457703042239</c:v>
                </c:pt>
                <c:pt idx="62">
                  <c:v>17.127877998710133</c:v>
                </c:pt>
                <c:pt idx="63">
                  <c:v>10.428180232781104</c:v>
                </c:pt>
                <c:pt idx="64">
                  <c:v>5.1525323465352963</c:v>
                </c:pt>
                <c:pt idx="65">
                  <c:v>3.0371525091241911</c:v>
                </c:pt>
                <c:pt idx="66">
                  <c:v>2.582040039601218</c:v>
                </c:pt>
                <c:pt idx="67">
                  <c:v>2.7079094858985315</c:v>
                </c:pt>
                <c:pt idx="68">
                  <c:v>5.3309229069401551</c:v>
                </c:pt>
                <c:pt idx="69">
                  <c:v>9.9233084229462563</c:v>
                </c:pt>
                <c:pt idx="70">
                  <c:v>17.884936436085585</c:v>
                </c:pt>
                <c:pt idx="71">
                  <c:v>16.79731043937776</c:v>
                </c:pt>
                <c:pt idx="72">
                  <c:v>19.379903428592719</c:v>
                </c:pt>
                <c:pt idx="73">
                  <c:v>22.136199814862515</c:v>
                </c:pt>
                <c:pt idx="74">
                  <c:v>16.888538624953767</c:v>
                </c:pt>
                <c:pt idx="75">
                  <c:v>13.10963277092905</c:v>
                </c:pt>
                <c:pt idx="76">
                  <c:v>4.4047814912747665</c:v>
                </c:pt>
                <c:pt idx="77">
                  <c:v>3.2976685156573131</c:v>
                </c:pt>
                <c:pt idx="78">
                  <c:v>2.9290657632313017</c:v>
                </c:pt>
                <c:pt idx="79">
                  <c:v>3.3237503926709211</c:v>
                </c:pt>
                <c:pt idx="80">
                  <c:v>7.8744686576995928</c:v>
                </c:pt>
                <c:pt idx="81">
                  <c:v>11.141358321688704</c:v>
                </c:pt>
                <c:pt idx="82">
                  <c:v>13.711123408120821</c:v>
                </c:pt>
                <c:pt idx="83">
                  <c:v>16.681040406493022</c:v>
                </c:pt>
                <c:pt idx="84">
                  <c:v>16.841756141444122</c:v>
                </c:pt>
                <c:pt idx="85">
                  <c:v>26.110234067013611</c:v>
                </c:pt>
                <c:pt idx="86">
                  <c:v>15.793485810362281</c:v>
                </c:pt>
                <c:pt idx="87">
                  <c:v>9.5930495907374951</c:v>
                </c:pt>
                <c:pt idx="88">
                  <c:v>7.5060858462941322</c:v>
                </c:pt>
                <c:pt idx="89">
                  <c:v>3.7439440891544029</c:v>
                </c:pt>
              </c:numCache>
            </c:numRef>
          </c:val>
          <c:smooth val="0"/>
        </c:ser>
        <c:dLbls>
          <c:showLegendKey val="0"/>
          <c:showVal val="0"/>
          <c:showCatName val="0"/>
          <c:showSerName val="0"/>
          <c:showPercent val="0"/>
          <c:showBubbleSize val="0"/>
        </c:dLbls>
        <c:marker val="1"/>
        <c:smooth val="0"/>
        <c:axId val="251964416"/>
        <c:axId val="251982592"/>
      </c:lineChart>
      <c:lineChart>
        <c:grouping val="standard"/>
        <c:varyColors val="0"/>
        <c:ser>
          <c:idx val="1"/>
          <c:order val="1"/>
          <c:tx>
            <c:strRef>
              <c:f>'NG Analysis'!$E$232</c:f>
              <c:strCache>
                <c:ptCount val="1"/>
                <c:pt idx="0">
                  <c:v>DRT Rate (Rider F) ($/GJ)</c:v>
                </c:pt>
              </c:strCache>
            </c:strRef>
          </c:tx>
          <c:spPr>
            <a:ln w="38100">
              <a:solidFill>
                <a:srgbClr val="FFC000"/>
              </a:solidFill>
            </a:ln>
          </c:spPr>
          <c:marker>
            <c:symbol val="none"/>
          </c:marker>
          <c:cat>
            <c:numRef>
              <c:f>'NG Analysis'!$A$233:$A$319</c:f>
              <c:numCache>
                <c:formatCode>[$-409]mmm-yy;@</c:formatCode>
                <c:ptCount val="87"/>
                <c:pt idx="0">
                  <c:v>40909</c:v>
                </c:pt>
                <c:pt idx="1">
                  <c:v>40940</c:v>
                </c:pt>
                <c:pt idx="2">
                  <c:v>40969</c:v>
                </c:pt>
                <c:pt idx="3">
                  <c:v>41000</c:v>
                </c:pt>
                <c:pt idx="4">
                  <c:v>41030</c:v>
                </c:pt>
                <c:pt idx="5">
                  <c:v>41061</c:v>
                </c:pt>
                <c:pt idx="6">
                  <c:v>41091</c:v>
                </c:pt>
                <c:pt idx="7">
                  <c:v>41122</c:v>
                </c:pt>
                <c:pt idx="8">
                  <c:v>41153</c:v>
                </c:pt>
                <c:pt idx="9">
                  <c:v>41183</c:v>
                </c:pt>
                <c:pt idx="10">
                  <c:v>41214</c:v>
                </c:pt>
                <c:pt idx="11">
                  <c:v>41244</c:v>
                </c:pt>
                <c:pt idx="12">
                  <c:v>41275</c:v>
                </c:pt>
                <c:pt idx="13">
                  <c:v>41306</c:v>
                </c:pt>
                <c:pt idx="14">
                  <c:v>41334</c:v>
                </c:pt>
                <c:pt idx="15">
                  <c:v>41365</c:v>
                </c:pt>
                <c:pt idx="16">
                  <c:v>41395</c:v>
                </c:pt>
                <c:pt idx="17">
                  <c:v>41426</c:v>
                </c:pt>
                <c:pt idx="18">
                  <c:v>41456</c:v>
                </c:pt>
                <c:pt idx="19">
                  <c:v>41487</c:v>
                </c:pt>
                <c:pt idx="20">
                  <c:v>41518</c:v>
                </c:pt>
                <c:pt idx="21">
                  <c:v>41548</c:v>
                </c:pt>
                <c:pt idx="22">
                  <c:v>41579</c:v>
                </c:pt>
                <c:pt idx="23">
                  <c:v>41609</c:v>
                </c:pt>
                <c:pt idx="24">
                  <c:v>41640</c:v>
                </c:pt>
                <c:pt idx="25">
                  <c:v>41671</c:v>
                </c:pt>
                <c:pt idx="26">
                  <c:v>41699</c:v>
                </c:pt>
                <c:pt idx="27">
                  <c:v>41730</c:v>
                </c:pt>
                <c:pt idx="28">
                  <c:v>41760</c:v>
                </c:pt>
                <c:pt idx="29">
                  <c:v>41791</c:v>
                </c:pt>
                <c:pt idx="30">
                  <c:v>41821</c:v>
                </c:pt>
                <c:pt idx="31">
                  <c:v>41852</c:v>
                </c:pt>
                <c:pt idx="32">
                  <c:v>41883</c:v>
                </c:pt>
                <c:pt idx="33">
                  <c:v>41913</c:v>
                </c:pt>
                <c:pt idx="34">
                  <c:v>41944</c:v>
                </c:pt>
                <c:pt idx="35">
                  <c:v>41974</c:v>
                </c:pt>
                <c:pt idx="36">
                  <c:v>42005</c:v>
                </c:pt>
                <c:pt idx="37">
                  <c:v>42036</c:v>
                </c:pt>
                <c:pt idx="38">
                  <c:v>42064</c:v>
                </c:pt>
                <c:pt idx="39">
                  <c:v>42095</c:v>
                </c:pt>
                <c:pt idx="40">
                  <c:v>42125</c:v>
                </c:pt>
                <c:pt idx="41">
                  <c:v>42156</c:v>
                </c:pt>
                <c:pt idx="42">
                  <c:v>42186</c:v>
                </c:pt>
                <c:pt idx="43">
                  <c:v>42217</c:v>
                </c:pt>
                <c:pt idx="44">
                  <c:v>42248</c:v>
                </c:pt>
                <c:pt idx="45">
                  <c:v>42278</c:v>
                </c:pt>
                <c:pt idx="46">
                  <c:v>42309</c:v>
                </c:pt>
                <c:pt idx="47">
                  <c:v>42339</c:v>
                </c:pt>
                <c:pt idx="48">
                  <c:v>42370</c:v>
                </c:pt>
                <c:pt idx="49">
                  <c:v>42401</c:v>
                </c:pt>
                <c:pt idx="50">
                  <c:v>42430</c:v>
                </c:pt>
                <c:pt idx="51">
                  <c:v>42461</c:v>
                </c:pt>
                <c:pt idx="52">
                  <c:v>42491</c:v>
                </c:pt>
                <c:pt idx="53">
                  <c:v>42522</c:v>
                </c:pt>
                <c:pt idx="54">
                  <c:v>42552</c:v>
                </c:pt>
                <c:pt idx="55">
                  <c:v>42583</c:v>
                </c:pt>
                <c:pt idx="56">
                  <c:v>42614</c:v>
                </c:pt>
                <c:pt idx="57">
                  <c:v>42644</c:v>
                </c:pt>
                <c:pt idx="58">
                  <c:v>42675</c:v>
                </c:pt>
                <c:pt idx="59">
                  <c:v>42705</c:v>
                </c:pt>
                <c:pt idx="60">
                  <c:v>42736</c:v>
                </c:pt>
                <c:pt idx="61">
                  <c:v>42767</c:v>
                </c:pt>
                <c:pt idx="62">
                  <c:v>42795</c:v>
                </c:pt>
                <c:pt idx="63">
                  <c:v>42826</c:v>
                </c:pt>
                <c:pt idx="64">
                  <c:v>42856</c:v>
                </c:pt>
                <c:pt idx="65">
                  <c:v>42887</c:v>
                </c:pt>
                <c:pt idx="66">
                  <c:v>42917</c:v>
                </c:pt>
                <c:pt idx="67">
                  <c:v>42948</c:v>
                </c:pt>
                <c:pt idx="68">
                  <c:v>42979</c:v>
                </c:pt>
                <c:pt idx="69">
                  <c:v>43009</c:v>
                </c:pt>
                <c:pt idx="70">
                  <c:v>43040</c:v>
                </c:pt>
                <c:pt idx="71">
                  <c:v>43070</c:v>
                </c:pt>
                <c:pt idx="72">
                  <c:v>43101</c:v>
                </c:pt>
                <c:pt idx="73">
                  <c:v>43132</c:v>
                </c:pt>
                <c:pt idx="74">
                  <c:v>43160</c:v>
                </c:pt>
                <c:pt idx="75">
                  <c:v>43191</c:v>
                </c:pt>
                <c:pt idx="76">
                  <c:v>43221</c:v>
                </c:pt>
                <c:pt idx="77">
                  <c:v>43252</c:v>
                </c:pt>
                <c:pt idx="78">
                  <c:v>43282</c:v>
                </c:pt>
                <c:pt idx="79">
                  <c:v>43313</c:v>
                </c:pt>
                <c:pt idx="80">
                  <c:v>43344</c:v>
                </c:pt>
                <c:pt idx="81">
                  <c:v>43374</c:v>
                </c:pt>
                <c:pt idx="82">
                  <c:v>43405</c:v>
                </c:pt>
                <c:pt idx="83">
                  <c:v>43435</c:v>
                </c:pt>
                <c:pt idx="84">
                  <c:v>43466</c:v>
                </c:pt>
                <c:pt idx="85">
                  <c:v>43497</c:v>
                </c:pt>
                <c:pt idx="86">
                  <c:v>43525</c:v>
                </c:pt>
              </c:numCache>
            </c:numRef>
          </c:cat>
          <c:val>
            <c:numRef>
              <c:f>'NG Analysis'!$E$233:$E$322</c:f>
              <c:numCache>
                <c:formatCode>0.0000_);[Red]\(0.0000\)</c:formatCode>
                <c:ptCount val="90"/>
                <c:pt idx="0">
                  <c:v>2.9569999999999999</c:v>
                </c:pt>
                <c:pt idx="1">
                  <c:v>2.0640000000000001</c:v>
                </c:pt>
                <c:pt idx="2">
                  <c:v>2.0990000000000002</c:v>
                </c:pt>
                <c:pt idx="3">
                  <c:v>1.7</c:v>
                </c:pt>
                <c:pt idx="4">
                  <c:v>1.331</c:v>
                </c:pt>
                <c:pt idx="5">
                  <c:v>2.7480000000000002</c:v>
                </c:pt>
                <c:pt idx="6">
                  <c:v>2.21</c:v>
                </c:pt>
                <c:pt idx="7">
                  <c:v>2.1859999999999999</c:v>
                </c:pt>
                <c:pt idx="8">
                  <c:v>1.7010000000000001</c:v>
                </c:pt>
                <c:pt idx="9">
                  <c:v>2.5830000000000002</c:v>
                </c:pt>
                <c:pt idx="10">
                  <c:v>3.573</c:v>
                </c:pt>
                <c:pt idx="11">
                  <c:v>3.5419999999999998</c:v>
                </c:pt>
                <c:pt idx="12">
                  <c:v>2.9169999999999998</c:v>
                </c:pt>
                <c:pt idx="13">
                  <c:v>3.2530000000000001</c:v>
                </c:pt>
                <c:pt idx="14">
                  <c:v>2.8439999999999999</c:v>
                </c:pt>
                <c:pt idx="15">
                  <c:v>3.472</c:v>
                </c:pt>
                <c:pt idx="16">
                  <c:v>4.1459999999999999</c:v>
                </c:pt>
                <c:pt idx="17">
                  <c:v>4.2889999999999997</c:v>
                </c:pt>
                <c:pt idx="18">
                  <c:v>2.9260000000000002</c:v>
                </c:pt>
                <c:pt idx="19">
                  <c:v>2.0539999999999998</c:v>
                </c:pt>
                <c:pt idx="20">
                  <c:v>2.5470000000000002</c:v>
                </c:pt>
                <c:pt idx="21">
                  <c:v>2.3969999999999998</c:v>
                </c:pt>
                <c:pt idx="22">
                  <c:v>3.6850000000000001</c:v>
                </c:pt>
                <c:pt idx="23">
                  <c:v>3.294</c:v>
                </c:pt>
                <c:pt idx="24">
                  <c:v>4.1070000000000002</c:v>
                </c:pt>
                <c:pt idx="25">
                  <c:v>4.4939999999999998</c:v>
                </c:pt>
                <c:pt idx="26">
                  <c:v>9.3879999999999999</c:v>
                </c:pt>
                <c:pt idx="27">
                  <c:v>4.226</c:v>
                </c:pt>
                <c:pt idx="28">
                  <c:v>3.915</c:v>
                </c:pt>
                <c:pt idx="29">
                  <c:v>2.73</c:v>
                </c:pt>
                <c:pt idx="30">
                  <c:v>5.1379999999999999</c:v>
                </c:pt>
                <c:pt idx="31">
                  <c:v>3.7490000000000001</c:v>
                </c:pt>
                <c:pt idx="32">
                  <c:v>3.7080000000000002</c:v>
                </c:pt>
                <c:pt idx="33">
                  <c:v>4.18</c:v>
                </c:pt>
                <c:pt idx="34">
                  <c:v>3.6829999999999998</c:v>
                </c:pt>
                <c:pt idx="35">
                  <c:v>4.1820000000000004</c:v>
                </c:pt>
                <c:pt idx="36">
                  <c:v>3.1059999999999999</c:v>
                </c:pt>
                <c:pt idx="37">
                  <c:v>2.6080000000000001</c:v>
                </c:pt>
                <c:pt idx="38">
                  <c:v>2.97</c:v>
                </c:pt>
                <c:pt idx="39">
                  <c:v>2.903</c:v>
                </c:pt>
                <c:pt idx="40">
                  <c:v>2.2269999999999999</c:v>
                </c:pt>
                <c:pt idx="41">
                  <c:v>3.7410000000000001</c:v>
                </c:pt>
                <c:pt idx="42">
                  <c:v>2.133</c:v>
                </c:pt>
                <c:pt idx="43">
                  <c:v>2.4449999999999998</c:v>
                </c:pt>
                <c:pt idx="44">
                  <c:v>3.0710000000000002</c:v>
                </c:pt>
                <c:pt idx="45">
                  <c:v>2.8279999999999998</c:v>
                </c:pt>
                <c:pt idx="46">
                  <c:v>2.5539999999999998</c:v>
                </c:pt>
                <c:pt idx="47">
                  <c:v>2.2000000000000002</c:v>
                </c:pt>
                <c:pt idx="48">
                  <c:v>2.004</c:v>
                </c:pt>
                <c:pt idx="49">
                  <c:v>2.97</c:v>
                </c:pt>
                <c:pt idx="50">
                  <c:v>2.165</c:v>
                </c:pt>
                <c:pt idx="51">
                  <c:v>0.86199999999999999</c:v>
                </c:pt>
                <c:pt idx="52">
                  <c:v>0.79500000000000004</c:v>
                </c:pt>
                <c:pt idx="53">
                  <c:v>1.3740000000000001</c:v>
                </c:pt>
                <c:pt idx="54">
                  <c:v>1.631</c:v>
                </c:pt>
                <c:pt idx="55">
                  <c:v>2.3639999999999999</c:v>
                </c:pt>
                <c:pt idx="56">
                  <c:v>2.351</c:v>
                </c:pt>
                <c:pt idx="57">
                  <c:v>2.6589999999999998</c:v>
                </c:pt>
                <c:pt idx="58">
                  <c:v>3.3029999999999999</c:v>
                </c:pt>
                <c:pt idx="59">
                  <c:v>2.5790000000000002</c:v>
                </c:pt>
                <c:pt idx="60">
                  <c:v>3.7450000000000001</c:v>
                </c:pt>
                <c:pt idx="61">
                  <c:v>2.6419999999999999</c:v>
                </c:pt>
                <c:pt idx="62">
                  <c:v>1.885</c:v>
                </c:pt>
                <c:pt idx="63">
                  <c:v>2.2669999999999999</c:v>
                </c:pt>
                <c:pt idx="64">
                  <c:v>1.952</c:v>
                </c:pt>
                <c:pt idx="65">
                  <c:v>1.2350000000000001</c:v>
                </c:pt>
                <c:pt idx="66">
                  <c:v>1.8220000000000001</c:v>
                </c:pt>
                <c:pt idx="67">
                  <c:v>2.3279999999999998</c:v>
                </c:pt>
                <c:pt idx="68">
                  <c:v>1.4339999999999999</c:v>
                </c:pt>
                <c:pt idx="69">
                  <c:v>1.6819999999999999</c:v>
                </c:pt>
                <c:pt idx="70">
                  <c:v>1.825</c:v>
                </c:pt>
                <c:pt idx="71">
                  <c:v>2.3029999999999999</c:v>
                </c:pt>
                <c:pt idx="72">
                  <c:v>1.911</c:v>
                </c:pt>
                <c:pt idx="73">
                  <c:v>2.3279999999999998</c:v>
                </c:pt>
                <c:pt idx="74">
                  <c:v>1.7330000000000001</c:v>
                </c:pt>
                <c:pt idx="75">
                  <c:v>1.9670000000000001</c:v>
                </c:pt>
                <c:pt idx="76">
                  <c:v>0.98899999999999999</c:v>
                </c:pt>
                <c:pt idx="77">
                  <c:v>0.54400000000000004</c:v>
                </c:pt>
                <c:pt idx="78">
                  <c:v>1.4850000000000001</c:v>
                </c:pt>
                <c:pt idx="79">
                  <c:v>1.1599999999999999</c:v>
                </c:pt>
                <c:pt idx="80">
                  <c:v>1.321</c:v>
                </c:pt>
                <c:pt idx="81">
                  <c:v>1.3220000000000001</c:v>
                </c:pt>
                <c:pt idx="82">
                  <c:v>2.3690000000000002</c:v>
                </c:pt>
                <c:pt idx="83">
                  <c:v>2.004</c:v>
                </c:pt>
                <c:pt idx="84">
                  <c:v>1.5149999999999999</c:v>
                </c:pt>
                <c:pt idx="85">
                  <c:v>1.99</c:v>
                </c:pt>
                <c:pt idx="86">
                  <c:v>3.18</c:v>
                </c:pt>
                <c:pt idx="87">
                  <c:v>2.89</c:v>
                </c:pt>
                <c:pt idx="88">
                  <c:v>2.2850000000000001</c:v>
                </c:pt>
                <c:pt idx="89">
                  <c:v>0.36499999999999999</c:v>
                </c:pt>
              </c:numCache>
            </c:numRef>
          </c:val>
          <c:smooth val="0"/>
        </c:ser>
        <c:dLbls>
          <c:showLegendKey val="0"/>
          <c:showVal val="0"/>
          <c:showCatName val="0"/>
          <c:showSerName val="0"/>
          <c:showPercent val="0"/>
          <c:showBubbleSize val="0"/>
        </c:dLbls>
        <c:marker val="1"/>
        <c:smooth val="0"/>
        <c:axId val="253235200"/>
        <c:axId val="251984128"/>
      </c:lineChart>
      <c:dateAx>
        <c:axId val="251964416"/>
        <c:scaling>
          <c:orientation val="minMax"/>
        </c:scaling>
        <c:delete val="0"/>
        <c:axPos val="b"/>
        <c:numFmt formatCode="[$-409]mmm-yy;@" sourceLinked="1"/>
        <c:majorTickMark val="out"/>
        <c:minorTickMark val="none"/>
        <c:tickLblPos val="nextTo"/>
        <c:crossAx val="251982592"/>
        <c:crosses val="autoZero"/>
        <c:auto val="1"/>
        <c:lblOffset val="100"/>
        <c:baseTimeUnit val="months"/>
      </c:dateAx>
      <c:valAx>
        <c:axId val="251982592"/>
        <c:scaling>
          <c:orientation val="minMax"/>
        </c:scaling>
        <c:delete val="0"/>
        <c:axPos val="l"/>
        <c:majorGridlines>
          <c:spPr>
            <a:ln>
              <a:solidFill>
                <a:schemeClr val="bg1">
                  <a:lumMod val="85000"/>
                </a:schemeClr>
              </a:solidFill>
              <a:prstDash val="dash"/>
            </a:ln>
          </c:spPr>
        </c:majorGridlines>
        <c:numFmt formatCode="#,##0_);[Red]\(#,##0\)" sourceLinked="0"/>
        <c:majorTickMark val="none"/>
        <c:minorTickMark val="none"/>
        <c:tickLblPos val="nextTo"/>
        <c:spPr>
          <a:ln w="9525">
            <a:noFill/>
          </a:ln>
        </c:spPr>
        <c:crossAx val="251964416"/>
        <c:crosses val="autoZero"/>
        <c:crossBetween val="midCat"/>
      </c:valAx>
      <c:valAx>
        <c:axId val="251984128"/>
        <c:scaling>
          <c:orientation val="minMax"/>
        </c:scaling>
        <c:delete val="0"/>
        <c:axPos val="r"/>
        <c:numFmt formatCode="&quot;$&quot;#,##0" sourceLinked="0"/>
        <c:majorTickMark val="out"/>
        <c:minorTickMark val="none"/>
        <c:tickLblPos val="nextTo"/>
        <c:crossAx val="253235200"/>
        <c:crosses val="max"/>
        <c:crossBetween val="between"/>
      </c:valAx>
      <c:dateAx>
        <c:axId val="253235200"/>
        <c:scaling>
          <c:orientation val="minMax"/>
        </c:scaling>
        <c:delete val="1"/>
        <c:axPos val="b"/>
        <c:numFmt formatCode="[$-409]mmm-yy;@" sourceLinked="1"/>
        <c:majorTickMark val="out"/>
        <c:minorTickMark val="none"/>
        <c:tickLblPos val="nextTo"/>
        <c:crossAx val="251984128"/>
        <c:crosses val="autoZero"/>
        <c:auto val="1"/>
        <c:lblOffset val="100"/>
        <c:baseTimeUnit val="months"/>
      </c:dateAx>
    </c:plotArea>
    <c:legend>
      <c:legendPos val="b"/>
      <c:overlay val="0"/>
      <c:txPr>
        <a:bodyPr/>
        <a:lstStyle/>
        <a:p>
          <a:pPr>
            <a:defRPr sz="1100"/>
          </a:pPr>
          <a:endParaRPr lang="en-US"/>
        </a:p>
      </c:txPr>
    </c:legend>
    <c:plotVisOnly val="1"/>
    <c:dispBlanksAs val="gap"/>
    <c:showDLblsOverMax val="0"/>
  </c:chart>
  <c:spPr>
    <a:ln>
      <a:noFill/>
    </a:ln>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'NG Analysis'!$C$232</c:f>
          <c:strCache>
            <c:ptCount val="1"/>
            <c:pt idx="0">
              <c:v>ATCO-S Total Monthly Bill ($)</c:v>
            </c:pt>
          </c:strCache>
        </c:strRef>
      </c:tx>
      <c:overlay val="0"/>
    </c:title>
    <c:autoTitleDeleted val="0"/>
    <c:plotArea>
      <c:layout>
        <c:manualLayout>
          <c:layoutTarget val="inner"/>
          <c:xMode val="edge"/>
          <c:yMode val="edge"/>
          <c:x val="4.8269820781125065E-2"/>
          <c:y val="0.14350019308746861"/>
          <c:w val="0.90886659860464059"/>
          <c:h val="0.71168211675850701"/>
        </c:manualLayout>
      </c:layout>
      <c:lineChart>
        <c:grouping val="standard"/>
        <c:varyColors val="0"/>
        <c:ser>
          <c:idx val="0"/>
          <c:order val="0"/>
          <c:tx>
            <c:strRef>
              <c:f>'NG Analysis'!$V$9</c:f>
              <c:strCache>
                <c:ptCount val="1"/>
                <c:pt idx="0">
                  <c:v>2012</c:v>
                </c:pt>
              </c:strCache>
            </c:strRef>
          </c:tx>
          <c:spPr>
            <a:ln w="38100" cmpd="sng"/>
          </c:spPr>
          <c:marker>
            <c:symbol val="none"/>
          </c:marker>
          <c:cat>
            <c:strRef>
              <c:f>'NG Analysis'!$C$83:$N$83</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'NG Analysis'!$C$233:$C$244</c:f>
              <c:numCache>
                <c:formatCode>0.00_);[Red]\(0.00\)</c:formatCode>
                <c:ptCount val="12"/>
                <c:pt idx="0">
                  <c:v>110.67641450594077</c:v>
                </c:pt>
                <c:pt idx="1">
                  <c:v>86.080388053429772</c:v>
                </c:pt>
                <c:pt idx="2">
                  <c:v>78.268348726027085</c:v>
                </c:pt>
                <c:pt idx="3">
                  <c:v>62.98083944570196</c:v>
                </c:pt>
                <c:pt idx="4">
                  <c:v>46.952203773786366</c:v>
                </c:pt>
                <c:pt idx="5">
                  <c:v>44.109626167421865</c:v>
                </c:pt>
                <c:pt idx="6">
                  <c:v>38.572839005636759</c:v>
                </c:pt>
                <c:pt idx="7">
                  <c:v>40.686379568978985</c:v>
                </c:pt>
                <c:pt idx="8">
                  <c:v>38.62200654168484</c:v>
                </c:pt>
                <c:pt idx="9">
                  <c:v>81.728995934687759</c:v>
                </c:pt>
                <c:pt idx="10">
                  <c:v>114.62678198383027</c:v>
                </c:pt>
                <c:pt idx="11">
                  <c:v>135.87316923267124</c:v>
                </c:pt>
              </c:numCache>
            </c:numRef>
          </c:val>
          <c:smooth val="0"/>
        </c:ser>
        <c:ser>
          <c:idx val="1"/>
          <c:order val="1"/>
          <c:tx>
            <c:strRef>
              <c:f>'NG Analysis'!$V$10</c:f>
              <c:strCache>
                <c:ptCount val="1"/>
                <c:pt idx="0">
                  <c:v>2013</c:v>
                </c:pt>
              </c:strCache>
            </c:strRef>
          </c:tx>
          <c:spPr>
            <a:ln w="38100"/>
          </c:spPr>
          <c:marker>
            <c:symbol val="none"/>
          </c:marker>
          <c:cat>
            <c:strRef>
              <c:f>'NG Analysis'!$C$83:$N$83</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'NG Analysis'!$C$245:$C$256</c:f>
              <c:numCache>
                <c:formatCode>0.00_);[Red]\(0.00\)</c:formatCode>
                <c:ptCount val="12"/>
                <c:pt idx="0">
                  <c:v>118.84553489725054</c:v>
                </c:pt>
                <c:pt idx="1">
                  <c:v>97.593078533749576</c:v>
                </c:pt>
                <c:pt idx="2">
                  <c:v>106.07401798897844</c:v>
                </c:pt>
                <c:pt idx="3">
                  <c:v>99.481510100027037</c:v>
                </c:pt>
                <c:pt idx="4">
                  <c:v>66.975320096486413</c:v>
                </c:pt>
                <c:pt idx="5">
                  <c:v>57.414945728342317</c:v>
                </c:pt>
                <c:pt idx="6">
                  <c:v>49.639164247460933</c:v>
                </c:pt>
                <c:pt idx="7">
                  <c:v>45.111280260525895</c:v>
                </c:pt>
                <c:pt idx="8">
                  <c:v>53.888467957953324</c:v>
                </c:pt>
                <c:pt idx="9">
                  <c:v>79.87600848638165</c:v>
                </c:pt>
                <c:pt idx="10">
                  <c:v>131.19649626704214</c:v>
                </c:pt>
                <c:pt idx="11">
                  <c:v>156.04849560306945</c:v>
                </c:pt>
              </c:numCache>
            </c:numRef>
          </c:val>
          <c:smooth val="0"/>
        </c:ser>
        <c:ser>
          <c:idx val="2"/>
          <c:order val="2"/>
          <c:tx>
            <c:strRef>
              <c:f>'NG Analysis'!$V$11</c:f>
              <c:strCache>
                <c:ptCount val="1"/>
                <c:pt idx="0">
                  <c:v>2014</c:v>
                </c:pt>
              </c:strCache>
            </c:strRef>
          </c:tx>
          <c:spPr>
            <a:ln w="38100"/>
          </c:spPr>
          <c:marker>
            <c:symbol val="none"/>
          </c:marker>
          <c:cat>
            <c:strRef>
              <c:f>'NG Analysis'!$C$83:$N$83</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'NG Analysis'!$C$257:$C$268</c:f>
              <c:numCache>
                <c:formatCode>0.00_);[Red]\(0.00\)</c:formatCode>
                <c:ptCount val="12"/>
                <c:pt idx="0">
                  <c:v>145.53783266074225</c:v>
                </c:pt>
                <c:pt idx="1">
                  <c:v>191.58054732161304</c:v>
                </c:pt>
                <c:pt idx="2">
                  <c:v>290.41284828816111</c:v>
                </c:pt>
                <c:pt idx="3">
                  <c:v>107.87069425641586</c:v>
                </c:pt>
                <c:pt idx="4">
                  <c:v>83.303784609278566</c:v>
                </c:pt>
                <c:pt idx="5">
                  <c:v>56.39611100202147</c:v>
                </c:pt>
                <c:pt idx="6">
                  <c:v>56.0519489421348</c:v>
                </c:pt>
                <c:pt idx="7">
                  <c:v>55.40321760915463</c:v>
                </c:pt>
                <c:pt idx="8">
                  <c:v>70.595962905365027</c:v>
                </c:pt>
                <c:pt idx="9">
                  <c:v>93.661134078745661</c:v>
                </c:pt>
                <c:pt idx="10">
                  <c:v>124.75058571022659</c:v>
                </c:pt>
                <c:pt idx="11">
                  <c:v>140.55196539239572</c:v>
                </c:pt>
              </c:numCache>
            </c:numRef>
          </c:val>
          <c:smooth val="0"/>
        </c:ser>
        <c:ser>
          <c:idx val="3"/>
          <c:order val="3"/>
          <c:tx>
            <c:strRef>
              <c:f>'NG Analysis'!$V$12</c:f>
              <c:strCache>
                <c:ptCount val="1"/>
                <c:pt idx="0">
                  <c:v>2015</c:v>
                </c:pt>
              </c:strCache>
            </c:strRef>
          </c:tx>
          <c:spPr>
            <a:ln w="38100"/>
          </c:spPr>
          <c:marker>
            <c:symbol val="none"/>
          </c:marker>
          <c:cat>
            <c:strRef>
              <c:f>'NG Analysis'!$C$83:$N$83</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'NG Analysis'!$C$269:$C$280</c:f>
              <c:numCache>
                <c:formatCode>0.00_);[Red]\(0.00\)</c:formatCode>
                <c:ptCount val="12"/>
                <c:pt idx="0">
                  <c:v>128.83682163849937</c:v>
                </c:pt>
                <c:pt idx="1">
                  <c:v>110.79442922292377</c:v>
                </c:pt>
                <c:pt idx="2">
                  <c:v>100.13054963966638</c:v>
                </c:pt>
                <c:pt idx="3">
                  <c:v>85.900388043256001</c:v>
                </c:pt>
                <c:pt idx="4">
                  <c:v>65.22329934745909</c:v>
                </c:pt>
                <c:pt idx="5">
                  <c:v>56.792438954469745</c:v>
                </c:pt>
                <c:pt idx="6">
                  <c:v>47.973447936823277</c:v>
                </c:pt>
                <c:pt idx="7">
                  <c:v>51.095557892569801</c:v>
                </c:pt>
                <c:pt idx="8">
                  <c:v>67.369676375690318</c:v>
                </c:pt>
                <c:pt idx="9">
                  <c:v>77.714134720691305</c:v>
                </c:pt>
                <c:pt idx="10">
                  <c:v>106.91253460289242</c:v>
                </c:pt>
                <c:pt idx="11">
                  <c:v>121.49629415484651</c:v>
                </c:pt>
              </c:numCache>
            </c:numRef>
          </c:val>
          <c:smooth val="0"/>
        </c:ser>
        <c:ser>
          <c:idx val="4"/>
          <c:order val="4"/>
          <c:tx>
            <c:strRef>
              <c:f>'NG Analysis'!$V$13</c:f>
              <c:strCache>
                <c:ptCount val="1"/>
                <c:pt idx="0">
                  <c:v>2016</c:v>
                </c:pt>
              </c:strCache>
            </c:strRef>
          </c:tx>
          <c:spPr>
            <a:ln w="38100"/>
          </c:spPr>
          <c:marker>
            <c:symbol val="none"/>
          </c:marker>
          <c:cat>
            <c:strRef>
              <c:f>'NG Analysis'!$C$83:$N$83</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'NG Analysis'!$C$281:$C$292</c:f>
              <c:numCache>
                <c:formatCode>0.00_);[Red]\(0.00\)</c:formatCode>
                <c:ptCount val="12"/>
                <c:pt idx="0">
                  <c:v>113.66527840807856</c:v>
                </c:pt>
                <c:pt idx="1">
                  <c:v>102.15330785558639</c:v>
                </c:pt>
                <c:pt idx="2">
                  <c:v>92.032924561641124</c:v>
                </c:pt>
                <c:pt idx="3">
                  <c:v>57.390607796100561</c:v>
                </c:pt>
                <c:pt idx="4">
                  <c:v>55.699575264630532</c:v>
                </c:pt>
                <c:pt idx="5">
                  <c:v>45.838776888322961</c:v>
                </c:pt>
                <c:pt idx="6">
                  <c:v>47.819811903232178</c:v>
                </c:pt>
                <c:pt idx="7">
                  <c:v>51.38175067679682</c:v>
                </c:pt>
                <c:pt idx="8">
                  <c:v>65.636559674753059</c:v>
                </c:pt>
                <c:pt idx="9">
                  <c:v>106.61550104834454</c:v>
                </c:pt>
                <c:pt idx="10">
                  <c:v>109.7877683159076</c:v>
                </c:pt>
                <c:pt idx="11">
                  <c:v>158.43155024460896</c:v>
                </c:pt>
              </c:numCache>
            </c:numRef>
          </c:val>
          <c:smooth val="0"/>
        </c:ser>
        <c:ser>
          <c:idx val="5"/>
          <c:order val="5"/>
          <c:tx>
            <c:strRef>
              <c:f>'NG Analysis'!$V$14</c:f>
              <c:strCache>
                <c:ptCount val="1"/>
                <c:pt idx="0">
                  <c:v>2017</c:v>
                </c:pt>
              </c:strCache>
            </c:strRef>
          </c:tx>
          <c:spPr>
            <a:ln w="38100">
              <a:solidFill>
                <a:schemeClr val="accent6">
                  <a:lumMod val="75000"/>
                </a:schemeClr>
              </a:solidFill>
            </a:ln>
          </c:spPr>
          <c:marker>
            <c:symbol val="none"/>
          </c:marker>
          <c:cat>
            <c:strRef>
              <c:f>'NG Analysis'!$C$83:$N$83</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'NG Analysis'!$C$293:$C$304</c:f>
              <c:numCache>
                <c:formatCode>0.00_);[Red]\(0.00\)</c:formatCode>
                <c:ptCount val="12"/>
                <c:pt idx="0">
                  <c:v>192.15131520131538</c:v>
                </c:pt>
                <c:pt idx="1">
                  <c:v>155.93448000739468</c:v>
                </c:pt>
                <c:pt idx="2">
                  <c:v>134.24090970261412</c:v>
                </c:pt>
                <c:pt idx="3">
                  <c:v>100.21660758273963</c:v>
                </c:pt>
                <c:pt idx="4">
                  <c:v>66.036502159408244</c:v>
                </c:pt>
                <c:pt idx="5">
                  <c:v>50.967416976199523</c:v>
                </c:pt>
                <c:pt idx="6">
                  <c:v>52.739315303329278</c:v>
                </c:pt>
                <c:pt idx="7">
                  <c:v>53.567577467174374</c:v>
                </c:pt>
                <c:pt idx="8">
                  <c:v>61.991489151410498</c:v>
                </c:pt>
                <c:pt idx="9">
                  <c:v>87.916472197210851</c:v>
                </c:pt>
                <c:pt idx="10">
                  <c:v>129.83186386517079</c:v>
                </c:pt>
                <c:pt idx="11">
                  <c:v>134.75395540569266</c:v>
                </c:pt>
              </c:numCache>
            </c:numRef>
          </c:val>
          <c:smooth val="0"/>
        </c:ser>
        <c:ser>
          <c:idx val="6"/>
          <c:order val="6"/>
          <c:tx>
            <c:strRef>
              <c:f>'NG Analysis'!$V$15</c:f>
              <c:strCache>
                <c:ptCount val="1"/>
                <c:pt idx="0">
                  <c:v>2018</c:v>
                </c:pt>
              </c:strCache>
            </c:strRef>
          </c:tx>
          <c:spPr>
            <a:ln w="38100">
              <a:solidFill>
                <a:schemeClr val="tx1"/>
              </a:solidFill>
            </a:ln>
          </c:spPr>
          <c:marker>
            <c:symbol val="none"/>
          </c:marker>
          <c:cat>
            <c:strRef>
              <c:f>'NG Analysis'!$C$83:$N$83</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'NG Analysis'!$C$305:$C$316</c:f>
              <c:numCache>
                <c:formatCode>0.00_);[Red]\(0.00\)</c:formatCode>
                <c:ptCount val="12"/>
                <c:pt idx="0">
                  <c:v>151.08348440722767</c:v>
                </c:pt>
                <c:pt idx="1">
                  <c:v>174.28956965864296</c:v>
                </c:pt>
                <c:pt idx="2">
                  <c:v>125.75181616504598</c:v>
                </c:pt>
                <c:pt idx="3">
                  <c:v>105.73382805571367</c:v>
                </c:pt>
                <c:pt idx="4">
                  <c:v>54.93378792262952</c:v>
                </c:pt>
                <c:pt idx="5">
                  <c:v>47.346760186718846</c:v>
                </c:pt>
                <c:pt idx="6">
                  <c:v>50.354486965920238</c:v>
                </c:pt>
                <c:pt idx="7">
                  <c:v>51.000696333151538</c:v>
                </c:pt>
                <c:pt idx="8">
                  <c:v>70.60316676042919</c:v>
                </c:pt>
                <c:pt idx="9">
                  <c:v>87.287621919425717</c:v>
                </c:pt>
                <c:pt idx="10">
                  <c:v>114.4528104862833</c:v>
                </c:pt>
                <c:pt idx="11">
                  <c:v>125.58640441073138</c:v>
                </c:pt>
              </c:numCache>
            </c:numRef>
          </c:val>
          <c:smooth val="0"/>
        </c:ser>
        <c:ser>
          <c:idx val="7"/>
          <c:order val="7"/>
          <c:tx>
            <c:strRef>
              <c:f>'NG Analysis'!$V$16</c:f>
              <c:strCache>
                <c:ptCount val="1"/>
                <c:pt idx="0">
                  <c:v>2019</c:v>
                </c:pt>
              </c:strCache>
            </c:strRef>
          </c:tx>
          <c:marker>
            <c:symbol val="none"/>
          </c:marker>
          <c:cat>
            <c:strRef>
              <c:f>'NG Analysis'!$C$83:$N$83</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'NG Analysis'!$C$317:$C$322</c:f>
              <c:numCache>
                <c:formatCode>0.00_);[Red]\(0.00\)</c:formatCode>
                <c:ptCount val="6"/>
                <c:pt idx="0">
                  <c:v>120.86879919119347</c:v>
                </c:pt>
                <c:pt idx="1">
                  <c:v>179.51039671386988</c:v>
                </c:pt>
                <c:pt idx="2">
                  <c:v>157.23130726227279</c:v>
                </c:pt>
                <c:pt idx="3">
                  <c:v>107.54154618141597</c:v>
                </c:pt>
                <c:pt idx="4">
                  <c:v>89.294223888593962</c:v>
                </c:pt>
                <c:pt idx="5">
                  <c:v>50.464848392912721</c:v>
                </c:pt>
              </c:numCache>
            </c:numRef>
          </c:val>
          <c:smooth val="0"/>
        </c:ser>
        <c:dLbls>
          <c:showLegendKey val="0"/>
          <c:showVal val="0"/>
          <c:showCatName val="0"/>
          <c:showSerName val="0"/>
          <c:showPercent val="0"/>
          <c:showBubbleSize val="0"/>
        </c:dLbls>
        <c:marker val="1"/>
        <c:smooth val="0"/>
        <c:axId val="253310464"/>
        <c:axId val="253312000"/>
      </c:lineChart>
      <c:catAx>
        <c:axId val="253310464"/>
        <c:scaling>
          <c:orientation val="minMax"/>
        </c:scaling>
        <c:delete val="0"/>
        <c:axPos val="b"/>
        <c:numFmt formatCode="0" sourceLinked="1"/>
        <c:majorTickMark val="out"/>
        <c:minorTickMark val="none"/>
        <c:tickLblPos val="nextTo"/>
        <c:crossAx val="253312000"/>
        <c:crosses val="autoZero"/>
        <c:auto val="1"/>
        <c:lblAlgn val="ctr"/>
        <c:lblOffset val="100"/>
        <c:noMultiLvlLbl val="0"/>
      </c:catAx>
      <c:valAx>
        <c:axId val="253312000"/>
        <c:scaling>
          <c:orientation val="minMax"/>
        </c:scaling>
        <c:delete val="0"/>
        <c:axPos val="l"/>
        <c:majorGridlines>
          <c:spPr>
            <a:ln>
              <a:solidFill>
                <a:schemeClr val="bg1">
                  <a:lumMod val="85000"/>
                </a:schemeClr>
              </a:solidFill>
              <a:prstDash val="dash"/>
            </a:ln>
          </c:spPr>
        </c:majorGridlines>
        <c:numFmt formatCode="&quot;$&quot;#,##0" sourceLinked="0"/>
        <c:majorTickMark val="none"/>
        <c:minorTickMark val="none"/>
        <c:tickLblPos val="nextTo"/>
        <c:spPr>
          <a:ln w="9525">
            <a:noFill/>
          </a:ln>
        </c:spPr>
        <c:crossAx val="253310464"/>
        <c:crosses val="autoZero"/>
        <c:crossBetween val="midCat"/>
      </c:valAx>
    </c:plotArea>
    <c:legend>
      <c:legendPos val="b"/>
      <c:overlay val="0"/>
      <c:txPr>
        <a:bodyPr/>
        <a:lstStyle/>
        <a:p>
          <a:pPr>
            <a:defRPr sz="1100"/>
          </a:pPr>
          <a:endParaRPr lang="en-US"/>
        </a:p>
      </c:txPr>
    </c:legend>
    <c:plotVisOnly val="1"/>
    <c:dispBlanksAs val="gap"/>
    <c:showDLblsOverMax val="0"/>
  </c:chart>
  <c:spPr>
    <a:ln>
      <a:noFill/>
    </a:ln>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'Elec. Analysis'!$A$19:$F$19</c:f>
          <c:strCache>
            <c:ptCount val="1"/>
            <c:pt idx="0">
              <c:v>Cost Comparison 2019 by Service Zone</c:v>
            </c:pt>
          </c:strCache>
        </c:strRef>
      </c:tx>
      <c:overlay val="0"/>
    </c:title>
    <c:autoTitleDeleted val="0"/>
    <c:plotArea>
      <c:layout/>
      <c:barChart>
        <c:barDir val="col"/>
        <c:grouping val="stacked"/>
        <c:varyColors val="0"/>
        <c:ser>
          <c:idx val="7"/>
          <c:order val="0"/>
          <c:tx>
            <c:strRef>
              <c:f>'Elec. Analysis'!$A$21</c:f>
              <c:strCache>
                <c:ptCount val="1"/>
                <c:pt idx="0">
                  <c:v>Transmission</c:v>
                </c:pt>
              </c:strCache>
            </c:strRef>
          </c:tx>
          <c:spPr>
            <a:solidFill>
              <a:schemeClr val="bg1">
                <a:lumMod val="65000"/>
              </a:schemeClr>
            </a:solidFill>
          </c:spPr>
          <c:invertIfNegative val="0"/>
          <c:cat>
            <c:strRef>
              <c:f>'Elec. Analysis'!$C$20:$F$20</c:f>
              <c:strCache>
                <c:ptCount val="4"/>
                <c:pt idx="0">
                  <c:v>ENMAX</c:v>
                </c:pt>
                <c:pt idx="1">
                  <c:v>EPCOR</c:v>
                </c:pt>
                <c:pt idx="2">
                  <c:v>FORTIS</c:v>
                </c:pt>
                <c:pt idx="3">
                  <c:v>ATCO</c:v>
                </c:pt>
              </c:strCache>
            </c:strRef>
          </c:cat>
          <c:val>
            <c:numRef>
              <c:f>'Elec. Analysis'!$C$21:$F$21</c:f>
              <c:numCache>
                <c:formatCode>0.00_);[Red]\(0.00\)</c:formatCode>
                <c:ptCount val="4"/>
                <c:pt idx="0">
                  <c:v>64.188018126130189</c:v>
                </c:pt>
                <c:pt idx="1">
                  <c:v>97.069183719820813</c:v>
                </c:pt>
                <c:pt idx="2">
                  <c:v>169.76227386588337</c:v>
                </c:pt>
                <c:pt idx="3">
                  <c:v>156.18413673972748</c:v>
                </c:pt>
              </c:numCache>
            </c:numRef>
          </c:val>
        </c:ser>
        <c:ser>
          <c:idx val="0"/>
          <c:order val="1"/>
          <c:tx>
            <c:strRef>
              <c:f>'Elec. Analysis'!$A$22</c:f>
              <c:strCache>
                <c:ptCount val="1"/>
                <c:pt idx="0">
                  <c:v>Distribution - Fixed</c:v>
                </c:pt>
              </c:strCache>
            </c:strRef>
          </c:tx>
          <c:spPr>
            <a:solidFill>
              <a:schemeClr val="accent1">
                <a:lumMod val="75000"/>
              </a:schemeClr>
            </a:solidFill>
          </c:spPr>
          <c:invertIfNegative val="0"/>
          <c:cat>
            <c:strRef>
              <c:f>'Elec. Analysis'!$C$20:$F$20</c:f>
              <c:strCache>
                <c:ptCount val="4"/>
                <c:pt idx="0">
                  <c:v>ENMAX</c:v>
                </c:pt>
                <c:pt idx="1">
                  <c:v>EPCOR</c:v>
                </c:pt>
                <c:pt idx="2">
                  <c:v>FORTIS</c:v>
                </c:pt>
                <c:pt idx="3">
                  <c:v>ATCO</c:v>
                </c:pt>
              </c:strCache>
            </c:strRef>
          </c:cat>
          <c:val>
            <c:numRef>
              <c:f>'Elec. Analysis'!$C$22:$F$22</c:f>
              <c:numCache>
                <c:formatCode>0.00_);[Red]\(0.00\)</c:formatCode>
                <c:ptCount val="4"/>
                <c:pt idx="0">
                  <c:v>94.261360999999994</c:v>
                </c:pt>
                <c:pt idx="1">
                  <c:v>118.03190999999998</c:v>
                </c:pt>
                <c:pt idx="2">
                  <c:v>147.04440000000002</c:v>
                </c:pt>
                <c:pt idx="3">
                  <c:v>244.73009999999999</c:v>
                </c:pt>
              </c:numCache>
            </c:numRef>
          </c:val>
        </c:ser>
        <c:ser>
          <c:idx val="1"/>
          <c:order val="2"/>
          <c:tx>
            <c:strRef>
              <c:f>'Elec. Analysis'!$A$23</c:f>
              <c:strCache>
                <c:ptCount val="1"/>
                <c:pt idx="0">
                  <c:v>Distribution - Variable</c:v>
                </c:pt>
              </c:strCache>
            </c:strRef>
          </c:tx>
          <c:spPr>
            <a:solidFill>
              <a:schemeClr val="accent2">
                <a:lumMod val="75000"/>
              </a:schemeClr>
            </a:solidFill>
          </c:spPr>
          <c:invertIfNegative val="0"/>
          <c:cat>
            <c:strRef>
              <c:f>'Elec. Analysis'!$C$20:$F$20</c:f>
              <c:strCache>
                <c:ptCount val="4"/>
                <c:pt idx="0">
                  <c:v>ENMAX</c:v>
                </c:pt>
                <c:pt idx="1">
                  <c:v>EPCOR</c:v>
                </c:pt>
                <c:pt idx="2">
                  <c:v>FORTIS</c:v>
                </c:pt>
                <c:pt idx="3">
                  <c:v>ATCO</c:v>
                </c:pt>
              </c:strCache>
            </c:strRef>
          </c:cat>
          <c:val>
            <c:numRef>
              <c:f>'Elec. Analysis'!$C$23:$F$23</c:f>
              <c:numCache>
                <c:formatCode>0.00_);[Red]\(0.00\)</c:formatCode>
                <c:ptCount val="4"/>
                <c:pt idx="0">
                  <c:v>34.546035548025174</c:v>
                </c:pt>
                <c:pt idx="1">
                  <c:v>29.474072068183141</c:v>
                </c:pt>
                <c:pt idx="2">
                  <c:v>96.877603223982817</c:v>
                </c:pt>
                <c:pt idx="3">
                  <c:v>297.95127624194174</c:v>
                </c:pt>
              </c:numCache>
            </c:numRef>
          </c:val>
        </c:ser>
        <c:ser>
          <c:idx val="2"/>
          <c:order val="3"/>
          <c:tx>
            <c:strRef>
              <c:f>'Elec. Analysis'!$A$24</c:f>
              <c:strCache>
                <c:ptCount val="1"/>
                <c:pt idx="0">
                  <c:v>Local Access Fees</c:v>
                </c:pt>
              </c:strCache>
            </c:strRef>
          </c:tx>
          <c:spPr>
            <a:solidFill>
              <a:schemeClr val="accent3">
                <a:lumMod val="75000"/>
              </a:schemeClr>
            </a:solidFill>
          </c:spPr>
          <c:invertIfNegative val="0"/>
          <c:cat>
            <c:strRef>
              <c:f>'Elec. Analysis'!$C$20:$F$20</c:f>
              <c:strCache>
                <c:ptCount val="4"/>
                <c:pt idx="0">
                  <c:v>ENMAX</c:v>
                </c:pt>
                <c:pt idx="1">
                  <c:v>EPCOR</c:v>
                </c:pt>
                <c:pt idx="2">
                  <c:v>FORTIS</c:v>
                </c:pt>
                <c:pt idx="3">
                  <c:v>ATCO</c:v>
                </c:pt>
              </c:strCache>
            </c:strRef>
          </c:cat>
          <c:val>
            <c:numRef>
              <c:f>'Elec. Analysis'!$C$24:$F$24</c:f>
              <c:numCache>
                <c:formatCode>0.00_);[Red]\(0.00\)</c:formatCode>
                <c:ptCount val="4"/>
                <c:pt idx="0">
                  <c:v>55.671788336897329</c:v>
                </c:pt>
                <c:pt idx="1">
                  <c:v>26.343807842224685</c:v>
                </c:pt>
                <c:pt idx="2">
                  <c:v>56.054219545676865</c:v>
                </c:pt>
                <c:pt idx="3">
                  <c:v>78.591134962256334</c:v>
                </c:pt>
              </c:numCache>
            </c:numRef>
          </c:val>
        </c:ser>
        <c:ser>
          <c:idx val="3"/>
          <c:order val="4"/>
          <c:tx>
            <c:strRef>
              <c:f>'Elec. Analysis'!$A$25</c:f>
              <c:strCache>
                <c:ptCount val="1"/>
                <c:pt idx="0">
                  <c:v>D&amp;T Riders</c:v>
                </c:pt>
              </c:strCache>
            </c:strRef>
          </c:tx>
          <c:spPr>
            <a:solidFill>
              <a:schemeClr val="accent4">
                <a:lumMod val="75000"/>
              </a:schemeClr>
            </a:solidFill>
          </c:spPr>
          <c:invertIfNegative val="0"/>
          <c:cat>
            <c:strRef>
              <c:f>'Elec. Analysis'!$C$20:$F$20</c:f>
              <c:strCache>
                <c:ptCount val="4"/>
                <c:pt idx="0">
                  <c:v>ENMAX</c:v>
                </c:pt>
                <c:pt idx="1">
                  <c:v>EPCOR</c:v>
                </c:pt>
                <c:pt idx="2">
                  <c:v>FORTIS</c:v>
                </c:pt>
                <c:pt idx="3">
                  <c:v>ATCO</c:v>
                </c:pt>
              </c:strCache>
            </c:strRef>
          </c:cat>
          <c:val>
            <c:numRef>
              <c:f>'Elec. Analysis'!$C$25:$F$25</c:f>
              <c:numCache>
                <c:formatCode>0.00_);[Red]\(0.00\)</c:formatCode>
                <c:ptCount val="4"/>
                <c:pt idx="0">
                  <c:v>86.905695816945141</c:v>
                </c:pt>
                <c:pt idx="1">
                  <c:v>5.4993388518285595</c:v>
                </c:pt>
                <c:pt idx="2">
                  <c:v>15.768469318645808</c:v>
                </c:pt>
                <c:pt idx="3">
                  <c:v>39.481492531971071</c:v>
                </c:pt>
              </c:numCache>
            </c:numRef>
          </c:val>
        </c:ser>
        <c:ser>
          <c:idx val="8"/>
          <c:order val="5"/>
          <c:tx>
            <c:strRef>
              <c:f>'Elec. Analysis'!$A$26</c:f>
              <c:strCache>
                <c:ptCount val="1"/>
                <c:pt idx="0">
                  <c:v>Balancing Pool Rider</c:v>
                </c:pt>
              </c:strCache>
            </c:strRef>
          </c:tx>
          <c:spPr>
            <a:solidFill>
              <a:srgbClr val="FFC000"/>
            </a:solidFill>
          </c:spPr>
          <c:invertIfNegative val="0"/>
          <c:cat>
            <c:strRef>
              <c:f>'Elec. Analysis'!$C$20:$F$20</c:f>
              <c:strCache>
                <c:ptCount val="4"/>
                <c:pt idx="0">
                  <c:v>ENMAX</c:v>
                </c:pt>
                <c:pt idx="1">
                  <c:v>EPCOR</c:v>
                </c:pt>
                <c:pt idx="2">
                  <c:v>FORTIS</c:v>
                </c:pt>
                <c:pt idx="3">
                  <c:v>ATCO</c:v>
                </c:pt>
              </c:strCache>
            </c:strRef>
          </c:cat>
          <c:val>
            <c:numRef>
              <c:f>'Elec. Analysis'!$C$26:$F$26</c:f>
              <c:numCache>
                <c:formatCode>0.00_);[Red]\(0.00\)</c:formatCode>
                <c:ptCount val="4"/>
                <c:pt idx="0">
                  <c:v>9.7916161854020736</c:v>
                </c:pt>
                <c:pt idx="1">
                  <c:v>9.2978145325498875</c:v>
                </c:pt>
                <c:pt idx="2">
                  <c:v>12.648356131838709</c:v>
                </c:pt>
                <c:pt idx="3">
                  <c:v>12.214400437337664</c:v>
                </c:pt>
              </c:numCache>
            </c:numRef>
          </c:val>
        </c:ser>
        <c:ser>
          <c:idx val="4"/>
          <c:order val="6"/>
          <c:tx>
            <c:strRef>
              <c:f>'Elec. Analysis'!$A$27</c:f>
              <c:strCache>
                <c:ptCount val="1"/>
                <c:pt idx="0">
                  <c:v>Energy Tariff</c:v>
                </c:pt>
              </c:strCache>
            </c:strRef>
          </c:tx>
          <c:spPr>
            <a:solidFill>
              <a:schemeClr val="accent5">
                <a:lumMod val="75000"/>
              </a:schemeClr>
            </a:solidFill>
          </c:spPr>
          <c:invertIfNegative val="0"/>
          <c:cat>
            <c:strRef>
              <c:f>'Elec. Analysis'!$C$20:$F$20</c:f>
              <c:strCache>
                <c:ptCount val="4"/>
                <c:pt idx="0">
                  <c:v>ENMAX</c:v>
                </c:pt>
                <c:pt idx="1">
                  <c:v>EPCOR</c:v>
                </c:pt>
                <c:pt idx="2">
                  <c:v>FORTIS</c:v>
                </c:pt>
                <c:pt idx="3">
                  <c:v>ATCO</c:v>
                </c:pt>
              </c:strCache>
            </c:strRef>
          </c:cat>
          <c:val>
            <c:numRef>
              <c:f>'Elec. Analysis'!$C$27:$F$27</c:f>
              <c:numCache>
                <c:formatCode>0.00_);[Red]\(0.00\)</c:formatCode>
                <c:ptCount val="4"/>
                <c:pt idx="0">
                  <c:v>211.40347797603863</c:v>
                </c:pt>
                <c:pt idx="1">
                  <c:v>206.39779734706747</c:v>
                </c:pt>
                <c:pt idx="2">
                  <c:v>281.2737150008582</c:v>
                </c:pt>
                <c:pt idx="3">
                  <c:v>255.38239192184992</c:v>
                </c:pt>
              </c:numCache>
            </c:numRef>
          </c:val>
        </c:ser>
        <c:ser>
          <c:idx val="5"/>
          <c:order val="7"/>
          <c:tx>
            <c:strRef>
              <c:f>'Elec. Analysis'!$A$28</c:f>
              <c:strCache>
                <c:ptCount val="1"/>
                <c:pt idx="0">
                  <c:v>Administration </c:v>
                </c:pt>
              </c:strCache>
            </c:strRef>
          </c:tx>
          <c:spPr>
            <a:solidFill>
              <a:schemeClr val="accent6">
                <a:lumMod val="75000"/>
              </a:schemeClr>
            </a:solidFill>
          </c:spPr>
          <c:invertIfNegative val="0"/>
          <c:cat>
            <c:strRef>
              <c:f>'Elec. Analysis'!$C$20:$F$20</c:f>
              <c:strCache>
                <c:ptCount val="4"/>
                <c:pt idx="0">
                  <c:v>ENMAX</c:v>
                </c:pt>
                <c:pt idx="1">
                  <c:v>EPCOR</c:v>
                </c:pt>
                <c:pt idx="2">
                  <c:v>FORTIS</c:v>
                </c:pt>
                <c:pt idx="3">
                  <c:v>ATCO</c:v>
                </c:pt>
              </c:strCache>
            </c:strRef>
          </c:cat>
          <c:val>
            <c:numRef>
              <c:f>'Elec. Analysis'!$C$28:$F$28</c:f>
              <c:numCache>
                <c:formatCode>0.00_);[Red]\(0.00\)</c:formatCode>
                <c:ptCount val="4"/>
                <c:pt idx="0">
                  <c:v>37.358400000000003</c:v>
                </c:pt>
                <c:pt idx="1">
                  <c:v>32.160000000000004</c:v>
                </c:pt>
                <c:pt idx="2">
                  <c:v>32.76</c:v>
                </c:pt>
                <c:pt idx="3">
                  <c:v>70.046999999999997</c:v>
                </c:pt>
              </c:numCache>
            </c:numRef>
          </c:val>
        </c:ser>
        <c:ser>
          <c:idx val="6"/>
          <c:order val="8"/>
          <c:tx>
            <c:strRef>
              <c:f>'Elec. Analysis'!$A$29</c:f>
              <c:strCache>
                <c:ptCount val="1"/>
                <c:pt idx="0">
                  <c:v>GST</c:v>
                </c:pt>
              </c:strCache>
            </c:strRef>
          </c:tx>
          <c:spPr>
            <a:solidFill>
              <a:srgbClr val="996633"/>
            </a:solidFill>
          </c:spPr>
          <c:invertIfNegative val="0"/>
          <c:cat>
            <c:strRef>
              <c:f>'Elec. Analysis'!$C$20:$F$20</c:f>
              <c:strCache>
                <c:ptCount val="4"/>
                <c:pt idx="0">
                  <c:v>ENMAX</c:v>
                </c:pt>
                <c:pt idx="1">
                  <c:v>EPCOR</c:v>
                </c:pt>
                <c:pt idx="2">
                  <c:v>FORTIS</c:v>
                </c:pt>
                <c:pt idx="3">
                  <c:v>ATCO</c:v>
                </c:pt>
              </c:strCache>
            </c:strRef>
          </c:cat>
          <c:val>
            <c:numRef>
              <c:f>'Elec. Analysis'!$C$29:$F$29</c:f>
              <c:numCache>
                <c:formatCode>0.00_);[Red]\(0.00\)</c:formatCode>
                <c:ptCount val="4"/>
                <c:pt idx="0">
                  <c:v>29.706319649471929</c:v>
                </c:pt>
                <c:pt idx="1">
                  <c:v>26.213696218083733</c:v>
                </c:pt>
                <c:pt idx="2">
                  <c:v>40.609451854344293</c:v>
                </c:pt>
                <c:pt idx="3">
                  <c:v>57.729096641754218</c:v>
                </c:pt>
              </c:numCache>
            </c:numRef>
          </c:val>
        </c:ser>
        <c:dLbls>
          <c:showLegendKey val="0"/>
          <c:showVal val="0"/>
          <c:showCatName val="0"/>
          <c:showSerName val="0"/>
          <c:showPercent val="0"/>
          <c:showBubbleSize val="0"/>
        </c:dLbls>
        <c:gapWidth val="100"/>
        <c:overlap val="100"/>
        <c:axId val="231341440"/>
        <c:axId val="240338048"/>
      </c:barChart>
      <c:catAx>
        <c:axId val="231341440"/>
        <c:scaling>
          <c:orientation val="minMax"/>
        </c:scaling>
        <c:delete val="0"/>
        <c:axPos val="b"/>
        <c:majorTickMark val="out"/>
        <c:minorTickMark val="none"/>
        <c:tickLblPos val="low"/>
        <c:crossAx val="240338048"/>
        <c:crosses val="autoZero"/>
        <c:auto val="1"/>
        <c:lblAlgn val="ctr"/>
        <c:lblOffset val="100"/>
        <c:noMultiLvlLbl val="0"/>
      </c:catAx>
      <c:valAx>
        <c:axId val="240338048"/>
        <c:scaling>
          <c:orientation val="minMax"/>
        </c:scaling>
        <c:delete val="0"/>
        <c:axPos val="l"/>
        <c:majorGridlines>
          <c:spPr>
            <a:ln>
              <a:solidFill>
                <a:schemeClr val="bg1">
                  <a:lumMod val="85000"/>
                </a:schemeClr>
              </a:solidFill>
              <a:prstDash val="dash"/>
            </a:ln>
          </c:spPr>
        </c:majorGridlines>
        <c:numFmt formatCode="&quot;$&quot;#,##0" sourceLinked="0"/>
        <c:majorTickMark val="out"/>
        <c:minorTickMark val="none"/>
        <c:tickLblPos val="nextTo"/>
        <c:crossAx val="231341440"/>
        <c:crosses val="autoZero"/>
        <c:crossBetween val="between"/>
      </c:valAx>
    </c:plotArea>
    <c:legend>
      <c:legendPos val="r"/>
      <c:overlay val="0"/>
      <c:txPr>
        <a:bodyPr/>
        <a:lstStyle/>
        <a:p>
          <a:pPr>
            <a:defRPr sz="1100"/>
          </a:pPr>
          <a:endParaRPr lang="en-US"/>
        </a:p>
      </c:txPr>
    </c:legend>
    <c:plotVisOnly val="1"/>
    <c:dispBlanksAs val="gap"/>
    <c:showDLblsOverMax val="0"/>
  </c:chart>
  <c:spPr>
    <a:ln>
      <a:noFill/>
    </a:ln>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'Misc. Data &amp; Mechanisms'!$O$707</c:f>
          <c:strCache>
            <c:ptCount val="1"/>
            <c:pt idx="0">
              <c:v>DRT Rate ($/GJ) 2012-2019, by Service Zone</c:v>
            </c:pt>
          </c:strCache>
        </c:strRef>
      </c:tx>
      <c:overlay val="0"/>
    </c:title>
    <c:autoTitleDeleted val="0"/>
    <c:plotArea>
      <c:layout/>
      <c:lineChart>
        <c:grouping val="standard"/>
        <c:varyColors val="0"/>
        <c:ser>
          <c:idx val="0"/>
          <c:order val="0"/>
          <c:tx>
            <c:strRef>
              <c:f>'Misc. Data &amp; Mechanisms'!$P$709</c:f>
              <c:strCache>
                <c:ptCount val="1"/>
                <c:pt idx="0">
                  <c:v>ATCO-N</c:v>
                </c:pt>
              </c:strCache>
            </c:strRef>
          </c:tx>
          <c:spPr>
            <a:ln w="38100">
              <a:solidFill>
                <a:srgbClr val="F79646">
                  <a:lumMod val="75000"/>
                </a:srgbClr>
              </a:solidFill>
            </a:ln>
          </c:spPr>
          <c:marker>
            <c:symbol val="none"/>
          </c:marker>
          <c:cat>
            <c:numRef>
              <c:f>'Misc. Data &amp; Mechanisms'!$O$710:$O$799</c:f>
              <c:numCache>
                <c:formatCode>[$-409]mmm-yy;@</c:formatCode>
                <c:ptCount val="90"/>
                <c:pt idx="0">
                  <c:v>40909</c:v>
                </c:pt>
                <c:pt idx="1">
                  <c:v>40940</c:v>
                </c:pt>
                <c:pt idx="2">
                  <c:v>40969</c:v>
                </c:pt>
                <c:pt idx="3">
                  <c:v>41000</c:v>
                </c:pt>
                <c:pt idx="4">
                  <c:v>41030</c:v>
                </c:pt>
                <c:pt idx="5">
                  <c:v>41061</c:v>
                </c:pt>
                <c:pt idx="6">
                  <c:v>41091</c:v>
                </c:pt>
                <c:pt idx="7">
                  <c:v>41122</c:v>
                </c:pt>
                <c:pt idx="8">
                  <c:v>41153</c:v>
                </c:pt>
                <c:pt idx="9">
                  <c:v>41183</c:v>
                </c:pt>
                <c:pt idx="10">
                  <c:v>41214</c:v>
                </c:pt>
                <c:pt idx="11">
                  <c:v>41244</c:v>
                </c:pt>
                <c:pt idx="12">
                  <c:v>41275</c:v>
                </c:pt>
                <c:pt idx="13">
                  <c:v>41306</c:v>
                </c:pt>
                <c:pt idx="14">
                  <c:v>41334</c:v>
                </c:pt>
                <c:pt idx="15">
                  <c:v>41365</c:v>
                </c:pt>
                <c:pt idx="16">
                  <c:v>41395</c:v>
                </c:pt>
                <c:pt idx="17">
                  <c:v>41426</c:v>
                </c:pt>
                <c:pt idx="18">
                  <c:v>41456</c:v>
                </c:pt>
                <c:pt idx="19">
                  <c:v>41487</c:v>
                </c:pt>
                <c:pt idx="20">
                  <c:v>41518</c:v>
                </c:pt>
                <c:pt idx="21">
                  <c:v>41548</c:v>
                </c:pt>
                <c:pt idx="22">
                  <c:v>41579</c:v>
                </c:pt>
                <c:pt idx="23">
                  <c:v>41609</c:v>
                </c:pt>
                <c:pt idx="24">
                  <c:v>41640</c:v>
                </c:pt>
                <c:pt idx="25">
                  <c:v>41671</c:v>
                </c:pt>
                <c:pt idx="26">
                  <c:v>41699</c:v>
                </c:pt>
                <c:pt idx="27">
                  <c:v>41730</c:v>
                </c:pt>
                <c:pt idx="28">
                  <c:v>41760</c:v>
                </c:pt>
                <c:pt idx="29">
                  <c:v>41791</c:v>
                </c:pt>
                <c:pt idx="30">
                  <c:v>41821</c:v>
                </c:pt>
                <c:pt idx="31">
                  <c:v>41852</c:v>
                </c:pt>
                <c:pt idx="32">
                  <c:v>41883</c:v>
                </c:pt>
                <c:pt idx="33">
                  <c:v>41913</c:v>
                </c:pt>
                <c:pt idx="34">
                  <c:v>41944</c:v>
                </c:pt>
                <c:pt idx="35">
                  <c:v>41974</c:v>
                </c:pt>
                <c:pt idx="36">
                  <c:v>42005</c:v>
                </c:pt>
                <c:pt idx="37">
                  <c:v>42036</c:v>
                </c:pt>
                <c:pt idx="38">
                  <c:v>42064</c:v>
                </c:pt>
                <c:pt idx="39">
                  <c:v>42095</c:v>
                </c:pt>
                <c:pt idx="40">
                  <c:v>42125</c:v>
                </c:pt>
                <c:pt idx="41">
                  <c:v>42156</c:v>
                </c:pt>
                <c:pt idx="42">
                  <c:v>42186</c:v>
                </c:pt>
                <c:pt idx="43">
                  <c:v>42217</c:v>
                </c:pt>
                <c:pt idx="44">
                  <c:v>42248</c:v>
                </c:pt>
                <c:pt idx="45">
                  <c:v>42278</c:v>
                </c:pt>
                <c:pt idx="46">
                  <c:v>42309</c:v>
                </c:pt>
                <c:pt idx="47">
                  <c:v>42339</c:v>
                </c:pt>
                <c:pt idx="48">
                  <c:v>42370</c:v>
                </c:pt>
                <c:pt idx="49">
                  <c:v>42401</c:v>
                </c:pt>
                <c:pt idx="50">
                  <c:v>42430</c:v>
                </c:pt>
                <c:pt idx="51">
                  <c:v>42461</c:v>
                </c:pt>
                <c:pt idx="52">
                  <c:v>42491</c:v>
                </c:pt>
                <c:pt idx="53">
                  <c:v>42522</c:v>
                </c:pt>
                <c:pt idx="54">
                  <c:v>42552</c:v>
                </c:pt>
                <c:pt idx="55">
                  <c:v>42583</c:v>
                </c:pt>
                <c:pt idx="56">
                  <c:v>42614</c:v>
                </c:pt>
                <c:pt idx="57">
                  <c:v>42644</c:v>
                </c:pt>
                <c:pt idx="58">
                  <c:v>42675</c:v>
                </c:pt>
                <c:pt idx="59">
                  <c:v>42705</c:v>
                </c:pt>
                <c:pt idx="60">
                  <c:v>42736</c:v>
                </c:pt>
                <c:pt idx="61">
                  <c:v>42767</c:v>
                </c:pt>
                <c:pt idx="62">
                  <c:v>42795</c:v>
                </c:pt>
                <c:pt idx="63">
                  <c:v>42826</c:v>
                </c:pt>
                <c:pt idx="64">
                  <c:v>42856</c:v>
                </c:pt>
                <c:pt idx="65">
                  <c:v>42887</c:v>
                </c:pt>
                <c:pt idx="66">
                  <c:v>42917</c:v>
                </c:pt>
                <c:pt idx="67">
                  <c:v>42948</c:v>
                </c:pt>
                <c:pt idx="68">
                  <c:v>42979</c:v>
                </c:pt>
                <c:pt idx="69">
                  <c:v>43009</c:v>
                </c:pt>
                <c:pt idx="70">
                  <c:v>43040</c:v>
                </c:pt>
                <c:pt idx="71">
                  <c:v>43070</c:v>
                </c:pt>
                <c:pt idx="72">
                  <c:v>43101</c:v>
                </c:pt>
                <c:pt idx="73">
                  <c:v>43132</c:v>
                </c:pt>
                <c:pt idx="74">
                  <c:v>43160</c:v>
                </c:pt>
                <c:pt idx="75">
                  <c:v>43191</c:v>
                </c:pt>
                <c:pt idx="76">
                  <c:v>43221</c:v>
                </c:pt>
                <c:pt idx="77">
                  <c:v>43252</c:v>
                </c:pt>
                <c:pt idx="78">
                  <c:v>43282</c:v>
                </c:pt>
                <c:pt idx="79">
                  <c:v>43313</c:v>
                </c:pt>
                <c:pt idx="80">
                  <c:v>43344</c:v>
                </c:pt>
                <c:pt idx="81">
                  <c:v>43374</c:v>
                </c:pt>
                <c:pt idx="82">
                  <c:v>43405</c:v>
                </c:pt>
                <c:pt idx="83">
                  <c:v>43435</c:v>
                </c:pt>
                <c:pt idx="84">
                  <c:v>43466</c:v>
                </c:pt>
                <c:pt idx="85">
                  <c:v>43497</c:v>
                </c:pt>
                <c:pt idx="86">
                  <c:v>43525</c:v>
                </c:pt>
                <c:pt idx="87">
                  <c:v>43556</c:v>
                </c:pt>
                <c:pt idx="88">
                  <c:v>43586</c:v>
                </c:pt>
                <c:pt idx="89">
                  <c:v>43617</c:v>
                </c:pt>
              </c:numCache>
            </c:numRef>
          </c:cat>
          <c:val>
            <c:numRef>
              <c:f>'Misc. Data &amp; Mechanisms'!$P$710:$P$799</c:f>
              <c:numCache>
                <c:formatCode>0.00_);[Red]\(0.00\)</c:formatCode>
                <c:ptCount val="90"/>
                <c:pt idx="0">
                  <c:v>2.952</c:v>
                </c:pt>
                <c:pt idx="1">
                  <c:v>2.1469999999999998</c:v>
                </c:pt>
                <c:pt idx="2">
                  <c:v>2.0939999999999999</c:v>
                </c:pt>
                <c:pt idx="3">
                  <c:v>1.5940000000000001</c:v>
                </c:pt>
                <c:pt idx="4">
                  <c:v>1.448</c:v>
                </c:pt>
                <c:pt idx="5">
                  <c:v>2.7650000000000001</c:v>
                </c:pt>
                <c:pt idx="6">
                  <c:v>2.097</c:v>
                </c:pt>
                <c:pt idx="7">
                  <c:v>2.31</c:v>
                </c:pt>
                <c:pt idx="8">
                  <c:v>1.8320000000000001</c:v>
                </c:pt>
                <c:pt idx="9">
                  <c:v>2.5070000000000001</c:v>
                </c:pt>
                <c:pt idx="10">
                  <c:v>3.5409999999999999</c:v>
                </c:pt>
                <c:pt idx="11">
                  <c:v>3.5819999999999999</c:v>
                </c:pt>
                <c:pt idx="12">
                  <c:v>2.8149999999999999</c:v>
                </c:pt>
                <c:pt idx="13">
                  <c:v>3.129</c:v>
                </c:pt>
                <c:pt idx="14">
                  <c:v>2.931</c:v>
                </c:pt>
                <c:pt idx="15">
                  <c:v>3.762</c:v>
                </c:pt>
                <c:pt idx="16">
                  <c:v>4.1879999999999997</c:v>
                </c:pt>
                <c:pt idx="17">
                  <c:v>4.5940000000000003</c:v>
                </c:pt>
                <c:pt idx="18">
                  <c:v>1.8540000000000001</c:v>
                </c:pt>
                <c:pt idx="19">
                  <c:v>1.778</c:v>
                </c:pt>
                <c:pt idx="20">
                  <c:v>2.3220000000000001</c:v>
                </c:pt>
                <c:pt idx="21">
                  <c:v>2.427</c:v>
                </c:pt>
                <c:pt idx="22">
                  <c:v>3.7210000000000001</c:v>
                </c:pt>
                <c:pt idx="23">
                  <c:v>3.3010000000000002</c:v>
                </c:pt>
                <c:pt idx="24">
                  <c:v>4.085</c:v>
                </c:pt>
                <c:pt idx="25">
                  <c:v>4.5679999999999996</c:v>
                </c:pt>
                <c:pt idx="26">
                  <c:v>9.0239999999999991</c:v>
                </c:pt>
                <c:pt idx="27">
                  <c:v>5.1890000000000001</c:v>
                </c:pt>
                <c:pt idx="28">
                  <c:v>2.7480000000000002</c:v>
                </c:pt>
                <c:pt idx="29">
                  <c:v>3.847</c:v>
                </c:pt>
                <c:pt idx="30">
                  <c:v>5.7809999999999997</c:v>
                </c:pt>
                <c:pt idx="31">
                  <c:v>3.5630000000000002</c:v>
                </c:pt>
                <c:pt idx="32">
                  <c:v>3.35</c:v>
                </c:pt>
                <c:pt idx="33">
                  <c:v>4.149</c:v>
                </c:pt>
                <c:pt idx="34">
                  <c:v>3.6859999999999999</c:v>
                </c:pt>
                <c:pt idx="35">
                  <c:v>4.1840000000000002</c:v>
                </c:pt>
                <c:pt idx="36">
                  <c:v>3.335</c:v>
                </c:pt>
                <c:pt idx="37">
                  <c:v>2.4609999999999999</c:v>
                </c:pt>
                <c:pt idx="38">
                  <c:v>2.68</c:v>
                </c:pt>
                <c:pt idx="39">
                  <c:v>2.919</c:v>
                </c:pt>
                <c:pt idx="40">
                  <c:v>2.1859999999999999</c:v>
                </c:pt>
                <c:pt idx="41">
                  <c:v>3.4710000000000001</c:v>
                </c:pt>
                <c:pt idx="42">
                  <c:v>1.8220000000000001</c:v>
                </c:pt>
                <c:pt idx="43">
                  <c:v>3.2040000000000002</c:v>
                </c:pt>
                <c:pt idx="44">
                  <c:v>3.3580000000000001</c:v>
                </c:pt>
                <c:pt idx="45">
                  <c:v>2.61</c:v>
                </c:pt>
                <c:pt idx="46">
                  <c:v>2.4239999999999999</c:v>
                </c:pt>
                <c:pt idx="47">
                  <c:v>2.2000000000000002</c:v>
                </c:pt>
                <c:pt idx="48">
                  <c:v>2.004</c:v>
                </c:pt>
                <c:pt idx="49">
                  <c:v>2.97</c:v>
                </c:pt>
                <c:pt idx="50">
                  <c:v>2.165</c:v>
                </c:pt>
                <c:pt idx="51">
                  <c:v>0.86199999999999999</c:v>
                </c:pt>
                <c:pt idx="52">
                  <c:v>0.79500000000000004</c:v>
                </c:pt>
                <c:pt idx="53">
                  <c:v>1.3740000000000001</c:v>
                </c:pt>
                <c:pt idx="54">
                  <c:v>1.631</c:v>
                </c:pt>
                <c:pt idx="55">
                  <c:v>2.3639999999999999</c:v>
                </c:pt>
                <c:pt idx="56">
                  <c:v>2.351</c:v>
                </c:pt>
                <c:pt idx="57">
                  <c:v>2.6589999999999998</c:v>
                </c:pt>
                <c:pt idx="58">
                  <c:v>3.3029999999999999</c:v>
                </c:pt>
                <c:pt idx="59">
                  <c:v>2.5790000000000002</c:v>
                </c:pt>
                <c:pt idx="60">
                  <c:v>3.7450000000000001</c:v>
                </c:pt>
                <c:pt idx="61">
                  <c:v>2.6419999999999999</c:v>
                </c:pt>
                <c:pt idx="62">
                  <c:v>1.885</c:v>
                </c:pt>
                <c:pt idx="63">
                  <c:v>2.2669999999999999</c:v>
                </c:pt>
                <c:pt idx="64">
                  <c:v>1.952</c:v>
                </c:pt>
                <c:pt idx="65">
                  <c:v>1.2350000000000001</c:v>
                </c:pt>
                <c:pt idx="66">
                  <c:v>1.8220000000000001</c:v>
                </c:pt>
                <c:pt idx="67">
                  <c:v>2.3279999999999998</c:v>
                </c:pt>
                <c:pt idx="68">
                  <c:v>1.4339999999999999</c:v>
                </c:pt>
                <c:pt idx="69">
                  <c:v>1.6819999999999999</c:v>
                </c:pt>
                <c:pt idx="70">
                  <c:v>1.825</c:v>
                </c:pt>
                <c:pt idx="71">
                  <c:v>2.3029999999999999</c:v>
                </c:pt>
                <c:pt idx="72">
                  <c:v>1.911</c:v>
                </c:pt>
                <c:pt idx="73">
                  <c:v>2.3279999999999998</c:v>
                </c:pt>
                <c:pt idx="74">
                  <c:v>1.7330000000000001</c:v>
                </c:pt>
                <c:pt idx="75">
                  <c:v>1.9670000000000001</c:v>
                </c:pt>
                <c:pt idx="76">
                  <c:v>0.98899999999999999</c:v>
                </c:pt>
                <c:pt idx="77">
                  <c:v>0.54400000000000004</c:v>
                </c:pt>
                <c:pt idx="78">
                  <c:v>1.4850000000000001</c:v>
                </c:pt>
                <c:pt idx="79">
                  <c:v>1.1599999999999999</c:v>
                </c:pt>
                <c:pt idx="80">
                  <c:v>1.321</c:v>
                </c:pt>
                <c:pt idx="81">
                  <c:v>1.3220000000000001</c:v>
                </c:pt>
                <c:pt idx="82">
                  <c:v>2.3690000000000002</c:v>
                </c:pt>
                <c:pt idx="83">
                  <c:v>2.004</c:v>
                </c:pt>
                <c:pt idx="84">
                  <c:v>1.5149999999999999</c:v>
                </c:pt>
                <c:pt idx="85">
                  <c:v>1.99</c:v>
                </c:pt>
                <c:pt idx="86">
                  <c:v>3.18</c:v>
                </c:pt>
                <c:pt idx="87">
                  <c:v>2.89</c:v>
                </c:pt>
                <c:pt idx="88">
                  <c:v>2.2850000000000001</c:v>
                </c:pt>
                <c:pt idx="89">
                  <c:v>0.36499999999999999</c:v>
                </c:pt>
              </c:numCache>
            </c:numRef>
          </c:val>
          <c:smooth val="0"/>
        </c:ser>
        <c:ser>
          <c:idx val="1"/>
          <c:order val="1"/>
          <c:tx>
            <c:strRef>
              <c:f>'Misc. Data &amp; Mechanisms'!$Q$709</c:f>
              <c:strCache>
                <c:ptCount val="1"/>
                <c:pt idx="0">
                  <c:v>ATCO-S</c:v>
                </c:pt>
              </c:strCache>
            </c:strRef>
          </c:tx>
          <c:spPr>
            <a:ln w="38100">
              <a:solidFill>
                <a:srgbClr val="F79646">
                  <a:lumMod val="50000"/>
                </a:srgbClr>
              </a:solidFill>
            </a:ln>
          </c:spPr>
          <c:marker>
            <c:symbol val="none"/>
          </c:marker>
          <c:cat>
            <c:numRef>
              <c:f>'Misc. Data &amp; Mechanisms'!$O$710:$O$799</c:f>
              <c:numCache>
                <c:formatCode>[$-409]mmm-yy;@</c:formatCode>
                <c:ptCount val="90"/>
                <c:pt idx="0">
                  <c:v>40909</c:v>
                </c:pt>
                <c:pt idx="1">
                  <c:v>40940</c:v>
                </c:pt>
                <c:pt idx="2">
                  <c:v>40969</c:v>
                </c:pt>
                <c:pt idx="3">
                  <c:v>41000</c:v>
                </c:pt>
                <c:pt idx="4">
                  <c:v>41030</c:v>
                </c:pt>
                <c:pt idx="5">
                  <c:v>41061</c:v>
                </c:pt>
                <c:pt idx="6">
                  <c:v>41091</c:v>
                </c:pt>
                <c:pt idx="7">
                  <c:v>41122</c:v>
                </c:pt>
                <c:pt idx="8">
                  <c:v>41153</c:v>
                </c:pt>
                <c:pt idx="9">
                  <c:v>41183</c:v>
                </c:pt>
                <c:pt idx="10">
                  <c:v>41214</c:v>
                </c:pt>
                <c:pt idx="11">
                  <c:v>41244</c:v>
                </c:pt>
                <c:pt idx="12">
                  <c:v>41275</c:v>
                </c:pt>
                <c:pt idx="13">
                  <c:v>41306</c:v>
                </c:pt>
                <c:pt idx="14">
                  <c:v>41334</c:v>
                </c:pt>
                <c:pt idx="15">
                  <c:v>41365</c:v>
                </c:pt>
                <c:pt idx="16">
                  <c:v>41395</c:v>
                </c:pt>
                <c:pt idx="17">
                  <c:v>41426</c:v>
                </c:pt>
                <c:pt idx="18">
                  <c:v>41456</c:v>
                </c:pt>
                <c:pt idx="19">
                  <c:v>41487</c:v>
                </c:pt>
                <c:pt idx="20">
                  <c:v>41518</c:v>
                </c:pt>
                <c:pt idx="21">
                  <c:v>41548</c:v>
                </c:pt>
                <c:pt idx="22">
                  <c:v>41579</c:v>
                </c:pt>
                <c:pt idx="23">
                  <c:v>41609</c:v>
                </c:pt>
                <c:pt idx="24">
                  <c:v>41640</c:v>
                </c:pt>
                <c:pt idx="25">
                  <c:v>41671</c:v>
                </c:pt>
                <c:pt idx="26">
                  <c:v>41699</c:v>
                </c:pt>
                <c:pt idx="27">
                  <c:v>41730</c:v>
                </c:pt>
                <c:pt idx="28">
                  <c:v>41760</c:v>
                </c:pt>
                <c:pt idx="29">
                  <c:v>41791</c:v>
                </c:pt>
                <c:pt idx="30">
                  <c:v>41821</c:v>
                </c:pt>
                <c:pt idx="31">
                  <c:v>41852</c:v>
                </c:pt>
                <c:pt idx="32">
                  <c:v>41883</c:v>
                </c:pt>
                <c:pt idx="33">
                  <c:v>41913</c:v>
                </c:pt>
                <c:pt idx="34">
                  <c:v>41944</c:v>
                </c:pt>
                <c:pt idx="35">
                  <c:v>41974</c:v>
                </c:pt>
                <c:pt idx="36">
                  <c:v>42005</c:v>
                </c:pt>
                <c:pt idx="37">
                  <c:v>42036</c:v>
                </c:pt>
                <c:pt idx="38">
                  <c:v>42064</c:v>
                </c:pt>
                <c:pt idx="39">
                  <c:v>42095</c:v>
                </c:pt>
                <c:pt idx="40">
                  <c:v>42125</c:v>
                </c:pt>
                <c:pt idx="41">
                  <c:v>42156</c:v>
                </c:pt>
                <c:pt idx="42">
                  <c:v>42186</c:v>
                </c:pt>
                <c:pt idx="43">
                  <c:v>42217</c:v>
                </c:pt>
                <c:pt idx="44">
                  <c:v>42248</c:v>
                </c:pt>
                <c:pt idx="45">
                  <c:v>42278</c:v>
                </c:pt>
                <c:pt idx="46">
                  <c:v>42309</c:v>
                </c:pt>
                <c:pt idx="47">
                  <c:v>42339</c:v>
                </c:pt>
                <c:pt idx="48">
                  <c:v>42370</c:v>
                </c:pt>
                <c:pt idx="49">
                  <c:v>42401</c:v>
                </c:pt>
                <c:pt idx="50">
                  <c:v>42430</c:v>
                </c:pt>
                <c:pt idx="51">
                  <c:v>42461</c:v>
                </c:pt>
                <c:pt idx="52">
                  <c:v>42491</c:v>
                </c:pt>
                <c:pt idx="53">
                  <c:v>42522</c:v>
                </c:pt>
                <c:pt idx="54">
                  <c:v>42552</c:v>
                </c:pt>
                <c:pt idx="55">
                  <c:v>42583</c:v>
                </c:pt>
                <c:pt idx="56">
                  <c:v>42614</c:v>
                </c:pt>
                <c:pt idx="57">
                  <c:v>42644</c:v>
                </c:pt>
                <c:pt idx="58">
                  <c:v>42675</c:v>
                </c:pt>
                <c:pt idx="59">
                  <c:v>42705</c:v>
                </c:pt>
                <c:pt idx="60">
                  <c:v>42736</c:v>
                </c:pt>
                <c:pt idx="61">
                  <c:v>42767</c:v>
                </c:pt>
                <c:pt idx="62">
                  <c:v>42795</c:v>
                </c:pt>
                <c:pt idx="63">
                  <c:v>42826</c:v>
                </c:pt>
                <c:pt idx="64">
                  <c:v>42856</c:v>
                </c:pt>
                <c:pt idx="65">
                  <c:v>42887</c:v>
                </c:pt>
                <c:pt idx="66">
                  <c:v>42917</c:v>
                </c:pt>
                <c:pt idx="67">
                  <c:v>42948</c:v>
                </c:pt>
                <c:pt idx="68">
                  <c:v>42979</c:v>
                </c:pt>
                <c:pt idx="69">
                  <c:v>43009</c:v>
                </c:pt>
                <c:pt idx="70">
                  <c:v>43040</c:v>
                </c:pt>
                <c:pt idx="71">
                  <c:v>43070</c:v>
                </c:pt>
                <c:pt idx="72">
                  <c:v>43101</c:v>
                </c:pt>
                <c:pt idx="73">
                  <c:v>43132</c:v>
                </c:pt>
                <c:pt idx="74">
                  <c:v>43160</c:v>
                </c:pt>
                <c:pt idx="75">
                  <c:v>43191</c:v>
                </c:pt>
                <c:pt idx="76">
                  <c:v>43221</c:v>
                </c:pt>
                <c:pt idx="77">
                  <c:v>43252</c:v>
                </c:pt>
                <c:pt idx="78">
                  <c:v>43282</c:v>
                </c:pt>
                <c:pt idx="79">
                  <c:v>43313</c:v>
                </c:pt>
                <c:pt idx="80">
                  <c:v>43344</c:v>
                </c:pt>
                <c:pt idx="81">
                  <c:v>43374</c:v>
                </c:pt>
                <c:pt idx="82">
                  <c:v>43405</c:v>
                </c:pt>
                <c:pt idx="83">
                  <c:v>43435</c:v>
                </c:pt>
                <c:pt idx="84">
                  <c:v>43466</c:v>
                </c:pt>
                <c:pt idx="85">
                  <c:v>43497</c:v>
                </c:pt>
                <c:pt idx="86">
                  <c:v>43525</c:v>
                </c:pt>
                <c:pt idx="87">
                  <c:v>43556</c:v>
                </c:pt>
                <c:pt idx="88">
                  <c:v>43586</c:v>
                </c:pt>
                <c:pt idx="89">
                  <c:v>43617</c:v>
                </c:pt>
              </c:numCache>
            </c:numRef>
          </c:cat>
          <c:val>
            <c:numRef>
              <c:f>'Misc. Data &amp; Mechanisms'!$Q$710:$Q$799</c:f>
              <c:numCache>
                <c:formatCode>0.00_);[Red]\(0.00\)</c:formatCode>
                <c:ptCount val="90"/>
                <c:pt idx="0">
                  <c:v>2.9569999999999999</c:v>
                </c:pt>
                <c:pt idx="1">
                  <c:v>2.0640000000000001</c:v>
                </c:pt>
                <c:pt idx="2">
                  <c:v>2.0990000000000002</c:v>
                </c:pt>
                <c:pt idx="3">
                  <c:v>1.7</c:v>
                </c:pt>
                <c:pt idx="4">
                  <c:v>1.331</c:v>
                </c:pt>
                <c:pt idx="5">
                  <c:v>2.7480000000000002</c:v>
                </c:pt>
                <c:pt idx="6">
                  <c:v>2.21</c:v>
                </c:pt>
                <c:pt idx="7">
                  <c:v>2.1859999999999999</c:v>
                </c:pt>
                <c:pt idx="8">
                  <c:v>1.7010000000000001</c:v>
                </c:pt>
                <c:pt idx="9">
                  <c:v>2.5830000000000002</c:v>
                </c:pt>
                <c:pt idx="10">
                  <c:v>3.573</c:v>
                </c:pt>
                <c:pt idx="11">
                  <c:v>3.5419999999999998</c:v>
                </c:pt>
                <c:pt idx="12">
                  <c:v>2.9169999999999998</c:v>
                </c:pt>
                <c:pt idx="13">
                  <c:v>3.2530000000000001</c:v>
                </c:pt>
                <c:pt idx="14">
                  <c:v>2.8439999999999999</c:v>
                </c:pt>
                <c:pt idx="15">
                  <c:v>3.472</c:v>
                </c:pt>
                <c:pt idx="16">
                  <c:v>4.1459999999999999</c:v>
                </c:pt>
                <c:pt idx="17">
                  <c:v>4.2889999999999997</c:v>
                </c:pt>
                <c:pt idx="18">
                  <c:v>2.9260000000000002</c:v>
                </c:pt>
                <c:pt idx="19">
                  <c:v>2.0539999999999998</c:v>
                </c:pt>
                <c:pt idx="20">
                  <c:v>2.5470000000000002</c:v>
                </c:pt>
                <c:pt idx="21">
                  <c:v>2.3969999999999998</c:v>
                </c:pt>
                <c:pt idx="22">
                  <c:v>3.6850000000000001</c:v>
                </c:pt>
                <c:pt idx="23">
                  <c:v>3.294</c:v>
                </c:pt>
                <c:pt idx="24">
                  <c:v>4.1070000000000002</c:v>
                </c:pt>
                <c:pt idx="25">
                  <c:v>4.4939999999999998</c:v>
                </c:pt>
                <c:pt idx="26">
                  <c:v>9.3879999999999999</c:v>
                </c:pt>
                <c:pt idx="27">
                  <c:v>4.226</c:v>
                </c:pt>
                <c:pt idx="28">
                  <c:v>3.915</c:v>
                </c:pt>
                <c:pt idx="29">
                  <c:v>2.73</c:v>
                </c:pt>
                <c:pt idx="30">
                  <c:v>5.1379999999999999</c:v>
                </c:pt>
                <c:pt idx="31">
                  <c:v>3.7490000000000001</c:v>
                </c:pt>
                <c:pt idx="32">
                  <c:v>3.7080000000000002</c:v>
                </c:pt>
                <c:pt idx="33">
                  <c:v>4.18</c:v>
                </c:pt>
                <c:pt idx="34">
                  <c:v>3.6829999999999998</c:v>
                </c:pt>
                <c:pt idx="35">
                  <c:v>4.1820000000000004</c:v>
                </c:pt>
                <c:pt idx="36">
                  <c:v>3.1059999999999999</c:v>
                </c:pt>
                <c:pt idx="37">
                  <c:v>2.6080000000000001</c:v>
                </c:pt>
                <c:pt idx="38">
                  <c:v>2.97</c:v>
                </c:pt>
                <c:pt idx="39">
                  <c:v>2.903</c:v>
                </c:pt>
                <c:pt idx="40">
                  <c:v>2.2269999999999999</c:v>
                </c:pt>
                <c:pt idx="41">
                  <c:v>3.7410000000000001</c:v>
                </c:pt>
                <c:pt idx="42">
                  <c:v>2.133</c:v>
                </c:pt>
                <c:pt idx="43">
                  <c:v>2.4449999999999998</c:v>
                </c:pt>
                <c:pt idx="44">
                  <c:v>3.0710000000000002</c:v>
                </c:pt>
                <c:pt idx="45">
                  <c:v>2.8279999999999998</c:v>
                </c:pt>
                <c:pt idx="46">
                  <c:v>2.5539999999999998</c:v>
                </c:pt>
                <c:pt idx="47">
                  <c:v>2.2000000000000002</c:v>
                </c:pt>
                <c:pt idx="48">
                  <c:v>2.004</c:v>
                </c:pt>
                <c:pt idx="49">
                  <c:v>2.97</c:v>
                </c:pt>
                <c:pt idx="50">
                  <c:v>2.165</c:v>
                </c:pt>
                <c:pt idx="51">
                  <c:v>0.86199999999999999</c:v>
                </c:pt>
                <c:pt idx="52">
                  <c:v>0.79500000000000004</c:v>
                </c:pt>
                <c:pt idx="53">
                  <c:v>1.3740000000000001</c:v>
                </c:pt>
                <c:pt idx="54">
                  <c:v>1.631</c:v>
                </c:pt>
                <c:pt idx="55">
                  <c:v>2.3639999999999999</c:v>
                </c:pt>
                <c:pt idx="56">
                  <c:v>2.351</c:v>
                </c:pt>
                <c:pt idx="57">
                  <c:v>2.6589999999999998</c:v>
                </c:pt>
                <c:pt idx="58">
                  <c:v>3.3029999999999999</c:v>
                </c:pt>
                <c:pt idx="59">
                  <c:v>2.5790000000000002</c:v>
                </c:pt>
                <c:pt idx="60">
                  <c:v>3.7450000000000001</c:v>
                </c:pt>
                <c:pt idx="61">
                  <c:v>2.6419999999999999</c:v>
                </c:pt>
                <c:pt idx="62">
                  <c:v>1.885</c:v>
                </c:pt>
                <c:pt idx="63">
                  <c:v>2.2669999999999999</c:v>
                </c:pt>
                <c:pt idx="64">
                  <c:v>1.952</c:v>
                </c:pt>
                <c:pt idx="65">
                  <c:v>1.2350000000000001</c:v>
                </c:pt>
                <c:pt idx="66">
                  <c:v>1.8220000000000001</c:v>
                </c:pt>
                <c:pt idx="67">
                  <c:v>2.3279999999999998</c:v>
                </c:pt>
                <c:pt idx="68">
                  <c:v>1.4339999999999999</c:v>
                </c:pt>
                <c:pt idx="69">
                  <c:v>1.6819999999999999</c:v>
                </c:pt>
                <c:pt idx="70">
                  <c:v>1.825</c:v>
                </c:pt>
                <c:pt idx="71">
                  <c:v>2.3029999999999999</c:v>
                </c:pt>
                <c:pt idx="72">
                  <c:v>1.911</c:v>
                </c:pt>
                <c:pt idx="73">
                  <c:v>2.3279999999999998</c:v>
                </c:pt>
                <c:pt idx="74">
                  <c:v>1.7330000000000001</c:v>
                </c:pt>
                <c:pt idx="75">
                  <c:v>1.9670000000000001</c:v>
                </c:pt>
                <c:pt idx="76">
                  <c:v>0.98899999999999999</c:v>
                </c:pt>
                <c:pt idx="77">
                  <c:v>0.54400000000000004</c:v>
                </c:pt>
                <c:pt idx="78">
                  <c:v>1.4850000000000001</c:v>
                </c:pt>
                <c:pt idx="79">
                  <c:v>1.1599999999999999</c:v>
                </c:pt>
                <c:pt idx="80">
                  <c:v>1.321</c:v>
                </c:pt>
                <c:pt idx="81">
                  <c:v>1.3220000000000001</c:v>
                </c:pt>
                <c:pt idx="82">
                  <c:v>2.3690000000000002</c:v>
                </c:pt>
                <c:pt idx="83">
                  <c:v>2.004</c:v>
                </c:pt>
                <c:pt idx="84">
                  <c:v>1.5149999999999999</c:v>
                </c:pt>
                <c:pt idx="85">
                  <c:v>1.99</c:v>
                </c:pt>
                <c:pt idx="86">
                  <c:v>3.18</c:v>
                </c:pt>
                <c:pt idx="87">
                  <c:v>2.89</c:v>
                </c:pt>
                <c:pt idx="88">
                  <c:v>2.2850000000000001</c:v>
                </c:pt>
                <c:pt idx="89">
                  <c:v>0.36499999999999999</c:v>
                </c:pt>
              </c:numCache>
            </c:numRef>
          </c:val>
          <c:smooth val="0"/>
        </c:ser>
        <c:ser>
          <c:idx val="2"/>
          <c:order val="2"/>
          <c:tx>
            <c:strRef>
              <c:f>'Misc. Data &amp; Mechanisms'!$R$709</c:f>
              <c:strCache>
                <c:ptCount val="1"/>
                <c:pt idx="0">
                  <c:v>AltaGas</c:v>
                </c:pt>
              </c:strCache>
            </c:strRef>
          </c:tx>
          <c:spPr>
            <a:ln w="38100">
              <a:solidFill>
                <a:srgbClr val="8064A2">
                  <a:lumMod val="75000"/>
                </a:srgbClr>
              </a:solidFill>
            </a:ln>
          </c:spPr>
          <c:marker>
            <c:symbol val="none"/>
          </c:marker>
          <c:cat>
            <c:numRef>
              <c:f>'Misc. Data &amp; Mechanisms'!$O$710:$O$799</c:f>
              <c:numCache>
                <c:formatCode>[$-409]mmm-yy;@</c:formatCode>
                <c:ptCount val="90"/>
                <c:pt idx="0">
                  <c:v>40909</c:v>
                </c:pt>
                <c:pt idx="1">
                  <c:v>40940</c:v>
                </c:pt>
                <c:pt idx="2">
                  <c:v>40969</c:v>
                </c:pt>
                <c:pt idx="3">
                  <c:v>41000</c:v>
                </c:pt>
                <c:pt idx="4">
                  <c:v>41030</c:v>
                </c:pt>
                <c:pt idx="5">
                  <c:v>41061</c:v>
                </c:pt>
                <c:pt idx="6">
                  <c:v>41091</c:v>
                </c:pt>
                <c:pt idx="7">
                  <c:v>41122</c:v>
                </c:pt>
                <c:pt idx="8">
                  <c:v>41153</c:v>
                </c:pt>
                <c:pt idx="9">
                  <c:v>41183</c:v>
                </c:pt>
                <c:pt idx="10">
                  <c:v>41214</c:v>
                </c:pt>
                <c:pt idx="11">
                  <c:v>41244</c:v>
                </c:pt>
                <c:pt idx="12">
                  <c:v>41275</c:v>
                </c:pt>
                <c:pt idx="13">
                  <c:v>41306</c:v>
                </c:pt>
                <c:pt idx="14">
                  <c:v>41334</c:v>
                </c:pt>
                <c:pt idx="15">
                  <c:v>41365</c:v>
                </c:pt>
                <c:pt idx="16">
                  <c:v>41395</c:v>
                </c:pt>
                <c:pt idx="17">
                  <c:v>41426</c:v>
                </c:pt>
                <c:pt idx="18">
                  <c:v>41456</c:v>
                </c:pt>
                <c:pt idx="19">
                  <c:v>41487</c:v>
                </c:pt>
                <c:pt idx="20">
                  <c:v>41518</c:v>
                </c:pt>
                <c:pt idx="21">
                  <c:v>41548</c:v>
                </c:pt>
                <c:pt idx="22">
                  <c:v>41579</c:v>
                </c:pt>
                <c:pt idx="23">
                  <c:v>41609</c:v>
                </c:pt>
                <c:pt idx="24">
                  <c:v>41640</c:v>
                </c:pt>
                <c:pt idx="25">
                  <c:v>41671</c:v>
                </c:pt>
                <c:pt idx="26">
                  <c:v>41699</c:v>
                </c:pt>
                <c:pt idx="27">
                  <c:v>41730</c:v>
                </c:pt>
                <c:pt idx="28">
                  <c:v>41760</c:v>
                </c:pt>
                <c:pt idx="29">
                  <c:v>41791</c:v>
                </c:pt>
                <c:pt idx="30">
                  <c:v>41821</c:v>
                </c:pt>
                <c:pt idx="31">
                  <c:v>41852</c:v>
                </c:pt>
                <c:pt idx="32">
                  <c:v>41883</c:v>
                </c:pt>
                <c:pt idx="33">
                  <c:v>41913</c:v>
                </c:pt>
                <c:pt idx="34">
                  <c:v>41944</c:v>
                </c:pt>
                <c:pt idx="35">
                  <c:v>41974</c:v>
                </c:pt>
                <c:pt idx="36">
                  <c:v>42005</c:v>
                </c:pt>
                <c:pt idx="37">
                  <c:v>42036</c:v>
                </c:pt>
                <c:pt idx="38">
                  <c:v>42064</c:v>
                </c:pt>
                <c:pt idx="39">
                  <c:v>42095</c:v>
                </c:pt>
                <c:pt idx="40">
                  <c:v>42125</c:v>
                </c:pt>
                <c:pt idx="41">
                  <c:v>42156</c:v>
                </c:pt>
                <c:pt idx="42">
                  <c:v>42186</c:v>
                </c:pt>
                <c:pt idx="43">
                  <c:v>42217</c:v>
                </c:pt>
                <c:pt idx="44">
                  <c:v>42248</c:v>
                </c:pt>
                <c:pt idx="45">
                  <c:v>42278</c:v>
                </c:pt>
                <c:pt idx="46">
                  <c:v>42309</c:v>
                </c:pt>
                <c:pt idx="47">
                  <c:v>42339</c:v>
                </c:pt>
                <c:pt idx="48">
                  <c:v>42370</c:v>
                </c:pt>
                <c:pt idx="49">
                  <c:v>42401</c:v>
                </c:pt>
                <c:pt idx="50">
                  <c:v>42430</c:v>
                </c:pt>
                <c:pt idx="51">
                  <c:v>42461</c:v>
                </c:pt>
                <c:pt idx="52">
                  <c:v>42491</c:v>
                </c:pt>
                <c:pt idx="53">
                  <c:v>42522</c:v>
                </c:pt>
                <c:pt idx="54">
                  <c:v>42552</c:v>
                </c:pt>
                <c:pt idx="55">
                  <c:v>42583</c:v>
                </c:pt>
                <c:pt idx="56">
                  <c:v>42614</c:v>
                </c:pt>
                <c:pt idx="57">
                  <c:v>42644</c:v>
                </c:pt>
                <c:pt idx="58">
                  <c:v>42675</c:v>
                </c:pt>
                <c:pt idx="59">
                  <c:v>42705</c:v>
                </c:pt>
                <c:pt idx="60">
                  <c:v>42736</c:v>
                </c:pt>
                <c:pt idx="61">
                  <c:v>42767</c:v>
                </c:pt>
                <c:pt idx="62">
                  <c:v>42795</c:v>
                </c:pt>
                <c:pt idx="63">
                  <c:v>42826</c:v>
                </c:pt>
                <c:pt idx="64">
                  <c:v>42856</c:v>
                </c:pt>
                <c:pt idx="65">
                  <c:v>42887</c:v>
                </c:pt>
                <c:pt idx="66">
                  <c:v>42917</c:v>
                </c:pt>
                <c:pt idx="67">
                  <c:v>42948</c:v>
                </c:pt>
                <c:pt idx="68">
                  <c:v>42979</c:v>
                </c:pt>
                <c:pt idx="69">
                  <c:v>43009</c:v>
                </c:pt>
                <c:pt idx="70">
                  <c:v>43040</c:v>
                </c:pt>
                <c:pt idx="71">
                  <c:v>43070</c:v>
                </c:pt>
                <c:pt idx="72">
                  <c:v>43101</c:v>
                </c:pt>
                <c:pt idx="73">
                  <c:v>43132</c:v>
                </c:pt>
                <c:pt idx="74">
                  <c:v>43160</c:v>
                </c:pt>
                <c:pt idx="75">
                  <c:v>43191</c:v>
                </c:pt>
                <c:pt idx="76">
                  <c:v>43221</c:v>
                </c:pt>
                <c:pt idx="77">
                  <c:v>43252</c:v>
                </c:pt>
                <c:pt idx="78">
                  <c:v>43282</c:v>
                </c:pt>
                <c:pt idx="79">
                  <c:v>43313</c:v>
                </c:pt>
                <c:pt idx="80">
                  <c:v>43344</c:v>
                </c:pt>
                <c:pt idx="81">
                  <c:v>43374</c:v>
                </c:pt>
                <c:pt idx="82">
                  <c:v>43405</c:v>
                </c:pt>
                <c:pt idx="83">
                  <c:v>43435</c:v>
                </c:pt>
                <c:pt idx="84">
                  <c:v>43466</c:v>
                </c:pt>
                <c:pt idx="85">
                  <c:v>43497</c:v>
                </c:pt>
                <c:pt idx="86">
                  <c:v>43525</c:v>
                </c:pt>
                <c:pt idx="87">
                  <c:v>43556</c:v>
                </c:pt>
                <c:pt idx="88">
                  <c:v>43586</c:v>
                </c:pt>
                <c:pt idx="89">
                  <c:v>43617</c:v>
                </c:pt>
              </c:numCache>
            </c:numRef>
          </c:cat>
          <c:val>
            <c:numRef>
              <c:f>'Misc. Data &amp; Mechanisms'!$R$710:$R$799</c:f>
              <c:numCache>
                <c:formatCode>0.00_);[Red]\(0.00\)</c:formatCode>
                <c:ptCount val="90"/>
                <c:pt idx="0">
                  <c:v>3.0569999999999999</c:v>
                </c:pt>
                <c:pt idx="1">
                  <c:v>2.2370000000000001</c:v>
                </c:pt>
                <c:pt idx="2">
                  <c:v>2.238</c:v>
                </c:pt>
                <c:pt idx="3">
                  <c:v>1.181</c:v>
                </c:pt>
                <c:pt idx="4">
                  <c:v>1.107</c:v>
                </c:pt>
                <c:pt idx="5">
                  <c:v>2.14</c:v>
                </c:pt>
                <c:pt idx="6">
                  <c:v>1.0569999999999999</c:v>
                </c:pt>
                <c:pt idx="7">
                  <c:v>2.2200000000000002</c:v>
                </c:pt>
                <c:pt idx="8">
                  <c:v>1.54</c:v>
                </c:pt>
                <c:pt idx="9">
                  <c:v>2.4249999999999998</c:v>
                </c:pt>
                <c:pt idx="10">
                  <c:v>3.3730000000000002</c:v>
                </c:pt>
                <c:pt idx="11">
                  <c:v>3.3809999999999998</c:v>
                </c:pt>
                <c:pt idx="12">
                  <c:v>2.8519999999999999</c:v>
                </c:pt>
                <c:pt idx="13">
                  <c:v>2.8639999999999999</c:v>
                </c:pt>
                <c:pt idx="14">
                  <c:v>2.5939999999999999</c:v>
                </c:pt>
                <c:pt idx="15">
                  <c:v>3.306</c:v>
                </c:pt>
                <c:pt idx="16">
                  <c:v>2.8780000000000001</c:v>
                </c:pt>
                <c:pt idx="17">
                  <c:v>3.8969999999999998</c:v>
                </c:pt>
                <c:pt idx="18">
                  <c:v>3.76</c:v>
                </c:pt>
                <c:pt idx="19">
                  <c:v>2.4569999999999999</c:v>
                </c:pt>
                <c:pt idx="20">
                  <c:v>2.3490000000000002</c:v>
                </c:pt>
                <c:pt idx="21">
                  <c:v>2.3690000000000002</c:v>
                </c:pt>
                <c:pt idx="22">
                  <c:v>3.637</c:v>
                </c:pt>
                <c:pt idx="23">
                  <c:v>3.19</c:v>
                </c:pt>
                <c:pt idx="24">
                  <c:v>4.2309999999999999</c:v>
                </c:pt>
                <c:pt idx="25">
                  <c:v>4.8639999999999999</c:v>
                </c:pt>
                <c:pt idx="26">
                  <c:v>7.383</c:v>
                </c:pt>
                <c:pt idx="27">
                  <c:v>6.3860000000000001</c:v>
                </c:pt>
                <c:pt idx="28">
                  <c:v>4.9690000000000003</c:v>
                </c:pt>
                <c:pt idx="29">
                  <c:v>3.073</c:v>
                </c:pt>
                <c:pt idx="30">
                  <c:v>3.0009999999999999</c:v>
                </c:pt>
                <c:pt idx="31">
                  <c:v>2.6309999999999998</c:v>
                </c:pt>
                <c:pt idx="32">
                  <c:v>5.0789999999999997</c:v>
                </c:pt>
                <c:pt idx="33">
                  <c:v>3.9990000000000001</c:v>
                </c:pt>
                <c:pt idx="34">
                  <c:v>3.3450000000000002</c:v>
                </c:pt>
                <c:pt idx="35">
                  <c:v>4.1749999999999998</c:v>
                </c:pt>
                <c:pt idx="36">
                  <c:v>2.76</c:v>
                </c:pt>
                <c:pt idx="37">
                  <c:v>2.7570000000000001</c:v>
                </c:pt>
                <c:pt idx="38">
                  <c:v>2.3690000000000002</c:v>
                </c:pt>
                <c:pt idx="39">
                  <c:v>3.754</c:v>
                </c:pt>
                <c:pt idx="40">
                  <c:v>2.202</c:v>
                </c:pt>
                <c:pt idx="41">
                  <c:v>1.2090000000000001</c:v>
                </c:pt>
                <c:pt idx="42">
                  <c:v>2.63</c:v>
                </c:pt>
                <c:pt idx="43">
                  <c:v>2.8719999999999999</c:v>
                </c:pt>
                <c:pt idx="44">
                  <c:v>2.9590000000000001</c:v>
                </c:pt>
                <c:pt idx="45">
                  <c:v>2.819</c:v>
                </c:pt>
                <c:pt idx="46">
                  <c:v>2.4769999999999999</c:v>
                </c:pt>
                <c:pt idx="47">
                  <c:v>2.472</c:v>
                </c:pt>
                <c:pt idx="48">
                  <c:v>1.6439999999999999</c:v>
                </c:pt>
                <c:pt idx="49">
                  <c:v>2.0099999999999998</c:v>
                </c:pt>
                <c:pt idx="50">
                  <c:v>1.1259999999999999</c:v>
                </c:pt>
                <c:pt idx="51">
                  <c:v>1.179</c:v>
                </c:pt>
                <c:pt idx="52">
                  <c:v>1.579</c:v>
                </c:pt>
                <c:pt idx="53">
                  <c:v>1.8480000000000001</c:v>
                </c:pt>
                <c:pt idx="54">
                  <c:v>3.206</c:v>
                </c:pt>
                <c:pt idx="55">
                  <c:v>3.0910000000000002</c:v>
                </c:pt>
                <c:pt idx="56">
                  <c:v>2.3199999999999998</c:v>
                </c:pt>
                <c:pt idx="57">
                  <c:v>2.605</c:v>
                </c:pt>
                <c:pt idx="58">
                  <c:v>3.1240000000000001</c:v>
                </c:pt>
                <c:pt idx="59">
                  <c:v>2.5510000000000002</c:v>
                </c:pt>
                <c:pt idx="60">
                  <c:v>3.0859999999999999</c:v>
                </c:pt>
                <c:pt idx="61">
                  <c:v>2.2029999999999998</c:v>
                </c:pt>
                <c:pt idx="62">
                  <c:v>2.968</c:v>
                </c:pt>
                <c:pt idx="63">
                  <c:v>3.3839999999999999</c:v>
                </c:pt>
                <c:pt idx="64">
                  <c:v>3.726</c:v>
                </c:pt>
                <c:pt idx="65">
                  <c:v>4.8040000000000003</c:v>
                </c:pt>
                <c:pt idx="66">
                  <c:v>2.9020000000000001</c:v>
                </c:pt>
                <c:pt idx="67">
                  <c:v>2.069</c:v>
                </c:pt>
                <c:pt idx="68">
                  <c:v>1.2110000000000001</c:v>
                </c:pt>
                <c:pt idx="69">
                  <c:v>1.5189999999999999</c:v>
                </c:pt>
                <c:pt idx="70">
                  <c:v>1.675</c:v>
                </c:pt>
                <c:pt idx="71">
                  <c:v>2.214</c:v>
                </c:pt>
                <c:pt idx="72">
                  <c:v>1.56</c:v>
                </c:pt>
                <c:pt idx="73">
                  <c:v>2.1429999999999998</c:v>
                </c:pt>
                <c:pt idx="74">
                  <c:v>1.9810000000000001</c:v>
                </c:pt>
                <c:pt idx="75">
                  <c:v>2.1970000000000001</c:v>
                </c:pt>
                <c:pt idx="76">
                  <c:v>0.60299999999999998</c:v>
                </c:pt>
                <c:pt idx="77">
                  <c:v>2.589</c:v>
                </c:pt>
                <c:pt idx="78">
                  <c:v>3.2229999999999999</c:v>
                </c:pt>
                <c:pt idx="79">
                  <c:v>0.94299999999999995</c:v>
                </c:pt>
                <c:pt idx="80">
                  <c:v>0.91900000000000004</c:v>
                </c:pt>
                <c:pt idx="81">
                  <c:v>1.254</c:v>
                </c:pt>
                <c:pt idx="82">
                  <c:v>2.2010000000000001</c:v>
                </c:pt>
                <c:pt idx="83">
                  <c:v>1.9339999999999999</c:v>
                </c:pt>
                <c:pt idx="84">
                  <c:v>1.179</c:v>
                </c:pt>
                <c:pt idx="85">
                  <c:v>2.327</c:v>
                </c:pt>
                <c:pt idx="86">
                  <c:v>3.0870000000000002</c:v>
                </c:pt>
                <c:pt idx="87">
                  <c:v>2.3090000000000002</c:v>
                </c:pt>
                <c:pt idx="88">
                  <c:v>1.891</c:v>
                </c:pt>
                <c:pt idx="89">
                  <c:v>2.581</c:v>
                </c:pt>
              </c:numCache>
            </c:numRef>
          </c:val>
          <c:smooth val="0"/>
        </c:ser>
        <c:dLbls>
          <c:showLegendKey val="0"/>
          <c:showVal val="0"/>
          <c:showCatName val="0"/>
          <c:showSerName val="0"/>
          <c:showPercent val="0"/>
          <c:showBubbleSize val="0"/>
        </c:dLbls>
        <c:marker val="1"/>
        <c:smooth val="0"/>
        <c:axId val="253348864"/>
        <c:axId val="253358848"/>
      </c:lineChart>
      <c:dateAx>
        <c:axId val="253348864"/>
        <c:scaling>
          <c:orientation val="minMax"/>
        </c:scaling>
        <c:delete val="0"/>
        <c:axPos val="b"/>
        <c:numFmt formatCode="[$-409]mmm-yy;@" sourceLinked="1"/>
        <c:majorTickMark val="out"/>
        <c:minorTickMark val="none"/>
        <c:tickLblPos val="nextTo"/>
        <c:crossAx val="253358848"/>
        <c:crosses val="autoZero"/>
        <c:auto val="1"/>
        <c:lblOffset val="100"/>
        <c:baseTimeUnit val="months"/>
      </c:dateAx>
      <c:valAx>
        <c:axId val="253358848"/>
        <c:scaling>
          <c:orientation val="minMax"/>
        </c:scaling>
        <c:delete val="0"/>
        <c:axPos val="l"/>
        <c:majorGridlines>
          <c:spPr>
            <a:ln>
              <a:solidFill>
                <a:sysClr val="window" lastClr="FFFFFF">
                  <a:lumMod val="85000"/>
                </a:sysClr>
              </a:solidFill>
              <a:prstDash val="dash"/>
            </a:ln>
          </c:spPr>
        </c:majorGridlines>
        <c:numFmt formatCode="#,##0.0" sourceLinked="0"/>
        <c:majorTickMark val="none"/>
        <c:minorTickMark val="none"/>
        <c:tickLblPos val="nextTo"/>
        <c:spPr>
          <a:ln w="9525">
            <a:noFill/>
          </a:ln>
        </c:spPr>
        <c:crossAx val="253348864"/>
        <c:crosses val="autoZero"/>
        <c:crossBetween val="midCat"/>
      </c:valAx>
    </c:plotArea>
    <c:legend>
      <c:legendPos val="b"/>
      <c:overlay val="0"/>
      <c:txPr>
        <a:bodyPr/>
        <a:lstStyle/>
        <a:p>
          <a:pPr>
            <a:defRPr sz="1100"/>
          </a:pPr>
          <a:endParaRPr lang="en-US"/>
        </a:p>
      </c:txPr>
    </c:legend>
    <c:plotVisOnly val="1"/>
    <c:dispBlanksAs val="gap"/>
    <c:showDLblsOverMax val="0"/>
  </c:chart>
  <c:spPr>
    <a:ln>
      <a:noFill/>
    </a:ln>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'Misc. Data &amp; Mechanisms'!$T$673</c:f>
          <c:strCache>
            <c:ptCount val="1"/>
            <c:pt idx="0">
              <c:v>Total Monthly Bill ($/month), ATCO-S Zone, 2012 - 2019</c:v>
            </c:pt>
          </c:strCache>
        </c:strRef>
      </c:tx>
      <c:overlay val="0"/>
    </c:title>
    <c:autoTitleDeleted val="0"/>
    <c:plotArea>
      <c:layout/>
      <c:lineChart>
        <c:grouping val="standard"/>
        <c:varyColors val="0"/>
        <c:ser>
          <c:idx val="0"/>
          <c:order val="0"/>
          <c:tx>
            <c:strRef>
              <c:f>'Misc. Data &amp; Mechanisms'!$U$675</c:f>
              <c:strCache>
                <c:ptCount val="1"/>
                <c:pt idx="0">
                  <c:v>ATCO-S</c:v>
                </c:pt>
              </c:strCache>
            </c:strRef>
          </c:tx>
          <c:spPr>
            <a:ln w="38100">
              <a:solidFill>
                <a:srgbClr val="C00000"/>
              </a:solidFill>
            </a:ln>
          </c:spPr>
          <c:marker>
            <c:symbol val="none"/>
          </c:marker>
          <c:cat>
            <c:numRef>
              <c:f>'Misc. Data &amp; Mechanisms'!$T$676:$T$765</c:f>
              <c:numCache>
                <c:formatCode>mmm-yy</c:formatCode>
                <c:ptCount val="90"/>
                <c:pt idx="0">
                  <c:v>40909</c:v>
                </c:pt>
                <c:pt idx="1">
                  <c:v>40940</c:v>
                </c:pt>
                <c:pt idx="2">
                  <c:v>40969</c:v>
                </c:pt>
                <c:pt idx="3">
                  <c:v>41000</c:v>
                </c:pt>
                <c:pt idx="4">
                  <c:v>41030</c:v>
                </c:pt>
                <c:pt idx="5">
                  <c:v>41061</c:v>
                </c:pt>
                <c:pt idx="6">
                  <c:v>41091</c:v>
                </c:pt>
                <c:pt idx="7">
                  <c:v>41122</c:v>
                </c:pt>
                <c:pt idx="8">
                  <c:v>41153</c:v>
                </c:pt>
                <c:pt idx="9">
                  <c:v>41183</c:v>
                </c:pt>
                <c:pt idx="10">
                  <c:v>41214</c:v>
                </c:pt>
                <c:pt idx="11">
                  <c:v>41244</c:v>
                </c:pt>
                <c:pt idx="12">
                  <c:v>41275</c:v>
                </c:pt>
                <c:pt idx="13">
                  <c:v>41306</c:v>
                </c:pt>
                <c:pt idx="14">
                  <c:v>41334</c:v>
                </c:pt>
                <c:pt idx="15">
                  <c:v>41365</c:v>
                </c:pt>
                <c:pt idx="16">
                  <c:v>41395</c:v>
                </c:pt>
                <c:pt idx="17">
                  <c:v>41426</c:v>
                </c:pt>
                <c:pt idx="18">
                  <c:v>41456</c:v>
                </c:pt>
                <c:pt idx="19">
                  <c:v>41487</c:v>
                </c:pt>
                <c:pt idx="20">
                  <c:v>41518</c:v>
                </c:pt>
                <c:pt idx="21">
                  <c:v>41548</c:v>
                </c:pt>
                <c:pt idx="22">
                  <c:v>41579</c:v>
                </c:pt>
                <c:pt idx="23">
                  <c:v>41609</c:v>
                </c:pt>
                <c:pt idx="24">
                  <c:v>41640</c:v>
                </c:pt>
                <c:pt idx="25">
                  <c:v>41671</c:v>
                </c:pt>
                <c:pt idx="26">
                  <c:v>41699</c:v>
                </c:pt>
                <c:pt idx="27">
                  <c:v>41730</c:v>
                </c:pt>
                <c:pt idx="28">
                  <c:v>41760</c:v>
                </c:pt>
                <c:pt idx="29">
                  <c:v>41791</c:v>
                </c:pt>
                <c:pt idx="30">
                  <c:v>41821</c:v>
                </c:pt>
                <c:pt idx="31">
                  <c:v>41852</c:v>
                </c:pt>
                <c:pt idx="32">
                  <c:v>41883</c:v>
                </c:pt>
                <c:pt idx="33">
                  <c:v>41913</c:v>
                </c:pt>
                <c:pt idx="34">
                  <c:v>41944</c:v>
                </c:pt>
                <c:pt idx="35">
                  <c:v>41974</c:v>
                </c:pt>
                <c:pt idx="36">
                  <c:v>42005</c:v>
                </c:pt>
                <c:pt idx="37">
                  <c:v>42036</c:v>
                </c:pt>
                <c:pt idx="38">
                  <c:v>42064</c:v>
                </c:pt>
                <c:pt idx="39">
                  <c:v>42095</c:v>
                </c:pt>
                <c:pt idx="40">
                  <c:v>42125</c:v>
                </c:pt>
                <c:pt idx="41">
                  <c:v>42156</c:v>
                </c:pt>
                <c:pt idx="42">
                  <c:v>42186</c:v>
                </c:pt>
                <c:pt idx="43">
                  <c:v>42217</c:v>
                </c:pt>
                <c:pt idx="44">
                  <c:v>42248</c:v>
                </c:pt>
                <c:pt idx="45">
                  <c:v>42278</c:v>
                </c:pt>
                <c:pt idx="46">
                  <c:v>42309</c:v>
                </c:pt>
                <c:pt idx="47">
                  <c:v>42339</c:v>
                </c:pt>
                <c:pt idx="48">
                  <c:v>42370</c:v>
                </c:pt>
                <c:pt idx="49">
                  <c:v>42401</c:v>
                </c:pt>
                <c:pt idx="50">
                  <c:v>42430</c:v>
                </c:pt>
                <c:pt idx="51">
                  <c:v>42461</c:v>
                </c:pt>
                <c:pt idx="52">
                  <c:v>42491</c:v>
                </c:pt>
                <c:pt idx="53">
                  <c:v>42522</c:v>
                </c:pt>
                <c:pt idx="54">
                  <c:v>42552</c:v>
                </c:pt>
                <c:pt idx="55">
                  <c:v>42583</c:v>
                </c:pt>
                <c:pt idx="56">
                  <c:v>42614</c:v>
                </c:pt>
                <c:pt idx="57">
                  <c:v>42644</c:v>
                </c:pt>
                <c:pt idx="58">
                  <c:v>42675</c:v>
                </c:pt>
                <c:pt idx="59">
                  <c:v>42705</c:v>
                </c:pt>
                <c:pt idx="60">
                  <c:v>42736</c:v>
                </c:pt>
                <c:pt idx="61">
                  <c:v>42767</c:v>
                </c:pt>
                <c:pt idx="62">
                  <c:v>42795</c:v>
                </c:pt>
                <c:pt idx="63">
                  <c:v>42826</c:v>
                </c:pt>
                <c:pt idx="64">
                  <c:v>42856</c:v>
                </c:pt>
                <c:pt idx="65">
                  <c:v>42887</c:v>
                </c:pt>
                <c:pt idx="66">
                  <c:v>42917</c:v>
                </c:pt>
                <c:pt idx="67">
                  <c:v>42948</c:v>
                </c:pt>
                <c:pt idx="68">
                  <c:v>42979</c:v>
                </c:pt>
                <c:pt idx="69">
                  <c:v>43009</c:v>
                </c:pt>
                <c:pt idx="70">
                  <c:v>43040</c:v>
                </c:pt>
                <c:pt idx="71">
                  <c:v>43070</c:v>
                </c:pt>
                <c:pt idx="72">
                  <c:v>43101</c:v>
                </c:pt>
                <c:pt idx="73">
                  <c:v>43132</c:v>
                </c:pt>
                <c:pt idx="74">
                  <c:v>43160</c:v>
                </c:pt>
                <c:pt idx="75">
                  <c:v>43191</c:v>
                </c:pt>
                <c:pt idx="76">
                  <c:v>43221</c:v>
                </c:pt>
                <c:pt idx="77">
                  <c:v>43252</c:v>
                </c:pt>
                <c:pt idx="78">
                  <c:v>43282</c:v>
                </c:pt>
                <c:pt idx="79">
                  <c:v>43313</c:v>
                </c:pt>
                <c:pt idx="80">
                  <c:v>43344</c:v>
                </c:pt>
                <c:pt idx="81">
                  <c:v>43374</c:v>
                </c:pt>
                <c:pt idx="82">
                  <c:v>43405</c:v>
                </c:pt>
                <c:pt idx="83">
                  <c:v>43435</c:v>
                </c:pt>
                <c:pt idx="84">
                  <c:v>43466</c:v>
                </c:pt>
                <c:pt idx="85">
                  <c:v>43497</c:v>
                </c:pt>
                <c:pt idx="86">
                  <c:v>43525</c:v>
                </c:pt>
                <c:pt idx="87">
                  <c:v>43556</c:v>
                </c:pt>
                <c:pt idx="88">
                  <c:v>43586</c:v>
                </c:pt>
                <c:pt idx="89">
                  <c:v>43617</c:v>
                </c:pt>
              </c:numCache>
            </c:numRef>
          </c:cat>
          <c:val>
            <c:numRef>
              <c:f>'Misc. Data &amp; Mechanisms'!$U$676:$U$765</c:f>
              <c:numCache>
                <c:formatCode>General</c:formatCode>
                <c:ptCount val="90"/>
                <c:pt idx="0">
                  <c:v>110.67641450594077</c:v>
                </c:pt>
                <c:pt idx="1">
                  <c:v>86.080388053429772</c:v>
                </c:pt>
                <c:pt idx="2">
                  <c:v>78.268348726027085</c:v>
                </c:pt>
                <c:pt idx="3">
                  <c:v>62.98083944570196</c:v>
                </c:pt>
                <c:pt idx="4">
                  <c:v>46.952203773786366</c:v>
                </c:pt>
                <c:pt idx="5">
                  <c:v>44.109626167421865</c:v>
                </c:pt>
                <c:pt idx="6">
                  <c:v>38.572839005636759</c:v>
                </c:pt>
                <c:pt idx="7">
                  <c:v>40.686379568978985</c:v>
                </c:pt>
                <c:pt idx="8">
                  <c:v>38.62200654168484</c:v>
                </c:pt>
                <c:pt idx="9">
                  <c:v>81.728995934687759</c:v>
                </c:pt>
                <c:pt idx="10">
                  <c:v>114.62678198383027</c:v>
                </c:pt>
                <c:pt idx="11">
                  <c:v>135.87316923267124</c:v>
                </c:pt>
                <c:pt idx="12">
                  <c:v>118.84553489725054</c:v>
                </c:pt>
                <c:pt idx="13">
                  <c:v>97.593078533749576</c:v>
                </c:pt>
                <c:pt idx="14">
                  <c:v>106.07401798897844</c:v>
                </c:pt>
                <c:pt idx="15">
                  <c:v>99.481510100027037</c:v>
                </c:pt>
                <c:pt idx="16">
                  <c:v>66.975320096486413</c:v>
                </c:pt>
                <c:pt idx="17">
                  <c:v>57.414945728342317</c:v>
                </c:pt>
                <c:pt idx="18">
                  <c:v>49.639164247460933</c:v>
                </c:pt>
                <c:pt idx="19">
                  <c:v>45.111280260525895</c:v>
                </c:pt>
                <c:pt idx="20">
                  <c:v>53.888467957953324</c:v>
                </c:pt>
                <c:pt idx="21">
                  <c:v>79.87600848638165</c:v>
                </c:pt>
                <c:pt idx="22">
                  <c:v>131.19649626704214</c:v>
                </c:pt>
                <c:pt idx="23">
                  <c:v>156.04849560306945</c:v>
                </c:pt>
                <c:pt idx="24">
                  <c:v>145.53783266074225</c:v>
                </c:pt>
                <c:pt idx="25">
                  <c:v>191.58054732161304</c:v>
                </c:pt>
                <c:pt idx="26">
                  <c:v>290.41284828816111</c:v>
                </c:pt>
                <c:pt idx="27">
                  <c:v>107.87069425641586</c:v>
                </c:pt>
                <c:pt idx="28">
                  <c:v>83.303784609278566</c:v>
                </c:pt>
                <c:pt idx="29">
                  <c:v>56.39611100202147</c:v>
                </c:pt>
                <c:pt idx="30">
                  <c:v>56.0519489421348</c:v>
                </c:pt>
                <c:pt idx="31">
                  <c:v>55.40321760915463</c:v>
                </c:pt>
                <c:pt idx="32">
                  <c:v>70.595962905365027</c:v>
                </c:pt>
                <c:pt idx="33">
                  <c:v>93.661134078745661</c:v>
                </c:pt>
                <c:pt idx="34">
                  <c:v>124.75058571022659</c:v>
                </c:pt>
                <c:pt idx="35">
                  <c:v>140.55196539239572</c:v>
                </c:pt>
                <c:pt idx="36">
                  <c:v>128.83682163849937</c:v>
                </c:pt>
                <c:pt idx="37">
                  <c:v>110.79442922292377</c:v>
                </c:pt>
                <c:pt idx="38">
                  <c:v>100.13054963966638</c:v>
                </c:pt>
                <c:pt idx="39">
                  <c:v>85.900388043256001</c:v>
                </c:pt>
                <c:pt idx="40">
                  <c:v>65.22329934745909</c:v>
                </c:pt>
                <c:pt idx="41">
                  <c:v>56.792438954469745</c:v>
                </c:pt>
                <c:pt idx="42">
                  <c:v>47.973447936823277</c:v>
                </c:pt>
                <c:pt idx="43">
                  <c:v>51.095557892569801</c:v>
                </c:pt>
                <c:pt idx="44">
                  <c:v>67.369676375690318</c:v>
                </c:pt>
                <c:pt idx="45">
                  <c:v>77.714134720691305</c:v>
                </c:pt>
                <c:pt idx="46">
                  <c:v>106.91253460289242</c:v>
                </c:pt>
                <c:pt idx="47">
                  <c:v>121.49629415484651</c:v>
                </c:pt>
                <c:pt idx="48">
                  <c:v>113.66527840807856</c:v>
                </c:pt>
                <c:pt idx="49">
                  <c:v>102.15330785558639</c:v>
                </c:pt>
                <c:pt idx="50">
                  <c:v>92.032924561641124</c:v>
                </c:pt>
                <c:pt idx="51">
                  <c:v>57.390607796100561</c:v>
                </c:pt>
                <c:pt idx="52">
                  <c:v>55.699575264630532</c:v>
                </c:pt>
                <c:pt idx="53">
                  <c:v>45.838776888322961</c:v>
                </c:pt>
                <c:pt idx="54">
                  <c:v>47.819811903232178</c:v>
                </c:pt>
                <c:pt idx="55">
                  <c:v>51.38175067679682</c:v>
                </c:pt>
                <c:pt idx="56">
                  <c:v>65.636559674753059</c:v>
                </c:pt>
                <c:pt idx="57">
                  <c:v>106.61550104834454</c:v>
                </c:pt>
                <c:pt idx="58">
                  <c:v>109.7877683159076</c:v>
                </c:pt>
                <c:pt idx="59">
                  <c:v>158.43155024460896</c:v>
                </c:pt>
                <c:pt idx="60">
                  <c:v>192.15131520131538</c:v>
                </c:pt>
                <c:pt idx="61">
                  <c:v>155.93448000739468</c:v>
                </c:pt>
                <c:pt idx="62">
                  <c:v>134.24090970261412</c:v>
                </c:pt>
                <c:pt idx="63">
                  <c:v>100.21660758273963</c:v>
                </c:pt>
                <c:pt idx="64">
                  <c:v>66.036502159408244</c:v>
                </c:pt>
                <c:pt idx="65">
                  <c:v>50.967416976199523</c:v>
                </c:pt>
                <c:pt idx="66">
                  <c:v>52.739315303329278</c:v>
                </c:pt>
                <c:pt idx="67">
                  <c:v>53.567577467174374</c:v>
                </c:pt>
                <c:pt idx="68">
                  <c:v>61.991489151410498</c:v>
                </c:pt>
                <c:pt idx="69">
                  <c:v>87.916472197210851</c:v>
                </c:pt>
                <c:pt idx="70">
                  <c:v>129.83186386517079</c:v>
                </c:pt>
                <c:pt idx="71">
                  <c:v>134.75395540569266</c:v>
                </c:pt>
                <c:pt idx="72">
                  <c:v>151.08348440722767</c:v>
                </c:pt>
                <c:pt idx="73">
                  <c:v>174.28956965864296</c:v>
                </c:pt>
                <c:pt idx="74">
                  <c:v>125.75181616504598</c:v>
                </c:pt>
                <c:pt idx="75">
                  <c:v>105.73382805571367</c:v>
                </c:pt>
                <c:pt idx="76">
                  <c:v>54.93378792262952</c:v>
                </c:pt>
                <c:pt idx="77">
                  <c:v>47.346760186718846</c:v>
                </c:pt>
                <c:pt idx="78">
                  <c:v>50.354486965920238</c:v>
                </c:pt>
                <c:pt idx="79">
                  <c:v>51.000696333151538</c:v>
                </c:pt>
                <c:pt idx="80">
                  <c:v>70.60316676042919</c:v>
                </c:pt>
                <c:pt idx="81">
                  <c:v>87.287621919425717</c:v>
                </c:pt>
                <c:pt idx="82">
                  <c:v>114.4528104862833</c:v>
                </c:pt>
                <c:pt idx="83">
                  <c:v>125.58640441073138</c:v>
                </c:pt>
                <c:pt idx="84">
                  <c:v>120.86879919119347</c:v>
                </c:pt>
                <c:pt idx="85">
                  <c:v>179.51039671386988</c:v>
                </c:pt>
                <c:pt idx="86">
                  <c:v>157.23130726227279</c:v>
                </c:pt>
                <c:pt idx="87">
                  <c:v>107.54154618141597</c:v>
                </c:pt>
                <c:pt idx="88">
                  <c:v>89.294223888593962</c:v>
                </c:pt>
                <c:pt idx="89">
                  <c:v>50.464848392912721</c:v>
                </c:pt>
              </c:numCache>
            </c:numRef>
          </c:val>
          <c:smooth val="0"/>
        </c:ser>
        <c:dLbls>
          <c:showLegendKey val="0"/>
          <c:showVal val="0"/>
          <c:showCatName val="0"/>
          <c:showSerName val="0"/>
          <c:showPercent val="0"/>
          <c:showBubbleSize val="0"/>
        </c:dLbls>
        <c:marker val="1"/>
        <c:smooth val="0"/>
        <c:axId val="253478400"/>
        <c:axId val="253479936"/>
      </c:lineChart>
      <c:dateAx>
        <c:axId val="253478400"/>
        <c:scaling>
          <c:orientation val="minMax"/>
        </c:scaling>
        <c:delete val="0"/>
        <c:axPos val="b"/>
        <c:numFmt formatCode="mmm-yy" sourceLinked="1"/>
        <c:majorTickMark val="out"/>
        <c:minorTickMark val="none"/>
        <c:tickLblPos val="nextTo"/>
        <c:crossAx val="253479936"/>
        <c:crosses val="autoZero"/>
        <c:auto val="1"/>
        <c:lblOffset val="100"/>
        <c:baseTimeUnit val="months"/>
      </c:dateAx>
      <c:valAx>
        <c:axId val="253479936"/>
        <c:scaling>
          <c:orientation val="minMax"/>
        </c:scaling>
        <c:delete val="0"/>
        <c:axPos val="l"/>
        <c:majorGridlines>
          <c:spPr>
            <a:ln>
              <a:solidFill>
                <a:sysClr val="window" lastClr="FFFFFF">
                  <a:lumMod val="85000"/>
                </a:sysClr>
              </a:solidFill>
              <a:prstDash val="dash"/>
            </a:ln>
          </c:spPr>
        </c:majorGridlines>
        <c:numFmt formatCode="#,##0.0" sourceLinked="0"/>
        <c:majorTickMark val="none"/>
        <c:minorTickMark val="none"/>
        <c:tickLblPos val="nextTo"/>
        <c:spPr>
          <a:ln w="9525">
            <a:noFill/>
          </a:ln>
        </c:spPr>
        <c:crossAx val="253478400"/>
        <c:crosses val="autoZero"/>
        <c:crossBetween val="midCat"/>
      </c:valAx>
    </c:plotArea>
    <c:legend>
      <c:legendPos val="b"/>
      <c:overlay val="0"/>
      <c:txPr>
        <a:bodyPr/>
        <a:lstStyle/>
        <a:p>
          <a:pPr>
            <a:defRPr sz="1100"/>
          </a:pPr>
          <a:endParaRPr lang="en-US"/>
        </a:p>
      </c:txPr>
    </c:legend>
    <c:plotVisOnly val="1"/>
    <c:dispBlanksAs val="gap"/>
    <c:showDLblsOverMax val="0"/>
  </c:chart>
  <c:spPr>
    <a:ln>
      <a:noFill/>
    </a:ln>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'Misc. Data &amp; Mechanisms'!$P$913</c:f>
          <c:strCache>
            <c:ptCount val="1"/>
            <c:pt idx="0">
              <c:v>Bill Component Shares of Total Bill (%) in the ATCO-S Zone, 2012-2019</c:v>
            </c:pt>
          </c:strCache>
        </c:strRef>
      </c:tx>
      <c:overlay val="0"/>
    </c:title>
    <c:autoTitleDeleted val="0"/>
    <c:plotArea>
      <c:layout>
        <c:manualLayout>
          <c:layoutTarget val="inner"/>
          <c:xMode val="edge"/>
          <c:yMode val="edge"/>
          <c:x val="4.6027492479175272E-2"/>
          <c:y val="0.15200600986116686"/>
          <c:w val="0.75009115262139958"/>
          <c:h val="0.73677735213950823"/>
        </c:manualLayout>
      </c:layout>
      <c:areaChart>
        <c:grouping val="stacked"/>
        <c:varyColors val="0"/>
        <c:ser>
          <c:idx val="0"/>
          <c:order val="0"/>
          <c:tx>
            <c:strRef>
              <c:f>'Misc. Data &amp; Mechanisms'!$P$814</c:f>
              <c:strCache>
                <c:ptCount val="1"/>
                <c:pt idx="0">
                  <c:v>Energy</c:v>
                </c:pt>
              </c:strCache>
            </c:strRef>
          </c:tx>
          <c:spPr>
            <a:solidFill>
              <a:schemeClr val="accent5">
                <a:lumMod val="75000"/>
              </a:schemeClr>
            </a:solidFill>
          </c:spPr>
          <c:cat>
            <c:numRef>
              <c:f>'Misc. Data &amp; Mechanisms'!$O$815:$O$905</c:f>
              <c:numCache>
                <c:formatCode>[$-409]mmm-yy;@</c:formatCode>
                <c:ptCount val="91"/>
                <c:pt idx="0">
                  <c:v>40909</c:v>
                </c:pt>
                <c:pt idx="1">
                  <c:v>40940</c:v>
                </c:pt>
                <c:pt idx="2">
                  <c:v>40969</c:v>
                </c:pt>
                <c:pt idx="3">
                  <c:v>41000</c:v>
                </c:pt>
                <c:pt idx="4">
                  <c:v>41030</c:v>
                </c:pt>
                <c:pt idx="5">
                  <c:v>41061</c:v>
                </c:pt>
                <c:pt idx="6">
                  <c:v>41091</c:v>
                </c:pt>
                <c:pt idx="7">
                  <c:v>41122</c:v>
                </c:pt>
                <c:pt idx="8">
                  <c:v>41153</c:v>
                </c:pt>
                <c:pt idx="9">
                  <c:v>41183</c:v>
                </c:pt>
                <c:pt idx="10">
                  <c:v>41214</c:v>
                </c:pt>
                <c:pt idx="11">
                  <c:v>41244</c:v>
                </c:pt>
                <c:pt idx="12">
                  <c:v>41275</c:v>
                </c:pt>
                <c:pt idx="13">
                  <c:v>41306</c:v>
                </c:pt>
                <c:pt idx="14">
                  <c:v>41334</c:v>
                </c:pt>
                <c:pt idx="15">
                  <c:v>41365</c:v>
                </c:pt>
                <c:pt idx="16">
                  <c:v>41395</c:v>
                </c:pt>
                <c:pt idx="17">
                  <c:v>41426</c:v>
                </c:pt>
                <c:pt idx="18">
                  <c:v>41456</c:v>
                </c:pt>
                <c:pt idx="19">
                  <c:v>41487</c:v>
                </c:pt>
                <c:pt idx="20">
                  <c:v>41518</c:v>
                </c:pt>
                <c:pt idx="21">
                  <c:v>41548</c:v>
                </c:pt>
                <c:pt idx="22">
                  <c:v>41579</c:v>
                </c:pt>
                <c:pt idx="23">
                  <c:v>41609</c:v>
                </c:pt>
                <c:pt idx="24">
                  <c:v>41640</c:v>
                </c:pt>
                <c:pt idx="25">
                  <c:v>41671</c:v>
                </c:pt>
                <c:pt idx="26">
                  <c:v>41699</c:v>
                </c:pt>
                <c:pt idx="27">
                  <c:v>41730</c:v>
                </c:pt>
                <c:pt idx="28">
                  <c:v>41760</c:v>
                </c:pt>
                <c:pt idx="29">
                  <c:v>41791</c:v>
                </c:pt>
                <c:pt idx="30">
                  <c:v>41821</c:v>
                </c:pt>
                <c:pt idx="31">
                  <c:v>41852</c:v>
                </c:pt>
                <c:pt idx="32">
                  <c:v>41883</c:v>
                </c:pt>
                <c:pt idx="33">
                  <c:v>41913</c:v>
                </c:pt>
                <c:pt idx="34">
                  <c:v>41944</c:v>
                </c:pt>
                <c:pt idx="35">
                  <c:v>41974</c:v>
                </c:pt>
                <c:pt idx="36">
                  <c:v>42005</c:v>
                </c:pt>
                <c:pt idx="37">
                  <c:v>42036</c:v>
                </c:pt>
                <c:pt idx="38">
                  <c:v>42064</c:v>
                </c:pt>
                <c:pt idx="39">
                  <c:v>42095</c:v>
                </c:pt>
                <c:pt idx="40">
                  <c:v>42125</c:v>
                </c:pt>
                <c:pt idx="41">
                  <c:v>42156</c:v>
                </c:pt>
                <c:pt idx="42">
                  <c:v>42186</c:v>
                </c:pt>
                <c:pt idx="43">
                  <c:v>42217</c:v>
                </c:pt>
                <c:pt idx="44">
                  <c:v>42248</c:v>
                </c:pt>
                <c:pt idx="45">
                  <c:v>42278</c:v>
                </c:pt>
                <c:pt idx="46">
                  <c:v>42309</c:v>
                </c:pt>
                <c:pt idx="47">
                  <c:v>42339</c:v>
                </c:pt>
                <c:pt idx="48">
                  <c:v>42370</c:v>
                </c:pt>
                <c:pt idx="49">
                  <c:v>42401</c:v>
                </c:pt>
                <c:pt idx="50">
                  <c:v>42430</c:v>
                </c:pt>
                <c:pt idx="51">
                  <c:v>42461</c:v>
                </c:pt>
                <c:pt idx="52">
                  <c:v>42491</c:v>
                </c:pt>
                <c:pt idx="53">
                  <c:v>42522</c:v>
                </c:pt>
                <c:pt idx="54">
                  <c:v>42552</c:v>
                </c:pt>
                <c:pt idx="55">
                  <c:v>42583</c:v>
                </c:pt>
                <c:pt idx="56">
                  <c:v>42614</c:v>
                </c:pt>
                <c:pt idx="57">
                  <c:v>42644</c:v>
                </c:pt>
                <c:pt idx="58">
                  <c:v>42675</c:v>
                </c:pt>
                <c:pt idx="59">
                  <c:v>42705</c:v>
                </c:pt>
                <c:pt idx="60">
                  <c:v>42736</c:v>
                </c:pt>
                <c:pt idx="61">
                  <c:v>42767</c:v>
                </c:pt>
                <c:pt idx="62">
                  <c:v>42795</c:v>
                </c:pt>
                <c:pt idx="63">
                  <c:v>42826</c:v>
                </c:pt>
                <c:pt idx="64">
                  <c:v>42856</c:v>
                </c:pt>
                <c:pt idx="65">
                  <c:v>42887</c:v>
                </c:pt>
                <c:pt idx="66">
                  <c:v>42917</c:v>
                </c:pt>
                <c:pt idx="67">
                  <c:v>42948</c:v>
                </c:pt>
                <c:pt idx="68">
                  <c:v>42979</c:v>
                </c:pt>
                <c:pt idx="69">
                  <c:v>43009</c:v>
                </c:pt>
                <c:pt idx="70">
                  <c:v>43040</c:v>
                </c:pt>
                <c:pt idx="71">
                  <c:v>43070</c:v>
                </c:pt>
                <c:pt idx="72">
                  <c:v>43101</c:v>
                </c:pt>
                <c:pt idx="73">
                  <c:v>43132</c:v>
                </c:pt>
                <c:pt idx="74">
                  <c:v>43160</c:v>
                </c:pt>
                <c:pt idx="75">
                  <c:v>43191</c:v>
                </c:pt>
                <c:pt idx="76">
                  <c:v>43221</c:v>
                </c:pt>
                <c:pt idx="77">
                  <c:v>43252</c:v>
                </c:pt>
                <c:pt idx="78">
                  <c:v>43282</c:v>
                </c:pt>
                <c:pt idx="79">
                  <c:v>43313</c:v>
                </c:pt>
                <c:pt idx="80">
                  <c:v>43344</c:v>
                </c:pt>
                <c:pt idx="81">
                  <c:v>43374</c:v>
                </c:pt>
                <c:pt idx="82">
                  <c:v>43405</c:v>
                </c:pt>
                <c:pt idx="83">
                  <c:v>43435</c:v>
                </c:pt>
                <c:pt idx="84">
                  <c:v>43466</c:v>
                </c:pt>
                <c:pt idx="85">
                  <c:v>43497</c:v>
                </c:pt>
                <c:pt idx="86">
                  <c:v>43525</c:v>
                </c:pt>
                <c:pt idx="87">
                  <c:v>43556</c:v>
                </c:pt>
                <c:pt idx="88">
                  <c:v>43586</c:v>
                </c:pt>
                <c:pt idx="89">
                  <c:v>43617</c:v>
                </c:pt>
              </c:numCache>
            </c:numRef>
          </c:cat>
          <c:val>
            <c:numRef>
              <c:f>'Misc. Data &amp; Mechanisms'!$P$815:$P$905</c:f>
              <c:numCache>
                <c:formatCode>0.00%</c:formatCode>
                <c:ptCount val="91"/>
                <c:pt idx="0">
                  <c:v>0.45301774939410444</c:v>
                </c:pt>
                <c:pt idx="1">
                  <c:v>0.37382664418572575</c:v>
                </c:pt>
                <c:pt idx="2">
                  <c:v>0.33545535983454333</c:v>
                </c:pt>
                <c:pt idx="3">
                  <c:v>0.262725298198972</c:v>
                </c:pt>
                <c:pt idx="4">
                  <c:v>0.1944487593296228</c:v>
                </c:pt>
                <c:pt idx="5">
                  <c:v>0.23411288569391914</c:v>
                </c:pt>
                <c:pt idx="6">
                  <c:v>0.15061975591270207</c:v>
                </c:pt>
                <c:pt idx="7">
                  <c:v>0.16598103319332938</c:v>
                </c:pt>
                <c:pt idx="8">
                  <c:v>0.14452766063373357</c:v>
                </c:pt>
                <c:pt idx="9">
                  <c:v>0.39235491592484123</c:v>
                </c:pt>
                <c:pt idx="10">
                  <c:v>0.49944138406091865</c:v>
                </c:pt>
                <c:pt idx="11">
                  <c:v>0.55755888187396785</c:v>
                </c:pt>
                <c:pt idx="12">
                  <c:v>0.43512465984872833</c:v>
                </c:pt>
                <c:pt idx="13">
                  <c:v>0.43024172340874639</c:v>
                </c:pt>
                <c:pt idx="14">
                  <c:v>0.40571698020797148</c:v>
                </c:pt>
                <c:pt idx="15">
                  <c:v>0.41713181376561687</c:v>
                </c:pt>
                <c:pt idx="16">
                  <c:v>0.31519536065251247</c:v>
                </c:pt>
                <c:pt idx="17">
                  <c:v>0.27271899728240967</c:v>
                </c:pt>
                <c:pt idx="18">
                  <c:v>0.17750997635637247</c:v>
                </c:pt>
                <c:pt idx="19">
                  <c:v>0.11971946311762212</c:v>
                </c:pt>
                <c:pt idx="20">
                  <c:v>0.21429709022236582</c:v>
                </c:pt>
                <c:pt idx="21">
                  <c:v>0.31792406733204404</c:v>
                </c:pt>
                <c:pt idx="22">
                  <c:v>0.4764740455110526</c:v>
                </c:pt>
                <c:pt idx="23">
                  <c:v>0.48388152147631058</c:v>
                </c:pt>
                <c:pt idx="24">
                  <c:v>0.49888522423797771</c:v>
                </c:pt>
                <c:pt idx="25">
                  <c:v>0.55960971867322484</c:v>
                </c:pt>
                <c:pt idx="26">
                  <c:v>0.66508737860080414</c:v>
                </c:pt>
                <c:pt idx="27">
                  <c:v>0.43515328743331239</c:v>
                </c:pt>
                <c:pt idx="28">
                  <c:v>0.36055871953648749</c:v>
                </c:pt>
                <c:pt idx="29">
                  <c:v>0.22218106699119719</c:v>
                </c:pt>
                <c:pt idx="30">
                  <c:v>0.25043629245853982</c:v>
                </c:pt>
                <c:pt idx="31">
                  <c:v>0.22670611769595381</c:v>
                </c:pt>
                <c:pt idx="32">
                  <c:v>0.31870609659386179</c:v>
                </c:pt>
                <c:pt idx="33">
                  <c:v>0.37876704157954844</c:v>
                </c:pt>
                <c:pt idx="34">
                  <c:v>0.48207902613422948</c:v>
                </c:pt>
                <c:pt idx="35">
                  <c:v>0.51043447999424518</c:v>
                </c:pt>
                <c:pt idx="36">
                  <c:v>0.41039652249244779</c:v>
                </c:pt>
                <c:pt idx="37">
                  <c:v>0.37828337592404515</c:v>
                </c:pt>
                <c:pt idx="38">
                  <c:v>0.36015183051326383</c:v>
                </c:pt>
                <c:pt idx="39">
                  <c:v>0.33097462539363959</c:v>
                </c:pt>
                <c:pt idx="40">
                  <c:v>0.2237861158999048</c:v>
                </c:pt>
                <c:pt idx="41">
                  <c:v>0.2294174282582469</c:v>
                </c:pt>
                <c:pt idx="42">
                  <c:v>0.11861534804327489</c:v>
                </c:pt>
                <c:pt idx="43">
                  <c:v>0.1499484765716716</c:v>
                </c:pt>
                <c:pt idx="44">
                  <c:v>0.28369894436112836</c:v>
                </c:pt>
                <c:pt idx="45">
                  <c:v>0.30360281351081991</c:v>
                </c:pt>
                <c:pt idx="46">
                  <c:v>0.36107269479272153</c:v>
                </c:pt>
                <c:pt idx="47">
                  <c:v>0.35379854836947727</c:v>
                </c:pt>
                <c:pt idx="48">
                  <c:v>0.31921948595120331</c:v>
                </c:pt>
                <c:pt idx="49">
                  <c:v>0.36661375412863828</c:v>
                </c:pt>
                <c:pt idx="50">
                  <c:v>0.28745353632306164</c:v>
                </c:pt>
                <c:pt idx="51">
                  <c:v>0.10506553781097108</c:v>
                </c:pt>
                <c:pt idx="52">
                  <c:v>8.8350383716900197E-2</c:v>
                </c:pt>
                <c:pt idx="53">
                  <c:v>7.8797008766515728E-2</c:v>
                </c:pt>
                <c:pt idx="54">
                  <c:v>8.2829828018155277E-2</c:v>
                </c:pt>
                <c:pt idx="55">
                  <c:v>0.12520604336081514</c:v>
                </c:pt>
                <c:pt idx="56">
                  <c:v>0.20262166248580249</c:v>
                </c:pt>
                <c:pt idx="57">
                  <c:v>0.31870342467219076</c:v>
                </c:pt>
                <c:pt idx="58">
                  <c:v>0.35871036355841918</c:v>
                </c:pt>
                <c:pt idx="59">
                  <c:v>0.37400200446518295</c:v>
                </c:pt>
                <c:pt idx="60">
                  <c:v>0.39386065420237243</c:v>
                </c:pt>
                <c:pt idx="61">
                  <c:v>0.32111174673531517</c:v>
                </c:pt>
                <c:pt idx="62">
                  <c:v>0.24050827798390495</c:v>
                </c:pt>
                <c:pt idx="63">
                  <c:v>0.23589587751907112</c:v>
                </c:pt>
                <c:pt idx="64">
                  <c:v>0.15230581286934453</c:v>
                </c:pt>
                <c:pt idx="65">
                  <c:v>7.3593750111369052E-2</c:v>
                </c:pt>
                <c:pt idx="66">
                  <c:v>8.9202465468042183E-2</c:v>
                </c:pt>
                <c:pt idx="67">
                  <c:v>0.11768337455683545</c:v>
                </c:pt>
                <c:pt idx="68">
                  <c:v>0.12331601568532809</c:v>
                </c:pt>
                <c:pt idx="69">
                  <c:v>0.18985071113812416</c:v>
                </c:pt>
                <c:pt idx="70">
                  <c:v>0.25140214446703579</c:v>
                </c:pt>
                <c:pt idx="71">
                  <c:v>0.28707287905148027</c:v>
                </c:pt>
                <c:pt idx="72">
                  <c:v>0.245129344198981</c:v>
                </c:pt>
                <c:pt idx="73">
                  <c:v>0.2956750267381501</c:v>
                </c:pt>
                <c:pt idx="74">
                  <c:v>0.23274286073635397</c:v>
                </c:pt>
                <c:pt idx="75">
                  <c:v>0.24388266399311528</c:v>
                </c:pt>
                <c:pt idx="76">
                  <c:v>7.9301447426242205E-2</c:v>
                </c:pt>
                <c:pt idx="77">
                  <c:v>3.7889217032864499E-2</c:v>
                </c:pt>
                <c:pt idx="78">
                  <c:v>8.6380835561731012E-2</c:v>
                </c:pt>
                <c:pt idx="79">
                  <c:v>7.5597996355043454E-2</c:v>
                </c:pt>
                <c:pt idx="80">
                  <c:v>0.14733295366364851</c:v>
                </c:pt>
                <c:pt idx="81">
                  <c:v>0.1687395689948861</c:v>
                </c:pt>
                <c:pt idx="82">
                  <c:v>0.28379950842474966</c:v>
                </c:pt>
                <c:pt idx="83">
                  <c:v>0.26618171872556229</c:v>
                </c:pt>
                <c:pt idx="84">
                  <c:v>0.21109881727150387</c:v>
                </c:pt>
                <c:pt idx="85">
                  <c:v>0.28945045381509338</c:v>
                </c:pt>
                <c:pt idx="86">
                  <c:v>0.31942293014950335</c:v>
                </c:pt>
                <c:pt idx="87">
                  <c:v>0.25779723559546769</c:v>
                </c:pt>
                <c:pt idx="88">
                  <c:v>0.19207744254746736</c:v>
                </c:pt>
                <c:pt idx="89">
                  <c:v>2.7079038896573277E-2</c:v>
                </c:pt>
              </c:numCache>
            </c:numRef>
          </c:val>
        </c:ser>
        <c:ser>
          <c:idx val="1"/>
          <c:order val="1"/>
          <c:tx>
            <c:strRef>
              <c:f>'Misc. Data &amp; Mechanisms'!$Q$814</c:f>
              <c:strCache>
                <c:ptCount val="1"/>
                <c:pt idx="0">
                  <c:v>Distribution</c:v>
                </c:pt>
              </c:strCache>
            </c:strRef>
          </c:tx>
          <c:spPr>
            <a:solidFill>
              <a:schemeClr val="accent1">
                <a:lumMod val="75000"/>
              </a:schemeClr>
            </a:solidFill>
          </c:spPr>
          <c:cat>
            <c:numRef>
              <c:f>'Misc. Data &amp; Mechanisms'!$O$815:$O$905</c:f>
              <c:numCache>
                <c:formatCode>[$-409]mmm-yy;@</c:formatCode>
                <c:ptCount val="91"/>
                <c:pt idx="0">
                  <c:v>40909</c:v>
                </c:pt>
                <c:pt idx="1">
                  <c:v>40940</c:v>
                </c:pt>
                <c:pt idx="2">
                  <c:v>40969</c:v>
                </c:pt>
                <c:pt idx="3">
                  <c:v>41000</c:v>
                </c:pt>
                <c:pt idx="4">
                  <c:v>41030</c:v>
                </c:pt>
                <c:pt idx="5">
                  <c:v>41061</c:v>
                </c:pt>
                <c:pt idx="6">
                  <c:v>41091</c:v>
                </c:pt>
                <c:pt idx="7">
                  <c:v>41122</c:v>
                </c:pt>
                <c:pt idx="8">
                  <c:v>41153</c:v>
                </c:pt>
                <c:pt idx="9">
                  <c:v>41183</c:v>
                </c:pt>
                <c:pt idx="10">
                  <c:v>41214</c:v>
                </c:pt>
                <c:pt idx="11">
                  <c:v>41244</c:v>
                </c:pt>
                <c:pt idx="12">
                  <c:v>41275</c:v>
                </c:pt>
                <c:pt idx="13">
                  <c:v>41306</c:v>
                </c:pt>
                <c:pt idx="14">
                  <c:v>41334</c:v>
                </c:pt>
                <c:pt idx="15">
                  <c:v>41365</c:v>
                </c:pt>
                <c:pt idx="16">
                  <c:v>41395</c:v>
                </c:pt>
                <c:pt idx="17">
                  <c:v>41426</c:v>
                </c:pt>
                <c:pt idx="18">
                  <c:v>41456</c:v>
                </c:pt>
                <c:pt idx="19">
                  <c:v>41487</c:v>
                </c:pt>
                <c:pt idx="20">
                  <c:v>41518</c:v>
                </c:pt>
                <c:pt idx="21">
                  <c:v>41548</c:v>
                </c:pt>
                <c:pt idx="22">
                  <c:v>41579</c:v>
                </c:pt>
                <c:pt idx="23">
                  <c:v>41609</c:v>
                </c:pt>
                <c:pt idx="24">
                  <c:v>41640</c:v>
                </c:pt>
                <c:pt idx="25">
                  <c:v>41671</c:v>
                </c:pt>
                <c:pt idx="26">
                  <c:v>41699</c:v>
                </c:pt>
                <c:pt idx="27">
                  <c:v>41730</c:v>
                </c:pt>
                <c:pt idx="28">
                  <c:v>41760</c:v>
                </c:pt>
                <c:pt idx="29">
                  <c:v>41791</c:v>
                </c:pt>
                <c:pt idx="30">
                  <c:v>41821</c:v>
                </c:pt>
                <c:pt idx="31">
                  <c:v>41852</c:v>
                </c:pt>
                <c:pt idx="32">
                  <c:v>41883</c:v>
                </c:pt>
                <c:pt idx="33">
                  <c:v>41913</c:v>
                </c:pt>
                <c:pt idx="34">
                  <c:v>41944</c:v>
                </c:pt>
                <c:pt idx="35">
                  <c:v>41974</c:v>
                </c:pt>
                <c:pt idx="36">
                  <c:v>42005</c:v>
                </c:pt>
                <c:pt idx="37">
                  <c:v>42036</c:v>
                </c:pt>
                <c:pt idx="38">
                  <c:v>42064</c:v>
                </c:pt>
                <c:pt idx="39">
                  <c:v>42095</c:v>
                </c:pt>
                <c:pt idx="40">
                  <c:v>42125</c:v>
                </c:pt>
                <c:pt idx="41">
                  <c:v>42156</c:v>
                </c:pt>
                <c:pt idx="42">
                  <c:v>42186</c:v>
                </c:pt>
                <c:pt idx="43">
                  <c:v>42217</c:v>
                </c:pt>
                <c:pt idx="44">
                  <c:v>42248</c:v>
                </c:pt>
                <c:pt idx="45">
                  <c:v>42278</c:v>
                </c:pt>
                <c:pt idx="46">
                  <c:v>42309</c:v>
                </c:pt>
                <c:pt idx="47">
                  <c:v>42339</c:v>
                </c:pt>
                <c:pt idx="48">
                  <c:v>42370</c:v>
                </c:pt>
                <c:pt idx="49">
                  <c:v>42401</c:v>
                </c:pt>
                <c:pt idx="50">
                  <c:v>42430</c:v>
                </c:pt>
                <c:pt idx="51">
                  <c:v>42461</c:v>
                </c:pt>
                <c:pt idx="52">
                  <c:v>42491</c:v>
                </c:pt>
                <c:pt idx="53">
                  <c:v>42522</c:v>
                </c:pt>
                <c:pt idx="54">
                  <c:v>42552</c:v>
                </c:pt>
                <c:pt idx="55">
                  <c:v>42583</c:v>
                </c:pt>
                <c:pt idx="56">
                  <c:v>42614</c:v>
                </c:pt>
                <c:pt idx="57">
                  <c:v>42644</c:v>
                </c:pt>
                <c:pt idx="58">
                  <c:v>42675</c:v>
                </c:pt>
                <c:pt idx="59">
                  <c:v>42705</c:v>
                </c:pt>
                <c:pt idx="60">
                  <c:v>42736</c:v>
                </c:pt>
                <c:pt idx="61">
                  <c:v>42767</c:v>
                </c:pt>
                <c:pt idx="62">
                  <c:v>42795</c:v>
                </c:pt>
                <c:pt idx="63">
                  <c:v>42826</c:v>
                </c:pt>
                <c:pt idx="64">
                  <c:v>42856</c:v>
                </c:pt>
                <c:pt idx="65">
                  <c:v>42887</c:v>
                </c:pt>
                <c:pt idx="66">
                  <c:v>42917</c:v>
                </c:pt>
                <c:pt idx="67">
                  <c:v>42948</c:v>
                </c:pt>
                <c:pt idx="68">
                  <c:v>42979</c:v>
                </c:pt>
                <c:pt idx="69">
                  <c:v>43009</c:v>
                </c:pt>
                <c:pt idx="70">
                  <c:v>43040</c:v>
                </c:pt>
                <c:pt idx="71">
                  <c:v>43070</c:v>
                </c:pt>
                <c:pt idx="72">
                  <c:v>43101</c:v>
                </c:pt>
                <c:pt idx="73">
                  <c:v>43132</c:v>
                </c:pt>
                <c:pt idx="74">
                  <c:v>43160</c:v>
                </c:pt>
                <c:pt idx="75">
                  <c:v>43191</c:v>
                </c:pt>
                <c:pt idx="76">
                  <c:v>43221</c:v>
                </c:pt>
                <c:pt idx="77">
                  <c:v>43252</c:v>
                </c:pt>
                <c:pt idx="78">
                  <c:v>43282</c:v>
                </c:pt>
                <c:pt idx="79">
                  <c:v>43313</c:v>
                </c:pt>
                <c:pt idx="80">
                  <c:v>43344</c:v>
                </c:pt>
                <c:pt idx="81">
                  <c:v>43374</c:v>
                </c:pt>
                <c:pt idx="82">
                  <c:v>43405</c:v>
                </c:pt>
                <c:pt idx="83">
                  <c:v>43435</c:v>
                </c:pt>
                <c:pt idx="84">
                  <c:v>43466</c:v>
                </c:pt>
                <c:pt idx="85">
                  <c:v>43497</c:v>
                </c:pt>
                <c:pt idx="86">
                  <c:v>43525</c:v>
                </c:pt>
                <c:pt idx="87">
                  <c:v>43556</c:v>
                </c:pt>
                <c:pt idx="88">
                  <c:v>43586</c:v>
                </c:pt>
                <c:pt idx="89">
                  <c:v>43617</c:v>
                </c:pt>
              </c:numCache>
            </c:numRef>
          </c:cat>
          <c:val>
            <c:numRef>
              <c:f>'Misc. Data &amp; Mechanisms'!$Q$815:$Q$905</c:f>
              <c:numCache>
                <c:formatCode>0.00%</c:formatCode>
                <c:ptCount val="91"/>
                <c:pt idx="0">
                  <c:v>0.28591916811198653</c:v>
                </c:pt>
                <c:pt idx="1">
                  <c:v>0.34186628019209792</c:v>
                </c:pt>
                <c:pt idx="2">
                  <c:v>0.36765874162046397</c:v>
                </c:pt>
                <c:pt idx="3">
                  <c:v>0.417873080694247</c:v>
                </c:pt>
                <c:pt idx="4">
                  <c:v>0.5352737495962917</c:v>
                </c:pt>
                <c:pt idx="5">
                  <c:v>0.50927267585280012</c:v>
                </c:pt>
                <c:pt idx="6">
                  <c:v>0.58081360254923553</c:v>
                </c:pt>
                <c:pt idx="7">
                  <c:v>0.55794067217814702</c:v>
                </c:pt>
                <c:pt idx="8">
                  <c:v>0.57367842212071674</c:v>
                </c:pt>
                <c:pt idx="9">
                  <c:v>0.35134877278191418</c:v>
                </c:pt>
                <c:pt idx="10">
                  <c:v>0.26498769644630804</c:v>
                </c:pt>
                <c:pt idx="11">
                  <c:v>0.25393859305812538</c:v>
                </c:pt>
                <c:pt idx="12">
                  <c:v>0.29852170059332944</c:v>
                </c:pt>
                <c:pt idx="13">
                  <c:v>0.30623916534897438</c:v>
                </c:pt>
                <c:pt idx="14">
                  <c:v>0.31745655252740368</c:v>
                </c:pt>
                <c:pt idx="15">
                  <c:v>0.31606040785113115</c:v>
                </c:pt>
                <c:pt idx="16">
                  <c:v>0.40891907261284699</c:v>
                </c:pt>
                <c:pt idx="17">
                  <c:v>0.44598997673883417</c:v>
                </c:pt>
                <c:pt idx="18">
                  <c:v>0.52226979099643744</c:v>
                </c:pt>
                <c:pt idx="19">
                  <c:v>0.56873663243716066</c:v>
                </c:pt>
                <c:pt idx="20">
                  <c:v>0.48669808412084131</c:v>
                </c:pt>
                <c:pt idx="21">
                  <c:v>0.39130377474542616</c:v>
                </c:pt>
                <c:pt idx="22">
                  <c:v>0.26651302232002699</c:v>
                </c:pt>
                <c:pt idx="23">
                  <c:v>0.2558371452425332</c:v>
                </c:pt>
                <c:pt idx="24">
                  <c:v>0.25137888784812457</c:v>
                </c:pt>
                <c:pt idx="25">
                  <c:v>0.20246004632442752</c:v>
                </c:pt>
                <c:pt idx="26">
                  <c:v>0.13323434518084304</c:v>
                </c:pt>
                <c:pt idx="27">
                  <c:v>0.28771724215079791</c:v>
                </c:pt>
                <c:pt idx="28">
                  <c:v>0.35172736695775797</c:v>
                </c:pt>
                <c:pt idx="29">
                  <c:v>0.46619123843745963</c:v>
                </c:pt>
                <c:pt idx="30">
                  <c:v>0.45857382096773269</c:v>
                </c:pt>
                <c:pt idx="31">
                  <c:v>0.47206668522406492</c:v>
                </c:pt>
                <c:pt idx="32">
                  <c:v>0.38766169749581403</c:v>
                </c:pt>
                <c:pt idx="33">
                  <c:v>0.31916709192843062</c:v>
                </c:pt>
                <c:pt idx="34">
                  <c:v>0.27925719730978399</c:v>
                </c:pt>
                <c:pt idx="35">
                  <c:v>0.25758375172736864</c:v>
                </c:pt>
                <c:pt idx="36">
                  <c:v>0.29777986249878219</c:v>
                </c:pt>
                <c:pt idx="37">
                  <c:v>0.3176205361090047</c:v>
                </c:pt>
                <c:pt idx="38">
                  <c:v>0.34537082191205148</c:v>
                </c:pt>
                <c:pt idx="39">
                  <c:v>0.3719429933960165</c:v>
                </c:pt>
                <c:pt idx="40">
                  <c:v>0.46381367503732607</c:v>
                </c:pt>
                <c:pt idx="41">
                  <c:v>0.47645733732911782</c:v>
                </c:pt>
                <c:pt idx="42">
                  <c:v>0.56780438361932672</c:v>
                </c:pt>
                <c:pt idx="43">
                  <c:v>0.54017524596781152</c:v>
                </c:pt>
                <c:pt idx="44">
                  <c:v>0.43318150330163735</c:v>
                </c:pt>
                <c:pt idx="45">
                  <c:v>0.40710595356229073</c:v>
                </c:pt>
                <c:pt idx="46">
                  <c:v>0.33741571518422941</c:v>
                </c:pt>
                <c:pt idx="47">
                  <c:v>0.33181685352387141</c:v>
                </c:pt>
                <c:pt idx="48">
                  <c:v>0.34365530643433051</c:v>
                </c:pt>
                <c:pt idx="49">
                  <c:v>0.32542843459157866</c:v>
                </c:pt>
                <c:pt idx="50">
                  <c:v>0.37569434366184579</c:v>
                </c:pt>
                <c:pt idx="51">
                  <c:v>0.51890485826351174</c:v>
                </c:pt>
                <c:pt idx="52">
                  <c:v>0.53827713241277997</c:v>
                </c:pt>
                <c:pt idx="53">
                  <c:v>0.5770908465470117</c:v>
                </c:pt>
                <c:pt idx="54">
                  <c:v>0.56703543582783822</c:v>
                </c:pt>
                <c:pt idx="55">
                  <c:v>0.53206983796810359</c:v>
                </c:pt>
                <c:pt idx="56">
                  <c:v>0.43817901842261181</c:v>
                </c:pt>
                <c:pt idx="57">
                  <c:v>0.32830512901850351</c:v>
                </c:pt>
                <c:pt idx="58">
                  <c:v>0.30545665741348416</c:v>
                </c:pt>
                <c:pt idx="59">
                  <c:v>0.269973387454995</c:v>
                </c:pt>
                <c:pt idx="60">
                  <c:v>0.217542373591498</c:v>
                </c:pt>
                <c:pt idx="61">
                  <c:v>0.24574219189261323</c:v>
                </c:pt>
                <c:pt idx="62">
                  <c:v>0.29289185952376418</c:v>
                </c:pt>
                <c:pt idx="63">
                  <c:v>0.33023581685598352</c:v>
                </c:pt>
                <c:pt idx="64">
                  <c:v>0.44923550008290269</c:v>
                </c:pt>
                <c:pt idx="65">
                  <c:v>0.53245674457127812</c:v>
                </c:pt>
                <c:pt idx="66">
                  <c:v>0.52321734010408449</c:v>
                </c:pt>
                <c:pt idx="67">
                  <c:v>0.51702123476847095</c:v>
                </c:pt>
                <c:pt idx="68">
                  <c:v>0.4675919914134572</c:v>
                </c:pt>
                <c:pt idx="69">
                  <c:v>0.381170737990074</c:v>
                </c:pt>
                <c:pt idx="70">
                  <c:v>0.30119924033514178</c:v>
                </c:pt>
                <c:pt idx="71">
                  <c:v>0.28979952459702524</c:v>
                </c:pt>
                <c:pt idx="72">
                  <c:v>0.27225478896539113</c:v>
                </c:pt>
                <c:pt idx="73">
                  <c:v>0.23458533480148316</c:v>
                </c:pt>
                <c:pt idx="74">
                  <c:v>0.31112999656690427</c:v>
                </c:pt>
                <c:pt idx="75">
                  <c:v>0.31146579159612969</c:v>
                </c:pt>
                <c:pt idx="76">
                  <c:v>0.49732797696518188</c:v>
                </c:pt>
                <c:pt idx="77">
                  <c:v>0.54344771614827581</c:v>
                </c:pt>
                <c:pt idx="78">
                  <c:v>0.52104461491125609</c:v>
                </c:pt>
                <c:pt idx="79">
                  <c:v>0.52012295312481016</c:v>
                </c:pt>
                <c:pt idx="80">
                  <c:v>0.41201919587345531</c:v>
                </c:pt>
                <c:pt idx="81">
                  <c:v>0.36963725553094762</c:v>
                </c:pt>
                <c:pt idx="82">
                  <c:v>0.29159585020029211</c:v>
                </c:pt>
                <c:pt idx="83">
                  <c:v>0.28928994208278647</c:v>
                </c:pt>
                <c:pt idx="84">
                  <c:v>0.33018294306149559</c:v>
                </c:pt>
                <c:pt idx="85">
                  <c:v>0.2511352259636061</c:v>
                </c:pt>
                <c:pt idx="86">
                  <c:v>0.2482953326316191</c:v>
                </c:pt>
                <c:pt idx="87">
                  <c:v>0.30744060583754995</c:v>
                </c:pt>
                <c:pt idx="88">
                  <c:v>0.36026456993134831</c:v>
                </c:pt>
                <c:pt idx="89">
                  <c:v>0.55907687327703004</c:v>
                </c:pt>
              </c:numCache>
            </c:numRef>
          </c:val>
        </c:ser>
        <c:ser>
          <c:idx val="2"/>
          <c:order val="2"/>
          <c:tx>
            <c:strRef>
              <c:f>'Misc. Data &amp; Mechanisms'!$R$814</c:f>
              <c:strCache>
                <c:ptCount val="1"/>
                <c:pt idx="0">
                  <c:v>Local Access and Franchise Fees</c:v>
                </c:pt>
              </c:strCache>
            </c:strRef>
          </c:tx>
          <c:spPr>
            <a:solidFill>
              <a:schemeClr val="accent3">
                <a:lumMod val="75000"/>
              </a:schemeClr>
            </a:solidFill>
          </c:spPr>
          <c:cat>
            <c:numRef>
              <c:f>'Misc. Data &amp; Mechanisms'!$O$815:$O$905</c:f>
              <c:numCache>
                <c:formatCode>[$-409]mmm-yy;@</c:formatCode>
                <c:ptCount val="91"/>
                <c:pt idx="0">
                  <c:v>40909</c:v>
                </c:pt>
                <c:pt idx="1">
                  <c:v>40940</c:v>
                </c:pt>
                <c:pt idx="2">
                  <c:v>40969</c:v>
                </c:pt>
                <c:pt idx="3">
                  <c:v>41000</c:v>
                </c:pt>
                <c:pt idx="4">
                  <c:v>41030</c:v>
                </c:pt>
                <c:pt idx="5">
                  <c:v>41061</c:v>
                </c:pt>
                <c:pt idx="6">
                  <c:v>41091</c:v>
                </c:pt>
                <c:pt idx="7">
                  <c:v>41122</c:v>
                </c:pt>
                <c:pt idx="8">
                  <c:v>41153</c:v>
                </c:pt>
                <c:pt idx="9">
                  <c:v>41183</c:v>
                </c:pt>
                <c:pt idx="10">
                  <c:v>41214</c:v>
                </c:pt>
                <c:pt idx="11">
                  <c:v>41244</c:v>
                </c:pt>
                <c:pt idx="12">
                  <c:v>41275</c:v>
                </c:pt>
                <c:pt idx="13">
                  <c:v>41306</c:v>
                </c:pt>
                <c:pt idx="14">
                  <c:v>41334</c:v>
                </c:pt>
                <c:pt idx="15">
                  <c:v>41365</c:v>
                </c:pt>
                <c:pt idx="16">
                  <c:v>41395</c:v>
                </c:pt>
                <c:pt idx="17">
                  <c:v>41426</c:v>
                </c:pt>
                <c:pt idx="18">
                  <c:v>41456</c:v>
                </c:pt>
                <c:pt idx="19">
                  <c:v>41487</c:v>
                </c:pt>
                <c:pt idx="20">
                  <c:v>41518</c:v>
                </c:pt>
                <c:pt idx="21">
                  <c:v>41548</c:v>
                </c:pt>
                <c:pt idx="22">
                  <c:v>41579</c:v>
                </c:pt>
                <c:pt idx="23">
                  <c:v>41609</c:v>
                </c:pt>
                <c:pt idx="24">
                  <c:v>41640</c:v>
                </c:pt>
                <c:pt idx="25">
                  <c:v>41671</c:v>
                </c:pt>
                <c:pt idx="26">
                  <c:v>41699</c:v>
                </c:pt>
                <c:pt idx="27">
                  <c:v>41730</c:v>
                </c:pt>
                <c:pt idx="28">
                  <c:v>41760</c:v>
                </c:pt>
                <c:pt idx="29">
                  <c:v>41791</c:v>
                </c:pt>
                <c:pt idx="30">
                  <c:v>41821</c:v>
                </c:pt>
                <c:pt idx="31">
                  <c:v>41852</c:v>
                </c:pt>
                <c:pt idx="32">
                  <c:v>41883</c:v>
                </c:pt>
                <c:pt idx="33">
                  <c:v>41913</c:v>
                </c:pt>
                <c:pt idx="34">
                  <c:v>41944</c:v>
                </c:pt>
                <c:pt idx="35">
                  <c:v>41974</c:v>
                </c:pt>
                <c:pt idx="36">
                  <c:v>42005</c:v>
                </c:pt>
                <c:pt idx="37">
                  <c:v>42036</c:v>
                </c:pt>
                <c:pt idx="38">
                  <c:v>42064</c:v>
                </c:pt>
                <c:pt idx="39">
                  <c:v>42095</c:v>
                </c:pt>
                <c:pt idx="40">
                  <c:v>42125</c:v>
                </c:pt>
                <c:pt idx="41">
                  <c:v>42156</c:v>
                </c:pt>
                <c:pt idx="42">
                  <c:v>42186</c:v>
                </c:pt>
                <c:pt idx="43">
                  <c:v>42217</c:v>
                </c:pt>
                <c:pt idx="44">
                  <c:v>42248</c:v>
                </c:pt>
                <c:pt idx="45">
                  <c:v>42278</c:v>
                </c:pt>
                <c:pt idx="46">
                  <c:v>42309</c:v>
                </c:pt>
                <c:pt idx="47">
                  <c:v>42339</c:v>
                </c:pt>
                <c:pt idx="48">
                  <c:v>42370</c:v>
                </c:pt>
                <c:pt idx="49">
                  <c:v>42401</c:v>
                </c:pt>
                <c:pt idx="50">
                  <c:v>42430</c:v>
                </c:pt>
                <c:pt idx="51">
                  <c:v>42461</c:v>
                </c:pt>
                <c:pt idx="52">
                  <c:v>42491</c:v>
                </c:pt>
                <c:pt idx="53">
                  <c:v>42522</c:v>
                </c:pt>
                <c:pt idx="54">
                  <c:v>42552</c:v>
                </c:pt>
                <c:pt idx="55">
                  <c:v>42583</c:v>
                </c:pt>
                <c:pt idx="56">
                  <c:v>42614</c:v>
                </c:pt>
                <c:pt idx="57">
                  <c:v>42644</c:v>
                </c:pt>
                <c:pt idx="58">
                  <c:v>42675</c:v>
                </c:pt>
                <c:pt idx="59">
                  <c:v>42705</c:v>
                </c:pt>
                <c:pt idx="60">
                  <c:v>42736</c:v>
                </c:pt>
                <c:pt idx="61">
                  <c:v>42767</c:v>
                </c:pt>
                <c:pt idx="62">
                  <c:v>42795</c:v>
                </c:pt>
                <c:pt idx="63">
                  <c:v>42826</c:v>
                </c:pt>
                <c:pt idx="64">
                  <c:v>42856</c:v>
                </c:pt>
                <c:pt idx="65">
                  <c:v>42887</c:v>
                </c:pt>
                <c:pt idx="66">
                  <c:v>42917</c:v>
                </c:pt>
                <c:pt idx="67">
                  <c:v>42948</c:v>
                </c:pt>
                <c:pt idx="68">
                  <c:v>42979</c:v>
                </c:pt>
                <c:pt idx="69">
                  <c:v>43009</c:v>
                </c:pt>
                <c:pt idx="70">
                  <c:v>43040</c:v>
                </c:pt>
                <c:pt idx="71">
                  <c:v>43070</c:v>
                </c:pt>
                <c:pt idx="72">
                  <c:v>43101</c:v>
                </c:pt>
                <c:pt idx="73">
                  <c:v>43132</c:v>
                </c:pt>
                <c:pt idx="74">
                  <c:v>43160</c:v>
                </c:pt>
                <c:pt idx="75">
                  <c:v>43191</c:v>
                </c:pt>
                <c:pt idx="76">
                  <c:v>43221</c:v>
                </c:pt>
                <c:pt idx="77">
                  <c:v>43252</c:v>
                </c:pt>
                <c:pt idx="78">
                  <c:v>43282</c:v>
                </c:pt>
                <c:pt idx="79">
                  <c:v>43313</c:v>
                </c:pt>
                <c:pt idx="80">
                  <c:v>43344</c:v>
                </c:pt>
                <c:pt idx="81">
                  <c:v>43374</c:v>
                </c:pt>
                <c:pt idx="82">
                  <c:v>43405</c:v>
                </c:pt>
                <c:pt idx="83">
                  <c:v>43435</c:v>
                </c:pt>
                <c:pt idx="84">
                  <c:v>43466</c:v>
                </c:pt>
                <c:pt idx="85">
                  <c:v>43497</c:v>
                </c:pt>
                <c:pt idx="86">
                  <c:v>43525</c:v>
                </c:pt>
                <c:pt idx="87">
                  <c:v>43556</c:v>
                </c:pt>
                <c:pt idx="88">
                  <c:v>43586</c:v>
                </c:pt>
                <c:pt idx="89">
                  <c:v>43617</c:v>
                </c:pt>
              </c:numCache>
            </c:numRef>
          </c:cat>
          <c:val>
            <c:numRef>
              <c:f>'Misc. Data &amp; Mechanisms'!$R$815:$R$905</c:f>
              <c:numCache>
                <c:formatCode>0.00%</c:formatCode>
                <c:ptCount val="91"/>
                <c:pt idx="0">
                  <c:v>8.8983949312462701E-2</c:v>
                </c:pt>
                <c:pt idx="1">
                  <c:v>8.7717454935078348E-2</c:v>
                </c:pt>
                <c:pt idx="2">
                  <c:v>8.6397884962686314E-2</c:v>
                </c:pt>
                <c:pt idx="3">
                  <c:v>8.4608201504459551E-2</c:v>
                </c:pt>
                <c:pt idx="4">
                  <c:v>8.0507365298441089E-2</c:v>
                </c:pt>
                <c:pt idx="5">
                  <c:v>8.0064131324905183E-2</c:v>
                </c:pt>
                <c:pt idx="6">
                  <c:v>7.7309199469822301E-2</c:v>
                </c:pt>
                <c:pt idx="7">
                  <c:v>7.8240108845890818E-2</c:v>
                </c:pt>
                <c:pt idx="8">
                  <c:v>7.7909351902183982E-2</c:v>
                </c:pt>
                <c:pt idx="9">
                  <c:v>8.6771842646578584E-2</c:v>
                </c:pt>
                <c:pt idx="10">
                  <c:v>8.9393716612934188E-2</c:v>
                </c:pt>
                <c:pt idx="11">
                  <c:v>9.0142148590943855E-2</c:v>
                </c:pt>
                <c:pt idx="12">
                  <c:v>8.941325319269075E-2</c:v>
                </c:pt>
                <c:pt idx="13">
                  <c:v>8.8832104841053333E-2</c:v>
                </c:pt>
                <c:pt idx="14">
                  <c:v>8.8712962972337495E-2</c:v>
                </c:pt>
                <c:pt idx="15">
                  <c:v>8.850526120783675E-2</c:v>
                </c:pt>
                <c:pt idx="16">
                  <c:v>8.4908740166790828E-2</c:v>
                </c:pt>
                <c:pt idx="17">
                  <c:v>8.3578554086687198E-2</c:v>
                </c:pt>
                <c:pt idx="18">
                  <c:v>8.1304273513473371E-2</c:v>
                </c:pt>
                <c:pt idx="19">
                  <c:v>7.9906576150922268E-2</c:v>
                </c:pt>
                <c:pt idx="20">
                  <c:v>8.2816111081982668E-2</c:v>
                </c:pt>
                <c:pt idx="21">
                  <c:v>8.6575638840518901E-2</c:v>
                </c:pt>
                <c:pt idx="22">
                  <c:v>9.0130761116335459E-2</c:v>
                </c:pt>
                <c:pt idx="23">
                  <c:v>9.0799889335431844E-2</c:v>
                </c:pt>
                <c:pt idx="24">
                  <c:v>9.0479983554489649E-2</c:v>
                </c:pt>
                <c:pt idx="25">
                  <c:v>9.1970613504756396E-2</c:v>
                </c:pt>
                <c:pt idx="26">
                  <c:v>9.284933363768702E-2</c:v>
                </c:pt>
                <c:pt idx="27">
                  <c:v>8.9028212107070764E-2</c:v>
                </c:pt>
                <c:pt idx="28">
                  <c:v>8.6931728063984207E-2</c:v>
                </c:pt>
                <c:pt idx="29">
                  <c:v>8.3368071267026403E-2</c:v>
                </c:pt>
                <c:pt idx="30">
                  <c:v>8.2897431880018871E-2</c:v>
                </c:pt>
                <c:pt idx="31">
                  <c:v>8.2753032064890902E-2</c:v>
                </c:pt>
                <c:pt idx="32">
                  <c:v>8.5753914044900861E-2</c:v>
                </c:pt>
                <c:pt idx="33">
                  <c:v>8.7849324998084677E-2</c:v>
                </c:pt>
                <c:pt idx="34">
                  <c:v>8.9867306099021549E-2</c:v>
                </c:pt>
                <c:pt idx="35">
                  <c:v>9.0311500838479303E-2</c:v>
                </c:pt>
                <c:pt idx="36">
                  <c:v>8.9864304576154172E-2</c:v>
                </c:pt>
                <c:pt idx="37">
                  <c:v>8.9594368528579271E-2</c:v>
                </c:pt>
                <c:pt idx="38">
                  <c:v>8.8326158218822046E-2</c:v>
                </c:pt>
                <c:pt idx="39">
                  <c:v>8.7442134113169867E-2</c:v>
                </c:pt>
                <c:pt idx="40">
                  <c:v>8.4631504468520066E-2</c:v>
                </c:pt>
                <c:pt idx="41">
                  <c:v>8.345084681341608E-2</c:v>
                </c:pt>
                <c:pt idx="42">
                  <c:v>8.0820766127562477E-2</c:v>
                </c:pt>
                <c:pt idx="43">
                  <c:v>8.1701189541976735E-2</c:v>
                </c:pt>
                <c:pt idx="44">
                  <c:v>8.530013374622411E-2</c:v>
                </c:pt>
                <c:pt idx="45">
                  <c:v>8.6334902624800508E-2</c:v>
                </c:pt>
                <c:pt idx="46">
                  <c:v>8.8972635400259417E-2</c:v>
                </c:pt>
                <c:pt idx="47">
                  <c:v>8.9540150338503238E-2</c:v>
                </c:pt>
                <c:pt idx="48">
                  <c:v>8.9148178637086961E-2</c:v>
                </c:pt>
                <c:pt idx="49">
                  <c:v>8.8899412540995898E-2</c:v>
                </c:pt>
                <c:pt idx="50">
                  <c:v>8.7718757488026905E-2</c:v>
                </c:pt>
                <c:pt idx="51">
                  <c:v>8.2214628116126259E-2</c:v>
                </c:pt>
                <c:pt idx="52">
                  <c:v>8.1372496544727127E-2</c:v>
                </c:pt>
                <c:pt idx="53">
                  <c:v>7.8934744062749071E-2</c:v>
                </c:pt>
                <c:pt idx="54">
                  <c:v>7.908913133023017E-2</c:v>
                </c:pt>
                <c:pt idx="55">
                  <c:v>8.020803227716107E-2</c:v>
                </c:pt>
                <c:pt idx="56">
                  <c:v>8.3849695575762093E-2</c:v>
                </c:pt>
                <c:pt idx="57">
                  <c:v>8.7990139950193072E-2</c:v>
                </c:pt>
                <c:pt idx="58">
                  <c:v>8.8426099437248454E-2</c:v>
                </c:pt>
                <c:pt idx="59">
                  <c:v>9.0357826595846333E-2</c:v>
                </c:pt>
                <c:pt idx="60">
                  <c:v>8.0581035515396984E-2</c:v>
                </c:pt>
                <c:pt idx="61">
                  <c:v>7.847211205392636E-2</c:v>
                </c:pt>
                <c:pt idx="62">
                  <c:v>7.6581682678928314E-2</c:v>
                </c:pt>
                <c:pt idx="63">
                  <c:v>7.7257184135142876E-2</c:v>
                </c:pt>
                <c:pt idx="64">
                  <c:v>7.5653915947690636E-2</c:v>
                </c:pt>
                <c:pt idx="65">
                  <c:v>7.4550405275147891E-2</c:v>
                </c:pt>
                <c:pt idx="66">
                  <c:v>7.5645437807044733E-2</c:v>
                </c:pt>
                <c:pt idx="67">
                  <c:v>7.5710710530220923E-2</c:v>
                </c:pt>
                <c:pt idx="68">
                  <c:v>7.4487312393376554E-2</c:v>
                </c:pt>
                <c:pt idx="69">
                  <c:v>7.5040056694270746E-2</c:v>
                </c:pt>
                <c:pt idx="70">
                  <c:v>7.5550709677010219E-2</c:v>
                </c:pt>
                <c:pt idx="71">
                  <c:v>7.69006682476603E-2</c:v>
                </c:pt>
                <c:pt idx="72">
                  <c:v>7.0663653426884507E-2</c:v>
                </c:pt>
                <c:pt idx="73">
                  <c:v>7.1964238585572521E-2</c:v>
                </c:pt>
                <c:pt idx="74">
                  <c:v>6.8720234571182398E-2</c:v>
                </c:pt>
                <c:pt idx="75">
                  <c:v>6.9358096164880798E-2</c:v>
                </c:pt>
                <c:pt idx="76">
                  <c:v>6.9016590010286469E-2</c:v>
                </c:pt>
                <c:pt idx="77">
                  <c:v>6.888888173022488E-2</c:v>
                </c:pt>
                <c:pt idx="78">
                  <c:v>7.1078154363700394E-2</c:v>
                </c:pt>
                <c:pt idx="79">
                  <c:v>7.0210295066216233E-2</c:v>
                </c:pt>
                <c:pt idx="80">
                  <c:v>6.7732426318921332E-2</c:v>
                </c:pt>
                <c:pt idx="81">
                  <c:v>6.6209188440837272E-2</c:v>
                </c:pt>
                <c:pt idx="82">
                  <c:v>6.9928993591482469E-2</c:v>
                </c:pt>
                <c:pt idx="83">
                  <c:v>6.8368254717721177E-2</c:v>
                </c:pt>
                <c:pt idx="84">
                  <c:v>6.7118145122889106E-2</c:v>
                </c:pt>
                <c:pt idx="85">
                  <c:v>6.8924097614051313E-2</c:v>
                </c:pt>
                <c:pt idx="86">
                  <c:v>7.4630698118088271E-2</c:v>
                </c:pt>
                <c:pt idx="87">
                  <c:v>7.4111534559569633E-2</c:v>
                </c:pt>
                <c:pt idx="88">
                  <c:v>7.3859287301418872E-2</c:v>
                </c:pt>
                <c:pt idx="89">
                  <c:v>7.9061307921139537E-2</c:v>
                </c:pt>
              </c:numCache>
            </c:numRef>
          </c:val>
        </c:ser>
        <c:ser>
          <c:idx val="5"/>
          <c:order val="3"/>
          <c:tx>
            <c:strRef>
              <c:f>'Misc. Data &amp; Mechanisms'!$T$814</c:f>
              <c:strCache>
                <c:ptCount val="1"/>
                <c:pt idx="0">
                  <c:v>Administration</c:v>
                </c:pt>
              </c:strCache>
            </c:strRef>
          </c:tx>
          <c:spPr>
            <a:solidFill>
              <a:schemeClr val="accent6">
                <a:lumMod val="75000"/>
              </a:schemeClr>
            </a:solidFill>
          </c:spPr>
          <c:cat>
            <c:numRef>
              <c:f>'Misc. Data &amp; Mechanisms'!$O$815:$O$905</c:f>
              <c:numCache>
                <c:formatCode>[$-409]mmm-yy;@</c:formatCode>
                <c:ptCount val="91"/>
                <c:pt idx="0">
                  <c:v>40909</c:v>
                </c:pt>
                <c:pt idx="1">
                  <c:v>40940</c:v>
                </c:pt>
                <c:pt idx="2">
                  <c:v>40969</c:v>
                </c:pt>
                <c:pt idx="3">
                  <c:v>41000</c:v>
                </c:pt>
                <c:pt idx="4">
                  <c:v>41030</c:v>
                </c:pt>
                <c:pt idx="5">
                  <c:v>41061</c:v>
                </c:pt>
                <c:pt idx="6">
                  <c:v>41091</c:v>
                </c:pt>
                <c:pt idx="7">
                  <c:v>41122</c:v>
                </c:pt>
                <c:pt idx="8">
                  <c:v>41153</c:v>
                </c:pt>
                <c:pt idx="9">
                  <c:v>41183</c:v>
                </c:pt>
                <c:pt idx="10">
                  <c:v>41214</c:v>
                </c:pt>
                <c:pt idx="11">
                  <c:v>41244</c:v>
                </c:pt>
                <c:pt idx="12">
                  <c:v>41275</c:v>
                </c:pt>
                <c:pt idx="13">
                  <c:v>41306</c:v>
                </c:pt>
                <c:pt idx="14">
                  <c:v>41334</c:v>
                </c:pt>
                <c:pt idx="15">
                  <c:v>41365</c:v>
                </c:pt>
                <c:pt idx="16">
                  <c:v>41395</c:v>
                </c:pt>
                <c:pt idx="17">
                  <c:v>41426</c:v>
                </c:pt>
                <c:pt idx="18">
                  <c:v>41456</c:v>
                </c:pt>
                <c:pt idx="19">
                  <c:v>41487</c:v>
                </c:pt>
                <c:pt idx="20">
                  <c:v>41518</c:v>
                </c:pt>
                <c:pt idx="21">
                  <c:v>41548</c:v>
                </c:pt>
                <c:pt idx="22">
                  <c:v>41579</c:v>
                </c:pt>
                <c:pt idx="23">
                  <c:v>41609</c:v>
                </c:pt>
                <c:pt idx="24">
                  <c:v>41640</c:v>
                </c:pt>
                <c:pt idx="25">
                  <c:v>41671</c:v>
                </c:pt>
                <c:pt idx="26">
                  <c:v>41699</c:v>
                </c:pt>
                <c:pt idx="27">
                  <c:v>41730</c:v>
                </c:pt>
                <c:pt idx="28">
                  <c:v>41760</c:v>
                </c:pt>
                <c:pt idx="29">
                  <c:v>41791</c:v>
                </c:pt>
                <c:pt idx="30">
                  <c:v>41821</c:v>
                </c:pt>
                <c:pt idx="31">
                  <c:v>41852</c:v>
                </c:pt>
                <c:pt idx="32">
                  <c:v>41883</c:v>
                </c:pt>
                <c:pt idx="33">
                  <c:v>41913</c:v>
                </c:pt>
                <c:pt idx="34">
                  <c:v>41944</c:v>
                </c:pt>
                <c:pt idx="35">
                  <c:v>41974</c:v>
                </c:pt>
                <c:pt idx="36">
                  <c:v>42005</c:v>
                </c:pt>
                <c:pt idx="37">
                  <c:v>42036</c:v>
                </c:pt>
                <c:pt idx="38">
                  <c:v>42064</c:v>
                </c:pt>
                <c:pt idx="39">
                  <c:v>42095</c:v>
                </c:pt>
                <c:pt idx="40">
                  <c:v>42125</c:v>
                </c:pt>
                <c:pt idx="41">
                  <c:v>42156</c:v>
                </c:pt>
                <c:pt idx="42">
                  <c:v>42186</c:v>
                </c:pt>
                <c:pt idx="43">
                  <c:v>42217</c:v>
                </c:pt>
                <c:pt idx="44">
                  <c:v>42248</c:v>
                </c:pt>
                <c:pt idx="45">
                  <c:v>42278</c:v>
                </c:pt>
                <c:pt idx="46">
                  <c:v>42309</c:v>
                </c:pt>
                <c:pt idx="47">
                  <c:v>42339</c:v>
                </c:pt>
                <c:pt idx="48">
                  <c:v>42370</c:v>
                </c:pt>
                <c:pt idx="49">
                  <c:v>42401</c:v>
                </c:pt>
                <c:pt idx="50">
                  <c:v>42430</c:v>
                </c:pt>
                <c:pt idx="51">
                  <c:v>42461</c:v>
                </c:pt>
                <c:pt idx="52">
                  <c:v>42491</c:v>
                </c:pt>
                <c:pt idx="53">
                  <c:v>42522</c:v>
                </c:pt>
                <c:pt idx="54">
                  <c:v>42552</c:v>
                </c:pt>
                <c:pt idx="55">
                  <c:v>42583</c:v>
                </c:pt>
                <c:pt idx="56">
                  <c:v>42614</c:v>
                </c:pt>
                <c:pt idx="57">
                  <c:v>42644</c:v>
                </c:pt>
                <c:pt idx="58">
                  <c:v>42675</c:v>
                </c:pt>
                <c:pt idx="59">
                  <c:v>42705</c:v>
                </c:pt>
                <c:pt idx="60">
                  <c:v>42736</c:v>
                </c:pt>
                <c:pt idx="61">
                  <c:v>42767</c:v>
                </c:pt>
                <c:pt idx="62">
                  <c:v>42795</c:v>
                </c:pt>
                <c:pt idx="63">
                  <c:v>42826</c:v>
                </c:pt>
                <c:pt idx="64">
                  <c:v>42856</c:v>
                </c:pt>
                <c:pt idx="65">
                  <c:v>42887</c:v>
                </c:pt>
                <c:pt idx="66">
                  <c:v>42917</c:v>
                </c:pt>
                <c:pt idx="67">
                  <c:v>42948</c:v>
                </c:pt>
                <c:pt idx="68">
                  <c:v>42979</c:v>
                </c:pt>
                <c:pt idx="69">
                  <c:v>43009</c:v>
                </c:pt>
                <c:pt idx="70">
                  <c:v>43040</c:v>
                </c:pt>
                <c:pt idx="71">
                  <c:v>43070</c:v>
                </c:pt>
                <c:pt idx="72">
                  <c:v>43101</c:v>
                </c:pt>
                <c:pt idx="73">
                  <c:v>43132</c:v>
                </c:pt>
                <c:pt idx="74">
                  <c:v>43160</c:v>
                </c:pt>
                <c:pt idx="75">
                  <c:v>43191</c:v>
                </c:pt>
                <c:pt idx="76">
                  <c:v>43221</c:v>
                </c:pt>
                <c:pt idx="77">
                  <c:v>43252</c:v>
                </c:pt>
                <c:pt idx="78">
                  <c:v>43282</c:v>
                </c:pt>
                <c:pt idx="79">
                  <c:v>43313</c:v>
                </c:pt>
                <c:pt idx="80">
                  <c:v>43344</c:v>
                </c:pt>
                <c:pt idx="81">
                  <c:v>43374</c:v>
                </c:pt>
                <c:pt idx="82">
                  <c:v>43405</c:v>
                </c:pt>
                <c:pt idx="83">
                  <c:v>43435</c:v>
                </c:pt>
                <c:pt idx="84">
                  <c:v>43466</c:v>
                </c:pt>
                <c:pt idx="85">
                  <c:v>43497</c:v>
                </c:pt>
                <c:pt idx="86">
                  <c:v>43525</c:v>
                </c:pt>
                <c:pt idx="87">
                  <c:v>43556</c:v>
                </c:pt>
                <c:pt idx="88">
                  <c:v>43586</c:v>
                </c:pt>
                <c:pt idx="89">
                  <c:v>43617</c:v>
                </c:pt>
              </c:numCache>
            </c:numRef>
          </c:cat>
          <c:val>
            <c:numRef>
              <c:f>'Misc. Data &amp; Mechanisms'!$T$815:$T$905</c:f>
              <c:numCache>
                <c:formatCode>0.00%</c:formatCode>
                <c:ptCount val="91"/>
                <c:pt idx="0">
                  <c:v>6.2461365692587846E-2</c:v>
                </c:pt>
                <c:pt idx="1">
                  <c:v>7.512744942536688E-2</c:v>
                </c:pt>
                <c:pt idx="2">
                  <c:v>8.8324336881035734E-2</c:v>
                </c:pt>
                <c:pt idx="3">
                  <c:v>0.10622278233950326</c:v>
                </c:pt>
                <c:pt idx="4">
                  <c:v>0.14723483552138528</c:v>
                </c:pt>
                <c:pt idx="5">
                  <c:v>0.15166757420721572</c:v>
                </c:pt>
                <c:pt idx="6">
                  <c:v>0.17921937244468275</c:v>
                </c:pt>
                <c:pt idx="7">
                  <c:v>0.16990944078176873</c:v>
                </c:pt>
                <c:pt idx="8">
                  <c:v>0.17321730792985768</c:v>
                </c:pt>
                <c:pt idx="9">
                  <c:v>8.4584423446537854E-2</c:v>
                </c:pt>
                <c:pt idx="10">
                  <c:v>5.8363323860419633E-2</c:v>
                </c:pt>
                <c:pt idx="11">
                  <c:v>5.0878330424177241E-2</c:v>
                </c:pt>
                <c:pt idx="12">
                  <c:v>5.8167940478173828E-2</c:v>
                </c:pt>
                <c:pt idx="13">
                  <c:v>6.3979947080373162E-2</c:v>
                </c:pt>
                <c:pt idx="14">
                  <c:v>6.5171473005937147E-2</c:v>
                </c:pt>
                <c:pt idx="15">
                  <c:v>6.7248677601227755E-2</c:v>
                </c:pt>
                <c:pt idx="16">
                  <c:v>0.10321712520434319</c:v>
                </c:pt>
                <c:pt idx="17">
                  <c:v>0.11652018329258036</c:v>
                </c:pt>
                <c:pt idx="18">
                  <c:v>0.13926503608194016</c:v>
                </c:pt>
                <c:pt idx="19">
                  <c:v>0.15324326776088287</c:v>
                </c:pt>
                <c:pt idx="20">
                  <c:v>0.12414529960695668</c:v>
                </c:pt>
                <c:pt idx="21">
                  <c:v>8.654663810822022E-2</c:v>
                </c:pt>
                <c:pt idx="22">
                  <c:v>5.0992215420013427E-2</c:v>
                </c:pt>
                <c:pt idx="23">
                  <c:v>4.4300330953424602E-2</c:v>
                </c:pt>
                <c:pt idx="24">
                  <c:v>4.7499676706843873E-2</c:v>
                </c:pt>
                <c:pt idx="25">
                  <c:v>3.2592035503051238E-2</c:v>
                </c:pt>
                <c:pt idx="26">
                  <c:v>2.3804043246532264E-2</c:v>
                </c:pt>
                <c:pt idx="27">
                  <c:v>6.2018697906007933E-2</c:v>
                </c:pt>
                <c:pt idx="28">
                  <c:v>8.2985425361214796E-2</c:v>
                </c:pt>
                <c:pt idx="29">
                  <c:v>0.11862520094267144</c:v>
                </c:pt>
                <c:pt idx="30">
                  <c:v>0.12333201843055684</c:v>
                </c:pt>
                <c:pt idx="31">
                  <c:v>0.12477614655466726</c:v>
                </c:pt>
                <c:pt idx="32">
                  <c:v>9.4764625690679338E-2</c:v>
                </c:pt>
                <c:pt idx="33">
                  <c:v>7.3808630100377498E-2</c:v>
                </c:pt>
                <c:pt idx="34">
                  <c:v>5.362700272638142E-2</c:v>
                </c:pt>
                <c:pt idx="35">
                  <c:v>4.9184655516556826E-2</c:v>
                </c:pt>
                <c:pt idx="36">
                  <c:v>5.3657020656695857E-2</c:v>
                </c:pt>
                <c:pt idx="37">
                  <c:v>5.6356624099184342E-2</c:v>
                </c:pt>
                <c:pt idx="38">
                  <c:v>6.9039868700185761E-2</c:v>
                </c:pt>
                <c:pt idx="39">
                  <c:v>7.7880905457972827E-2</c:v>
                </c:pt>
                <c:pt idx="40">
                  <c:v>0.10598973172413288</c:v>
                </c:pt>
                <c:pt idx="41">
                  <c:v>0.11779737097333229</c:v>
                </c:pt>
                <c:pt idx="42">
                  <c:v>0.14410054514121645</c:v>
                </c:pt>
                <c:pt idx="43">
                  <c:v>0.1352955185367547</c:v>
                </c:pt>
                <c:pt idx="44">
                  <c:v>9.9302837120559789E-2</c:v>
                </c:pt>
                <c:pt idx="45">
                  <c:v>8.8954216949666709E-2</c:v>
                </c:pt>
                <c:pt idx="46">
                  <c:v>6.257451499816008E-2</c:v>
                </c:pt>
                <c:pt idx="47">
                  <c:v>5.6898854801195921E-2</c:v>
                </c:pt>
                <c:pt idx="48">
                  <c:v>6.0818924625170939E-2</c:v>
                </c:pt>
                <c:pt idx="49">
                  <c:v>6.3306809497959332E-2</c:v>
                </c:pt>
                <c:pt idx="50">
                  <c:v>7.5114422723466343E-2</c:v>
                </c:pt>
                <c:pt idx="51">
                  <c:v>0.13016067065432879</c:v>
                </c:pt>
                <c:pt idx="52">
                  <c:v>0.13858274436253373</c:v>
                </c:pt>
                <c:pt idx="53">
                  <c:v>0.16296246337896766</c:v>
                </c:pt>
                <c:pt idx="54">
                  <c:v>0.16141845174171979</c:v>
                </c:pt>
                <c:pt idx="55">
                  <c:v>0.15022843516084744</c:v>
                </c:pt>
                <c:pt idx="56">
                  <c:v>0.1138085243500859</c:v>
                </c:pt>
                <c:pt idx="57">
                  <c:v>7.2400353833162012E-2</c:v>
                </c:pt>
                <c:pt idx="58">
                  <c:v>6.8040366559829604E-2</c:v>
                </c:pt>
                <c:pt idx="59">
                  <c:v>4.872135624553519E-2</c:v>
                </c:pt>
                <c:pt idx="60">
                  <c:v>4.017146586747463E-2</c:v>
                </c:pt>
                <c:pt idx="61">
                  <c:v>4.4711086346453814E-2</c:v>
                </c:pt>
                <c:pt idx="62">
                  <c:v>5.7501100201868535E-2</c:v>
                </c:pt>
                <c:pt idx="63">
                  <c:v>7.4538543861931345E-2</c:v>
                </c:pt>
                <c:pt idx="64">
                  <c:v>0.11688989797440796</c:v>
                </c:pt>
                <c:pt idx="65">
                  <c:v>0.1465642256010011</c:v>
                </c:pt>
                <c:pt idx="66">
                  <c:v>0.14636139956698913</c:v>
                </c:pt>
                <c:pt idx="67">
                  <c:v>0.14409835883898464</c:v>
                </c:pt>
                <c:pt idx="68">
                  <c:v>0.12050041227038397</c:v>
                </c:pt>
                <c:pt idx="69">
                  <c:v>8.7799246342426432E-2</c:v>
                </c:pt>
                <c:pt idx="70">
                  <c:v>5.7535952867144594E-2</c:v>
                </c:pt>
                <c:pt idx="71">
                  <c:v>5.7282177556577399E-2</c:v>
                </c:pt>
                <c:pt idx="72">
                  <c:v>5.1090958288957301E-2</c:v>
                </c:pt>
                <c:pt idx="73">
                  <c:v>4.0002393795882898E-2</c:v>
                </c:pt>
                <c:pt idx="74">
                  <c:v>6.1382811281779137E-2</c:v>
                </c:pt>
                <c:pt idx="75">
                  <c:v>7.0649101970127096E-2</c:v>
                </c:pt>
                <c:pt idx="76">
                  <c:v>0.14051461389976755</c:v>
                </c:pt>
                <c:pt idx="77">
                  <c:v>0.15777214682780757</c:v>
                </c:pt>
                <c:pt idx="78">
                  <c:v>0.15329319123485849</c:v>
                </c:pt>
                <c:pt idx="79">
                  <c:v>0.15135087469349875</c:v>
                </c:pt>
                <c:pt idx="80">
                  <c:v>0.10580261966644101</c:v>
                </c:pt>
                <c:pt idx="81">
                  <c:v>9.6600180123860985E-2</c:v>
                </c:pt>
                <c:pt idx="82">
                  <c:v>7.1295759058515581E-2</c:v>
                </c:pt>
                <c:pt idx="83">
                  <c:v>6.7141025651336228E-2</c:v>
                </c:pt>
                <c:pt idx="84">
                  <c:v>6.9761593202080543E-2</c:v>
                </c:pt>
                <c:pt idx="85">
                  <c:v>4.2426511998296695E-2</c:v>
                </c:pt>
                <c:pt idx="86">
                  <c:v>5.3627996528292143E-2</c:v>
                </c:pt>
                <c:pt idx="87">
                  <c:v>7.5877651844753868E-2</c:v>
                </c:pt>
                <c:pt idx="88">
                  <c:v>9.4429400165009614E-2</c:v>
                </c:pt>
                <c:pt idx="89">
                  <c:v>0.16169671087619852</c:v>
                </c:pt>
              </c:numCache>
            </c:numRef>
          </c:val>
        </c:ser>
        <c:ser>
          <c:idx val="3"/>
          <c:order val="4"/>
          <c:tx>
            <c:strRef>
              <c:f>'Misc. Data &amp; Mechanisms'!$V$814</c:f>
              <c:strCache>
                <c:ptCount val="1"/>
                <c:pt idx="0">
                  <c:v>GST</c:v>
                </c:pt>
              </c:strCache>
            </c:strRef>
          </c:tx>
          <c:spPr>
            <a:solidFill>
              <a:srgbClr val="996633"/>
            </a:solidFill>
            <a:ln w="25400">
              <a:noFill/>
            </a:ln>
          </c:spPr>
          <c:cat>
            <c:numRef>
              <c:f>'Misc. Data &amp; Mechanisms'!$O$815:$O$905</c:f>
              <c:numCache>
                <c:formatCode>[$-409]mmm-yy;@</c:formatCode>
                <c:ptCount val="91"/>
                <c:pt idx="0">
                  <c:v>40909</c:v>
                </c:pt>
                <c:pt idx="1">
                  <c:v>40940</c:v>
                </c:pt>
                <c:pt idx="2">
                  <c:v>40969</c:v>
                </c:pt>
                <c:pt idx="3">
                  <c:v>41000</c:v>
                </c:pt>
                <c:pt idx="4">
                  <c:v>41030</c:v>
                </c:pt>
                <c:pt idx="5">
                  <c:v>41061</c:v>
                </c:pt>
                <c:pt idx="6">
                  <c:v>41091</c:v>
                </c:pt>
                <c:pt idx="7">
                  <c:v>41122</c:v>
                </c:pt>
                <c:pt idx="8">
                  <c:v>41153</c:v>
                </c:pt>
                <c:pt idx="9">
                  <c:v>41183</c:v>
                </c:pt>
                <c:pt idx="10">
                  <c:v>41214</c:v>
                </c:pt>
                <c:pt idx="11">
                  <c:v>41244</c:v>
                </c:pt>
                <c:pt idx="12">
                  <c:v>41275</c:v>
                </c:pt>
                <c:pt idx="13">
                  <c:v>41306</c:v>
                </c:pt>
                <c:pt idx="14">
                  <c:v>41334</c:v>
                </c:pt>
                <c:pt idx="15">
                  <c:v>41365</c:v>
                </c:pt>
                <c:pt idx="16">
                  <c:v>41395</c:v>
                </c:pt>
                <c:pt idx="17">
                  <c:v>41426</c:v>
                </c:pt>
                <c:pt idx="18">
                  <c:v>41456</c:v>
                </c:pt>
                <c:pt idx="19">
                  <c:v>41487</c:v>
                </c:pt>
                <c:pt idx="20">
                  <c:v>41518</c:v>
                </c:pt>
                <c:pt idx="21">
                  <c:v>41548</c:v>
                </c:pt>
                <c:pt idx="22">
                  <c:v>41579</c:v>
                </c:pt>
                <c:pt idx="23">
                  <c:v>41609</c:v>
                </c:pt>
                <c:pt idx="24">
                  <c:v>41640</c:v>
                </c:pt>
                <c:pt idx="25">
                  <c:v>41671</c:v>
                </c:pt>
                <c:pt idx="26">
                  <c:v>41699</c:v>
                </c:pt>
                <c:pt idx="27">
                  <c:v>41730</c:v>
                </c:pt>
                <c:pt idx="28">
                  <c:v>41760</c:v>
                </c:pt>
                <c:pt idx="29">
                  <c:v>41791</c:v>
                </c:pt>
                <c:pt idx="30">
                  <c:v>41821</c:v>
                </c:pt>
                <c:pt idx="31">
                  <c:v>41852</c:v>
                </c:pt>
                <c:pt idx="32">
                  <c:v>41883</c:v>
                </c:pt>
                <c:pt idx="33">
                  <c:v>41913</c:v>
                </c:pt>
                <c:pt idx="34">
                  <c:v>41944</c:v>
                </c:pt>
                <c:pt idx="35">
                  <c:v>41974</c:v>
                </c:pt>
                <c:pt idx="36">
                  <c:v>42005</c:v>
                </c:pt>
                <c:pt idx="37">
                  <c:v>42036</c:v>
                </c:pt>
                <c:pt idx="38">
                  <c:v>42064</c:v>
                </c:pt>
                <c:pt idx="39">
                  <c:v>42095</c:v>
                </c:pt>
                <c:pt idx="40">
                  <c:v>42125</c:v>
                </c:pt>
                <c:pt idx="41">
                  <c:v>42156</c:v>
                </c:pt>
                <c:pt idx="42">
                  <c:v>42186</c:v>
                </c:pt>
                <c:pt idx="43">
                  <c:v>42217</c:v>
                </c:pt>
                <c:pt idx="44">
                  <c:v>42248</c:v>
                </c:pt>
                <c:pt idx="45">
                  <c:v>42278</c:v>
                </c:pt>
                <c:pt idx="46">
                  <c:v>42309</c:v>
                </c:pt>
                <c:pt idx="47">
                  <c:v>42339</c:v>
                </c:pt>
                <c:pt idx="48">
                  <c:v>42370</c:v>
                </c:pt>
                <c:pt idx="49">
                  <c:v>42401</c:v>
                </c:pt>
                <c:pt idx="50">
                  <c:v>42430</c:v>
                </c:pt>
                <c:pt idx="51">
                  <c:v>42461</c:v>
                </c:pt>
                <c:pt idx="52">
                  <c:v>42491</c:v>
                </c:pt>
                <c:pt idx="53">
                  <c:v>42522</c:v>
                </c:pt>
                <c:pt idx="54">
                  <c:v>42552</c:v>
                </c:pt>
                <c:pt idx="55">
                  <c:v>42583</c:v>
                </c:pt>
                <c:pt idx="56">
                  <c:v>42614</c:v>
                </c:pt>
                <c:pt idx="57">
                  <c:v>42644</c:v>
                </c:pt>
                <c:pt idx="58">
                  <c:v>42675</c:v>
                </c:pt>
                <c:pt idx="59">
                  <c:v>42705</c:v>
                </c:pt>
                <c:pt idx="60">
                  <c:v>42736</c:v>
                </c:pt>
                <c:pt idx="61">
                  <c:v>42767</c:v>
                </c:pt>
                <c:pt idx="62">
                  <c:v>42795</c:v>
                </c:pt>
                <c:pt idx="63">
                  <c:v>42826</c:v>
                </c:pt>
                <c:pt idx="64">
                  <c:v>42856</c:v>
                </c:pt>
                <c:pt idx="65">
                  <c:v>42887</c:v>
                </c:pt>
                <c:pt idx="66">
                  <c:v>42917</c:v>
                </c:pt>
                <c:pt idx="67">
                  <c:v>42948</c:v>
                </c:pt>
                <c:pt idx="68">
                  <c:v>42979</c:v>
                </c:pt>
                <c:pt idx="69">
                  <c:v>43009</c:v>
                </c:pt>
                <c:pt idx="70">
                  <c:v>43040</c:v>
                </c:pt>
                <c:pt idx="71">
                  <c:v>43070</c:v>
                </c:pt>
                <c:pt idx="72">
                  <c:v>43101</c:v>
                </c:pt>
                <c:pt idx="73">
                  <c:v>43132</c:v>
                </c:pt>
                <c:pt idx="74">
                  <c:v>43160</c:v>
                </c:pt>
                <c:pt idx="75">
                  <c:v>43191</c:v>
                </c:pt>
                <c:pt idx="76">
                  <c:v>43221</c:v>
                </c:pt>
                <c:pt idx="77">
                  <c:v>43252</c:v>
                </c:pt>
                <c:pt idx="78">
                  <c:v>43282</c:v>
                </c:pt>
                <c:pt idx="79">
                  <c:v>43313</c:v>
                </c:pt>
                <c:pt idx="80">
                  <c:v>43344</c:v>
                </c:pt>
                <c:pt idx="81">
                  <c:v>43374</c:v>
                </c:pt>
                <c:pt idx="82">
                  <c:v>43405</c:v>
                </c:pt>
                <c:pt idx="83">
                  <c:v>43435</c:v>
                </c:pt>
                <c:pt idx="84">
                  <c:v>43466</c:v>
                </c:pt>
                <c:pt idx="85">
                  <c:v>43497</c:v>
                </c:pt>
                <c:pt idx="86">
                  <c:v>43525</c:v>
                </c:pt>
                <c:pt idx="87">
                  <c:v>43556</c:v>
                </c:pt>
                <c:pt idx="88">
                  <c:v>43586</c:v>
                </c:pt>
                <c:pt idx="89">
                  <c:v>43617</c:v>
                </c:pt>
              </c:numCache>
            </c:numRef>
          </c:cat>
          <c:val>
            <c:numRef>
              <c:f>'Misc. Data &amp; Mechanisms'!$V$815:$V$905</c:f>
              <c:numCache>
                <c:formatCode>0.00%</c:formatCode>
                <c:ptCount val="91"/>
                <c:pt idx="0">
                  <c:v>4.7619047619047623E-2</c:v>
                </c:pt>
                <c:pt idx="1">
                  <c:v>4.7619047619047623E-2</c:v>
                </c:pt>
                <c:pt idx="2">
                  <c:v>4.7619047619047623E-2</c:v>
                </c:pt>
                <c:pt idx="3">
                  <c:v>4.7619047619047623E-2</c:v>
                </c:pt>
                <c:pt idx="4">
                  <c:v>4.7619047619047616E-2</c:v>
                </c:pt>
                <c:pt idx="5">
                  <c:v>4.7619047619047616E-2</c:v>
                </c:pt>
                <c:pt idx="6">
                  <c:v>4.7619047619047623E-2</c:v>
                </c:pt>
                <c:pt idx="7">
                  <c:v>4.7619047619047616E-2</c:v>
                </c:pt>
                <c:pt idx="8">
                  <c:v>4.7619047619047616E-2</c:v>
                </c:pt>
                <c:pt idx="9">
                  <c:v>4.7619047619047616E-2</c:v>
                </c:pt>
                <c:pt idx="10">
                  <c:v>4.7619047619047623E-2</c:v>
                </c:pt>
                <c:pt idx="11">
                  <c:v>4.7619047619047623E-2</c:v>
                </c:pt>
                <c:pt idx="12">
                  <c:v>4.7619047619047616E-2</c:v>
                </c:pt>
                <c:pt idx="13">
                  <c:v>4.7619047619047623E-2</c:v>
                </c:pt>
                <c:pt idx="14">
                  <c:v>4.7619047619047623E-2</c:v>
                </c:pt>
                <c:pt idx="15">
                  <c:v>4.7619047619047616E-2</c:v>
                </c:pt>
                <c:pt idx="16">
                  <c:v>4.7619047619047616E-2</c:v>
                </c:pt>
                <c:pt idx="17">
                  <c:v>4.7619047619047623E-2</c:v>
                </c:pt>
                <c:pt idx="18">
                  <c:v>4.7619047619047616E-2</c:v>
                </c:pt>
                <c:pt idx="19">
                  <c:v>4.7619047619047616E-2</c:v>
                </c:pt>
                <c:pt idx="20">
                  <c:v>4.761904761904763E-2</c:v>
                </c:pt>
                <c:pt idx="21">
                  <c:v>4.7619047619047623E-2</c:v>
                </c:pt>
                <c:pt idx="22">
                  <c:v>4.7619047619047623E-2</c:v>
                </c:pt>
                <c:pt idx="23">
                  <c:v>4.7619047619047616E-2</c:v>
                </c:pt>
                <c:pt idx="24">
                  <c:v>4.7619047619047616E-2</c:v>
                </c:pt>
                <c:pt idx="25">
                  <c:v>4.7619047619047623E-2</c:v>
                </c:pt>
                <c:pt idx="26">
                  <c:v>4.7619047619047623E-2</c:v>
                </c:pt>
                <c:pt idx="27">
                  <c:v>4.761904761904763E-2</c:v>
                </c:pt>
                <c:pt idx="28">
                  <c:v>4.7619047619047623E-2</c:v>
                </c:pt>
                <c:pt idx="29">
                  <c:v>4.761904761904763E-2</c:v>
                </c:pt>
                <c:pt idx="30">
                  <c:v>4.7619047619047623E-2</c:v>
                </c:pt>
                <c:pt idx="31">
                  <c:v>4.7619047619047623E-2</c:v>
                </c:pt>
                <c:pt idx="32">
                  <c:v>4.7619047619047623E-2</c:v>
                </c:pt>
                <c:pt idx="33">
                  <c:v>4.7619047619047623E-2</c:v>
                </c:pt>
                <c:pt idx="34">
                  <c:v>4.7619047619047623E-2</c:v>
                </c:pt>
                <c:pt idx="35">
                  <c:v>4.761904761904763E-2</c:v>
                </c:pt>
                <c:pt idx="36">
                  <c:v>4.7619047619047623E-2</c:v>
                </c:pt>
                <c:pt idx="37">
                  <c:v>4.7619047619047623E-2</c:v>
                </c:pt>
                <c:pt idx="38">
                  <c:v>4.7619047619047623E-2</c:v>
                </c:pt>
                <c:pt idx="39">
                  <c:v>4.7619047619047623E-2</c:v>
                </c:pt>
                <c:pt idx="40">
                  <c:v>4.7619047619047623E-2</c:v>
                </c:pt>
                <c:pt idx="41">
                  <c:v>4.7619047619047623E-2</c:v>
                </c:pt>
                <c:pt idx="42">
                  <c:v>4.7619047619047623E-2</c:v>
                </c:pt>
                <c:pt idx="43">
                  <c:v>4.7619047619047616E-2</c:v>
                </c:pt>
                <c:pt idx="44">
                  <c:v>4.7619047619047616E-2</c:v>
                </c:pt>
                <c:pt idx="45">
                  <c:v>4.7619047619047623E-2</c:v>
                </c:pt>
                <c:pt idx="46">
                  <c:v>4.7619047619047623E-2</c:v>
                </c:pt>
                <c:pt idx="47">
                  <c:v>4.7619047619047616E-2</c:v>
                </c:pt>
                <c:pt idx="48">
                  <c:v>4.7619047619047616E-2</c:v>
                </c:pt>
                <c:pt idx="49">
                  <c:v>4.7619047619047616E-2</c:v>
                </c:pt>
                <c:pt idx="50">
                  <c:v>4.7619047619047623E-2</c:v>
                </c:pt>
                <c:pt idx="51">
                  <c:v>4.7619047619047616E-2</c:v>
                </c:pt>
                <c:pt idx="52">
                  <c:v>4.7619047619047623E-2</c:v>
                </c:pt>
                <c:pt idx="53">
                  <c:v>4.7619047619047616E-2</c:v>
                </c:pt>
                <c:pt idx="54">
                  <c:v>4.7619047619047616E-2</c:v>
                </c:pt>
                <c:pt idx="55">
                  <c:v>4.7619047619047623E-2</c:v>
                </c:pt>
                <c:pt idx="56">
                  <c:v>4.7619047619047623E-2</c:v>
                </c:pt>
                <c:pt idx="57">
                  <c:v>4.7619047619047623E-2</c:v>
                </c:pt>
                <c:pt idx="58">
                  <c:v>4.7619047619047623E-2</c:v>
                </c:pt>
                <c:pt idx="59">
                  <c:v>4.7619047619047623E-2</c:v>
                </c:pt>
                <c:pt idx="60">
                  <c:v>4.7619047619047616E-2</c:v>
                </c:pt>
                <c:pt idx="61">
                  <c:v>4.7619047619047616E-2</c:v>
                </c:pt>
                <c:pt idx="62">
                  <c:v>4.7619047619047623E-2</c:v>
                </c:pt>
                <c:pt idx="63">
                  <c:v>4.7619047619047623E-2</c:v>
                </c:pt>
                <c:pt idx="64">
                  <c:v>4.7619047619047623E-2</c:v>
                </c:pt>
                <c:pt idx="65">
                  <c:v>4.7619047619047616E-2</c:v>
                </c:pt>
                <c:pt idx="66">
                  <c:v>4.7619047619047616E-2</c:v>
                </c:pt>
                <c:pt idx="67">
                  <c:v>4.7619047619047623E-2</c:v>
                </c:pt>
                <c:pt idx="68">
                  <c:v>4.7619047619047623E-2</c:v>
                </c:pt>
                <c:pt idx="69">
                  <c:v>4.7619047619047623E-2</c:v>
                </c:pt>
                <c:pt idx="70">
                  <c:v>4.7619047619047623E-2</c:v>
                </c:pt>
                <c:pt idx="71">
                  <c:v>4.761904761904763E-2</c:v>
                </c:pt>
                <c:pt idx="72">
                  <c:v>4.761904761904763E-2</c:v>
                </c:pt>
                <c:pt idx="73">
                  <c:v>4.7619047619047623E-2</c:v>
                </c:pt>
                <c:pt idx="74">
                  <c:v>4.7619047619047623E-2</c:v>
                </c:pt>
                <c:pt idx="75">
                  <c:v>4.7619047619047623E-2</c:v>
                </c:pt>
                <c:pt idx="76">
                  <c:v>4.7619047619047623E-2</c:v>
                </c:pt>
                <c:pt idx="77">
                  <c:v>4.7619047619047623E-2</c:v>
                </c:pt>
                <c:pt idx="78">
                  <c:v>4.7619047619047616E-2</c:v>
                </c:pt>
                <c:pt idx="79">
                  <c:v>4.7619047619047623E-2</c:v>
                </c:pt>
                <c:pt idx="80">
                  <c:v>4.7619047619047623E-2</c:v>
                </c:pt>
                <c:pt idx="81">
                  <c:v>4.7619047619047623E-2</c:v>
                </c:pt>
                <c:pt idx="82">
                  <c:v>4.7619047619047623E-2</c:v>
                </c:pt>
                <c:pt idx="83">
                  <c:v>4.7619047619047623E-2</c:v>
                </c:pt>
                <c:pt idx="84">
                  <c:v>4.7619047619047616E-2</c:v>
                </c:pt>
                <c:pt idx="85">
                  <c:v>4.7619047619047623E-2</c:v>
                </c:pt>
                <c:pt idx="86">
                  <c:v>4.7619047619047623E-2</c:v>
                </c:pt>
                <c:pt idx="87">
                  <c:v>4.7619047619047623E-2</c:v>
                </c:pt>
                <c:pt idx="88">
                  <c:v>4.7619047619047623E-2</c:v>
                </c:pt>
                <c:pt idx="89">
                  <c:v>4.7619047619047623E-2</c:v>
                </c:pt>
              </c:numCache>
            </c:numRef>
          </c:val>
        </c:ser>
        <c:ser>
          <c:idx val="4"/>
          <c:order val="5"/>
          <c:tx>
            <c:strRef>
              <c:f>'Misc. Data &amp; Mechanisms'!$Y$814</c:f>
              <c:strCache>
                <c:ptCount val="1"/>
                <c:pt idx="0">
                  <c:v>Rate Riders (Charge)</c:v>
                </c:pt>
              </c:strCache>
            </c:strRef>
          </c:tx>
          <c:spPr>
            <a:solidFill>
              <a:schemeClr val="accent4">
                <a:lumMod val="75000"/>
              </a:schemeClr>
            </a:solidFill>
            <a:ln w="25400">
              <a:noFill/>
            </a:ln>
          </c:spPr>
          <c:cat>
            <c:numRef>
              <c:f>'Misc. Data &amp; Mechanisms'!$O$815:$O$905</c:f>
              <c:numCache>
                <c:formatCode>[$-409]mmm-yy;@</c:formatCode>
                <c:ptCount val="91"/>
                <c:pt idx="0">
                  <c:v>40909</c:v>
                </c:pt>
                <c:pt idx="1">
                  <c:v>40940</c:v>
                </c:pt>
                <c:pt idx="2">
                  <c:v>40969</c:v>
                </c:pt>
                <c:pt idx="3">
                  <c:v>41000</c:v>
                </c:pt>
                <c:pt idx="4">
                  <c:v>41030</c:v>
                </c:pt>
                <c:pt idx="5">
                  <c:v>41061</c:v>
                </c:pt>
                <c:pt idx="6">
                  <c:v>41091</c:v>
                </c:pt>
                <c:pt idx="7">
                  <c:v>41122</c:v>
                </c:pt>
                <c:pt idx="8">
                  <c:v>41153</c:v>
                </c:pt>
                <c:pt idx="9">
                  <c:v>41183</c:v>
                </c:pt>
                <c:pt idx="10">
                  <c:v>41214</c:v>
                </c:pt>
                <c:pt idx="11">
                  <c:v>41244</c:v>
                </c:pt>
                <c:pt idx="12">
                  <c:v>41275</c:v>
                </c:pt>
                <c:pt idx="13">
                  <c:v>41306</c:v>
                </c:pt>
                <c:pt idx="14">
                  <c:v>41334</c:v>
                </c:pt>
                <c:pt idx="15">
                  <c:v>41365</c:v>
                </c:pt>
                <c:pt idx="16">
                  <c:v>41395</c:v>
                </c:pt>
                <c:pt idx="17">
                  <c:v>41426</c:v>
                </c:pt>
                <c:pt idx="18">
                  <c:v>41456</c:v>
                </c:pt>
                <c:pt idx="19">
                  <c:v>41487</c:v>
                </c:pt>
                <c:pt idx="20">
                  <c:v>41518</c:v>
                </c:pt>
                <c:pt idx="21">
                  <c:v>41548</c:v>
                </c:pt>
                <c:pt idx="22">
                  <c:v>41579</c:v>
                </c:pt>
                <c:pt idx="23">
                  <c:v>41609</c:v>
                </c:pt>
                <c:pt idx="24">
                  <c:v>41640</c:v>
                </c:pt>
                <c:pt idx="25">
                  <c:v>41671</c:v>
                </c:pt>
                <c:pt idx="26">
                  <c:v>41699</c:v>
                </c:pt>
                <c:pt idx="27">
                  <c:v>41730</c:v>
                </c:pt>
                <c:pt idx="28">
                  <c:v>41760</c:v>
                </c:pt>
                <c:pt idx="29">
                  <c:v>41791</c:v>
                </c:pt>
                <c:pt idx="30">
                  <c:v>41821</c:v>
                </c:pt>
                <c:pt idx="31">
                  <c:v>41852</c:v>
                </c:pt>
                <c:pt idx="32">
                  <c:v>41883</c:v>
                </c:pt>
                <c:pt idx="33">
                  <c:v>41913</c:v>
                </c:pt>
                <c:pt idx="34">
                  <c:v>41944</c:v>
                </c:pt>
                <c:pt idx="35">
                  <c:v>41974</c:v>
                </c:pt>
                <c:pt idx="36">
                  <c:v>42005</c:v>
                </c:pt>
                <c:pt idx="37">
                  <c:v>42036</c:v>
                </c:pt>
                <c:pt idx="38">
                  <c:v>42064</c:v>
                </c:pt>
                <c:pt idx="39">
                  <c:v>42095</c:v>
                </c:pt>
                <c:pt idx="40">
                  <c:v>42125</c:v>
                </c:pt>
                <c:pt idx="41">
                  <c:v>42156</c:v>
                </c:pt>
                <c:pt idx="42">
                  <c:v>42186</c:v>
                </c:pt>
                <c:pt idx="43">
                  <c:v>42217</c:v>
                </c:pt>
                <c:pt idx="44">
                  <c:v>42248</c:v>
                </c:pt>
                <c:pt idx="45">
                  <c:v>42278</c:v>
                </c:pt>
                <c:pt idx="46">
                  <c:v>42309</c:v>
                </c:pt>
                <c:pt idx="47">
                  <c:v>42339</c:v>
                </c:pt>
                <c:pt idx="48">
                  <c:v>42370</c:v>
                </c:pt>
                <c:pt idx="49">
                  <c:v>42401</c:v>
                </c:pt>
                <c:pt idx="50">
                  <c:v>42430</c:v>
                </c:pt>
                <c:pt idx="51">
                  <c:v>42461</c:v>
                </c:pt>
                <c:pt idx="52">
                  <c:v>42491</c:v>
                </c:pt>
                <c:pt idx="53">
                  <c:v>42522</c:v>
                </c:pt>
                <c:pt idx="54">
                  <c:v>42552</c:v>
                </c:pt>
                <c:pt idx="55">
                  <c:v>42583</c:v>
                </c:pt>
                <c:pt idx="56">
                  <c:v>42614</c:v>
                </c:pt>
                <c:pt idx="57">
                  <c:v>42644</c:v>
                </c:pt>
                <c:pt idx="58">
                  <c:v>42675</c:v>
                </c:pt>
                <c:pt idx="59">
                  <c:v>42705</c:v>
                </c:pt>
                <c:pt idx="60">
                  <c:v>42736</c:v>
                </c:pt>
                <c:pt idx="61">
                  <c:v>42767</c:v>
                </c:pt>
                <c:pt idx="62">
                  <c:v>42795</c:v>
                </c:pt>
                <c:pt idx="63">
                  <c:v>42826</c:v>
                </c:pt>
                <c:pt idx="64">
                  <c:v>42856</c:v>
                </c:pt>
                <c:pt idx="65">
                  <c:v>42887</c:v>
                </c:pt>
                <c:pt idx="66">
                  <c:v>42917</c:v>
                </c:pt>
                <c:pt idx="67">
                  <c:v>42948</c:v>
                </c:pt>
                <c:pt idx="68">
                  <c:v>42979</c:v>
                </c:pt>
                <c:pt idx="69">
                  <c:v>43009</c:v>
                </c:pt>
                <c:pt idx="70">
                  <c:v>43040</c:v>
                </c:pt>
                <c:pt idx="71">
                  <c:v>43070</c:v>
                </c:pt>
                <c:pt idx="72">
                  <c:v>43101</c:v>
                </c:pt>
                <c:pt idx="73">
                  <c:v>43132</c:v>
                </c:pt>
                <c:pt idx="74">
                  <c:v>43160</c:v>
                </c:pt>
                <c:pt idx="75">
                  <c:v>43191</c:v>
                </c:pt>
                <c:pt idx="76">
                  <c:v>43221</c:v>
                </c:pt>
                <c:pt idx="77">
                  <c:v>43252</c:v>
                </c:pt>
                <c:pt idx="78">
                  <c:v>43282</c:v>
                </c:pt>
                <c:pt idx="79">
                  <c:v>43313</c:v>
                </c:pt>
                <c:pt idx="80">
                  <c:v>43344</c:v>
                </c:pt>
                <c:pt idx="81">
                  <c:v>43374</c:v>
                </c:pt>
                <c:pt idx="82">
                  <c:v>43405</c:v>
                </c:pt>
                <c:pt idx="83">
                  <c:v>43435</c:v>
                </c:pt>
                <c:pt idx="84">
                  <c:v>43466</c:v>
                </c:pt>
                <c:pt idx="85">
                  <c:v>43497</c:v>
                </c:pt>
                <c:pt idx="86">
                  <c:v>43525</c:v>
                </c:pt>
                <c:pt idx="87">
                  <c:v>43556</c:v>
                </c:pt>
                <c:pt idx="88">
                  <c:v>43586</c:v>
                </c:pt>
                <c:pt idx="89">
                  <c:v>43617</c:v>
                </c:pt>
              </c:numCache>
            </c:numRef>
          </c:cat>
          <c:val>
            <c:numRef>
              <c:f>'Misc. Data &amp; Mechanisms'!$Y$815:$Y$905</c:f>
              <c:numCache>
                <c:formatCode>0.00%</c:formatCode>
                <c:ptCount val="91"/>
                <c:pt idx="0">
                  <c:v>6.1998719869810821E-2</c:v>
                </c:pt>
                <c:pt idx="1">
                  <c:v>7.38431236426835E-2</c:v>
                </c:pt>
                <c:pt idx="2">
                  <c:v>7.4544629082223132E-2</c:v>
                </c:pt>
                <c:pt idx="3">
                  <c:v>8.0951589643770555E-2</c:v>
                </c:pt>
                <c:pt idx="4">
                  <c:v>0</c:v>
                </c:pt>
                <c:pt idx="5">
                  <c:v>0</c:v>
                </c:pt>
                <c:pt idx="6">
                  <c:v>0</c:v>
                </c:pt>
                <c:pt idx="7">
                  <c:v>0</c:v>
                </c:pt>
                <c:pt idx="8">
                  <c:v>0</c:v>
                </c:pt>
                <c:pt idx="9">
                  <c:v>3.7320997581080609E-2</c:v>
                </c:pt>
                <c:pt idx="10">
                  <c:v>4.0194831400371785E-2</c:v>
                </c:pt>
                <c:pt idx="11">
                  <c:v>0</c:v>
                </c:pt>
                <c:pt idx="12">
                  <c:v>7.1153398268029966E-2</c:v>
                </c:pt>
                <c:pt idx="13">
                  <c:v>6.3088011701805113E-2</c:v>
                </c:pt>
                <c:pt idx="14">
                  <c:v>7.5322983667302723E-2</c:v>
                </c:pt>
                <c:pt idx="15">
                  <c:v>6.3434791955139902E-2</c:v>
                </c:pt>
                <c:pt idx="16">
                  <c:v>4.0140653744458896E-2</c:v>
                </c:pt>
                <c:pt idx="17">
                  <c:v>3.3573240980441205E-2</c:v>
                </c:pt>
                <c:pt idx="18">
                  <c:v>3.2031875432728868E-2</c:v>
                </c:pt>
                <c:pt idx="19">
                  <c:v>3.0775012914364408E-2</c:v>
                </c:pt>
                <c:pt idx="20">
                  <c:v>4.4424367348806108E-2</c:v>
                </c:pt>
                <c:pt idx="21">
                  <c:v>7.0030833354743124E-2</c:v>
                </c:pt>
                <c:pt idx="22">
                  <c:v>6.8270908013523965E-2</c:v>
                </c:pt>
                <c:pt idx="23">
                  <c:v>7.756206537325197E-2</c:v>
                </c:pt>
                <c:pt idx="24">
                  <c:v>6.4137180033516483E-2</c:v>
                </c:pt>
                <c:pt idx="25">
                  <c:v>6.5748538375492396E-2</c:v>
                </c:pt>
                <c:pt idx="26">
                  <c:v>3.7405851715085703E-2</c:v>
                </c:pt>
                <c:pt idx="27">
                  <c:v>7.8463512783763387E-2</c:v>
                </c:pt>
                <c:pt idx="28">
                  <c:v>7.0177712461507905E-2</c:v>
                </c:pt>
                <c:pt idx="29">
                  <c:v>6.2015374742597905E-2</c:v>
                </c:pt>
                <c:pt idx="30">
                  <c:v>3.7141388644104198E-2</c:v>
                </c:pt>
                <c:pt idx="31">
                  <c:v>4.6078970841375515E-2</c:v>
                </c:pt>
                <c:pt idx="32">
                  <c:v>6.5494618555696507E-2</c:v>
                </c:pt>
                <c:pt idx="33">
                  <c:v>9.2788863774511385E-2</c:v>
                </c:pt>
                <c:pt idx="34">
                  <c:v>4.7550420111536089E-2</c:v>
                </c:pt>
                <c:pt idx="35">
                  <c:v>4.486656430430247E-2</c:v>
                </c:pt>
                <c:pt idx="36">
                  <c:v>0.10068324215687226</c:v>
                </c:pt>
                <c:pt idx="37">
                  <c:v>0.11052604772013896</c:v>
                </c:pt>
                <c:pt idx="38">
                  <c:v>8.9492273036629197E-2</c:v>
                </c:pt>
                <c:pt idx="39">
                  <c:v>8.4140294020153647E-2</c:v>
                </c:pt>
                <c:pt idx="40">
                  <c:v>7.4159925251068584E-2</c:v>
                </c:pt>
                <c:pt idx="41">
                  <c:v>4.5257969006839399E-2</c:v>
                </c:pt>
                <c:pt idx="42">
                  <c:v>4.1039909449571907E-2</c:v>
                </c:pt>
                <c:pt idx="43">
                  <c:v>4.5260521762737684E-2</c:v>
                </c:pt>
                <c:pt idx="44">
                  <c:v>5.0897533851402665E-2</c:v>
                </c:pt>
                <c:pt idx="45">
                  <c:v>6.6383065733374533E-2</c:v>
                </c:pt>
                <c:pt idx="46">
                  <c:v>0.1023453920055819</c:v>
                </c:pt>
                <c:pt idx="47">
                  <c:v>0.12032654534790452</c:v>
                </c:pt>
                <c:pt idx="48">
                  <c:v>0.13953905673316072</c:v>
                </c:pt>
                <c:pt idx="49">
                  <c:v>0.10813254162178018</c:v>
                </c:pt>
                <c:pt idx="50">
                  <c:v>0.1263998921845518</c:v>
                </c:pt>
                <c:pt idx="51">
                  <c:v>0.11603525753601449</c:v>
                </c:pt>
                <c:pt idx="52">
                  <c:v>0.10579819534401129</c:v>
                </c:pt>
                <c:pt idx="53">
                  <c:v>5.4595889625708119E-2</c:v>
                </c:pt>
                <c:pt idx="54">
                  <c:v>6.2008105463008938E-2</c:v>
                </c:pt>
                <c:pt idx="55">
                  <c:v>6.4668603614025072E-2</c:v>
                </c:pt>
                <c:pt idx="56">
                  <c:v>0.11392205154669004</c:v>
                </c:pt>
                <c:pt idx="57">
                  <c:v>0.14498190490690319</c:v>
                </c:pt>
                <c:pt idx="58">
                  <c:v>0.13174746541197097</c:v>
                </c:pt>
                <c:pt idx="59">
                  <c:v>0.16932637761939298</c:v>
                </c:pt>
                <c:pt idx="60">
                  <c:v>0.11389882202968474</c:v>
                </c:pt>
                <c:pt idx="61">
                  <c:v>0.13946570182145374</c:v>
                </c:pt>
                <c:pt idx="62">
                  <c:v>0.15590393701013747</c:v>
                </c:pt>
                <c:pt idx="63">
                  <c:v>0.12925250126079485</c:v>
                </c:pt>
                <c:pt idx="64">
                  <c:v>7.9412025910854847E-2</c:v>
                </c:pt>
                <c:pt idx="65">
                  <c:v>6.4970254868638916E-2</c:v>
                </c:pt>
                <c:pt idx="66">
                  <c:v>6.8457222394072564E-2</c:v>
                </c:pt>
                <c:pt idx="67">
                  <c:v>4.675993190080447E-2</c:v>
                </c:pt>
                <c:pt idx="68">
                  <c:v>7.9544849727286246E-2</c:v>
                </c:pt>
                <c:pt idx="69">
                  <c:v>0.10440660392554392</c:v>
                </c:pt>
                <c:pt idx="70">
                  <c:v>0.12742300472986748</c:v>
                </c:pt>
                <c:pt idx="71">
                  <c:v>0.11530282810361238</c:v>
                </c:pt>
                <c:pt idx="72">
                  <c:v>0.11865235132603737</c:v>
                </c:pt>
                <c:pt idx="73">
                  <c:v>0.11748256002267563</c:v>
                </c:pt>
                <c:pt idx="74">
                  <c:v>7.4671108233936995E-2</c:v>
                </c:pt>
                <c:pt idx="75">
                  <c:v>6.8936838424083421E-2</c:v>
                </c:pt>
                <c:pt idx="76">
                  <c:v>4.4582006844277725E-2</c:v>
                </c:pt>
                <c:pt idx="77">
                  <c:v>3.872500858506004E-2</c:v>
                </c:pt>
                <c:pt idx="78">
                  <c:v>3.2341915536917468E-2</c:v>
                </c:pt>
                <c:pt idx="79">
                  <c:v>3.6234901701210492E-2</c:v>
                </c:pt>
                <c:pt idx="80">
                  <c:v>5.0300652613403093E-2</c:v>
                </c:pt>
                <c:pt idx="81">
                  <c:v>5.756546567072137E-2</c:v>
                </c:pt>
                <c:pt idx="82">
                  <c:v>5.4028526086771667E-2</c:v>
                </c:pt>
                <c:pt idx="83">
                  <c:v>5.9904169234146015E-2</c:v>
                </c:pt>
                <c:pt idx="84">
                  <c:v>6.2841958144850329E-2</c:v>
                </c:pt>
                <c:pt idx="85">
                  <c:v>7.9793236639404172E-2</c:v>
                </c:pt>
                <c:pt idx="86">
                  <c:v>0.10402519462741282</c:v>
                </c:pt>
                <c:pt idx="87">
                  <c:v>0.10183267665491771</c:v>
                </c:pt>
                <c:pt idx="88">
                  <c:v>0.11245805324052607</c:v>
                </c:pt>
                <c:pt idx="89">
                  <c:v>0.12546702141001093</c:v>
                </c:pt>
              </c:numCache>
            </c:numRef>
          </c:val>
        </c:ser>
        <c:ser>
          <c:idx val="6"/>
          <c:order val="6"/>
          <c:tx>
            <c:strRef>
              <c:f>'Misc. Data &amp; Mechanisms'!$Z$814</c:f>
              <c:strCache>
                <c:ptCount val="1"/>
                <c:pt idx="0">
                  <c:v>Rate Riders (Refund)</c:v>
                </c:pt>
              </c:strCache>
            </c:strRef>
          </c:tx>
          <c:spPr>
            <a:solidFill>
              <a:srgbClr val="FF0000">
                <a:alpha val="80000"/>
              </a:srgbClr>
            </a:solidFill>
            <a:ln w="25400">
              <a:noFill/>
            </a:ln>
          </c:spPr>
          <c:cat>
            <c:numRef>
              <c:f>'Misc. Data &amp; Mechanisms'!$O$815:$O$905</c:f>
              <c:numCache>
                <c:formatCode>[$-409]mmm-yy;@</c:formatCode>
                <c:ptCount val="91"/>
                <c:pt idx="0">
                  <c:v>40909</c:v>
                </c:pt>
                <c:pt idx="1">
                  <c:v>40940</c:v>
                </c:pt>
                <c:pt idx="2">
                  <c:v>40969</c:v>
                </c:pt>
                <c:pt idx="3">
                  <c:v>41000</c:v>
                </c:pt>
                <c:pt idx="4">
                  <c:v>41030</c:v>
                </c:pt>
                <c:pt idx="5">
                  <c:v>41061</c:v>
                </c:pt>
                <c:pt idx="6">
                  <c:v>41091</c:v>
                </c:pt>
                <c:pt idx="7">
                  <c:v>41122</c:v>
                </c:pt>
                <c:pt idx="8">
                  <c:v>41153</c:v>
                </c:pt>
                <c:pt idx="9">
                  <c:v>41183</c:v>
                </c:pt>
                <c:pt idx="10">
                  <c:v>41214</c:v>
                </c:pt>
                <c:pt idx="11">
                  <c:v>41244</c:v>
                </c:pt>
                <c:pt idx="12">
                  <c:v>41275</c:v>
                </c:pt>
                <c:pt idx="13">
                  <c:v>41306</c:v>
                </c:pt>
                <c:pt idx="14">
                  <c:v>41334</c:v>
                </c:pt>
                <c:pt idx="15">
                  <c:v>41365</c:v>
                </c:pt>
                <c:pt idx="16">
                  <c:v>41395</c:v>
                </c:pt>
                <c:pt idx="17">
                  <c:v>41426</c:v>
                </c:pt>
                <c:pt idx="18">
                  <c:v>41456</c:v>
                </c:pt>
                <c:pt idx="19">
                  <c:v>41487</c:v>
                </c:pt>
                <c:pt idx="20">
                  <c:v>41518</c:v>
                </c:pt>
                <c:pt idx="21">
                  <c:v>41548</c:v>
                </c:pt>
                <c:pt idx="22">
                  <c:v>41579</c:v>
                </c:pt>
                <c:pt idx="23">
                  <c:v>41609</c:v>
                </c:pt>
                <c:pt idx="24">
                  <c:v>41640</c:v>
                </c:pt>
                <c:pt idx="25">
                  <c:v>41671</c:v>
                </c:pt>
                <c:pt idx="26">
                  <c:v>41699</c:v>
                </c:pt>
                <c:pt idx="27">
                  <c:v>41730</c:v>
                </c:pt>
                <c:pt idx="28">
                  <c:v>41760</c:v>
                </c:pt>
                <c:pt idx="29">
                  <c:v>41791</c:v>
                </c:pt>
                <c:pt idx="30">
                  <c:v>41821</c:v>
                </c:pt>
                <c:pt idx="31">
                  <c:v>41852</c:v>
                </c:pt>
                <c:pt idx="32">
                  <c:v>41883</c:v>
                </c:pt>
                <c:pt idx="33">
                  <c:v>41913</c:v>
                </c:pt>
                <c:pt idx="34">
                  <c:v>41944</c:v>
                </c:pt>
                <c:pt idx="35">
                  <c:v>41974</c:v>
                </c:pt>
                <c:pt idx="36">
                  <c:v>42005</c:v>
                </c:pt>
                <c:pt idx="37">
                  <c:v>42036</c:v>
                </c:pt>
                <c:pt idx="38">
                  <c:v>42064</c:v>
                </c:pt>
                <c:pt idx="39">
                  <c:v>42095</c:v>
                </c:pt>
                <c:pt idx="40">
                  <c:v>42125</c:v>
                </c:pt>
                <c:pt idx="41">
                  <c:v>42156</c:v>
                </c:pt>
                <c:pt idx="42">
                  <c:v>42186</c:v>
                </c:pt>
                <c:pt idx="43">
                  <c:v>42217</c:v>
                </c:pt>
                <c:pt idx="44">
                  <c:v>42248</c:v>
                </c:pt>
                <c:pt idx="45">
                  <c:v>42278</c:v>
                </c:pt>
                <c:pt idx="46">
                  <c:v>42309</c:v>
                </c:pt>
                <c:pt idx="47">
                  <c:v>42339</c:v>
                </c:pt>
                <c:pt idx="48">
                  <c:v>42370</c:v>
                </c:pt>
                <c:pt idx="49">
                  <c:v>42401</c:v>
                </c:pt>
                <c:pt idx="50">
                  <c:v>42430</c:v>
                </c:pt>
                <c:pt idx="51">
                  <c:v>42461</c:v>
                </c:pt>
                <c:pt idx="52">
                  <c:v>42491</c:v>
                </c:pt>
                <c:pt idx="53">
                  <c:v>42522</c:v>
                </c:pt>
                <c:pt idx="54">
                  <c:v>42552</c:v>
                </c:pt>
                <c:pt idx="55">
                  <c:v>42583</c:v>
                </c:pt>
                <c:pt idx="56">
                  <c:v>42614</c:v>
                </c:pt>
                <c:pt idx="57">
                  <c:v>42644</c:v>
                </c:pt>
                <c:pt idx="58">
                  <c:v>42675</c:v>
                </c:pt>
                <c:pt idx="59">
                  <c:v>42705</c:v>
                </c:pt>
                <c:pt idx="60">
                  <c:v>42736</c:v>
                </c:pt>
                <c:pt idx="61">
                  <c:v>42767</c:v>
                </c:pt>
                <c:pt idx="62">
                  <c:v>42795</c:v>
                </c:pt>
                <c:pt idx="63">
                  <c:v>42826</c:v>
                </c:pt>
                <c:pt idx="64">
                  <c:v>42856</c:v>
                </c:pt>
                <c:pt idx="65">
                  <c:v>42887</c:v>
                </c:pt>
                <c:pt idx="66">
                  <c:v>42917</c:v>
                </c:pt>
                <c:pt idx="67">
                  <c:v>42948</c:v>
                </c:pt>
                <c:pt idx="68">
                  <c:v>42979</c:v>
                </c:pt>
                <c:pt idx="69">
                  <c:v>43009</c:v>
                </c:pt>
                <c:pt idx="70">
                  <c:v>43040</c:v>
                </c:pt>
                <c:pt idx="71">
                  <c:v>43070</c:v>
                </c:pt>
                <c:pt idx="72">
                  <c:v>43101</c:v>
                </c:pt>
                <c:pt idx="73">
                  <c:v>43132</c:v>
                </c:pt>
                <c:pt idx="74">
                  <c:v>43160</c:v>
                </c:pt>
                <c:pt idx="75">
                  <c:v>43191</c:v>
                </c:pt>
                <c:pt idx="76">
                  <c:v>43221</c:v>
                </c:pt>
                <c:pt idx="77">
                  <c:v>43252</c:v>
                </c:pt>
                <c:pt idx="78">
                  <c:v>43282</c:v>
                </c:pt>
                <c:pt idx="79">
                  <c:v>43313</c:v>
                </c:pt>
                <c:pt idx="80">
                  <c:v>43344</c:v>
                </c:pt>
                <c:pt idx="81">
                  <c:v>43374</c:v>
                </c:pt>
                <c:pt idx="82">
                  <c:v>43405</c:v>
                </c:pt>
                <c:pt idx="83">
                  <c:v>43435</c:v>
                </c:pt>
                <c:pt idx="84">
                  <c:v>43466</c:v>
                </c:pt>
                <c:pt idx="85">
                  <c:v>43497</c:v>
                </c:pt>
                <c:pt idx="86">
                  <c:v>43525</c:v>
                </c:pt>
                <c:pt idx="87">
                  <c:v>43556</c:v>
                </c:pt>
                <c:pt idx="88">
                  <c:v>43586</c:v>
                </c:pt>
                <c:pt idx="89">
                  <c:v>43617</c:v>
                </c:pt>
              </c:numCache>
            </c:numRef>
          </c:cat>
          <c:val>
            <c:numRef>
              <c:f>'Misc. Data &amp; Mechanisms'!$Z$815:$Z$905</c:f>
              <c:numCache>
                <c:formatCode>0.00%</c:formatCode>
                <c:ptCount val="91"/>
                <c:pt idx="0">
                  <c:v>0</c:v>
                </c:pt>
                <c:pt idx="1">
                  <c:v>0</c:v>
                </c:pt>
                <c:pt idx="2">
                  <c:v>0</c:v>
                </c:pt>
                <c:pt idx="3">
                  <c:v>0</c:v>
                </c:pt>
                <c:pt idx="4">
                  <c:v>-5.0837573647885921E-3</c:v>
                </c:pt>
                <c:pt idx="5">
                  <c:v>-2.2736314697887658E-2</c:v>
                </c:pt>
                <c:pt idx="6">
                  <c:v>-3.5580977995490225E-2</c:v>
                </c:pt>
                <c:pt idx="7">
                  <c:v>-1.9690302618183733E-2</c:v>
                </c:pt>
                <c:pt idx="8">
                  <c:v>-1.6951790205539514E-2</c:v>
                </c:pt>
                <c:pt idx="9">
                  <c:v>0</c:v>
                </c:pt>
                <c:pt idx="10">
                  <c:v>0</c:v>
                </c:pt>
                <c:pt idx="11">
                  <c:v>-1.3700156626183873E-4</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numCache>
            </c:numRef>
          </c:val>
        </c:ser>
        <c:ser>
          <c:idx val="7"/>
          <c:order val="7"/>
          <c:tx>
            <c:strRef>
              <c:f>'Misc. Data &amp; Mechanisms'!$U$814</c:f>
              <c:strCache>
                <c:ptCount val="1"/>
                <c:pt idx="0">
                  <c:v>Carbon</c:v>
                </c:pt>
              </c:strCache>
            </c:strRef>
          </c:tx>
          <c:spPr>
            <a:solidFill>
              <a:schemeClr val="tx1"/>
            </a:solidFill>
            <a:ln w="25400">
              <a:noFill/>
            </a:ln>
          </c:spPr>
          <c:cat>
            <c:numRef>
              <c:f>'Misc. Data &amp; Mechanisms'!$O$815:$O$905</c:f>
              <c:numCache>
                <c:formatCode>[$-409]mmm-yy;@</c:formatCode>
                <c:ptCount val="91"/>
                <c:pt idx="0">
                  <c:v>40909</c:v>
                </c:pt>
                <c:pt idx="1">
                  <c:v>40940</c:v>
                </c:pt>
                <c:pt idx="2">
                  <c:v>40969</c:v>
                </c:pt>
                <c:pt idx="3">
                  <c:v>41000</c:v>
                </c:pt>
                <c:pt idx="4">
                  <c:v>41030</c:v>
                </c:pt>
                <c:pt idx="5">
                  <c:v>41061</c:v>
                </c:pt>
                <c:pt idx="6">
                  <c:v>41091</c:v>
                </c:pt>
                <c:pt idx="7">
                  <c:v>41122</c:v>
                </c:pt>
                <c:pt idx="8">
                  <c:v>41153</c:v>
                </c:pt>
                <c:pt idx="9">
                  <c:v>41183</c:v>
                </c:pt>
                <c:pt idx="10">
                  <c:v>41214</c:v>
                </c:pt>
                <c:pt idx="11">
                  <c:v>41244</c:v>
                </c:pt>
                <c:pt idx="12">
                  <c:v>41275</c:v>
                </c:pt>
                <c:pt idx="13">
                  <c:v>41306</c:v>
                </c:pt>
                <c:pt idx="14">
                  <c:v>41334</c:v>
                </c:pt>
                <c:pt idx="15">
                  <c:v>41365</c:v>
                </c:pt>
                <c:pt idx="16">
                  <c:v>41395</c:v>
                </c:pt>
                <c:pt idx="17">
                  <c:v>41426</c:v>
                </c:pt>
                <c:pt idx="18">
                  <c:v>41456</c:v>
                </c:pt>
                <c:pt idx="19">
                  <c:v>41487</c:v>
                </c:pt>
                <c:pt idx="20">
                  <c:v>41518</c:v>
                </c:pt>
                <c:pt idx="21">
                  <c:v>41548</c:v>
                </c:pt>
                <c:pt idx="22">
                  <c:v>41579</c:v>
                </c:pt>
                <c:pt idx="23">
                  <c:v>41609</c:v>
                </c:pt>
                <c:pt idx="24">
                  <c:v>41640</c:v>
                </c:pt>
                <c:pt idx="25">
                  <c:v>41671</c:v>
                </c:pt>
                <c:pt idx="26">
                  <c:v>41699</c:v>
                </c:pt>
                <c:pt idx="27">
                  <c:v>41730</c:v>
                </c:pt>
                <c:pt idx="28">
                  <c:v>41760</c:v>
                </c:pt>
                <c:pt idx="29">
                  <c:v>41791</c:v>
                </c:pt>
                <c:pt idx="30">
                  <c:v>41821</c:v>
                </c:pt>
                <c:pt idx="31">
                  <c:v>41852</c:v>
                </c:pt>
                <c:pt idx="32">
                  <c:v>41883</c:v>
                </c:pt>
                <c:pt idx="33">
                  <c:v>41913</c:v>
                </c:pt>
                <c:pt idx="34">
                  <c:v>41944</c:v>
                </c:pt>
                <c:pt idx="35">
                  <c:v>41974</c:v>
                </c:pt>
                <c:pt idx="36">
                  <c:v>42005</c:v>
                </c:pt>
                <c:pt idx="37">
                  <c:v>42036</c:v>
                </c:pt>
                <c:pt idx="38">
                  <c:v>42064</c:v>
                </c:pt>
                <c:pt idx="39">
                  <c:v>42095</c:v>
                </c:pt>
                <c:pt idx="40">
                  <c:v>42125</c:v>
                </c:pt>
                <c:pt idx="41">
                  <c:v>42156</c:v>
                </c:pt>
                <c:pt idx="42">
                  <c:v>42186</c:v>
                </c:pt>
                <c:pt idx="43">
                  <c:v>42217</c:v>
                </c:pt>
                <c:pt idx="44">
                  <c:v>42248</c:v>
                </c:pt>
                <c:pt idx="45">
                  <c:v>42278</c:v>
                </c:pt>
                <c:pt idx="46">
                  <c:v>42309</c:v>
                </c:pt>
                <c:pt idx="47">
                  <c:v>42339</c:v>
                </c:pt>
                <c:pt idx="48">
                  <c:v>42370</c:v>
                </c:pt>
                <c:pt idx="49">
                  <c:v>42401</c:v>
                </c:pt>
                <c:pt idx="50">
                  <c:v>42430</c:v>
                </c:pt>
                <c:pt idx="51">
                  <c:v>42461</c:v>
                </c:pt>
                <c:pt idx="52">
                  <c:v>42491</c:v>
                </c:pt>
                <c:pt idx="53">
                  <c:v>42522</c:v>
                </c:pt>
                <c:pt idx="54">
                  <c:v>42552</c:v>
                </c:pt>
                <c:pt idx="55">
                  <c:v>42583</c:v>
                </c:pt>
                <c:pt idx="56">
                  <c:v>42614</c:v>
                </c:pt>
                <c:pt idx="57">
                  <c:v>42644</c:v>
                </c:pt>
                <c:pt idx="58">
                  <c:v>42675</c:v>
                </c:pt>
                <c:pt idx="59">
                  <c:v>42705</c:v>
                </c:pt>
                <c:pt idx="60">
                  <c:v>42736</c:v>
                </c:pt>
                <c:pt idx="61">
                  <c:v>42767</c:v>
                </c:pt>
                <c:pt idx="62">
                  <c:v>42795</c:v>
                </c:pt>
                <c:pt idx="63">
                  <c:v>42826</c:v>
                </c:pt>
                <c:pt idx="64">
                  <c:v>42856</c:v>
                </c:pt>
                <c:pt idx="65">
                  <c:v>42887</c:v>
                </c:pt>
                <c:pt idx="66">
                  <c:v>42917</c:v>
                </c:pt>
                <c:pt idx="67">
                  <c:v>42948</c:v>
                </c:pt>
                <c:pt idx="68">
                  <c:v>42979</c:v>
                </c:pt>
                <c:pt idx="69">
                  <c:v>43009</c:v>
                </c:pt>
                <c:pt idx="70">
                  <c:v>43040</c:v>
                </c:pt>
                <c:pt idx="71">
                  <c:v>43070</c:v>
                </c:pt>
                <c:pt idx="72">
                  <c:v>43101</c:v>
                </c:pt>
                <c:pt idx="73">
                  <c:v>43132</c:v>
                </c:pt>
                <c:pt idx="74">
                  <c:v>43160</c:v>
                </c:pt>
                <c:pt idx="75">
                  <c:v>43191</c:v>
                </c:pt>
                <c:pt idx="76">
                  <c:v>43221</c:v>
                </c:pt>
                <c:pt idx="77">
                  <c:v>43252</c:v>
                </c:pt>
                <c:pt idx="78">
                  <c:v>43282</c:v>
                </c:pt>
                <c:pt idx="79">
                  <c:v>43313</c:v>
                </c:pt>
                <c:pt idx="80">
                  <c:v>43344</c:v>
                </c:pt>
                <c:pt idx="81">
                  <c:v>43374</c:v>
                </c:pt>
                <c:pt idx="82">
                  <c:v>43405</c:v>
                </c:pt>
                <c:pt idx="83">
                  <c:v>43435</c:v>
                </c:pt>
                <c:pt idx="84">
                  <c:v>43466</c:v>
                </c:pt>
                <c:pt idx="85">
                  <c:v>43497</c:v>
                </c:pt>
                <c:pt idx="86">
                  <c:v>43525</c:v>
                </c:pt>
                <c:pt idx="87">
                  <c:v>43556</c:v>
                </c:pt>
                <c:pt idx="88">
                  <c:v>43586</c:v>
                </c:pt>
                <c:pt idx="89">
                  <c:v>43617</c:v>
                </c:pt>
              </c:numCache>
            </c:numRef>
          </c:cat>
          <c:val>
            <c:numRef>
              <c:f>'Misc. Data &amp; Mechanisms'!$U$815:$U$905</c:f>
              <c:numCache>
                <c:formatCode>0.00%</c:formatCode>
                <c:ptCount val="91"/>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0.10632660117452562</c:v>
                </c:pt>
                <c:pt idx="61">
                  <c:v>0.12287811353118987</c:v>
                </c:pt>
                <c:pt idx="62">
                  <c:v>0.12899409498234901</c:v>
                </c:pt>
                <c:pt idx="63">
                  <c:v>0.10520102874802863</c:v>
                </c:pt>
                <c:pt idx="64">
                  <c:v>7.8883799595751702E-2</c:v>
                </c:pt>
                <c:pt idx="65">
                  <c:v>6.0245571953517485E-2</c:v>
                </c:pt>
                <c:pt idx="66">
                  <c:v>4.9497087040719347E-2</c:v>
                </c:pt>
                <c:pt idx="67">
                  <c:v>5.1107341785636022E-2</c:v>
                </c:pt>
                <c:pt idx="68">
                  <c:v>8.6940370891120416E-2</c:v>
                </c:pt>
                <c:pt idx="69">
                  <c:v>0.11411359629051339</c:v>
                </c:pt>
                <c:pt idx="70">
                  <c:v>0.13926990030475242</c:v>
                </c:pt>
                <c:pt idx="71">
                  <c:v>0.12602287482459684</c:v>
                </c:pt>
                <c:pt idx="72">
                  <c:v>0.19458985617470126</c:v>
                </c:pt>
                <c:pt idx="73">
                  <c:v>0.192671398437188</c:v>
                </c:pt>
                <c:pt idx="74">
                  <c:v>0.20373394099079567</c:v>
                </c:pt>
                <c:pt idx="75">
                  <c:v>0.18808846023261608</c:v>
                </c:pt>
                <c:pt idx="76">
                  <c:v>0.12163831723519658</c:v>
                </c:pt>
                <c:pt idx="77">
                  <c:v>0.10565798205671954</c:v>
                </c:pt>
                <c:pt idx="78">
                  <c:v>8.8242240772488822E-2</c:v>
                </c:pt>
                <c:pt idx="79">
                  <c:v>9.8863931440173219E-2</c:v>
                </c:pt>
                <c:pt idx="80">
                  <c:v>0.1691931042450831</c:v>
                </c:pt>
                <c:pt idx="81">
                  <c:v>0.19362929361969908</c:v>
                </c:pt>
                <c:pt idx="82">
                  <c:v>0.18173231501914103</c:v>
                </c:pt>
                <c:pt idx="83">
                  <c:v>0.20149584196940018</c:v>
                </c:pt>
                <c:pt idx="84">
                  <c:v>0.2113774955781329</c:v>
                </c:pt>
                <c:pt idx="85">
                  <c:v>0.22065142635050083</c:v>
                </c:pt>
                <c:pt idx="86">
                  <c:v>0.15237880032603662</c:v>
                </c:pt>
                <c:pt idx="87">
                  <c:v>0.1353212478886936</c:v>
                </c:pt>
                <c:pt idx="88">
                  <c:v>0.11929219919518218</c:v>
                </c:pt>
                <c:pt idx="89">
                  <c:v>0</c:v>
                </c:pt>
              </c:numCache>
            </c:numRef>
          </c:val>
        </c:ser>
        <c:dLbls>
          <c:showLegendKey val="0"/>
          <c:showVal val="0"/>
          <c:showCatName val="0"/>
          <c:showSerName val="0"/>
          <c:showPercent val="0"/>
          <c:showBubbleSize val="0"/>
        </c:dLbls>
        <c:axId val="255106432"/>
        <c:axId val="255116416"/>
      </c:areaChart>
      <c:dateAx>
        <c:axId val="255106432"/>
        <c:scaling>
          <c:orientation val="minMax"/>
        </c:scaling>
        <c:delete val="0"/>
        <c:axPos val="b"/>
        <c:numFmt formatCode="[$-409]mmm-yy;@" sourceLinked="1"/>
        <c:majorTickMark val="out"/>
        <c:minorTickMark val="none"/>
        <c:tickLblPos val="nextTo"/>
        <c:crossAx val="255116416"/>
        <c:crosses val="autoZero"/>
        <c:auto val="1"/>
        <c:lblOffset val="100"/>
        <c:baseTimeUnit val="months"/>
      </c:dateAx>
      <c:valAx>
        <c:axId val="255116416"/>
        <c:scaling>
          <c:orientation val="minMax"/>
          <c:min val="0"/>
        </c:scaling>
        <c:delete val="0"/>
        <c:axPos val="l"/>
        <c:majorGridlines/>
        <c:numFmt formatCode="0%" sourceLinked="0"/>
        <c:majorTickMark val="out"/>
        <c:minorTickMark val="none"/>
        <c:tickLblPos val="nextTo"/>
        <c:crossAx val="255106432"/>
        <c:crosses val="autoZero"/>
        <c:crossBetween val="midCat"/>
        <c:majorUnit val="0.1"/>
      </c:valAx>
    </c:plotArea>
    <c:legend>
      <c:legendPos val="r"/>
      <c:layout>
        <c:manualLayout>
          <c:xMode val="edge"/>
          <c:yMode val="edge"/>
          <c:x val="0.8151124465550118"/>
          <c:y val="0.18186834988400294"/>
          <c:w val="0.16987601884172107"/>
          <c:h val="0.73382571849184075"/>
        </c:manualLayout>
      </c:layout>
      <c:overlay val="0"/>
      <c:txPr>
        <a:bodyPr/>
        <a:lstStyle/>
        <a:p>
          <a:pPr>
            <a:defRPr sz="1400"/>
          </a:pPr>
          <a:endParaRPr lang="en-US"/>
        </a:p>
      </c:txPr>
    </c:legend>
    <c:plotVisOnly val="0"/>
    <c:dispBlanksAs val="zero"/>
    <c:showDLblsOverMax val="0"/>
  </c:chart>
  <c:spPr>
    <a:ln>
      <a:noFill/>
    </a:ln>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'Misc. Data &amp; Mechanisms'!$P$914</c:f>
          <c:strCache>
            <c:ptCount val="1"/>
            <c:pt idx="0">
              <c:v>Primary Bill Component Shares of Total Bill (%) in the ATCO-S Zone, 2012-2019</c:v>
            </c:pt>
          </c:strCache>
        </c:strRef>
      </c:tx>
      <c:overlay val="0"/>
    </c:title>
    <c:autoTitleDeleted val="0"/>
    <c:plotArea>
      <c:layout>
        <c:manualLayout>
          <c:layoutTarget val="inner"/>
          <c:xMode val="edge"/>
          <c:yMode val="edge"/>
          <c:x val="4.8312250679856353E-2"/>
          <c:y val="0.1546055002160103"/>
          <c:w val="0.82013796109421344"/>
          <c:h val="0.73639517824677303"/>
        </c:manualLayout>
      </c:layout>
      <c:areaChart>
        <c:grouping val="percentStacked"/>
        <c:varyColors val="0"/>
        <c:ser>
          <c:idx val="0"/>
          <c:order val="0"/>
          <c:tx>
            <c:strRef>
              <c:f>'Misc. Data &amp; Mechanisms'!$P$814</c:f>
              <c:strCache>
                <c:ptCount val="1"/>
                <c:pt idx="0">
                  <c:v>Energy</c:v>
                </c:pt>
              </c:strCache>
            </c:strRef>
          </c:tx>
          <c:spPr>
            <a:solidFill>
              <a:schemeClr val="accent5">
                <a:lumMod val="75000"/>
              </a:schemeClr>
            </a:solidFill>
          </c:spPr>
          <c:cat>
            <c:numRef>
              <c:f>'Misc. Data &amp; Mechanisms'!$O$815:$O$905</c:f>
              <c:numCache>
                <c:formatCode>[$-409]mmm-yy;@</c:formatCode>
                <c:ptCount val="91"/>
                <c:pt idx="0">
                  <c:v>40909</c:v>
                </c:pt>
                <c:pt idx="1">
                  <c:v>40940</c:v>
                </c:pt>
                <c:pt idx="2">
                  <c:v>40969</c:v>
                </c:pt>
                <c:pt idx="3">
                  <c:v>41000</c:v>
                </c:pt>
                <c:pt idx="4">
                  <c:v>41030</c:v>
                </c:pt>
                <c:pt idx="5">
                  <c:v>41061</c:v>
                </c:pt>
                <c:pt idx="6">
                  <c:v>41091</c:v>
                </c:pt>
                <c:pt idx="7">
                  <c:v>41122</c:v>
                </c:pt>
                <c:pt idx="8">
                  <c:v>41153</c:v>
                </c:pt>
                <c:pt idx="9">
                  <c:v>41183</c:v>
                </c:pt>
                <c:pt idx="10">
                  <c:v>41214</c:v>
                </c:pt>
                <c:pt idx="11">
                  <c:v>41244</c:v>
                </c:pt>
                <c:pt idx="12">
                  <c:v>41275</c:v>
                </c:pt>
                <c:pt idx="13">
                  <c:v>41306</c:v>
                </c:pt>
                <c:pt idx="14">
                  <c:v>41334</c:v>
                </c:pt>
                <c:pt idx="15">
                  <c:v>41365</c:v>
                </c:pt>
                <c:pt idx="16">
                  <c:v>41395</c:v>
                </c:pt>
                <c:pt idx="17">
                  <c:v>41426</c:v>
                </c:pt>
                <c:pt idx="18">
                  <c:v>41456</c:v>
                </c:pt>
                <c:pt idx="19">
                  <c:v>41487</c:v>
                </c:pt>
                <c:pt idx="20">
                  <c:v>41518</c:v>
                </c:pt>
                <c:pt idx="21">
                  <c:v>41548</c:v>
                </c:pt>
                <c:pt idx="22">
                  <c:v>41579</c:v>
                </c:pt>
                <c:pt idx="23">
                  <c:v>41609</c:v>
                </c:pt>
                <c:pt idx="24">
                  <c:v>41640</c:v>
                </c:pt>
                <c:pt idx="25">
                  <c:v>41671</c:v>
                </c:pt>
                <c:pt idx="26">
                  <c:v>41699</c:v>
                </c:pt>
                <c:pt idx="27">
                  <c:v>41730</c:v>
                </c:pt>
                <c:pt idx="28">
                  <c:v>41760</c:v>
                </c:pt>
                <c:pt idx="29">
                  <c:v>41791</c:v>
                </c:pt>
                <c:pt idx="30">
                  <c:v>41821</c:v>
                </c:pt>
                <c:pt idx="31">
                  <c:v>41852</c:v>
                </c:pt>
                <c:pt idx="32">
                  <c:v>41883</c:v>
                </c:pt>
                <c:pt idx="33">
                  <c:v>41913</c:v>
                </c:pt>
                <c:pt idx="34">
                  <c:v>41944</c:v>
                </c:pt>
                <c:pt idx="35">
                  <c:v>41974</c:v>
                </c:pt>
                <c:pt idx="36">
                  <c:v>42005</c:v>
                </c:pt>
                <c:pt idx="37">
                  <c:v>42036</c:v>
                </c:pt>
                <c:pt idx="38">
                  <c:v>42064</c:v>
                </c:pt>
                <c:pt idx="39">
                  <c:v>42095</c:v>
                </c:pt>
                <c:pt idx="40">
                  <c:v>42125</c:v>
                </c:pt>
                <c:pt idx="41">
                  <c:v>42156</c:v>
                </c:pt>
                <c:pt idx="42">
                  <c:v>42186</c:v>
                </c:pt>
                <c:pt idx="43">
                  <c:v>42217</c:v>
                </c:pt>
                <c:pt idx="44">
                  <c:v>42248</c:v>
                </c:pt>
                <c:pt idx="45">
                  <c:v>42278</c:v>
                </c:pt>
                <c:pt idx="46">
                  <c:v>42309</c:v>
                </c:pt>
                <c:pt idx="47">
                  <c:v>42339</c:v>
                </c:pt>
                <c:pt idx="48">
                  <c:v>42370</c:v>
                </c:pt>
                <c:pt idx="49">
                  <c:v>42401</c:v>
                </c:pt>
                <c:pt idx="50">
                  <c:v>42430</c:v>
                </c:pt>
                <c:pt idx="51">
                  <c:v>42461</c:v>
                </c:pt>
                <c:pt idx="52">
                  <c:v>42491</c:v>
                </c:pt>
                <c:pt idx="53">
                  <c:v>42522</c:v>
                </c:pt>
                <c:pt idx="54">
                  <c:v>42552</c:v>
                </c:pt>
                <c:pt idx="55">
                  <c:v>42583</c:v>
                </c:pt>
                <c:pt idx="56">
                  <c:v>42614</c:v>
                </c:pt>
                <c:pt idx="57">
                  <c:v>42644</c:v>
                </c:pt>
                <c:pt idx="58">
                  <c:v>42675</c:v>
                </c:pt>
                <c:pt idx="59">
                  <c:v>42705</c:v>
                </c:pt>
                <c:pt idx="60">
                  <c:v>42736</c:v>
                </c:pt>
                <c:pt idx="61">
                  <c:v>42767</c:v>
                </c:pt>
                <c:pt idx="62">
                  <c:v>42795</c:v>
                </c:pt>
                <c:pt idx="63">
                  <c:v>42826</c:v>
                </c:pt>
                <c:pt idx="64">
                  <c:v>42856</c:v>
                </c:pt>
                <c:pt idx="65">
                  <c:v>42887</c:v>
                </c:pt>
                <c:pt idx="66">
                  <c:v>42917</c:v>
                </c:pt>
                <c:pt idx="67">
                  <c:v>42948</c:v>
                </c:pt>
                <c:pt idx="68">
                  <c:v>42979</c:v>
                </c:pt>
                <c:pt idx="69">
                  <c:v>43009</c:v>
                </c:pt>
                <c:pt idx="70">
                  <c:v>43040</c:v>
                </c:pt>
                <c:pt idx="71">
                  <c:v>43070</c:v>
                </c:pt>
                <c:pt idx="72">
                  <c:v>43101</c:v>
                </c:pt>
                <c:pt idx="73">
                  <c:v>43132</c:v>
                </c:pt>
                <c:pt idx="74">
                  <c:v>43160</c:v>
                </c:pt>
                <c:pt idx="75">
                  <c:v>43191</c:v>
                </c:pt>
                <c:pt idx="76">
                  <c:v>43221</c:v>
                </c:pt>
                <c:pt idx="77">
                  <c:v>43252</c:v>
                </c:pt>
                <c:pt idx="78">
                  <c:v>43282</c:v>
                </c:pt>
                <c:pt idx="79">
                  <c:v>43313</c:v>
                </c:pt>
                <c:pt idx="80">
                  <c:v>43344</c:v>
                </c:pt>
                <c:pt idx="81">
                  <c:v>43374</c:v>
                </c:pt>
                <c:pt idx="82">
                  <c:v>43405</c:v>
                </c:pt>
                <c:pt idx="83">
                  <c:v>43435</c:v>
                </c:pt>
                <c:pt idx="84">
                  <c:v>43466</c:v>
                </c:pt>
                <c:pt idx="85">
                  <c:v>43497</c:v>
                </c:pt>
                <c:pt idx="86">
                  <c:v>43525</c:v>
                </c:pt>
                <c:pt idx="87">
                  <c:v>43556</c:v>
                </c:pt>
                <c:pt idx="88">
                  <c:v>43586</c:v>
                </c:pt>
                <c:pt idx="89">
                  <c:v>43617</c:v>
                </c:pt>
              </c:numCache>
            </c:numRef>
          </c:cat>
          <c:val>
            <c:numRef>
              <c:f>'Misc. Data &amp; Mechanisms'!$P$815:$P$905</c:f>
              <c:numCache>
                <c:formatCode>0.00%</c:formatCode>
                <c:ptCount val="91"/>
                <c:pt idx="0">
                  <c:v>0.45301774939410444</c:v>
                </c:pt>
                <c:pt idx="1">
                  <c:v>0.37382664418572575</c:v>
                </c:pt>
                <c:pt idx="2">
                  <c:v>0.33545535983454333</c:v>
                </c:pt>
                <c:pt idx="3">
                  <c:v>0.262725298198972</c:v>
                </c:pt>
                <c:pt idx="4">
                  <c:v>0.1944487593296228</c:v>
                </c:pt>
                <c:pt idx="5">
                  <c:v>0.23411288569391914</c:v>
                </c:pt>
                <c:pt idx="6">
                  <c:v>0.15061975591270207</c:v>
                </c:pt>
                <c:pt idx="7">
                  <c:v>0.16598103319332938</c:v>
                </c:pt>
                <c:pt idx="8">
                  <c:v>0.14452766063373357</c:v>
                </c:pt>
                <c:pt idx="9">
                  <c:v>0.39235491592484123</c:v>
                </c:pt>
                <c:pt idx="10">
                  <c:v>0.49944138406091865</c:v>
                </c:pt>
                <c:pt idx="11">
                  <c:v>0.55755888187396785</c:v>
                </c:pt>
                <c:pt idx="12">
                  <c:v>0.43512465984872833</c:v>
                </c:pt>
                <c:pt idx="13">
                  <c:v>0.43024172340874639</c:v>
                </c:pt>
                <c:pt idx="14">
                  <c:v>0.40571698020797148</c:v>
                </c:pt>
                <c:pt idx="15">
                  <c:v>0.41713181376561687</c:v>
                </c:pt>
                <c:pt idx="16">
                  <c:v>0.31519536065251247</c:v>
                </c:pt>
                <c:pt idx="17">
                  <c:v>0.27271899728240967</c:v>
                </c:pt>
                <c:pt idx="18">
                  <c:v>0.17750997635637247</c:v>
                </c:pt>
                <c:pt idx="19">
                  <c:v>0.11971946311762212</c:v>
                </c:pt>
                <c:pt idx="20">
                  <c:v>0.21429709022236582</c:v>
                </c:pt>
                <c:pt idx="21">
                  <c:v>0.31792406733204404</c:v>
                </c:pt>
                <c:pt idx="22">
                  <c:v>0.4764740455110526</c:v>
                </c:pt>
                <c:pt idx="23">
                  <c:v>0.48388152147631058</c:v>
                </c:pt>
                <c:pt idx="24">
                  <c:v>0.49888522423797771</c:v>
                </c:pt>
                <c:pt idx="25">
                  <c:v>0.55960971867322484</c:v>
                </c:pt>
                <c:pt idx="26">
                  <c:v>0.66508737860080414</c:v>
                </c:pt>
                <c:pt idx="27">
                  <c:v>0.43515328743331239</c:v>
                </c:pt>
                <c:pt idx="28">
                  <c:v>0.36055871953648749</c:v>
                </c:pt>
                <c:pt idx="29">
                  <c:v>0.22218106699119719</c:v>
                </c:pt>
                <c:pt idx="30">
                  <c:v>0.25043629245853982</c:v>
                </c:pt>
                <c:pt idx="31">
                  <c:v>0.22670611769595381</c:v>
                </c:pt>
                <c:pt idx="32">
                  <c:v>0.31870609659386179</c:v>
                </c:pt>
                <c:pt idx="33">
                  <c:v>0.37876704157954844</c:v>
                </c:pt>
                <c:pt idx="34">
                  <c:v>0.48207902613422948</c:v>
                </c:pt>
                <c:pt idx="35">
                  <c:v>0.51043447999424518</c:v>
                </c:pt>
                <c:pt idx="36">
                  <c:v>0.41039652249244779</c:v>
                </c:pt>
                <c:pt idx="37">
                  <c:v>0.37828337592404515</c:v>
                </c:pt>
                <c:pt idx="38">
                  <c:v>0.36015183051326383</c:v>
                </c:pt>
                <c:pt idx="39">
                  <c:v>0.33097462539363959</c:v>
                </c:pt>
                <c:pt idx="40">
                  <c:v>0.2237861158999048</c:v>
                </c:pt>
                <c:pt idx="41">
                  <c:v>0.2294174282582469</c:v>
                </c:pt>
                <c:pt idx="42">
                  <c:v>0.11861534804327489</c:v>
                </c:pt>
                <c:pt idx="43">
                  <c:v>0.1499484765716716</c:v>
                </c:pt>
                <c:pt idx="44">
                  <c:v>0.28369894436112836</c:v>
                </c:pt>
                <c:pt idx="45">
                  <c:v>0.30360281351081991</c:v>
                </c:pt>
                <c:pt idx="46">
                  <c:v>0.36107269479272153</c:v>
                </c:pt>
                <c:pt idx="47">
                  <c:v>0.35379854836947727</c:v>
                </c:pt>
                <c:pt idx="48">
                  <c:v>0.31921948595120331</c:v>
                </c:pt>
                <c:pt idx="49">
                  <c:v>0.36661375412863828</c:v>
                </c:pt>
                <c:pt idx="50">
                  <c:v>0.28745353632306164</c:v>
                </c:pt>
                <c:pt idx="51">
                  <c:v>0.10506553781097108</c:v>
                </c:pt>
                <c:pt idx="52">
                  <c:v>8.8350383716900197E-2</c:v>
                </c:pt>
                <c:pt idx="53">
                  <c:v>7.8797008766515728E-2</c:v>
                </c:pt>
                <c:pt idx="54">
                  <c:v>8.2829828018155277E-2</c:v>
                </c:pt>
                <c:pt idx="55">
                  <c:v>0.12520604336081514</c:v>
                </c:pt>
                <c:pt idx="56">
                  <c:v>0.20262166248580249</c:v>
                </c:pt>
                <c:pt idx="57">
                  <c:v>0.31870342467219076</c:v>
                </c:pt>
                <c:pt idx="58">
                  <c:v>0.35871036355841918</c:v>
                </c:pt>
                <c:pt idx="59">
                  <c:v>0.37400200446518295</c:v>
                </c:pt>
                <c:pt idx="60">
                  <c:v>0.39386065420237243</c:v>
                </c:pt>
                <c:pt idx="61">
                  <c:v>0.32111174673531517</c:v>
                </c:pt>
                <c:pt idx="62">
                  <c:v>0.24050827798390495</c:v>
                </c:pt>
                <c:pt idx="63">
                  <c:v>0.23589587751907112</c:v>
                </c:pt>
                <c:pt idx="64">
                  <c:v>0.15230581286934453</c:v>
                </c:pt>
                <c:pt idx="65">
                  <c:v>7.3593750111369052E-2</c:v>
                </c:pt>
                <c:pt idx="66">
                  <c:v>8.9202465468042183E-2</c:v>
                </c:pt>
                <c:pt idx="67">
                  <c:v>0.11768337455683545</c:v>
                </c:pt>
                <c:pt idx="68">
                  <c:v>0.12331601568532809</c:v>
                </c:pt>
                <c:pt idx="69">
                  <c:v>0.18985071113812416</c:v>
                </c:pt>
                <c:pt idx="70">
                  <c:v>0.25140214446703579</c:v>
                </c:pt>
                <c:pt idx="71">
                  <c:v>0.28707287905148027</c:v>
                </c:pt>
                <c:pt idx="72">
                  <c:v>0.245129344198981</c:v>
                </c:pt>
                <c:pt idx="73">
                  <c:v>0.2956750267381501</c:v>
                </c:pt>
                <c:pt idx="74">
                  <c:v>0.23274286073635397</c:v>
                </c:pt>
                <c:pt idx="75">
                  <c:v>0.24388266399311528</c:v>
                </c:pt>
                <c:pt idx="76">
                  <c:v>7.9301447426242205E-2</c:v>
                </c:pt>
                <c:pt idx="77">
                  <c:v>3.7889217032864499E-2</c:v>
                </c:pt>
                <c:pt idx="78">
                  <c:v>8.6380835561731012E-2</c:v>
                </c:pt>
                <c:pt idx="79">
                  <c:v>7.5597996355043454E-2</c:v>
                </c:pt>
                <c:pt idx="80">
                  <c:v>0.14733295366364851</c:v>
                </c:pt>
                <c:pt idx="81">
                  <c:v>0.1687395689948861</c:v>
                </c:pt>
                <c:pt idx="82">
                  <c:v>0.28379950842474966</c:v>
                </c:pt>
                <c:pt idx="83">
                  <c:v>0.26618171872556229</c:v>
                </c:pt>
                <c:pt idx="84">
                  <c:v>0.21109881727150387</c:v>
                </c:pt>
                <c:pt idx="85">
                  <c:v>0.28945045381509338</c:v>
                </c:pt>
                <c:pt idx="86">
                  <c:v>0.31942293014950335</c:v>
                </c:pt>
                <c:pt idx="87">
                  <c:v>0.25779723559546769</c:v>
                </c:pt>
                <c:pt idx="88">
                  <c:v>0.19207744254746736</c:v>
                </c:pt>
                <c:pt idx="89">
                  <c:v>2.7079038896573277E-2</c:v>
                </c:pt>
              </c:numCache>
            </c:numRef>
          </c:val>
        </c:ser>
        <c:ser>
          <c:idx val="1"/>
          <c:order val="1"/>
          <c:tx>
            <c:strRef>
              <c:f>'Misc. Data &amp; Mechanisms'!$Q$814</c:f>
              <c:strCache>
                <c:ptCount val="1"/>
                <c:pt idx="0">
                  <c:v>Distribution</c:v>
                </c:pt>
              </c:strCache>
            </c:strRef>
          </c:tx>
          <c:spPr>
            <a:solidFill>
              <a:schemeClr val="accent1">
                <a:lumMod val="75000"/>
              </a:schemeClr>
            </a:solidFill>
            <a:ln w="25400">
              <a:noFill/>
            </a:ln>
          </c:spPr>
          <c:cat>
            <c:numRef>
              <c:f>'Misc. Data &amp; Mechanisms'!$O$815:$O$905</c:f>
              <c:numCache>
                <c:formatCode>[$-409]mmm-yy;@</c:formatCode>
                <c:ptCount val="91"/>
                <c:pt idx="0">
                  <c:v>40909</c:v>
                </c:pt>
                <c:pt idx="1">
                  <c:v>40940</c:v>
                </c:pt>
                <c:pt idx="2">
                  <c:v>40969</c:v>
                </c:pt>
                <c:pt idx="3">
                  <c:v>41000</c:v>
                </c:pt>
                <c:pt idx="4">
                  <c:v>41030</c:v>
                </c:pt>
                <c:pt idx="5">
                  <c:v>41061</c:v>
                </c:pt>
                <c:pt idx="6">
                  <c:v>41091</c:v>
                </c:pt>
                <c:pt idx="7">
                  <c:v>41122</c:v>
                </c:pt>
                <c:pt idx="8">
                  <c:v>41153</c:v>
                </c:pt>
                <c:pt idx="9">
                  <c:v>41183</c:v>
                </c:pt>
                <c:pt idx="10">
                  <c:v>41214</c:v>
                </c:pt>
                <c:pt idx="11">
                  <c:v>41244</c:v>
                </c:pt>
                <c:pt idx="12">
                  <c:v>41275</c:v>
                </c:pt>
                <c:pt idx="13">
                  <c:v>41306</c:v>
                </c:pt>
                <c:pt idx="14">
                  <c:v>41334</c:v>
                </c:pt>
                <c:pt idx="15">
                  <c:v>41365</c:v>
                </c:pt>
                <c:pt idx="16">
                  <c:v>41395</c:v>
                </c:pt>
                <c:pt idx="17">
                  <c:v>41426</c:v>
                </c:pt>
                <c:pt idx="18">
                  <c:v>41456</c:v>
                </c:pt>
                <c:pt idx="19">
                  <c:v>41487</c:v>
                </c:pt>
                <c:pt idx="20">
                  <c:v>41518</c:v>
                </c:pt>
                <c:pt idx="21">
                  <c:v>41548</c:v>
                </c:pt>
                <c:pt idx="22">
                  <c:v>41579</c:v>
                </c:pt>
                <c:pt idx="23">
                  <c:v>41609</c:v>
                </c:pt>
                <c:pt idx="24">
                  <c:v>41640</c:v>
                </c:pt>
                <c:pt idx="25">
                  <c:v>41671</c:v>
                </c:pt>
                <c:pt idx="26">
                  <c:v>41699</c:v>
                </c:pt>
                <c:pt idx="27">
                  <c:v>41730</c:v>
                </c:pt>
                <c:pt idx="28">
                  <c:v>41760</c:v>
                </c:pt>
                <c:pt idx="29">
                  <c:v>41791</c:v>
                </c:pt>
                <c:pt idx="30">
                  <c:v>41821</c:v>
                </c:pt>
                <c:pt idx="31">
                  <c:v>41852</c:v>
                </c:pt>
                <c:pt idx="32">
                  <c:v>41883</c:v>
                </c:pt>
                <c:pt idx="33">
                  <c:v>41913</c:v>
                </c:pt>
                <c:pt idx="34">
                  <c:v>41944</c:v>
                </c:pt>
                <c:pt idx="35">
                  <c:v>41974</c:v>
                </c:pt>
                <c:pt idx="36">
                  <c:v>42005</c:v>
                </c:pt>
                <c:pt idx="37">
                  <c:v>42036</c:v>
                </c:pt>
                <c:pt idx="38">
                  <c:v>42064</c:v>
                </c:pt>
                <c:pt idx="39">
                  <c:v>42095</c:v>
                </c:pt>
                <c:pt idx="40">
                  <c:v>42125</c:v>
                </c:pt>
                <c:pt idx="41">
                  <c:v>42156</c:v>
                </c:pt>
                <c:pt idx="42">
                  <c:v>42186</c:v>
                </c:pt>
                <c:pt idx="43">
                  <c:v>42217</c:v>
                </c:pt>
                <c:pt idx="44">
                  <c:v>42248</c:v>
                </c:pt>
                <c:pt idx="45">
                  <c:v>42278</c:v>
                </c:pt>
                <c:pt idx="46">
                  <c:v>42309</c:v>
                </c:pt>
                <c:pt idx="47">
                  <c:v>42339</c:v>
                </c:pt>
                <c:pt idx="48">
                  <c:v>42370</c:v>
                </c:pt>
                <c:pt idx="49">
                  <c:v>42401</c:v>
                </c:pt>
                <c:pt idx="50">
                  <c:v>42430</c:v>
                </c:pt>
                <c:pt idx="51">
                  <c:v>42461</c:v>
                </c:pt>
                <c:pt idx="52">
                  <c:v>42491</c:v>
                </c:pt>
                <c:pt idx="53">
                  <c:v>42522</c:v>
                </c:pt>
                <c:pt idx="54">
                  <c:v>42552</c:v>
                </c:pt>
                <c:pt idx="55">
                  <c:v>42583</c:v>
                </c:pt>
                <c:pt idx="56">
                  <c:v>42614</c:v>
                </c:pt>
                <c:pt idx="57">
                  <c:v>42644</c:v>
                </c:pt>
                <c:pt idx="58">
                  <c:v>42675</c:v>
                </c:pt>
                <c:pt idx="59">
                  <c:v>42705</c:v>
                </c:pt>
                <c:pt idx="60">
                  <c:v>42736</c:v>
                </c:pt>
                <c:pt idx="61">
                  <c:v>42767</c:v>
                </c:pt>
                <c:pt idx="62">
                  <c:v>42795</c:v>
                </c:pt>
                <c:pt idx="63">
                  <c:v>42826</c:v>
                </c:pt>
                <c:pt idx="64">
                  <c:v>42856</c:v>
                </c:pt>
                <c:pt idx="65">
                  <c:v>42887</c:v>
                </c:pt>
                <c:pt idx="66">
                  <c:v>42917</c:v>
                </c:pt>
                <c:pt idx="67">
                  <c:v>42948</c:v>
                </c:pt>
                <c:pt idx="68">
                  <c:v>42979</c:v>
                </c:pt>
                <c:pt idx="69">
                  <c:v>43009</c:v>
                </c:pt>
                <c:pt idx="70">
                  <c:v>43040</c:v>
                </c:pt>
                <c:pt idx="71">
                  <c:v>43070</c:v>
                </c:pt>
                <c:pt idx="72">
                  <c:v>43101</c:v>
                </c:pt>
                <c:pt idx="73">
                  <c:v>43132</c:v>
                </c:pt>
                <c:pt idx="74">
                  <c:v>43160</c:v>
                </c:pt>
                <c:pt idx="75">
                  <c:v>43191</c:v>
                </c:pt>
                <c:pt idx="76">
                  <c:v>43221</c:v>
                </c:pt>
                <c:pt idx="77">
                  <c:v>43252</c:v>
                </c:pt>
                <c:pt idx="78">
                  <c:v>43282</c:v>
                </c:pt>
                <c:pt idx="79">
                  <c:v>43313</c:v>
                </c:pt>
                <c:pt idx="80">
                  <c:v>43344</c:v>
                </c:pt>
                <c:pt idx="81">
                  <c:v>43374</c:v>
                </c:pt>
                <c:pt idx="82">
                  <c:v>43405</c:v>
                </c:pt>
                <c:pt idx="83">
                  <c:v>43435</c:v>
                </c:pt>
                <c:pt idx="84">
                  <c:v>43466</c:v>
                </c:pt>
                <c:pt idx="85">
                  <c:v>43497</c:v>
                </c:pt>
                <c:pt idx="86">
                  <c:v>43525</c:v>
                </c:pt>
                <c:pt idx="87">
                  <c:v>43556</c:v>
                </c:pt>
                <c:pt idx="88">
                  <c:v>43586</c:v>
                </c:pt>
                <c:pt idx="89">
                  <c:v>43617</c:v>
                </c:pt>
              </c:numCache>
            </c:numRef>
          </c:cat>
          <c:val>
            <c:numRef>
              <c:f>'Misc. Data &amp; Mechanisms'!$Q$815:$Q$905</c:f>
              <c:numCache>
                <c:formatCode>0.00%</c:formatCode>
                <c:ptCount val="91"/>
                <c:pt idx="0">
                  <c:v>0.28591916811198653</c:v>
                </c:pt>
                <c:pt idx="1">
                  <c:v>0.34186628019209792</c:v>
                </c:pt>
                <c:pt idx="2">
                  <c:v>0.36765874162046397</c:v>
                </c:pt>
                <c:pt idx="3">
                  <c:v>0.417873080694247</c:v>
                </c:pt>
                <c:pt idx="4">
                  <c:v>0.5352737495962917</c:v>
                </c:pt>
                <c:pt idx="5">
                  <c:v>0.50927267585280012</c:v>
                </c:pt>
                <c:pt idx="6">
                  <c:v>0.58081360254923553</c:v>
                </c:pt>
                <c:pt idx="7">
                  <c:v>0.55794067217814702</c:v>
                </c:pt>
                <c:pt idx="8">
                  <c:v>0.57367842212071674</c:v>
                </c:pt>
                <c:pt idx="9">
                  <c:v>0.35134877278191418</c:v>
                </c:pt>
                <c:pt idx="10">
                  <c:v>0.26498769644630804</c:v>
                </c:pt>
                <c:pt idx="11">
                  <c:v>0.25393859305812538</c:v>
                </c:pt>
                <c:pt idx="12">
                  <c:v>0.29852170059332944</c:v>
                </c:pt>
                <c:pt idx="13">
                  <c:v>0.30623916534897438</c:v>
                </c:pt>
                <c:pt idx="14">
                  <c:v>0.31745655252740368</c:v>
                </c:pt>
                <c:pt idx="15">
                  <c:v>0.31606040785113115</c:v>
                </c:pt>
                <c:pt idx="16">
                  <c:v>0.40891907261284699</c:v>
                </c:pt>
                <c:pt idx="17">
                  <c:v>0.44598997673883417</c:v>
                </c:pt>
                <c:pt idx="18">
                  <c:v>0.52226979099643744</c:v>
                </c:pt>
                <c:pt idx="19">
                  <c:v>0.56873663243716066</c:v>
                </c:pt>
                <c:pt idx="20">
                  <c:v>0.48669808412084131</c:v>
                </c:pt>
                <c:pt idx="21">
                  <c:v>0.39130377474542616</c:v>
                </c:pt>
                <c:pt idx="22">
                  <c:v>0.26651302232002699</c:v>
                </c:pt>
                <c:pt idx="23">
                  <c:v>0.2558371452425332</c:v>
                </c:pt>
                <c:pt idx="24">
                  <c:v>0.25137888784812457</c:v>
                </c:pt>
                <c:pt idx="25">
                  <c:v>0.20246004632442752</c:v>
                </c:pt>
                <c:pt idx="26">
                  <c:v>0.13323434518084304</c:v>
                </c:pt>
                <c:pt idx="27">
                  <c:v>0.28771724215079791</c:v>
                </c:pt>
                <c:pt idx="28">
                  <c:v>0.35172736695775797</c:v>
                </c:pt>
                <c:pt idx="29">
                  <c:v>0.46619123843745963</c:v>
                </c:pt>
                <c:pt idx="30">
                  <c:v>0.45857382096773269</c:v>
                </c:pt>
                <c:pt idx="31">
                  <c:v>0.47206668522406492</c:v>
                </c:pt>
                <c:pt idx="32">
                  <c:v>0.38766169749581403</c:v>
                </c:pt>
                <c:pt idx="33">
                  <c:v>0.31916709192843062</c:v>
                </c:pt>
                <c:pt idx="34">
                  <c:v>0.27925719730978399</c:v>
                </c:pt>
                <c:pt idx="35">
                  <c:v>0.25758375172736864</c:v>
                </c:pt>
                <c:pt idx="36">
                  <c:v>0.29777986249878219</c:v>
                </c:pt>
                <c:pt idx="37">
                  <c:v>0.3176205361090047</c:v>
                </c:pt>
                <c:pt idx="38">
                  <c:v>0.34537082191205148</c:v>
                </c:pt>
                <c:pt idx="39">
                  <c:v>0.3719429933960165</c:v>
                </c:pt>
                <c:pt idx="40">
                  <c:v>0.46381367503732607</c:v>
                </c:pt>
                <c:pt idx="41">
                  <c:v>0.47645733732911782</c:v>
                </c:pt>
                <c:pt idx="42">
                  <c:v>0.56780438361932672</c:v>
                </c:pt>
                <c:pt idx="43">
                  <c:v>0.54017524596781152</c:v>
                </c:pt>
                <c:pt idx="44">
                  <c:v>0.43318150330163735</c:v>
                </c:pt>
                <c:pt idx="45">
                  <c:v>0.40710595356229073</c:v>
                </c:pt>
                <c:pt idx="46">
                  <c:v>0.33741571518422941</c:v>
                </c:pt>
                <c:pt idx="47">
                  <c:v>0.33181685352387141</c:v>
                </c:pt>
                <c:pt idx="48">
                  <c:v>0.34365530643433051</c:v>
                </c:pt>
                <c:pt idx="49">
                  <c:v>0.32542843459157866</c:v>
                </c:pt>
                <c:pt idx="50">
                  <c:v>0.37569434366184579</c:v>
                </c:pt>
                <c:pt idx="51">
                  <c:v>0.51890485826351174</c:v>
                </c:pt>
                <c:pt idx="52">
                  <c:v>0.53827713241277997</c:v>
                </c:pt>
                <c:pt idx="53">
                  <c:v>0.5770908465470117</c:v>
                </c:pt>
                <c:pt idx="54">
                  <c:v>0.56703543582783822</c:v>
                </c:pt>
                <c:pt idx="55">
                  <c:v>0.53206983796810359</c:v>
                </c:pt>
                <c:pt idx="56">
                  <c:v>0.43817901842261181</c:v>
                </c:pt>
                <c:pt idx="57">
                  <c:v>0.32830512901850351</c:v>
                </c:pt>
                <c:pt idx="58">
                  <c:v>0.30545665741348416</c:v>
                </c:pt>
                <c:pt idx="59">
                  <c:v>0.269973387454995</c:v>
                </c:pt>
                <c:pt idx="60">
                  <c:v>0.217542373591498</c:v>
                </c:pt>
                <c:pt idx="61">
                  <c:v>0.24574219189261323</c:v>
                </c:pt>
                <c:pt idx="62">
                  <c:v>0.29289185952376418</c:v>
                </c:pt>
                <c:pt idx="63">
                  <c:v>0.33023581685598352</c:v>
                </c:pt>
                <c:pt idx="64">
                  <c:v>0.44923550008290269</c:v>
                </c:pt>
                <c:pt idx="65">
                  <c:v>0.53245674457127812</c:v>
                </c:pt>
                <c:pt idx="66">
                  <c:v>0.52321734010408449</c:v>
                </c:pt>
                <c:pt idx="67">
                  <c:v>0.51702123476847095</c:v>
                </c:pt>
                <c:pt idx="68">
                  <c:v>0.4675919914134572</c:v>
                </c:pt>
                <c:pt idx="69">
                  <c:v>0.381170737990074</c:v>
                </c:pt>
                <c:pt idx="70">
                  <c:v>0.30119924033514178</c:v>
                </c:pt>
                <c:pt idx="71">
                  <c:v>0.28979952459702524</c:v>
                </c:pt>
                <c:pt idx="72">
                  <c:v>0.27225478896539113</c:v>
                </c:pt>
                <c:pt idx="73">
                  <c:v>0.23458533480148316</c:v>
                </c:pt>
                <c:pt idx="74">
                  <c:v>0.31112999656690427</c:v>
                </c:pt>
                <c:pt idx="75">
                  <c:v>0.31146579159612969</c:v>
                </c:pt>
                <c:pt idx="76">
                  <c:v>0.49732797696518188</c:v>
                </c:pt>
                <c:pt idx="77">
                  <c:v>0.54344771614827581</c:v>
                </c:pt>
                <c:pt idx="78">
                  <c:v>0.52104461491125609</c:v>
                </c:pt>
                <c:pt idx="79">
                  <c:v>0.52012295312481016</c:v>
                </c:pt>
                <c:pt idx="80">
                  <c:v>0.41201919587345531</c:v>
                </c:pt>
                <c:pt idx="81">
                  <c:v>0.36963725553094762</c:v>
                </c:pt>
                <c:pt idx="82">
                  <c:v>0.29159585020029211</c:v>
                </c:pt>
                <c:pt idx="83">
                  <c:v>0.28928994208278647</c:v>
                </c:pt>
                <c:pt idx="84">
                  <c:v>0.33018294306149559</c:v>
                </c:pt>
                <c:pt idx="85">
                  <c:v>0.2511352259636061</c:v>
                </c:pt>
                <c:pt idx="86">
                  <c:v>0.2482953326316191</c:v>
                </c:pt>
                <c:pt idx="87">
                  <c:v>0.30744060583754995</c:v>
                </c:pt>
                <c:pt idx="88">
                  <c:v>0.36026456993134831</c:v>
                </c:pt>
                <c:pt idx="89">
                  <c:v>0.55907687327703004</c:v>
                </c:pt>
              </c:numCache>
            </c:numRef>
          </c:val>
        </c:ser>
        <c:ser>
          <c:idx val="2"/>
          <c:order val="2"/>
          <c:tx>
            <c:strRef>
              <c:f>'Misc. Data &amp; Mechanisms'!$W$814</c:f>
              <c:strCache>
                <c:ptCount val="1"/>
                <c:pt idx="0">
                  <c:v>Other Charges</c:v>
                </c:pt>
              </c:strCache>
            </c:strRef>
          </c:tx>
          <c:spPr>
            <a:solidFill>
              <a:srgbClr val="C00000"/>
            </a:solidFill>
            <a:ln w="25400">
              <a:noFill/>
            </a:ln>
          </c:spPr>
          <c:cat>
            <c:numRef>
              <c:f>'Misc. Data &amp; Mechanisms'!$O$815:$O$905</c:f>
              <c:numCache>
                <c:formatCode>[$-409]mmm-yy;@</c:formatCode>
                <c:ptCount val="91"/>
                <c:pt idx="0">
                  <c:v>40909</c:v>
                </c:pt>
                <c:pt idx="1">
                  <c:v>40940</c:v>
                </c:pt>
                <c:pt idx="2">
                  <c:v>40969</c:v>
                </c:pt>
                <c:pt idx="3">
                  <c:v>41000</c:v>
                </c:pt>
                <c:pt idx="4">
                  <c:v>41030</c:v>
                </c:pt>
                <c:pt idx="5">
                  <c:v>41061</c:v>
                </c:pt>
                <c:pt idx="6">
                  <c:v>41091</c:v>
                </c:pt>
                <c:pt idx="7">
                  <c:v>41122</c:v>
                </c:pt>
                <c:pt idx="8">
                  <c:v>41153</c:v>
                </c:pt>
                <c:pt idx="9">
                  <c:v>41183</c:v>
                </c:pt>
                <c:pt idx="10">
                  <c:v>41214</c:v>
                </c:pt>
                <c:pt idx="11">
                  <c:v>41244</c:v>
                </c:pt>
                <c:pt idx="12">
                  <c:v>41275</c:v>
                </c:pt>
                <c:pt idx="13">
                  <c:v>41306</c:v>
                </c:pt>
                <c:pt idx="14">
                  <c:v>41334</c:v>
                </c:pt>
                <c:pt idx="15">
                  <c:v>41365</c:v>
                </c:pt>
                <c:pt idx="16">
                  <c:v>41395</c:v>
                </c:pt>
                <c:pt idx="17">
                  <c:v>41426</c:v>
                </c:pt>
                <c:pt idx="18">
                  <c:v>41456</c:v>
                </c:pt>
                <c:pt idx="19">
                  <c:v>41487</c:v>
                </c:pt>
                <c:pt idx="20">
                  <c:v>41518</c:v>
                </c:pt>
                <c:pt idx="21">
                  <c:v>41548</c:v>
                </c:pt>
                <c:pt idx="22">
                  <c:v>41579</c:v>
                </c:pt>
                <c:pt idx="23">
                  <c:v>41609</c:v>
                </c:pt>
                <c:pt idx="24">
                  <c:v>41640</c:v>
                </c:pt>
                <c:pt idx="25">
                  <c:v>41671</c:v>
                </c:pt>
                <c:pt idx="26">
                  <c:v>41699</c:v>
                </c:pt>
                <c:pt idx="27">
                  <c:v>41730</c:v>
                </c:pt>
                <c:pt idx="28">
                  <c:v>41760</c:v>
                </c:pt>
                <c:pt idx="29">
                  <c:v>41791</c:v>
                </c:pt>
                <c:pt idx="30">
                  <c:v>41821</c:v>
                </c:pt>
                <c:pt idx="31">
                  <c:v>41852</c:v>
                </c:pt>
                <c:pt idx="32">
                  <c:v>41883</c:v>
                </c:pt>
                <c:pt idx="33">
                  <c:v>41913</c:v>
                </c:pt>
                <c:pt idx="34">
                  <c:v>41944</c:v>
                </c:pt>
                <c:pt idx="35">
                  <c:v>41974</c:v>
                </c:pt>
                <c:pt idx="36">
                  <c:v>42005</c:v>
                </c:pt>
                <c:pt idx="37">
                  <c:v>42036</c:v>
                </c:pt>
                <c:pt idx="38">
                  <c:v>42064</c:v>
                </c:pt>
                <c:pt idx="39">
                  <c:v>42095</c:v>
                </c:pt>
                <c:pt idx="40">
                  <c:v>42125</c:v>
                </c:pt>
                <c:pt idx="41">
                  <c:v>42156</c:v>
                </c:pt>
                <c:pt idx="42">
                  <c:v>42186</c:v>
                </c:pt>
                <c:pt idx="43">
                  <c:v>42217</c:v>
                </c:pt>
                <c:pt idx="44">
                  <c:v>42248</c:v>
                </c:pt>
                <c:pt idx="45">
                  <c:v>42278</c:v>
                </c:pt>
                <c:pt idx="46">
                  <c:v>42309</c:v>
                </c:pt>
                <c:pt idx="47">
                  <c:v>42339</c:v>
                </c:pt>
                <c:pt idx="48">
                  <c:v>42370</c:v>
                </c:pt>
                <c:pt idx="49">
                  <c:v>42401</c:v>
                </c:pt>
                <c:pt idx="50">
                  <c:v>42430</c:v>
                </c:pt>
                <c:pt idx="51">
                  <c:v>42461</c:v>
                </c:pt>
                <c:pt idx="52">
                  <c:v>42491</c:v>
                </c:pt>
                <c:pt idx="53">
                  <c:v>42522</c:v>
                </c:pt>
                <c:pt idx="54">
                  <c:v>42552</c:v>
                </c:pt>
                <c:pt idx="55">
                  <c:v>42583</c:v>
                </c:pt>
                <c:pt idx="56">
                  <c:v>42614</c:v>
                </c:pt>
                <c:pt idx="57">
                  <c:v>42644</c:v>
                </c:pt>
                <c:pt idx="58">
                  <c:v>42675</c:v>
                </c:pt>
                <c:pt idx="59">
                  <c:v>42705</c:v>
                </c:pt>
                <c:pt idx="60">
                  <c:v>42736</c:v>
                </c:pt>
                <c:pt idx="61">
                  <c:v>42767</c:v>
                </c:pt>
                <c:pt idx="62">
                  <c:v>42795</c:v>
                </c:pt>
                <c:pt idx="63">
                  <c:v>42826</c:v>
                </c:pt>
                <c:pt idx="64">
                  <c:v>42856</c:v>
                </c:pt>
                <c:pt idx="65">
                  <c:v>42887</c:v>
                </c:pt>
                <c:pt idx="66">
                  <c:v>42917</c:v>
                </c:pt>
                <c:pt idx="67">
                  <c:v>42948</c:v>
                </c:pt>
                <c:pt idx="68">
                  <c:v>42979</c:v>
                </c:pt>
                <c:pt idx="69">
                  <c:v>43009</c:v>
                </c:pt>
                <c:pt idx="70">
                  <c:v>43040</c:v>
                </c:pt>
                <c:pt idx="71">
                  <c:v>43070</c:v>
                </c:pt>
                <c:pt idx="72">
                  <c:v>43101</c:v>
                </c:pt>
                <c:pt idx="73">
                  <c:v>43132</c:v>
                </c:pt>
                <c:pt idx="74">
                  <c:v>43160</c:v>
                </c:pt>
                <c:pt idx="75">
                  <c:v>43191</c:v>
                </c:pt>
                <c:pt idx="76">
                  <c:v>43221</c:v>
                </c:pt>
                <c:pt idx="77">
                  <c:v>43252</c:v>
                </c:pt>
                <c:pt idx="78">
                  <c:v>43282</c:v>
                </c:pt>
                <c:pt idx="79">
                  <c:v>43313</c:v>
                </c:pt>
                <c:pt idx="80">
                  <c:v>43344</c:v>
                </c:pt>
                <c:pt idx="81">
                  <c:v>43374</c:v>
                </c:pt>
                <c:pt idx="82">
                  <c:v>43405</c:v>
                </c:pt>
                <c:pt idx="83">
                  <c:v>43435</c:v>
                </c:pt>
                <c:pt idx="84">
                  <c:v>43466</c:v>
                </c:pt>
                <c:pt idx="85">
                  <c:v>43497</c:v>
                </c:pt>
                <c:pt idx="86">
                  <c:v>43525</c:v>
                </c:pt>
                <c:pt idx="87">
                  <c:v>43556</c:v>
                </c:pt>
                <c:pt idx="88">
                  <c:v>43586</c:v>
                </c:pt>
                <c:pt idx="89">
                  <c:v>43617</c:v>
                </c:pt>
              </c:numCache>
            </c:numRef>
          </c:cat>
          <c:val>
            <c:numRef>
              <c:f>'Misc. Data &amp; Mechanisms'!$W$815:$W$905</c:f>
              <c:numCache>
                <c:formatCode>0.00%</c:formatCode>
                <c:ptCount val="91"/>
                <c:pt idx="0">
                  <c:v>0.26106308249390897</c:v>
                </c:pt>
                <c:pt idx="1">
                  <c:v>0.28430707562217633</c:v>
                </c:pt>
                <c:pt idx="2">
                  <c:v>0.29688589854499281</c:v>
                </c:pt>
                <c:pt idx="3">
                  <c:v>0.319401621106781</c:v>
                </c:pt>
                <c:pt idx="4">
                  <c:v>0.27027749107408539</c:v>
                </c:pt>
                <c:pt idx="5">
                  <c:v>0.25661443845328086</c:v>
                </c:pt>
                <c:pt idx="6">
                  <c:v>0.26856664153806248</c:v>
                </c:pt>
                <c:pt idx="7">
                  <c:v>0.2760782946285234</c:v>
                </c:pt>
                <c:pt idx="8">
                  <c:v>0.28179391724554975</c:v>
                </c:pt>
                <c:pt idx="9">
                  <c:v>0.25629631129324465</c:v>
                </c:pt>
                <c:pt idx="10">
                  <c:v>0.2355709194927732</c:v>
                </c:pt>
                <c:pt idx="11">
                  <c:v>0.18850252506790688</c:v>
                </c:pt>
                <c:pt idx="12">
                  <c:v>0.26635363955794217</c:v>
                </c:pt>
                <c:pt idx="13">
                  <c:v>0.26351911124227922</c:v>
                </c:pt>
                <c:pt idx="14">
                  <c:v>0.27682646726462501</c:v>
                </c:pt>
                <c:pt idx="15">
                  <c:v>0.26680777838325204</c:v>
                </c:pt>
                <c:pt idx="16">
                  <c:v>0.27588556673464054</c:v>
                </c:pt>
                <c:pt idx="17">
                  <c:v>0.28129102597875638</c:v>
                </c:pt>
                <c:pt idx="18">
                  <c:v>0.30022023264719</c:v>
                </c:pt>
                <c:pt idx="19">
                  <c:v>0.31154390444521718</c:v>
                </c:pt>
                <c:pt idx="20">
                  <c:v>0.29900482565679309</c:v>
                </c:pt>
                <c:pt idx="21">
                  <c:v>0.29077215792252986</c:v>
                </c:pt>
                <c:pt idx="22">
                  <c:v>0.25701293216892046</c:v>
                </c:pt>
                <c:pt idx="23">
                  <c:v>0.26028133328115605</c:v>
                </c:pt>
                <c:pt idx="24">
                  <c:v>0.24973588791389764</c:v>
                </c:pt>
                <c:pt idx="25">
                  <c:v>0.23793023500234764</c:v>
                </c:pt>
                <c:pt idx="26">
                  <c:v>0.2016782762183526</c:v>
                </c:pt>
                <c:pt idx="27">
                  <c:v>0.2771294704158897</c:v>
                </c:pt>
                <c:pt idx="28">
                  <c:v>0.28771391350575454</c:v>
                </c:pt>
                <c:pt idx="29">
                  <c:v>0.31162769457134337</c:v>
                </c:pt>
                <c:pt idx="30">
                  <c:v>0.29098988657372754</c:v>
                </c:pt>
                <c:pt idx="31">
                  <c:v>0.3012271970799813</c:v>
                </c:pt>
                <c:pt idx="32">
                  <c:v>0.29363220591032435</c:v>
                </c:pt>
                <c:pt idx="33">
                  <c:v>0.30206586649202122</c:v>
                </c:pt>
                <c:pt idx="34">
                  <c:v>0.2386637765559867</c:v>
                </c:pt>
                <c:pt idx="35">
                  <c:v>0.23198176827838624</c:v>
                </c:pt>
                <c:pt idx="36">
                  <c:v>0.29182361500876991</c:v>
                </c:pt>
                <c:pt idx="37">
                  <c:v>0.3040960879669502</c:v>
                </c:pt>
                <c:pt idx="38">
                  <c:v>0.29447734757468463</c:v>
                </c:pt>
                <c:pt idx="39">
                  <c:v>0.29708238121034397</c:v>
                </c:pt>
                <c:pt idx="40">
                  <c:v>0.31240020906276916</c:v>
                </c:pt>
                <c:pt idx="41">
                  <c:v>0.29412523441263538</c:v>
                </c:pt>
                <c:pt idx="42">
                  <c:v>0.31358026833739844</c:v>
                </c:pt>
                <c:pt idx="43">
                  <c:v>0.30987627746051677</c:v>
                </c:pt>
                <c:pt idx="44">
                  <c:v>0.28311955233723418</c:v>
                </c:pt>
                <c:pt idx="45">
                  <c:v>0.28929123292688935</c:v>
                </c:pt>
                <c:pt idx="46">
                  <c:v>0.301511590023049</c:v>
                </c:pt>
                <c:pt idx="47">
                  <c:v>0.31438459810665131</c:v>
                </c:pt>
                <c:pt idx="48">
                  <c:v>0.33712520761446624</c:v>
                </c:pt>
                <c:pt idx="49">
                  <c:v>0.307957811279783</c:v>
                </c:pt>
                <c:pt idx="50">
                  <c:v>0.33685212001509268</c:v>
                </c:pt>
                <c:pt idx="51">
                  <c:v>0.37602960392551715</c:v>
                </c:pt>
                <c:pt idx="52">
                  <c:v>0.37337248387031979</c:v>
                </c:pt>
                <c:pt idx="53">
                  <c:v>0.3441121446864725</c:v>
                </c:pt>
                <c:pt idx="54">
                  <c:v>0.35013473615400653</c:v>
                </c:pt>
                <c:pt idx="55">
                  <c:v>0.34272411867108121</c:v>
                </c:pt>
                <c:pt idx="56">
                  <c:v>0.35919931909158564</c:v>
                </c:pt>
                <c:pt idx="57">
                  <c:v>0.3529914463093059</c:v>
                </c:pt>
                <c:pt idx="58">
                  <c:v>0.33583297902809661</c:v>
                </c:pt>
                <c:pt idx="59">
                  <c:v>0.35602460807982211</c:v>
                </c:pt>
                <c:pt idx="60">
                  <c:v>0.3885969722061296</c:v>
                </c:pt>
                <c:pt idx="61">
                  <c:v>0.4331460613720714</c:v>
                </c:pt>
                <c:pt idx="62">
                  <c:v>0.46659986249233093</c:v>
                </c:pt>
                <c:pt idx="63">
                  <c:v>0.43386830562494533</c:v>
                </c:pt>
                <c:pt idx="64">
                  <c:v>0.39845868704775278</c:v>
                </c:pt>
                <c:pt idx="65">
                  <c:v>0.39394950531735301</c:v>
                </c:pt>
                <c:pt idx="66">
                  <c:v>0.38758019442787339</c:v>
                </c:pt>
                <c:pt idx="67">
                  <c:v>0.36529539067469369</c:v>
                </c:pt>
                <c:pt idx="68">
                  <c:v>0.40909199290121473</c:v>
                </c:pt>
                <c:pt idx="69">
                  <c:v>0.42897855087180209</c:v>
                </c:pt>
                <c:pt idx="70">
                  <c:v>0.44739861519782237</c:v>
                </c:pt>
                <c:pt idx="71">
                  <c:v>0.42312759635149455</c:v>
                </c:pt>
                <c:pt idx="72">
                  <c:v>0.48261586683562802</c:v>
                </c:pt>
                <c:pt idx="73">
                  <c:v>0.46973963846036665</c:v>
                </c:pt>
                <c:pt idx="74">
                  <c:v>0.45612714269674182</c:v>
                </c:pt>
                <c:pt idx="75">
                  <c:v>0.444651544410755</c:v>
                </c:pt>
                <c:pt idx="76">
                  <c:v>0.42337057560857594</c:v>
                </c:pt>
                <c:pt idx="77">
                  <c:v>0.41866306681885967</c:v>
                </c:pt>
                <c:pt idx="78">
                  <c:v>0.39257454952701276</c:v>
                </c:pt>
                <c:pt idx="79">
                  <c:v>0.40427905052014629</c:v>
                </c:pt>
                <c:pt idx="80">
                  <c:v>0.44064785046289617</c:v>
                </c:pt>
                <c:pt idx="81">
                  <c:v>0.46162317547416631</c:v>
                </c:pt>
                <c:pt idx="82">
                  <c:v>0.4246046413749584</c:v>
                </c:pt>
                <c:pt idx="83">
                  <c:v>0.44452833919165119</c:v>
                </c:pt>
                <c:pt idx="84">
                  <c:v>0.45871823966700048</c:v>
                </c:pt>
                <c:pt idx="85">
                  <c:v>0.45941432022130063</c:v>
                </c:pt>
                <c:pt idx="86">
                  <c:v>0.43228173721887747</c:v>
                </c:pt>
                <c:pt idx="87">
                  <c:v>0.43476215856698242</c:v>
                </c:pt>
                <c:pt idx="88">
                  <c:v>0.44765798752118435</c:v>
                </c:pt>
                <c:pt idx="89">
                  <c:v>0.41384408782639659</c:v>
                </c:pt>
              </c:numCache>
            </c:numRef>
          </c:val>
        </c:ser>
        <c:dLbls>
          <c:showLegendKey val="0"/>
          <c:showVal val="0"/>
          <c:showCatName val="0"/>
          <c:showSerName val="0"/>
          <c:showPercent val="0"/>
          <c:showBubbleSize val="0"/>
        </c:dLbls>
        <c:axId val="254837888"/>
        <c:axId val="254839424"/>
      </c:areaChart>
      <c:dateAx>
        <c:axId val="254837888"/>
        <c:scaling>
          <c:orientation val="minMax"/>
        </c:scaling>
        <c:delete val="0"/>
        <c:axPos val="b"/>
        <c:numFmt formatCode="[$-409]mmm-yy;@" sourceLinked="1"/>
        <c:majorTickMark val="out"/>
        <c:minorTickMark val="none"/>
        <c:tickLblPos val="nextTo"/>
        <c:crossAx val="254839424"/>
        <c:crosses val="autoZero"/>
        <c:auto val="1"/>
        <c:lblOffset val="100"/>
        <c:baseTimeUnit val="months"/>
      </c:dateAx>
      <c:valAx>
        <c:axId val="254839424"/>
        <c:scaling>
          <c:orientation val="minMax"/>
        </c:scaling>
        <c:delete val="0"/>
        <c:axPos val="l"/>
        <c:majorGridlines/>
        <c:numFmt formatCode="0%" sourceLinked="1"/>
        <c:majorTickMark val="out"/>
        <c:minorTickMark val="none"/>
        <c:tickLblPos val="nextTo"/>
        <c:crossAx val="254837888"/>
        <c:crosses val="autoZero"/>
        <c:crossBetween val="midCat"/>
      </c:valAx>
    </c:plotArea>
    <c:legend>
      <c:legendPos val="r"/>
      <c:layout>
        <c:manualLayout>
          <c:xMode val="edge"/>
          <c:yMode val="edge"/>
          <c:x val="0.87655590301172182"/>
          <c:y val="0.30294601061572513"/>
          <c:w val="0.11605379711570755"/>
          <c:h val="0.41328185696844666"/>
        </c:manualLayout>
      </c:layout>
      <c:overlay val="0"/>
      <c:txPr>
        <a:bodyPr/>
        <a:lstStyle/>
        <a:p>
          <a:pPr>
            <a:defRPr sz="1400"/>
          </a:pPr>
          <a:endParaRPr lang="en-US"/>
        </a:p>
      </c:txPr>
    </c:legend>
    <c:plotVisOnly val="1"/>
    <c:dispBlanksAs val="zero"/>
    <c:showDLblsOverMax val="0"/>
  </c:chart>
  <c:spPr>
    <a:ln>
      <a:noFill/>
    </a:ln>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'Misc. Data &amp; Mechanisms'!$P$1029</c:f>
          <c:strCache>
            <c:ptCount val="1"/>
            <c:pt idx="0">
              <c:v>Annual Cost Component Variation in the ATCO-S Zone, 2012 - 2018</c:v>
            </c:pt>
          </c:strCache>
        </c:strRef>
      </c:tx>
      <c:overlay val="0"/>
    </c:title>
    <c:autoTitleDeleted val="0"/>
    <c:plotArea>
      <c:layout>
        <c:manualLayout>
          <c:layoutTarget val="inner"/>
          <c:xMode val="edge"/>
          <c:yMode val="edge"/>
          <c:x val="5.7226807175418865E-2"/>
          <c:y val="8.9954887556390556E-2"/>
          <c:w val="0.7544272072373932"/>
          <c:h val="0.86220110974861286"/>
        </c:manualLayout>
      </c:layout>
      <c:barChart>
        <c:barDir val="col"/>
        <c:grouping val="stacked"/>
        <c:varyColors val="0"/>
        <c:ser>
          <c:idx val="4"/>
          <c:order val="0"/>
          <c:tx>
            <c:strRef>
              <c:f>'Misc. Data &amp; Mechanisms'!$P$1036</c:f>
              <c:strCache>
                <c:ptCount val="1"/>
                <c:pt idx="0">
                  <c:v>Rate Riders</c:v>
                </c:pt>
              </c:strCache>
            </c:strRef>
          </c:tx>
          <c:spPr>
            <a:solidFill>
              <a:schemeClr val="accent4">
                <a:lumMod val="75000"/>
              </a:schemeClr>
            </a:solidFill>
          </c:spPr>
          <c:invertIfNegative val="0"/>
          <c:dLbls>
            <c:dLbl>
              <c:idx val="0"/>
              <c:tx>
                <c:strRef>
                  <c:f>'Misc. Data &amp; Mechanisms'!$Q$1053</c:f>
                  <c:strCache>
                    <c:ptCount val="1"/>
                    <c:pt idx="0">
                      <c:v>3.2%</c:v>
                    </c:pt>
                  </c:strCache>
                </c:strRef>
              </c:tx>
              <c:showLegendKey val="0"/>
              <c:showVal val="1"/>
              <c:showCatName val="0"/>
              <c:showSerName val="0"/>
              <c:showPercent val="0"/>
              <c:showBubbleSize val="0"/>
            </c:dLbl>
            <c:dLbl>
              <c:idx val="1"/>
              <c:tx>
                <c:strRef>
                  <c:f>'Misc. Data &amp; Mechanisms'!$R$1053</c:f>
                  <c:strCache>
                    <c:ptCount val="1"/>
                    <c:pt idx="0">
                      <c:v>6.2%</c:v>
                    </c:pt>
                  </c:strCache>
                </c:strRef>
              </c:tx>
              <c:showLegendKey val="0"/>
              <c:showVal val="1"/>
              <c:showCatName val="0"/>
              <c:showSerName val="0"/>
              <c:showPercent val="0"/>
              <c:showBubbleSize val="0"/>
            </c:dLbl>
            <c:dLbl>
              <c:idx val="2"/>
              <c:tx>
                <c:strRef>
                  <c:f>'Misc. Data &amp; Mechanisms'!$S$1053</c:f>
                  <c:strCache>
                    <c:ptCount val="1"/>
                    <c:pt idx="0">
                      <c:v>5.7%</c:v>
                    </c:pt>
                  </c:strCache>
                </c:strRef>
              </c:tx>
              <c:showLegendKey val="0"/>
              <c:showVal val="1"/>
              <c:showCatName val="0"/>
              <c:showSerName val="0"/>
              <c:showPercent val="0"/>
              <c:showBubbleSize val="0"/>
            </c:dLbl>
            <c:dLbl>
              <c:idx val="3"/>
              <c:tx>
                <c:strRef>
                  <c:f>'Misc. Data &amp; Mechanisms'!$T$1053</c:f>
                  <c:strCache>
                    <c:ptCount val="1"/>
                    <c:pt idx="0">
                      <c:v>8.6%</c:v>
                    </c:pt>
                  </c:strCache>
                </c:strRef>
              </c:tx>
              <c:showLegendKey val="0"/>
              <c:showVal val="1"/>
              <c:showCatName val="0"/>
              <c:showSerName val="0"/>
              <c:showPercent val="0"/>
              <c:showBubbleSize val="0"/>
            </c:dLbl>
            <c:dLbl>
              <c:idx val="4"/>
              <c:tx>
                <c:strRef>
                  <c:f>'Misc. Data &amp; Mechanisms'!$U$1053</c:f>
                  <c:strCache>
                    <c:ptCount val="1"/>
                    <c:pt idx="0">
                      <c:v>12.3%</c:v>
                    </c:pt>
                  </c:strCache>
                </c:strRef>
              </c:tx>
              <c:showLegendKey val="0"/>
              <c:showVal val="1"/>
              <c:showCatName val="0"/>
              <c:showSerName val="0"/>
              <c:showPercent val="0"/>
              <c:showBubbleSize val="0"/>
            </c:dLbl>
            <c:dLbl>
              <c:idx val="5"/>
              <c:tx>
                <c:strRef>
                  <c:f>'Misc. Data &amp; Mechanisms'!$V$1053</c:f>
                  <c:strCache>
                    <c:ptCount val="1"/>
                    <c:pt idx="0">
                      <c:v>11.3%</c:v>
                    </c:pt>
                  </c:strCache>
                </c:strRef>
              </c:tx>
              <c:showLegendKey val="0"/>
              <c:showVal val="1"/>
              <c:showCatName val="0"/>
              <c:showSerName val="0"/>
              <c:showPercent val="0"/>
              <c:showBubbleSize val="0"/>
            </c:dLbl>
            <c:dLbl>
              <c:idx val="6"/>
              <c:tx>
                <c:strRef>
                  <c:f>'Misc. Data &amp; Mechanisms'!$W$1053</c:f>
                  <c:strCache>
                    <c:ptCount val="1"/>
                    <c:pt idx="0">
                      <c:v>7.3%</c:v>
                    </c:pt>
                  </c:strCache>
                </c:strRef>
              </c:tx>
              <c:showLegendKey val="0"/>
              <c:showVal val="1"/>
              <c:showCatName val="0"/>
              <c:showSerName val="0"/>
              <c:showPercent val="0"/>
              <c:showBubbleSize val="0"/>
            </c:dLbl>
            <c:txPr>
              <a:bodyPr/>
              <a:lstStyle/>
              <a:p>
                <a:pPr>
                  <a:defRPr>
                    <a:solidFill>
                      <a:schemeClr val="bg1"/>
                    </a:solidFill>
                  </a:defRPr>
                </a:pPr>
                <a:endParaRPr lang="en-US"/>
              </a:p>
            </c:txPr>
            <c:showLegendKey val="0"/>
            <c:showVal val="1"/>
            <c:showCatName val="0"/>
            <c:showSerName val="0"/>
            <c:showPercent val="0"/>
            <c:showBubbleSize val="0"/>
            <c:showLeaderLines val="0"/>
          </c:dLbls>
          <c:cat>
            <c:numRef>
              <c:f>'Misc. Data &amp; Mechanisms'!$Q$1032:$W$1032</c:f>
              <c:numCache>
                <c:formatCode>General</c:formatCode>
                <c:ptCount val="7"/>
                <c:pt idx="0">
                  <c:v>2012</c:v>
                </c:pt>
                <c:pt idx="1">
                  <c:v>2013</c:v>
                </c:pt>
                <c:pt idx="2">
                  <c:v>2014</c:v>
                </c:pt>
                <c:pt idx="3">
                  <c:v>2015</c:v>
                </c:pt>
                <c:pt idx="4">
                  <c:v>2016</c:v>
                </c:pt>
                <c:pt idx="5">
                  <c:v>2017</c:v>
                </c:pt>
                <c:pt idx="6">
                  <c:v>2018</c:v>
                </c:pt>
              </c:numCache>
            </c:numRef>
          </c:cat>
          <c:val>
            <c:numRef>
              <c:f>'Misc. Data &amp; Mechanisms'!$Q$1036:$W$1036</c:f>
              <c:numCache>
                <c:formatCode>General</c:formatCode>
                <c:ptCount val="7"/>
                <c:pt idx="0">
                  <c:v>27.720239282945968</c:v>
                </c:pt>
                <c:pt idx="1">
                  <c:v>65.556084160642541</c:v>
                </c:pt>
                <c:pt idx="2">
                  <c:v>80.788238575471297</c:v>
                </c:pt>
                <c:pt idx="3">
                  <c:v>87.243764202716122</c:v>
                </c:pt>
                <c:pt idx="4">
                  <c:v>124.10832428049849</c:v>
                </c:pt>
                <c:pt idx="5">
                  <c:v>138.37715781620059</c:v>
                </c:pt>
                <c:pt idx="6">
                  <c:v>85.123510630937787</c:v>
                </c:pt>
              </c:numCache>
            </c:numRef>
          </c:val>
        </c:ser>
        <c:ser>
          <c:idx val="1"/>
          <c:order val="1"/>
          <c:tx>
            <c:strRef>
              <c:f>'Misc. Data &amp; Mechanisms'!$P$1033</c:f>
              <c:strCache>
                <c:ptCount val="1"/>
                <c:pt idx="0">
                  <c:v>Energy</c:v>
                </c:pt>
              </c:strCache>
            </c:strRef>
          </c:tx>
          <c:spPr>
            <a:solidFill>
              <a:schemeClr val="accent5">
                <a:lumMod val="75000"/>
              </a:schemeClr>
            </a:solidFill>
          </c:spPr>
          <c:invertIfNegative val="0"/>
          <c:dLbls>
            <c:dLbl>
              <c:idx val="0"/>
              <c:tx>
                <c:strRef>
                  <c:f>'Misc. Data &amp; Mechanisms'!$Q$1050</c:f>
                  <c:strCache>
                    <c:ptCount val="1"/>
                    <c:pt idx="0">
                      <c:v>37.3%</c:v>
                    </c:pt>
                  </c:strCache>
                </c:strRef>
              </c:tx>
              <c:showLegendKey val="0"/>
              <c:showVal val="1"/>
              <c:showCatName val="0"/>
              <c:showSerName val="0"/>
              <c:showPercent val="0"/>
              <c:showBubbleSize val="0"/>
            </c:dLbl>
            <c:dLbl>
              <c:idx val="1"/>
              <c:tx>
                <c:strRef>
                  <c:f>'Misc. Data &amp; Mechanisms'!$R$1050</c:f>
                  <c:strCache>
                    <c:ptCount val="1"/>
                    <c:pt idx="0">
                      <c:v>38.1%</c:v>
                    </c:pt>
                  </c:strCache>
                </c:strRef>
              </c:tx>
              <c:showLegendKey val="0"/>
              <c:showVal val="1"/>
              <c:showCatName val="0"/>
              <c:showSerName val="0"/>
              <c:showPercent val="0"/>
              <c:showBubbleSize val="0"/>
            </c:dLbl>
            <c:dLbl>
              <c:idx val="2"/>
              <c:tx>
                <c:strRef>
                  <c:f>'Misc. Data &amp; Mechanisms'!$S$1050</c:f>
                  <c:strCache>
                    <c:ptCount val="1"/>
                    <c:pt idx="0">
                      <c:v>47.9%</c:v>
                    </c:pt>
                  </c:strCache>
                </c:strRef>
              </c:tx>
              <c:showLegendKey val="0"/>
              <c:showVal val="1"/>
              <c:showCatName val="0"/>
              <c:showSerName val="0"/>
              <c:showPercent val="0"/>
              <c:showBubbleSize val="0"/>
            </c:dLbl>
            <c:dLbl>
              <c:idx val="3"/>
              <c:tx>
                <c:strRef>
                  <c:f>'Misc. Data &amp; Mechanisms'!$T$1050</c:f>
                  <c:strCache>
                    <c:ptCount val="1"/>
                    <c:pt idx="0">
                      <c:v>31.8%</c:v>
                    </c:pt>
                  </c:strCache>
                </c:strRef>
              </c:tx>
              <c:showLegendKey val="0"/>
              <c:showVal val="1"/>
              <c:showCatName val="0"/>
              <c:showSerName val="0"/>
              <c:showPercent val="0"/>
              <c:showBubbleSize val="0"/>
            </c:dLbl>
            <c:dLbl>
              <c:idx val="4"/>
              <c:tx>
                <c:strRef>
                  <c:f>'Misc. Data &amp; Mechanisms'!$U$1050</c:f>
                  <c:strCache>
                    <c:ptCount val="1"/>
                    <c:pt idx="0">
                      <c:v>26.9%</c:v>
                    </c:pt>
                  </c:strCache>
                </c:strRef>
              </c:tx>
              <c:showLegendKey val="0"/>
              <c:showVal val="1"/>
              <c:showCatName val="0"/>
              <c:showSerName val="0"/>
              <c:showPercent val="0"/>
              <c:showBubbleSize val="0"/>
            </c:dLbl>
            <c:dLbl>
              <c:idx val="5"/>
              <c:tx>
                <c:strRef>
                  <c:f>'Misc. Data &amp; Mechanisms'!$V$1050</c:f>
                  <c:strCache>
                    <c:ptCount val="1"/>
                    <c:pt idx="0">
                      <c:v>24.8%</c:v>
                    </c:pt>
                  </c:strCache>
                </c:strRef>
              </c:tx>
              <c:showLegendKey val="0"/>
              <c:showVal val="1"/>
              <c:showCatName val="0"/>
              <c:showSerName val="0"/>
              <c:showPercent val="0"/>
              <c:showBubbleSize val="0"/>
            </c:dLbl>
            <c:dLbl>
              <c:idx val="6"/>
              <c:tx>
                <c:strRef>
                  <c:f>'Misc. Data &amp; Mechanisms'!$W$1050</c:f>
                  <c:strCache>
                    <c:ptCount val="1"/>
                    <c:pt idx="0">
                      <c:v>21.5%</c:v>
                    </c:pt>
                  </c:strCache>
                </c:strRef>
              </c:tx>
              <c:showLegendKey val="0"/>
              <c:showVal val="1"/>
              <c:showCatName val="0"/>
              <c:showSerName val="0"/>
              <c:showPercent val="0"/>
              <c:showBubbleSize val="0"/>
            </c:dLbl>
            <c:txPr>
              <a:bodyPr/>
              <a:lstStyle/>
              <a:p>
                <a:pPr>
                  <a:defRPr>
                    <a:solidFill>
                      <a:schemeClr val="bg1"/>
                    </a:solidFill>
                  </a:defRPr>
                </a:pPr>
                <a:endParaRPr lang="en-US"/>
              </a:p>
            </c:txPr>
            <c:showLegendKey val="0"/>
            <c:showVal val="1"/>
            <c:showCatName val="0"/>
            <c:showSerName val="0"/>
            <c:showPercent val="0"/>
            <c:showBubbleSize val="0"/>
            <c:showLeaderLines val="0"/>
          </c:dLbls>
          <c:cat>
            <c:numRef>
              <c:f>'Misc. Data &amp; Mechanisms'!$Q$1032:$W$1032</c:f>
              <c:numCache>
                <c:formatCode>General</c:formatCode>
                <c:ptCount val="7"/>
                <c:pt idx="0">
                  <c:v>2012</c:v>
                </c:pt>
                <c:pt idx="1">
                  <c:v>2013</c:v>
                </c:pt>
                <c:pt idx="2">
                  <c:v>2014</c:v>
                </c:pt>
                <c:pt idx="3">
                  <c:v>2015</c:v>
                </c:pt>
                <c:pt idx="4">
                  <c:v>2016</c:v>
                </c:pt>
                <c:pt idx="5">
                  <c:v>2017</c:v>
                </c:pt>
                <c:pt idx="6">
                  <c:v>2018</c:v>
                </c:pt>
              </c:numCache>
            </c:numRef>
          </c:cat>
          <c:val>
            <c:numRef>
              <c:f>'Misc. Data &amp; Mechanisms'!$Q$1033:$W$1033</c:f>
              <c:numCache>
                <c:formatCode>General</c:formatCode>
                <c:ptCount val="7"/>
                <c:pt idx="0">
                  <c:v>327.79452081215163</c:v>
                </c:pt>
                <c:pt idx="1">
                  <c:v>404.1781281648615</c:v>
                </c:pt>
                <c:pt idx="2">
                  <c:v>678.92828702830366</c:v>
                </c:pt>
                <c:pt idx="3">
                  <c:v>324.55160169321761</c:v>
                </c:pt>
                <c:pt idx="4">
                  <c:v>271.06103577840105</c:v>
                </c:pt>
                <c:pt idx="5">
                  <c:v>302.15685045597871</c:v>
                </c:pt>
                <c:pt idx="6">
                  <c:v>249.01953252633191</c:v>
                </c:pt>
              </c:numCache>
            </c:numRef>
          </c:val>
        </c:ser>
        <c:ser>
          <c:idx val="2"/>
          <c:order val="2"/>
          <c:tx>
            <c:strRef>
              <c:f>'Misc. Data &amp; Mechanisms'!$P$1034</c:f>
              <c:strCache>
                <c:ptCount val="1"/>
                <c:pt idx="0">
                  <c:v>Distribution</c:v>
                </c:pt>
              </c:strCache>
            </c:strRef>
          </c:tx>
          <c:spPr>
            <a:solidFill>
              <a:schemeClr val="accent1">
                <a:lumMod val="75000"/>
              </a:schemeClr>
            </a:solidFill>
          </c:spPr>
          <c:invertIfNegative val="0"/>
          <c:dLbls>
            <c:dLbl>
              <c:idx val="0"/>
              <c:tx>
                <c:strRef>
                  <c:f>'Misc. Data &amp; Mechanisms'!$Q$1051</c:f>
                  <c:strCache>
                    <c:ptCount val="1"/>
                    <c:pt idx="0">
                      <c:v>36.9%</c:v>
                    </c:pt>
                  </c:strCache>
                </c:strRef>
              </c:tx>
              <c:showLegendKey val="0"/>
              <c:showVal val="1"/>
              <c:showCatName val="0"/>
              <c:showSerName val="0"/>
              <c:showPercent val="0"/>
              <c:showBubbleSize val="0"/>
            </c:dLbl>
            <c:dLbl>
              <c:idx val="1"/>
              <c:tx>
                <c:strRef>
                  <c:f>'Misc. Data &amp; Mechanisms'!$R$1051</c:f>
                  <c:strCache>
                    <c:ptCount val="1"/>
                    <c:pt idx="0">
                      <c:v>34.6%</c:v>
                    </c:pt>
                  </c:strCache>
                </c:strRef>
              </c:tx>
              <c:showLegendKey val="0"/>
              <c:showVal val="1"/>
              <c:showCatName val="0"/>
              <c:showSerName val="0"/>
              <c:showPercent val="0"/>
              <c:showBubbleSize val="0"/>
            </c:dLbl>
            <c:dLbl>
              <c:idx val="2"/>
              <c:tx>
                <c:strRef>
                  <c:f>'Misc. Data &amp; Mechanisms'!$S$1051</c:f>
                  <c:strCache>
                    <c:ptCount val="1"/>
                    <c:pt idx="0">
                      <c:v>26.9%</c:v>
                    </c:pt>
                  </c:strCache>
                </c:strRef>
              </c:tx>
              <c:showLegendKey val="0"/>
              <c:showVal val="1"/>
              <c:showCatName val="0"/>
              <c:showSerName val="0"/>
              <c:showPercent val="0"/>
              <c:showBubbleSize val="0"/>
            </c:dLbl>
            <c:dLbl>
              <c:idx val="3"/>
              <c:tx>
                <c:strRef>
                  <c:f>'Misc. Data &amp; Mechanisms'!$T$1051</c:f>
                  <c:strCache>
                    <c:ptCount val="1"/>
                    <c:pt idx="0">
                      <c:v>38.2%</c:v>
                    </c:pt>
                  </c:strCache>
                </c:strRef>
              </c:tx>
              <c:showLegendKey val="0"/>
              <c:showVal val="1"/>
              <c:showCatName val="0"/>
              <c:showSerName val="0"/>
              <c:showPercent val="0"/>
              <c:showBubbleSize val="0"/>
            </c:dLbl>
            <c:dLbl>
              <c:idx val="4"/>
              <c:tx>
                <c:strRef>
                  <c:f>'Misc. Data &amp; Mechanisms'!$U$1051</c:f>
                  <c:strCache>
                    <c:ptCount val="1"/>
                    <c:pt idx="0">
                      <c:v>38.5%</c:v>
                    </c:pt>
                  </c:strCache>
                </c:strRef>
              </c:tx>
              <c:showLegendKey val="0"/>
              <c:showVal val="1"/>
              <c:showCatName val="0"/>
              <c:showSerName val="0"/>
              <c:showPercent val="0"/>
              <c:showBubbleSize val="0"/>
            </c:dLbl>
            <c:dLbl>
              <c:idx val="5"/>
              <c:tx>
                <c:strRef>
                  <c:f>'Misc. Data &amp; Mechanisms'!$V$1051</c:f>
                  <c:strCache>
                    <c:ptCount val="1"/>
                    <c:pt idx="0">
                      <c:v>33.2%</c:v>
                    </c:pt>
                  </c:strCache>
                </c:strRef>
              </c:tx>
              <c:showLegendKey val="0"/>
              <c:showVal val="1"/>
              <c:showCatName val="0"/>
              <c:showSerName val="0"/>
              <c:showPercent val="0"/>
              <c:showBubbleSize val="0"/>
            </c:dLbl>
            <c:dLbl>
              <c:idx val="6"/>
              <c:tx>
                <c:strRef>
                  <c:f>'Misc. Data &amp; Mechanisms'!$W$1051</c:f>
                  <c:strCache>
                    <c:ptCount val="1"/>
                    <c:pt idx="0">
                      <c:v>33.7%</c:v>
                    </c:pt>
                  </c:strCache>
                </c:strRef>
              </c:tx>
              <c:showLegendKey val="0"/>
              <c:showVal val="1"/>
              <c:showCatName val="0"/>
              <c:showSerName val="0"/>
              <c:showPercent val="0"/>
              <c:showBubbleSize val="0"/>
            </c:dLbl>
            <c:txPr>
              <a:bodyPr/>
              <a:lstStyle/>
              <a:p>
                <a:pPr>
                  <a:defRPr>
                    <a:solidFill>
                      <a:schemeClr val="bg1"/>
                    </a:solidFill>
                  </a:defRPr>
                </a:pPr>
                <a:endParaRPr lang="en-US"/>
              </a:p>
            </c:txPr>
            <c:showLegendKey val="0"/>
            <c:showVal val="1"/>
            <c:showCatName val="0"/>
            <c:showSerName val="0"/>
            <c:showPercent val="0"/>
            <c:showBubbleSize val="0"/>
            <c:showLeaderLines val="0"/>
          </c:dLbls>
          <c:cat>
            <c:numRef>
              <c:f>'Misc. Data &amp; Mechanisms'!$Q$1032:$W$1032</c:f>
              <c:numCache>
                <c:formatCode>General</c:formatCode>
                <c:ptCount val="7"/>
                <c:pt idx="0">
                  <c:v>2012</c:v>
                </c:pt>
                <c:pt idx="1">
                  <c:v>2013</c:v>
                </c:pt>
                <c:pt idx="2">
                  <c:v>2014</c:v>
                </c:pt>
                <c:pt idx="3">
                  <c:v>2015</c:v>
                </c:pt>
                <c:pt idx="4">
                  <c:v>2016</c:v>
                </c:pt>
                <c:pt idx="5">
                  <c:v>2017</c:v>
                </c:pt>
                <c:pt idx="6">
                  <c:v>2018</c:v>
                </c:pt>
              </c:numCache>
            </c:numRef>
          </c:cat>
          <c:val>
            <c:numRef>
              <c:f>'Misc. Data &amp; Mechanisms'!$Q$1034:$W$1034</c:f>
              <c:numCache>
                <c:formatCode>General</c:formatCode>
                <c:ptCount val="7"/>
                <c:pt idx="0">
                  <c:v>324.61697802782442</c:v>
                </c:pt>
                <c:pt idx="1">
                  <c:v>367.42807658361454</c:v>
                </c:pt>
                <c:pt idx="2">
                  <c:v>380.85363676320998</c:v>
                </c:pt>
                <c:pt idx="3">
                  <c:v>389.44820870820195</c:v>
                </c:pt>
                <c:pt idx="4">
                  <c:v>387.62162154063356</c:v>
                </c:pt>
                <c:pt idx="5">
                  <c:v>405.28230378558249</c:v>
                </c:pt>
                <c:pt idx="6">
                  <c:v>390.95024240611758</c:v>
                </c:pt>
              </c:numCache>
            </c:numRef>
          </c:val>
        </c:ser>
        <c:ser>
          <c:idx val="3"/>
          <c:order val="3"/>
          <c:tx>
            <c:strRef>
              <c:f>'Misc. Data &amp; Mechanisms'!$P$1035</c:f>
              <c:strCache>
                <c:ptCount val="1"/>
                <c:pt idx="0">
                  <c:v>Local Access and Franchise Fees</c:v>
                </c:pt>
              </c:strCache>
            </c:strRef>
          </c:tx>
          <c:spPr>
            <a:solidFill>
              <a:schemeClr val="accent3">
                <a:lumMod val="75000"/>
              </a:schemeClr>
            </a:solidFill>
          </c:spPr>
          <c:invertIfNegative val="0"/>
          <c:dLbls>
            <c:dLbl>
              <c:idx val="0"/>
              <c:tx>
                <c:strRef>
                  <c:f>'Misc. Data &amp; Mechanisms'!$Q$1052</c:f>
                  <c:strCache>
                    <c:ptCount val="1"/>
                    <c:pt idx="0">
                      <c:v>8.6%</c:v>
                    </c:pt>
                  </c:strCache>
                </c:strRef>
              </c:tx>
              <c:showLegendKey val="0"/>
              <c:showVal val="1"/>
              <c:showCatName val="0"/>
              <c:showSerName val="0"/>
              <c:showPercent val="0"/>
              <c:showBubbleSize val="0"/>
            </c:dLbl>
            <c:dLbl>
              <c:idx val="1"/>
              <c:tx>
                <c:strRef>
                  <c:f>'Misc. Data &amp; Mechanisms'!$R$1052</c:f>
                  <c:strCache>
                    <c:ptCount val="1"/>
                    <c:pt idx="0">
                      <c:v>8.8%</c:v>
                    </c:pt>
                  </c:strCache>
                </c:strRef>
              </c:tx>
              <c:showLegendKey val="0"/>
              <c:showVal val="1"/>
              <c:showCatName val="0"/>
              <c:showSerName val="0"/>
              <c:showPercent val="0"/>
              <c:showBubbleSize val="0"/>
            </c:dLbl>
            <c:dLbl>
              <c:idx val="2"/>
              <c:tx>
                <c:strRef>
                  <c:f>'Misc. Data &amp; Mechanisms'!$S$1052</c:f>
                  <c:strCache>
                    <c:ptCount val="1"/>
                    <c:pt idx="0">
                      <c:v>8.9%</c:v>
                    </c:pt>
                  </c:strCache>
                </c:strRef>
              </c:tx>
              <c:showLegendKey val="0"/>
              <c:showVal val="1"/>
              <c:showCatName val="0"/>
              <c:showSerName val="0"/>
              <c:showPercent val="0"/>
              <c:showBubbleSize val="0"/>
            </c:dLbl>
            <c:dLbl>
              <c:idx val="3"/>
              <c:tx>
                <c:strRef>
                  <c:f>'Misc. Data &amp; Mechanisms'!$T$1052</c:f>
                  <c:strCache>
                    <c:ptCount val="1"/>
                    <c:pt idx="0">
                      <c:v>8.7%</c:v>
                    </c:pt>
                  </c:strCache>
                </c:strRef>
              </c:tx>
              <c:showLegendKey val="0"/>
              <c:showVal val="1"/>
              <c:showCatName val="0"/>
              <c:showSerName val="0"/>
              <c:showPercent val="0"/>
              <c:showBubbleSize val="0"/>
            </c:dLbl>
            <c:dLbl>
              <c:idx val="4"/>
              <c:tx>
                <c:strRef>
                  <c:f>'Misc. Data &amp; Mechanisms'!$U$1052</c:f>
                  <c:strCache>
                    <c:ptCount val="1"/>
                    <c:pt idx="0">
                      <c:v>8.6%</c:v>
                    </c:pt>
                  </c:strCache>
                </c:strRef>
              </c:tx>
              <c:showLegendKey val="0"/>
              <c:showVal val="1"/>
              <c:showCatName val="0"/>
              <c:showSerName val="0"/>
              <c:showPercent val="0"/>
              <c:showBubbleSize val="0"/>
            </c:dLbl>
            <c:dLbl>
              <c:idx val="5"/>
              <c:tx>
                <c:strRef>
                  <c:f>'Misc. Data &amp; Mechanisms'!$V$1052</c:f>
                  <c:strCache>
                    <c:ptCount val="1"/>
                    <c:pt idx="0">
                      <c:v>7.7%</c:v>
                    </c:pt>
                  </c:strCache>
                </c:strRef>
              </c:tx>
              <c:showLegendKey val="0"/>
              <c:showVal val="1"/>
              <c:showCatName val="0"/>
              <c:showSerName val="0"/>
              <c:showPercent val="0"/>
              <c:showBubbleSize val="0"/>
            </c:dLbl>
            <c:dLbl>
              <c:idx val="6"/>
              <c:tx>
                <c:strRef>
                  <c:f>'Misc. Data &amp; Mechanisms'!$W$1052</c:f>
                  <c:strCache>
                    <c:ptCount val="1"/>
                    <c:pt idx="0">
                      <c:v>7.0%</c:v>
                    </c:pt>
                  </c:strCache>
                </c:strRef>
              </c:tx>
              <c:showLegendKey val="0"/>
              <c:showVal val="1"/>
              <c:showCatName val="0"/>
              <c:showSerName val="0"/>
              <c:showPercent val="0"/>
              <c:showBubbleSize val="0"/>
            </c:dLbl>
            <c:txPr>
              <a:bodyPr/>
              <a:lstStyle/>
              <a:p>
                <a:pPr>
                  <a:defRPr>
                    <a:solidFill>
                      <a:schemeClr val="bg1"/>
                    </a:solidFill>
                  </a:defRPr>
                </a:pPr>
                <a:endParaRPr lang="en-US"/>
              </a:p>
            </c:txPr>
            <c:showLegendKey val="0"/>
            <c:showVal val="1"/>
            <c:showCatName val="0"/>
            <c:showSerName val="0"/>
            <c:showPercent val="0"/>
            <c:showBubbleSize val="0"/>
            <c:showLeaderLines val="0"/>
          </c:dLbls>
          <c:cat>
            <c:numRef>
              <c:f>'Misc. Data &amp; Mechanisms'!$Q$1032:$W$1032</c:f>
              <c:numCache>
                <c:formatCode>General</c:formatCode>
                <c:ptCount val="7"/>
                <c:pt idx="0">
                  <c:v>2012</c:v>
                </c:pt>
                <c:pt idx="1">
                  <c:v>2013</c:v>
                </c:pt>
                <c:pt idx="2">
                  <c:v>2014</c:v>
                </c:pt>
                <c:pt idx="3">
                  <c:v>2015</c:v>
                </c:pt>
                <c:pt idx="4">
                  <c:v>2016</c:v>
                </c:pt>
                <c:pt idx="5">
                  <c:v>2017</c:v>
                </c:pt>
                <c:pt idx="6">
                  <c:v>2018</c:v>
                </c:pt>
              </c:numCache>
            </c:numRef>
          </c:cat>
          <c:val>
            <c:numRef>
              <c:f>'Misc. Data &amp; Mechanisms'!$Q$1035:$W$1035</c:f>
              <c:numCache>
                <c:formatCode>General</c:formatCode>
                <c:ptCount val="7"/>
                <c:pt idx="0">
                  <c:v>75.562636105456647</c:v>
                </c:pt>
                <c:pt idx="1">
                  <c:v>93.008730297803069</c:v>
                </c:pt>
                <c:pt idx="2">
                  <c:v>126.71734503897203</c:v>
                </c:pt>
                <c:pt idx="3">
                  <c:v>89.018161138519488</c:v>
                </c:pt>
                <c:pt idx="4">
                  <c:v>86.968078055708133</c:v>
                </c:pt>
                <c:pt idx="5">
                  <c:v>93.970192269617328</c:v>
                </c:pt>
                <c:pt idx="6">
                  <c:v>80.557864026092332</c:v>
                </c:pt>
              </c:numCache>
            </c:numRef>
          </c:val>
        </c:ser>
        <c:ser>
          <c:idx val="5"/>
          <c:order val="4"/>
          <c:tx>
            <c:strRef>
              <c:f>'Misc. Data &amp; Mechanisms'!$P$1037</c:f>
              <c:strCache>
                <c:ptCount val="1"/>
                <c:pt idx="0">
                  <c:v>Administration</c:v>
                </c:pt>
              </c:strCache>
            </c:strRef>
          </c:tx>
          <c:spPr>
            <a:solidFill>
              <a:schemeClr val="accent6">
                <a:lumMod val="75000"/>
              </a:schemeClr>
            </a:solidFill>
          </c:spPr>
          <c:invertIfNegative val="0"/>
          <c:dLbls>
            <c:dLbl>
              <c:idx val="0"/>
              <c:tx>
                <c:strRef>
                  <c:f>'Misc. Data &amp; Mechanisms'!$Q$1054</c:f>
                  <c:strCache>
                    <c:ptCount val="1"/>
                    <c:pt idx="0">
                      <c:v>9.3%</c:v>
                    </c:pt>
                  </c:strCache>
                </c:strRef>
              </c:tx>
              <c:showLegendKey val="0"/>
              <c:showVal val="1"/>
              <c:showCatName val="0"/>
              <c:showSerName val="0"/>
              <c:showPercent val="0"/>
              <c:showBubbleSize val="0"/>
            </c:dLbl>
            <c:dLbl>
              <c:idx val="1"/>
              <c:tx>
                <c:strRef>
                  <c:f>'Misc. Data &amp; Mechanisms'!$R$1054</c:f>
                  <c:strCache>
                    <c:ptCount val="1"/>
                    <c:pt idx="0">
                      <c:v>7.7%</c:v>
                    </c:pt>
                  </c:strCache>
                </c:strRef>
              </c:tx>
              <c:showLegendKey val="0"/>
              <c:showVal val="1"/>
              <c:showCatName val="0"/>
              <c:showSerName val="0"/>
              <c:showPercent val="0"/>
              <c:showBubbleSize val="0"/>
            </c:dLbl>
            <c:dLbl>
              <c:idx val="2"/>
              <c:tx>
                <c:strRef>
                  <c:f>'Misc. Data &amp; Mechanisms'!$S$1054</c:f>
                  <c:strCache>
                    <c:ptCount val="1"/>
                    <c:pt idx="0">
                      <c:v>5.7%</c:v>
                    </c:pt>
                  </c:strCache>
                </c:strRef>
              </c:tx>
              <c:showLegendKey val="0"/>
              <c:showVal val="1"/>
              <c:showCatName val="0"/>
              <c:showSerName val="0"/>
              <c:showPercent val="0"/>
              <c:showBubbleSize val="0"/>
            </c:dLbl>
            <c:dLbl>
              <c:idx val="3"/>
              <c:tx>
                <c:strRef>
                  <c:f>'Misc. Data &amp; Mechanisms'!$T$1054</c:f>
                  <c:strCache>
                    <c:ptCount val="1"/>
                    <c:pt idx="0">
                      <c:v>8.0%</c:v>
                    </c:pt>
                  </c:strCache>
                </c:strRef>
              </c:tx>
              <c:showLegendKey val="0"/>
              <c:showVal val="1"/>
              <c:showCatName val="0"/>
              <c:showSerName val="0"/>
              <c:showPercent val="0"/>
              <c:showBubbleSize val="0"/>
            </c:dLbl>
            <c:dLbl>
              <c:idx val="4"/>
              <c:tx>
                <c:strRef>
                  <c:f>'Misc. Data &amp; Mechanisms'!$U$1054</c:f>
                  <c:strCache>
                    <c:ptCount val="1"/>
                    <c:pt idx="0">
                      <c:v>8.8%</c:v>
                    </c:pt>
                  </c:strCache>
                </c:strRef>
              </c:tx>
              <c:showLegendKey val="0"/>
              <c:showVal val="1"/>
              <c:showCatName val="0"/>
              <c:showSerName val="0"/>
              <c:showPercent val="0"/>
              <c:showBubbleSize val="0"/>
            </c:dLbl>
            <c:dLbl>
              <c:idx val="5"/>
              <c:tx>
                <c:strRef>
                  <c:f>'Misc. Data &amp; Mechanisms'!$V$1054</c:f>
                  <c:strCache>
                    <c:ptCount val="1"/>
                    <c:pt idx="0">
                      <c:v>7.4%</c:v>
                    </c:pt>
                  </c:strCache>
                </c:strRef>
              </c:tx>
              <c:showLegendKey val="0"/>
              <c:showVal val="1"/>
              <c:showCatName val="0"/>
              <c:showSerName val="0"/>
              <c:showPercent val="0"/>
              <c:showBubbleSize val="0"/>
            </c:dLbl>
            <c:dLbl>
              <c:idx val="6"/>
              <c:tx>
                <c:strRef>
                  <c:f>'Misc. Data &amp; Mechanisms'!$W$1054</c:f>
                  <c:strCache>
                    <c:ptCount val="1"/>
                    <c:pt idx="0">
                      <c:v>8.0%</c:v>
                    </c:pt>
                  </c:strCache>
                </c:strRef>
              </c:tx>
              <c:showLegendKey val="0"/>
              <c:showVal val="1"/>
              <c:showCatName val="0"/>
              <c:showSerName val="0"/>
              <c:showPercent val="0"/>
              <c:showBubbleSize val="0"/>
            </c:dLbl>
            <c:txPr>
              <a:bodyPr/>
              <a:lstStyle/>
              <a:p>
                <a:pPr>
                  <a:defRPr>
                    <a:solidFill>
                      <a:schemeClr val="bg1"/>
                    </a:solidFill>
                  </a:defRPr>
                </a:pPr>
                <a:endParaRPr lang="en-US"/>
              </a:p>
            </c:txPr>
            <c:showLegendKey val="0"/>
            <c:showVal val="1"/>
            <c:showCatName val="0"/>
            <c:showSerName val="0"/>
            <c:showPercent val="0"/>
            <c:showBubbleSize val="0"/>
            <c:showLeaderLines val="0"/>
          </c:dLbls>
          <c:cat>
            <c:numRef>
              <c:f>'Misc. Data &amp; Mechanisms'!$Q$1032:$W$1032</c:f>
              <c:numCache>
                <c:formatCode>General</c:formatCode>
                <c:ptCount val="7"/>
                <c:pt idx="0">
                  <c:v>2012</c:v>
                </c:pt>
                <c:pt idx="1">
                  <c:v>2013</c:v>
                </c:pt>
                <c:pt idx="2">
                  <c:v>2014</c:v>
                </c:pt>
                <c:pt idx="3">
                  <c:v>2015</c:v>
                </c:pt>
                <c:pt idx="4">
                  <c:v>2016</c:v>
                </c:pt>
                <c:pt idx="5">
                  <c:v>2017</c:v>
                </c:pt>
                <c:pt idx="6">
                  <c:v>2018</c:v>
                </c:pt>
              </c:numCache>
            </c:numRef>
          </c:cat>
          <c:val>
            <c:numRef>
              <c:f>'Misc. Data &amp; Mechanisms'!$Q$1037:$W$1037</c:f>
              <c:numCache>
                <c:formatCode>General</c:formatCode>
                <c:ptCount val="7"/>
                <c:pt idx="0">
                  <c:v>81.617999999999981</c:v>
                </c:pt>
                <c:pt idx="1">
                  <c:v>81.394999999999982</c:v>
                </c:pt>
                <c:pt idx="2">
                  <c:v>81.394999999999982</c:v>
                </c:pt>
                <c:pt idx="3">
                  <c:v>81.394999999999982</c:v>
                </c:pt>
                <c:pt idx="4">
                  <c:v>88.767999999999986</c:v>
                </c:pt>
                <c:pt idx="5">
                  <c:v>90.884999999999991</c:v>
                </c:pt>
                <c:pt idx="6">
                  <c:v>93.001000000000005</c:v>
                </c:pt>
              </c:numCache>
            </c:numRef>
          </c:val>
        </c:ser>
        <c:ser>
          <c:idx val="0"/>
          <c:order val="5"/>
          <c:tx>
            <c:strRef>
              <c:f>'Misc. Data &amp; Mechanisms'!$P$1038</c:f>
              <c:strCache>
                <c:ptCount val="1"/>
                <c:pt idx="0">
                  <c:v>Carbon</c:v>
                </c:pt>
              </c:strCache>
            </c:strRef>
          </c:tx>
          <c:spPr>
            <a:solidFill>
              <a:schemeClr val="tx1"/>
            </a:solidFill>
          </c:spPr>
          <c:invertIfNegative val="0"/>
          <c:dLbls>
            <c:dLbl>
              <c:idx val="0"/>
              <c:delete val="1"/>
            </c:dLbl>
            <c:dLbl>
              <c:idx val="1"/>
              <c:delete val="1"/>
            </c:dLbl>
            <c:dLbl>
              <c:idx val="2"/>
              <c:delete val="1"/>
            </c:dLbl>
            <c:dLbl>
              <c:idx val="3"/>
              <c:delete val="1"/>
            </c:dLbl>
            <c:dLbl>
              <c:idx val="4"/>
              <c:delete val="1"/>
            </c:dLbl>
            <c:dLbl>
              <c:idx val="5"/>
              <c:tx>
                <c:strRef>
                  <c:f>'Misc. Data &amp; Mechanisms'!$V$1055</c:f>
                  <c:strCache>
                    <c:ptCount val="1"/>
                    <c:pt idx="0">
                      <c:v>10.8%</c:v>
                    </c:pt>
                  </c:strCache>
                </c:strRef>
              </c:tx>
              <c:showLegendKey val="0"/>
              <c:showVal val="1"/>
              <c:showCatName val="0"/>
              <c:showSerName val="0"/>
              <c:showPercent val="0"/>
              <c:showBubbleSize val="0"/>
            </c:dLbl>
            <c:dLbl>
              <c:idx val="6"/>
              <c:tx>
                <c:strRef>
                  <c:f>'Misc. Data &amp; Mechanisms'!$W$1055</c:f>
                  <c:strCache>
                    <c:ptCount val="1"/>
                    <c:pt idx="0">
                      <c:v>17.7%</c:v>
                    </c:pt>
                  </c:strCache>
                </c:strRef>
              </c:tx>
              <c:showLegendKey val="0"/>
              <c:showVal val="1"/>
              <c:showCatName val="0"/>
              <c:showSerName val="0"/>
              <c:showPercent val="0"/>
              <c:showBubbleSize val="0"/>
            </c:dLbl>
            <c:spPr>
              <a:noFill/>
            </c:spPr>
            <c:txPr>
              <a:bodyPr/>
              <a:lstStyle/>
              <a:p>
                <a:pPr>
                  <a:defRPr>
                    <a:solidFill>
                      <a:schemeClr val="bg1"/>
                    </a:solidFill>
                  </a:defRPr>
                </a:pPr>
                <a:endParaRPr lang="en-US"/>
              </a:p>
            </c:txPr>
            <c:showLegendKey val="0"/>
            <c:showVal val="1"/>
            <c:showCatName val="0"/>
            <c:showSerName val="0"/>
            <c:showPercent val="0"/>
            <c:showBubbleSize val="0"/>
            <c:showLeaderLines val="0"/>
          </c:dLbls>
          <c:cat>
            <c:numRef>
              <c:f>'Misc. Data &amp; Mechanisms'!$Q$1032:$W$1032</c:f>
              <c:numCache>
                <c:formatCode>General</c:formatCode>
                <c:ptCount val="7"/>
                <c:pt idx="0">
                  <c:v>2012</c:v>
                </c:pt>
                <c:pt idx="1">
                  <c:v>2013</c:v>
                </c:pt>
                <c:pt idx="2">
                  <c:v>2014</c:v>
                </c:pt>
                <c:pt idx="3">
                  <c:v>2015</c:v>
                </c:pt>
                <c:pt idx="4">
                  <c:v>2016</c:v>
                </c:pt>
                <c:pt idx="5">
                  <c:v>2017</c:v>
                </c:pt>
                <c:pt idx="6">
                  <c:v>2018</c:v>
                </c:pt>
              </c:numCache>
            </c:numRef>
          </c:cat>
          <c:val>
            <c:numRef>
              <c:f>'Misc. Data &amp; Mechanisms'!$Q$1038:$W$1038</c:f>
              <c:numCache>
                <c:formatCode>General</c:formatCode>
                <c:ptCount val="7"/>
                <c:pt idx="0">
                  <c:v>0</c:v>
                </c:pt>
                <c:pt idx="1">
                  <c:v>0</c:v>
                </c:pt>
                <c:pt idx="2">
                  <c:v>0</c:v>
                </c:pt>
                <c:pt idx="3">
                  <c:v>0</c:v>
                </c:pt>
                <c:pt idx="4">
                  <c:v>0</c:v>
                </c:pt>
                <c:pt idx="5">
                  <c:v>131.56459569134475</c:v>
                </c:pt>
                <c:pt idx="6">
                  <c:v>204.60921543139671</c:v>
                </c:pt>
              </c:numCache>
            </c:numRef>
          </c:val>
        </c:ser>
        <c:ser>
          <c:idx val="6"/>
          <c:order val="6"/>
          <c:tx>
            <c:strRef>
              <c:f>'Misc. Data &amp; Mechanisms'!$P$1039</c:f>
              <c:strCache>
                <c:ptCount val="1"/>
                <c:pt idx="0">
                  <c:v>GST</c:v>
                </c:pt>
              </c:strCache>
            </c:strRef>
          </c:tx>
          <c:spPr>
            <a:solidFill>
              <a:srgbClr val="996633"/>
            </a:solidFill>
          </c:spPr>
          <c:invertIfNegative val="0"/>
          <c:dLbls>
            <c:dLbl>
              <c:idx val="0"/>
              <c:tx>
                <c:strRef>
                  <c:f>'Misc. Data &amp; Mechanisms'!$Q$1056</c:f>
                  <c:strCache>
                    <c:ptCount val="1"/>
                    <c:pt idx="0">
                      <c:v>4.8%</c:v>
                    </c:pt>
                  </c:strCache>
                </c:strRef>
              </c:tx>
              <c:showLegendKey val="0"/>
              <c:showVal val="1"/>
              <c:showCatName val="0"/>
              <c:showSerName val="0"/>
              <c:showPercent val="0"/>
              <c:showBubbleSize val="0"/>
            </c:dLbl>
            <c:dLbl>
              <c:idx val="1"/>
              <c:tx>
                <c:strRef>
                  <c:f>'Misc. Data &amp; Mechanisms'!$R$1056</c:f>
                  <c:strCache>
                    <c:ptCount val="1"/>
                    <c:pt idx="0">
                      <c:v>4.8%</c:v>
                    </c:pt>
                  </c:strCache>
                </c:strRef>
              </c:tx>
              <c:showLegendKey val="0"/>
              <c:showVal val="1"/>
              <c:showCatName val="0"/>
              <c:showSerName val="0"/>
              <c:showPercent val="0"/>
              <c:showBubbleSize val="0"/>
            </c:dLbl>
            <c:dLbl>
              <c:idx val="2"/>
              <c:tx>
                <c:strRef>
                  <c:f>'Misc. Data &amp; Mechanisms'!$S$1056</c:f>
                  <c:strCache>
                    <c:ptCount val="1"/>
                    <c:pt idx="0">
                      <c:v>4.8%</c:v>
                    </c:pt>
                  </c:strCache>
                </c:strRef>
              </c:tx>
              <c:showLegendKey val="0"/>
              <c:showVal val="1"/>
              <c:showCatName val="0"/>
              <c:showSerName val="0"/>
              <c:showPercent val="0"/>
              <c:showBubbleSize val="0"/>
            </c:dLbl>
            <c:dLbl>
              <c:idx val="3"/>
              <c:tx>
                <c:strRef>
                  <c:f>'Misc. Data &amp; Mechanisms'!$T$1056</c:f>
                  <c:strCache>
                    <c:ptCount val="1"/>
                    <c:pt idx="0">
                      <c:v>4.8%</c:v>
                    </c:pt>
                  </c:strCache>
                </c:strRef>
              </c:tx>
              <c:showLegendKey val="0"/>
              <c:showVal val="1"/>
              <c:showCatName val="0"/>
              <c:showSerName val="0"/>
              <c:showPercent val="0"/>
              <c:showBubbleSize val="0"/>
            </c:dLbl>
            <c:dLbl>
              <c:idx val="4"/>
              <c:tx>
                <c:strRef>
                  <c:f>'Misc. Data &amp; Mechanisms'!$U$1056</c:f>
                  <c:strCache>
                    <c:ptCount val="1"/>
                    <c:pt idx="0">
                      <c:v>4.8%</c:v>
                    </c:pt>
                  </c:strCache>
                </c:strRef>
              </c:tx>
              <c:showLegendKey val="0"/>
              <c:showVal val="1"/>
              <c:showCatName val="0"/>
              <c:showSerName val="0"/>
              <c:showPercent val="0"/>
              <c:showBubbleSize val="0"/>
            </c:dLbl>
            <c:dLbl>
              <c:idx val="5"/>
              <c:tx>
                <c:strRef>
                  <c:f>'Misc. Data &amp; Mechanisms'!$V$1056</c:f>
                  <c:strCache>
                    <c:ptCount val="1"/>
                    <c:pt idx="0">
                      <c:v>4.8%</c:v>
                    </c:pt>
                  </c:strCache>
                </c:strRef>
              </c:tx>
              <c:showLegendKey val="0"/>
              <c:showVal val="1"/>
              <c:showCatName val="0"/>
              <c:showSerName val="0"/>
              <c:showPercent val="0"/>
              <c:showBubbleSize val="0"/>
            </c:dLbl>
            <c:dLbl>
              <c:idx val="6"/>
              <c:tx>
                <c:strRef>
                  <c:f>'Misc. Data &amp; Mechanisms'!$W$1056</c:f>
                  <c:strCache>
                    <c:ptCount val="1"/>
                    <c:pt idx="0">
                      <c:v>4.8%</c:v>
                    </c:pt>
                  </c:strCache>
                </c:strRef>
              </c:tx>
              <c:showLegendKey val="0"/>
              <c:showVal val="1"/>
              <c:showCatName val="0"/>
              <c:showSerName val="0"/>
              <c:showPercent val="0"/>
              <c:showBubbleSize val="0"/>
            </c:dLbl>
            <c:numFmt formatCode="General" sourceLinked="0"/>
            <c:txPr>
              <a:bodyPr/>
              <a:lstStyle/>
              <a:p>
                <a:pPr>
                  <a:defRPr>
                    <a:solidFill>
                      <a:schemeClr val="bg1"/>
                    </a:solidFill>
                  </a:defRPr>
                </a:pPr>
                <a:endParaRPr lang="en-US"/>
              </a:p>
            </c:txPr>
            <c:showLegendKey val="0"/>
            <c:showVal val="1"/>
            <c:showCatName val="0"/>
            <c:showSerName val="0"/>
            <c:showPercent val="0"/>
            <c:showBubbleSize val="0"/>
            <c:showLeaderLines val="0"/>
          </c:dLbls>
          <c:cat>
            <c:numRef>
              <c:f>'Misc. Data &amp; Mechanisms'!$Q$1032:$W$1032</c:f>
              <c:numCache>
                <c:formatCode>General</c:formatCode>
                <c:ptCount val="7"/>
                <c:pt idx="0">
                  <c:v>2012</c:v>
                </c:pt>
                <c:pt idx="1">
                  <c:v>2013</c:v>
                </c:pt>
                <c:pt idx="2">
                  <c:v>2014</c:v>
                </c:pt>
                <c:pt idx="3">
                  <c:v>2015</c:v>
                </c:pt>
                <c:pt idx="4">
                  <c:v>2016</c:v>
                </c:pt>
                <c:pt idx="5">
                  <c:v>2017</c:v>
                </c:pt>
                <c:pt idx="6">
                  <c:v>2018</c:v>
                </c:pt>
              </c:numCache>
            </c:numRef>
          </c:cat>
          <c:val>
            <c:numRef>
              <c:f>'Misc. Data &amp; Mechanisms'!$Q$1039:$W$1039</c:f>
              <c:numCache>
                <c:formatCode>General</c:formatCode>
                <c:ptCount val="7"/>
                <c:pt idx="0">
                  <c:v>41.865618711418939</c:v>
                </c:pt>
                <c:pt idx="1">
                  <c:v>50.578300960346077</c:v>
                </c:pt>
                <c:pt idx="2">
                  <c:v>67.434125370297849</c:v>
                </c:pt>
                <c:pt idx="3">
                  <c:v>48.582836787132756</c:v>
                </c:pt>
                <c:pt idx="4">
                  <c:v>47.926352982762069</c:v>
                </c:pt>
                <c:pt idx="5">
                  <c:v>58.111805000936187</c:v>
                </c:pt>
                <c:pt idx="6">
                  <c:v>55.163068251043818</c:v>
                </c:pt>
              </c:numCache>
            </c:numRef>
          </c:val>
        </c:ser>
        <c:dLbls>
          <c:showLegendKey val="0"/>
          <c:showVal val="0"/>
          <c:showCatName val="0"/>
          <c:showSerName val="0"/>
          <c:showPercent val="0"/>
          <c:showBubbleSize val="0"/>
        </c:dLbls>
        <c:gapWidth val="150"/>
        <c:overlap val="100"/>
        <c:axId val="255035648"/>
        <c:axId val="256315392"/>
      </c:barChart>
      <c:catAx>
        <c:axId val="255035648"/>
        <c:scaling>
          <c:orientation val="minMax"/>
        </c:scaling>
        <c:delete val="0"/>
        <c:axPos val="b"/>
        <c:numFmt formatCode="General" sourceLinked="1"/>
        <c:majorTickMark val="out"/>
        <c:minorTickMark val="none"/>
        <c:tickLblPos val="nextTo"/>
        <c:spPr>
          <a:ln>
            <a:solidFill>
              <a:schemeClr val="tx1"/>
            </a:solidFill>
          </a:ln>
        </c:spPr>
        <c:crossAx val="256315392"/>
        <c:crosses val="autoZero"/>
        <c:auto val="1"/>
        <c:lblAlgn val="ctr"/>
        <c:lblOffset val="100"/>
        <c:noMultiLvlLbl val="0"/>
      </c:catAx>
      <c:valAx>
        <c:axId val="256315392"/>
        <c:scaling>
          <c:orientation val="minMax"/>
        </c:scaling>
        <c:delete val="0"/>
        <c:axPos val="l"/>
        <c:majorGridlines>
          <c:spPr>
            <a:ln>
              <a:solidFill>
                <a:schemeClr val="bg1">
                  <a:lumMod val="85000"/>
                </a:schemeClr>
              </a:solidFill>
              <a:prstDash val="dash"/>
            </a:ln>
          </c:spPr>
        </c:majorGridlines>
        <c:title>
          <c:tx>
            <c:rich>
              <a:bodyPr rot="-5400000" vert="horz"/>
              <a:lstStyle/>
              <a:p>
                <a:pPr>
                  <a:defRPr/>
                </a:pPr>
                <a:r>
                  <a:rPr lang="en-US"/>
                  <a:t>Total Annual Regulated Bill ($)</a:t>
                </a:r>
              </a:p>
            </c:rich>
          </c:tx>
          <c:overlay val="0"/>
        </c:title>
        <c:numFmt formatCode="&quot;$&quot;#,##0" sourceLinked="0"/>
        <c:majorTickMark val="out"/>
        <c:minorTickMark val="none"/>
        <c:tickLblPos val="nextTo"/>
        <c:crossAx val="255035648"/>
        <c:crosses val="autoZero"/>
        <c:crossBetween val="between"/>
        <c:majorUnit val="100"/>
      </c:valAx>
    </c:plotArea>
    <c:legend>
      <c:legendPos val="r"/>
      <c:layout>
        <c:manualLayout>
          <c:xMode val="edge"/>
          <c:yMode val="edge"/>
          <c:x val="0.82442777062839434"/>
          <c:y val="0.34857889082198007"/>
          <c:w val="0.14371271805454011"/>
          <c:h val="0.25307278615940554"/>
        </c:manualLayout>
      </c:layout>
      <c:overlay val="0"/>
      <c:txPr>
        <a:bodyPr/>
        <a:lstStyle/>
        <a:p>
          <a:pPr>
            <a:defRPr sz="1100"/>
          </a:pPr>
          <a:endParaRPr lang="en-US"/>
        </a:p>
      </c:txPr>
    </c:legend>
    <c:plotVisOnly val="1"/>
    <c:dispBlanksAs val="gap"/>
    <c:showDLblsOverMax val="0"/>
  </c:chart>
  <c:spPr>
    <a:ln>
      <a:noFill/>
    </a:ln>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'NG Analysis'!$A$82:$N$82</c:f>
          <c:strCache>
            <c:ptCount val="1"/>
            <c:pt idx="0">
              <c:v>ATCO-S Zone Cost Component Variation in 2019</c:v>
            </c:pt>
          </c:strCache>
        </c:strRef>
      </c:tx>
      <c:overlay val="0"/>
    </c:title>
    <c:autoTitleDeleted val="0"/>
    <c:plotArea>
      <c:layout/>
      <c:areaChart>
        <c:grouping val="stacked"/>
        <c:varyColors val="0"/>
        <c:ser>
          <c:idx val="0"/>
          <c:order val="0"/>
          <c:tx>
            <c:v>Distribution - Fixed</c:v>
          </c:tx>
          <c:cat>
            <c:numRef>
              <c:f>'Misc. Data &amp; Mechanisms'!$O$1070:$O$1159</c:f>
              <c:numCache>
                <c:formatCode>mmm-yy</c:formatCode>
                <c:ptCount val="9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43466</c:v>
                </c:pt>
                <c:pt idx="85">
                  <c:v>43497</c:v>
                </c:pt>
                <c:pt idx="86">
                  <c:v>43525</c:v>
                </c:pt>
                <c:pt idx="87">
                  <c:v>43556</c:v>
                </c:pt>
                <c:pt idx="88">
                  <c:v>43586</c:v>
                </c:pt>
                <c:pt idx="89">
                  <c:v>43617</c:v>
                </c:pt>
              </c:numCache>
            </c:numRef>
          </c:cat>
          <c:val>
            <c:numRef>
              <c:f>'Misc. Data &amp; Mechanisms'!$P$1070:$P$1159</c:f>
              <c:numCache>
                <c:formatCode>General</c:formatCode>
                <c:ptCount val="90"/>
                <c:pt idx="0">
                  <c:v>25.946999999999999</c:v>
                </c:pt>
                <c:pt idx="1">
                  <c:v>23.436</c:v>
                </c:pt>
                <c:pt idx="2">
                  <c:v>25.946999999999999</c:v>
                </c:pt>
                <c:pt idx="3">
                  <c:v>25.11</c:v>
                </c:pt>
                <c:pt idx="4">
                  <c:v>25.946999999999999</c:v>
                </c:pt>
                <c:pt idx="5">
                  <c:v>25.11</c:v>
                </c:pt>
                <c:pt idx="6">
                  <c:v>0</c:v>
                </c:pt>
                <c:pt idx="7">
                  <c:v>0</c:v>
                </c:pt>
                <c:pt idx="8">
                  <c:v>0</c:v>
                </c:pt>
                <c:pt idx="9">
                  <c:v>0</c:v>
                </c:pt>
                <c:pt idx="10">
                  <c:v>0</c:v>
                </c:pt>
                <c:pt idx="11">
                  <c:v>0</c:v>
                </c:pt>
                <c:pt idx="12">
                  <c:v>25.946999999999999</c:v>
                </c:pt>
                <c:pt idx="13">
                  <c:v>23.436</c:v>
                </c:pt>
                <c:pt idx="14">
                  <c:v>25.946999999999999</c:v>
                </c:pt>
                <c:pt idx="15">
                  <c:v>25.11</c:v>
                </c:pt>
                <c:pt idx="16">
                  <c:v>25.946999999999999</c:v>
                </c:pt>
                <c:pt idx="17">
                  <c:v>25.11</c:v>
                </c:pt>
                <c:pt idx="18">
                  <c:v>0</c:v>
                </c:pt>
                <c:pt idx="19">
                  <c:v>0</c:v>
                </c:pt>
                <c:pt idx="20">
                  <c:v>0</c:v>
                </c:pt>
                <c:pt idx="21">
                  <c:v>0</c:v>
                </c:pt>
                <c:pt idx="22">
                  <c:v>0</c:v>
                </c:pt>
                <c:pt idx="23">
                  <c:v>0</c:v>
                </c:pt>
                <c:pt idx="24">
                  <c:v>25.946999999999999</c:v>
                </c:pt>
                <c:pt idx="25">
                  <c:v>23.436</c:v>
                </c:pt>
                <c:pt idx="26">
                  <c:v>25.946999999999999</c:v>
                </c:pt>
                <c:pt idx="27">
                  <c:v>25.11</c:v>
                </c:pt>
                <c:pt idx="28">
                  <c:v>25.946999999999999</c:v>
                </c:pt>
                <c:pt idx="29">
                  <c:v>25.11</c:v>
                </c:pt>
                <c:pt idx="30">
                  <c:v>0</c:v>
                </c:pt>
                <c:pt idx="31">
                  <c:v>0</c:v>
                </c:pt>
                <c:pt idx="32">
                  <c:v>0</c:v>
                </c:pt>
                <c:pt idx="33">
                  <c:v>0</c:v>
                </c:pt>
                <c:pt idx="34">
                  <c:v>0</c:v>
                </c:pt>
                <c:pt idx="35">
                  <c:v>0</c:v>
                </c:pt>
                <c:pt idx="36">
                  <c:v>25.946999999999999</c:v>
                </c:pt>
                <c:pt idx="37">
                  <c:v>23.436</c:v>
                </c:pt>
                <c:pt idx="38">
                  <c:v>25.946999999999999</c:v>
                </c:pt>
                <c:pt idx="39">
                  <c:v>25.11</c:v>
                </c:pt>
                <c:pt idx="40">
                  <c:v>25.946999999999999</c:v>
                </c:pt>
                <c:pt idx="41">
                  <c:v>25.11</c:v>
                </c:pt>
                <c:pt idx="42">
                  <c:v>0</c:v>
                </c:pt>
                <c:pt idx="43">
                  <c:v>0</c:v>
                </c:pt>
                <c:pt idx="44">
                  <c:v>0</c:v>
                </c:pt>
                <c:pt idx="45">
                  <c:v>0</c:v>
                </c:pt>
                <c:pt idx="46">
                  <c:v>0</c:v>
                </c:pt>
                <c:pt idx="47">
                  <c:v>0</c:v>
                </c:pt>
                <c:pt idx="48">
                  <c:v>25.946999999999999</c:v>
                </c:pt>
                <c:pt idx="49">
                  <c:v>23.436</c:v>
                </c:pt>
                <c:pt idx="50">
                  <c:v>25.946999999999999</c:v>
                </c:pt>
                <c:pt idx="51">
                  <c:v>25.11</c:v>
                </c:pt>
                <c:pt idx="52">
                  <c:v>25.946999999999999</c:v>
                </c:pt>
                <c:pt idx="53">
                  <c:v>25.11</c:v>
                </c:pt>
                <c:pt idx="54">
                  <c:v>0</c:v>
                </c:pt>
                <c:pt idx="55">
                  <c:v>0</c:v>
                </c:pt>
                <c:pt idx="56">
                  <c:v>0</c:v>
                </c:pt>
                <c:pt idx="57">
                  <c:v>0</c:v>
                </c:pt>
                <c:pt idx="58">
                  <c:v>0</c:v>
                </c:pt>
                <c:pt idx="59">
                  <c:v>0</c:v>
                </c:pt>
                <c:pt idx="60">
                  <c:v>25.946999999999999</c:v>
                </c:pt>
                <c:pt idx="61">
                  <c:v>23.436</c:v>
                </c:pt>
                <c:pt idx="62">
                  <c:v>25.946999999999999</c:v>
                </c:pt>
                <c:pt idx="63">
                  <c:v>25.11</c:v>
                </c:pt>
                <c:pt idx="64">
                  <c:v>25.946999999999999</c:v>
                </c:pt>
                <c:pt idx="65">
                  <c:v>25.11</c:v>
                </c:pt>
                <c:pt idx="66">
                  <c:v>0</c:v>
                </c:pt>
                <c:pt idx="67">
                  <c:v>0</c:v>
                </c:pt>
                <c:pt idx="68">
                  <c:v>0</c:v>
                </c:pt>
                <c:pt idx="69">
                  <c:v>0</c:v>
                </c:pt>
                <c:pt idx="70">
                  <c:v>0</c:v>
                </c:pt>
                <c:pt idx="71">
                  <c:v>0</c:v>
                </c:pt>
                <c:pt idx="72">
                  <c:v>25.946999999999999</c:v>
                </c:pt>
                <c:pt idx="73">
                  <c:v>23.436</c:v>
                </c:pt>
                <c:pt idx="74">
                  <c:v>25.946999999999999</c:v>
                </c:pt>
                <c:pt idx="75">
                  <c:v>25.11</c:v>
                </c:pt>
                <c:pt idx="76">
                  <c:v>25.946999999999999</c:v>
                </c:pt>
                <c:pt idx="77">
                  <c:v>25.11</c:v>
                </c:pt>
                <c:pt idx="78">
                  <c:v>0</c:v>
                </c:pt>
                <c:pt idx="79">
                  <c:v>0</c:v>
                </c:pt>
                <c:pt idx="80">
                  <c:v>0</c:v>
                </c:pt>
                <c:pt idx="81">
                  <c:v>0</c:v>
                </c:pt>
                <c:pt idx="82">
                  <c:v>0</c:v>
                </c:pt>
                <c:pt idx="83">
                  <c:v>0</c:v>
                </c:pt>
                <c:pt idx="84">
                  <c:v>25.946999999999999</c:v>
                </c:pt>
                <c:pt idx="85">
                  <c:v>23.436</c:v>
                </c:pt>
                <c:pt idx="86">
                  <c:v>25.946999999999999</c:v>
                </c:pt>
                <c:pt idx="87">
                  <c:v>25.11</c:v>
                </c:pt>
                <c:pt idx="88">
                  <c:v>25.946999999999999</c:v>
                </c:pt>
                <c:pt idx="89">
                  <c:v>25.11</c:v>
                </c:pt>
              </c:numCache>
            </c:numRef>
          </c:val>
        </c:ser>
        <c:ser>
          <c:idx val="1"/>
          <c:order val="1"/>
          <c:tx>
            <c:v>Distribution - Variable</c:v>
          </c:tx>
          <c:spPr>
            <a:ln w="25400">
              <a:noFill/>
            </a:ln>
          </c:spPr>
          <c:cat>
            <c:numRef>
              <c:f>'Misc. Data &amp; Mechanisms'!$O$1070:$O$1159</c:f>
              <c:numCache>
                <c:formatCode>mmm-yy</c:formatCode>
                <c:ptCount val="9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43466</c:v>
                </c:pt>
                <c:pt idx="85">
                  <c:v>43497</c:v>
                </c:pt>
                <c:pt idx="86">
                  <c:v>43525</c:v>
                </c:pt>
                <c:pt idx="87">
                  <c:v>43556</c:v>
                </c:pt>
                <c:pt idx="88">
                  <c:v>43586</c:v>
                </c:pt>
                <c:pt idx="89">
                  <c:v>43617</c:v>
                </c:pt>
              </c:numCache>
            </c:numRef>
          </c:cat>
          <c:val>
            <c:numRef>
              <c:f>'Misc. Data &amp; Mechanisms'!$Q$1070:$Q$1159</c:f>
              <c:numCache>
                <c:formatCode>General</c:formatCode>
                <c:ptCount val="90"/>
                <c:pt idx="0">
                  <c:v>13.961815841257177</c:v>
                </c:pt>
                <c:pt idx="1">
                  <c:v>21.645384041554284</c:v>
                </c:pt>
                <c:pt idx="2">
                  <c:v>13.092799736790329</c:v>
                </c:pt>
                <c:pt idx="3">
                  <c:v>7.9526381107213826</c:v>
                </c:pt>
                <c:pt idx="4">
                  <c:v>6.2225451665778353</c:v>
                </c:pt>
                <c:pt idx="5">
                  <c:v>3.1037296499089999</c:v>
                </c:pt>
                <c:pt idx="6">
                  <c:v>0</c:v>
                </c:pt>
                <c:pt idx="7">
                  <c:v>0</c:v>
                </c:pt>
                <c:pt idx="8">
                  <c:v>0</c:v>
                </c:pt>
                <c:pt idx="9">
                  <c:v>0</c:v>
                </c:pt>
                <c:pt idx="10">
                  <c:v>0</c:v>
                </c:pt>
                <c:pt idx="11">
                  <c:v>0</c:v>
                </c:pt>
                <c:pt idx="12">
                  <c:v>13.961815841257177</c:v>
                </c:pt>
                <c:pt idx="13">
                  <c:v>21.645384041554284</c:v>
                </c:pt>
                <c:pt idx="14">
                  <c:v>13.092799736790329</c:v>
                </c:pt>
                <c:pt idx="15">
                  <c:v>7.9526381107213826</c:v>
                </c:pt>
                <c:pt idx="16">
                  <c:v>6.2225451665778353</c:v>
                </c:pt>
                <c:pt idx="17">
                  <c:v>3.1037296499089999</c:v>
                </c:pt>
                <c:pt idx="18">
                  <c:v>0</c:v>
                </c:pt>
                <c:pt idx="19">
                  <c:v>0</c:v>
                </c:pt>
                <c:pt idx="20">
                  <c:v>0</c:v>
                </c:pt>
                <c:pt idx="21">
                  <c:v>0</c:v>
                </c:pt>
                <c:pt idx="22">
                  <c:v>0</c:v>
                </c:pt>
                <c:pt idx="23">
                  <c:v>0</c:v>
                </c:pt>
                <c:pt idx="24">
                  <c:v>13.961815841257177</c:v>
                </c:pt>
                <c:pt idx="25">
                  <c:v>21.645384041554284</c:v>
                </c:pt>
                <c:pt idx="26">
                  <c:v>13.092799736790329</c:v>
                </c:pt>
                <c:pt idx="27">
                  <c:v>7.9526381107213826</c:v>
                </c:pt>
                <c:pt idx="28">
                  <c:v>6.2225451665778353</c:v>
                </c:pt>
                <c:pt idx="29">
                  <c:v>3.1037296499089999</c:v>
                </c:pt>
                <c:pt idx="30">
                  <c:v>0</c:v>
                </c:pt>
                <c:pt idx="31">
                  <c:v>0</c:v>
                </c:pt>
                <c:pt idx="32">
                  <c:v>0</c:v>
                </c:pt>
                <c:pt idx="33">
                  <c:v>0</c:v>
                </c:pt>
                <c:pt idx="34">
                  <c:v>0</c:v>
                </c:pt>
                <c:pt idx="35">
                  <c:v>0</c:v>
                </c:pt>
                <c:pt idx="36">
                  <c:v>13.961815841257177</c:v>
                </c:pt>
                <c:pt idx="37">
                  <c:v>21.645384041554284</c:v>
                </c:pt>
                <c:pt idx="38">
                  <c:v>13.092799736790329</c:v>
                </c:pt>
                <c:pt idx="39">
                  <c:v>7.9526381107213826</c:v>
                </c:pt>
                <c:pt idx="40">
                  <c:v>6.2225451665778353</c:v>
                </c:pt>
                <c:pt idx="41">
                  <c:v>3.1037296499089999</c:v>
                </c:pt>
                <c:pt idx="42">
                  <c:v>0</c:v>
                </c:pt>
                <c:pt idx="43">
                  <c:v>0</c:v>
                </c:pt>
                <c:pt idx="44">
                  <c:v>0</c:v>
                </c:pt>
                <c:pt idx="45">
                  <c:v>0</c:v>
                </c:pt>
                <c:pt idx="46">
                  <c:v>0</c:v>
                </c:pt>
                <c:pt idx="47">
                  <c:v>0</c:v>
                </c:pt>
                <c:pt idx="48">
                  <c:v>13.961815841257177</c:v>
                </c:pt>
                <c:pt idx="49">
                  <c:v>21.645384041554284</c:v>
                </c:pt>
                <c:pt idx="50">
                  <c:v>13.092799736790329</c:v>
                </c:pt>
                <c:pt idx="51">
                  <c:v>7.9526381107213826</c:v>
                </c:pt>
                <c:pt idx="52">
                  <c:v>6.2225451665778353</c:v>
                </c:pt>
                <c:pt idx="53">
                  <c:v>3.1037296499089999</c:v>
                </c:pt>
                <c:pt idx="54">
                  <c:v>0</c:v>
                </c:pt>
                <c:pt idx="55">
                  <c:v>0</c:v>
                </c:pt>
                <c:pt idx="56">
                  <c:v>0</c:v>
                </c:pt>
                <c:pt idx="57">
                  <c:v>0</c:v>
                </c:pt>
                <c:pt idx="58">
                  <c:v>0</c:v>
                </c:pt>
                <c:pt idx="59">
                  <c:v>0</c:v>
                </c:pt>
                <c:pt idx="60">
                  <c:v>13.961815841257177</c:v>
                </c:pt>
                <c:pt idx="61">
                  <c:v>21.645384041554284</c:v>
                </c:pt>
                <c:pt idx="62">
                  <c:v>13.092799736790329</c:v>
                </c:pt>
                <c:pt idx="63">
                  <c:v>7.9526381107213826</c:v>
                </c:pt>
                <c:pt idx="64">
                  <c:v>6.2225451665778353</c:v>
                </c:pt>
                <c:pt idx="65">
                  <c:v>3.1037296499089999</c:v>
                </c:pt>
                <c:pt idx="66">
                  <c:v>0</c:v>
                </c:pt>
                <c:pt idx="67">
                  <c:v>0</c:v>
                </c:pt>
                <c:pt idx="68">
                  <c:v>0</c:v>
                </c:pt>
                <c:pt idx="69">
                  <c:v>0</c:v>
                </c:pt>
                <c:pt idx="70">
                  <c:v>0</c:v>
                </c:pt>
                <c:pt idx="71">
                  <c:v>0</c:v>
                </c:pt>
                <c:pt idx="72">
                  <c:v>13.961815841257177</c:v>
                </c:pt>
                <c:pt idx="73">
                  <c:v>21.645384041554284</c:v>
                </c:pt>
                <c:pt idx="74">
                  <c:v>13.092799736790329</c:v>
                </c:pt>
                <c:pt idx="75">
                  <c:v>7.9526381107213826</c:v>
                </c:pt>
                <c:pt idx="76">
                  <c:v>6.2225451665778353</c:v>
                </c:pt>
                <c:pt idx="77">
                  <c:v>3.1037296499089999</c:v>
                </c:pt>
                <c:pt idx="78">
                  <c:v>0</c:v>
                </c:pt>
                <c:pt idx="79">
                  <c:v>0</c:v>
                </c:pt>
                <c:pt idx="80">
                  <c:v>0</c:v>
                </c:pt>
                <c:pt idx="81">
                  <c:v>0</c:v>
                </c:pt>
                <c:pt idx="82">
                  <c:v>0</c:v>
                </c:pt>
                <c:pt idx="83">
                  <c:v>0</c:v>
                </c:pt>
                <c:pt idx="84">
                  <c:v>13.961815841257177</c:v>
                </c:pt>
                <c:pt idx="85">
                  <c:v>21.645384041554284</c:v>
                </c:pt>
                <c:pt idx="86">
                  <c:v>13.092799736790329</c:v>
                </c:pt>
                <c:pt idx="87">
                  <c:v>7.9526381107213826</c:v>
                </c:pt>
                <c:pt idx="88">
                  <c:v>6.2225451665778353</c:v>
                </c:pt>
                <c:pt idx="89">
                  <c:v>3.1037296499089999</c:v>
                </c:pt>
              </c:numCache>
            </c:numRef>
          </c:val>
        </c:ser>
        <c:ser>
          <c:idx val="2"/>
          <c:order val="2"/>
          <c:tx>
            <c:v>Local Access Fees</c:v>
          </c:tx>
          <c:spPr>
            <a:ln w="25400">
              <a:noFill/>
            </a:ln>
          </c:spPr>
          <c:cat>
            <c:numRef>
              <c:f>'Misc. Data &amp; Mechanisms'!$O$1070:$O$1159</c:f>
              <c:numCache>
                <c:formatCode>mmm-yy</c:formatCode>
                <c:ptCount val="9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43466</c:v>
                </c:pt>
                <c:pt idx="85">
                  <c:v>43497</c:v>
                </c:pt>
                <c:pt idx="86">
                  <c:v>43525</c:v>
                </c:pt>
                <c:pt idx="87">
                  <c:v>43556</c:v>
                </c:pt>
                <c:pt idx="88">
                  <c:v>43586</c:v>
                </c:pt>
                <c:pt idx="89">
                  <c:v>43617</c:v>
                </c:pt>
              </c:numCache>
            </c:numRef>
          </c:cat>
          <c:val>
            <c:numRef>
              <c:f>'Misc. Data &amp; Mechanisms'!$R$1070:$R$1159</c:f>
              <c:numCache>
                <c:formatCode>General</c:formatCode>
                <c:ptCount val="90"/>
                <c:pt idx="0">
                  <c:v>8.1124896049438657</c:v>
                </c:pt>
                <c:pt idx="1">
                  <c:v>12.372592105843843</c:v>
                </c:pt>
                <c:pt idx="2">
                  <c:v>11.73428222700306</c:v>
                </c:pt>
                <c:pt idx="3">
                  <c:v>7.9700690164135626</c:v>
                </c:pt>
                <c:pt idx="4">
                  <c:v>6.5952077365448813</c:v>
                </c:pt>
                <c:pt idx="5">
                  <c:v>3.9898169179856966</c:v>
                </c:pt>
                <c:pt idx="6">
                  <c:v>0</c:v>
                </c:pt>
                <c:pt idx="7">
                  <c:v>0</c:v>
                </c:pt>
                <c:pt idx="8">
                  <c:v>0</c:v>
                </c:pt>
                <c:pt idx="9">
                  <c:v>0</c:v>
                </c:pt>
                <c:pt idx="10">
                  <c:v>0</c:v>
                </c:pt>
                <c:pt idx="11">
                  <c:v>0</c:v>
                </c:pt>
                <c:pt idx="12">
                  <c:v>8.1124896049438657</c:v>
                </c:pt>
                <c:pt idx="13">
                  <c:v>12.372592105843843</c:v>
                </c:pt>
                <c:pt idx="14">
                  <c:v>11.73428222700306</c:v>
                </c:pt>
                <c:pt idx="15">
                  <c:v>7.9700690164135626</c:v>
                </c:pt>
                <c:pt idx="16">
                  <c:v>6.5952077365448813</c:v>
                </c:pt>
                <c:pt idx="17">
                  <c:v>3.9898169179856966</c:v>
                </c:pt>
                <c:pt idx="18">
                  <c:v>0</c:v>
                </c:pt>
                <c:pt idx="19">
                  <c:v>0</c:v>
                </c:pt>
                <c:pt idx="20">
                  <c:v>0</c:v>
                </c:pt>
                <c:pt idx="21">
                  <c:v>0</c:v>
                </c:pt>
                <c:pt idx="22">
                  <c:v>0</c:v>
                </c:pt>
                <c:pt idx="23">
                  <c:v>0</c:v>
                </c:pt>
                <c:pt idx="24">
                  <c:v>8.1124896049438657</c:v>
                </c:pt>
                <c:pt idx="25">
                  <c:v>12.372592105843843</c:v>
                </c:pt>
                <c:pt idx="26">
                  <c:v>11.73428222700306</c:v>
                </c:pt>
                <c:pt idx="27">
                  <c:v>7.9700690164135626</c:v>
                </c:pt>
                <c:pt idx="28">
                  <c:v>6.5952077365448813</c:v>
                </c:pt>
                <c:pt idx="29">
                  <c:v>3.9898169179856966</c:v>
                </c:pt>
                <c:pt idx="30">
                  <c:v>0</c:v>
                </c:pt>
                <c:pt idx="31">
                  <c:v>0</c:v>
                </c:pt>
                <c:pt idx="32">
                  <c:v>0</c:v>
                </c:pt>
                <c:pt idx="33">
                  <c:v>0</c:v>
                </c:pt>
                <c:pt idx="34">
                  <c:v>0</c:v>
                </c:pt>
                <c:pt idx="35">
                  <c:v>0</c:v>
                </c:pt>
                <c:pt idx="36">
                  <c:v>8.1124896049438657</c:v>
                </c:pt>
                <c:pt idx="37">
                  <c:v>12.372592105843843</c:v>
                </c:pt>
                <c:pt idx="38">
                  <c:v>11.73428222700306</c:v>
                </c:pt>
                <c:pt idx="39">
                  <c:v>7.9700690164135626</c:v>
                </c:pt>
                <c:pt idx="40">
                  <c:v>6.5952077365448813</c:v>
                </c:pt>
                <c:pt idx="41">
                  <c:v>3.9898169179856966</c:v>
                </c:pt>
                <c:pt idx="42">
                  <c:v>0</c:v>
                </c:pt>
                <c:pt idx="43">
                  <c:v>0</c:v>
                </c:pt>
                <c:pt idx="44">
                  <c:v>0</c:v>
                </c:pt>
                <c:pt idx="45">
                  <c:v>0</c:v>
                </c:pt>
                <c:pt idx="46">
                  <c:v>0</c:v>
                </c:pt>
                <c:pt idx="47">
                  <c:v>0</c:v>
                </c:pt>
                <c:pt idx="48">
                  <c:v>8.1124896049438657</c:v>
                </c:pt>
                <c:pt idx="49">
                  <c:v>12.372592105843843</c:v>
                </c:pt>
                <c:pt idx="50">
                  <c:v>11.73428222700306</c:v>
                </c:pt>
                <c:pt idx="51">
                  <c:v>7.9700690164135626</c:v>
                </c:pt>
                <c:pt idx="52">
                  <c:v>6.5952077365448813</c:v>
                </c:pt>
                <c:pt idx="53">
                  <c:v>3.9898169179856966</c:v>
                </c:pt>
                <c:pt idx="54">
                  <c:v>0</c:v>
                </c:pt>
                <c:pt idx="55">
                  <c:v>0</c:v>
                </c:pt>
                <c:pt idx="56">
                  <c:v>0</c:v>
                </c:pt>
                <c:pt idx="57">
                  <c:v>0</c:v>
                </c:pt>
                <c:pt idx="58">
                  <c:v>0</c:v>
                </c:pt>
                <c:pt idx="59">
                  <c:v>0</c:v>
                </c:pt>
                <c:pt idx="60">
                  <c:v>8.1124896049438657</c:v>
                </c:pt>
                <c:pt idx="61">
                  <c:v>12.372592105843843</c:v>
                </c:pt>
                <c:pt idx="62">
                  <c:v>11.73428222700306</c:v>
                </c:pt>
                <c:pt idx="63">
                  <c:v>7.9700690164135626</c:v>
                </c:pt>
                <c:pt idx="64">
                  <c:v>6.5952077365448813</c:v>
                </c:pt>
                <c:pt idx="65">
                  <c:v>3.9898169179856966</c:v>
                </c:pt>
                <c:pt idx="66">
                  <c:v>0</c:v>
                </c:pt>
                <c:pt idx="67">
                  <c:v>0</c:v>
                </c:pt>
                <c:pt idx="68">
                  <c:v>0</c:v>
                </c:pt>
                <c:pt idx="69">
                  <c:v>0</c:v>
                </c:pt>
                <c:pt idx="70">
                  <c:v>0</c:v>
                </c:pt>
                <c:pt idx="71">
                  <c:v>0</c:v>
                </c:pt>
                <c:pt idx="72">
                  <c:v>8.1124896049438657</c:v>
                </c:pt>
                <c:pt idx="73">
                  <c:v>12.372592105843843</c:v>
                </c:pt>
                <c:pt idx="74">
                  <c:v>11.73428222700306</c:v>
                </c:pt>
                <c:pt idx="75">
                  <c:v>7.9700690164135626</c:v>
                </c:pt>
                <c:pt idx="76">
                  <c:v>6.5952077365448813</c:v>
                </c:pt>
                <c:pt idx="77">
                  <c:v>3.9898169179856966</c:v>
                </c:pt>
                <c:pt idx="78">
                  <c:v>0</c:v>
                </c:pt>
                <c:pt idx="79">
                  <c:v>0</c:v>
                </c:pt>
                <c:pt idx="80">
                  <c:v>0</c:v>
                </c:pt>
                <c:pt idx="81">
                  <c:v>0</c:v>
                </c:pt>
                <c:pt idx="82">
                  <c:v>0</c:v>
                </c:pt>
                <c:pt idx="83">
                  <c:v>0</c:v>
                </c:pt>
                <c:pt idx="84">
                  <c:v>8.1124896049438657</c:v>
                </c:pt>
                <c:pt idx="85">
                  <c:v>12.372592105843843</c:v>
                </c:pt>
                <c:pt idx="86">
                  <c:v>11.73428222700306</c:v>
                </c:pt>
                <c:pt idx="87">
                  <c:v>7.9700690164135626</c:v>
                </c:pt>
                <c:pt idx="88">
                  <c:v>6.5952077365448813</c:v>
                </c:pt>
                <c:pt idx="89">
                  <c:v>3.9898169179856966</c:v>
                </c:pt>
              </c:numCache>
            </c:numRef>
          </c:val>
        </c:ser>
        <c:ser>
          <c:idx val="3"/>
          <c:order val="3"/>
          <c:tx>
            <c:v>Rate Riders</c:v>
          </c:tx>
          <c:spPr>
            <a:ln w="25400">
              <a:noFill/>
            </a:ln>
          </c:spPr>
          <c:cat>
            <c:numRef>
              <c:f>'Misc. Data &amp; Mechanisms'!$O$1070:$O$1159</c:f>
              <c:numCache>
                <c:formatCode>mmm-yy</c:formatCode>
                <c:ptCount val="9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43466</c:v>
                </c:pt>
                <c:pt idx="85">
                  <c:v>43497</c:v>
                </c:pt>
                <c:pt idx="86">
                  <c:v>43525</c:v>
                </c:pt>
                <c:pt idx="87">
                  <c:v>43556</c:v>
                </c:pt>
                <c:pt idx="88">
                  <c:v>43586</c:v>
                </c:pt>
                <c:pt idx="89">
                  <c:v>43617</c:v>
                </c:pt>
              </c:numCache>
            </c:numRef>
          </c:cat>
          <c:val>
            <c:numRef>
              <c:f>'Misc. Data &amp; Mechanisms'!$S$1070:$S$1159</c:f>
              <c:numCache>
                <c:formatCode>General</c:formatCode>
                <c:ptCount val="90"/>
                <c:pt idx="0">
                  <c:v>7.5956320197913003</c:v>
                </c:pt>
                <c:pt idx="1">
                  <c:v>14.323715564223139</c:v>
                </c:pt>
                <c:pt idx="2">
                  <c:v>16.356017339480474</c:v>
                </c:pt>
                <c:pt idx="3">
                  <c:v>10.951243499262032</c:v>
                </c:pt>
                <c:pt idx="4">
                  <c:v>10.041854584134954</c:v>
                </c:pt>
                <c:pt idx="5">
                  <c:v>6.3316742137665356</c:v>
                </c:pt>
                <c:pt idx="6">
                  <c:v>0</c:v>
                </c:pt>
                <c:pt idx="7">
                  <c:v>0</c:v>
                </c:pt>
                <c:pt idx="8">
                  <c:v>0</c:v>
                </c:pt>
                <c:pt idx="9">
                  <c:v>0</c:v>
                </c:pt>
                <c:pt idx="10">
                  <c:v>0</c:v>
                </c:pt>
                <c:pt idx="11">
                  <c:v>0</c:v>
                </c:pt>
                <c:pt idx="12">
                  <c:v>7.5956320197913003</c:v>
                </c:pt>
                <c:pt idx="13">
                  <c:v>14.323715564223139</c:v>
                </c:pt>
                <c:pt idx="14">
                  <c:v>16.356017339480474</c:v>
                </c:pt>
                <c:pt idx="15">
                  <c:v>10.951243499262032</c:v>
                </c:pt>
                <c:pt idx="16">
                  <c:v>10.041854584134954</c:v>
                </c:pt>
                <c:pt idx="17">
                  <c:v>6.3316742137665356</c:v>
                </c:pt>
                <c:pt idx="18">
                  <c:v>0</c:v>
                </c:pt>
                <c:pt idx="19">
                  <c:v>0</c:v>
                </c:pt>
                <c:pt idx="20">
                  <c:v>0</c:v>
                </c:pt>
                <c:pt idx="21">
                  <c:v>0</c:v>
                </c:pt>
                <c:pt idx="22">
                  <c:v>0</c:v>
                </c:pt>
                <c:pt idx="23">
                  <c:v>0</c:v>
                </c:pt>
                <c:pt idx="24">
                  <c:v>7.5956320197913003</c:v>
                </c:pt>
                <c:pt idx="25">
                  <c:v>14.323715564223139</c:v>
                </c:pt>
                <c:pt idx="26">
                  <c:v>16.356017339480474</c:v>
                </c:pt>
                <c:pt idx="27">
                  <c:v>10.951243499262032</c:v>
                </c:pt>
                <c:pt idx="28">
                  <c:v>10.041854584134954</c:v>
                </c:pt>
                <c:pt idx="29">
                  <c:v>6.3316742137665356</c:v>
                </c:pt>
                <c:pt idx="30">
                  <c:v>0</c:v>
                </c:pt>
                <c:pt idx="31">
                  <c:v>0</c:v>
                </c:pt>
                <c:pt idx="32">
                  <c:v>0</c:v>
                </c:pt>
                <c:pt idx="33">
                  <c:v>0</c:v>
                </c:pt>
                <c:pt idx="34">
                  <c:v>0</c:v>
                </c:pt>
                <c:pt idx="35">
                  <c:v>0</c:v>
                </c:pt>
                <c:pt idx="36">
                  <c:v>7.5956320197913003</c:v>
                </c:pt>
                <c:pt idx="37">
                  <c:v>14.323715564223139</c:v>
                </c:pt>
                <c:pt idx="38">
                  <c:v>16.356017339480474</c:v>
                </c:pt>
                <c:pt idx="39">
                  <c:v>10.951243499262032</c:v>
                </c:pt>
                <c:pt idx="40">
                  <c:v>10.041854584134954</c:v>
                </c:pt>
                <c:pt idx="41">
                  <c:v>6.3316742137665356</c:v>
                </c:pt>
                <c:pt idx="42">
                  <c:v>0</c:v>
                </c:pt>
                <c:pt idx="43">
                  <c:v>0</c:v>
                </c:pt>
                <c:pt idx="44">
                  <c:v>0</c:v>
                </c:pt>
                <c:pt idx="45">
                  <c:v>0</c:v>
                </c:pt>
                <c:pt idx="46">
                  <c:v>0</c:v>
                </c:pt>
                <c:pt idx="47">
                  <c:v>0</c:v>
                </c:pt>
                <c:pt idx="48">
                  <c:v>7.5956320197913003</c:v>
                </c:pt>
                <c:pt idx="49">
                  <c:v>14.323715564223139</c:v>
                </c:pt>
                <c:pt idx="50">
                  <c:v>16.356017339480474</c:v>
                </c:pt>
                <c:pt idx="51">
                  <c:v>10.951243499262032</c:v>
                </c:pt>
                <c:pt idx="52">
                  <c:v>10.041854584134954</c:v>
                </c:pt>
                <c:pt idx="53">
                  <c:v>6.3316742137665356</c:v>
                </c:pt>
                <c:pt idx="54">
                  <c:v>0</c:v>
                </c:pt>
                <c:pt idx="55">
                  <c:v>0</c:v>
                </c:pt>
                <c:pt idx="56">
                  <c:v>0</c:v>
                </c:pt>
                <c:pt idx="57">
                  <c:v>0</c:v>
                </c:pt>
                <c:pt idx="58">
                  <c:v>0</c:v>
                </c:pt>
                <c:pt idx="59">
                  <c:v>0</c:v>
                </c:pt>
                <c:pt idx="60">
                  <c:v>7.5956320197913003</c:v>
                </c:pt>
                <c:pt idx="61">
                  <c:v>14.323715564223139</c:v>
                </c:pt>
                <c:pt idx="62">
                  <c:v>16.356017339480474</c:v>
                </c:pt>
                <c:pt idx="63">
                  <c:v>10.951243499262032</c:v>
                </c:pt>
                <c:pt idx="64">
                  <c:v>10.041854584134954</c:v>
                </c:pt>
                <c:pt idx="65">
                  <c:v>6.3316742137665356</c:v>
                </c:pt>
                <c:pt idx="66">
                  <c:v>0</c:v>
                </c:pt>
                <c:pt idx="67">
                  <c:v>0</c:v>
                </c:pt>
                <c:pt idx="68">
                  <c:v>0</c:v>
                </c:pt>
                <c:pt idx="69">
                  <c:v>0</c:v>
                </c:pt>
                <c:pt idx="70">
                  <c:v>0</c:v>
                </c:pt>
                <c:pt idx="71">
                  <c:v>0</c:v>
                </c:pt>
                <c:pt idx="72">
                  <c:v>7.5956320197913003</c:v>
                </c:pt>
                <c:pt idx="73">
                  <c:v>14.323715564223139</c:v>
                </c:pt>
                <c:pt idx="74">
                  <c:v>16.356017339480474</c:v>
                </c:pt>
                <c:pt idx="75">
                  <c:v>10.951243499262032</c:v>
                </c:pt>
                <c:pt idx="76">
                  <c:v>10.041854584134954</c:v>
                </c:pt>
                <c:pt idx="77">
                  <c:v>6.3316742137665356</c:v>
                </c:pt>
                <c:pt idx="78">
                  <c:v>0</c:v>
                </c:pt>
                <c:pt idx="79">
                  <c:v>0</c:v>
                </c:pt>
                <c:pt idx="80">
                  <c:v>0</c:v>
                </c:pt>
                <c:pt idx="81">
                  <c:v>0</c:v>
                </c:pt>
                <c:pt idx="82">
                  <c:v>0</c:v>
                </c:pt>
                <c:pt idx="83">
                  <c:v>0</c:v>
                </c:pt>
                <c:pt idx="84">
                  <c:v>7.5956320197913003</c:v>
                </c:pt>
                <c:pt idx="85">
                  <c:v>14.323715564223139</c:v>
                </c:pt>
                <c:pt idx="86">
                  <c:v>16.356017339480474</c:v>
                </c:pt>
                <c:pt idx="87">
                  <c:v>10.951243499262032</c:v>
                </c:pt>
                <c:pt idx="88">
                  <c:v>10.041854584134954</c:v>
                </c:pt>
                <c:pt idx="89">
                  <c:v>6.3316742137665356</c:v>
                </c:pt>
              </c:numCache>
            </c:numRef>
          </c:val>
        </c:ser>
        <c:ser>
          <c:idx val="4"/>
          <c:order val="4"/>
          <c:tx>
            <c:v>Energy Tariff</c:v>
          </c:tx>
          <c:spPr>
            <a:ln w="25400">
              <a:noFill/>
            </a:ln>
          </c:spPr>
          <c:cat>
            <c:numRef>
              <c:f>'Misc. Data &amp; Mechanisms'!$O$1070:$O$1159</c:f>
              <c:numCache>
                <c:formatCode>mmm-yy</c:formatCode>
                <c:ptCount val="9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43466</c:v>
                </c:pt>
                <c:pt idx="85">
                  <c:v>43497</c:v>
                </c:pt>
                <c:pt idx="86">
                  <c:v>43525</c:v>
                </c:pt>
                <c:pt idx="87">
                  <c:v>43556</c:v>
                </c:pt>
                <c:pt idx="88">
                  <c:v>43586</c:v>
                </c:pt>
                <c:pt idx="89">
                  <c:v>43617</c:v>
                </c:pt>
              </c:numCache>
            </c:numRef>
          </c:cat>
          <c:val>
            <c:numRef>
              <c:f>'Misc. Data &amp; Mechanisms'!$T$1070:$T$1159</c:f>
              <c:numCache>
                <c:formatCode>General</c:formatCode>
                <c:ptCount val="90"/>
                <c:pt idx="0">
                  <c:v>25.515260554287845</c:v>
                </c:pt>
                <c:pt idx="1">
                  <c:v>51.959365793357087</c:v>
                </c:pt>
                <c:pt idx="2">
                  <c:v>50.223284876952057</c:v>
                </c:pt>
                <c:pt idx="3">
                  <c:v>27.723913317231361</c:v>
                </c:pt>
                <c:pt idx="4">
                  <c:v>17.151406158782095</c:v>
                </c:pt>
                <c:pt idx="5">
                  <c:v>1.366539592541357</c:v>
                </c:pt>
                <c:pt idx="6">
                  <c:v>0</c:v>
                </c:pt>
                <c:pt idx="7">
                  <c:v>0</c:v>
                </c:pt>
                <c:pt idx="8">
                  <c:v>0</c:v>
                </c:pt>
                <c:pt idx="9">
                  <c:v>0</c:v>
                </c:pt>
                <c:pt idx="10">
                  <c:v>0</c:v>
                </c:pt>
                <c:pt idx="11">
                  <c:v>0</c:v>
                </c:pt>
                <c:pt idx="12">
                  <c:v>25.515260554287845</c:v>
                </c:pt>
                <c:pt idx="13">
                  <c:v>51.959365793357087</c:v>
                </c:pt>
                <c:pt idx="14">
                  <c:v>50.223284876952057</c:v>
                </c:pt>
                <c:pt idx="15">
                  <c:v>27.723913317231361</c:v>
                </c:pt>
                <c:pt idx="16">
                  <c:v>17.151406158782095</c:v>
                </c:pt>
                <c:pt idx="17">
                  <c:v>1.366539592541357</c:v>
                </c:pt>
                <c:pt idx="18">
                  <c:v>0</c:v>
                </c:pt>
                <c:pt idx="19">
                  <c:v>0</c:v>
                </c:pt>
                <c:pt idx="20">
                  <c:v>0</c:v>
                </c:pt>
                <c:pt idx="21">
                  <c:v>0</c:v>
                </c:pt>
                <c:pt idx="22">
                  <c:v>0</c:v>
                </c:pt>
                <c:pt idx="23">
                  <c:v>0</c:v>
                </c:pt>
                <c:pt idx="24">
                  <c:v>25.515260554287845</c:v>
                </c:pt>
                <c:pt idx="25">
                  <c:v>51.959365793357087</c:v>
                </c:pt>
                <c:pt idx="26">
                  <c:v>50.223284876952057</c:v>
                </c:pt>
                <c:pt idx="27">
                  <c:v>27.723913317231361</c:v>
                </c:pt>
                <c:pt idx="28">
                  <c:v>17.151406158782095</c:v>
                </c:pt>
                <c:pt idx="29">
                  <c:v>1.366539592541357</c:v>
                </c:pt>
                <c:pt idx="30">
                  <c:v>0</c:v>
                </c:pt>
                <c:pt idx="31">
                  <c:v>0</c:v>
                </c:pt>
                <c:pt idx="32">
                  <c:v>0</c:v>
                </c:pt>
                <c:pt idx="33">
                  <c:v>0</c:v>
                </c:pt>
                <c:pt idx="34">
                  <c:v>0</c:v>
                </c:pt>
                <c:pt idx="35">
                  <c:v>0</c:v>
                </c:pt>
                <c:pt idx="36">
                  <c:v>25.515260554287845</c:v>
                </c:pt>
                <c:pt idx="37">
                  <c:v>51.959365793357087</c:v>
                </c:pt>
                <c:pt idx="38">
                  <c:v>50.223284876952057</c:v>
                </c:pt>
                <c:pt idx="39">
                  <c:v>27.723913317231361</c:v>
                </c:pt>
                <c:pt idx="40">
                  <c:v>17.151406158782095</c:v>
                </c:pt>
                <c:pt idx="41">
                  <c:v>1.366539592541357</c:v>
                </c:pt>
                <c:pt idx="42">
                  <c:v>0</c:v>
                </c:pt>
                <c:pt idx="43">
                  <c:v>0</c:v>
                </c:pt>
                <c:pt idx="44">
                  <c:v>0</c:v>
                </c:pt>
                <c:pt idx="45">
                  <c:v>0</c:v>
                </c:pt>
                <c:pt idx="46">
                  <c:v>0</c:v>
                </c:pt>
                <c:pt idx="47">
                  <c:v>0</c:v>
                </c:pt>
                <c:pt idx="48">
                  <c:v>25.515260554287845</c:v>
                </c:pt>
                <c:pt idx="49">
                  <c:v>51.959365793357087</c:v>
                </c:pt>
                <c:pt idx="50">
                  <c:v>50.223284876952057</c:v>
                </c:pt>
                <c:pt idx="51">
                  <c:v>27.723913317231361</c:v>
                </c:pt>
                <c:pt idx="52">
                  <c:v>17.151406158782095</c:v>
                </c:pt>
                <c:pt idx="53">
                  <c:v>1.366539592541357</c:v>
                </c:pt>
                <c:pt idx="54">
                  <c:v>0</c:v>
                </c:pt>
                <c:pt idx="55">
                  <c:v>0</c:v>
                </c:pt>
                <c:pt idx="56">
                  <c:v>0</c:v>
                </c:pt>
                <c:pt idx="57">
                  <c:v>0</c:v>
                </c:pt>
                <c:pt idx="58">
                  <c:v>0</c:v>
                </c:pt>
                <c:pt idx="59">
                  <c:v>0</c:v>
                </c:pt>
                <c:pt idx="60">
                  <c:v>25.515260554287845</c:v>
                </c:pt>
                <c:pt idx="61">
                  <c:v>51.959365793357087</c:v>
                </c:pt>
                <c:pt idx="62">
                  <c:v>50.223284876952057</c:v>
                </c:pt>
                <c:pt idx="63">
                  <c:v>27.723913317231361</c:v>
                </c:pt>
                <c:pt idx="64">
                  <c:v>17.151406158782095</c:v>
                </c:pt>
                <c:pt idx="65">
                  <c:v>1.366539592541357</c:v>
                </c:pt>
                <c:pt idx="66">
                  <c:v>0</c:v>
                </c:pt>
                <c:pt idx="67">
                  <c:v>0</c:v>
                </c:pt>
                <c:pt idx="68">
                  <c:v>0</c:v>
                </c:pt>
                <c:pt idx="69">
                  <c:v>0</c:v>
                </c:pt>
                <c:pt idx="70">
                  <c:v>0</c:v>
                </c:pt>
                <c:pt idx="71">
                  <c:v>0</c:v>
                </c:pt>
                <c:pt idx="72">
                  <c:v>25.515260554287845</c:v>
                </c:pt>
                <c:pt idx="73">
                  <c:v>51.959365793357087</c:v>
                </c:pt>
                <c:pt idx="74">
                  <c:v>50.223284876952057</c:v>
                </c:pt>
                <c:pt idx="75">
                  <c:v>27.723913317231361</c:v>
                </c:pt>
                <c:pt idx="76">
                  <c:v>17.151406158782095</c:v>
                </c:pt>
                <c:pt idx="77">
                  <c:v>1.366539592541357</c:v>
                </c:pt>
                <c:pt idx="78">
                  <c:v>0</c:v>
                </c:pt>
                <c:pt idx="79">
                  <c:v>0</c:v>
                </c:pt>
                <c:pt idx="80">
                  <c:v>0</c:v>
                </c:pt>
                <c:pt idx="81">
                  <c:v>0</c:v>
                </c:pt>
                <c:pt idx="82">
                  <c:v>0</c:v>
                </c:pt>
                <c:pt idx="83">
                  <c:v>0</c:v>
                </c:pt>
                <c:pt idx="84">
                  <c:v>25.515260554287845</c:v>
                </c:pt>
                <c:pt idx="85">
                  <c:v>51.959365793357087</c:v>
                </c:pt>
                <c:pt idx="86">
                  <c:v>50.223284876952057</c:v>
                </c:pt>
                <c:pt idx="87">
                  <c:v>27.723913317231361</c:v>
                </c:pt>
                <c:pt idx="88">
                  <c:v>17.151406158782095</c:v>
                </c:pt>
                <c:pt idx="89">
                  <c:v>1.366539592541357</c:v>
                </c:pt>
              </c:numCache>
            </c:numRef>
          </c:val>
        </c:ser>
        <c:ser>
          <c:idx val="5"/>
          <c:order val="5"/>
          <c:tx>
            <c:v>Administration</c:v>
          </c:tx>
          <c:spPr>
            <a:solidFill>
              <a:schemeClr val="accent6">
                <a:lumMod val="75000"/>
              </a:schemeClr>
            </a:solidFill>
            <a:ln w="25400">
              <a:noFill/>
            </a:ln>
          </c:spPr>
          <c:cat>
            <c:numRef>
              <c:f>'Misc. Data &amp; Mechanisms'!$O$1070:$O$1159</c:f>
              <c:numCache>
                <c:formatCode>mmm-yy</c:formatCode>
                <c:ptCount val="9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43466</c:v>
                </c:pt>
                <c:pt idx="85">
                  <c:v>43497</c:v>
                </c:pt>
                <c:pt idx="86">
                  <c:v>43525</c:v>
                </c:pt>
                <c:pt idx="87">
                  <c:v>43556</c:v>
                </c:pt>
                <c:pt idx="88">
                  <c:v>43586</c:v>
                </c:pt>
                <c:pt idx="89">
                  <c:v>43617</c:v>
                </c:pt>
              </c:numCache>
            </c:numRef>
          </c:cat>
          <c:val>
            <c:numRef>
              <c:f>'Misc. Data &amp; Mechanisms'!$U$1070:$U$1159</c:f>
              <c:numCache>
                <c:formatCode>General</c:formatCode>
                <c:ptCount val="90"/>
                <c:pt idx="0">
                  <c:v>8.4320000000000004</c:v>
                </c:pt>
                <c:pt idx="1">
                  <c:v>7.6160000000000005</c:v>
                </c:pt>
                <c:pt idx="2">
                  <c:v>8.4320000000000004</c:v>
                </c:pt>
                <c:pt idx="3">
                  <c:v>8.16</c:v>
                </c:pt>
                <c:pt idx="4">
                  <c:v>8.4320000000000004</c:v>
                </c:pt>
                <c:pt idx="5">
                  <c:v>8.16</c:v>
                </c:pt>
                <c:pt idx="6">
                  <c:v>0</c:v>
                </c:pt>
                <c:pt idx="7">
                  <c:v>0</c:v>
                </c:pt>
                <c:pt idx="8">
                  <c:v>0</c:v>
                </c:pt>
                <c:pt idx="9">
                  <c:v>0</c:v>
                </c:pt>
                <c:pt idx="10">
                  <c:v>0</c:v>
                </c:pt>
                <c:pt idx="11">
                  <c:v>0</c:v>
                </c:pt>
                <c:pt idx="12">
                  <c:v>8.4320000000000004</c:v>
                </c:pt>
                <c:pt idx="13">
                  <c:v>7.6160000000000005</c:v>
                </c:pt>
                <c:pt idx="14">
                  <c:v>8.4320000000000004</c:v>
                </c:pt>
                <c:pt idx="15">
                  <c:v>8.16</c:v>
                </c:pt>
                <c:pt idx="16">
                  <c:v>8.4320000000000004</c:v>
                </c:pt>
                <c:pt idx="17">
                  <c:v>8.16</c:v>
                </c:pt>
                <c:pt idx="18">
                  <c:v>0</c:v>
                </c:pt>
                <c:pt idx="19">
                  <c:v>0</c:v>
                </c:pt>
                <c:pt idx="20">
                  <c:v>0</c:v>
                </c:pt>
                <c:pt idx="21">
                  <c:v>0</c:v>
                </c:pt>
                <c:pt idx="22">
                  <c:v>0</c:v>
                </c:pt>
                <c:pt idx="23">
                  <c:v>0</c:v>
                </c:pt>
                <c:pt idx="24">
                  <c:v>8.4320000000000004</c:v>
                </c:pt>
                <c:pt idx="25">
                  <c:v>7.6160000000000005</c:v>
                </c:pt>
                <c:pt idx="26">
                  <c:v>8.4320000000000004</c:v>
                </c:pt>
                <c:pt idx="27">
                  <c:v>8.16</c:v>
                </c:pt>
                <c:pt idx="28">
                  <c:v>8.4320000000000004</c:v>
                </c:pt>
                <c:pt idx="29">
                  <c:v>8.16</c:v>
                </c:pt>
                <c:pt idx="30">
                  <c:v>0</c:v>
                </c:pt>
                <c:pt idx="31">
                  <c:v>0</c:v>
                </c:pt>
                <c:pt idx="32">
                  <c:v>0</c:v>
                </c:pt>
                <c:pt idx="33">
                  <c:v>0</c:v>
                </c:pt>
                <c:pt idx="34">
                  <c:v>0</c:v>
                </c:pt>
                <c:pt idx="35">
                  <c:v>0</c:v>
                </c:pt>
                <c:pt idx="36">
                  <c:v>8.4320000000000004</c:v>
                </c:pt>
                <c:pt idx="37">
                  <c:v>7.6160000000000005</c:v>
                </c:pt>
                <c:pt idx="38">
                  <c:v>8.4320000000000004</c:v>
                </c:pt>
                <c:pt idx="39">
                  <c:v>8.16</c:v>
                </c:pt>
                <c:pt idx="40">
                  <c:v>8.4320000000000004</c:v>
                </c:pt>
                <c:pt idx="41">
                  <c:v>8.16</c:v>
                </c:pt>
                <c:pt idx="42">
                  <c:v>0</c:v>
                </c:pt>
                <c:pt idx="43">
                  <c:v>0</c:v>
                </c:pt>
                <c:pt idx="44">
                  <c:v>0</c:v>
                </c:pt>
                <c:pt idx="45">
                  <c:v>0</c:v>
                </c:pt>
                <c:pt idx="46">
                  <c:v>0</c:v>
                </c:pt>
                <c:pt idx="47">
                  <c:v>0</c:v>
                </c:pt>
                <c:pt idx="48">
                  <c:v>8.4320000000000004</c:v>
                </c:pt>
                <c:pt idx="49">
                  <c:v>7.6160000000000005</c:v>
                </c:pt>
                <c:pt idx="50">
                  <c:v>8.4320000000000004</c:v>
                </c:pt>
                <c:pt idx="51">
                  <c:v>8.16</c:v>
                </c:pt>
                <c:pt idx="52">
                  <c:v>8.4320000000000004</c:v>
                </c:pt>
                <c:pt idx="53">
                  <c:v>8.16</c:v>
                </c:pt>
                <c:pt idx="54">
                  <c:v>0</c:v>
                </c:pt>
                <c:pt idx="55">
                  <c:v>0</c:v>
                </c:pt>
                <c:pt idx="56">
                  <c:v>0</c:v>
                </c:pt>
                <c:pt idx="57">
                  <c:v>0</c:v>
                </c:pt>
                <c:pt idx="58">
                  <c:v>0</c:v>
                </c:pt>
                <c:pt idx="59">
                  <c:v>0</c:v>
                </c:pt>
                <c:pt idx="60">
                  <c:v>8.4320000000000004</c:v>
                </c:pt>
                <c:pt idx="61">
                  <c:v>7.6160000000000005</c:v>
                </c:pt>
                <c:pt idx="62">
                  <c:v>8.4320000000000004</c:v>
                </c:pt>
                <c:pt idx="63">
                  <c:v>8.16</c:v>
                </c:pt>
                <c:pt idx="64">
                  <c:v>8.4320000000000004</c:v>
                </c:pt>
                <c:pt idx="65">
                  <c:v>8.16</c:v>
                </c:pt>
                <c:pt idx="66">
                  <c:v>0</c:v>
                </c:pt>
                <c:pt idx="67">
                  <c:v>0</c:v>
                </c:pt>
                <c:pt idx="68">
                  <c:v>0</c:v>
                </c:pt>
                <c:pt idx="69">
                  <c:v>0</c:v>
                </c:pt>
                <c:pt idx="70">
                  <c:v>0</c:v>
                </c:pt>
                <c:pt idx="71">
                  <c:v>0</c:v>
                </c:pt>
                <c:pt idx="72">
                  <c:v>8.4320000000000004</c:v>
                </c:pt>
                <c:pt idx="73">
                  <c:v>7.6160000000000005</c:v>
                </c:pt>
                <c:pt idx="74">
                  <c:v>8.4320000000000004</c:v>
                </c:pt>
                <c:pt idx="75">
                  <c:v>8.16</c:v>
                </c:pt>
                <c:pt idx="76">
                  <c:v>8.4320000000000004</c:v>
                </c:pt>
                <c:pt idx="77">
                  <c:v>8.16</c:v>
                </c:pt>
                <c:pt idx="78">
                  <c:v>0</c:v>
                </c:pt>
                <c:pt idx="79">
                  <c:v>0</c:v>
                </c:pt>
                <c:pt idx="80">
                  <c:v>0</c:v>
                </c:pt>
                <c:pt idx="81">
                  <c:v>0</c:v>
                </c:pt>
                <c:pt idx="82">
                  <c:v>0</c:v>
                </c:pt>
                <c:pt idx="83">
                  <c:v>0</c:v>
                </c:pt>
                <c:pt idx="84">
                  <c:v>8.4320000000000004</c:v>
                </c:pt>
                <c:pt idx="85">
                  <c:v>7.6160000000000005</c:v>
                </c:pt>
                <c:pt idx="86">
                  <c:v>8.4320000000000004</c:v>
                </c:pt>
                <c:pt idx="87">
                  <c:v>8.16</c:v>
                </c:pt>
                <c:pt idx="88">
                  <c:v>8.4320000000000004</c:v>
                </c:pt>
                <c:pt idx="89">
                  <c:v>8.16</c:v>
                </c:pt>
              </c:numCache>
            </c:numRef>
          </c:val>
        </c:ser>
        <c:ser>
          <c:idx val="7"/>
          <c:order val="6"/>
          <c:tx>
            <c:v>Carbon</c:v>
          </c:tx>
          <c:spPr>
            <a:solidFill>
              <a:schemeClr val="tx1"/>
            </a:solidFill>
            <a:ln w="25400">
              <a:noFill/>
            </a:ln>
          </c:spPr>
          <c:cat>
            <c:numRef>
              <c:f>'Misc. Data &amp; Mechanisms'!$O$1070:$O$1159</c:f>
              <c:numCache>
                <c:formatCode>mmm-yy</c:formatCode>
                <c:ptCount val="9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43466</c:v>
                </c:pt>
                <c:pt idx="85">
                  <c:v>43497</c:v>
                </c:pt>
                <c:pt idx="86">
                  <c:v>43525</c:v>
                </c:pt>
                <c:pt idx="87">
                  <c:v>43556</c:v>
                </c:pt>
                <c:pt idx="88">
                  <c:v>43586</c:v>
                </c:pt>
                <c:pt idx="89">
                  <c:v>43617</c:v>
                </c:pt>
              </c:numCache>
            </c:numRef>
          </c:cat>
          <c:val>
            <c:numRef>
              <c:f>'Misc. Data &amp; Mechanisms'!$V$1070:$V$1159</c:f>
              <c:numCache>
                <c:formatCode>General</c:formatCode>
                <c:ptCount val="90"/>
                <c:pt idx="0">
                  <c:v>25.548944066570733</c:v>
                </c:pt>
                <c:pt idx="1">
                  <c:v>39.609225079659645</c:v>
                </c:pt>
                <c:pt idx="2">
                  <c:v>23.95871797431958</c:v>
                </c:pt>
                <c:pt idx="3">
                  <c:v>14.552656229148779</c:v>
                </c:pt>
                <c:pt idx="4">
                  <c:v>10.652104343097346</c:v>
                </c:pt>
                <c:pt idx="5">
                  <c:v>0</c:v>
                </c:pt>
                <c:pt idx="6">
                  <c:v>0</c:v>
                </c:pt>
                <c:pt idx="7">
                  <c:v>0</c:v>
                </c:pt>
                <c:pt idx="8">
                  <c:v>0</c:v>
                </c:pt>
                <c:pt idx="9">
                  <c:v>0</c:v>
                </c:pt>
                <c:pt idx="10">
                  <c:v>0</c:v>
                </c:pt>
                <c:pt idx="11">
                  <c:v>0</c:v>
                </c:pt>
                <c:pt idx="12">
                  <c:v>25.548944066570733</c:v>
                </c:pt>
                <c:pt idx="13">
                  <c:v>39.609225079659645</c:v>
                </c:pt>
                <c:pt idx="14">
                  <c:v>23.95871797431958</c:v>
                </c:pt>
                <c:pt idx="15">
                  <c:v>14.552656229148779</c:v>
                </c:pt>
                <c:pt idx="16">
                  <c:v>10.652104343097346</c:v>
                </c:pt>
                <c:pt idx="17">
                  <c:v>0</c:v>
                </c:pt>
                <c:pt idx="18">
                  <c:v>0</c:v>
                </c:pt>
                <c:pt idx="19">
                  <c:v>0</c:v>
                </c:pt>
                <c:pt idx="20">
                  <c:v>0</c:v>
                </c:pt>
                <c:pt idx="21">
                  <c:v>0</c:v>
                </c:pt>
                <c:pt idx="22">
                  <c:v>0</c:v>
                </c:pt>
                <c:pt idx="23">
                  <c:v>0</c:v>
                </c:pt>
                <c:pt idx="24">
                  <c:v>25.548944066570733</c:v>
                </c:pt>
                <c:pt idx="25">
                  <c:v>39.609225079659645</c:v>
                </c:pt>
                <c:pt idx="26">
                  <c:v>23.95871797431958</c:v>
                </c:pt>
                <c:pt idx="27">
                  <c:v>14.552656229148779</c:v>
                </c:pt>
                <c:pt idx="28">
                  <c:v>10.652104343097346</c:v>
                </c:pt>
                <c:pt idx="29">
                  <c:v>0</c:v>
                </c:pt>
                <c:pt idx="30">
                  <c:v>0</c:v>
                </c:pt>
                <c:pt idx="31">
                  <c:v>0</c:v>
                </c:pt>
                <c:pt idx="32">
                  <c:v>0</c:v>
                </c:pt>
                <c:pt idx="33">
                  <c:v>0</c:v>
                </c:pt>
                <c:pt idx="34">
                  <c:v>0</c:v>
                </c:pt>
                <c:pt idx="35">
                  <c:v>0</c:v>
                </c:pt>
                <c:pt idx="36">
                  <c:v>25.548944066570733</c:v>
                </c:pt>
                <c:pt idx="37">
                  <c:v>39.609225079659645</c:v>
                </c:pt>
                <c:pt idx="38">
                  <c:v>23.95871797431958</c:v>
                </c:pt>
                <c:pt idx="39">
                  <c:v>14.552656229148779</c:v>
                </c:pt>
                <c:pt idx="40">
                  <c:v>10.652104343097346</c:v>
                </c:pt>
                <c:pt idx="41">
                  <c:v>0</c:v>
                </c:pt>
                <c:pt idx="42">
                  <c:v>0</c:v>
                </c:pt>
                <c:pt idx="43">
                  <c:v>0</c:v>
                </c:pt>
                <c:pt idx="44">
                  <c:v>0</c:v>
                </c:pt>
                <c:pt idx="45">
                  <c:v>0</c:v>
                </c:pt>
                <c:pt idx="46">
                  <c:v>0</c:v>
                </c:pt>
                <c:pt idx="47">
                  <c:v>0</c:v>
                </c:pt>
                <c:pt idx="48">
                  <c:v>25.548944066570733</c:v>
                </c:pt>
                <c:pt idx="49">
                  <c:v>39.609225079659645</c:v>
                </c:pt>
                <c:pt idx="50">
                  <c:v>23.95871797431958</c:v>
                </c:pt>
                <c:pt idx="51">
                  <c:v>14.552656229148779</c:v>
                </c:pt>
                <c:pt idx="52">
                  <c:v>10.652104343097346</c:v>
                </c:pt>
                <c:pt idx="53">
                  <c:v>0</c:v>
                </c:pt>
                <c:pt idx="54">
                  <c:v>0</c:v>
                </c:pt>
                <c:pt idx="55">
                  <c:v>0</c:v>
                </c:pt>
                <c:pt idx="56">
                  <c:v>0</c:v>
                </c:pt>
                <c:pt idx="57">
                  <c:v>0</c:v>
                </c:pt>
                <c:pt idx="58">
                  <c:v>0</c:v>
                </c:pt>
                <c:pt idx="59">
                  <c:v>0</c:v>
                </c:pt>
                <c:pt idx="60">
                  <c:v>25.548944066570733</c:v>
                </c:pt>
                <c:pt idx="61">
                  <c:v>39.609225079659645</c:v>
                </c:pt>
                <c:pt idx="62">
                  <c:v>23.95871797431958</c:v>
                </c:pt>
                <c:pt idx="63">
                  <c:v>14.552656229148779</c:v>
                </c:pt>
                <c:pt idx="64">
                  <c:v>10.652104343097346</c:v>
                </c:pt>
                <c:pt idx="65">
                  <c:v>0</c:v>
                </c:pt>
                <c:pt idx="66">
                  <c:v>0</c:v>
                </c:pt>
                <c:pt idx="67">
                  <c:v>0</c:v>
                </c:pt>
                <c:pt idx="68">
                  <c:v>0</c:v>
                </c:pt>
                <c:pt idx="69">
                  <c:v>0</c:v>
                </c:pt>
                <c:pt idx="70">
                  <c:v>0</c:v>
                </c:pt>
                <c:pt idx="71">
                  <c:v>0</c:v>
                </c:pt>
                <c:pt idx="72">
                  <c:v>25.548944066570733</c:v>
                </c:pt>
                <c:pt idx="73">
                  <c:v>39.609225079659645</c:v>
                </c:pt>
                <c:pt idx="74">
                  <c:v>23.95871797431958</c:v>
                </c:pt>
                <c:pt idx="75">
                  <c:v>14.552656229148779</c:v>
                </c:pt>
                <c:pt idx="76">
                  <c:v>10.652104343097346</c:v>
                </c:pt>
                <c:pt idx="77">
                  <c:v>0</c:v>
                </c:pt>
                <c:pt idx="78">
                  <c:v>0</c:v>
                </c:pt>
                <c:pt idx="79">
                  <c:v>0</c:v>
                </c:pt>
                <c:pt idx="80">
                  <c:v>0</c:v>
                </c:pt>
                <c:pt idx="81">
                  <c:v>0</c:v>
                </c:pt>
                <c:pt idx="82">
                  <c:v>0</c:v>
                </c:pt>
                <c:pt idx="83">
                  <c:v>0</c:v>
                </c:pt>
                <c:pt idx="84">
                  <c:v>25.548944066570733</c:v>
                </c:pt>
                <c:pt idx="85">
                  <c:v>39.609225079659645</c:v>
                </c:pt>
                <c:pt idx="86">
                  <c:v>23.95871797431958</c:v>
                </c:pt>
                <c:pt idx="87">
                  <c:v>14.552656229148779</c:v>
                </c:pt>
                <c:pt idx="88">
                  <c:v>10.652104343097346</c:v>
                </c:pt>
                <c:pt idx="89">
                  <c:v>0</c:v>
                </c:pt>
              </c:numCache>
            </c:numRef>
          </c:val>
        </c:ser>
        <c:ser>
          <c:idx val="6"/>
          <c:order val="7"/>
          <c:tx>
            <c:v>GST</c:v>
          </c:tx>
          <c:spPr>
            <a:solidFill>
              <a:srgbClr val="996633"/>
            </a:solidFill>
            <a:ln w="25400">
              <a:noFill/>
            </a:ln>
          </c:spPr>
          <c:cat>
            <c:numRef>
              <c:f>'Misc. Data &amp; Mechanisms'!$O$1070:$O$1159</c:f>
              <c:numCache>
                <c:formatCode>mmm-yy</c:formatCode>
                <c:ptCount val="9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43466</c:v>
                </c:pt>
                <c:pt idx="85">
                  <c:v>43497</c:v>
                </c:pt>
                <c:pt idx="86">
                  <c:v>43525</c:v>
                </c:pt>
                <c:pt idx="87">
                  <c:v>43556</c:v>
                </c:pt>
                <c:pt idx="88">
                  <c:v>43586</c:v>
                </c:pt>
                <c:pt idx="89">
                  <c:v>43617</c:v>
                </c:pt>
              </c:numCache>
            </c:numRef>
          </c:cat>
          <c:val>
            <c:numRef>
              <c:f>'Misc. Data &amp; Mechanisms'!$W$1070:$W$1159</c:f>
              <c:numCache>
                <c:formatCode>General</c:formatCode>
                <c:ptCount val="90"/>
                <c:pt idx="0">
                  <c:v>5.7556571043425464</c:v>
                </c:pt>
                <c:pt idx="1">
                  <c:v>8.5481141292318998</c:v>
                </c:pt>
                <c:pt idx="2">
                  <c:v>7.4872051077272763</c:v>
                </c:pt>
                <c:pt idx="3">
                  <c:v>5.1210260086388564</c:v>
                </c:pt>
                <c:pt idx="4">
                  <c:v>4.2521058994568559</c:v>
                </c:pt>
                <c:pt idx="5">
                  <c:v>2.4030880187101298</c:v>
                </c:pt>
                <c:pt idx="6">
                  <c:v>0</c:v>
                </c:pt>
                <c:pt idx="7">
                  <c:v>0</c:v>
                </c:pt>
                <c:pt idx="8">
                  <c:v>0</c:v>
                </c:pt>
                <c:pt idx="9">
                  <c:v>0</c:v>
                </c:pt>
                <c:pt idx="10">
                  <c:v>0</c:v>
                </c:pt>
                <c:pt idx="11">
                  <c:v>0</c:v>
                </c:pt>
                <c:pt idx="12">
                  <c:v>5.7556571043425464</c:v>
                </c:pt>
                <c:pt idx="13">
                  <c:v>8.5481141292318998</c:v>
                </c:pt>
                <c:pt idx="14">
                  <c:v>7.4872051077272763</c:v>
                </c:pt>
                <c:pt idx="15">
                  <c:v>5.1210260086388564</c:v>
                </c:pt>
                <c:pt idx="16">
                  <c:v>4.2521058994568559</c:v>
                </c:pt>
                <c:pt idx="17">
                  <c:v>2.4030880187101298</c:v>
                </c:pt>
                <c:pt idx="18">
                  <c:v>0</c:v>
                </c:pt>
                <c:pt idx="19">
                  <c:v>0</c:v>
                </c:pt>
                <c:pt idx="20">
                  <c:v>0</c:v>
                </c:pt>
                <c:pt idx="21">
                  <c:v>0</c:v>
                </c:pt>
                <c:pt idx="22">
                  <c:v>0</c:v>
                </c:pt>
                <c:pt idx="23">
                  <c:v>0</c:v>
                </c:pt>
                <c:pt idx="24">
                  <c:v>5.7556571043425464</c:v>
                </c:pt>
                <c:pt idx="25">
                  <c:v>8.5481141292318998</c:v>
                </c:pt>
                <c:pt idx="26">
                  <c:v>7.4872051077272763</c:v>
                </c:pt>
                <c:pt idx="27">
                  <c:v>5.1210260086388564</c:v>
                </c:pt>
                <c:pt idx="28">
                  <c:v>4.2521058994568559</c:v>
                </c:pt>
                <c:pt idx="29">
                  <c:v>2.4030880187101298</c:v>
                </c:pt>
                <c:pt idx="30">
                  <c:v>0</c:v>
                </c:pt>
                <c:pt idx="31">
                  <c:v>0</c:v>
                </c:pt>
                <c:pt idx="32">
                  <c:v>0</c:v>
                </c:pt>
                <c:pt idx="33">
                  <c:v>0</c:v>
                </c:pt>
                <c:pt idx="34">
                  <c:v>0</c:v>
                </c:pt>
                <c:pt idx="35">
                  <c:v>0</c:v>
                </c:pt>
                <c:pt idx="36">
                  <c:v>5.7556571043425464</c:v>
                </c:pt>
                <c:pt idx="37">
                  <c:v>8.5481141292318998</c:v>
                </c:pt>
                <c:pt idx="38">
                  <c:v>7.4872051077272763</c:v>
                </c:pt>
                <c:pt idx="39">
                  <c:v>5.1210260086388564</c:v>
                </c:pt>
                <c:pt idx="40">
                  <c:v>4.2521058994568559</c:v>
                </c:pt>
                <c:pt idx="41">
                  <c:v>2.4030880187101298</c:v>
                </c:pt>
                <c:pt idx="42">
                  <c:v>0</c:v>
                </c:pt>
                <c:pt idx="43">
                  <c:v>0</c:v>
                </c:pt>
                <c:pt idx="44">
                  <c:v>0</c:v>
                </c:pt>
                <c:pt idx="45">
                  <c:v>0</c:v>
                </c:pt>
                <c:pt idx="46">
                  <c:v>0</c:v>
                </c:pt>
                <c:pt idx="47">
                  <c:v>0</c:v>
                </c:pt>
                <c:pt idx="48">
                  <c:v>5.7556571043425464</c:v>
                </c:pt>
                <c:pt idx="49">
                  <c:v>8.5481141292318998</c:v>
                </c:pt>
                <c:pt idx="50">
                  <c:v>7.4872051077272763</c:v>
                </c:pt>
                <c:pt idx="51">
                  <c:v>5.1210260086388564</c:v>
                </c:pt>
                <c:pt idx="52">
                  <c:v>4.2521058994568559</c:v>
                </c:pt>
                <c:pt idx="53">
                  <c:v>2.4030880187101298</c:v>
                </c:pt>
                <c:pt idx="54">
                  <c:v>0</c:v>
                </c:pt>
                <c:pt idx="55">
                  <c:v>0</c:v>
                </c:pt>
                <c:pt idx="56">
                  <c:v>0</c:v>
                </c:pt>
                <c:pt idx="57">
                  <c:v>0</c:v>
                </c:pt>
                <c:pt idx="58">
                  <c:v>0</c:v>
                </c:pt>
                <c:pt idx="59">
                  <c:v>0</c:v>
                </c:pt>
                <c:pt idx="60">
                  <c:v>5.7556571043425464</c:v>
                </c:pt>
                <c:pt idx="61">
                  <c:v>8.5481141292318998</c:v>
                </c:pt>
                <c:pt idx="62">
                  <c:v>7.4872051077272763</c:v>
                </c:pt>
                <c:pt idx="63">
                  <c:v>5.1210260086388564</c:v>
                </c:pt>
                <c:pt idx="64">
                  <c:v>4.2521058994568559</c:v>
                </c:pt>
                <c:pt idx="65">
                  <c:v>2.4030880187101298</c:v>
                </c:pt>
                <c:pt idx="66">
                  <c:v>0</c:v>
                </c:pt>
                <c:pt idx="67">
                  <c:v>0</c:v>
                </c:pt>
                <c:pt idx="68">
                  <c:v>0</c:v>
                </c:pt>
                <c:pt idx="69">
                  <c:v>0</c:v>
                </c:pt>
                <c:pt idx="70">
                  <c:v>0</c:v>
                </c:pt>
                <c:pt idx="71">
                  <c:v>0</c:v>
                </c:pt>
                <c:pt idx="72">
                  <c:v>5.7556571043425464</c:v>
                </c:pt>
                <c:pt idx="73">
                  <c:v>8.5481141292318998</c:v>
                </c:pt>
                <c:pt idx="74">
                  <c:v>7.4872051077272763</c:v>
                </c:pt>
                <c:pt idx="75">
                  <c:v>5.1210260086388564</c:v>
                </c:pt>
                <c:pt idx="76">
                  <c:v>4.2521058994568559</c:v>
                </c:pt>
                <c:pt idx="77">
                  <c:v>2.4030880187101298</c:v>
                </c:pt>
                <c:pt idx="78">
                  <c:v>0</c:v>
                </c:pt>
                <c:pt idx="79">
                  <c:v>0</c:v>
                </c:pt>
                <c:pt idx="80">
                  <c:v>0</c:v>
                </c:pt>
                <c:pt idx="81">
                  <c:v>0</c:v>
                </c:pt>
                <c:pt idx="82">
                  <c:v>0</c:v>
                </c:pt>
                <c:pt idx="83">
                  <c:v>0</c:v>
                </c:pt>
                <c:pt idx="84">
                  <c:v>5.7556571043425464</c:v>
                </c:pt>
                <c:pt idx="85">
                  <c:v>8.5481141292318998</c:v>
                </c:pt>
                <c:pt idx="86">
                  <c:v>7.4872051077272763</c:v>
                </c:pt>
                <c:pt idx="87">
                  <c:v>5.1210260086388564</c:v>
                </c:pt>
                <c:pt idx="88">
                  <c:v>4.2521058994568559</c:v>
                </c:pt>
                <c:pt idx="89">
                  <c:v>2.4030880187101298</c:v>
                </c:pt>
              </c:numCache>
            </c:numRef>
          </c:val>
        </c:ser>
        <c:dLbls>
          <c:showLegendKey val="0"/>
          <c:showVal val="0"/>
          <c:showCatName val="0"/>
          <c:showSerName val="0"/>
          <c:showPercent val="0"/>
          <c:showBubbleSize val="0"/>
        </c:dLbls>
        <c:axId val="259404544"/>
        <c:axId val="259406080"/>
      </c:areaChart>
      <c:dateAx>
        <c:axId val="259404544"/>
        <c:scaling>
          <c:orientation val="minMax"/>
        </c:scaling>
        <c:delete val="0"/>
        <c:axPos val="b"/>
        <c:numFmt formatCode="mmm-yy" sourceLinked="1"/>
        <c:majorTickMark val="out"/>
        <c:minorTickMark val="none"/>
        <c:tickLblPos val="nextTo"/>
        <c:crossAx val="259406080"/>
        <c:crosses val="autoZero"/>
        <c:auto val="1"/>
        <c:lblOffset val="100"/>
        <c:baseTimeUnit val="months"/>
      </c:dateAx>
      <c:valAx>
        <c:axId val="259406080"/>
        <c:scaling>
          <c:orientation val="minMax"/>
        </c:scaling>
        <c:delete val="0"/>
        <c:axPos val="l"/>
        <c:majorGridlines>
          <c:spPr>
            <a:ln>
              <a:solidFill>
                <a:schemeClr val="bg1">
                  <a:lumMod val="85000"/>
                </a:schemeClr>
              </a:solidFill>
              <a:prstDash val="dash"/>
            </a:ln>
          </c:spPr>
        </c:majorGridlines>
        <c:numFmt formatCode="&quot;$&quot;#,##0" sourceLinked="0"/>
        <c:majorTickMark val="out"/>
        <c:minorTickMark val="none"/>
        <c:tickLblPos val="nextTo"/>
        <c:crossAx val="259404544"/>
        <c:crosses val="autoZero"/>
        <c:crossBetween val="midCat"/>
      </c:valAx>
    </c:plotArea>
    <c:legend>
      <c:legendPos val="r"/>
      <c:overlay val="0"/>
      <c:txPr>
        <a:bodyPr/>
        <a:lstStyle/>
        <a:p>
          <a:pPr>
            <a:defRPr sz="1100"/>
          </a:pPr>
          <a:endParaRPr lang="en-US"/>
        </a:p>
      </c:txPr>
    </c:legend>
    <c:plotVisOnly val="1"/>
    <c:dispBlanksAs val="zero"/>
    <c:showDLblsOverMax val="0"/>
  </c:chart>
  <c:spPr>
    <a:ln>
      <a:noFill/>
    </a:ln>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'NG Analysis'!$A$82:$N$82</c:f>
          <c:strCache>
            <c:ptCount val="1"/>
            <c:pt idx="0">
              <c:v>ATCO-S Zone Cost Component Variation in 2019</c:v>
            </c:pt>
          </c:strCache>
        </c:strRef>
      </c:tx>
      <c:overlay val="0"/>
    </c:title>
    <c:autoTitleDeleted val="0"/>
    <c:plotArea>
      <c:layout/>
      <c:barChart>
        <c:barDir val="col"/>
        <c:grouping val="stacked"/>
        <c:varyColors val="0"/>
        <c:ser>
          <c:idx val="1"/>
          <c:order val="0"/>
          <c:tx>
            <c:v>Distribution - Fixed</c:v>
          </c:tx>
          <c:spPr>
            <a:solidFill>
              <a:schemeClr val="accent1">
                <a:lumMod val="75000"/>
              </a:schemeClr>
            </a:solidFill>
          </c:spPr>
          <c:invertIfNegative val="0"/>
          <c:cat>
            <c:numRef>
              <c:f>'Misc. Data &amp; Mechanisms'!$O$1070:$O$1159</c:f>
              <c:numCache>
                <c:formatCode>mmm-yy</c:formatCode>
                <c:ptCount val="9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43466</c:v>
                </c:pt>
                <c:pt idx="85">
                  <c:v>43497</c:v>
                </c:pt>
                <c:pt idx="86">
                  <c:v>43525</c:v>
                </c:pt>
                <c:pt idx="87">
                  <c:v>43556</c:v>
                </c:pt>
                <c:pt idx="88">
                  <c:v>43586</c:v>
                </c:pt>
                <c:pt idx="89">
                  <c:v>43617</c:v>
                </c:pt>
              </c:numCache>
            </c:numRef>
          </c:cat>
          <c:val>
            <c:numRef>
              <c:f>'Misc. Data &amp; Mechanisms'!$P$1070:$P$1159</c:f>
              <c:numCache>
                <c:formatCode>General</c:formatCode>
                <c:ptCount val="90"/>
                <c:pt idx="0">
                  <c:v>25.946999999999999</c:v>
                </c:pt>
                <c:pt idx="1">
                  <c:v>23.436</c:v>
                </c:pt>
                <c:pt idx="2">
                  <c:v>25.946999999999999</c:v>
                </c:pt>
                <c:pt idx="3">
                  <c:v>25.11</c:v>
                </c:pt>
                <c:pt idx="4">
                  <c:v>25.946999999999999</c:v>
                </c:pt>
                <c:pt idx="5">
                  <c:v>25.11</c:v>
                </c:pt>
                <c:pt idx="6">
                  <c:v>0</c:v>
                </c:pt>
                <c:pt idx="7">
                  <c:v>0</c:v>
                </c:pt>
                <c:pt idx="8">
                  <c:v>0</c:v>
                </c:pt>
                <c:pt idx="9">
                  <c:v>0</c:v>
                </c:pt>
                <c:pt idx="10">
                  <c:v>0</c:v>
                </c:pt>
                <c:pt idx="11">
                  <c:v>0</c:v>
                </c:pt>
                <c:pt idx="12">
                  <c:v>25.946999999999999</c:v>
                </c:pt>
                <c:pt idx="13">
                  <c:v>23.436</c:v>
                </c:pt>
                <c:pt idx="14">
                  <c:v>25.946999999999999</c:v>
                </c:pt>
                <c:pt idx="15">
                  <c:v>25.11</c:v>
                </c:pt>
                <c:pt idx="16">
                  <c:v>25.946999999999999</c:v>
                </c:pt>
                <c:pt idx="17">
                  <c:v>25.11</c:v>
                </c:pt>
                <c:pt idx="18">
                  <c:v>0</c:v>
                </c:pt>
                <c:pt idx="19">
                  <c:v>0</c:v>
                </c:pt>
                <c:pt idx="20">
                  <c:v>0</c:v>
                </c:pt>
                <c:pt idx="21">
                  <c:v>0</c:v>
                </c:pt>
                <c:pt idx="22">
                  <c:v>0</c:v>
                </c:pt>
                <c:pt idx="23">
                  <c:v>0</c:v>
                </c:pt>
                <c:pt idx="24">
                  <c:v>25.946999999999999</c:v>
                </c:pt>
                <c:pt idx="25">
                  <c:v>23.436</c:v>
                </c:pt>
                <c:pt idx="26">
                  <c:v>25.946999999999999</c:v>
                </c:pt>
                <c:pt idx="27">
                  <c:v>25.11</c:v>
                </c:pt>
                <c:pt idx="28">
                  <c:v>25.946999999999999</c:v>
                </c:pt>
                <c:pt idx="29">
                  <c:v>25.11</c:v>
                </c:pt>
                <c:pt idx="30">
                  <c:v>0</c:v>
                </c:pt>
                <c:pt idx="31">
                  <c:v>0</c:v>
                </c:pt>
                <c:pt idx="32">
                  <c:v>0</c:v>
                </c:pt>
                <c:pt idx="33">
                  <c:v>0</c:v>
                </c:pt>
                <c:pt idx="34">
                  <c:v>0</c:v>
                </c:pt>
                <c:pt idx="35">
                  <c:v>0</c:v>
                </c:pt>
                <c:pt idx="36">
                  <c:v>25.946999999999999</c:v>
                </c:pt>
                <c:pt idx="37">
                  <c:v>23.436</c:v>
                </c:pt>
                <c:pt idx="38">
                  <c:v>25.946999999999999</c:v>
                </c:pt>
                <c:pt idx="39">
                  <c:v>25.11</c:v>
                </c:pt>
                <c:pt idx="40">
                  <c:v>25.946999999999999</c:v>
                </c:pt>
                <c:pt idx="41">
                  <c:v>25.11</c:v>
                </c:pt>
                <c:pt idx="42">
                  <c:v>0</c:v>
                </c:pt>
                <c:pt idx="43">
                  <c:v>0</c:v>
                </c:pt>
                <c:pt idx="44">
                  <c:v>0</c:v>
                </c:pt>
                <c:pt idx="45">
                  <c:v>0</c:v>
                </c:pt>
                <c:pt idx="46">
                  <c:v>0</c:v>
                </c:pt>
                <c:pt idx="47">
                  <c:v>0</c:v>
                </c:pt>
                <c:pt idx="48">
                  <c:v>25.946999999999999</c:v>
                </c:pt>
                <c:pt idx="49">
                  <c:v>23.436</c:v>
                </c:pt>
                <c:pt idx="50">
                  <c:v>25.946999999999999</c:v>
                </c:pt>
                <c:pt idx="51">
                  <c:v>25.11</c:v>
                </c:pt>
                <c:pt idx="52">
                  <c:v>25.946999999999999</c:v>
                </c:pt>
                <c:pt idx="53">
                  <c:v>25.11</c:v>
                </c:pt>
                <c:pt idx="54">
                  <c:v>0</c:v>
                </c:pt>
                <c:pt idx="55">
                  <c:v>0</c:v>
                </c:pt>
                <c:pt idx="56">
                  <c:v>0</c:v>
                </c:pt>
                <c:pt idx="57">
                  <c:v>0</c:v>
                </c:pt>
                <c:pt idx="58">
                  <c:v>0</c:v>
                </c:pt>
                <c:pt idx="59">
                  <c:v>0</c:v>
                </c:pt>
                <c:pt idx="60">
                  <c:v>25.946999999999999</c:v>
                </c:pt>
                <c:pt idx="61">
                  <c:v>23.436</c:v>
                </c:pt>
                <c:pt idx="62">
                  <c:v>25.946999999999999</c:v>
                </c:pt>
                <c:pt idx="63">
                  <c:v>25.11</c:v>
                </c:pt>
                <c:pt idx="64">
                  <c:v>25.946999999999999</c:v>
                </c:pt>
                <c:pt idx="65">
                  <c:v>25.11</c:v>
                </c:pt>
                <c:pt idx="66">
                  <c:v>0</c:v>
                </c:pt>
                <c:pt idx="67">
                  <c:v>0</c:v>
                </c:pt>
                <c:pt idx="68">
                  <c:v>0</c:v>
                </c:pt>
                <c:pt idx="69">
                  <c:v>0</c:v>
                </c:pt>
                <c:pt idx="70">
                  <c:v>0</c:v>
                </c:pt>
                <c:pt idx="71">
                  <c:v>0</c:v>
                </c:pt>
                <c:pt idx="72">
                  <c:v>25.946999999999999</c:v>
                </c:pt>
                <c:pt idx="73">
                  <c:v>23.436</c:v>
                </c:pt>
                <c:pt idx="74">
                  <c:v>25.946999999999999</c:v>
                </c:pt>
                <c:pt idx="75">
                  <c:v>25.11</c:v>
                </c:pt>
                <c:pt idx="76">
                  <c:v>25.946999999999999</c:v>
                </c:pt>
                <c:pt idx="77">
                  <c:v>25.11</c:v>
                </c:pt>
                <c:pt idx="78">
                  <c:v>0</c:v>
                </c:pt>
                <c:pt idx="79">
                  <c:v>0</c:v>
                </c:pt>
                <c:pt idx="80">
                  <c:v>0</c:v>
                </c:pt>
                <c:pt idx="81">
                  <c:v>0</c:v>
                </c:pt>
                <c:pt idx="82">
                  <c:v>0</c:v>
                </c:pt>
                <c:pt idx="83">
                  <c:v>0</c:v>
                </c:pt>
                <c:pt idx="84">
                  <c:v>25.946999999999999</c:v>
                </c:pt>
                <c:pt idx="85">
                  <c:v>23.436</c:v>
                </c:pt>
                <c:pt idx="86">
                  <c:v>25.946999999999999</c:v>
                </c:pt>
                <c:pt idx="87">
                  <c:v>25.11</c:v>
                </c:pt>
                <c:pt idx="88">
                  <c:v>25.946999999999999</c:v>
                </c:pt>
                <c:pt idx="89">
                  <c:v>25.11</c:v>
                </c:pt>
              </c:numCache>
            </c:numRef>
          </c:val>
        </c:ser>
        <c:ser>
          <c:idx val="2"/>
          <c:order val="1"/>
          <c:tx>
            <c:v>Distribution - Variable</c:v>
          </c:tx>
          <c:spPr>
            <a:solidFill>
              <a:schemeClr val="accent2">
                <a:lumMod val="75000"/>
              </a:schemeClr>
            </a:solidFill>
          </c:spPr>
          <c:invertIfNegative val="0"/>
          <c:cat>
            <c:numRef>
              <c:f>'Misc. Data &amp; Mechanisms'!$O$1070:$O$1159</c:f>
              <c:numCache>
                <c:formatCode>mmm-yy</c:formatCode>
                <c:ptCount val="9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43466</c:v>
                </c:pt>
                <c:pt idx="85">
                  <c:v>43497</c:v>
                </c:pt>
                <c:pt idx="86">
                  <c:v>43525</c:v>
                </c:pt>
                <c:pt idx="87">
                  <c:v>43556</c:v>
                </c:pt>
                <c:pt idx="88">
                  <c:v>43586</c:v>
                </c:pt>
                <c:pt idx="89">
                  <c:v>43617</c:v>
                </c:pt>
              </c:numCache>
            </c:numRef>
          </c:cat>
          <c:val>
            <c:numRef>
              <c:f>'Misc. Data &amp; Mechanisms'!$Q$1070:$Q$1159</c:f>
              <c:numCache>
                <c:formatCode>General</c:formatCode>
                <c:ptCount val="90"/>
                <c:pt idx="0">
                  <c:v>13.961815841257177</c:v>
                </c:pt>
                <c:pt idx="1">
                  <c:v>21.645384041554284</c:v>
                </c:pt>
                <c:pt idx="2">
                  <c:v>13.092799736790329</c:v>
                </c:pt>
                <c:pt idx="3">
                  <c:v>7.9526381107213826</c:v>
                </c:pt>
                <c:pt idx="4">
                  <c:v>6.2225451665778353</c:v>
                </c:pt>
                <c:pt idx="5">
                  <c:v>3.1037296499089999</c:v>
                </c:pt>
                <c:pt idx="6">
                  <c:v>0</c:v>
                </c:pt>
                <c:pt idx="7">
                  <c:v>0</c:v>
                </c:pt>
                <c:pt idx="8">
                  <c:v>0</c:v>
                </c:pt>
                <c:pt idx="9">
                  <c:v>0</c:v>
                </c:pt>
                <c:pt idx="10">
                  <c:v>0</c:v>
                </c:pt>
                <c:pt idx="11">
                  <c:v>0</c:v>
                </c:pt>
                <c:pt idx="12">
                  <c:v>13.961815841257177</c:v>
                </c:pt>
                <c:pt idx="13">
                  <c:v>21.645384041554284</c:v>
                </c:pt>
                <c:pt idx="14">
                  <c:v>13.092799736790329</c:v>
                </c:pt>
                <c:pt idx="15">
                  <c:v>7.9526381107213826</c:v>
                </c:pt>
                <c:pt idx="16">
                  <c:v>6.2225451665778353</c:v>
                </c:pt>
                <c:pt idx="17">
                  <c:v>3.1037296499089999</c:v>
                </c:pt>
                <c:pt idx="18">
                  <c:v>0</c:v>
                </c:pt>
                <c:pt idx="19">
                  <c:v>0</c:v>
                </c:pt>
                <c:pt idx="20">
                  <c:v>0</c:v>
                </c:pt>
                <c:pt idx="21">
                  <c:v>0</c:v>
                </c:pt>
                <c:pt idx="22">
                  <c:v>0</c:v>
                </c:pt>
                <c:pt idx="23">
                  <c:v>0</c:v>
                </c:pt>
                <c:pt idx="24">
                  <c:v>13.961815841257177</c:v>
                </c:pt>
                <c:pt idx="25">
                  <c:v>21.645384041554284</c:v>
                </c:pt>
                <c:pt idx="26">
                  <c:v>13.092799736790329</c:v>
                </c:pt>
                <c:pt idx="27">
                  <c:v>7.9526381107213826</c:v>
                </c:pt>
                <c:pt idx="28">
                  <c:v>6.2225451665778353</c:v>
                </c:pt>
                <c:pt idx="29">
                  <c:v>3.1037296499089999</c:v>
                </c:pt>
                <c:pt idx="30">
                  <c:v>0</c:v>
                </c:pt>
                <c:pt idx="31">
                  <c:v>0</c:v>
                </c:pt>
                <c:pt idx="32">
                  <c:v>0</c:v>
                </c:pt>
                <c:pt idx="33">
                  <c:v>0</c:v>
                </c:pt>
                <c:pt idx="34">
                  <c:v>0</c:v>
                </c:pt>
                <c:pt idx="35">
                  <c:v>0</c:v>
                </c:pt>
                <c:pt idx="36">
                  <c:v>13.961815841257177</c:v>
                </c:pt>
                <c:pt idx="37">
                  <c:v>21.645384041554284</c:v>
                </c:pt>
                <c:pt idx="38">
                  <c:v>13.092799736790329</c:v>
                </c:pt>
                <c:pt idx="39">
                  <c:v>7.9526381107213826</c:v>
                </c:pt>
                <c:pt idx="40">
                  <c:v>6.2225451665778353</c:v>
                </c:pt>
                <c:pt idx="41">
                  <c:v>3.1037296499089999</c:v>
                </c:pt>
                <c:pt idx="42">
                  <c:v>0</c:v>
                </c:pt>
                <c:pt idx="43">
                  <c:v>0</c:v>
                </c:pt>
                <c:pt idx="44">
                  <c:v>0</c:v>
                </c:pt>
                <c:pt idx="45">
                  <c:v>0</c:v>
                </c:pt>
                <c:pt idx="46">
                  <c:v>0</c:v>
                </c:pt>
                <c:pt idx="47">
                  <c:v>0</c:v>
                </c:pt>
                <c:pt idx="48">
                  <c:v>13.961815841257177</c:v>
                </c:pt>
                <c:pt idx="49">
                  <c:v>21.645384041554284</c:v>
                </c:pt>
                <c:pt idx="50">
                  <c:v>13.092799736790329</c:v>
                </c:pt>
                <c:pt idx="51">
                  <c:v>7.9526381107213826</c:v>
                </c:pt>
                <c:pt idx="52">
                  <c:v>6.2225451665778353</c:v>
                </c:pt>
                <c:pt idx="53">
                  <c:v>3.1037296499089999</c:v>
                </c:pt>
                <c:pt idx="54">
                  <c:v>0</c:v>
                </c:pt>
                <c:pt idx="55">
                  <c:v>0</c:v>
                </c:pt>
                <c:pt idx="56">
                  <c:v>0</c:v>
                </c:pt>
                <c:pt idx="57">
                  <c:v>0</c:v>
                </c:pt>
                <c:pt idx="58">
                  <c:v>0</c:v>
                </c:pt>
                <c:pt idx="59">
                  <c:v>0</c:v>
                </c:pt>
                <c:pt idx="60">
                  <c:v>13.961815841257177</c:v>
                </c:pt>
                <c:pt idx="61">
                  <c:v>21.645384041554284</c:v>
                </c:pt>
                <c:pt idx="62">
                  <c:v>13.092799736790329</c:v>
                </c:pt>
                <c:pt idx="63">
                  <c:v>7.9526381107213826</c:v>
                </c:pt>
                <c:pt idx="64">
                  <c:v>6.2225451665778353</c:v>
                </c:pt>
                <c:pt idx="65">
                  <c:v>3.1037296499089999</c:v>
                </c:pt>
                <c:pt idx="66">
                  <c:v>0</c:v>
                </c:pt>
                <c:pt idx="67">
                  <c:v>0</c:v>
                </c:pt>
                <c:pt idx="68">
                  <c:v>0</c:v>
                </c:pt>
                <c:pt idx="69">
                  <c:v>0</c:v>
                </c:pt>
                <c:pt idx="70">
                  <c:v>0</c:v>
                </c:pt>
                <c:pt idx="71">
                  <c:v>0</c:v>
                </c:pt>
                <c:pt idx="72">
                  <c:v>13.961815841257177</c:v>
                </c:pt>
                <c:pt idx="73">
                  <c:v>21.645384041554284</c:v>
                </c:pt>
                <c:pt idx="74">
                  <c:v>13.092799736790329</c:v>
                </c:pt>
                <c:pt idx="75">
                  <c:v>7.9526381107213826</c:v>
                </c:pt>
                <c:pt idx="76">
                  <c:v>6.2225451665778353</c:v>
                </c:pt>
                <c:pt idx="77">
                  <c:v>3.1037296499089999</c:v>
                </c:pt>
                <c:pt idx="78">
                  <c:v>0</c:v>
                </c:pt>
                <c:pt idx="79">
                  <c:v>0</c:v>
                </c:pt>
                <c:pt idx="80">
                  <c:v>0</c:v>
                </c:pt>
                <c:pt idx="81">
                  <c:v>0</c:v>
                </c:pt>
                <c:pt idx="82">
                  <c:v>0</c:v>
                </c:pt>
                <c:pt idx="83">
                  <c:v>0</c:v>
                </c:pt>
                <c:pt idx="84">
                  <c:v>13.961815841257177</c:v>
                </c:pt>
                <c:pt idx="85">
                  <c:v>21.645384041554284</c:v>
                </c:pt>
                <c:pt idx="86">
                  <c:v>13.092799736790329</c:v>
                </c:pt>
                <c:pt idx="87">
                  <c:v>7.9526381107213826</c:v>
                </c:pt>
                <c:pt idx="88">
                  <c:v>6.2225451665778353</c:v>
                </c:pt>
                <c:pt idx="89">
                  <c:v>3.1037296499089999</c:v>
                </c:pt>
              </c:numCache>
            </c:numRef>
          </c:val>
        </c:ser>
        <c:ser>
          <c:idx val="3"/>
          <c:order val="2"/>
          <c:tx>
            <c:v>Local Access Fees</c:v>
          </c:tx>
          <c:spPr>
            <a:solidFill>
              <a:schemeClr val="accent3">
                <a:lumMod val="75000"/>
              </a:schemeClr>
            </a:solidFill>
          </c:spPr>
          <c:invertIfNegative val="0"/>
          <c:cat>
            <c:numRef>
              <c:f>'Misc. Data &amp; Mechanisms'!$O$1070:$O$1159</c:f>
              <c:numCache>
                <c:formatCode>mmm-yy</c:formatCode>
                <c:ptCount val="9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43466</c:v>
                </c:pt>
                <c:pt idx="85">
                  <c:v>43497</c:v>
                </c:pt>
                <c:pt idx="86">
                  <c:v>43525</c:v>
                </c:pt>
                <c:pt idx="87">
                  <c:v>43556</c:v>
                </c:pt>
                <c:pt idx="88">
                  <c:v>43586</c:v>
                </c:pt>
                <c:pt idx="89">
                  <c:v>43617</c:v>
                </c:pt>
              </c:numCache>
            </c:numRef>
          </c:cat>
          <c:val>
            <c:numRef>
              <c:f>'Misc. Data &amp; Mechanisms'!$R$1070:$R$1159</c:f>
              <c:numCache>
                <c:formatCode>General</c:formatCode>
                <c:ptCount val="90"/>
                <c:pt idx="0">
                  <c:v>8.1124896049438657</c:v>
                </c:pt>
                <c:pt idx="1">
                  <c:v>12.372592105843843</c:v>
                </c:pt>
                <c:pt idx="2">
                  <c:v>11.73428222700306</c:v>
                </c:pt>
                <c:pt idx="3">
                  <c:v>7.9700690164135626</c:v>
                </c:pt>
                <c:pt idx="4">
                  <c:v>6.5952077365448813</c:v>
                </c:pt>
                <c:pt idx="5">
                  <c:v>3.9898169179856966</c:v>
                </c:pt>
                <c:pt idx="6">
                  <c:v>0</c:v>
                </c:pt>
                <c:pt idx="7">
                  <c:v>0</c:v>
                </c:pt>
                <c:pt idx="8">
                  <c:v>0</c:v>
                </c:pt>
                <c:pt idx="9">
                  <c:v>0</c:v>
                </c:pt>
                <c:pt idx="10">
                  <c:v>0</c:v>
                </c:pt>
                <c:pt idx="11">
                  <c:v>0</c:v>
                </c:pt>
                <c:pt idx="12">
                  <c:v>8.1124896049438657</c:v>
                </c:pt>
                <c:pt idx="13">
                  <c:v>12.372592105843843</c:v>
                </c:pt>
                <c:pt idx="14">
                  <c:v>11.73428222700306</c:v>
                </c:pt>
                <c:pt idx="15">
                  <c:v>7.9700690164135626</c:v>
                </c:pt>
                <c:pt idx="16">
                  <c:v>6.5952077365448813</c:v>
                </c:pt>
                <c:pt idx="17">
                  <c:v>3.9898169179856966</c:v>
                </c:pt>
                <c:pt idx="18">
                  <c:v>0</c:v>
                </c:pt>
                <c:pt idx="19">
                  <c:v>0</c:v>
                </c:pt>
                <c:pt idx="20">
                  <c:v>0</c:v>
                </c:pt>
                <c:pt idx="21">
                  <c:v>0</c:v>
                </c:pt>
                <c:pt idx="22">
                  <c:v>0</c:v>
                </c:pt>
                <c:pt idx="23">
                  <c:v>0</c:v>
                </c:pt>
                <c:pt idx="24">
                  <c:v>8.1124896049438657</c:v>
                </c:pt>
                <c:pt idx="25">
                  <c:v>12.372592105843843</c:v>
                </c:pt>
                <c:pt idx="26">
                  <c:v>11.73428222700306</c:v>
                </c:pt>
                <c:pt idx="27">
                  <c:v>7.9700690164135626</c:v>
                </c:pt>
                <c:pt idx="28">
                  <c:v>6.5952077365448813</c:v>
                </c:pt>
                <c:pt idx="29">
                  <c:v>3.9898169179856966</c:v>
                </c:pt>
                <c:pt idx="30">
                  <c:v>0</c:v>
                </c:pt>
                <c:pt idx="31">
                  <c:v>0</c:v>
                </c:pt>
                <c:pt idx="32">
                  <c:v>0</c:v>
                </c:pt>
                <c:pt idx="33">
                  <c:v>0</c:v>
                </c:pt>
                <c:pt idx="34">
                  <c:v>0</c:v>
                </c:pt>
                <c:pt idx="35">
                  <c:v>0</c:v>
                </c:pt>
                <c:pt idx="36">
                  <c:v>8.1124896049438657</c:v>
                </c:pt>
                <c:pt idx="37">
                  <c:v>12.372592105843843</c:v>
                </c:pt>
                <c:pt idx="38">
                  <c:v>11.73428222700306</c:v>
                </c:pt>
                <c:pt idx="39">
                  <c:v>7.9700690164135626</c:v>
                </c:pt>
                <c:pt idx="40">
                  <c:v>6.5952077365448813</c:v>
                </c:pt>
                <c:pt idx="41">
                  <c:v>3.9898169179856966</c:v>
                </c:pt>
                <c:pt idx="42">
                  <c:v>0</c:v>
                </c:pt>
                <c:pt idx="43">
                  <c:v>0</c:v>
                </c:pt>
                <c:pt idx="44">
                  <c:v>0</c:v>
                </c:pt>
                <c:pt idx="45">
                  <c:v>0</c:v>
                </c:pt>
                <c:pt idx="46">
                  <c:v>0</c:v>
                </c:pt>
                <c:pt idx="47">
                  <c:v>0</c:v>
                </c:pt>
                <c:pt idx="48">
                  <c:v>8.1124896049438657</c:v>
                </c:pt>
                <c:pt idx="49">
                  <c:v>12.372592105843843</c:v>
                </c:pt>
                <c:pt idx="50">
                  <c:v>11.73428222700306</c:v>
                </c:pt>
                <c:pt idx="51">
                  <c:v>7.9700690164135626</c:v>
                </c:pt>
                <c:pt idx="52">
                  <c:v>6.5952077365448813</c:v>
                </c:pt>
                <c:pt idx="53">
                  <c:v>3.9898169179856966</c:v>
                </c:pt>
                <c:pt idx="54">
                  <c:v>0</c:v>
                </c:pt>
                <c:pt idx="55">
                  <c:v>0</c:v>
                </c:pt>
                <c:pt idx="56">
                  <c:v>0</c:v>
                </c:pt>
                <c:pt idx="57">
                  <c:v>0</c:v>
                </c:pt>
                <c:pt idx="58">
                  <c:v>0</c:v>
                </c:pt>
                <c:pt idx="59">
                  <c:v>0</c:v>
                </c:pt>
                <c:pt idx="60">
                  <c:v>8.1124896049438657</c:v>
                </c:pt>
                <c:pt idx="61">
                  <c:v>12.372592105843843</c:v>
                </c:pt>
                <c:pt idx="62">
                  <c:v>11.73428222700306</c:v>
                </c:pt>
                <c:pt idx="63">
                  <c:v>7.9700690164135626</c:v>
                </c:pt>
                <c:pt idx="64">
                  <c:v>6.5952077365448813</c:v>
                </c:pt>
                <c:pt idx="65">
                  <c:v>3.9898169179856966</c:v>
                </c:pt>
                <c:pt idx="66">
                  <c:v>0</c:v>
                </c:pt>
                <c:pt idx="67">
                  <c:v>0</c:v>
                </c:pt>
                <c:pt idx="68">
                  <c:v>0</c:v>
                </c:pt>
                <c:pt idx="69">
                  <c:v>0</c:v>
                </c:pt>
                <c:pt idx="70">
                  <c:v>0</c:v>
                </c:pt>
                <c:pt idx="71">
                  <c:v>0</c:v>
                </c:pt>
                <c:pt idx="72">
                  <c:v>8.1124896049438657</c:v>
                </c:pt>
                <c:pt idx="73">
                  <c:v>12.372592105843843</c:v>
                </c:pt>
                <c:pt idx="74">
                  <c:v>11.73428222700306</c:v>
                </c:pt>
                <c:pt idx="75">
                  <c:v>7.9700690164135626</c:v>
                </c:pt>
                <c:pt idx="76">
                  <c:v>6.5952077365448813</c:v>
                </c:pt>
                <c:pt idx="77">
                  <c:v>3.9898169179856966</c:v>
                </c:pt>
                <c:pt idx="78">
                  <c:v>0</c:v>
                </c:pt>
                <c:pt idx="79">
                  <c:v>0</c:v>
                </c:pt>
                <c:pt idx="80">
                  <c:v>0</c:v>
                </c:pt>
                <c:pt idx="81">
                  <c:v>0</c:v>
                </c:pt>
                <c:pt idx="82">
                  <c:v>0</c:v>
                </c:pt>
                <c:pt idx="83">
                  <c:v>0</c:v>
                </c:pt>
                <c:pt idx="84">
                  <c:v>8.1124896049438657</c:v>
                </c:pt>
                <c:pt idx="85">
                  <c:v>12.372592105843843</c:v>
                </c:pt>
                <c:pt idx="86">
                  <c:v>11.73428222700306</c:v>
                </c:pt>
                <c:pt idx="87">
                  <c:v>7.9700690164135626</c:v>
                </c:pt>
                <c:pt idx="88">
                  <c:v>6.5952077365448813</c:v>
                </c:pt>
                <c:pt idx="89">
                  <c:v>3.9898169179856966</c:v>
                </c:pt>
              </c:numCache>
            </c:numRef>
          </c:val>
        </c:ser>
        <c:ser>
          <c:idx val="4"/>
          <c:order val="3"/>
          <c:tx>
            <c:v>Rate Riders</c:v>
          </c:tx>
          <c:spPr>
            <a:solidFill>
              <a:schemeClr val="accent4">
                <a:lumMod val="75000"/>
              </a:schemeClr>
            </a:solidFill>
          </c:spPr>
          <c:invertIfNegative val="0"/>
          <c:cat>
            <c:numRef>
              <c:f>'Misc. Data &amp; Mechanisms'!$O$1070:$O$1159</c:f>
              <c:numCache>
                <c:formatCode>mmm-yy</c:formatCode>
                <c:ptCount val="9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43466</c:v>
                </c:pt>
                <c:pt idx="85">
                  <c:v>43497</c:v>
                </c:pt>
                <c:pt idx="86">
                  <c:v>43525</c:v>
                </c:pt>
                <c:pt idx="87">
                  <c:v>43556</c:v>
                </c:pt>
                <c:pt idx="88">
                  <c:v>43586</c:v>
                </c:pt>
                <c:pt idx="89">
                  <c:v>43617</c:v>
                </c:pt>
              </c:numCache>
            </c:numRef>
          </c:cat>
          <c:val>
            <c:numRef>
              <c:f>'Misc. Data &amp; Mechanisms'!$S$1070:$S$1159</c:f>
              <c:numCache>
                <c:formatCode>General</c:formatCode>
                <c:ptCount val="90"/>
                <c:pt idx="0">
                  <c:v>7.5956320197913003</c:v>
                </c:pt>
                <c:pt idx="1">
                  <c:v>14.323715564223139</c:v>
                </c:pt>
                <c:pt idx="2">
                  <c:v>16.356017339480474</c:v>
                </c:pt>
                <c:pt idx="3">
                  <c:v>10.951243499262032</c:v>
                </c:pt>
                <c:pt idx="4">
                  <c:v>10.041854584134954</c:v>
                </c:pt>
                <c:pt idx="5">
                  <c:v>6.3316742137665356</c:v>
                </c:pt>
                <c:pt idx="6">
                  <c:v>0</c:v>
                </c:pt>
                <c:pt idx="7">
                  <c:v>0</c:v>
                </c:pt>
                <c:pt idx="8">
                  <c:v>0</c:v>
                </c:pt>
                <c:pt idx="9">
                  <c:v>0</c:v>
                </c:pt>
                <c:pt idx="10">
                  <c:v>0</c:v>
                </c:pt>
                <c:pt idx="11">
                  <c:v>0</c:v>
                </c:pt>
                <c:pt idx="12">
                  <c:v>7.5956320197913003</c:v>
                </c:pt>
                <c:pt idx="13">
                  <c:v>14.323715564223139</c:v>
                </c:pt>
                <c:pt idx="14">
                  <c:v>16.356017339480474</c:v>
                </c:pt>
                <c:pt idx="15">
                  <c:v>10.951243499262032</c:v>
                </c:pt>
                <c:pt idx="16">
                  <c:v>10.041854584134954</c:v>
                </c:pt>
                <c:pt idx="17">
                  <c:v>6.3316742137665356</c:v>
                </c:pt>
                <c:pt idx="18">
                  <c:v>0</c:v>
                </c:pt>
                <c:pt idx="19">
                  <c:v>0</c:v>
                </c:pt>
                <c:pt idx="20">
                  <c:v>0</c:v>
                </c:pt>
                <c:pt idx="21">
                  <c:v>0</c:v>
                </c:pt>
                <c:pt idx="22">
                  <c:v>0</c:v>
                </c:pt>
                <c:pt idx="23">
                  <c:v>0</c:v>
                </c:pt>
                <c:pt idx="24">
                  <c:v>7.5956320197913003</c:v>
                </c:pt>
                <c:pt idx="25">
                  <c:v>14.323715564223139</c:v>
                </c:pt>
                <c:pt idx="26">
                  <c:v>16.356017339480474</c:v>
                </c:pt>
                <c:pt idx="27">
                  <c:v>10.951243499262032</c:v>
                </c:pt>
                <c:pt idx="28">
                  <c:v>10.041854584134954</c:v>
                </c:pt>
                <c:pt idx="29">
                  <c:v>6.3316742137665356</c:v>
                </c:pt>
                <c:pt idx="30">
                  <c:v>0</c:v>
                </c:pt>
                <c:pt idx="31">
                  <c:v>0</c:v>
                </c:pt>
                <c:pt idx="32">
                  <c:v>0</c:v>
                </c:pt>
                <c:pt idx="33">
                  <c:v>0</c:v>
                </c:pt>
                <c:pt idx="34">
                  <c:v>0</c:v>
                </c:pt>
                <c:pt idx="35">
                  <c:v>0</c:v>
                </c:pt>
                <c:pt idx="36">
                  <c:v>7.5956320197913003</c:v>
                </c:pt>
                <c:pt idx="37">
                  <c:v>14.323715564223139</c:v>
                </c:pt>
                <c:pt idx="38">
                  <c:v>16.356017339480474</c:v>
                </c:pt>
                <c:pt idx="39">
                  <c:v>10.951243499262032</c:v>
                </c:pt>
                <c:pt idx="40">
                  <c:v>10.041854584134954</c:v>
                </c:pt>
                <c:pt idx="41">
                  <c:v>6.3316742137665356</c:v>
                </c:pt>
                <c:pt idx="42">
                  <c:v>0</c:v>
                </c:pt>
                <c:pt idx="43">
                  <c:v>0</c:v>
                </c:pt>
                <c:pt idx="44">
                  <c:v>0</c:v>
                </c:pt>
                <c:pt idx="45">
                  <c:v>0</c:v>
                </c:pt>
                <c:pt idx="46">
                  <c:v>0</c:v>
                </c:pt>
                <c:pt idx="47">
                  <c:v>0</c:v>
                </c:pt>
                <c:pt idx="48">
                  <c:v>7.5956320197913003</c:v>
                </c:pt>
                <c:pt idx="49">
                  <c:v>14.323715564223139</c:v>
                </c:pt>
                <c:pt idx="50">
                  <c:v>16.356017339480474</c:v>
                </c:pt>
                <c:pt idx="51">
                  <c:v>10.951243499262032</c:v>
                </c:pt>
                <c:pt idx="52">
                  <c:v>10.041854584134954</c:v>
                </c:pt>
                <c:pt idx="53">
                  <c:v>6.3316742137665356</c:v>
                </c:pt>
                <c:pt idx="54">
                  <c:v>0</c:v>
                </c:pt>
                <c:pt idx="55">
                  <c:v>0</c:v>
                </c:pt>
                <c:pt idx="56">
                  <c:v>0</c:v>
                </c:pt>
                <c:pt idx="57">
                  <c:v>0</c:v>
                </c:pt>
                <c:pt idx="58">
                  <c:v>0</c:v>
                </c:pt>
                <c:pt idx="59">
                  <c:v>0</c:v>
                </c:pt>
                <c:pt idx="60">
                  <c:v>7.5956320197913003</c:v>
                </c:pt>
                <c:pt idx="61">
                  <c:v>14.323715564223139</c:v>
                </c:pt>
                <c:pt idx="62">
                  <c:v>16.356017339480474</c:v>
                </c:pt>
                <c:pt idx="63">
                  <c:v>10.951243499262032</c:v>
                </c:pt>
                <c:pt idx="64">
                  <c:v>10.041854584134954</c:v>
                </c:pt>
                <c:pt idx="65">
                  <c:v>6.3316742137665356</c:v>
                </c:pt>
                <c:pt idx="66">
                  <c:v>0</c:v>
                </c:pt>
                <c:pt idx="67">
                  <c:v>0</c:v>
                </c:pt>
                <c:pt idx="68">
                  <c:v>0</c:v>
                </c:pt>
                <c:pt idx="69">
                  <c:v>0</c:v>
                </c:pt>
                <c:pt idx="70">
                  <c:v>0</c:v>
                </c:pt>
                <c:pt idx="71">
                  <c:v>0</c:v>
                </c:pt>
                <c:pt idx="72">
                  <c:v>7.5956320197913003</c:v>
                </c:pt>
                <c:pt idx="73">
                  <c:v>14.323715564223139</c:v>
                </c:pt>
                <c:pt idx="74">
                  <c:v>16.356017339480474</c:v>
                </c:pt>
                <c:pt idx="75">
                  <c:v>10.951243499262032</c:v>
                </c:pt>
                <c:pt idx="76">
                  <c:v>10.041854584134954</c:v>
                </c:pt>
                <c:pt idx="77">
                  <c:v>6.3316742137665356</c:v>
                </c:pt>
                <c:pt idx="78">
                  <c:v>0</c:v>
                </c:pt>
                <c:pt idx="79">
                  <c:v>0</c:v>
                </c:pt>
                <c:pt idx="80">
                  <c:v>0</c:v>
                </c:pt>
                <c:pt idx="81">
                  <c:v>0</c:v>
                </c:pt>
                <c:pt idx="82">
                  <c:v>0</c:v>
                </c:pt>
                <c:pt idx="83">
                  <c:v>0</c:v>
                </c:pt>
                <c:pt idx="84">
                  <c:v>7.5956320197913003</c:v>
                </c:pt>
                <c:pt idx="85">
                  <c:v>14.323715564223139</c:v>
                </c:pt>
                <c:pt idx="86">
                  <c:v>16.356017339480474</c:v>
                </c:pt>
                <c:pt idx="87">
                  <c:v>10.951243499262032</c:v>
                </c:pt>
                <c:pt idx="88">
                  <c:v>10.041854584134954</c:v>
                </c:pt>
                <c:pt idx="89">
                  <c:v>6.3316742137665356</c:v>
                </c:pt>
              </c:numCache>
            </c:numRef>
          </c:val>
        </c:ser>
        <c:ser>
          <c:idx val="5"/>
          <c:order val="4"/>
          <c:tx>
            <c:v>Energy Tariff</c:v>
          </c:tx>
          <c:spPr>
            <a:solidFill>
              <a:schemeClr val="accent5">
                <a:lumMod val="75000"/>
              </a:schemeClr>
            </a:solidFill>
          </c:spPr>
          <c:invertIfNegative val="0"/>
          <c:cat>
            <c:numRef>
              <c:f>'Misc. Data &amp; Mechanisms'!$O$1070:$O$1159</c:f>
              <c:numCache>
                <c:formatCode>mmm-yy</c:formatCode>
                <c:ptCount val="9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43466</c:v>
                </c:pt>
                <c:pt idx="85">
                  <c:v>43497</c:v>
                </c:pt>
                <c:pt idx="86">
                  <c:v>43525</c:v>
                </c:pt>
                <c:pt idx="87">
                  <c:v>43556</c:v>
                </c:pt>
                <c:pt idx="88">
                  <c:v>43586</c:v>
                </c:pt>
                <c:pt idx="89">
                  <c:v>43617</c:v>
                </c:pt>
              </c:numCache>
            </c:numRef>
          </c:cat>
          <c:val>
            <c:numRef>
              <c:f>'Misc. Data &amp; Mechanisms'!$T$1070:$T$1159</c:f>
              <c:numCache>
                <c:formatCode>General</c:formatCode>
                <c:ptCount val="90"/>
                <c:pt idx="0">
                  <c:v>25.515260554287845</c:v>
                </c:pt>
                <c:pt idx="1">
                  <c:v>51.959365793357087</c:v>
                </c:pt>
                <c:pt idx="2">
                  <c:v>50.223284876952057</c:v>
                </c:pt>
                <c:pt idx="3">
                  <c:v>27.723913317231361</c:v>
                </c:pt>
                <c:pt idx="4">
                  <c:v>17.151406158782095</c:v>
                </c:pt>
                <c:pt idx="5">
                  <c:v>1.366539592541357</c:v>
                </c:pt>
                <c:pt idx="6">
                  <c:v>0</c:v>
                </c:pt>
                <c:pt idx="7">
                  <c:v>0</c:v>
                </c:pt>
                <c:pt idx="8">
                  <c:v>0</c:v>
                </c:pt>
                <c:pt idx="9">
                  <c:v>0</c:v>
                </c:pt>
                <c:pt idx="10">
                  <c:v>0</c:v>
                </c:pt>
                <c:pt idx="11">
                  <c:v>0</c:v>
                </c:pt>
                <c:pt idx="12">
                  <c:v>25.515260554287845</c:v>
                </c:pt>
                <c:pt idx="13">
                  <c:v>51.959365793357087</c:v>
                </c:pt>
                <c:pt idx="14">
                  <c:v>50.223284876952057</c:v>
                </c:pt>
                <c:pt idx="15">
                  <c:v>27.723913317231361</c:v>
                </c:pt>
                <c:pt idx="16">
                  <c:v>17.151406158782095</c:v>
                </c:pt>
                <c:pt idx="17">
                  <c:v>1.366539592541357</c:v>
                </c:pt>
                <c:pt idx="18">
                  <c:v>0</c:v>
                </c:pt>
                <c:pt idx="19">
                  <c:v>0</c:v>
                </c:pt>
                <c:pt idx="20">
                  <c:v>0</c:v>
                </c:pt>
                <c:pt idx="21">
                  <c:v>0</c:v>
                </c:pt>
                <c:pt idx="22">
                  <c:v>0</c:v>
                </c:pt>
                <c:pt idx="23">
                  <c:v>0</c:v>
                </c:pt>
                <c:pt idx="24">
                  <c:v>25.515260554287845</c:v>
                </c:pt>
                <c:pt idx="25">
                  <c:v>51.959365793357087</c:v>
                </c:pt>
                <c:pt idx="26">
                  <c:v>50.223284876952057</c:v>
                </c:pt>
                <c:pt idx="27">
                  <c:v>27.723913317231361</c:v>
                </c:pt>
                <c:pt idx="28">
                  <c:v>17.151406158782095</c:v>
                </c:pt>
                <c:pt idx="29">
                  <c:v>1.366539592541357</c:v>
                </c:pt>
                <c:pt idx="30">
                  <c:v>0</c:v>
                </c:pt>
                <c:pt idx="31">
                  <c:v>0</c:v>
                </c:pt>
                <c:pt idx="32">
                  <c:v>0</c:v>
                </c:pt>
                <c:pt idx="33">
                  <c:v>0</c:v>
                </c:pt>
                <c:pt idx="34">
                  <c:v>0</c:v>
                </c:pt>
                <c:pt idx="35">
                  <c:v>0</c:v>
                </c:pt>
                <c:pt idx="36">
                  <c:v>25.515260554287845</c:v>
                </c:pt>
                <c:pt idx="37">
                  <c:v>51.959365793357087</c:v>
                </c:pt>
                <c:pt idx="38">
                  <c:v>50.223284876952057</c:v>
                </c:pt>
                <c:pt idx="39">
                  <c:v>27.723913317231361</c:v>
                </c:pt>
                <c:pt idx="40">
                  <c:v>17.151406158782095</c:v>
                </c:pt>
                <c:pt idx="41">
                  <c:v>1.366539592541357</c:v>
                </c:pt>
                <c:pt idx="42">
                  <c:v>0</c:v>
                </c:pt>
                <c:pt idx="43">
                  <c:v>0</c:v>
                </c:pt>
                <c:pt idx="44">
                  <c:v>0</c:v>
                </c:pt>
                <c:pt idx="45">
                  <c:v>0</c:v>
                </c:pt>
                <c:pt idx="46">
                  <c:v>0</c:v>
                </c:pt>
                <c:pt idx="47">
                  <c:v>0</c:v>
                </c:pt>
                <c:pt idx="48">
                  <c:v>25.515260554287845</c:v>
                </c:pt>
                <c:pt idx="49">
                  <c:v>51.959365793357087</c:v>
                </c:pt>
                <c:pt idx="50">
                  <c:v>50.223284876952057</c:v>
                </c:pt>
                <c:pt idx="51">
                  <c:v>27.723913317231361</c:v>
                </c:pt>
                <c:pt idx="52">
                  <c:v>17.151406158782095</c:v>
                </c:pt>
                <c:pt idx="53">
                  <c:v>1.366539592541357</c:v>
                </c:pt>
                <c:pt idx="54">
                  <c:v>0</c:v>
                </c:pt>
                <c:pt idx="55">
                  <c:v>0</c:v>
                </c:pt>
                <c:pt idx="56">
                  <c:v>0</c:v>
                </c:pt>
                <c:pt idx="57">
                  <c:v>0</c:v>
                </c:pt>
                <c:pt idx="58">
                  <c:v>0</c:v>
                </c:pt>
                <c:pt idx="59">
                  <c:v>0</c:v>
                </c:pt>
                <c:pt idx="60">
                  <c:v>25.515260554287845</c:v>
                </c:pt>
                <c:pt idx="61">
                  <c:v>51.959365793357087</c:v>
                </c:pt>
                <c:pt idx="62">
                  <c:v>50.223284876952057</c:v>
                </c:pt>
                <c:pt idx="63">
                  <c:v>27.723913317231361</c:v>
                </c:pt>
                <c:pt idx="64">
                  <c:v>17.151406158782095</c:v>
                </c:pt>
                <c:pt idx="65">
                  <c:v>1.366539592541357</c:v>
                </c:pt>
                <c:pt idx="66">
                  <c:v>0</c:v>
                </c:pt>
                <c:pt idx="67">
                  <c:v>0</c:v>
                </c:pt>
                <c:pt idx="68">
                  <c:v>0</c:v>
                </c:pt>
                <c:pt idx="69">
                  <c:v>0</c:v>
                </c:pt>
                <c:pt idx="70">
                  <c:v>0</c:v>
                </c:pt>
                <c:pt idx="71">
                  <c:v>0</c:v>
                </c:pt>
                <c:pt idx="72">
                  <c:v>25.515260554287845</c:v>
                </c:pt>
                <c:pt idx="73">
                  <c:v>51.959365793357087</c:v>
                </c:pt>
                <c:pt idx="74">
                  <c:v>50.223284876952057</c:v>
                </c:pt>
                <c:pt idx="75">
                  <c:v>27.723913317231361</c:v>
                </c:pt>
                <c:pt idx="76">
                  <c:v>17.151406158782095</c:v>
                </c:pt>
                <c:pt idx="77">
                  <c:v>1.366539592541357</c:v>
                </c:pt>
                <c:pt idx="78">
                  <c:v>0</c:v>
                </c:pt>
                <c:pt idx="79">
                  <c:v>0</c:v>
                </c:pt>
                <c:pt idx="80">
                  <c:v>0</c:v>
                </c:pt>
                <c:pt idx="81">
                  <c:v>0</c:v>
                </c:pt>
                <c:pt idx="82">
                  <c:v>0</c:v>
                </c:pt>
                <c:pt idx="83">
                  <c:v>0</c:v>
                </c:pt>
                <c:pt idx="84">
                  <c:v>25.515260554287845</c:v>
                </c:pt>
                <c:pt idx="85">
                  <c:v>51.959365793357087</c:v>
                </c:pt>
                <c:pt idx="86">
                  <c:v>50.223284876952057</c:v>
                </c:pt>
                <c:pt idx="87">
                  <c:v>27.723913317231361</c:v>
                </c:pt>
                <c:pt idx="88">
                  <c:v>17.151406158782095</c:v>
                </c:pt>
                <c:pt idx="89">
                  <c:v>1.366539592541357</c:v>
                </c:pt>
              </c:numCache>
            </c:numRef>
          </c:val>
        </c:ser>
        <c:ser>
          <c:idx val="6"/>
          <c:order val="5"/>
          <c:tx>
            <c:v>Administration</c:v>
          </c:tx>
          <c:spPr>
            <a:solidFill>
              <a:schemeClr val="accent6">
                <a:lumMod val="75000"/>
              </a:schemeClr>
            </a:solidFill>
          </c:spPr>
          <c:invertIfNegative val="0"/>
          <c:cat>
            <c:numRef>
              <c:f>'Misc. Data &amp; Mechanisms'!$O$1070:$O$1159</c:f>
              <c:numCache>
                <c:formatCode>mmm-yy</c:formatCode>
                <c:ptCount val="9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43466</c:v>
                </c:pt>
                <c:pt idx="85">
                  <c:v>43497</c:v>
                </c:pt>
                <c:pt idx="86">
                  <c:v>43525</c:v>
                </c:pt>
                <c:pt idx="87">
                  <c:v>43556</c:v>
                </c:pt>
                <c:pt idx="88">
                  <c:v>43586</c:v>
                </c:pt>
                <c:pt idx="89">
                  <c:v>43617</c:v>
                </c:pt>
              </c:numCache>
            </c:numRef>
          </c:cat>
          <c:val>
            <c:numRef>
              <c:f>'Misc. Data &amp; Mechanisms'!$U$1070:$U$1159</c:f>
              <c:numCache>
                <c:formatCode>General</c:formatCode>
                <c:ptCount val="90"/>
                <c:pt idx="0">
                  <c:v>8.4320000000000004</c:v>
                </c:pt>
                <c:pt idx="1">
                  <c:v>7.6160000000000005</c:v>
                </c:pt>
                <c:pt idx="2">
                  <c:v>8.4320000000000004</c:v>
                </c:pt>
                <c:pt idx="3">
                  <c:v>8.16</c:v>
                </c:pt>
                <c:pt idx="4">
                  <c:v>8.4320000000000004</c:v>
                </c:pt>
                <c:pt idx="5">
                  <c:v>8.16</c:v>
                </c:pt>
                <c:pt idx="6">
                  <c:v>0</c:v>
                </c:pt>
                <c:pt idx="7">
                  <c:v>0</c:v>
                </c:pt>
                <c:pt idx="8">
                  <c:v>0</c:v>
                </c:pt>
                <c:pt idx="9">
                  <c:v>0</c:v>
                </c:pt>
                <c:pt idx="10">
                  <c:v>0</c:v>
                </c:pt>
                <c:pt idx="11">
                  <c:v>0</c:v>
                </c:pt>
                <c:pt idx="12">
                  <c:v>8.4320000000000004</c:v>
                </c:pt>
                <c:pt idx="13">
                  <c:v>7.6160000000000005</c:v>
                </c:pt>
                <c:pt idx="14">
                  <c:v>8.4320000000000004</c:v>
                </c:pt>
                <c:pt idx="15">
                  <c:v>8.16</c:v>
                </c:pt>
                <c:pt idx="16">
                  <c:v>8.4320000000000004</c:v>
                </c:pt>
                <c:pt idx="17">
                  <c:v>8.16</c:v>
                </c:pt>
                <c:pt idx="18">
                  <c:v>0</c:v>
                </c:pt>
                <c:pt idx="19">
                  <c:v>0</c:v>
                </c:pt>
                <c:pt idx="20">
                  <c:v>0</c:v>
                </c:pt>
                <c:pt idx="21">
                  <c:v>0</c:v>
                </c:pt>
                <c:pt idx="22">
                  <c:v>0</c:v>
                </c:pt>
                <c:pt idx="23">
                  <c:v>0</c:v>
                </c:pt>
                <c:pt idx="24">
                  <c:v>8.4320000000000004</c:v>
                </c:pt>
                <c:pt idx="25">
                  <c:v>7.6160000000000005</c:v>
                </c:pt>
                <c:pt idx="26">
                  <c:v>8.4320000000000004</c:v>
                </c:pt>
                <c:pt idx="27">
                  <c:v>8.16</c:v>
                </c:pt>
                <c:pt idx="28">
                  <c:v>8.4320000000000004</c:v>
                </c:pt>
                <c:pt idx="29">
                  <c:v>8.16</c:v>
                </c:pt>
                <c:pt idx="30">
                  <c:v>0</c:v>
                </c:pt>
                <c:pt idx="31">
                  <c:v>0</c:v>
                </c:pt>
                <c:pt idx="32">
                  <c:v>0</c:v>
                </c:pt>
                <c:pt idx="33">
                  <c:v>0</c:v>
                </c:pt>
                <c:pt idx="34">
                  <c:v>0</c:v>
                </c:pt>
                <c:pt idx="35">
                  <c:v>0</c:v>
                </c:pt>
                <c:pt idx="36">
                  <c:v>8.4320000000000004</c:v>
                </c:pt>
                <c:pt idx="37">
                  <c:v>7.6160000000000005</c:v>
                </c:pt>
                <c:pt idx="38">
                  <c:v>8.4320000000000004</c:v>
                </c:pt>
                <c:pt idx="39">
                  <c:v>8.16</c:v>
                </c:pt>
                <c:pt idx="40">
                  <c:v>8.4320000000000004</c:v>
                </c:pt>
                <c:pt idx="41">
                  <c:v>8.16</c:v>
                </c:pt>
                <c:pt idx="42">
                  <c:v>0</c:v>
                </c:pt>
                <c:pt idx="43">
                  <c:v>0</c:v>
                </c:pt>
                <c:pt idx="44">
                  <c:v>0</c:v>
                </c:pt>
                <c:pt idx="45">
                  <c:v>0</c:v>
                </c:pt>
                <c:pt idx="46">
                  <c:v>0</c:v>
                </c:pt>
                <c:pt idx="47">
                  <c:v>0</c:v>
                </c:pt>
                <c:pt idx="48">
                  <c:v>8.4320000000000004</c:v>
                </c:pt>
                <c:pt idx="49">
                  <c:v>7.6160000000000005</c:v>
                </c:pt>
                <c:pt idx="50">
                  <c:v>8.4320000000000004</c:v>
                </c:pt>
                <c:pt idx="51">
                  <c:v>8.16</c:v>
                </c:pt>
                <c:pt idx="52">
                  <c:v>8.4320000000000004</c:v>
                </c:pt>
                <c:pt idx="53">
                  <c:v>8.16</c:v>
                </c:pt>
                <c:pt idx="54">
                  <c:v>0</c:v>
                </c:pt>
                <c:pt idx="55">
                  <c:v>0</c:v>
                </c:pt>
                <c:pt idx="56">
                  <c:v>0</c:v>
                </c:pt>
                <c:pt idx="57">
                  <c:v>0</c:v>
                </c:pt>
                <c:pt idx="58">
                  <c:v>0</c:v>
                </c:pt>
                <c:pt idx="59">
                  <c:v>0</c:v>
                </c:pt>
                <c:pt idx="60">
                  <c:v>8.4320000000000004</c:v>
                </c:pt>
                <c:pt idx="61">
                  <c:v>7.6160000000000005</c:v>
                </c:pt>
                <c:pt idx="62">
                  <c:v>8.4320000000000004</c:v>
                </c:pt>
                <c:pt idx="63">
                  <c:v>8.16</c:v>
                </c:pt>
                <c:pt idx="64">
                  <c:v>8.4320000000000004</c:v>
                </c:pt>
                <c:pt idx="65">
                  <c:v>8.16</c:v>
                </c:pt>
                <c:pt idx="66">
                  <c:v>0</c:v>
                </c:pt>
                <c:pt idx="67">
                  <c:v>0</c:v>
                </c:pt>
                <c:pt idx="68">
                  <c:v>0</c:v>
                </c:pt>
                <c:pt idx="69">
                  <c:v>0</c:v>
                </c:pt>
                <c:pt idx="70">
                  <c:v>0</c:v>
                </c:pt>
                <c:pt idx="71">
                  <c:v>0</c:v>
                </c:pt>
                <c:pt idx="72">
                  <c:v>8.4320000000000004</c:v>
                </c:pt>
                <c:pt idx="73">
                  <c:v>7.6160000000000005</c:v>
                </c:pt>
                <c:pt idx="74">
                  <c:v>8.4320000000000004</c:v>
                </c:pt>
                <c:pt idx="75">
                  <c:v>8.16</c:v>
                </c:pt>
                <c:pt idx="76">
                  <c:v>8.4320000000000004</c:v>
                </c:pt>
                <c:pt idx="77">
                  <c:v>8.16</c:v>
                </c:pt>
                <c:pt idx="78">
                  <c:v>0</c:v>
                </c:pt>
                <c:pt idx="79">
                  <c:v>0</c:v>
                </c:pt>
                <c:pt idx="80">
                  <c:v>0</c:v>
                </c:pt>
                <c:pt idx="81">
                  <c:v>0</c:v>
                </c:pt>
                <c:pt idx="82">
                  <c:v>0</c:v>
                </c:pt>
                <c:pt idx="83">
                  <c:v>0</c:v>
                </c:pt>
                <c:pt idx="84">
                  <c:v>8.4320000000000004</c:v>
                </c:pt>
                <c:pt idx="85">
                  <c:v>7.6160000000000005</c:v>
                </c:pt>
                <c:pt idx="86">
                  <c:v>8.4320000000000004</c:v>
                </c:pt>
                <c:pt idx="87">
                  <c:v>8.16</c:v>
                </c:pt>
                <c:pt idx="88">
                  <c:v>8.4320000000000004</c:v>
                </c:pt>
                <c:pt idx="89">
                  <c:v>8.16</c:v>
                </c:pt>
              </c:numCache>
            </c:numRef>
          </c:val>
        </c:ser>
        <c:ser>
          <c:idx val="0"/>
          <c:order val="6"/>
          <c:tx>
            <c:v>Carbon</c:v>
          </c:tx>
          <c:spPr>
            <a:solidFill>
              <a:schemeClr val="tx1"/>
            </a:solidFill>
          </c:spPr>
          <c:invertIfNegative val="0"/>
          <c:cat>
            <c:numRef>
              <c:f>'Misc. Data &amp; Mechanisms'!$O$1070:$O$1159</c:f>
              <c:numCache>
                <c:formatCode>mmm-yy</c:formatCode>
                <c:ptCount val="9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43466</c:v>
                </c:pt>
                <c:pt idx="85">
                  <c:v>43497</c:v>
                </c:pt>
                <c:pt idx="86">
                  <c:v>43525</c:v>
                </c:pt>
                <c:pt idx="87">
                  <c:v>43556</c:v>
                </c:pt>
                <c:pt idx="88">
                  <c:v>43586</c:v>
                </c:pt>
                <c:pt idx="89">
                  <c:v>43617</c:v>
                </c:pt>
              </c:numCache>
            </c:numRef>
          </c:cat>
          <c:val>
            <c:numRef>
              <c:f>'Misc. Data &amp; Mechanisms'!$V$1070:$V$1159</c:f>
              <c:numCache>
                <c:formatCode>General</c:formatCode>
                <c:ptCount val="90"/>
                <c:pt idx="0">
                  <c:v>25.548944066570733</c:v>
                </c:pt>
                <c:pt idx="1">
                  <c:v>39.609225079659645</c:v>
                </c:pt>
                <c:pt idx="2">
                  <c:v>23.95871797431958</c:v>
                </c:pt>
                <c:pt idx="3">
                  <c:v>14.552656229148779</c:v>
                </c:pt>
                <c:pt idx="4">
                  <c:v>10.652104343097346</c:v>
                </c:pt>
                <c:pt idx="5">
                  <c:v>0</c:v>
                </c:pt>
                <c:pt idx="6">
                  <c:v>0</c:v>
                </c:pt>
                <c:pt idx="7">
                  <c:v>0</c:v>
                </c:pt>
                <c:pt idx="8">
                  <c:v>0</c:v>
                </c:pt>
                <c:pt idx="9">
                  <c:v>0</c:v>
                </c:pt>
                <c:pt idx="10">
                  <c:v>0</c:v>
                </c:pt>
                <c:pt idx="11">
                  <c:v>0</c:v>
                </c:pt>
                <c:pt idx="12">
                  <c:v>25.548944066570733</c:v>
                </c:pt>
                <c:pt idx="13">
                  <c:v>39.609225079659645</c:v>
                </c:pt>
                <c:pt idx="14">
                  <c:v>23.95871797431958</c:v>
                </c:pt>
                <c:pt idx="15">
                  <c:v>14.552656229148779</c:v>
                </c:pt>
                <c:pt idx="16">
                  <c:v>10.652104343097346</c:v>
                </c:pt>
                <c:pt idx="17">
                  <c:v>0</c:v>
                </c:pt>
                <c:pt idx="18">
                  <c:v>0</c:v>
                </c:pt>
                <c:pt idx="19">
                  <c:v>0</c:v>
                </c:pt>
                <c:pt idx="20">
                  <c:v>0</c:v>
                </c:pt>
                <c:pt idx="21">
                  <c:v>0</c:v>
                </c:pt>
                <c:pt idx="22">
                  <c:v>0</c:v>
                </c:pt>
                <c:pt idx="23">
                  <c:v>0</c:v>
                </c:pt>
                <c:pt idx="24">
                  <c:v>25.548944066570733</c:v>
                </c:pt>
                <c:pt idx="25">
                  <c:v>39.609225079659645</c:v>
                </c:pt>
                <c:pt idx="26">
                  <c:v>23.95871797431958</c:v>
                </c:pt>
                <c:pt idx="27">
                  <c:v>14.552656229148779</c:v>
                </c:pt>
                <c:pt idx="28">
                  <c:v>10.652104343097346</c:v>
                </c:pt>
                <c:pt idx="29">
                  <c:v>0</c:v>
                </c:pt>
                <c:pt idx="30">
                  <c:v>0</c:v>
                </c:pt>
                <c:pt idx="31">
                  <c:v>0</c:v>
                </c:pt>
                <c:pt idx="32">
                  <c:v>0</c:v>
                </c:pt>
                <c:pt idx="33">
                  <c:v>0</c:v>
                </c:pt>
                <c:pt idx="34">
                  <c:v>0</c:v>
                </c:pt>
                <c:pt idx="35">
                  <c:v>0</c:v>
                </c:pt>
                <c:pt idx="36">
                  <c:v>25.548944066570733</c:v>
                </c:pt>
                <c:pt idx="37">
                  <c:v>39.609225079659645</c:v>
                </c:pt>
                <c:pt idx="38">
                  <c:v>23.95871797431958</c:v>
                </c:pt>
                <c:pt idx="39">
                  <c:v>14.552656229148779</c:v>
                </c:pt>
                <c:pt idx="40">
                  <c:v>10.652104343097346</c:v>
                </c:pt>
                <c:pt idx="41">
                  <c:v>0</c:v>
                </c:pt>
                <c:pt idx="42">
                  <c:v>0</c:v>
                </c:pt>
                <c:pt idx="43">
                  <c:v>0</c:v>
                </c:pt>
                <c:pt idx="44">
                  <c:v>0</c:v>
                </c:pt>
                <c:pt idx="45">
                  <c:v>0</c:v>
                </c:pt>
                <c:pt idx="46">
                  <c:v>0</c:v>
                </c:pt>
                <c:pt idx="47">
                  <c:v>0</c:v>
                </c:pt>
                <c:pt idx="48">
                  <c:v>25.548944066570733</c:v>
                </c:pt>
                <c:pt idx="49">
                  <c:v>39.609225079659645</c:v>
                </c:pt>
                <c:pt idx="50">
                  <c:v>23.95871797431958</c:v>
                </c:pt>
                <c:pt idx="51">
                  <c:v>14.552656229148779</c:v>
                </c:pt>
                <c:pt idx="52">
                  <c:v>10.652104343097346</c:v>
                </c:pt>
                <c:pt idx="53">
                  <c:v>0</c:v>
                </c:pt>
                <c:pt idx="54">
                  <c:v>0</c:v>
                </c:pt>
                <c:pt idx="55">
                  <c:v>0</c:v>
                </c:pt>
                <c:pt idx="56">
                  <c:v>0</c:v>
                </c:pt>
                <c:pt idx="57">
                  <c:v>0</c:v>
                </c:pt>
                <c:pt idx="58">
                  <c:v>0</c:v>
                </c:pt>
                <c:pt idx="59">
                  <c:v>0</c:v>
                </c:pt>
                <c:pt idx="60">
                  <c:v>25.548944066570733</c:v>
                </c:pt>
                <c:pt idx="61">
                  <c:v>39.609225079659645</c:v>
                </c:pt>
                <c:pt idx="62">
                  <c:v>23.95871797431958</c:v>
                </c:pt>
                <c:pt idx="63">
                  <c:v>14.552656229148779</c:v>
                </c:pt>
                <c:pt idx="64">
                  <c:v>10.652104343097346</c:v>
                </c:pt>
                <c:pt idx="65">
                  <c:v>0</c:v>
                </c:pt>
                <c:pt idx="66">
                  <c:v>0</c:v>
                </c:pt>
                <c:pt idx="67">
                  <c:v>0</c:v>
                </c:pt>
                <c:pt idx="68">
                  <c:v>0</c:v>
                </c:pt>
                <c:pt idx="69">
                  <c:v>0</c:v>
                </c:pt>
                <c:pt idx="70">
                  <c:v>0</c:v>
                </c:pt>
                <c:pt idx="71">
                  <c:v>0</c:v>
                </c:pt>
                <c:pt idx="72">
                  <c:v>25.548944066570733</c:v>
                </c:pt>
                <c:pt idx="73">
                  <c:v>39.609225079659645</c:v>
                </c:pt>
                <c:pt idx="74">
                  <c:v>23.95871797431958</c:v>
                </c:pt>
                <c:pt idx="75">
                  <c:v>14.552656229148779</c:v>
                </c:pt>
                <c:pt idx="76">
                  <c:v>10.652104343097346</c:v>
                </c:pt>
                <c:pt idx="77">
                  <c:v>0</c:v>
                </c:pt>
                <c:pt idx="78">
                  <c:v>0</c:v>
                </c:pt>
                <c:pt idx="79">
                  <c:v>0</c:v>
                </c:pt>
                <c:pt idx="80">
                  <c:v>0</c:v>
                </c:pt>
                <c:pt idx="81">
                  <c:v>0</c:v>
                </c:pt>
                <c:pt idx="82">
                  <c:v>0</c:v>
                </c:pt>
                <c:pt idx="83">
                  <c:v>0</c:v>
                </c:pt>
                <c:pt idx="84">
                  <c:v>25.548944066570733</c:v>
                </c:pt>
                <c:pt idx="85">
                  <c:v>39.609225079659645</c:v>
                </c:pt>
                <c:pt idx="86">
                  <c:v>23.95871797431958</c:v>
                </c:pt>
                <c:pt idx="87">
                  <c:v>14.552656229148779</c:v>
                </c:pt>
                <c:pt idx="88">
                  <c:v>10.652104343097346</c:v>
                </c:pt>
                <c:pt idx="89">
                  <c:v>0</c:v>
                </c:pt>
              </c:numCache>
            </c:numRef>
          </c:val>
        </c:ser>
        <c:ser>
          <c:idx val="7"/>
          <c:order val="7"/>
          <c:tx>
            <c:v>GST</c:v>
          </c:tx>
          <c:spPr>
            <a:solidFill>
              <a:srgbClr val="996633"/>
            </a:solidFill>
          </c:spPr>
          <c:invertIfNegative val="0"/>
          <c:cat>
            <c:numRef>
              <c:f>'Misc. Data &amp; Mechanisms'!$O$1070:$O$1159</c:f>
              <c:numCache>
                <c:formatCode>mmm-yy</c:formatCode>
                <c:ptCount val="90"/>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43466</c:v>
                </c:pt>
                <c:pt idx="85">
                  <c:v>43497</c:v>
                </c:pt>
                <c:pt idx="86">
                  <c:v>43525</c:v>
                </c:pt>
                <c:pt idx="87">
                  <c:v>43556</c:v>
                </c:pt>
                <c:pt idx="88">
                  <c:v>43586</c:v>
                </c:pt>
                <c:pt idx="89">
                  <c:v>43617</c:v>
                </c:pt>
              </c:numCache>
            </c:numRef>
          </c:cat>
          <c:val>
            <c:numRef>
              <c:f>'Misc. Data &amp; Mechanisms'!$W$1070:$W$1159</c:f>
              <c:numCache>
                <c:formatCode>General</c:formatCode>
                <c:ptCount val="90"/>
                <c:pt idx="0">
                  <c:v>5.7556571043425464</c:v>
                </c:pt>
                <c:pt idx="1">
                  <c:v>8.5481141292318998</c:v>
                </c:pt>
                <c:pt idx="2">
                  <c:v>7.4872051077272763</c:v>
                </c:pt>
                <c:pt idx="3">
                  <c:v>5.1210260086388564</c:v>
                </c:pt>
                <c:pt idx="4">
                  <c:v>4.2521058994568559</c:v>
                </c:pt>
                <c:pt idx="5">
                  <c:v>2.4030880187101298</c:v>
                </c:pt>
                <c:pt idx="6">
                  <c:v>0</c:v>
                </c:pt>
                <c:pt idx="7">
                  <c:v>0</c:v>
                </c:pt>
                <c:pt idx="8">
                  <c:v>0</c:v>
                </c:pt>
                <c:pt idx="9">
                  <c:v>0</c:v>
                </c:pt>
                <c:pt idx="10">
                  <c:v>0</c:v>
                </c:pt>
                <c:pt idx="11">
                  <c:v>0</c:v>
                </c:pt>
                <c:pt idx="12">
                  <c:v>5.7556571043425464</c:v>
                </c:pt>
                <c:pt idx="13">
                  <c:v>8.5481141292318998</c:v>
                </c:pt>
                <c:pt idx="14">
                  <c:v>7.4872051077272763</c:v>
                </c:pt>
                <c:pt idx="15">
                  <c:v>5.1210260086388564</c:v>
                </c:pt>
                <c:pt idx="16">
                  <c:v>4.2521058994568559</c:v>
                </c:pt>
                <c:pt idx="17">
                  <c:v>2.4030880187101298</c:v>
                </c:pt>
                <c:pt idx="18">
                  <c:v>0</c:v>
                </c:pt>
                <c:pt idx="19">
                  <c:v>0</c:v>
                </c:pt>
                <c:pt idx="20">
                  <c:v>0</c:v>
                </c:pt>
                <c:pt idx="21">
                  <c:v>0</c:v>
                </c:pt>
                <c:pt idx="22">
                  <c:v>0</c:v>
                </c:pt>
                <c:pt idx="23">
                  <c:v>0</c:v>
                </c:pt>
                <c:pt idx="24">
                  <c:v>5.7556571043425464</c:v>
                </c:pt>
                <c:pt idx="25">
                  <c:v>8.5481141292318998</c:v>
                </c:pt>
                <c:pt idx="26">
                  <c:v>7.4872051077272763</c:v>
                </c:pt>
                <c:pt idx="27">
                  <c:v>5.1210260086388564</c:v>
                </c:pt>
                <c:pt idx="28">
                  <c:v>4.2521058994568559</c:v>
                </c:pt>
                <c:pt idx="29">
                  <c:v>2.4030880187101298</c:v>
                </c:pt>
                <c:pt idx="30">
                  <c:v>0</c:v>
                </c:pt>
                <c:pt idx="31">
                  <c:v>0</c:v>
                </c:pt>
                <c:pt idx="32">
                  <c:v>0</c:v>
                </c:pt>
                <c:pt idx="33">
                  <c:v>0</c:v>
                </c:pt>
                <c:pt idx="34">
                  <c:v>0</c:v>
                </c:pt>
                <c:pt idx="35">
                  <c:v>0</c:v>
                </c:pt>
                <c:pt idx="36">
                  <c:v>5.7556571043425464</c:v>
                </c:pt>
                <c:pt idx="37">
                  <c:v>8.5481141292318998</c:v>
                </c:pt>
                <c:pt idx="38">
                  <c:v>7.4872051077272763</c:v>
                </c:pt>
                <c:pt idx="39">
                  <c:v>5.1210260086388564</c:v>
                </c:pt>
                <c:pt idx="40">
                  <c:v>4.2521058994568559</c:v>
                </c:pt>
                <c:pt idx="41">
                  <c:v>2.4030880187101298</c:v>
                </c:pt>
                <c:pt idx="42">
                  <c:v>0</c:v>
                </c:pt>
                <c:pt idx="43">
                  <c:v>0</c:v>
                </c:pt>
                <c:pt idx="44">
                  <c:v>0</c:v>
                </c:pt>
                <c:pt idx="45">
                  <c:v>0</c:v>
                </c:pt>
                <c:pt idx="46">
                  <c:v>0</c:v>
                </c:pt>
                <c:pt idx="47">
                  <c:v>0</c:v>
                </c:pt>
                <c:pt idx="48">
                  <c:v>5.7556571043425464</c:v>
                </c:pt>
                <c:pt idx="49">
                  <c:v>8.5481141292318998</c:v>
                </c:pt>
                <c:pt idx="50">
                  <c:v>7.4872051077272763</c:v>
                </c:pt>
                <c:pt idx="51">
                  <c:v>5.1210260086388564</c:v>
                </c:pt>
                <c:pt idx="52">
                  <c:v>4.2521058994568559</c:v>
                </c:pt>
                <c:pt idx="53">
                  <c:v>2.4030880187101298</c:v>
                </c:pt>
                <c:pt idx="54">
                  <c:v>0</c:v>
                </c:pt>
                <c:pt idx="55">
                  <c:v>0</c:v>
                </c:pt>
                <c:pt idx="56">
                  <c:v>0</c:v>
                </c:pt>
                <c:pt idx="57">
                  <c:v>0</c:v>
                </c:pt>
                <c:pt idx="58">
                  <c:v>0</c:v>
                </c:pt>
                <c:pt idx="59">
                  <c:v>0</c:v>
                </c:pt>
                <c:pt idx="60">
                  <c:v>5.7556571043425464</c:v>
                </c:pt>
                <c:pt idx="61">
                  <c:v>8.5481141292318998</c:v>
                </c:pt>
                <c:pt idx="62">
                  <c:v>7.4872051077272763</c:v>
                </c:pt>
                <c:pt idx="63">
                  <c:v>5.1210260086388564</c:v>
                </c:pt>
                <c:pt idx="64">
                  <c:v>4.2521058994568559</c:v>
                </c:pt>
                <c:pt idx="65">
                  <c:v>2.4030880187101298</c:v>
                </c:pt>
                <c:pt idx="66">
                  <c:v>0</c:v>
                </c:pt>
                <c:pt idx="67">
                  <c:v>0</c:v>
                </c:pt>
                <c:pt idx="68">
                  <c:v>0</c:v>
                </c:pt>
                <c:pt idx="69">
                  <c:v>0</c:v>
                </c:pt>
                <c:pt idx="70">
                  <c:v>0</c:v>
                </c:pt>
                <c:pt idx="71">
                  <c:v>0</c:v>
                </c:pt>
                <c:pt idx="72">
                  <c:v>5.7556571043425464</c:v>
                </c:pt>
                <c:pt idx="73">
                  <c:v>8.5481141292318998</c:v>
                </c:pt>
                <c:pt idx="74">
                  <c:v>7.4872051077272763</c:v>
                </c:pt>
                <c:pt idx="75">
                  <c:v>5.1210260086388564</c:v>
                </c:pt>
                <c:pt idx="76">
                  <c:v>4.2521058994568559</c:v>
                </c:pt>
                <c:pt idx="77">
                  <c:v>2.4030880187101298</c:v>
                </c:pt>
                <c:pt idx="78">
                  <c:v>0</c:v>
                </c:pt>
                <c:pt idx="79">
                  <c:v>0</c:v>
                </c:pt>
                <c:pt idx="80">
                  <c:v>0</c:v>
                </c:pt>
                <c:pt idx="81">
                  <c:v>0</c:v>
                </c:pt>
                <c:pt idx="82">
                  <c:v>0</c:v>
                </c:pt>
                <c:pt idx="83">
                  <c:v>0</c:v>
                </c:pt>
                <c:pt idx="84">
                  <c:v>5.7556571043425464</c:v>
                </c:pt>
                <c:pt idx="85">
                  <c:v>8.5481141292318998</c:v>
                </c:pt>
                <c:pt idx="86">
                  <c:v>7.4872051077272763</c:v>
                </c:pt>
                <c:pt idx="87">
                  <c:v>5.1210260086388564</c:v>
                </c:pt>
                <c:pt idx="88">
                  <c:v>4.2521058994568559</c:v>
                </c:pt>
                <c:pt idx="89">
                  <c:v>2.4030880187101298</c:v>
                </c:pt>
              </c:numCache>
            </c:numRef>
          </c:val>
        </c:ser>
        <c:dLbls>
          <c:showLegendKey val="0"/>
          <c:showVal val="0"/>
          <c:showCatName val="0"/>
          <c:showSerName val="0"/>
          <c:showPercent val="0"/>
          <c:showBubbleSize val="0"/>
        </c:dLbls>
        <c:gapWidth val="150"/>
        <c:overlap val="100"/>
        <c:axId val="259458560"/>
        <c:axId val="259460096"/>
      </c:barChart>
      <c:dateAx>
        <c:axId val="259458560"/>
        <c:scaling>
          <c:orientation val="minMax"/>
        </c:scaling>
        <c:delete val="0"/>
        <c:axPos val="b"/>
        <c:numFmt formatCode="mmm-yy" sourceLinked="1"/>
        <c:majorTickMark val="out"/>
        <c:minorTickMark val="none"/>
        <c:tickLblPos val="low"/>
        <c:crossAx val="259460096"/>
        <c:crosses val="autoZero"/>
        <c:auto val="1"/>
        <c:lblOffset val="100"/>
        <c:baseTimeUnit val="months"/>
      </c:dateAx>
      <c:valAx>
        <c:axId val="259460096"/>
        <c:scaling>
          <c:orientation val="minMax"/>
        </c:scaling>
        <c:delete val="0"/>
        <c:axPos val="l"/>
        <c:majorGridlines>
          <c:spPr>
            <a:ln>
              <a:solidFill>
                <a:schemeClr val="bg1">
                  <a:lumMod val="85000"/>
                </a:schemeClr>
              </a:solidFill>
              <a:prstDash val="dash"/>
            </a:ln>
          </c:spPr>
        </c:majorGridlines>
        <c:numFmt formatCode="&quot;$&quot;#,##0" sourceLinked="0"/>
        <c:majorTickMark val="out"/>
        <c:minorTickMark val="none"/>
        <c:tickLblPos val="nextTo"/>
        <c:crossAx val="259458560"/>
        <c:crosses val="autoZero"/>
        <c:crossBetween val="between"/>
      </c:valAx>
    </c:plotArea>
    <c:legend>
      <c:legendPos val="r"/>
      <c:overlay val="0"/>
      <c:txPr>
        <a:bodyPr/>
        <a:lstStyle/>
        <a:p>
          <a:pPr>
            <a:defRPr sz="1100"/>
          </a:pPr>
          <a:endParaRPr lang="en-US"/>
        </a:p>
      </c:txPr>
    </c:legend>
    <c:plotVisOnly val="1"/>
    <c:dispBlanksAs val="gap"/>
    <c:showDLblsOverMax val="0"/>
  </c:chart>
  <c:spPr>
    <a:ln>
      <a:noFill/>
    </a:ln>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'Misc. Data &amp; Mechanisms'!$A$387</c:f>
          <c:strCache>
            <c:ptCount val="1"/>
            <c:pt idx="0">
              <c:v>Monthly Electricity Access Fees , 2012 - 2018 (Detached Home Consumption)</c:v>
            </c:pt>
          </c:strCache>
        </c:strRef>
      </c:tx>
      <c:overlay val="0"/>
    </c:title>
    <c:autoTitleDeleted val="0"/>
    <c:plotArea>
      <c:layout/>
      <c:lineChart>
        <c:grouping val="standard"/>
        <c:varyColors val="0"/>
        <c:ser>
          <c:idx val="0"/>
          <c:order val="0"/>
          <c:tx>
            <c:strRef>
              <c:f>'Misc. Data &amp; Mechanisms'!$B$389</c:f>
              <c:strCache>
                <c:ptCount val="1"/>
                <c:pt idx="0">
                  <c:v>Athabasca</c:v>
                </c:pt>
              </c:strCache>
            </c:strRef>
          </c:tx>
          <c:marker>
            <c:symbol val="none"/>
          </c:marker>
          <c:cat>
            <c:numRef>
              <c:f>'Misc. Data &amp; Mechanisms'!$A$390:$A$473</c:f>
              <c:numCache>
                <c:formatCode>mmm-yy</c:formatCode>
                <c:ptCount val="84"/>
                <c:pt idx="0">
                  <c:v>40909</c:v>
                </c:pt>
                <c:pt idx="1">
                  <c:v>40940</c:v>
                </c:pt>
                <c:pt idx="2">
                  <c:v>40969</c:v>
                </c:pt>
                <c:pt idx="3">
                  <c:v>41000</c:v>
                </c:pt>
                <c:pt idx="4">
                  <c:v>41030</c:v>
                </c:pt>
                <c:pt idx="5">
                  <c:v>41061</c:v>
                </c:pt>
                <c:pt idx="6">
                  <c:v>41091</c:v>
                </c:pt>
                <c:pt idx="7">
                  <c:v>41122</c:v>
                </c:pt>
                <c:pt idx="8">
                  <c:v>41153</c:v>
                </c:pt>
                <c:pt idx="9">
                  <c:v>41183</c:v>
                </c:pt>
                <c:pt idx="10">
                  <c:v>41214</c:v>
                </c:pt>
                <c:pt idx="11">
                  <c:v>41244</c:v>
                </c:pt>
                <c:pt idx="12">
                  <c:v>41275</c:v>
                </c:pt>
                <c:pt idx="13">
                  <c:v>41306</c:v>
                </c:pt>
                <c:pt idx="14">
                  <c:v>41334</c:v>
                </c:pt>
                <c:pt idx="15">
                  <c:v>41365</c:v>
                </c:pt>
                <c:pt idx="16">
                  <c:v>41395</c:v>
                </c:pt>
                <c:pt idx="17">
                  <c:v>41426</c:v>
                </c:pt>
                <c:pt idx="18">
                  <c:v>41456</c:v>
                </c:pt>
                <c:pt idx="19">
                  <c:v>41487</c:v>
                </c:pt>
                <c:pt idx="20">
                  <c:v>41518</c:v>
                </c:pt>
                <c:pt idx="21">
                  <c:v>41548</c:v>
                </c:pt>
                <c:pt idx="22">
                  <c:v>41579</c:v>
                </c:pt>
                <c:pt idx="23">
                  <c:v>41609</c:v>
                </c:pt>
                <c:pt idx="24">
                  <c:v>41640</c:v>
                </c:pt>
                <c:pt idx="25">
                  <c:v>41671</c:v>
                </c:pt>
                <c:pt idx="26">
                  <c:v>41699</c:v>
                </c:pt>
                <c:pt idx="27">
                  <c:v>41730</c:v>
                </c:pt>
                <c:pt idx="28">
                  <c:v>41760</c:v>
                </c:pt>
                <c:pt idx="29">
                  <c:v>41791</c:v>
                </c:pt>
                <c:pt idx="30">
                  <c:v>41821</c:v>
                </c:pt>
                <c:pt idx="31">
                  <c:v>41852</c:v>
                </c:pt>
                <c:pt idx="32">
                  <c:v>41883</c:v>
                </c:pt>
                <c:pt idx="33">
                  <c:v>41913</c:v>
                </c:pt>
                <c:pt idx="34">
                  <c:v>41944</c:v>
                </c:pt>
                <c:pt idx="35">
                  <c:v>41974</c:v>
                </c:pt>
                <c:pt idx="36">
                  <c:v>42005</c:v>
                </c:pt>
                <c:pt idx="37">
                  <c:v>42036</c:v>
                </c:pt>
                <c:pt idx="38">
                  <c:v>42064</c:v>
                </c:pt>
                <c:pt idx="39">
                  <c:v>42095</c:v>
                </c:pt>
                <c:pt idx="40">
                  <c:v>42125</c:v>
                </c:pt>
                <c:pt idx="41">
                  <c:v>42156</c:v>
                </c:pt>
                <c:pt idx="42">
                  <c:v>42186</c:v>
                </c:pt>
                <c:pt idx="43">
                  <c:v>42217</c:v>
                </c:pt>
                <c:pt idx="44">
                  <c:v>42248</c:v>
                </c:pt>
                <c:pt idx="45">
                  <c:v>42278</c:v>
                </c:pt>
                <c:pt idx="46">
                  <c:v>42309</c:v>
                </c:pt>
                <c:pt idx="47">
                  <c:v>42339</c:v>
                </c:pt>
                <c:pt idx="48">
                  <c:v>42370</c:v>
                </c:pt>
                <c:pt idx="49">
                  <c:v>42401</c:v>
                </c:pt>
                <c:pt idx="50">
                  <c:v>42430</c:v>
                </c:pt>
                <c:pt idx="51">
                  <c:v>42461</c:v>
                </c:pt>
                <c:pt idx="52">
                  <c:v>42491</c:v>
                </c:pt>
                <c:pt idx="53">
                  <c:v>42522</c:v>
                </c:pt>
                <c:pt idx="54">
                  <c:v>42552</c:v>
                </c:pt>
                <c:pt idx="55">
                  <c:v>42583</c:v>
                </c:pt>
                <c:pt idx="56">
                  <c:v>42614</c:v>
                </c:pt>
                <c:pt idx="57">
                  <c:v>42644</c:v>
                </c:pt>
                <c:pt idx="58">
                  <c:v>42675</c:v>
                </c:pt>
                <c:pt idx="59">
                  <c:v>42705</c:v>
                </c:pt>
                <c:pt idx="60">
                  <c:v>42736</c:v>
                </c:pt>
                <c:pt idx="61">
                  <c:v>42767</c:v>
                </c:pt>
                <c:pt idx="62">
                  <c:v>42795</c:v>
                </c:pt>
                <c:pt idx="63">
                  <c:v>42826</c:v>
                </c:pt>
                <c:pt idx="64">
                  <c:v>42856</c:v>
                </c:pt>
                <c:pt idx="65">
                  <c:v>42887</c:v>
                </c:pt>
                <c:pt idx="66">
                  <c:v>42917</c:v>
                </c:pt>
                <c:pt idx="67">
                  <c:v>42948</c:v>
                </c:pt>
                <c:pt idx="68">
                  <c:v>42979</c:v>
                </c:pt>
                <c:pt idx="69">
                  <c:v>43009</c:v>
                </c:pt>
                <c:pt idx="70">
                  <c:v>43040</c:v>
                </c:pt>
                <c:pt idx="71">
                  <c:v>43070</c:v>
                </c:pt>
                <c:pt idx="72">
                  <c:v>43101</c:v>
                </c:pt>
                <c:pt idx="73">
                  <c:v>43132</c:v>
                </c:pt>
                <c:pt idx="74">
                  <c:v>43160</c:v>
                </c:pt>
                <c:pt idx="75">
                  <c:v>43191</c:v>
                </c:pt>
                <c:pt idx="76">
                  <c:v>43221</c:v>
                </c:pt>
                <c:pt idx="77">
                  <c:v>43252</c:v>
                </c:pt>
                <c:pt idx="78">
                  <c:v>43282</c:v>
                </c:pt>
                <c:pt idx="79">
                  <c:v>43313</c:v>
                </c:pt>
                <c:pt idx="80">
                  <c:v>43344</c:v>
                </c:pt>
                <c:pt idx="81">
                  <c:v>43374</c:v>
                </c:pt>
                <c:pt idx="82">
                  <c:v>43405</c:v>
                </c:pt>
                <c:pt idx="83">
                  <c:v>43435</c:v>
                </c:pt>
              </c:numCache>
            </c:numRef>
          </c:cat>
          <c:val>
            <c:numRef>
              <c:f>'Misc. Data &amp; Mechanisms'!$B$390:$B$473</c:f>
              <c:numCache>
                <c:formatCode>"$"#,##0.00</c:formatCode>
                <c:ptCount val="84"/>
                <c:pt idx="0">
                  <c:v>2.0404832190224464</c:v>
                </c:pt>
                <c:pt idx="1">
                  <c:v>1.8048521256734065</c:v>
                </c:pt>
                <c:pt idx="2">
                  <c:v>1.8123385464163435</c:v>
                </c:pt>
                <c:pt idx="3">
                  <c:v>1.6813623589008413</c:v>
                </c:pt>
                <c:pt idx="4">
                  <c:v>1.6584130749150019</c:v>
                </c:pt>
                <c:pt idx="5">
                  <c:v>1.608630695607272</c:v>
                </c:pt>
                <c:pt idx="6">
                  <c:v>2.2817158612541748</c:v>
                </c:pt>
                <c:pt idx="7">
                  <c:v>2.2433534266808932</c:v>
                </c:pt>
                <c:pt idx="8">
                  <c:v>2.1023073242494501</c:v>
                </c:pt>
                <c:pt idx="9">
                  <c:v>2.3710238950952229</c:v>
                </c:pt>
                <c:pt idx="10">
                  <c:v>2.4696510958865123</c:v>
                </c:pt>
                <c:pt idx="11">
                  <c:v>2.7926725351236952</c:v>
                </c:pt>
                <c:pt idx="12">
                  <c:v>3.7039539905062773</c:v>
                </c:pt>
                <c:pt idx="13">
                  <c:v>3.1265582691691014</c:v>
                </c:pt>
                <c:pt idx="14">
                  <c:v>3.3992487767077919</c:v>
                </c:pt>
                <c:pt idx="15">
                  <c:v>3.2360759707361519</c:v>
                </c:pt>
                <c:pt idx="16">
                  <c:v>3.1143036563467632</c:v>
                </c:pt>
                <c:pt idx="17">
                  <c:v>3.0813484587450213</c:v>
                </c:pt>
                <c:pt idx="18">
                  <c:v>3.8471924740080632</c:v>
                </c:pt>
                <c:pt idx="19">
                  <c:v>3.842159166316943</c:v>
                </c:pt>
                <c:pt idx="20">
                  <c:v>3.7225563692435486</c:v>
                </c:pt>
                <c:pt idx="21">
                  <c:v>3.9645069359557654</c:v>
                </c:pt>
                <c:pt idx="22">
                  <c:v>4.2893395632052647</c:v>
                </c:pt>
                <c:pt idx="23">
                  <c:v>4.9292737839541942</c:v>
                </c:pt>
                <c:pt idx="24">
                  <c:v>5.3147479043397077</c:v>
                </c:pt>
                <c:pt idx="25">
                  <c:v>4.9988121226386912</c:v>
                </c:pt>
                <c:pt idx="26">
                  <c:v>5.0859850869038636</c:v>
                </c:pt>
                <c:pt idx="27">
                  <c:v>4.4372636018449771</c:v>
                </c:pt>
                <c:pt idx="28">
                  <c:v>4.3796890220950173</c:v>
                </c:pt>
                <c:pt idx="29">
                  <c:v>4.2199844835449873</c:v>
                </c:pt>
                <c:pt idx="30">
                  <c:v>4.5951681693618482</c:v>
                </c:pt>
                <c:pt idx="31">
                  <c:v>4.4862867090559044</c:v>
                </c:pt>
                <c:pt idx="32">
                  <c:v>4.292388268545122</c:v>
                </c:pt>
                <c:pt idx="33">
                  <c:v>4.5395702029343701</c:v>
                </c:pt>
                <c:pt idx="34">
                  <c:v>5.0910479698015534</c:v>
                </c:pt>
                <c:pt idx="35">
                  <c:v>5.4206592419467992</c:v>
                </c:pt>
                <c:pt idx="36">
                  <c:v>5.6221442968433308</c:v>
                </c:pt>
                <c:pt idx="37">
                  <c:v>4.935902450753467</c:v>
                </c:pt>
                <c:pt idx="38">
                  <c:v>4.9722704582306108</c:v>
                </c:pt>
                <c:pt idx="39">
                  <c:v>4.5734553771447608</c:v>
                </c:pt>
                <c:pt idx="40">
                  <c:v>4.5987614068262586</c:v>
                </c:pt>
                <c:pt idx="41">
                  <c:v>4.5880421185953919</c:v>
                </c:pt>
                <c:pt idx="42">
                  <c:v>4.1141610607521013</c:v>
                </c:pt>
                <c:pt idx="43">
                  <c:v>4.057197266842457</c:v>
                </c:pt>
                <c:pt idx="44">
                  <c:v>3.8448912271971971</c:v>
                </c:pt>
                <c:pt idx="45">
                  <c:v>4.0711429815140807</c:v>
                </c:pt>
                <c:pt idx="46">
                  <c:v>4.2627246598415347</c:v>
                </c:pt>
                <c:pt idx="47">
                  <c:v>4.8642565528422494</c:v>
                </c:pt>
                <c:pt idx="48">
                  <c:v>4.6274643798550832</c:v>
                </c:pt>
                <c:pt idx="49">
                  <c:v>3.9800409489504034</c:v>
                </c:pt>
                <c:pt idx="50">
                  <c:v>4.0518681276816135</c:v>
                </c:pt>
                <c:pt idx="51">
                  <c:v>3.6638373630788168</c:v>
                </c:pt>
                <c:pt idx="52">
                  <c:v>3.8127682665863687</c:v>
                </c:pt>
                <c:pt idx="53">
                  <c:v>3.739534877837742</c:v>
                </c:pt>
                <c:pt idx="54">
                  <c:v>3.7064828731606405</c:v>
                </c:pt>
                <c:pt idx="55">
                  <c:v>3.6884521937398671</c:v>
                </c:pt>
                <c:pt idx="56">
                  <c:v>3.4844251510854085</c:v>
                </c:pt>
                <c:pt idx="57">
                  <c:v>3.8855164301371485</c:v>
                </c:pt>
                <c:pt idx="58">
                  <c:v>3.8418244547872464</c:v>
                </c:pt>
                <c:pt idx="59">
                  <c:v>4.728720254492929</c:v>
                </c:pt>
                <c:pt idx="60">
                  <c:v>4.6553297451736002</c:v>
                </c:pt>
                <c:pt idx="61">
                  <c:v>4.0115426392764482</c:v>
                </c:pt>
                <c:pt idx="62">
                  <c:v>4.2306283295946923</c:v>
                </c:pt>
                <c:pt idx="63">
                  <c:v>3.9795309013881366</c:v>
                </c:pt>
                <c:pt idx="64">
                  <c:v>3.8957820050377849</c:v>
                </c:pt>
                <c:pt idx="65">
                  <c:v>3.8128231678755169</c:v>
                </c:pt>
                <c:pt idx="66">
                  <c:v>4.4674605577795594</c:v>
                </c:pt>
                <c:pt idx="67">
                  <c:v>4.307491524081513</c:v>
                </c:pt>
                <c:pt idx="68">
                  <c:v>4.1383768006930186</c:v>
                </c:pt>
                <c:pt idx="69">
                  <c:v>4.4481198867323144</c:v>
                </c:pt>
                <c:pt idx="70">
                  <c:v>4.8287907674332864</c:v>
                </c:pt>
                <c:pt idx="71">
                  <c:v>5.3007492808868308</c:v>
                </c:pt>
                <c:pt idx="72">
                  <c:v>5.2613775475427023</c:v>
                </c:pt>
                <c:pt idx="73">
                  <c:v>4.7862822982562188</c:v>
                </c:pt>
                <c:pt idx="74">
                  <c:v>4.7739480714311968</c:v>
                </c:pt>
                <c:pt idx="75">
                  <c:v>4.9967682215806635</c:v>
                </c:pt>
                <c:pt idx="76">
                  <c:v>4.8608752256329213</c:v>
                </c:pt>
                <c:pt idx="77">
                  <c:v>4.7835209688719509</c:v>
                </c:pt>
                <c:pt idx="78">
                  <c:v>5.3636792296501898</c:v>
                </c:pt>
                <c:pt idx="79">
                  <c:v>5.2744172785899366</c:v>
                </c:pt>
                <c:pt idx="80">
                  <c:v>5.0931205984575687</c:v>
                </c:pt>
                <c:pt idx="81">
                  <c:v>5.3975629841310875</c:v>
                </c:pt>
                <c:pt idx="82">
                  <c:v>5.588908997623415</c:v>
                </c:pt>
                <c:pt idx="83">
                  <c:v>6.1821402984293137</c:v>
                </c:pt>
              </c:numCache>
            </c:numRef>
          </c:val>
          <c:smooth val="0"/>
        </c:ser>
        <c:ser>
          <c:idx val="1"/>
          <c:order val="1"/>
          <c:tx>
            <c:strRef>
              <c:f>'Misc. Data &amp; Mechanisms'!$C$389</c:f>
              <c:strCache>
                <c:ptCount val="1"/>
                <c:pt idx="0">
                  <c:v>Banff</c:v>
                </c:pt>
              </c:strCache>
            </c:strRef>
          </c:tx>
          <c:marker>
            <c:symbol val="none"/>
          </c:marker>
          <c:cat>
            <c:numRef>
              <c:f>'Misc. Data &amp; Mechanisms'!$A$390:$A$473</c:f>
              <c:numCache>
                <c:formatCode>mmm-yy</c:formatCode>
                <c:ptCount val="84"/>
                <c:pt idx="0">
                  <c:v>40909</c:v>
                </c:pt>
                <c:pt idx="1">
                  <c:v>40940</c:v>
                </c:pt>
                <c:pt idx="2">
                  <c:v>40969</c:v>
                </c:pt>
                <c:pt idx="3">
                  <c:v>41000</c:v>
                </c:pt>
                <c:pt idx="4">
                  <c:v>41030</c:v>
                </c:pt>
                <c:pt idx="5">
                  <c:v>41061</c:v>
                </c:pt>
                <c:pt idx="6">
                  <c:v>41091</c:v>
                </c:pt>
                <c:pt idx="7">
                  <c:v>41122</c:v>
                </c:pt>
                <c:pt idx="8">
                  <c:v>41153</c:v>
                </c:pt>
                <c:pt idx="9">
                  <c:v>41183</c:v>
                </c:pt>
                <c:pt idx="10">
                  <c:v>41214</c:v>
                </c:pt>
                <c:pt idx="11">
                  <c:v>41244</c:v>
                </c:pt>
                <c:pt idx="12">
                  <c:v>41275</c:v>
                </c:pt>
                <c:pt idx="13">
                  <c:v>41306</c:v>
                </c:pt>
                <c:pt idx="14">
                  <c:v>41334</c:v>
                </c:pt>
                <c:pt idx="15">
                  <c:v>41365</c:v>
                </c:pt>
                <c:pt idx="16">
                  <c:v>41395</c:v>
                </c:pt>
                <c:pt idx="17">
                  <c:v>41426</c:v>
                </c:pt>
                <c:pt idx="18">
                  <c:v>41456</c:v>
                </c:pt>
                <c:pt idx="19">
                  <c:v>41487</c:v>
                </c:pt>
                <c:pt idx="20">
                  <c:v>41518</c:v>
                </c:pt>
                <c:pt idx="21">
                  <c:v>41548</c:v>
                </c:pt>
                <c:pt idx="22">
                  <c:v>41579</c:v>
                </c:pt>
                <c:pt idx="23">
                  <c:v>41609</c:v>
                </c:pt>
                <c:pt idx="24">
                  <c:v>41640</c:v>
                </c:pt>
                <c:pt idx="25">
                  <c:v>41671</c:v>
                </c:pt>
                <c:pt idx="26">
                  <c:v>41699</c:v>
                </c:pt>
                <c:pt idx="27">
                  <c:v>41730</c:v>
                </c:pt>
                <c:pt idx="28">
                  <c:v>41760</c:v>
                </c:pt>
                <c:pt idx="29">
                  <c:v>41791</c:v>
                </c:pt>
                <c:pt idx="30">
                  <c:v>41821</c:v>
                </c:pt>
                <c:pt idx="31">
                  <c:v>41852</c:v>
                </c:pt>
                <c:pt idx="32">
                  <c:v>41883</c:v>
                </c:pt>
                <c:pt idx="33">
                  <c:v>41913</c:v>
                </c:pt>
                <c:pt idx="34">
                  <c:v>41944</c:v>
                </c:pt>
                <c:pt idx="35">
                  <c:v>41974</c:v>
                </c:pt>
                <c:pt idx="36">
                  <c:v>42005</c:v>
                </c:pt>
                <c:pt idx="37">
                  <c:v>42036</c:v>
                </c:pt>
                <c:pt idx="38">
                  <c:v>42064</c:v>
                </c:pt>
                <c:pt idx="39">
                  <c:v>42095</c:v>
                </c:pt>
                <c:pt idx="40">
                  <c:v>42125</c:v>
                </c:pt>
                <c:pt idx="41">
                  <c:v>42156</c:v>
                </c:pt>
                <c:pt idx="42">
                  <c:v>42186</c:v>
                </c:pt>
                <c:pt idx="43">
                  <c:v>42217</c:v>
                </c:pt>
                <c:pt idx="44">
                  <c:v>42248</c:v>
                </c:pt>
                <c:pt idx="45">
                  <c:v>42278</c:v>
                </c:pt>
                <c:pt idx="46">
                  <c:v>42309</c:v>
                </c:pt>
                <c:pt idx="47">
                  <c:v>42339</c:v>
                </c:pt>
                <c:pt idx="48">
                  <c:v>42370</c:v>
                </c:pt>
                <c:pt idx="49">
                  <c:v>42401</c:v>
                </c:pt>
                <c:pt idx="50">
                  <c:v>42430</c:v>
                </c:pt>
                <c:pt idx="51">
                  <c:v>42461</c:v>
                </c:pt>
                <c:pt idx="52">
                  <c:v>42491</c:v>
                </c:pt>
                <c:pt idx="53">
                  <c:v>42522</c:v>
                </c:pt>
                <c:pt idx="54">
                  <c:v>42552</c:v>
                </c:pt>
                <c:pt idx="55">
                  <c:v>42583</c:v>
                </c:pt>
                <c:pt idx="56">
                  <c:v>42614</c:v>
                </c:pt>
                <c:pt idx="57">
                  <c:v>42644</c:v>
                </c:pt>
                <c:pt idx="58">
                  <c:v>42675</c:v>
                </c:pt>
                <c:pt idx="59">
                  <c:v>42705</c:v>
                </c:pt>
                <c:pt idx="60">
                  <c:v>42736</c:v>
                </c:pt>
                <c:pt idx="61">
                  <c:v>42767</c:v>
                </c:pt>
                <c:pt idx="62">
                  <c:v>42795</c:v>
                </c:pt>
                <c:pt idx="63">
                  <c:v>42826</c:v>
                </c:pt>
                <c:pt idx="64">
                  <c:v>42856</c:v>
                </c:pt>
                <c:pt idx="65">
                  <c:v>42887</c:v>
                </c:pt>
                <c:pt idx="66">
                  <c:v>42917</c:v>
                </c:pt>
                <c:pt idx="67">
                  <c:v>42948</c:v>
                </c:pt>
                <c:pt idx="68">
                  <c:v>42979</c:v>
                </c:pt>
                <c:pt idx="69">
                  <c:v>43009</c:v>
                </c:pt>
                <c:pt idx="70">
                  <c:v>43040</c:v>
                </c:pt>
                <c:pt idx="71">
                  <c:v>43070</c:v>
                </c:pt>
                <c:pt idx="72">
                  <c:v>43101</c:v>
                </c:pt>
                <c:pt idx="73">
                  <c:v>43132</c:v>
                </c:pt>
                <c:pt idx="74">
                  <c:v>43160</c:v>
                </c:pt>
                <c:pt idx="75">
                  <c:v>43191</c:v>
                </c:pt>
                <c:pt idx="76">
                  <c:v>43221</c:v>
                </c:pt>
                <c:pt idx="77">
                  <c:v>43252</c:v>
                </c:pt>
                <c:pt idx="78">
                  <c:v>43282</c:v>
                </c:pt>
                <c:pt idx="79">
                  <c:v>43313</c:v>
                </c:pt>
                <c:pt idx="80">
                  <c:v>43344</c:v>
                </c:pt>
                <c:pt idx="81">
                  <c:v>43374</c:v>
                </c:pt>
                <c:pt idx="82">
                  <c:v>43405</c:v>
                </c:pt>
                <c:pt idx="83">
                  <c:v>43435</c:v>
                </c:pt>
              </c:numCache>
            </c:numRef>
          </c:cat>
          <c:val>
            <c:numRef>
              <c:f>'Misc. Data &amp; Mechanisms'!$C$390:$C$473</c:f>
              <c:numCache>
                <c:formatCode>"$"#,##0.00</c:formatCode>
                <c:ptCount val="84"/>
                <c:pt idx="0">
                  <c:v>2.6349547080289861</c:v>
                </c:pt>
                <c:pt idx="1">
                  <c:v>2.3306751859089658</c:v>
                </c:pt>
                <c:pt idx="2">
                  <c:v>2.3403426898604751</c:v>
                </c:pt>
                <c:pt idx="3">
                  <c:v>2.1712080855097478</c:v>
                </c:pt>
                <c:pt idx="4">
                  <c:v>2.1415727896540182</c:v>
                </c:pt>
                <c:pt idx="5">
                  <c:v>2.0772868825164772</c:v>
                </c:pt>
                <c:pt idx="6">
                  <c:v>2.9098805518018827</c:v>
                </c:pt>
                <c:pt idx="7">
                  <c:v>2.8609567992084264</c:v>
                </c:pt>
                <c:pt idx="8">
                  <c:v>2.6810801908444404</c:v>
                </c:pt>
                <c:pt idx="9">
                  <c:v>3.0237754127732606</c:v>
                </c:pt>
                <c:pt idx="10">
                  <c:v>3.1495550413127589</c:v>
                </c:pt>
                <c:pt idx="11">
                  <c:v>3.5615054597731337</c:v>
                </c:pt>
                <c:pt idx="12">
                  <c:v>3.3623789827362458</c:v>
                </c:pt>
                <c:pt idx="13">
                  <c:v>2.8382301290728158</c:v>
                </c:pt>
                <c:pt idx="14">
                  <c:v>3.0857733851958344</c:v>
                </c:pt>
                <c:pt idx="15">
                  <c:v>2.9376482155097632</c:v>
                </c:pt>
                <c:pt idx="16">
                  <c:v>2.8271056246375519</c:v>
                </c:pt>
                <c:pt idx="17">
                  <c:v>2.7971895230682469</c:v>
                </c:pt>
                <c:pt idx="18">
                  <c:v>2.8644350744733158</c:v>
                </c:pt>
                <c:pt idx="19">
                  <c:v>2.8606875148727848</c:v>
                </c:pt>
                <c:pt idx="20">
                  <c:v>2.771637006155911</c:v>
                </c:pt>
                <c:pt idx="21">
                  <c:v>2.9517817985627071</c:v>
                </c:pt>
                <c:pt idx="22">
                  <c:v>3.1936365997230483</c:v>
                </c:pt>
                <c:pt idx="23">
                  <c:v>3.6701009408375658</c:v>
                </c:pt>
                <c:pt idx="24">
                  <c:v>3.9571064905192737</c:v>
                </c:pt>
                <c:pt idx="25">
                  <c:v>3.7218758540227546</c:v>
                </c:pt>
                <c:pt idx="26">
                  <c:v>3.7867806639780586</c:v>
                </c:pt>
                <c:pt idx="27">
                  <c:v>3.3037737471363933</c:v>
                </c:pt>
                <c:pt idx="28">
                  <c:v>3.2609064752886634</c:v>
                </c:pt>
                <c:pt idx="29">
                  <c:v>3.1419981324215103</c:v>
                </c:pt>
                <c:pt idx="30">
                  <c:v>2.9231777976038131</c:v>
                </c:pt>
                <c:pt idx="31">
                  <c:v>2.8539137672992996</c:v>
                </c:pt>
                <c:pt idx="32">
                  <c:v>2.7305668961074585</c:v>
                </c:pt>
                <c:pt idx="33">
                  <c:v>2.88780961627449</c:v>
                </c:pt>
                <c:pt idx="34">
                  <c:v>3.2386275851851156</c:v>
                </c:pt>
                <c:pt idx="35">
                  <c:v>3.4483070391383186</c:v>
                </c:pt>
                <c:pt idx="36">
                  <c:v>3.5764800716182852</c:v>
                </c:pt>
                <c:pt idx="37">
                  <c:v>3.1399330608578224</c:v>
                </c:pt>
                <c:pt idx="38">
                  <c:v>3.1630682646375434</c:v>
                </c:pt>
                <c:pt idx="39">
                  <c:v>2.9093653864376314</c:v>
                </c:pt>
                <c:pt idx="40">
                  <c:v>2.9254636055634688</c:v>
                </c:pt>
                <c:pt idx="41">
                  <c:v>2.9186446200100109</c:v>
                </c:pt>
                <c:pt idx="42">
                  <c:v>2.4744162926537823</c:v>
                </c:pt>
                <c:pt idx="43">
                  <c:v>2.4401560540145999</c:v>
                </c:pt>
                <c:pt idx="44">
                  <c:v>2.3124669539114082</c:v>
                </c:pt>
                <c:pt idx="45">
                  <c:v>2.4485435485940803</c:v>
                </c:pt>
                <c:pt idx="46">
                  <c:v>2.5637682126816714</c:v>
                </c:pt>
                <c:pt idx="47">
                  <c:v>2.9255528619972093</c:v>
                </c:pt>
                <c:pt idx="48">
                  <c:v>2.7831368500423377</c:v>
                </c:pt>
                <c:pt idx="49">
                  <c:v>2.3937512469946309</c:v>
                </c:pt>
                <c:pt idx="50">
                  <c:v>2.4369509026919633</c:v>
                </c:pt>
                <c:pt idx="51">
                  <c:v>2.203574126283375</c:v>
                </c:pt>
                <c:pt idx="52">
                  <c:v>2.2931469574577013</c:v>
                </c:pt>
                <c:pt idx="53">
                  <c:v>2.2491015524261528</c:v>
                </c:pt>
                <c:pt idx="54">
                  <c:v>2.384747705948576</c:v>
                </c:pt>
                <c:pt idx="55">
                  <c:v>2.3731467832256503</c:v>
                </c:pt>
                <c:pt idx="56">
                  <c:v>2.2418759697423569</c:v>
                </c:pt>
                <c:pt idx="57">
                  <c:v>2.499937733502505</c:v>
                </c:pt>
                <c:pt idx="58">
                  <c:v>2.4718263563426293</c:v>
                </c:pt>
                <c:pt idx="59">
                  <c:v>3.0424543063808835</c:v>
                </c:pt>
                <c:pt idx="60">
                  <c:v>2.9952349195047141</c:v>
                </c:pt>
                <c:pt idx="61">
                  <c:v>2.5810228817195959</c:v>
                </c:pt>
                <c:pt idx="62">
                  <c:v>2.7219824153993173</c:v>
                </c:pt>
                <c:pt idx="63">
                  <c:v>2.5604265587079968</c:v>
                </c:pt>
                <c:pt idx="64">
                  <c:v>2.5065425950470726</c:v>
                </c:pt>
                <c:pt idx="65">
                  <c:v>2.4531669547484363</c:v>
                </c:pt>
                <c:pt idx="66">
                  <c:v>3.2352755383071212</c:v>
                </c:pt>
                <c:pt idx="67">
                  <c:v>3.1194280909897234</c:v>
                </c:pt>
                <c:pt idx="68">
                  <c:v>2.9969574567960757</c:v>
                </c:pt>
                <c:pt idx="69">
                  <c:v>3.2212692814808275</c:v>
                </c:pt>
                <c:pt idx="70">
                  <c:v>3.4969460720308949</c:v>
                </c:pt>
                <c:pt idx="71">
                  <c:v>3.838732152495131</c:v>
                </c:pt>
                <c:pt idx="72">
                  <c:v>3.8102196666787318</c:v>
                </c:pt>
                <c:pt idx="73">
                  <c:v>3.4661620038291145</c:v>
                </c:pt>
                <c:pt idx="74">
                  <c:v>3.4572297207535683</c:v>
                </c:pt>
                <c:pt idx="75">
                  <c:v>3.1701924776323414</c:v>
                </c:pt>
                <c:pt idx="76">
                  <c:v>3.0839753600050255</c:v>
                </c:pt>
                <c:pt idx="77">
                  <c:v>3.0348980620352397</c:v>
                </c:pt>
                <c:pt idx="78">
                  <c:v>3.2823453199031642</c:v>
                </c:pt>
                <c:pt idx="79">
                  <c:v>3.2277207730644162</c:v>
                </c:pt>
                <c:pt idx="80">
                  <c:v>3.1167748562659447</c:v>
                </c:pt>
                <c:pt idx="81">
                  <c:v>3.3030807476159763</c:v>
                </c:pt>
                <c:pt idx="82">
                  <c:v>3.4201764323088195</c:v>
                </c:pt>
                <c:pt idx="83">
                  <c:v>3.783208951676555</c:v>
                </c:pt>
              </c:numCache>
            </c:numRef>
          </c:val>
          <c:smooth val="0"/>
        </c:ser>
        <c:ser>
          <c:idx val="2"/>
          <c:order val="2"/>
          <c:tx>
            <c:strRef>
              <c:f>'Misc. Data &amp; Mechanisms'!$D$389</c:f>
              <c:strCache>
                <c:ptCount val="1"/>
                <c:pt idx="0">
                  <c:v>Calgary</c:v>
                </c:pt>
              </c:strCache>
            </c:strRef>
          </c:tx>
          <c:marker>
            <c:symbol val="none"/>
          </c:marker>
          <c:cat>
            <c:numRef>
              <c:f>'Misc. Data &amp; Mechanisms'!$A$390:$A$473</c:f>
              <c:numCache>
                <c:formatCode>mmm-yy</c:formatCode>
                <c:ptCount val="84"/>
                <c:pt idx="0">
                  <c:v>40909</c:v>
                </c:pt>
                <c:pt idx="1">
                  <c:v>40940</c:v>
                </c:pt>
                <c:pt idx="2">
                  <c:v>40969</c:v>
                </c:pt>
                <c:pt idx="3">
                  <c:v>41000</c:v>
                </c:pt>
                <c:pt idx="4">
                  <c:v>41030</c:v>
                </c:pt>
                <c:pt idx="5">
                  <c:v>41061</c:v>
                </c:pt>
                <c:pt idx="6">
                  <c:v>41091</c:v>
                </c:pt>
                <c:pt idx="7">
                  <c:v>41122</c:v>
                </c:pt>
                <c:pt idx="8">
                  <c:v>41153</c:v>
                </c:pt>
                <c:pt idx="9">
                  <c:v>41183</c:v>
                </c:pt>
                <c:pt idx="10">
                  <c:v>41214</c:v>
                </c:pt>
                <c:pt idx="11">
                  <c:v>41244</c:v>
                </c:pt>
                <c:pt idx="12">
                  <c:v>41275</c:v>
                </c:pt>
                <c:pt idx="13">
                  <c:v>41306</c:v>
                </c:pt>
                <c:pt idx="14">
                  <c:v>41334</c:v>
                </c:pt>
                <c:pt idx="15">
                  <c:v>41365</c:v>
                </c:pt>
                <c:pt idx="16">
                  <c:v>41395</c:v>
                </c:pt>
                <c:pt idx="17">
                  <c:v>41426</c:v>
                </c:pt>
                <c:pt idx="18">
                  <c:v>41456</c:v>
                </c:pt>
                <c:pt idx="19">
                  <c:v>41487</c:v>
                </c:pt>
                <c:pt idx="20">
                  <c:v>41518</c:v>
                </c:pt>
                <c:pt idx="21">
                  <c:v>41548</c:v>
                </c:pt>
                <c:pt idx="22">
                  <c:v>41579</c:v>
                </c:pt>
                <c:pt idx="23">
                  <c:v>41609</c:v>
                </c:pt>
                <c:pt idx="24">
                  <c:v>41640</c:v>
                </c:pt>
                <c:pt idx="25">
                  <c:v>41671</c:v>
                </c:pt>
                <c:pt idx="26">
                  <c:v>41699</c:v>
                </c:pt>
                <c:pt idx="27">
                  <c:v>41730</c:v>
                </c:pt>
                <c:pt idx="28">
                  <c:v>41760</c:v>
                </c:pt>
                <c:pt idx="29">
                  <c:v>41791</c:v>
                </c:pt>
                <c:pt idx="30">
                  <c:v>41821</c:v>
                </c:pt>
                <c:pt idx="31">
                  <c:v>41852</c:v>
                </c:pt>
                <c:pt idx="32">
                  <c:v>41883</c:v>
                </c:pt>
                <c:pt idx="33">
                  <c:v>41913</c:v>
                </c:pt>
                <c:pt idx="34">
                  <c:v>41944</c:v>
                </c:pt>
                <c:pt idx="35">
                  <c:v>41974</c:v>
                </c:pt>
                <c:pt idx="36">
                  <c:v>42005</c:v>
                </c:pt>
                <c:pt idx="37">
                  <c:v>42036</c:v>
                </c:pt>
                <c:pt idx="38">
                  <c:v>42064</c:v>
                </c:pt>
                <c:pt idx="39">
                  <c:v>42095</c:v>
                </c:pt>
                <c:pt idx="40">
                  <c:v>42125</c:v>
                </c:pt>
                <c:pt idx="41">
                  <c:v>42156</c:v>
                </c:pt>
                <c:pt idx="42">
                  <c:v>42186</c:v>
                </c:pt>
                <c:pt idx="43">
                  <c:v>42217</c:v>
                </c:pt>
                <c:pt idx="44">
                  <c:v>42248</c:v>
                </c:pt>
                <c:pt idx="45">
                  <c:v>42278</c:v>
                </c:pt>
                <c:pt idx="46">
                  <c:v>42309</c:v>
                </c:pt>
                <c:pt idx="47">
                  <c:v>42339</c:v>
                </c:pt>
                <c:pt idx="48">
                  <c:v>42370</c:v>
                </c:pt>
                <c:pt idx="49">
                  <c:v>42401</c:v>
                </c:pt>
                <c:pt idx="50">
                  <c:v>42430</c:v>
                </c:pt>
                <c:pt idx="51">
                  <c:v>42461</c:v>
                </c:pt>
                <c:pt idx="52">
                  <c:v>42491</c:v>
                </c:pt>
                <c:pt idx="53">
                  <c:v>42522</c:v>
                </c:pt>
                <c:pt idx="54">
                  <c:v>42552</c:v>
                </c:pt>
                <c:pt idx="55">
                  <c:v>42583</c:v>
                </c:pt>
                <c:pt idx="56">
                  <c:v>42614</c:v>
                </c:pt>
                <c:pt idx="57">
                  <c:v>42644</c:v>
                </c:pt>
                <c:pt idx="58">
                  <c:v>42675</c:v>
                </c:pt>
                <c:pt idx="59">
                  <c:v>42705</c:v>
                </c:pt>
                <c:pt idx="60">
                  <c:v>42736</c:v>
                </c:pt>
                <c:pt idx="61">
                  <c:v>42767</c:v>
                </c:pt>
                <c:pt idx="62">
                  <c:v>42795</c:v>
                </c:pt>
                <c:pt idx="63">
                  <c:v>42826</c:v>
                </c:pt>
                <c:pt idx="64">
                  <c:v>42856</c:v>
                </c:pt>
                <c:pt idx="65">
                  <c:v>42887</c:v>
                </c:pt>
                <c:pt idx="66">
                  <c:v>42917</c:v>
                </c:pt>
                <c:pt idx="67">
                  <c:v>42948</c:v>
                </c:pt>
                <c:pt idx="68">
                  <c:v>42979</c:v>
                </c:pt>
                <c:pt idx="69">
                  <c:v>43009</c:v>
                </c:pt>
                <c:pt idx="70">
                  <c:v>43040</c:v>
                </c:pt>
                <c:pt idx="71">
                  <c:v>43070</c:v>
                </c:pt>
                <c:pt idx="72">
                  <c:v>43101</c:v>
                </c:pt>
                <c:pt idx="73">
                  <c:v>43132</c:v>
                </c:pt>
                <c:pt idx="74">
                  <c:v>43160</c:v>
                </c:pt>
                <c:pt idx="75">
                  <c:v>43191</c:v>
                </c:pt>
                <c:pt idx="76">
                  <c:v>43221</c:v>
                </c:pt>
                <c:pt idx="77">
                  <c:v>43252</c:v>
                </c:pt>
                <c:pt idx="78">
                  <c:v>43282</c:v>
                </c:pt>
                <c:pt idx="79">
                  <c:v>43313</c:v>
                </c:pt>
                <c:pt idx="80">
                  <c:v>43344</c:v>
                </c:pt>
                <c:pt idx="81">
                  <c:v>43374</c:v>
                </c:pt>
                <c:pt idx="82">
                  <c:v>43405</c:v>
                </c:pt>
                <c:pt idx="83">
                  <c:v>43435</c:v>
                </c:pt>
              </c:numCache>
            </c:numRef>
          </c:cat>
          <c:val>
            <c:numRef>
              <c:f>'Misc. Data &amp; Mechanisms'!$D$390:$D$473</c:f>
              <c:numCache>
                <c:formatCode>"$"#,##0.00</c:formatCode>
                <c:ptCount val="84"/>
                <c:pt idx="0">
                  <c:v>16.039062133915458</c:v>
                </c:pt>
                <c:pt idx="1">
                  <c:v>13.262680233490155</c:v>
                </c:pt>
                <c:pt idx="2">
                  <c:v>9.2236496346681527</c:v>
                </c:pt>
                <c:pt idx="3">
                  <c:v>7.7936993828217549</c:v>
                </c:pt>
                <c:pt idx="4">
                  <c:v>7.1955364032769404</c:v>
                </c:pt>
                <c:pt idx="5">
                  <c:v>7.6236719348639728</c:v>
                </c:pt>
                <c:pt idx="6">
                  <c:v>9.1332224791043899</c:v>
                </c:pt>
                <c:pt idx="7">
                  <c:v>10.264159788605594</c:v>
                </c:pt>
                <c:pt idx="8">
                  <c:v>9.7795150675624924</c:v>
                </c:pt>
                <c:pt idx="9">
                  <c:v>9.765090132663051</c:v>
                </c:pt>
                <c:pt idx="10">
                  <c:v>8.4849261235543114</c:v>
                </c:pt>
                <c:pt idx="11">
                  <c:v>10.590556776510052</c:v>
                </c:pt>
                <c:pt idx="12">
                  <c:v>10.291058778873445</c:v>
                </c:pt>
                <c:pt idx="13">
                  <c:v>7.8251474165372255</c:v>
                </c:pt>
                <c:pt idx="14">
                  <c:v>8.1549923475525539</c:v>
                </c:pt>
                <c:pt idx="15">
                  <c:v>8.6768218861640278</c:v>
                </c:pt>
                <c:pt idx="16">
                  <c:v>7.2796405331854315</c:v>
                </c:pt>
                <c:pt idx="17">
                  <c:v>7.4856700845772153</c:v>
                </c:pt>
                <c:pt idx="18">
                  <c:v>9.6114259731432448</c:v>
                </c:pt>
                <c:pt idx="19">
                  <c:v>9.7145889833651111</c:v>
                </c:pt>
                <c:pt idx="20">
                  <c:v>9.571149251182689</c:v>
                </c:pt>
                <c:pt idx="21">
                  <c:v>9.2550601651353706</c:v>
                </c:pt>
                <c:pt idx="22">
                  <c:v>9.7756067519161967</c:v>
                </c:pt>
                <c:pt idx="23">
                  <c:v>11.202528470201209</c:v>
                </c:pt>
                <c:pt idx="24">
                  <c:v>10.602562097637659</c:v>
                </c:pt>
                <c:pt idx="25">
                  <c:v>9.6410837843954766</c:v>
                </c:pt>
                <c:pt idx="26">
                  <c:v>10.411112915620571</c:v>
                </c:pt>
                <c:pt idx="27">
                  <c:v>7.663993046206441</c:v>
                </c:pt>
                <c:pt idx="28">
                  <c:v>9.8038215256060877</c:v>
                </c:pt>
                <c:pt idx="29">
                  <c:v>6.2029318870219283</c:v>
                </c:pt>
                <c:pt idx="30">
                  <c:v>8.1114461365498656</c:v>
                </c:pt>
                <c:pt idx="31">
                  <c:v>8.6614019367391126</c:v>
                </c:pt>
                <c:pt idx="32">
                  <c:v>8.711650722342192</c:v>
                </c:pt>
                <c:pt idx="33">
                  <c:v>9.0919245801913835</c:v>
                </c:pt>
                <c:pt idx="34">
                  <c:v>8.7678424707258262</c:v>
                </c:pt>
                <c:pt idx="35">
                  <c:v>9.8139283380569236</c:v>
                </c:pt>
                <c:pt idx="36">
                  <c:v>10.070407914697544</c:v>
                </c:pt>
                <c:pt idx="37">
                  <c:v>7.9019439978883108</c:v>
                </c:pt>
                <c:pt idx="38">
                  <c:v>7.426918599948392</c:v>
                </c:pt>
                <c:pt idx="39">
                  <c:v>6.5087472597646165</c:v>
                </c:pt>
                <c:pt idx="40">
                  <c:v>6.1398644588466214</c:v>
                </c:pt>
                <c:pt idx="41">
                  <c:v>5.7291223472121926</c:v>
                </c:pt>
                <c:pt idx="42">
                  <c:v>8.4522285994488993</c:v>
                </c:pt>
                <c:pt idx="43">
                  <c:v>8.2951757703621247</c:v>
                </c:pt>
                <c:pt idx="44">
                  <c:v>6.4282845269877527</c:v>
                </c:pt>
                <c:pt idx="45">
                  <c:v>7.324910117205393</c:v>
                </c:pt>
                <c:pt idx="46">
                  <c:v>7.4063491619855171</c:v>
                </c:pt>
                <c:pt idx="47">
                  <c:v>8.3942387578897808</c:v>
                </c:pt>
                <c:pt idx="48">
                  <c:v>8.0788021961224405</c:v>
                </c:pt>
                <c:pt idx="49">
                  <c:v>6.9464070593702374</c:v>
                </c:pt>
                <c:pt idx="50">
                  <c:v>6.8726598427662644</c:v>
                </c:pt>
                <c:pt idx="51">
                  <c:v>5.6115662047592672</c:v>
                </c:pt>
                <c:pt idx="52">
                  <c:v>5.8114027956701095</c:v>
                </c:pt>
                <c:pt idx="53">
                  <c:v>5.6666984885072491</c:v>
                </c:pt>
                <c:pt idx="54">
                  <c:v>6.7776925077897783</c:v>
                </c:pt>
                <c:pt idx="55">
                  <c:v>6.6021365822775238</c:v>
                </c:pt>
                <c:pt idx="56">
                  <c:v>5.7396266808377963</c:v>
                </c:pt>
                <c:pt idx="57">
                  <c:v>6.0897950422668448</c:v>
                </c:pt>
                <c:pt idx="58">
                  <c:v>5.4562193789236613</c:v>
                </c:pt>
                <c:pt idx="59">
                  <c:v>7.1784403860601964</c:v>
                </c:pt>
                <c:pt idx="60">
                  <c:v>7.0902514273706174</c:v>
                </c:pt>
                <c:pt idx="61">
                  <c:v>5.9598202141453704</c:v>
                </c:pt>
                <c:pt idx="62">
                  <c:v>5.960304913838983</c:v>
                </c:pt>
                <c:pt idx="63">
                  <c:v>5.731927406473039</c:v>
                </c:pt>
                <c:pt idx="64">
                  <c:v>5.9026715482737888</c:v>
                </c:pt>
                <c:pt idx="65">
                  <c:v>5.8739858410576753</c:v>
                </c:pt>
                <c:pt idx="66">
                  <c:v>7.1037881895090038</c:v>
                </c:pt>
                <c:pt idx="67">
                  <c:v>6.6242255230820355</c:v>
                </c:pt>
                <c:pt idx="68">
                  <c:v>6.373102159594378</c:v>
                </c:pt>
                <c:pt idx="69">
                  <c:v>6.8486795126593938</c:v>
                </c:pt>
                <c:pt idx="70">
                  <c:v>7.1457716446822168</c:v>
                </c:pt>
                <c:pt idx="71">
                  <c:v>8.1441525237839461</c:v>
                </c:pt>
                <c:pt idx="72">
                  <c:v>8.6020219316623816</c:v>
                </c:pt>
                <c:pt idx="73">
                  <c:v>8.0322540273984941</c:v>
                </c:pt>
                <c:pt idx="74">
                  <c:v>8.0916541954349981</c:v>
                </c:pt>
                <c:pt idx="75">
                  <c:v>8.7270513867107411</c:v>
                </c:pt>
                <c:pt idx="76">
                  <c:v>7.6800973364904674</c:v>
                </c:pt>
                <c:pt idx="77">
                  <c:v>7.1912902595146218</c:v>
                </c:pt>
                <c:pt idx="78">
                  <c:v>8.4805901419973111</c:v>
                </c:pt>
                <c:pt idx="79">
                  <c:v>8.6619109672738723</c:v>
                </c:pt>
                <c:pt idx="80">
                  <c:v>8.3731850989325523</c:v>
                </c:pt>
                <c:pt idx="81">
                  <c:v>8.8649108138515835</c:v>
                </c:pt>
                <c:pt idx="82">
                  <c:v>9.2487333004788272</c:v>
                </c:pt>
                <c:pt idx="83">
                  <c:v>10.217413077449297</c:v>
                </c:pt>
              </c:numCache>
            </c:numRef>
          </c:val>
          <c:smooth val="0"/>
        </c:ser>
        <c:ser>
          <c:idx val="3"/>
          <c:order val="3"/>
          <c:tx>
            <c:strRef>
              <c:f>'Misc. Data &amp; Mechanisms'!$E$389</c:f>
              <c:strCache>
                <c:ptCount val="1"/>
                <c:pt idx="0">
                  <c:v>Edmonton</c:v>
                </c:pt>
              </c:strCache>
            </c:strRef>
          </c:tx>
          <c:marker>
            <c:symbol val="none"/>
          </c:marker>
          <c:cat>
            <c:numRef>
              <c:f>'Misc. Data &amp; Mechanisms'!$A$390:$A$473</c:f>
              <c:numCache>
                <c:formatCode>mmm-yy</c:formatCode>
                <c:ptCount val="84"/>
                <c:pt idx="0">
                  <c:v>40909</c:v>
                </c:pt>
                <c:pt idx="1">
                  <c:v>40940</c:v>
                </c:pt>
                <c:pt idx="2">
                  <c:v>40969</c:v>
                </c:pt>
                <c:pt idx="3">
                  <c:v>41000</c:v>
                </c:pt>
                <c:pt idx="4">
                  <c:v>41030</c:v>
                </c:pt>
                <c:pt idx="5">
                  <c:v>41061</c:v>
                </c:pt>
                <c:pt idx="6">
                  <c:v>41091</c:v>
                </c:pt>
                <c:pt idx="7">
                  <c:v>41122</c:v>
                </c:pt>
                <c:pt idx="8">
                  <c:v>41153</c:v>
                </c:pt>
                <c:pt idx="9">
                  <c:v>41183</c:v>
                </c:pt>
                <c:pt idx="10">
                  <c:v>41214</c:v>
                </c:pt>
                <c:pt idx="11">
                  <c:v>41244</c:v>
                </c:pt>
                <c:pt idx="12">
                  <c:v>41275</c:v>
                </c:pt>
                <c:pt idx="13">
                  <c:v>41306</c:v>
                </c:pt>
                <c:pt idx="14">
                  <c:v>41334</c:v>
                </c:pt>
                <c:pt idx="15">
                  <c:v>41365</c:v>
                </c:pt>
                <c:pt idx="16">
                  <c:v>41395</c:v>
                </c:pt>
                <c:pt idx="17">
                  <c:v>41426</c:v>
                </c:pt>
                <c:pt idx="18">
                  <c:v>41456</c:v>
                </c:pt>
                <c:pt idx="19">
                  <c:v>41487</c:v>
                </c:pt>
                <c:pt idx="20">
                  <c:v>41518</c:v>
                </c:pt>
                <c:pt idx="21">
                  <c:v>41548</c:v>
                </c:pt>
                <c:pt idx="22">
                  <c:v>41579</c:v>
                </c:pt>
                <c:pt idx="23">
                  <c:v>41609</c:v>
                </c:pt>
                <c:pt idx="24">
                  <c:v>41640</c:v>
                </c:pt>
                <c:pt idx="25">
                  <c:v>41671</c:v>
                </c:pt>
                <c:pt idx="26">
                  <c:v>41699</c:v>
                </c:pt>
                <c:pt idx="27">
                  <c:v>41730</c:v>
                </c:pt>
                <c:pt idx="28">
                  <c:v>41760</c:v>
                </c:pt>
                <c:pt idx="29">
                  <c:v>41791</c:v>
                </c:pt>
                <c:pt idx="30">
                  <c:v>41821</c:v>
                </c:pt>
                <c:pt idx="31">
                  <c:v>41852</c:v>
                </c:pt>
                <c:pt idx="32">
                  <c:v>41883</c:v>
                </c:pt>
                <c:pt idx="33">
                  <c:v>41913</c:v>
                </c:pt>
                <c:pt idx="34">
                  <c:v>41944</c:v>
                </c:pt>
                <c:pt idx="35">
                  <c:v>41974</c:v>
                </c:pt>
                <c:pt idx="36">
                  <c:v>42005</c:v>
                </c:pt>
                <c:pt idx="37">
                  <c:v>42036</c:v>
                </c:pt>
                <c:pt idx="38">
                  <c:v>42064</c:v>
                </c:pt>
                <c:pt idx="39">
                  <c:v>42095</c:v>
                </c:pt>
                <c:pt idx="40">
                  <c:v>42125</c:v>
                </c:pt>
                <c:pt idx="41">
                  <c:v>42156</c:v>
                </c:pt>
                <c:pt idx="42">
                  <c:v>42186</c:v>
                </c:pt>
                <c:pt idx="43">
                  <c:v>42217</c:v>
                </c:pt>
                <c:pt idx="44">
                  <c:v>42248</c:v>
                </c:pt>
                <c:pt idx="45">
                  <c:v>42278</c:v>
                </c:pt>
                <c:pt idx="46">
                  <c:v>42309</c:v>
                </c:pt>
                <c:pt idx="47">
                  <c:v>42339</c:v>
                </c:pt>
                <c:pt idx="48">
                  <c:v>42370</c:v>
                </c:pt>
                <c:pt idx="49">
                  <c:v>42401</c:v>
                </c:pt>
                <c:pt idx="50">
                  <c:v>42430</c:v>
                </c:pt>
                <c:pt idx="51">
                  <c:v>42461</c:v>
                </c:pt>
                <c:pt idx="52">
                  <c:v>42491</c:v>
                </c:pt>
                <c:pt idx="53">
                  <c:v>42522</c:v>
                </c:pt>
                <c:pt idx="54">
                  <c:v>42552</c:v>
                </c:pt>
                <c:pt idx="55">
                  <c:v>42583</c:v>
                </c:pt>
                <c:pt idx="56">
                  <c:v>42614</c:v>
                </c:pt>
                <c:pt idx="57">
                  <c:v>42644</c:v>
                </c:pt>
                <c:pt idx="58">
                  <c:v>42675</c:v>
                </c:pt>
                <c:pt idx="59">
                  <c:v>42705</c:v>
                </c:pt>
                <c:pt idx="60">
                  <c:v>42736</c:v>
                </c:pt>
                <c:pt idx="61">
                  <c:v>42767</c:v>
                </c:pt>
                <c:pt idx="62">
                  <c:v>42795</c:v>
                </c:pt>
                <c:pt idx="63">
                  <c:v>42826</c:v>
                </c:pt>
                <c:pt idx="64">
                  <c:v>42856</c:v>
                </c:pt>
                <c:pt idx="65">
                  <c:v>42887</c:v>
                </c:pt>
                <c:pt idx="66">
                  <c:v>42917</c:v>
                </c:pt>
                <c:pt idx="67">
                  <c:v>42948</c:v>
                </c:pt>
                <c:pt idx="68">
                  <c:v>42979</c:v>
                </c:pt>
                <c:pt idx="69">
                  <c:v>43009</c:v>
                </c:pt>
                <c:pt idx="70">
                  <c:v>43040</c:v>
                </c:pt>
                <c:pt idx="71">
                  <c:v>43070</c:v>
                </c:pt>
                <c:pt idx="72">
                  <c:v>43101</c:v>
                </c:pt>
                <c:pt idx="73">
                  <c:v>43132</c:v>
                </c:pt>
                <c:pt idx="74">
                  <c:v>43160</c:v>
                </c:pt>
                <c:pt idx="75">
                  <c:v>43191</c:v>
                </c:pt>
                <c:pt idx="76">
                  <c:v>43221</c:v>
                </c:pt>
                <c:pt idx="77">
                  <c:v>43252</c:v>
                </c:pt>
                <c:pt idx="78">
                  <c:v>43282</c:v>
                </c:pt>
                <c:pt idx="79">
                  <c:v>43313</c:v>
                </c:pt>
                <c:pt idx="80">
                  <c:v>43344</c:v>
                </c:pt>
                <c:pt idx="81">
                  <c:v>43374</c:v>
                </c:pt>
                <c:pt idx="82">
                  <c:v>43405</c:v>
                </c:pt>
                <c:pt idx="83">
                  <c:v>43435</c:v>
                </c:pt>
              </c:numCache>
            </c:numRef>
          </c:cat>
          <c:val>
            <c:numRef>
              <c:f>'Misc. Data &amp; Mechanisms'!$E$390:$E$473</c:f>
              <c:numCache>
                <c:formatCode>"$"#,##0.00</c:formatCode>
                <c:ptCount val="84"/>
                <c:pt idx="0">
                  <c:v>4.2639637723986095</c:v>
                </c:pt>
                <c:pt idx="1">
                  <c:v>3.6806840449690426</c:v>
                </c:pt>
                <c:pt idx="2">
                  <c:v>3.6331435188298333</c:v>
                </c:pt>
                <c:pt idx="3">
                  <c:v>3.2797312932934419</c:v>
                </c:pt>
                <c:pt idx="4">
                  <c:v>3.1319523072060202</c:v>
                </c:pt>
                <c:pt idx="5">
                  <c:v>3.0731934172634352</c:v>
                </c:pt>
                <c:pt idx="6">
                  <c:v>3.5165612895200531</c:v>
                </c:pt>
                <c:pt idx="7">
                  <c:v>3.4676329731064883</c:v>
                </c:pt>
                <c:pt idx="8">
                  <c:v>3.0904766536372592</c:v>
                </c:pt>
                <c:pt idx="9">
                  <c:v>3.6054021286253959</c:v>
                </c:pt>
                <c:pt idx="10">
                  <c:v>3.9329466096262102</c:v>
                </c:pt>
                <c:pt idx="11">
                  <c:v>4.4064763073988562</c:v>
                </c:pt>
                <c:pt idx="12">
                  <c:v>4.5686080737289654</c:v>
                </c:pt>
                <c:pt idx="13">
                  <c:v>3.7710690662809272</c:v>
                </c:pt>
                <c:pt idx="14">
                  <c:v>4.0350804331632917</c:v>
                </c:pt>
                <c:pt idx="15">
                  <c:v>3.6349510452882718</c:v>
                </c:pt>
                <c:pt idx="16">
                  <c:v>3.4017197951083054</c:v>
                </c:pt>
                <c:pt idx="17">
                  <c:v>3.3291055466684547</c:v>
                </c:pt>
                <c:pt idx="18">
                  <c:v>3.5886460409452896</c:v>
                </c:pt>
                <c:pt idx="19">
                  <c:v>3.6388496396309638</c:v>
                </c:pt>
                <c:pt idx="20">
                  <c:v>3.4043243000338705</c:v>
                </c:pt>
                <c:pt idx="21">
                  <c:v>3.7091586786392901</c:v>
                </c:pt>
                <c:pt idx="22">
                  <c:v>4.1625509334572461</c:v>
                </c:pt>
                <c:pt idx="23">
                  <c:v>4.8449440201562419</c:v>
                </c:pt>
                <c:pt idx="24">
                  <c:v>4.5981516823650876</c:v>
                </c:pt>
                <c:pt idx="25">
                  <c:v>4.2287567477875392</c:v>
                </c:pt>
                <c:pt idx="26">
                  <c:v>4.2391905729198287</c:v>
                </c:pt>
                <c:pt idx="27">
                  <c:v>3.6272915030947521</c:v>
                </c:pt>
                <c:pt idx="28">
                  <c:v>3.4679506341607267</c:v>
                </c:pt>
                <c:pt idx="29">
                  <c:v>3.3351062287690496</c:v>
                </c:pt>
                <c:pt idx="30">
                  <c:v>3.8252043246348748</c:v>
                </c:pt>
                <c:pt idx="31">
                  <c:v>3.7296029289385069</c:v>
                </c:pt>
                <c:pt idx="32">
                  <c:v>3.4283650869857558</c:v>
                </c:pt>
                <c:pt idx="33">
                  <c:v>3.6638743650389203</c:v>
                </c:pt>
                <c:pt idx="34">
                  <c:v>4.2590050557753507</c:v>
                </c:pt>
                <c:pt idx="35">
                  <c:v>4.5720072377361154</c:v>
                </c:pt>
                <c:pt idx="36">
                  <c:v>4.6073904362078721</c:v>
                </c:pt>
                <c:pt idx="37">
                  <c:v>3.9877011918218299</c:v>
                </c:pt>
                <c:pt idx="38">
                  <c:v>3.9139331297134414</c:v>
                </c:pt>
                <c:pt idx="39">
                  <c:v>3.4744247204750525</c:v>
                </c:pt>
                <c:pt idx="40">
                  <c:v>3.4196007852703456</c:v>
                </c:pt>
                <c:pt idx="41">
                  <c:v>3.478830612512041</c:v>
                </c:pt>
                <c:pt idx="42">
                  <c:v>3.8054201283413023</c:v>
                </c:pt>
                <c:pt idx="43">
                  <c:v>3.6498675104448393</c:v>
                </c:pt>
                <c:pt idx="44">
                  <c:v>3.3798906803962709</c:v>
                </c:pt>
                <c:pt idx="45">
                  <c:v>3.7070069928625022</c:v>
                </c:pt>
                <c:pt idx="46">
                  <c:v>3.962362881564049</c:v>
                </c:pt>
                <c:pt idx="47">
                  <c:v>4.4388275752885527</c:v>
                </c:pt>
                <c:pt idx="48">
                  <c:v>4.7872408124110066</c:v>
                </c:pt>
                <c:pt idx="49">
                  <c:v>4.0121099995639797</c:v>
                </c:pt>
                <c:pt idx="50">
                  <c:v>4.0043883440509171</c:v>
                </c:pt>
                <c:pt idx="51">
                  <c:v>3.5368270181326413</c:v>
                </c:pt>
                <c:pt idx="52">
                  <c:v>3.6404734403320891</c:v>
                </c:pt>
                <c:pt idx="53">
                  <c:v>3.6693641433892963</c:v>
                </c:pt>
                <c:pt idx="54">
                  <c:v>3.8675412860263934</c:v>
                </c:pt>
                <c:pt idx="55">
                  <c:v>3.8132891965610352</c:v>
                </c:pt>
                <c:pt idx="56">
                  <c:v>3.5057483721121914</c:v>
                </c:pt>
                <c:pt idx="57">
                  <c:v>3.9803019743236825</c:v>
                </c:pt>
                <c:pt idx="58">
                  <c:v>4.0124240678188157</c:v>
                </c:pt>
                <c:pt idx="59">
                  <c:v>4.9679745846919667</c:v>
                </c:pt>
                <c:pt idx="60">
                  <c:v>5.1343183873457736</c:v>
                </c:pt>
                <c:pt idx="61">
                  <c:v>4.3865459856806011</c:v>
                </c:pt>
                <c:pt idx="62">
                  <c:v>4.6137227195973871</c:v>
                </c:pt>
                <c:pt idx="63">
                  <c:v>4.1030918081581049</c:v>
                </c:pt>
                <c:pt idx="64">
                  <c:v>3.9331806537917897</c:v>
                </c:pt>
                <c:pt idx="65">
                  <c:v>3.8775920910681889</c:v>
                </c:pt>
                <c:pt idx="66">
                  <c:v>4.328842922176773</c:v>
                </c:pt>
                <c:pt idx="67">
                  <c:v>4.0961872593657427</c:v>
                </c:pt>
                <c:pt idx="68">
                  <c:v>3.8809673458953013</c:v>
                </c:pt>
                <c:pt idx="69">
                  <c:v>4.2757536780328493</c:v>
                </c:pt>
                <c:pt idx="70">
                  <c:v>4.7536987307546683</c:v>
                </c:pt>
                <c:pt idx="71">
                  <c:v>5.033181852023505</c:v>
                </c:pt>
                <c:pt idx="72">
                  <c:v>5.0318744346475821</c:v>
                </c:pt>
                <c:pt idx="73">
                  <c:v>4.346499091136975</c:v>
                </c:pt>
                <c:pt idx="74">
                  <c:v>4.4208860717278551</c:v>
                </c:pt>
                <c:pt idx="75">
                  <c:v>3.9936685140721306</c:v>
                </c:pt>
                <c:pt idx="76">
                  <c:v>3.8945203847151491</c:v>
                </c:pt>
                <c:pt idx="77">
                  <c:v>3.8271849319439664</c:v>
                </c:pt>
                <c:pt idx="78">
                  <c:v>4.0137540292656491</c:v>
                </c:pt>
                <c:pt idx="79">
                  <c:v>3.8898823558174342</c:v>
                </c:pt>
                <c:pt idx="80">
                  <c:v>3.8362729458600962</c:v>
                </c:pt>
                <c:pt idx="81">
                  <c:v>4.0818729676822167</c:v>
                </c:pt>
                <c:pt idx="82">
                  <c:v>4.3396101568126957</c:v>
                </c:pt>
                <c:pt idx="83">
                  <c:v>4.8374979381272034</c:v>
                </c:pt>
              </c:numCache>
            </c:numRef>
          </c:val>
          <c:smooth val="0"/>
        </c:ser>
        <c:ser>
          <c:idx val="4"/>
          <c:order val="4"/>
          <c:tx>
            <c:strRef>
              <c:f>'Misc. Data &amp; Mechanisms'!$F$389</c:f>
              <c:strCache>
                <c:ptCount val="1"/>
                <c:pt idx="0">
                  <c:v>Fort McMurray</c:v>
                </c:pt>
              </c:strCache>
            </c:strRef>
          </c:tx>
          <c:marker>
            <c:symbol val="none"/>
          </c:marker>
          <c:cat>
            <c:numRef>
              <c:f>'Misc. Data &amp; Mechanisms'!$A$390:$A$473</c:f>
              <c:numCache>
                <c:formatCode>mmm-yy</c:formatCode>
                <c:ptCount val="84"/>
                <c:pt idx="0">
                  <c:v>40909</c:v>
                </c:pt>
                <c:pt idx="1">
                  <c:v>40940</c:v>
                </c:pt>
                <c:pt idx="2">
                  <c:v>40969</c:v>
                </c:pt>
                <c:pt idx="3">
                  <c:v>41000</c:v>
                </c:pt>
                <c:pt idx="4">
                  <c:v>41030</c:v>
                </c:pt>
                <c:pt idx="5">
                  <c:v>41061</c:v>
                </c:pt>
                <c:pt idx="6">
                  <c:v>41091</c:v>
                </c:pt>
                <c:pt idx="7">
                  <c:v>41122</c:v>
                </c:pt>
                <c:pt idx="8">
                  <c:v>41153</c:v>
                </c:pt>
                <c:pt idx="9">
                  <c:v>41183</c:v>
                </c:pt>
                <c:pt idx="10">
                  <c:v>41214</c:v>
                </c:pt>
                <c:pt idx="11">
                  <c:v>41244</c:v>
                </c:pt>
                <c:pt idx="12">
                  <c:v>41275</c:v>
                </c:pt>
                <c:pt idx="13">
                  <c:v>41306</c:v>
                </c:pt>
                <c:pt idx="14">
                  <c:v>41334</c:v>
                </c:pt>
                <c:pt idx="15">
                  <c:v>41365</c:v>
                </c:pt>
                <c:pt idx="16">
                  <c:v>41395</c:v>
                </c:pt>
                <c:pt idx="17">
                  <c:v>41426</c:v>
                </c:pt>
                <c:pt idx="18">
                  <c:v>41456</c:v>
                </c:pt>
                <c:pt idx="19">
                  <c:v>41487</c:v>
                </c:pt>
                <c:pt idx="20">
                  <c:v>41518</c:v>
                </c:pt>
                <c:pt idx="21">
                  <c:v>41548</c:v>
                </c:pt>
                <c:pt idx="22">
                  <c:v>41579</c:v>
                </c:pt>
                <c:pt idx="23">
                  <c:v>41609</c:v>
                </c:pt>
                <c:pt idx="24">
                  <c:v>41640</c:v>
                </c:pt>
                <c:pt idx="25">
                  <c:v>41671</c:v>
                </c:pt>
                <c:pt idx="26">
                  <c:v>41699</c:v>
                </c:pt>
                <c:pt idx="27">
                  <c:v>41730</c:v>
                </c:pt>
                <c:pt idx="28">
                  <c:v>41760</c:v>
                </c:pt>
                <c:pt idx="29">
                  <c:v>41791</c:v>
                </c:pt>
                <c:pt idx="30">
                  <c:v>41821</c:v>
                </c:pt>
                <c:pt idx="31">
                  <c:v>41852</c:v>
                </c:pt>
                <c:pt idx="32">
                  <c:v>41883</c:v>
                </c:pt>
                <c:pt idx="33">
                  <c:v>41913</c:v>
                </c:pt>
                <c:pt idx="34">
                  <c:v>41944</c:v>
                </c:pt>
                <c:pt idx="35">
                  <c:v>41974</c:v>
                </c:pt>
                <c:pt idx="36">
                  <c:v>42005</c:v>
                </c:pt>
                <c:pt idx="37">
                  <c:v>42036</c:v>
                </c:pt>
                <c:pt idx="38">
                  <c:v>42064</c:v>
                </c:pt>
                <c:pt idx="39">
                  <c:v>42095</c:v>
                </c:pt>
                <c:pt idx="40">
                  <c:v>42125</c:v>
                </c:pt>
                <c:pt idx="41">
                  <c:v>42156</c:v>
                </c:pt>
                <c:pt idx="42">
                  <c:v>42186</c:v>
                </c:pt>
                <c:pt idx="43">
                  <c:v>42217</c:v>
                </c:pt>
                <c:pt idx="44">
                  <c:v>42248</c:v>
                </c:pt>
                <c:pt idx="45">
                  <c:v>42278</c:v>
                </c:pt>
                <c:pt idx="46">
                  <c:v>42309</c:v>
                </c:pt>
                <c:pt idx="47">
                  <c:v>42339</c:v>
                </c:pt>
                <c:pt idx="48">
                  <c:v>42370</c:v>
                </c:pt>
                <c:pt idx="49">
                  <c:v>42401</c:v>
                </c:pt>
                <c:pt idx="50">
                  <c:v>42430</c:v>
                </c:pt>
                <c:pt idx="51">
                  <c:v>42461</c:v>
                </c:pt>
                <c:pt idx="52">
                  <c:v>42491</c:v>
                </c:pt>
                <c:pt idx="53">
                  <c:v>42522</c:v>
                </c:pt>
                <c:pt idx="54">
                  <c:v>42552</c:v>
                </c:pt>
                <c:pt idx="55">
                  <c:v>42583</c:v>
                </c:pt>
                <c:pt idx="56">
                  <c:v>42614</c:v>
                </c:pt>
                <c:pt idx="57">
                  <c:v>42644</c:v>
                </c:pt>
                <c:pt idx="58">
                  <c:v>42675</c:v>
                </c:pt>
                <c:pt idx="59">
                  <c:v>42705</c:v>
                </c:pt>
                <c:pt idx="60">
                  <c:v>42736</c:v>
                </c:pt>
                <c:pt idx="61">
                  <c:v>42767</c:v>
                </c:pt>
                <c:pt idx="62">
                  <c:v>42795</c:v>
                </c:pt>
                <c:pt idx="63">
                  <c:v>42826</c:v>
                </c:pt>
                <c:pt idx="64">
                  <c:v>42856</c:v>
                </c:pt>
                <c:pt idx="65">
                  <c:v>42887</c:v>
                </c:pt>
                <c:pt idx="66">
                  <c:v>42917</c:v>
                </c:pt>
                <c:pt idx="67">
                  <c:v>42948</c:v>
                </c:pt>
                <c:pt idx="68">
                  <c:v>42979</c:v>
                </c:pt>
                <c:pt idx="69">
                  <c:v>43009</c:v>
                </c:pt>
                <c:pt idx="70">
                  <c:v>43040</c:v>
                </c:pt>
                <c:pt idx="71">
                  <c:v>43070</c:v>
                </c:pt>
                <c:pt idx="72">
                  <c:v>43101</c:v>
                </c:pt>
                <c:pt idx="73">
                  <c:v>43132</c:v>
                </c:pt>
                <c:pt idx="74">
                  <c:v>43160</c:v>
                </c:pt>
                <c:pt idx="75">
                  <c:v>43191</c:v>
                </c:pt>
                <c:pt idx="76">
                  <c:v>43221</c:v>
                </c:pt>
                <c:pt idx="77">
                  <c:v>43252</c:v>
                </c:pt>
                <c:pt idx="78">
                  <c:v>43282</c:v>
                </c:pt>
                <c:pt idx="79">
                  <c:v>43313</c:v>
                </c:pt>
                <c:pt idx="80">
                  <c:v>43344</c:v>
                </c:pt>
                <c:pt idx="81">
                  <c:v>43374</c:v>
                </c:pt>
                <c:pt idx="82">
                  <c:v>43405</c:v>
                </c:pt>
                <c:pt idx="83">
                  <c:v>43435</c:v>
                </c:pt>
              </c:numCache>
            </c:numRef>
          </c:cat>
          <c:val>
            <c:numRef>
              <c:f>'Misc. Data &amp; Mechanisms'!$F$390:$F$473</c:f>
              <c:numCache>
                <c:formatCode>"$"#,##0.00</c:formatCode>
                <c:ptCount val="84"/>
                <c:pt idx="0">
                  <c:v>8.1646762141315588</c:v>
                </c:pt>
                <c:pt idx="1">
                  <c:v>7.265954933273723</c:v>
                </c:pt>
                <c:pt idx="2">
                  <c:v>7.3681897056148822</c:v>
                </c:pt>
                <c:pt idx="3">
                  <c:v>6.4204089083762268</c:v>
                </c:pt>
                <c:pt idx="4">
                  <c:v>6.4031745054159774</c:v>
                </c:pt>
                <c:pt idx="5">
                  <c:v>5.8704131494552643</c:v>
                </c:pt>
                <c:pt idx="6">
                  <c:v>6.3553550273430899</c:v>
                </c:pt>
                <c:pt idx="7">
                  <c:v>6.2443261157796055</c:v>
                </c:pt>
                <c:pt idx="8">
                  <c:v>6.1331356386270537</c:v>
                </c:pt>
                <c:pt idx="9">
                  <c:v>6.7763899228109272</c:v>
                </c:pt>
                <c:pt idx="10">
                  <c:v>7.1473472327953065</c:v>
                </c:pt>
                <c:pt idx="11">
                  <c:v>8.6194896073601708</c:v>
                </c:pt>
                <c:pt idx="12">
                  <c:v>8.1338714030592634</c:v>
                </c:pt>
                <c:pt idx="13">
                  <c:v>7.065766924574401</c:v>
                </c:pt>
                <c:pt idx="14">
                  <c:v>0.68244837510854162</c:v>
                </c:pt>
                <c:pt idx="15">
                  <c:v>0.66318184621267406</c:v>
                </c:pt>
                <c:pt idx="16">
                  <c:v>0.6708032549684253</c:v>
                </c:pt>
                <c:pt idx="17">
                  <c:v>0.58231101095667215</c:v>
                </c:pt>
                <c:pt idx="18">
                  <c:v>0.64266674094900378</c:v>
                </c:pt>
                <c:pt idx="19">
                  <c:v>0.61841625266696765</c:v>
                </c:pt>
                <c:pt idx="20">
                  <c:v>0.61928922327745017</c:v>
                </c:pt>
                <c:pt idx="21">
                  <c:v>0.68367930231215512</c:v>
                </c:pt>
                <c:pt idx="22">
                  <c:v>0.72344398974398705</c:v>
                </c:pt>
                <c:pt idx="23">
                  <c:v>0.89022560243760507</c:v>
                </c:pt>
                <c:pt idx="24">
                  <c:v>13.2573335474084</c:v>
                </c:pt>
                <c:pt idx="25">
                  <c:v>11.449913553176529</c:v>
                </c:pt>
                <c:pt idx="26">
                  <c:v>10.999420514956869</c:v>
                </c:pt>
                <c:pt idx="27">
                  <c:v>9.6225395581628881</c:v>
                </c:pt>
                <c:pt idx="28">
                  <c:v>9.5378753756361654</c:v>
                </c:pt>
                <c:pt idx="29">
                  <c:v>8.7638118157290332</c:v>
                </c:pt>
                <c:pt idx="30">
                  <c:v>9.3114358386279736</c:v>
                </c:pt>
                <c:pt idx="31">
                  <c:v>8.82663095745745</c:v>
                </c:pt>
                <c:pt idx="32">
                  <c:v>9.0430938283158184</c:v>
                </c:pt>
                <c:pt idx="33">
                  <c:v>10.004210425967557</c:v>
                </c:pt>
                <c:pt idx="34">
                  <c:v>10.867897621068858</c:v>
                </c:pt>
                <c:pt idx="35">
                  <c:v>13.709905994026069</c:v>
                </c:pt>
                <c:pt idx="36">
                  <c:v>12.517276984078103</c:v>
                </c:pt>
                <c:pt idx="37">
                  <c:v>10.749355884647157</c:v>
                </c:pt>
                <c:pt idx="38">
                  <c:v>11.54769377111667</c:v>
                </c:pt>
                <c:pt idx="39">
                  <c:v>10.00748605460905</c:v>
                </c:pt>
                <c:pt idx="40">
                  <c:v>9.704523434373737</c:v>
                </c:pt>
                <c:pt idx="41">
                  <c:v>9.0904312114661856</c:v>
                </c:pt>
                <c:pt idx="42">
                  <c:v>9.6560428181309899</c:v>
                </c:pt>
                <c:pt idx="43">
                  <c:v>9.5079055237942427</c:v>
                </c:pt>
                <c:pt idx="44">
                  <c:v>9.3931526630862159</c:v>
                </c:pt>
                <c:pt idx="45">
                  <c:v>9.5306770120002984</c:v>
                </c:pt>
                <c:pt idx="46">
                  <c:v>10.556806978349666</c:v>
                </c:pt>
                <c:pt idx="47">
                  <c:v>12.65961192142254</c:v>
                </c:pt>
                <c:pt idx="48">
                  <c:v>11.544860107100412</c:v>
                </c:pt>
                <c:pt idx="49">
                  <c:v>10.742174939684025</c:v>
                </c:pt>
                <c:pt idx="50">
                  <c:v>10.836403783398076</c:v>
                </c:pt>
                <c:pt idx="51">
                  <c:v>9.1999739665486224</c:v>
                </c:pt>
                <c:pt idx="52">
                  <c:v>9.4250296743201414</c:v>
                </c:pt>
                <c:pt idx="53">
                  <c:v>8.5416074806577633</c:v>
                </c:pt>
                <c:pt idx="54">
                  <c:v>8.7129956355562346</c:v>
                </c:pt>
                <c:pt idx="55">
                  <c:v>8.9001364255213904</c:v>
                </c:pt>
                <c:pt idx="56">
                  <c:v>8.7511211331563814</c:v>
                </c:pt>
                <c:pt idx="57">
                  <c:v>9.6719752268298986</c:v>
                </c:pt>
                <c:pt idx="58">
                  <c:v>10.468454542094765</c:v>
                </c:pt>
                <c:pt idx="59">
                  <c:v>12.283889615469647</c:v>
                </c:pt>
                <c:pt idx="60">
                  <c:v>12.838114197608309</c:v>
                </c:pt>
                <c:pt idx="61">
                  <c:v>11.086837433415795</c:v>
                </c:pt>
                <c:pt idx="62">
                  <c:v>11.635961341664668</c:v>
                </c:pt>
                <c:pt idx="63">
                  <c:v>10.373129616500671</c:v>
                </c:pt>
                <c:pt idx="64">
                  <c:v>10.967581968687336</c:v>
                </c:pt>
                <c:pt idx="65">
                  <c:v>9.9394043868808044</c:v>
                </c:pt>
                <c:pt idx="66">
                  <c:v>10.573699038297686</c:v>
                </c:pt>
                <c:pt idx="67">
                  <c:v>10.378144550469436</c:v>
                </c:pt>
                <c:pt idx="68">
                  <c:v>9.9959619931445083</c:v>
                </c:pt>
                <c:pt idx="69">
                  <c:v>11.316661953919166</c:v>
                </c:pt>
                <c:pt idx="70">
                  <c:v>12.28170436682451</c:v>
                </c:pt>
                <c:pt idx="71">
                  <c:v>14.048624987617384</c:v>
                </c:pt>
                <c:pt idx="72">
                  <c:v>13.9145843883294</c:v>
                </c:pt>
                <c:pt idx="73">
                  <c:v>12.041273647404561</c:v>
                </c:pt>
                <c:pt idx="74">
                  <c:v>12.143755365459247</c:v>
                </c:pt>
                <c:pt idx="75">
                  <c:v>11.194023680855013</c:v>
                </c:pt>
                <c:pt idx="76">
                  <c:v>11.301841500963537</c:v>
                </c:pt>
                <c:pt idx="77">
                  <c:v>10.01146731778339</c:v>
                </c:pt>
                <c:pt idx="78">
                  <c:v>10.865722065917357</c:v>
                </c:pt>
                <c:pt idx="79">
                  <c:v>10.697165661330152</c:v>
                </c:pt>
                <c:pt idx="80">
                  <c:v>10.100058731145342</c:v>
                </c:pt>
                <c:pt idx="81">
                  <c:v>11.681609256967555</c:v>
                </c:pt>
                <c:pt idx="82">
                  <c:v>12.682991242479112</c:v>
                </c:pt>
                <c:pt idx="83">
                  <c:v>15.204318168202441</c:v>
                </c:pt>
              </c:numCache>
            </c:numRef>
          </c:val>
          <c:smooth val="0"/>
        </c:ser>
        <c:ser>
          <c:idx val="5"/>
          <c:order val="5"/>
          <c:tx>
            <c:strRef>
              <c:f>'Misc. Data &amp; Mechanisms'!$G$389</c:f>
              <c:strCache>
                <c:ptCount val="1"/>
                <c:pt idx="0">
                  <c:v>Grande Prairie</c:v>
                </c:pt>
              </c:strCache>
            </c:strRef>
          </c:tx>
          <c:marker>
            <c:symbol val="none"/>
          </c:marker>
          <c:cat>
            <c:numRef>
              <c:f>'Misc. Data &amp; Mechanisms'!$A$390:$A$473</c:f>
              <c:numCache>
                <c:formatCode>mmm-yy</c:formatCode>
                <c:ptCount val="84"/>
                <c:pt idx="0">
                  <c:v>40909</c:v>
                </c:pt>
                <c:pt idx="1">
                  <c:v>40940</c:v>
                </c:pt>
                <c:pt idx="2">
                  <c:v>40969</c:v>
                </c:pt>
                <c:pt idx="3">
                  <c:v>41000</c:v>
                </c:pt>
                <c:pt idx="4">
                  <c:v>41030</c:v>
                </c:pt>
                <c:pt idx="5">
                  <c:v>41061</c:v>
                </c:pt>
                <c:pt idx="6">
                  <c:v>41091</c:v>
                </c:pt>
                <c:pt idx="7">
                  <c:v>41122</c:v>
                </c:pt>
                <c:pt idx="8">
                  <c:v>41153</c:v>
                </c:pt>
                <c:pt idx="9">
                  <c:v>41183</c:v>
                </c:pt>
                <c:pt idx="10">
                  <c:v>41214</c:v>
                </c:pt>
                <c:pt idx="11">
                  <c:v>41244</c:v>
                </c:pt>
                <c:pt idx="12">
                  <c:v>41275</c:v>
                </c:pt>
                <c:pt idx="13">
                  <c:v>41306</c:v>
                </c:pt>
                <c:pt idx="14">
                  <c:v>41334</c:v>
                </c:pt>
                <c:pt idx="15">
                  <c:v>41365</c:v>
                </c:pt>
                <c:pt idx="16">
                  <c:v>41395</c:v>
                </c:pt>
                <c:pt idx="17">
                  <c:v>41426</c:v>
                </c:pt>
                <c:pt idx="18">
                  <c:v>41456</c:v>
                </c:pt>
                <c:pt idx="19">
                  <c:v>41487</c:v>
                </c:pt>
                <c:pt idx="20">
                  <c:v>41518</c:v>
                </c:pt>
                <c:pt idx="21">
                  <c:v>41548</c:v>
                </c:pt>
                <c:pt idx="22">
                  <c:v>41579</c:v>
                </c:pt>
                <c:pt idx="23">
                  <c:v>41609</c:v>
                </c:pt>
                <c:pt idx="24">
                  <c:v>41640</c:v>
                </c:pt>
                <c:pt idx="25">
                  <c:v>41671</c:v>
                </c:pt>
                <c:pt idx="26">
                  <c:v>41699</c:v>
                </c:pt>
                <c:pt idx="27">
                  <c:v>41730</c:v>
                </c:pt>
                <c:pt idx="28">
                  <c:v>41760</c:v>
                </c:pt>
                <c:pt idx="29">
                  <c:v>41791</c:v>
                </c:pt>
                <c:pt idx="30">
                  <c:v>41821</c:v>
                </c:pt>
                <c:pt idx="31">
                  <c:v>41852</c:v>
                </c:pt>
                <c:pt idx="32">
                  <c:v>41883</c:v>
                </c:pt>
                <c:pt idx="33">
                  <c:v>41913</c:v>
                </c:pt>
                <c:pt idx="34">
                  <c:v>41944</c:v>
                </c:pt>
                <c:pt idx="35">
                  <c:v>41974</c:v>
                </c:pt>
                <c:pt idx="36">
                  <c:v>42005</c:v>
                </c:pt>
                <c:pt idx="37">
                  <c:v>42036</c:v>
                </c:pt>
                <c:pt idx="38">
                  <c:v>42064</c:v>
                </c:pt>
                <c:pt idx="39">
                  <c:v>42095</c:v>
                </c:pt>
                <c:pt idx="40">
                  <c:v>42125</c:v>
                </c:pt>
                <c:pt idx="41">
                  <c:v>42156</c:v>
                </c:pt>
                <c:pt idx="42">
                  <c:v>42186</c:v>
                </c:pt>
                <c:pt idx="43">
                  <c:v>42217</c:v>
                </c:pt>
                <c:pt idx="44">
                  <c:v>42248</c:v>
                </c:pt>
                <c:pt idx="45">
                  <c:v>42278</c:v>
                </c:pt>
                <c:pt idx="46">
                  <c:v>42309</c:v>
                </c:pt>
                <c:pt idx="47">
                  <c:v>42339</c:v>
                </c:pt>
                <c:pt idx="48">
                  <c:v>42370</c:v>
                </c:pt>
                <c:pt idx="49">
                  <c:v>42401</c:v>
                </c:pt>
                <c:pt idx="50">
                  <c:v>42430</c:v>
                </c:pt>
                <c:pt idx="51">
                  <c:v>42461</c:v>
                </c:pt>
                <c:pt idx="52">
                  <c:v>42491</c:v>
                </c:pt>
                <c:pt idx="53">
                  <c:v>42522</c:v>
                </c:pt>
                <c:pt idx="54">
                  <c:v>42552</c:v>
                </c:pt>
                <c:pt idx="55">
                  <c:v>42583</c:v>
                </c:pt>
                <c:pt idx="56">
                  <c:v>42614</c:v>
                </c:pt>
                <c:pt idx="57">
                  <c:v>42644</c:v>
                </c:pt>
                <c:pt idx="58">
                  <c:v>42675</c:v>
                </c:pt>
                <c:pt idx="59">
                  <c:v>42705</c:v>
                </c:pt>
                <c:pt idx="60">
                  <c:v>42736</c:v>
                </c:pt>
                <c:pt idx="61">
                  <c:v>42767</c:v>
                </c:pt>
                <c:pt idx="62">
                  <c:v>42795</c:v>
                </c:pt>
                <c:pt idx="63">
                  <c:v>42826</c:v>
                </c:pt>
                <c:pt idx="64">
                  <c:v>42856</c:v>
                </c:pt>
                <c:pt idx="65">
                  <c:v>42887</c:v>
                </c:pt>
                <c:pt idx="66">
                  <c:v>42917</c:v>
                </c:pt>
                <c:pt idx="67">
                  <c:v>42948</c:v>
                </c:pt>
                <c:pt idx="68">
                  <c:v>42979</c:v>
                </c:pt>
                <c:pt idx="69">
                  <c:v>43009</c:v>
                </c:pt>
                <c:pt idx="70">
                  <c:v>43040</c:v>
                </c:pt>
                <c:pt idx="71">
                  <c:v>43070</c:v>
                </c:pt>
                <c:pt idx="72">
                  <c:v>43101</c:v>
                </c:pt>
                <c:pt idx="73">
                  <c:v>43132</c:v>
                </c:pt>
                <c:pt idx="74">
                  <c:v>43160</c:v>
                </c:pt>
                <c:pt idx="75">
                  <c:v>43191</c:v>
                </c:pt>
                <c:pt idx="76">
                  <c:v>43221</c:v>
                </c:pt>
                <c:pt idx="77">
                  <c:v>43252</c:v>
                </c:pt>
                <c:pt idx="78">
                  <c:v>43282</c:v>
                </c:pt>
                <c:pt idx="79">
                  <c:v>43313</c:v>
                </c:pt>
                <c:pt idx="80">
                  <c:v>43344</c:v>
                </c:pt>
                <c:pt idx="81">
                  <c:v>43374</c:v>
                </c:pt>
                <c:pt idx="82">
                  <c:v>43405</c:v>
                </c:pt>
                <c:pt idx="83">
                  <c:v>43435</c:v>
                </c:pt>
              </c:numCache>
            </c:numRef>
          </c:cat>
          <c:val>
            <c:numRef>
              <c:f>'Misc. Data &amp; Mechanisms'!$G$390:$G$473</c:f>
              <c:numCache>
                <c:formatCode>"$"#,##0.00</c:formatCode>
                <c:ptCount val="84"/>
                <c:pt idx="0">
                  <c:v>10.550600362497082</c:v>
                </c:pt>
                <c:pt idx="1">
                  <c:v>9.3892500746325318</c:v>
                </c:pt>
                <c:pt idx="2">
                  <c:v>9.5213604238776757</c:v>
                </c:pt>
                <c:pt idx="3">
                  <c:v>8.2966141925934078</c:v>
                </c:pt>
                <c:pt idx="4">
                  <c:v>8.2743434627627366</c:v>
                </c:pt>
                <c:pt idx="5">
                  <c:v>7.5858958124328089</c:v>
                </c:pt>
                <c:pt idx="6">
                  <c:v>8.2069151534194233</c:v>
                </c:pt>
                <c:pt idx="7">
                  <c:v>8.0635392361248446</c:v>
                </c:pt>
                <c:pt idx="8">
                  <c:v>7.9199546829514693</c:v>
                </c:pt>
                <c:pt idx="9">
                  <c:v>8.7506137585904895</c:v>
                </c:pt>
                <c:pt idx="10">
                  <c:v>9.2296452454994515</c:v>
                </c:pt>
                <c:pt idx="11">
                  <c:v>11.130679492969039</c:v>
                </c:pt>
                <c:pt idx="12">
                  <c:v>10.503581969304875</c:v>
                </c:pt>
                <c:pt idx="13">
                  <c:v>9.1242974459071</c:v>
                </c:pt>
                <c:pt idx="14">
                  <c:v>8.9901199280965223</c:v>
                </c:pt>
                <c:pt idx="15">
                  <c:v>8.7363155207749603</c:v>
                </c:pt>
                <c:pt idx="16">
                  <c:v>8.8367148787840559</c:v>
                </c:pt>
                <c:pt idx="17">
                  <c:v>7.6709770510025619</c:v>
                </c:pt>
                <c:pt idx="18">
                  <c:v>8.4660632007682093</c:v>
                </c:pt>
                <c:pt idx="19">
                  <c:v>8.1466034351328531</c:v>
                </c:pt>
                <c:pt idx="20">
                  <c:v>8.1581033679749435</c:v>
                </c:pt>
                <c:pt idx="21">
                  <c:v>9.0063353424587902</c:v>
                </c:pt>
                <c:pt idx="22">
                  <c:v>9.5301688248941225</c:v>
                </c:pt>
                <c:pt idx="23">
                  <c:v>11.727238602778051</c:v>
                </c:pt>
                <c:pt idx="24">
                  <c:v>12.184414460315812</c:v>
                </c:pt>
                <c:pt idx="25">
                  <c:v>10.52326938654736</c:v>
                </c:pt>
                <c:pt idx="26">
                  <c:v>10.460123084192894</c:v>
                </c:pt>
                <c:pt idx="27">
                  <c:v>9.1507500803367208</c:v>
                </c:pt>
                <c:pt idx="28">
                  <c:v>9.070236950681581</c:v>
                </c:pt>
                <c:pt idx="29">
                  <c:v>8.3341254345696925</c:v>
                </c:pt>
                <c:pt idx="30">
                  <c:v>8.8548996585930979</c:v>
                </c:pt>
                <c:pt idx="31">
                  <c:v>8.3938645775208229</c:v>
                </c:pt>
                <c:pt idx="32">
                  <c:v>8.5997143556302635</c:v>
                </c:pt>
                <c:pt idx="33">
                  <c:v>9.5137077697403409</c:v>
                </c:pt>
                <c:pt idx="34">
                  <c:v>10.335048708084887</c:v>
                </c:pt>
                <c:pt idx="35">
                  <c:v>13.037714484615186</c:v>
                </c:pt>
                <c:pt idx="36">
                  <c:v>11.903559624286734</c:v>
                </c:pt>
                <c:pt idx="37">
                  <c:v>10.222319028198674</c:v>
                </c:pt>
                <c:pt idx="38">
                  <c:v>10.981514709815748</c:v>
                </c:pt>
                <c:pt idx="39">
                  <c:v>9.090303014980929</c:v>
                </c:pt>
                <c:pt idx="40">
                  <c:v>8.8151068263354109</c:v>
                </c:pt>
                <c:pt idx="41">
                  <c:v>8.2572959680527873</c:v>
                </c:pt>
                <c:pt idx="42">
                  <c:v>8.7710694437605312</c:v>
                </c:pt>
                <c:pt idx="43">
                  <c:v>8.6365088871939548</c:v>
                </c:pt>
                <c:pt idx="44">
                  <c:v>8.5322730911129359</c:v>
                </c:pt>
                <c:pt idx="45">
                  <c:v>8.657193375462592</c:v>
                </c:pt>
                <c:pt idx="46">
                  <c:v>9.5892788438776986</c:v>
                </c:pt>
                <c:pt idx="47">
                  <c:v>11.499362356322713</c:v>
                </c:pt>
                <c:pt idx="48">
                  <c:v>10.486777205227664</c:v>
                </c:pt>
                <c:pt idx="49">
                  <c:v>9.7576578881854896</c:v>
                </c:pt>
                <c:pt idx="50">
                  <c:v>9.8432506871599639</c:v>
                </c:pt>
                <c:pt idx="51">
                  <c:v>8.3567991630971168</c:v>
                </c:pt>
                <c:pt idx="52">
                  <c:v>8.5612285840056686</c:v>
                </c:pt>
                <c:pt idx="53">
                  <c:v>7.7587717645078662</c:v>
                </c:pt>
                <c:pt idx="54">
                  <c:v>7.9144522473687999</c:v>
                </c:pt>
                <c:pt idx="55">
                  <c:v>8.0844416411049682</c:v>
                </c:pt>
                <c:pt idx="56">
                  <c:v>7.9490835547611933</c:v>
                </c:pt>
                <c:pt idx="57">
                  <c:v>8.7855416520695204</c:v>
                </c:pt>
                <c:pt idx="58">
                  <c:v>9.5090238814139809</c:v>
                </c:pt>
                <c:pt idx="59">
                  <c:v>11.158074884927624</c:v>
                </c:pt>
                <c:pt idx="60">
                  <c:v>11.163577563137659</c:v>
                </c:pt>
                <c:pt idx="61">
                  <c:v>9.6407282029702568</c:v>
                </c:pt>
                <c:pt idx="62">
                  <c:v>10.11822725362145</c:v>
                </c:pt>
                <c:pt idx="63">
                  <c:v>9.069190246321412</c:v>
                </c:pt>
                <c:pt idx="64">
                  <c:v>9.5889178187772952</c:v>
                </c:pt>
                <c:pt idx="65">
                  <c:v>8.6899858241772137</c:v>
                </c:pt>
                <c:pt idx="66">
                  <c:v>9.2445473768231174</c:v>
                </c:pt>
                <c:pt idx="67">
                  <c:v>9.0735747852134274</c:v>
                </c:pt>
                <c:pt idx="68">
                  <c:v>8.7394339377210901</c:v>
                </c:pt>
                <c:pt idx="69">
                  <c:v>9.8941172054903017</c:v>
                </c:pt>
                <c:pt idx="70">
                  <c:v>10.737850346979776</c:v>
                </c:pt>
                <c:pt idx="71">
                  <c:v>12.282662747147656</c:v>
                </c:pt>
                <c:pt idx="72">
                  <c:v>12.165471529008443</c:v>
                </c:pt>
                <c:pt idx="73">
                  <c:v>10.52764262606102</c:v>
                </c:pt>
                <c:pt idx="74">
                  <c:v>10.61724202683679</c:v>
                </c:pt>
                <c:pt idx="75">
                  <c:v>10.018492338778469</c:v>
                </c:pt>
                <c:pt idx="76">
                  <c:v>10.114987757721387</c:v>
                </c:pt>
                <c:pt idx="77">
                  <c:v>8.9601211756131391</c:v>
                </c:pt>
                <c:pt idx="78">
                  <c:v>9.7246670523725811</c:v>
                </c:pt>
                <c:pt idx="79">
                  <c:v>9.5738114622689903</c:v>
                </c:pt>
                <c:pt idx="80">
                  <c:v>9.0394092333618676</c:v>
                </c:pt>
                <c:pt idx="81">
                  <c:v>10.454874510020156</c:v>
                </c:pt>
                <c:pt idx="82">
                  <c:v>11.351097176334191</c:v>
                </c:pt>
                <c:pt idx="83">
                  <c:v>13.607648994436621</c:v>
                </c:pt>
              </c:numCache>
            </c:numRef>
          </c:val>
          <c:smooth val="0"/>
        </c:ser>
        <c:ser>
          <c:idx val="6"/>
          <c:order val="6"/>
          <c:tx>
            <c:strRef>
              <c:f>'Misc. Data &amp; Mechanisms'!$H$389</c:f>
              <c:strCache>
                <c:ptCount val="1"/>
                <c:pt idx="0">
                  <c:v>Hines Creek</c:v>
                </c:pt>
              </c:strCache>
            </c:strRef>
          </c:tx>
          <c:marker>
            <c:symbol val="none"/>
          </c:marker>
          <c:cat>
            <c:numRef>
              <c:f>'Misc. Data &amp; Mechanisms'!$A$390:$A$473</c:f>
              <c:numCache>
                <c:formatCode>mmm-yy</c:formatCode>
                <c:ptCount val="84"/>
                <c:pt idx="0">
                  <c:v>40909</c:v>
                </c:pt>
                <c:pt idx="1">
                  <c:v>40940</c:v>
                </c:pt>
                <c:pt idx="2">
                  <c:v>40969</c:v>
                </c:pt>
                <c:pt idx="3">
                  <c:v>41000</c:v>
                </c:pt>
                <c:pt idx="4">
                  <c:v>41030</c:v>
                </c:pt>
                <c:pt idx="5">
                  <c:v>41061</c:v>
                </c:pt>
                <c:pt idx="6">
                  <c:v>41091</c:v>
                </c:pt>
                <c:pt idx="7">
                  <c:v>41122</c:v>
                </c:pt>
                <c:pt idx="8">
                  <c:v>41153</c:v>
                </c:pt>
                <c:pt idx="9">
                  <c:v>41183</c:v>
                </c:pt>
                <c:pt idx="10">
                  <c:v>41214</c:v>
                </c:pt>
                <c:pt idx="11">
                  <c:v>41244</c:v>
                </c:pt>
                <c:pt idx="12">
                  <c:v>41275</c:v>
                </c:pt>
                <c:pt idx="13">
                  <c:v>41306</c:v>
                </c:pt>
                <c:pt idx="14">
                  <c:v>41334</c:v>
                </c:pt>
                <c:pt idx="15">
                  <c:v>41365</c:v>
                </c:pt>
                <c:pt idx="16">
                  <c:v>41395</c:v>
                </c:pt>
                <c:pt idx="17">
                  <c:v>41426</c:v>
                </c:pt>
                <c:pt idx="18">
                  <c:v>41456</c:v>
                </c:pt>
                <c:pt idx="19">
                  <c:v>41487</c:v>
                </c:pt>
                <c:pt idx="20">
                  <c:v>41518</c:v>
                </c:pt>
                <c:pt idx="21">
                  <c:v>41548</c:v>
                </c:pt>
                <c:pt idx="22">
                  <c:v>41579</c:v>
                </c:pt>
                <c:pt idx="23">
                  <c:v>41609</c:v>
                </c:pt>
                <c:pt idx="24">
                  <c:v>41640</c:v>
                </c:pt>
                <c:pt idx="25">
                  <c:v>41671</c:v>
                </c:pt>
                <c:pt idx="26">
                  <c:v>41699</c:v>
                </c:pt>
                <c:pt idx="27">
                  <c:v>41730</c:v>
                </c:pt>
                <c:pt idx="28">
                  <c:v>41760</c:v>
                </c:pt>
                <c:pt idx="29">
                  <c:v>41791</c:v>
                </c:pt>
                <c:pt idx="30">
                  <c:v>41821</c:v>
                </c:pt>
                <c:pt idx="31">
                  <c:v>41852</c:v>
                </c:pt>
                <c:pt idx="32">
                  <c:v>41883</c:v>
                </c:pt>
                <c:pt idx="33">
                  <c:v>41913</c:v>
                </c:pt>
                <c:pt idx="34">
                  <c:v>41944</c:v>
                </c:pt>
                <c:pt idx="35">
                  <c:v>41974</c:v>
                </c:pt>
                <c:pt idx="36">
                  <c:v>42005</c:v>
                </c:pt>
                <c:pt idx="37">
                  <c:v>42036</c:v>
                </c:pt>
                <c:pt idx="38">
                  <c:v>42064</c:v>
                </c:pt>
                <c:pt idx="39">
                  <c:v>42095</c:v>
                </c:pt>
                <c:pt idx="40">
                  <c:v>42125</c:v>
                </c:pt>
                <c:pt idx="41">
                  <c:v>42156</c:v>
                </c:pt>
                <c:pt idx="42">
                  <c:v>42186</c:v>
                </c:pt>
                <c:pt idx="43">
                  <c:v>42217</c:v>
                </c:pt>
                <c:pt idx="44">
                  <c:v>42248</c:v>
                </c:pt>
                <c:pt idx="45">
                  <c:v>42278</c:v>
                </c:pt>
                <c:pt idx="46">
                  <c:v>42309</c:v>
                </c:pt>
                <c:pt idx="47">
                  <c:v>42339</c:v>
                </c:pt>
                <c:pt idx="48">
                  <c:v>42370</c:v>
                </c:pt>
                <c:pt idx="49">
                  <c:v>42401</c:v>
                </c:pt>
                <c:pt idx="50">
                  <c:v>42430</c:v>
                </c:pt>
                <c:pt idx="51">
                  <c:v>42461</c:v>
                </c:pt>
                <c:pt idx="52">
                  <c:v>42491</c:v>
                </c:pt>
                <c:pt idx="53">
                  <c:v>42522</c:v>
                </c:pt>
                <c:pt idx="54">
                  <c:v>42552</c:v>
                </c:pt>
                <c:pt idx="55">
                  <c:v>42583</c:v>
                </c:pt>
                <c:pt idx="56">
                  <c:v>42614</c:v>
                </c:pt>
                <c:pt idx="57">
                  <c:v>42644</c:v>
                </c:pt>
                <c:pt idx="58">
                  <c:v>42675</c:v>
                </c:pt>
                <c:pt idx="59">
                  <c:v>42705</c:v>
                </c:pt>
                <c:pt idx="60">
                  <c:v>42736</c:v>
                </c:pt>
                <c:pt idx="61">
                  <c:v>42767</c:v>
                </c:pt>
                <c:pt idx="62">
                  <c:v>42795</c:v>
                </c:pt>
                <c:pt idx="63">
                  <c:v>42826</c:v>
                </c:pt>
                <c:pt idx="64">
                  <c:v>42856</c:v>
                </c:pt>
                <c:pt idx="65">
                  <c:v>42887</c:v>
                </c:pt>
                <c:pt idx="66">
                  <c:v>42917</c:v>
                </c:pt>
                <c:pt idx="67">
                  <c:v>42948</c:v>
                </c:pt>
                <c:pt idx="68">
                  <c:v>42979</c:v>
                </c:pt>
                <c:pt idx="69">
                  <c:v>43009</c:v>
                </c:pt>
                <c:pt idx="70">
                  <c:v>43040</c:v>
                </c:pt>
                <c:pt idx="71">
                  <c:v>43070</c:v>
                </c:pt>
                <c:pt idx="72">
                  <c:v>43101</c:v>
                </c:pt>
                <c:pt idx="73">
                  <c:v>43132</c:v>
                </c:pt>
                <c:pt idx="74">
                  <c:v>43160</c:v>
                </c:pt>
                <c:pt idx="75">
                  <c:v>43191</c:v>
                </c:pt>
                <c:pt idx="76">
                  <c:v>43221</c:v>
                </c:pt>
                <c:pt idx="77">
                  <c:v>43252</c:v>
                </c:pt>
                <c:pt idx="78">
                  <c:v>43282</c:v>
                </c:pt>
                <c:pt idx="79">
                  <c:v>43313</c:v>
                </c:pt>
                <c:pt idx="80">
                  <c:v>43344</c:v>
                </c:pt>
                <c:pt idx="81">
                  <c:v>43374</c:v>
                </c:pt>
                <c:pt idx="82">
                  <c:v>43405</c:v>
                </c:pt>
                <c:pt idx="83">
                  <c:v>43435</c:v>
                </c:pt>
              </c:numCache>
            </c:numRef>
          </c:cat>
          <c:val>
            <c:numRef>
              <c:f>'Misc. Data &amp; Mechanisms'!$H$390:$H$473</c:f>
              <c:numCache>
                <c:formatCode>"$"#,##0.00</c:formatCode>
                <c:ptCount val="84"/>
                <c:pt idx="0">
                  <c:v>5.8006412781363625</c:v>
                </c:pt>
                <c:pt idx="1">
                  <c:v>5.1621395638539855</c:v>
                </c:pt>
                <c:pt idx="2">
                  <c:v>5.234772847152664</c:v>
                </c:pt>
                <c:pt idx="3">
                  <c:v>4.5614165166747984</c:v>
                </c:pt>
                <c:pt idx="4">
                  <c:v>4.549172235751298</c:v>
                </c:pt>
                <c:pt idx="5">
                  <c:v>4.1706688595325607</c:v>
                </c:pt>
                <c:pt idx="6">
                  <c:v>4.2202226297055159</c:v>
                </c:pt>
                <c:pt idx="7">
                  <c:v>4.1464947697959058</c:v>
                </c:pt>
                <c:pt idx="8">
                  <c:v>4.0726596235502477</c:v>
                </c:pt>
                <c:pt idx="9">
                  <c:v>4.4998074815516134</c:v>
                </c:pt>
                <c:pt idx="10">
                  <c:v>4.7461387136409776</c:v>
                </c:pt>
                <c:pt idx="11">
                  <c:v>5.7237030726039979</c:v>
                </c:pt>
                <c:pt idx="12">
                  <c:v>5.4012321915327917</c:v>
                </c:pt>
                <c:pt idx="13">
                  <c:v>4.6919659630375943</c:v>
                </c:pt>
                <c:pt idx="14">
                  <c:v>5.8144601559247748</c:v>
                </c:pt>
                <c:pt idx="15">
                  <c:v>5.6503093297319831</c:v>
                </c:pt>
                <c:pt idx="16">
                  <c:v>5.7152437323309835</c:v>
                </c:pt>
                <c:pt idx="17">
                  <c:v>4.961289813350847</c:v>
                </c:pt>
                <c:pt idx="18">
                  <c:v>5.4755206328855124</c:v>
                </c:pt>
                <c:pt idx="19">
                  <c:v>5.2689064727225645</c:v>
                </c:pt>
                <c:pt idx="20">
                  <c:v>5.276344182323875</c:v>
                </c:pt>
                <c:pt idx="21">
                  <c:v>5.8249476556995621</c:v>
                </c:pt>
                <c:pt idx="22">
                  <c:v>6.1637427926187698</c:v>
                </c:pt>
                <c:pt idx="23">
                  <c:v>7.5847221327683956</c:v>
                </c:pt>
                <c:pt idx="24">
                  <c:v>7.8804057086455508</c:v>
                </c:pt>
                <c:pt idx="25">
                  <c:v>6.8060416376556301</c:v>
                </c:pt>
                <c:pt idx="26">
                  <c:v>2.5054859804242913</c:v>
                </c:pt>
                <c:pt idx="27">
                  <c:v>2.19185528240074</c:v>
                </c:pt>
                <c:pt idx="28">
                  <c:v>2.1725701826014956</c:v>
                </c:pt>
                <c:pt idx="29">
                  <c:v>1.9962513124694323</c:v>
                </c:pt>
                <c:pt idx="30">
                  <c:v>2.1209910030786907</c:v>
                </c:pt>
                <c:pt idx="31">
                  <c:v>2.0105604734555786</c:v>
                </c:pt>
                <c:pt idx="32">
                  <c:v>2.0598671335183121</c:v>
                </c:pt>
                <c:pt idx="33">
                  <c:v>2.2787935903889323</c:v>
                </c:pt>
                <c:pt idx="34">
                  <c:v>2.4755272415713532</c:v>
                </c:pt>
                <c:pt idx="35">
                  <c:v>3.1228897208047122</c:v>
                </c:pt>
                <c:pt idx="36">
                  <c:v>2.8512285673640618</c:v>
                </c:pt>
                <c:pt idx="37">
                  <c:v>2.4485253955835709</c:v>
                </c:pt>
                <c:pt idx="38">
                  <c:v>2.6303735556271879</c:v>
                </c:pt>
                <c:pt idx="39">
                  <c:v>7.0215457144863898</c:v>
                </c:pt>
                <c:pt idx="40">
                  <c:v>6.8089782548711852</c:v>
                </c:pt>
                <c:pt idx="41">
                  <c:v>6.3781131412425678</c:v>
                </c:pt>
                <c:pt idx="42">
                  <c:v>6.7749628326805</c:v>
                </c:pt>
                <c:pt idx="43">
                  <c:v>6.6710253624177511</c:v>
                </c:pt>
                <c:pt idx="44">
                  <c:v>6.5905113898843197</c:v>
                </c:pt>
                <c:pt idx="45">
                  <c:v>6.6870025063831005</c:v>
                </c:pt>
                <c:pt idx="46">
                  <c:v>7.4069653850131552</c:v>
                </c:pt>
                <c:pt idx="47">
                  <c:v>8.8823550039308863</c:v>
                </c:pt>
                <c:pt idx="48">
                  <c:v>8.1002124376702476</c:v>
                </c:pt>
                <c:pt idx="49">
                  <c:v>7.5370249831387914</c:v>
                </c:pt>
                <c:pt idx="50">
                  <c:v>7.6031387034228874</c:v>
                </c:pt>
                <c:pt idx="51">
                  <c:v>6.454971550867616</c:v>
                </c:pt>
                <c:pt idx="52">
                  <c:v>6.6128772358519115</c:v>
                </c:pt>
                <c:pt idx="53">
                  <c:v>5.9930423158586539</c:v>
                </c:pt>
                <c:pt idx="54">
                  <c:v>6.1132932717904742</c:v>
                </c:pt>
                <c:pt idx="55">
                  <c:v>6.2445967384768188</c:v>
                </c:pt>
                <c:pt idx="56">
                  <c:v>6.1400432390476034</c:v>
                </c:pt>
                <c:pt idx="57">
                  <c:v>6.7861414778877789</c:v>
                </c:pt>
                <c:pt idx="58">
                  <c:v>7.3449747245451036</c:v>
                </c:pt>
                <c:pt idx="59">
                  <c:v>8.6187372149272772</c:v>
                </c:pt>
                <c:pt idx="60">
                  <c:v>9.1614141958357962</c:v>
                </c:pt>
                <c:pt idx="61">
                  <c:v>7.9116845578723289</c:v>
                </c:pt>
                <c:pt idx="62">
                  <c:v>8.3035451918306471</c:v>
                </c:pt>
                <c:pt idx="63">
                  <c:v>6.0623449822513304</c:v>
                </c:pt>
                <c:pt idx="64">
                  <c:v>6.409759443238471</c:v>
                </c:pt>
                <c:pt idx="65">
                  <c:v>5.8088639146592316</c:v>
                </c:pt>
                <c:pt idx="66">
                  <c:v>6.1795633216317629</c:v>
                </c:pt>
                <c:pt idx="67">
                  <c:v>6.0652758489141263</c:v>
                </c:pt>
                <c:pt idx="68">
                  <c:v>5.8419177502148489</c:v>
                </c:pt>
                <c:pt idx="69">
                  <c:v>6.6137714796356848</c:v>
                </c:pt>
                <c:pt idx="70">
                  <c:v>7.1777690624124482</c:v>
                </c:pt>
                <c:pt idx="71">
                  <c:v>8.2104065359152258</c:v>
                </c:pt>
                <c:pt idx="72">
                  <c:v>8.1320694877384767</c:v>
                </c:pt>
                <c:pt idx="73">
                  <c:v>7.0372546738583868</c:v>
                </c:pt>
                <c:pt idx="74">
                  <c:v>7.0971478355357505</c:v>
                </c:pt>
                <c:pt idx="75">
                  <c:v>5.0621980316449342</c:v>
                </c:pt>
                <c:pt idx="76">
                  <c:v>5.1109557591869166</c:v>
                </c:pt>
                <c:pt idx="77">
                  <c:v>4.5274185221385626</c:v>
                </c:pt>
                <c:pt idx="78">
                  <c:v>4.9137324006702894</c:v>
                </c:pt>
                <c:pt idx="79">
                  <c:v>4.8375072716327452</c:v>
                </c:pt>
                <c:pt idx="80">
                  <c:v>4.5674816210855944</c:v>
                </c:pt>
                <c:pt idx="81">
                  <c:v>5.2826955769446453</c:v>
                </c:pt>
                <c:pt idx="82">
                  <c:v>5.7355438163718215</c:v>
                </c:pt>
                <c:pt idx="83">
                  <c:v>6.8757465320726272</c:v>
                </c:pt>
              </c:numCache>
            </c:numRef>
          </c:val>
          <c:smooth val="0"/>
        </c:ser>
        <c:ser>
          <c:idx val="7"/>
          <c:order val="7"/>
          <c:tx>
            <c:strRef>
              <c:f>'Misc. Data &amp; Mechanisms'!$I$389</c:f>
              <c:strCache>
                <c:ptCount val="1"/>
                <c:pt idx="0">
                  <c:v>Hinton</c:v>
                </c:pt>
              </c:strCache>
            </c:strRef>
          </c:tx>
          <c:marker>
            <c:symbol val="none"/>
          </c:marker>
          <c:cat>
            <c:numRef>
              <c:f>'Misc. Data &amp; Mechanisms'!$A$390:$A$473</c:f>
              <c:numCache>
                <c:formatCode>mmm-yy</c:formatCode>
                <c:ptCount val="84"/>
                <c:pt idx="0">
                  <c:v>40909</c:v>
                </c:pt>
                <c:pt idx="1">
                  <c:v>40940</c:v>
                </c:pt>
                <c:pt idx="2">
                  <c:v>40969</c:v>
                </c:pt>
                <c:pt idx="3">
                  <c:v>41000</c:v>
                </c:pt>
                <c:pt idx="4">
                  <c:v>41030</c:v>
                </c:pt>
                <c:pt idx="5">
                  <c:v>41061</c:v>
                </c:pt>
                <c:pt idx="6">
                  <c:v>41091</c:v>
                </c:pt>
                <c:pt idx="7">
                  <c:v>41122</c:v>
                </c:pt>
                <c:pt idx="8">
                  <c:v>41153</c:v>
                </c:pt>
                <c:pt idx="9">
                  <c:v>41183</c:v>
                </c:pt>
                <c:pt idx="10">
                  <c:v>41214</c:v>
                </c:pt>
                <c:pt idx="11">
                  <c:v>41244</c:v>
                </c:pt>
                <c:pt idx="12">
                  <c:v>41275</c:v>
                </c:pt>
                <c:pt idx="13">
                  <c:v>41306</c:v>
                </c:pt>
                <c:pt idx="14">
                  <c:v>41334</c:v>
                </c:pt>
                <c:pt idx="15">
                  <c:v>41365</c:v>
                </c:pt>
                <c:pt idx="16">
                  <c:v>41395</c:v>
                </c:pt>
                <c:pt idx="17">
                  <c:v>41426</c:v>
                </c:pt>
                <c:pt idx="18">
                  <c:v>41456</c:v>
                </c:pt>
                <c:pt idx="19">
                  <c:v>41487</c:v>
                </c:pt>
                <c:pt idx="20">
                  <c:v>41518</c:v>
                </c:pt>
                <c:pt idx="21">
                  <c:v>41548</c:v>
                </c:pt>
                <c:pt idx="22">
                  <c:v>41579</c:v>
                </c:pt>
                <c:pt idx="23">
                  <c:v>41609</c:v>
                </c:pt>
                <c:pt idx="24">
                  <c:v>41640</c:v>
                </c:pt>
                <c:pt idx="25">
                  <c:v>41671</c:v>
                </c:pt>
                <c:pt idx="26">
                  <c:v>41699</c:v>
                </c:pt>
                <c:pt idx="27">
                  <c:v>41730</c:v>
                </c:pt>
                <c:pt idx="28">
                  <c:v>41760</c:v>
                </c:pt>
                <c:pt idx="29">
                  <c:v>41791</c:v>
                </c:pt>
                <c:pt idx="30">
                  <c:v>41821</c:v>
                </c:pt>
                <c:pt idx="31">
                  <c:v>41852</c:v>
                </c:pt>
                <c:pt idx="32">
                  <c:v>41883</c:v>
                </c:pt>
                <c:pt idx="33">
                  <c:v>41913</c:v>
                </c:pt>
                <c:pt idx="34">
                  <c:v>41944</c:v>
                </c:pt>
                <c:pt idx="35">
                  <c:v>41974</c:v>
                </c:pt>
                <c:pt idx="36">
                  <c:v>42005</c:v>
                </c:pt>
                <c:pt idx="37">
                  <c:v>42036</c:v>
                </c:pt>
                <c:pt idx="38">
                  <c:v>42064</c:v>
                </c:pt>
                <c:pt idx="39">
                  <c:v>42095</c:v>
                </c:pt>
                <c:pt idx="40">
                  <c:v>42125</c:v>
                </c:pt>
                <c:pt idx="41">
                  <c:v>42156</c:v>
                </c:pt>
                <c:pt idx="42">
                  <c:v>42186</c:v>
                </c:pt>
                <c:pt idx="43">
                  <c:v>42217</c:v>
                </c:pt>
                <c:pt idx="44">
                  <c:v>42248</c:v>
                </c:pt>
                <c:pt idx="45">
                  <c:v>42278</c:v>
                </c:pt>
                <c:pt idx="46">
                  <c:v>42309</c:v>
                </c:pt>
                <c:pt idx="47">
                  <c:v>42339</c:v>
                </c:pt>
                <c:pt idx="48">
                  <c:v>42370</c:v>
                </c:pt>
                <c:pt idx="49">
                  <c:v>42401</c:v>
                </c:pt>
                <c:pt idx="50">
                  <c:v>42430</c:v>
                </c:pt>
                <c:pt idx="51">
                  <c:v>42461</c:v>
                </c:pt>
                <c:pt idx="52">
                  <c:v>42491</c:v>
                </c:pt>
                <c:pt idx="53">
                  <c:v>42522</c:v>
                </c:pt>
                <c:pt idx="54">
                  <c:v>42552</c:v>
                </c:pt>
                <c:pt idx="55">
                  <c:v>42583</c:v>
                </c:pt>
                <c:pt idx="56">
                  <c:v>42614</c:v>
                </c:pt>
                <c:pt idx="57">
                  <c:v>42644</c:v>
                </c:pt>
                <c:pt idx="58">
                  <c:v>42675</c:v>
                </c:pt>
                <c:pt idx="59">
                  <c:v>42705</c:v>
                </c:pt>
                <c:pt idx="60">
                  <c:v>42736</c:v>
                </c:pt>
                <c:pt idx="61">
                  <c:v>42767</c:v>
                </c:pt>
                <c:pt idx="62">
                  <c:v>42795</c:v>
                </c:pt>
                <c:pt idx="63">
                  <c:v>42826</c:v>
                </c:pt>
                <c:pt idx="64">
                  <c:v>42856</c:v>
                </c:pt>
                <c:pt idx="65">
                  <c:v>42887</c:v>
                </c:pt>
                <c:pt idx="66">
                  <c:v>42917</c:v>
                </c:pt>
                <c:pt idx="67">
                  <c:v>42948</c:v>
                </c:pt>
                <c:pt idx="68">
                  <c:v>42979</c:v>
                </c:pt>
                <c:pt idx="69">
                  <c:v>43009</c:v>
                </c:pt>
                <c:pt idx="70">
                  <c:v>43040</c:v>
                </c:pt>
                <c:pt idx="71">
                  <c:v>43070</c:v>
                </c:pt>
                <c:pt idx="72">
                  <c:v>43101</c:v>
                </c:pt>
                <c:pt idx="73">
                  <c:v>43132</c:v>
                </c:pt>
                <c:pt idx="74">
                  <c:v>43160</c:v>
                </c:pt>
                <c:pt idx="75">
                  <c:v>43191</c:v>
                </c:pt>
                <c:pt idx="76">
                  <c:v>43221</c:v>
                </c:pt>
                <c:pt idx="77">
                  <c:v>43252</c:v>
                </c:pt>
                <c:pt idx="78">
                  <c:v>43282</c:v>
                </c:pt>
                <c:pt idx="79">
                  <c:v>43313</c:v>
                </c:pt>
                <c:pt idx="80">
                  <c:v>43344</c:v>
                </c:pt>
                <c:pt idx="81">
                  <c:v>43374</c:v>
                </c:pt>
                <c:pt idx="82">
                  <c:v>43405</c:v>
                </c:pt>
                <c:pt idx="83">
                  <c:v>43435</c:v>
                </c:pt>
              </c:numCache>
            </c:numRef>
          </c:cat>
          <c:val>
            <c:numRef>
              <c:f>'Misc. Data &amp; Mechanisms'!$I$390:$I$473</c:f>
              <c:numCache>
                <c:formatCode>"$"#,##0.00</c:formatCode>
                <c:ptCount val="84"/>
                <c:pt idx="0">
                  <c:v>5.9179368950651003</c:v>
                </c:pt>
                <c:pt idx="1">
                  <c:v>5.2345448789215592</c:v>
                </c:pt>
                <c:pt idx="2">
                  <c:v>5.2562574640159045</c:v>
                </c:pt>
                <c:pt idx="3">
                  <c:v>4.876392143268844</c:v>
                </c:pt>
                <c:pt idx="4">
                  <c:v>4.8098331962757923</c:v>
                </c:pt>
                <c:pt idx="5">
                  <c:v>4.6654512300420885</c:v>
                </c:pt>
                <c:pt idx="6">
                  <c:v>5.2516415672995889</c:v>
                </c:pt>
                <c:pt idx="7">
                  <c:v>5.163345842380922</c:v>
                </c:pt>
                <c:pt idx="8">
                  <c:v>4.8387113920478226</c:v>
                </c:pt>
                <c:pt idx="9">
                  <c:v>5.4571946735288837</c:v>
                </c:pt>
                <c:pt idx="10">
                  <c:v>5.6841969555120739</c:v>
                </c:pt>
                <c:pt idx="11">
                  <c:v>6.4276693774000835</c:v>
                </c:pt>
                <c:pt idx="12">
                  <c:v>6.0682934974144631</c:v>
                </c:pt>
                <c:pt idx="13">
                  <c:v>5.1223296138980805</c:v>
                </c:pt>
                <c:pt idx="14">
                  <c:v>5.5690862523296252</c:v>
                </c:pt>
                <c:pt idx="15">
                  <c:v>5.3017555889438119</c:v>
                </c:pt>
                <c:pt idx="16">
                  <c:v>5.1022525320839618</c:v>
                </c:pt>
                <c:pt idx="17">
                  <c:v>5.0482610916326935</c:v>
                </c:pt>
                <c:pt idx="18">
                  <c:v>5.4773587765538529</c:v>
                </c:pt>
                <c:pt idx="19">
                  <c:v>5.4701927113664954</c:v>
                </c:pt>
                <c:pt idx="20">
                  <c:v>5.2999107629908151</c:v>
                </c:pt>
                <c:pt idx="21">
                  <c:v>5.6443827562760056</c:v>
                </c:pt>
                <c:pt idx="22">
                  <c:v>6.1068563272752918</c:v>
                </c:pt>
                <c:pt idx="23">
                  <c:v>7.0179491161381753</c:v>
                </c:pt>
                <c:pt idx="24">
                  <c:v>7.5667597282124648</c:v>
                </c:pt>
                <c:pt idx="25">
                  <c:v>7.11695285257034</c:v>
                </c:pt>
                <c:pt idx="26">
                  <c:v>7.2410635135580446</c:v>
                </c:pt>
                <c:pt idx="27">
                  <c:v>6.3174600433047141</c:v>
                </c:pt>
                <c:pt idx="28">
                  <c:v>6.2354894551861264</c:v>
                </c:pt>
                <c:pt idx="29">
                  <c:v>6.0081135019962524</c:v>
                </c:pt>
                <c:pt idx="30">
                  <c:v>6.6486865454136641</c:v>
                </c:pt>
                <c:pt idx="31">
                  <c:v>6.491147436179789</c:v>
                </c:pt>
                <c:pt idx="32">
                  <c:v>6.2105984105323193</c:v>
                </c:pt>
                <c:pt idx="33">
                  <c:v>6.5682426013152968</c:v>
                </c:pt>
                <c:pt idx="34">
                  <c:v>7.366168307954629</c:v>
                </c:pt>
                <c:pt idx="35">
                  <c:v>7.8430783903625851</c:v>
                </c:pt>
                <c:pt idx="36">
                  <c:v>8.1346043855425485</c:v>
                </c:pt>
                <c:pt idx="37">
                  <c:v>7.1416903591487895</c:v>
                </c:pt>
                <c:pt idx="38">
                  <c:v>7.1943107362677337</c:v>
                </c:pt>
                <c:pt idx="39">
                  <c:v>6.6172706006306976</c:v>
                </c:pt>
                <c:pt idx="40">
                  <c:v>6.6538855520013636</c:v>
                </c:pt>
                <c:pt idx="41">
                  <c:v>6.6383759591398528</c:v>
                </c:pt>
                <c:pt idx="42">
                  <c:v>6.6655328840386572</c:v>
                </c:pt>
                <c:pt idx="43">
                  <c:v>6.5732433416756928</c:v>
                </c:pt>
                <c:pt idx="44">
                  <c:v>6.2292770098187686</c:v>
                </c:pt>
                <c:pt idx="45">
                  <c:v>6.5958374060213742</c:v>
                </c:pt>
                <c:pt idx="46">
                  <c:v>6.9062272906209614</c:v>
                </c:pt>
                <c:pt idx="47">
                  <c:v>7.8807955086336303</c:v>
                </c:pt>
                <c:pt idx="48">
                  <c:v>7.4971581175781639</c:v>
                </c:pt>
                <c:pt idx="49">
                  <c:v>6.4482390050620921</c:v>
                </c:pt>
                <c:pt idx="50">
                  <c:v>6.5646093694525138</c:v>
                </c:pt>
                <c:pt idx="51">
                  <c:v>5.9359436990312915</c:v>
                </c:pt>
                <c:pt idx="52">
                  <c:v>6.1772331916205054</c:v>
                </c:pt>
                <c:pt idx="53">
                  <c:v>6.0585845646694922</c:v>
                </c:pt>
                <c:pt idx="54">
                  <c:v>6.2262162983138536</c:v>
                </c:pt>
                <c:pt idx="55">
                  <c:v>6.1959280401669696</c:v>
                </c:pt>
                <c:pt idx="56">
                  <c:v>5.853199760624503</c:v>
                </c:pt>
                <c:pt idx="57">
                  <c:v>6.5269600730831918</c:v>
                </c:pt>
                <c:pt idx="58">
                  <c:v>6.4535655105454959</c:v>
                </c:pt>
                <c:pt idx="59">
                  <c:v>7.9433889555746173</c:v>
                </c:pt>
                <c:pt idx="60">
                  <c:v>7.8201062638955623</c:v>
                </c:pt>
                <c:pt idx="61">
                  <c:v>6.7386611558103606</c:v>
                </c:pt>
                <c:pt idx="62">
                  <c:v>7.1066852213373668</c:v>
                </c:pt>
                <c:pt idx="63">
                  <c:v>6.6848872653060196</c:v>
                </c:pt>
                <c:pt idx="64">
                  <c:v>6.5442043696158239</c:v>
                </c:pt>
                <c:pt idx="65">
                  <c:v>6.404848629496505</c:v>
                </c:pt>
                <c:pt idx="66">
                  <c:v>7.1845864981546805</c:v>
                </c:pt>
                <c:pt idx="67">
                  <c:v>6.9273237098736633</c:v>
                </c:pt>
                <c:pt idx="68">
                  <c:v>6.6553527897990978</c:v>
                </c:pt>
                <c:pt idx="69">
                  <c:v>7.153482759850978</c:v>
                </c:pt>
                <c:pt idx="70">
                  <c:v>7.7656790701154836</c:v>
                </c:pt>
                <c:pt idx="71">
                  <c:v>8.5246844870839134</c:v>
                </c:pt>
                <c:pt idx="72">
                  <c:v>8.4613667207299184</c:v>
                </c:pt>
                <c:pt idx="73">
                  <c:v>7.697316793659577</c:v>
                </c:pt>
                <c:pt idx="74">
                  <c:v>7.6774808447203258</c:v>
                </c:pt>
                <c:pt idx="75">
                  <c:v>7.0400563419296338</c:v>
                </c:pt>
                <c:pt idx="76">
                  <c:v>6.8485937193861597</c:v>
                </c:pt>
                <c:pt idx="77">
                  <c:v>6.7396076104181013</c:v>
                </c:pt>
                <c:pt idx="78">
                  <c:v>7.2626606216248168</c:v>
                </c:pt>
                <c:pt idx="79">
                  <c:v>7.1417959633896562</c:v>
                </c:pt>
                <c:pt idx="80">
                  <c:v>6.8963121819677511</c:v>
                </c:pt>
                <c:pt idx="81">
                  <c:v>7.3085407346675328</c:v>
                </c:pt>
                <c:pt idx="82">
                  <c:v>7.567631761143077</c:v>
                </c:pt>
                <c:pt idx="83">
                  <c:v>8.370893370088929</c:v>
                </c:pt>
              </c:numCache>
            </c:numRef>
          </c:val>
          <c:smooth val="0"/>
        </c:ser>
        <c:ser>
          <c:idx val="8"/>
          <c:order val="8"/>
          <c:tx>
            <c:strRef>
              <c:f>'Misc. Data &amp; Mechanisms'!$J$389</c:f>
              <c:strCache>
                <c:ptCount val="1"/>
                <c:pt idx="0">
                  <c:v>Nobleford</c:v>
                </c:pt>
              </c:strCache>
            </c:strRef>
          </c:tx>
          <c:marker>
            <c:symbol val="none"/>
          </c:marker>
          <c:cat>
            <c:numRef>
              <c:f>'Misc. Data &amp; Mechanisms'!$A$390:$A$473</c:f>
              <c:numCache>
                <c:formatCode>mmm-yy</c:formatCode>
                <c:ptCount val="84"/>
                <c:pt idx="0">
                  <c:v>40909</c:v>
                </c:pt>
                <c:pt idx="1">
                  <c:v>40940</c:v>
                </c:pt>
                <c:pt idx="2">
                  <c:v>40969</c:v>
                </c:pt>
                <c:pt idx="3">
                  <c:v>41000</c:v>
                </c:pt>
                <c:pt idx="4">
                  <c:v>41030</c:v>
                </c:pt>
                <c:pt idx="5">
                  <c:v>41061</c:v>
                </c:pt>
                <c:pt idx="6">
                  <c:v>41091</c:v>
                </c:pt>
                <c:pt idx="7">
                  <c:v>41122</c:v>
                </c:pt>
                <c:pt idx="8">
                  <c:v>41153</c:v>
                </c:pt>
                <c:pt idx="9">
                  <c:v>41183</c:v>
                </c:pt>
                <c:pt idx="10">
                  <c:v>41214</c:v>
                </c:pt>
                <c:pt idx="11">
                  <c:v>41244</c:v>
                </c:pt>
                <c:pt idx="12">
                  <c:v>41275</c:v>
                </c:pt>
                <c:pt idx="13">
                  <c:v>41306</c:v>
                </c:pt>
                <c:pt idx="14">
                  <c:v>41334</c:v>
                </c:pt>
                <c:pt idx="15">
                  <c:v>41365</c:v>
                </c:pt>
                <c:pt idx="16">
                  <c:v>41395</c:v>
                </c:pt>
                <c:pt idx="17">
                  <c:v>41426</c:v>
                </c:pt>
                <c:pt idx="18">
                  <c:v>41456</c:v>
                </c:pt>
                <c:pt idx="19">
                  <c:v>41487</c:v>
                </c:pt>
                <c:pt idx="20">
                  <c:v>41518</c:v>
                </c:pt>
                <c:pt idx="21">
                  <c:v>41548</c:v>
                </c:pt>
                <c:pt idx="22">
                  <c:v>41579</c:v>
                </c:pt>
                <c:pt idx="23">
                  <c:v>41609</c:v>
                </c:pt>
                <c:pt idx="24">
                  <c:v>41640</c:v>
                </c:pt>
                <c:pt idx="25">
                  <c:v>41671</c:v>
                </c:pt>
                <c:pt idx="26">
                  <c:v>41699</c:v>
                </c:pt>
                <c:pt idx="27">
                  <c:v>41730</c:v>
                </c:pt>
                <c:pt idx="28">
                  <c:v>41760</c:v>
                </c:pt>
                <c:pt idx="29">
                  <c:v>41791</c:v>
                </c:pt>
                <c:pt idx="30">
                  <c:v>41821</c:v>
                </c:pt>
                <c:pt idx="31">
                  <c:v>41852</c:v>
                </c:pt>
                <c:pt idx="32">
                  <c:v>41883</c:v>
                </c:pt>
                <c:pt idx="33">
                  <c:v>41913</c:v>
                </c:pt>
                <c:pt idx="34">
                  <c:v>41944</c:v>
                </c:pt>
                <c:pt idx="35">
                  <c:v>41974</c:v>
                </c:pt>
                <c:pt idx="36">
                  <c:v>42005</c:v>
                </c:pt>
                <c:pt idx="37">
                  <c:v>42036</c:v>
                </c:pt>
                <c:pt idx="38">
                  <c:v>42064</c:v>
                </c:pt>
                <c:pt idx="39">
                  <c:v>42095</c:v>
                </c:pt>
                <c:pt idx="40">
                  <c:v>42125</c:v>
                </c:pt>
                <c:pt idx="41">
                  <c:v>42156</c:v>
                </c:pt>
                <c:pt idx="42">
                  <c:v>42186</c:v>
                </c:pt>
                <c:pt idx="43">
                  <c:v>42217</c:v>
                </c:pt>
                <c:pt idx="44">
                  <c:v>42248</c:v>
                </c:pt>
                <c:pt idx="45">
                  <c:v>42278</c:v>
                </c:pt>
                <c:pt idx="46">
                  <c:v>42309</c:v>
                </c:pt>
                <c:pt idx="47">
                  <c:v>42339</c:v>
                </c:pt>
                <c:pt idx="48">
                  <c:v>42370</c:v>
                </c:pt>
                <c:pt idx="49">
                  <c:v>42401</c:v>
                </c:pt>
                <c:pt idx="50">
                  <c:v>42430</c:v>
                </c:pt>
                <c:pt idx="51">
                  <c:v>42461</c:v>
                </c:pt>
                <c:pt idx="52">
                  <c:v>42491</c:v>
                </c:pt>
                <c:pt idx="53">
                  <c:v>42522</c:v>
                </c:pt>
                <c:pt idx="54">
                  <c:v>42552</c:v>
                </c:pt>
                <c:pt idx="55">
                  <c:v>42583</c:v>
                </c:pt>
                <c:pt idx="56">
                  <c:v>42614</c:v>
                </c:pt>
                <c:pt idx="57">
                  <c:v>42644</c:v>
                </c:pt>
                <c:pt idx="58">
                  <c:v>42675</c:v>
                </c:pt>
                <c:pt idx="59">
                  <c:v>42705</c:v>
                </c:pt>
                <c:pt idx="60">
                  <c:v>42736</c:v>
                </c:pt>
                <c:pt idx="61">
                  <c:v>42767</c:v>
                </c:pt>
                <c:pt idx="62">
                  <c:v>42795</c:v>
                </c:pt>
                <c:pt idx="63">
                  <c:v>42826</c:v>
                </c:pt>
                <c:pt idx="64">
                  <c:v>42856</c:v>
                </c:pt>
                <c:pt idx="65">
                  <c:v>42887</c:v>
                </c:pt>
                <c:pt idx="66">
                  <c:v>42917</c:v>
                </c:pt>
                <c:pt idx="67">
                  <c:v>42948</c:v>
                </c:pt>
                <c:pt idx="68">
                  <c:v>42979</c:v>
                </c:pt>
                <c:pt idx="69">
                  <c:v>43009</c:v>
                </c:pt>
                <c:pt idx="70">
                  <c:v>43040</c:v>
                </c:pt>
                <c:pt idx="71">
                  <c:v>43070</c:v>
                </c:pt>
                <c:pt idx="72">
                  <c:v>43101</c:v>
                </c:pt>
                <c:pt idx="73">
                  <c:v>43132</c:v>
                </c:pt>
                <c:pt idx="74">
                  <c:v>43160</c:v>
                </c:pt>
                <c:pt idx="75">
                  <c:v>43191</c:v>
                </c:pt>
                <c:pt idx="76">
                  <c:v>43221</c:v>
                </c:pt>
                <c:pt idx="77">
                  <c:v>43252</c:v>
                </c:pt>
                <c:pt idx="78">
                  <c:v>43282</c:v>
                </c:pt>
                <c:pt idx="79">
                  <c:v>43313</c:v>
                </c:pt>
                <c:pt idx="80">
                  <c:v>43344</c:v>
                </c:pt>
                <c:pt idx="81">
                  <c:v>43374</c:v>
                </c:pt>
                <c:pt idx="82">
                  <c:v>43405</c:v>
                </c:pt>
                <c:pt idx="83">
                  <c:v>43435</c:v>
                </c:pt>
              </c:numCache>
            </c:numRef>
          </c:cat>
          <c:val>
            <c:numRef>
              <c:f>'Misc. Data &amp; Mechanisms'!$J$390:$J$473</c:f>
              <c:numCache>
                <c:formatCode>"$"#,##0.00</c:formatCode>
                <c:ptCount val="84"/>
                <c:pt idx="0">
                  <c:v>-0.32669153900359382</c:v>
                </c:pt>
                <c:pt idx="1">
                  <c:v>-0.2889658258952173</c:v>
                </c:pt>
                <c:pt idx="2">
                  <c:v>-0.29016443919001828</c:v>
                </c:pt>
                <c:pt idx="3">
                  <c:v>-0.2691944984066964</c:v>
                </c:pt>
                <c:pt idx="4">
                  <c:v>-0.26552020359531525</c:v>
                </c:pt>
                <c:pt idx="5">
                  <c:v>-0.25754979640956327</c:v>
                </c:pt>
                <c:pt idx="6">
                  <c:v>0.30946348725512091</c:v>
                </c:pt>
                <c:pt idx="7">
                  <c:v>0.30426048499518188</c:v>
                </c:pt>
                <c:pt idx="8">
                  <c:v>0.28513075045488495</c:v>
                </c:pt>
                <c:pt idx="9">
                  <c:v>0.32157611532668007</c:v>
                </c:pt>
                <c:pt idx="10">
                  <c:v>0.33495267899675374</c:v>
                </c:pt>
                <c:pt idx="11">
                  <c:v>0.37876327905523799</c:v>
                </c:pt>
                <c:pt idx="12">
                  <c:v>0.35758633625925157</c:v>
                </c:pt>
                <c:pt idx="13">
                  <c:v>0.30184352166329942</c:v>
                </c:pt>
                <c:pt idx="14">
                  <c:v>0.32816955048908081</c:v>
                </c:pt>
                <c:pt idx="15">
                  <c:v>0.31241655625262565</c:v>
                </c:pt>
                <c:pt idx="16">
                  <c:v>0.30066043944558091</c:v>
                </c:pt>
                <c:pt idx="17">
                  <c:v>0.29747888578662313</c:v>
                </c:pt>
                <c:pt idx="18">
                  <c:v>0.45644656471282108</c:v>
                </c:pt>
                <c:pt idx="19">
                  <c:v>0.45584939261387458</c:v>
                </c:pt>
                <c:pt idx="20">
                  <c:v>0.44165923024923459</c:v>
                </c:pt>
                <c:pt idx="21">
                  <c:v>0.4703652296896671</c:v>
                </c:pt>
                <c:pt idx="22">
                  <c:v>0.50890469393960769</c:v>
                </c:pt>
                <c:pt idx="23">
                  <c:v>0.58482909301151453</c:v>
                </c:pt>
                <c:pt idx="24">
                  <c:v>0.63056331068437199</c:v>
                </c:pt>
                <c:pt idx="25">
                  <c:v>0.59307940438086171</c:v>
                </c:pt>
                <c:pt idx="26">
                  <c:v>0.60342195946317034</c:v>
                </c:pt>
                <c:pt idx="27">
                  <c:v>0.5264550036087261</c:v>
                </c:pt>
                <c:pt idx="28">
                  <c:v>0.5196241212655105</c:v>
                </c:pt>
                <c:pt idx="29">
                  <c:v>0.5006761251663544</c:v>
                </c:pt>
                <c:pt idx="30">
                  <c:v>0.25809247349285108</c:v>
                </c:pt>
                <c:pt idx="31">
                  <c:v>0.25197703127786519</c:v>
                </c:pt>
                <c:pt idx="32">
                  <c:v>0.24108652057762592</c:v>
                </c:pt>
                <c:pt idx="33">
                  <c:v>0.25496975498776681</c:v>
                </c:pt>
                <c:pt idx="34">
                  <c:v>0.28594408621596029</c:v>
                </c:pt>
                <c:pt idx="35">
                  <c:v>0.30445705144023538</c:v>
                </c:pt>
                <c:pt idx="36">
                  <c:v>0.31577367235017489</c:v>
                </c:pt>
                <c:pt idx="37">
                  <c:v>0.2772301742791935</c:v>
                </c:pt>
                <c:pt idx="38">
                  <c:v>0.27927282182980234</c:v>
                </c:pt>
                <c:pt idx="39">
                  <c:v>0.2568729515856642</c:v>
                </c:pt>
                <c:pt idx="40">
                  <c:v>0.25829429147009514</c:v>
                </c:pt>
                <c:pt idx="41">
                  <c:v>0.25769223132526009</c:v>
                </c:pt>
                <c:pt idx="42">
                  <c:v>0.15391106126554624</c:v>
                </c:pt>
                <c:pt idx="43">
                  <c:v>0.15178004163727177</c:v>
                </c:pt>
                <c:pt idx="44">
                  <c:v>0.14383765742032681</c:v>
                </c:pt>
                <c:pt idx="45">
                  <c:v>0.15230175182642605</c:v>
                </c:pt>
                <c:pt idx="46">
                  <c:v>0.15946883619551064</c:v>
                </c:pt>
                <c:pt idx="47">
                  <c:v>0.18197218758834316</c:v>
                </c:pt>
                <c:pt idx="48">
                  <c:v>0.17311377536148512</c:v>
                </c:pt>
                <c:pt idx="49">
                  <c:v>0.14889361823411582</c:v>
                </c:pt>
                <c:pt idx="50">
                  <c:v>0.15158067815787332</c:v>
                </c:pt>
                <c:pt idx="51">
                  <c:v>0.13706441933820035</c:v>
                </c:pt>
                <c:pt idx="52">
                  <c:v>0.14263593515287135</c:v>
                </c:pt>
                <c:pt idx="53">
                  <c:v>0.1398962688111961</c:v>
                </c:pt>
                <c:pt idx="54">
                  <c:v>0.18560536390637503</c:v>
                </c:pt>
                <c:pt idx="55">
                  <c:v>0.18470246190199638</c:v>
                </c:pt>
                <c:pt idx="56">
                  <c:v>0.17448562972051365</c:v>
                </c:pt>
                <c:pt idx="57">
                  <c:v>0.19457062548486481</c:v>
                </c:pt>
                <c:pt idx="58">
                  <c:v>0.19238271169647819</c:v>
                </c:pt>
                <c:pt idx="59">
                  <c:v>0.23679479271360648</c:v>
                </c:pt>
                <c:pt idx="60">
                  <c:v>0.23311969892371595</c:v>
                </c:pt>
                <c:pt idx="61">
                  <c:v>0.20088149786968557</c:v>
                </c:pt>
                <c:pt idx="62">
                  <c:v>0.21185240497211663</c:v>
                </c:pt>
                <c:pt idx="63">
                  <c:v>0.19927848216359409</c:v>
                </c:pt>
                <c:pt idx="64">
                  <c:v>0.19508468310507876</c:v>
                </c:pt>
                <c:pt idx="65">
                  <c:v>0.19093044694976033</c:v>
                </c:pt>
                <c:pt idx="66">
                  <c:v>0.34122046693082919</c:v>
                </c:pt>
                <c:pt idx="67">
                  <c:v>0.32900218147157245</c:v>
                </c:pt>
                <c:pt idx="68">
                  <c:v>0.3160853567714611</c:v>
                </c:pt>
                <c:pt idx="69">
                  <c:v>0.33974324453118104</c:v>
                </c:pt>
                <c:pt idx="70">
                  <c:v>0.36881853103450846</c:v>
                </c:pt>
                <c:pt idx="71">
                  <c:v>0.40486628170847083</c:v>
                </c:pt>
                <c:pt idx="72">
                  <c:v>0.40185910547002252</c:v>
                </c:pt>
                <c:pt idx="73">
                  <c:v>0.36557177384135198</c:v>
                </c:pt>
                <c:pt idx="74">
                  <c:v>0.3646296971107279</c:v>
                </c:pt>
                <c:pt idx="75">
                  <c:v>0.33435623787528607</c:v>
                </c:pt>
                <c:pt idx="76">
                  <c:v>0.32526302625053005</c:v>
                </c:pt>
                <c:pt idx="77">
                  <c:v>0.3200869049802792</c:v>
                </c:pt>
                <c:pt idx="78">
                  <c:v>0.30182485700258976</c:v>
                </c:pt>
                <c:pt idx="79">
                  <c:v>0.29680191016684287</c:v>
                </c:pt>
                <c:pt idx="80">
                  <c:v>0.28659998678307536</c:v>
                </c:pt>
                <c:pt idx="81">
                  <c:v>0.30373156299917015</c:v>
                </c:pt>
                <c:pt idx="82">
                  <c:v>0.31449898228127071</c:v>
                </c:pt>
                <c:pt idx="83">
                  <c:v>0.34788128291278664</c:v>
                </c:pt>
              </c:numCache>
            </c:numRef>
          </c:val>
          <c:smooth val="0"/>
        </c:ser>
        <c:ser>
          <c:idx val="9"/>
          <c:order val="9"/>
          <c:tx>
            <c:strRef>
              <c:f>'Misc. Data &amp; Mechanisms'!$K$389</c:f>
              <c:strCache>
                <c:ptCount val="1"/>
                <c:pt idx="0">
                  <c:v>Wetaskiwin</c:v>
                </c:pt>
              </c:strCache>
            </c:strRef>
          </c:tx>
          <c:marker>
            <c:symbol val="none"/>
          </c:marker>
          <c:cat>
            <c:numRef>
              <c:f>'Misc. Data &amp; Mechanisms'!$A$390:$A$473</c:f>
              <c:numCache>
                <c:formatCode>mmm-yy</c:formatCode>
                <c:ptCount val="84"/>
                <c:pt idx="0">
                  <c:v>40909</c:v>
                </c:pt>
                <c:pt idx="1">
                  <c:v>40940</c:v>
                </c:pt>
                <c:pt idx="2">
                  <c:v>40969</c:v>
                </c:pt>
                <c:pt idx="3">
                  <c:v>41000</c:v>
                </c:pt>
                <c:pt idx="4">
                  <c:v>41030</c:v>
                </c:pt>
                <c:pt idx="5">
                  <c:v>41061</c:v>
                </c:pt>
                <c:pt idx="6">
                  <c:v>41091</c:v>
                </c:pt>
                <c:pt idx="7">
                  <c:v>41122</c:v>
                </c:pt>
                <c:pt idx="8">
                  <c:v>41153</c:v>
                </c:pt>
                <c:pt idx="9">
                  <c:v>41183</c:v>
                </c:pt>
                <c:pt idx="10">
                  <c:v>41214</c:v>
                </c:pt>
                <c:pt idx="11">
                  <c:v>41244</c:v>
                </c:pt>
                <c:pt idx="12">
                  <c:v>41275</c:v>
                </c:pt>
                <c:pt idx="13">
                  <c:v>41306</c:v>
                </c:pt>
                <c:pt idx="14">
                  <c:v>41334</c:v>
                </c:pt>
                <c:pt idx="15">
                  <c:v>41365</c:v>
                </c:pt>
                <c:pt idx="16">
                  <c:v>41395</c:v>
                </c:pt>
                <c:pt idx="17">
                  <c:v>41426</c:v>
                </c:pt>
                <c:pt idx="18">
                  <c:v>41456</c:v>
                </c:pt>
                <c:pt idx="19">
                  <c:v>41487</c:v>
                </c:pt>
                <c:pt idx="20">
                  <c:v>41518</c:v>
                </c:pt>
                <c:pt idx="21">
                  <c:v>41548</c:v>
                </c:pt>
                <c:pt idx="22">
                  <c:v>41579</c:v>
                </c:pt>
                <c:pt idx="23">
                  <c:v>41609</c:v>
                </c:pt>
                <c:pt idx="24">
                  <c:v>41640</c:v>
                </c:pt>
                <c:pt idx="25">
                  <c:v>41671</c:v>
                </c:pt>
                <c:pt idx="26">
                  <c:v>41699</c:v>
                </c:pt>
                <c:pt idx="27">
                  <c:v>41730</c:v>
                </c:pt>
                <c:pt idx="28">
                  <c:v>41760</c:v>
                </c:pt>
                <c:pt idx="29">
                  <c:v>41791</c:v>
                </c:pt>
                <c:pt idx="30">
                  <c:v>41821</c:v>
                </c:pt>
                <c:pt idx="31">
                  <c:v>41852</c:v>
                </c:pt>
                <c:pt idx="32">
                  <c:v>41883</c:v>
                </c:pt>
                <c:pt idx="33">
                  <c:v>41913</c:v>
                </c:pt>
                <c:pt idx="34">
                  <c:v>41944</c:v>
                </c:pt>
                <c:pt idx="35">
                  <c:v>41974</c:v>
                </c:pt>
                <c:pt idx="36">
                  <c:v>42005</c:v>
                </c:pt>
                <c:pt idx="37">
                  <c:v>42036</c:v>
                </c:pt>
                <c:pt idx="38">
                  <c:v>42064</c:v>
                </c:pt>
                <c:pt idx="39">
                  <c:v>42095</c:v>
                </c:pt>
                <c:pt idx="40">
                  <c:v>42125</c:v>
                </c:pt>
                <c:pt idx="41">
                  <c:v>42156</c:v>
                </c:pt>
                <c:pt idx="42">
                  <c:v>42186</c:v>
                </c:pt>
                <c:pt idx="43">
                  <c:v>42217</c:v>
                </c:pt>
                <c:pt idx="44">
                  <c:v>42248</c:v>
                </c:pt>
                <c:pt idx="45">
                  <c:v>42278</c:v>
                </c:pt>
                <c:pt idx="46">
                  <c:v>42309</c:v>
                </c:pt>
                <c:pt idx="47">
                  <c:v>42339</c:v>
                </c:pt>
                <c:pt idx="48">
                  <c:v>42370</c:v>
                </c:pt>
                <c:pt idx="49">
                  <c:v>42401</c:v>
                </c:pt>
                <c:pt idx="50">
                  <c:v>42430</c:v>
                </c:pt>
                <c:pt idx="51">
                  <c:v>42461</c:v>
                </c:pt>
                <c:pt idx="52">
                  <c:v>42491</c:v>
                </c:pt>
                <c:pt idx="53">
                  <c:v>42522</c:v>
                </c:pt>
                <c:pt idx="54">
                  <c:v>42552</c:v>
                </c:pt>
                <c:pt idx="55">
                  <c:v>42583</c:v>
                </c:pt>
                <c:pt idx="56">
                  <c:v>42614</c:v>
                </c:pt>
                <c:pt idx="57">
                  <c:v>42644</c:v>
                </c:pt>
                <c:pt idx="58">
                  <c:v>42675</c:v>
                </c:pt>
                <c:pt idx="59">
                  <c:v>42705</c:v>
                </c:pt>
                <c:pt idx="60">
                  <c:v>42736</c:v>
                </c:pt>
                <c:pt idx="61">
                  <c:v>42767</c:v>
                </c:pt>
                <c:pt idx="62">
                  <c:v>42795</c:v>
                </c:pt>
                <c:pt idx="63">
                  <c:v>42826</c:v>
                </c:pt>
                <c:pt idx="64">
                  <c:v>42856</c:v>
                </c:pt>
                <c:pt idx="65">
                  <c:v>42887</c:v>
                </c:pt>
                <c:pt idx="66">
                  <c:v>42917</c:v>
                </c:pt>
                <c:pt idx="67">
                  <c:v>42948</c:v>
                </c:pt>
                <c:pt idx="68">
                  <c:v>42979</c:v>
                </c:pt>
                <c:pt idx="69">
                  <c:v>43009</c:v>
                </c:pt>
                <c:pt idx="70">
                  <c:v>43040</c:v>
                </c:pt>
                <c:pt idx="71">
                  <c:v>43070</c:v>
                </c:pt>
                <c:pt idx="72">
                  <c:v>43101</c:v>
                </c:pt>
                <c:pt idx="73">
                  <c:v>43132</c:v>
                </c:pt>
                <c:pt idx="74">
                  <c:v>43160</c:v>
                </c:pt>
                <c:pt idx="75">
                  <c:v>43191</c:v>
                </c:pt>
                <c:pt idx="76">
                  <c:v>43221</c:v>
                </c:pt>
                <c:pt idx="77">
                  <c:v>43252</c:v>
                </c:pt>
                <c:pt idx="78">
                  <c:v>43282</c:v>
                </c:pt>
                <c:pt idx="79">
                  <c:v>43313</c:v>
                </c:pt>
                <c:pt idx="80">
                  <c:v>43344</c:v>
                </c:pt>
                <c:pt idx="81">
                  <c:v>43374</c:v>
                </c:pt>
                <c:pt idx="82">
                  <c:v>43405</c:v>
                </c:pt>
                <c:pt idx="83">
                  <c:v>43435</c:v>
                </c:pt>
              </c:numCache>
            </c:numRef>
          </c:cat>
          <c:val>
            <c:numRef>
              <c:f>'Misc. Data &amp; Mechanisms'!$K$390:$K$473</c:f>
              <c:numCache>
                <c:formatCode>"$"#,##0.00</c:formatCode>
                <c:ptCount val="84"/>
                <c:pt idx="0">
                  <c:v>5.666223742062332</c:v>
                </c:pt>
                <c:pt idx="1">
                  <c:v>5.0118990786416386</c:v>
                </c:pt>
                <c:pt idx="2">
                  <c:v>5.0326881420170384</c:v>
                </c:pt>
                <c:pt idx="3">
                  <c:v>4.6689799887587666</c:v>
                </c:pt>
                <c:pt idx="4">
                  <c:v>4.6052520558007135</c:v>
                </c:pt>
                <c:pt idx="5">
                  <c:v>4.4670112229724248</c:v>
                </c:pt>
                <c:pt idx="6">
                  <c:v>5.2331661352246561</c:v>
                </c:pt>
                <c:pt idx="7">
                  <c:v>5.1451810373065836</c:v>
                </c:pt>
                <c:pt idx="8">
                  <c:v>4.8216886606773821</c:v>
                </c:pt>
                <c:pt idx="9">
                  <c:v>5.4379960994795304</c:v>
                </c:pt>
                <c:pt idx="10">
                  <c:v>5.6641997806465962</c:v>
                </c:pt>
                <c:pt idx="11">
                  <c:v>6.4050566443221593</c:v>
                </c:pt>
                <c:pt idx="12">
                  <c:v>6.0469450594288361</c:v>
                </c:pt>
                <c:pt idx="13">
                  <c:v>5.1043091051420628</c:v>
                </c:pt>
                <c:pt idx="14">
                  <c:v>5.5494940403601278</c:v>
                </c:pt>
                <c:pt idx="15">
                  <c:v>5.283103854242162</c:v>
                </c:pt>
                <c:pt idx="16">
                  <c:v>5.0843026551021362</c:v>
                </c:pt>
                <c:pt idx="17">
                  <c:v>5.0305011581528953</c:v>
                </c:pt>
                <c:pt idx="18">
                  <c:v>5.8313377451066533</c:v>
                </c:pt>
                <c:pt idx="19">
                  <c:v>5.8237085668629689</c:v>
                </c:pt>
                <c:pt idx="20">
                  <c:v>5.6424220027759366</c:v>
                </c:pt>
                <c:pt idx="21">
                  <c:v>6.0091557915455436</c:v>
                </c:pt>
                <c:pt idx="22">
                  <c:v>6.5015171103304983</c:v>
                </c:pt>
                <c:pt idx="23">
                  <c:v>7.4714900454124109</c:v>
                </c:pt>
                <c:pt idx="24">
                  <c:v>8.0557680099676929</c:v>
                </c:pt>
                <c:pt idx="25">
                  <c:v>7.5768919824983563</c:v>
                </c:pt>
                <c:pt idx="26">
                  <c:v>7.7090234004886664</c:v>
                </c:pt>
                <c:pt idx="27">
                  <c:v>6.7257312705931138</c:v>
                </c:pt>
                <c:pt idx="28">
                  <c:v>6.638463263514482</c:v>
                </c:pt>
                <c:pt idx="29">
                  <c:v>6.3963929460028144</c:v>
                </c:pt>
                <c:pt idx="30">
                  <c:v>7.0077717259254566</c:v>
                </c:pt>
                <c:pt idx="31">
                  <c:v>6.8417241753489924</c:v>
                </c:pt>
                <c:pt idx="32">
                  <c:v>6.5460231348142344</c:v>
                </c:pt>
                <c:pt idx="33">
                  <c:v>6.9229831299939297</c:v>
                </c:pt>
                <c:pt idx="34">
                  <c:v>7.7640035583420524</c:v>
                </c:pt>
                <c:pt idx="35">
                  <c:v>8.2666708097576969</c:v>
                </c:pt>
                <c:pt idx="36">
                  <c:v>8.573941668812358</c:v>
                </c:pt>
                <c:pt idx="37">
                  <c:v>7.527401905972015</c:v>
                </c:pt>
                <c:pt idx="38">
                  <c:v>7.582864227509198</c:v>
                </c:pt>
                <c:pt idx="39">
                  <c:v>6.9746590550107523</c:v>
                </c:pt>
                <c:pt idx="40">
                  <c:v>7.0132515227423662</c:v>
                </c:pt>
                <c:pt idx="41">
                  <c:v>6.996904280983693</c:v>
                </c:pt>
                <c:pt idx="42">
                  <c:v>6.7780063518865568</c:v>
                </c:pt>
                <c:pt idx="43">
                  <c:v>6.6841595259490836</c:v>
                </c:pt>
                <c:pt idx="44">
                  <c:v>6.3343891440874698</c:v>
                </c:pt>
                <c:pt idx="45">
                  <c:v>6.7071348400483783</c:v>
                </c:pt>
                <c:pt idx="46">
                  <c:v>7.0227622093792199</c:v>
                </c:pt>
                <c:pt idx="47">
                  <c:v>8.0137751841789591</c:v>
                </c:pt>
                <c:pt idx="48">
                  <c:v>8.9553087638922122</c:v>
                </c:pt>
                <c:pt idx="49">
                  <c:v>7.7023814048032984</c:v>
                </c:pt>
                <c:pt idx="50">
                  <c:v>7.8413850816284469</c:v>
                </c:pt>
                <c:pt idx="51">
                  <c:v>7.0904478465338254</c:v>
                </c:pt>
                <c:pt idx="52">
                  <c:v>7.3786666454081526</c:v>
                </c:pt>
                <c:pt idx="53">
                  <c:v>7.2369415981176441</c:v>
                </c:pt>
                <c:pt idx="54">
                  <c:v>7.4523365810893001</c:v>
                </c:pt>
                <c:pt idx="55">
                  <c:v>7.4160836975801576</c:v>
                </c:pt>
                <c:pt idx="56">
                  <c:v>7.0058624054448657</c:v>
                </c:pt>
                <c:pt idx="57">
                  <c:v>7.8123054171953292</c:v>
                </c:pt>
                <c:pt idx="58">
                  <c:v>7.724457363570715</c:v>
                </c:pt>
                <c:pt idx="59">
                  <c:v>9.5076697074402592</c:v>
                </c:pt>
                <c:pt idx="60">
                  <c:v>9.3601091234522311</c:v>
                </c:pt>
                <c:pt idx="61">
                  <c:v>8.0656965053737384</c:v>
                </c:pt>
                <c:pt idx="62">
                  <c:v>8.5061950481228656</c:v>
                </c:pt>
                <c:pt idx="63">
                  <c:v>8.0013329959624908</c:v>
                </c:pt>
                <c:pt idx="64">
                  <c:v>7.8329456095221017</c:v>
                </c:pt>
                <c:pt idx="65">
                  <c:v>7.6661467335888611</c:v>
                </c:pt>
                <c:pt idx="66">
                  <c:v>8.5747439560210221</c:v>
                </c:pt>
                <c:pt idx="67">
                  <c:v>8.26770296772081</c:v>
                </c:pt>
                <c:pt idx="68">
                  <c:v>7.943107947016161</c:v>
                </c:pt>
                <c:pt idx="69">
                  <c:v>8.5376219042372714</c:v>
                </c:pt>
                <c:pt idx="70">
                  <c:v>9.2682730854412583</c:v>
                </c:pt>
                <c:pt idx="71">
                  <c:v>10.174139708859164</c:v>
                </c:pt>
                <c:pt idx="72">
                  <c:v>10.098570483755935</c:v>
                </c:pt>
                <c:pt idx="73">
                  <c:v>9.1866832796798992</c:v>
                </c:pt>
                <c:pt idx="74">
                  <c:v>9.1630092403566259</c:v>
                </c:pt>
                <c:pt idx="75">
                  <c:v>8.4022484221622804</c:v>
                </c:pt>
                <c:pt idx="76">
                  <c:v>8.1737393818883195</c:v>
                </c:pt>
                <c:pt idx="77">
                  <c:v>8.0436653714488671</c:v>
                </c:pt>
                <c:pt idx="78">
                  <c:v>8.5202641924689413</c:v>
                </c:pt>
                <c:pt idx="79">
                  <c:v>8.3784705890848343</c:v>
                </c:pt>
                <c:pt idx="80">
                  <c:v>8.0904787935638982</c:v>
                </c:pt>
                <c:pt idx="81">
                  <c:v>8.5740889138307406</c:v>
                </c:pt>
                <c:pt idx="82">
                  <c:v>8.8780441873150373</c:v>
                </c:pt>
                <c:pt idx="83">
                  <c:v>9.8203987155588734</c:v>
                </c:pt>
              </c:numCache>
            </c:numRef>
          </c:val>
          <c:smooth val="0"/>
        </c:ser>
        <c:dLbls>
          <c:showLegendKey val="0"/>
          <c:showVal val="0"/>
          <c:showCatName val="0"/>
          <c:showSerName val="0"/>
          <c:showPercent val="0"/>
          <c:showBubbleSize val="0"/>
        </c:dLbls>
        <c:marker val="1"/>
        <c:smooth val="0"/>
        <c:axId val="259842432"/>
        <c:axId val="259843968"/>
      </c:lineChart>
      <c:dateAx>
        <c:axId val="259842432"/>
        <c:scaling>
          <c:orientation val="minMax"/>
        </c:scaling>
        <c:delete val="0"/>
        <c:axPos val="b"/>
        <c:numFmt formatCode="mmm-yy" sourceLinked="1"/>
        <c:majorTickMark val="out"/>
        <c:minorTickMark val="none"/>
        <c:tickLblPos val="nextTo"/>
        <c:crossAx val="259843968"/>
        <c:crosses val="autoZero"/>
        <c:auto val="1"/>
        <c:lblOffset val="100"/>
        <c:baseTimeUnit val="months"/>
      </c:dateAx>
      <c:valAx>
        <c:axId val="259843968"/>
        <c:scaling>
          <c:orientation val="minMax"/>
          <c:min val="-1"/>
        </c:scaling>
        <c:delete val="0"/>
        <c:axPos val="l"/>
        <c:majorGridlines/>
        <c:numFmt formatCode="&quot;$&quot;#,##0" sourceLinked="0"/>
        <c:majorTickMark val="out"/>
        <c:minorTickMark val="none"/>
        <c:tickLblPos val="nextTo"/>
        <c:crossAx val="259842432"/>
        <c:crosses val="autoZero"/>
        <c:crossBetween val="between"/>
        <c:majorUnit val="1"/>
      </c:valAx>
    </c:plotArea>
    <c:legend>
      <c:legendPos val="r"/>
      <c:overlay val="0"/>
    </c:legend>
    <c:plotVisOnly val="1"/>
    <c:dispBlanksAs val="gap"/>
    <c:showDLblsOverMax val="0"/>
  </c:chart>
  <c:spPr>
    <a:ln>
      <a:noFill/>
    </a:ln>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'Misc. Data &amp; Mechanisms'!$M$387</c:f>
          <c:strCache>
            <c:ptCount val="1"/>
            <c:pt idx="0">
              <c:v>Monthly Natural Gas Access Fees , 2012 - 2018 (Detached Home Consumption)</c:v>
            </c:pt>
          </c:strCache>
        </c:strRef>
      </c:tx>
      <c:overlay val="0"/>
    </c:title>
    <c:autoTitleDeleted val="0"/>
    <c:plotArea>
      <c:layout/>
      <c:lineChart>
        <c:grouping val="standard"/>
        <c:varyColors val="0"/>
        <c:ser>
          <c:idx val="0"/>
          <c:order val="0"/>
          <c:tx>
            <c:strRef>
              <c:f>'Misc. Data &amp; Mechanisms'!$N$389</c:f>
              <c:strCache>
                <c:ptCount val="1"/>
                <c:pt idx="0">
                  <c:v>Athabasca</c:v>
                </c:pt>
              </c:strCache>
            </c:strRef>
          </c:tx>
          <c:marker>
            <c:symbol val="none"/>
          </c:marker>
          <c:cat>
            <c:numRef>
              <c:f>'Misc. Data &amp; Mechanisms'!$M$390:$M$473</c:f>
              <c:numCache>
                <c:formatCode>mmm-yy</c:formatCode>
                <c:ptCount val="84"/>
                <c:pt idx="0">
                  <c:v>40909</c:v>
                </c:pt>
                <c:pt idx="1">
                  <c:v>40940</c:v>
                </c:pt>
                <c:pt idx="2">
                  <c:v>40969</c:v>
                </c:pt>
                <c:pt idx="3">
                  <c:v>41000</c:v>
                </c:pt>
                <c:pt idx="4">
                  <c:v>41030</c:v>
                </c:pt>
                <c:pt idx="5">
                  <c:v>41061</c:v>
                </c:pt>
                <c:pt idx="6">
                  <c:v>41091</c:v>
                </c:pt>
                <c:pt idx="7">
                  <c:v>41122</c:v>
                </c:pt>
                <c:pt idx="8">
                  <c:v>41153</c:v>
                </c:pt>
                <c:pt idx="9">
                  <c:v>41183</c:v>
                </c:pt>
                <c:pt idx="10">
                  <c:v>41214</c:v>
                </c:pt>
                <c:pt idx="11">
                  <c:v>41244</c:v>
                </c:pt>
                <c:pt idx="12">
                  <c:v>41275</c:v>
                </c:pt>
                <c:pt idx="13">
                  <c:v>41306</c:v>
                </c:pt>
                <c:pt idx="14">
                  <c:v>41334</c:v>
                </c:pt>
                <c:pt idx="15">
                  <c:v>41365</c:v>
                </c:pt>
                <c:pt idx="16">
                  <c:v>41395</c:v>
                </c:pt>
                <c:pt idx="17">
                  <c:v>41426</c:v>
                </c:pt>
                <c:pt idx="18">
                  <c:v>41456</c:v>
                </c:pt>
                <c:pt idx="19">
                  <c:v>41487</c:v>
                </c:pt>
                <c:pt idx="20">
                  <c:v>41518</c:v>
                </c:pt>
                <c:pt idx="21">
                  <c:v>41548</c:v>
                </c:pt>
                <c:pt idx="22">
                  <c:v>41579</c:v>
                </c:pt>
                <c:pt idx="23">
                  <c:v>41609</c:v>
                </c:pt>
                <c:pt idx="24">
                  <c:v>41640</c:v>
                </c:pt>
                <c:pt idx="25">
                  <c:v>41671</c:v>
                </c:pt>
                <c:pt idx="26">
                  <c:v>41699</c:v>
                </c:pt>
                <c:pt idx="27">
                  <c:v>41730</c:v>
                </c:pt>
                <c:pt idx="28">
                  <c:v>41760</c:v>
                </c:pt>
                <c:pt idx="29">
                  <c:v>41791</c:v>
                </c:pt>
                <c:pt idx="30">
                  <c:v>41821</c:v>
                </c:pt>
                <c:pt idx="31">
                  <c:v>41852</c:v>
                </c:pt>
                <c:pt idx="32">
                  <c:v>41883</c:v>
                </c:pt>
                <c:pt idx="33">
                  <c:v>41913</c:v>
                </c:pt>
                <c:pt idx="34">
                  <c:v>41944</c:v>
                </c:pt>
                <c:pt idx="35">
                  <c:v>41974</c:v>
                </c:pt>
                <c:pt idx="36">
                  <c:v>42005</c:v>
                </c:pt>
                <c:pt idx="37">
                  <c:v>42036</c:v>
                </c:pt>
                <c:pt idx="38">
                  <c:v>42064</c:v>
                </c:pt>
                <c:pt idx="39">
                  <c:v>42095</c:v>
                </c:pt>
                <c:pt idx="40">
                  <c:v>42125</c:v>
                </c:pt>
                <c:pt idx="41">
                  <c:v>42156</c:v>
                </c:pt>
                <c:pt idx="42">
                  <c:v>42186</c:v>
                </c:pt>
                <c:pt idx="43">
                  <c:v>42217</c:v>
                </c:pt>
                <c:pt idx="44">
                  <c:v>42248</c:v>
                </c:pt>
                <c:pt idx="45">
                  <c:v>42278</c:v>
                </c:pt>
                <c:pt idx="46">
                  <c:v>42309</c:v>
                </c:pt>
                <c:pt idx="47">
                  <c:v>42339</c:v>
                </c:pt>
                <c:pt idx="48">
                  <c:v>42370</c:v>
                </c:pt>
                <c:pt idx="49">
                  <c:v>42401</c:v>
                </c:pt>
                <c:pt idx="50">
                  <c:v>42430</c:v>
                </c:pt>
                <c:pt idx="51">
                  <c:v>42461</c:v>
                </c:pt>
                <c:pt idx="52">
                  <c:v>42491</c:v>
                </c:pt>
                <c:pt idx="53">
                  <c:v>42522</c:v>
                </c:pt>
                <c:pt idx="54">
                  <c:v>42552</c:v>
                </c:pt>
                <c:pt idx="55">
                  <c:v>42583</c:v>
                </c:pt>
                <c:pt idx="56">
                  <c:v>42614</c:v>
                </c:pt>
                <c:pt idx="57">
                  <c:v>42644</c:v>
                </c:pt>
                <c:pt idx="58">
                  <c:v>42675</c:v>
                </c:pt>
                <c:pt idx="59">
                  <c:v>42705</c:v>
                </c:pt>
                <c:pt idx="60">
                  <c:v>42736</c:v>
                </c:pt>
                <c:pt idx="61">
                  <c:v>42767</c:v>
                </c:pt>
                <c:pt idx="62">
                  <c:v>42795</c:v>
                </c:pt>
                <c:pt idx="63">
                  <c:v>42826</c:v>
                </c:pt>
                <c:pt idx="64">
                  <c:v>42856</c:v>
                </c:pt>
                <c:pt idx="65">
                  <c:v>42887</c:v>
                </c:pt>
                <c:pt idx="66">
                  <c:v>42917</c:v>
                </c:pt>
                <c:pt idx="67">
                  <c:v>42948</c:v>
                </c:pt>
                <c:pt idx="68">
                  <c:v>42979</c:v>
                </c:pt>
                <c:pt idx="69">
                  <c:v>43009</c:v>
                </c:pt>
                <c:pt idx="70">
                  <c:v>43040</c:v>
                </c:pt>
                <c:pt idx="71">
                  <c:v>43070</c:v>
                </c:pt>
                <c:pt idx="72">
                  <c:v>43101</c:v>
                </c:pt>
                <c:pt idx="73">
                  <c:v>43132</c:v>
                </c:pt>
                <c:pt idx="74">
                  <c:v>43160</c:v>
                </c:pt>
                <c:pt idx="75">
                  <c:v>43191</c:v>
                </c:pt>
                <c:pt idx="76">
                  <c:v>43221</c:v>
                </c:pt>
                <c:pt idx="77">
                  <c:v>43252</c:v>
                </c:pt>
                <c:pt idx="78">
                  <c:v>43282</c:v>
                </c:pt>
                <c:pt idx="79">
                  <c:v>43313</c:v>
                </c:pt>
                <c:pt idx="80">
                  <c:v>43344</c:v>
                </c:pt>
                <c:pt idx="81">
                  <c:v>43374</c:v>
                </c:pt>
                <c:pt idx="82">
                  <c:v>43405</c:v>
                </c:pt>
                <c:pt idx="83">
                  <c:v>43435</c:v>
                </c:pt>
              </c:numCache>
            </c:numRef>
          </c:cat>
          <c:val>
            <c:numRef>
              <c:f>'Misc. Data &amp; Mechanisms'!$N$390:$N$473</c:f>
              <c:numCache>
                <c:formatCode>"$"#,##0.00</c:formatCode>
                <c:ptCount val="84"/>
                <c:pt idx="0">
                  <c:v>10.57681437674788</c:v>
                </c:pt>
                <c:pt idx="1">
                  <c:v>9.4224127241857669</c:v>
                </c:pt>
                <c:pt idx="2">
                  <c:v>9.1536043323114011</c:v>
                </c:pt>
                <c:pt idx="3">
                  <c:v>5.8436829026988262</c:v>
                </c:pt>
                <c:pt idx="4">
                  <c:v>4.9533884179264085</c:v>
                </c:pt>
                <c:pt idx="5">
                  <c:v>4.3803201574313864</c:v>
                </c:pt>
                <c:pt idx="6">
                  <c:v>3.5706308725245317</c:v>
                </c:pt>
                <c:pt idx="7">
                  <c:v>3.6430666918473062</c:v>
                </c:pt>
                <c:pt idx="8">
                  <c:v>3.6356706722565089</c:v>
                </c:pt>
                <c:pt idx="9">
                  <c:v>5.0068450599473193</c:v>
                </c:pt>
                <c:pt idx="10">
                  <c:v>9.7887299654660573</c:v>
                </c:pt>
                <c:pt idx="11">
                  <c:v>12.007075160136079</c:v>
                </c:pt>
                <c:pt idx="12">
                  <c:v>15.999956929640465</c:v>
                </c:pt>
                <c:pt idx="13">
                  <c:v>13.687362511742332</c:v>
                </c:pt>
                <c:pt idx="14">
                  <c:v>11.762743551267205</c:v>
                </c:pt>
                <c:pt idx="15">
                  <c:v>12.553507406036562</c:v>
                </c:pt>
                <c:pt idx="16">
                  <c:v>9.4908622434443046</c:v>
                </c:pt>
                <c:pt idx="17">
                  <c:v>7.0822260078070247</c:v>
                </c:pt>
                <c:pt idx="18">
                  <c:v>6.4862248671374632</c:v>
                </c:pt>
                <c:pt idx="19">
                  <c:v>5.9697722039469525</c:v>
                </c:pt>
                <c:pt idx="20">
                  <c:v>5.6630165462124138</c:v>
                </c:pt>
                <c:pt idx="21">
                  <c:v>7.5947303679687161</c:v>
                </c:pt>
                <c:pt idx="22">
                  <c:v>11.397395388407404</c:v>
                </c:pt>
                <c:pt idx="23">
                  <c:v>14.60254916694363</c:v>
                </c:pt>
                <c:pt idx="24">
                  <c:v>17.626915596828646</c:v>
                </c:pt>
                <c:pt idx="25">
                  <c:v>22.888638197720205</c:v>
                </c:pt>
                <c:pt idx="26">
                  <c:v>23.029731327986767</c:v>
                </c:pt>
                <c:pt idx="27">
                  <c:v>8.5374076497916356</c:v>
                </c:pt>
                <c:pt idx="28">
                  <c:v>5.6659893539821899</c:v>
                </c:pt>
                <c:pt idx="29">
                  <c:v>3.6681405858909386</c:v>
                </c:pt>
                <c:pt idx="30">
                  <c:v>3.751407255890935</c:v>
                </c:pt>
                <c:pt idx="31">
                  <c:v>3.7963894319526634</c:v>
                </c:pt>
                <c:pt idx="32">
                  <c:v>4.7245047907687763</c:v>
                </c:pt>
                <c:pt idx="33">
                  <c:v>5.8308377718844913</c:v>
                </c:pt>
                <c:pt idx="34">
                  <c:v>8.8247516513332691</c:v>
                </c:pt>
                <c:pt idx="35">
                  <c:v>10.57347405448138</c:v>
                </c:pt>
                <c:pt idx="36">
                  <c:v>9.9283877901447752</c:v>
                </c:pt>
                <c:pt idx="37">
                  <c:v>8.5943451851875228</c:v>
                </c:pt>
                <c:pt idx="38">
                  <c:v>7.8960124015999744</c:v>
                </c:pt>
                <c:pt idx="39">
                  <c:v>10.806822804843261</c:v>
                </c:pt>
                <c:pt idx="40">
                  <c:v>6.8897057283765921</c:v>
                </c:pt>
                <c:pt idx="41">
                  <c:v>4.9790616296074202</c:v>
                </c:pt>
                <c:pt idx="42">
                  <c:v>4.9852947918343418</c:v>
                </c:pt>
                <c:pt idx="43">
                  <c:v>4.8491604805364918</c:v>
                </c:pt>
                <c:pt idx="44">
                  <c:v>5.0883155524552919</c:v>
                </c:pt>
                <c:pt idx="45">
                  <c:v>6.6113375136945471</c:v>
                </c:pt>
                <c:pt idx="46">
                  <c:v>7.8193130064403693</c:v>
                </c:pt>
                <c:pt idx="47">
                  <c:v>10.496261652197498</c:v>
                </c:pt>
                <c:pt idx="48">
                  <c:v>12.278182881222266</c:v>
                </c:pt>
                <c:pt idx="49">
                  <c:v>11.125431555570191</c:v>
                </c:pt>
                <c:pt idx="50">
                  <c:v>8.5678291107376587</c:v>
                </c:pt>
                <c:pt idx="51">
                  <c:v>8.5523298282612625</c:v>
                </c:pt>
                <c:pt idx="52">
                  <c:v>6.511570742829516</c:v>
                </c:pt>
                <c:pt idx="53">
                  <c:v>5.8221029679540424</c:v>
                </c:pt>
                <c:pt idx="54">
                  <c:v>5.6560279219321519</c:v>
                </c:pt>
                <c:pt idx="55">
                  <c:v>5.3045415996620378</c:v>
                </c:pt>
                <c:pt idx="56">
                  <c:v>5.5951885619127602</c:v>
                </c:pt>
                <c:pt idx="57">
                  <c:v>7.6227483272326175</c:v>
                </c:pt>
                <c:pt idx="58">
                  <c:v>10.15227825958797</c:v>
                </c:pt>
                <c:pt idx="59">
                  <c:v>12.303965404811045</c:v>
                </c:pt>
                <c:pt idx="60">
                  <c:v>15.992324349957196</c:v>
                </c:pt>
                <c:pt idx="61">
                  <c:v>11.905970860691637</c:v>
                </c:pt>
                <c:pt idx="62">
                  <c:v>13.586669912614564</c:v>
                </c:pt>
                <c:pt idx="63">
                  <c:v>7.6812085762131872</c:v>
                </c:pt>
                <c:pt idx="64">
                  <c:v>5.3304523413692557</c:v>
                </c:pt>
                <c:pt idx="65">
                  <c:v>4.9623315147155109</c:v>
                </c:pt>
                <c:pt idx="66">
                  <c:v>4.1983326095518638</c:v>
                </c:pt>
                <c:pt idx="67">
                  <c:v>4.1698322470355293</c:v>
                </c:pt>
                <c:pt idx="68">
                  <c:v>4.3262851258866482</c:v>
                </c:pt>
                <c:pt idx="69">
                  <c:v>6.2350844474659173</c:v>
                </c:pt>
                <c:pt idx="70">
                  <c:v>8.6456181718292573</c:v>
                </c:pt>
                <c:pt idx="71">
                  <c:v>10.351525343431328</c:v>
                </c:pt>
                <c:pt idx="72">
                  <c:v>9.7665810981833161</c:v>
                </c:pt>
                <c:pt idx="73">
                  <c:v>10.181006641873923</c:v>
                </c:pt>
                <c:pt idx="74">
                  <c:v>9.1437471687233689</c:v>
                </c:pt>
                <c:pt idx="75">
                  <c:v>8.6295417924728515</c:v>
                </c:pt>
                <c:pt idx="76">
                  <c:v>5.0317097886196533</c:v>
                </c:pt>
                <c:pt idx="77">
                  <c:v>5.2666391045337768</c:v>
                </c:pt>
                <c:pt idx="78">
                  <c:v>5.0585051527831766</c:v>
                </c:pt>
                <c:pt idx="79">
                  <c:v>4.844844426865035</c:v>
                </c:pt>
                <c:pt idx="80">
                  <c:v>6.058157093527905</c:v>
                </c:pt>
                <c:pt idx="81">
                  <c:v>7.5417474373844557</c:v>
                </c:pt>
                <c:pt idx="82">
                  <c:v>10.877701215004317</c:v>
                </c:pt>
                <c:pt idx="83">
                  <c:v>11.386082258139526</c:v>
                </c:pt>
              </c:numCache>
            </c:numRef>
          </c:val>
          <c:smooth val="0"/>
        </c:ser>
        <c:ser>
          <c:idx val="1"/>
          <c:order val="1"/>
          <c:tx>
            <c:strRef>
              <c:f>'Misc. Data &amp; Mechanisms'!$O$389</c:f>
              <c:strCache>
                <c:ptCount val="1"/>
                <c:pt idx="0">
                  <c:v>Banff</c:v>
                </c:pt>
              </c:strCache>
            </c:strRef>
          </c:tx>
          <c:marker>
            <c:symbol val="none"/>
          </c:marker>
          <c:cat>
            <c:numRef>
              <c:f>'Misc. Data &amp; Mechanisms'!$M$390:$M$473</c:f>
              <c:numCache>
                <c:formatCode>mmm-yy</c:formatCode>
                <c:ptCount val="84"/>
                <c:pt idx="0">
                  <c:v>40909</c:v>
                </c:pt>
                <c:pt idx="1">
                  <c:v>40940</c:v>
                </c:pt>
                <c:pt idx="2">
                  <c:v>40969</c:v>
                </c:pt>
                <c:pt idx="3">
                  <c:v>41000</c:v>
                </c:pt>
                <c:pt idx="4">
                  <c:v>41030</c:v>
                </c:pt>
                <c:pt idx="5">
                  <c:v>41061</c:v>
                </c:pt>
                <c:pt idx="6">
                  <c:v>41091</c:v>
                </c:pt>
                <c:pt idx="7">
                  <c:v>41122</c:v>
                </c:pt>
                <c:pt idx="8">
                  <c:v>41153</c:v>
                </c:pt>
                <c:pt idx="9">
                  <c:v>41183</c:v>
                </c:pt>
                <c:pt idx="10">
                  <c:v>41214</c:v>
                </c:pt>
                <c:pt idx="11">
                  <c:v>41244</c:v>
                </c:pt>
                <c:pt idx="12">
                  <c:v>41275</c:v>
                </c:pt>
                <c:pt idx="13">
                  <c:v>41306</c:v>
                </c:pt>
                <c:pt idx="14">
                  <c:v>41334</c:v>
                </c:pt>
                <c:pt idx="15">
                  <c:v>41365</c:v>
                </c:pt>
                <c:pt idx="16">
                  <c:v>41395</c:v>
                </c:pt>
                <c:pt idx="17">
                  <c:v>41426</c:v>
                </c:pt>
                <c:pt idx="18">
                  <c:v>41456</c:v>
                </c:pt>
                <c:pt idx="19">
                  <c:v>41487</c:v>
                </c:pt>
                <c:pt idx="20">
                  <c:v>41518</c:v>
                </c:pt>
                <c:pt idx="21">
                  <c:v>41548</c:v>
                </c:pt>
                <c:pt idx="22">
                  <c:v>41579</c:v>
                </c:pt>
                <c:pt idx="23">
                  <c:v>41609</c:v>
                </c:pt>
                <c:pt idx="24">
                  <c:v>41640</c:v>
                </c:pt>
                <c:pt idx="25">
                  <c:v>41671</c:v>
                </c:pt>
                <c:pt idx="26">
                  <c:v>41699</c:v>
                </c:pt>
                <c:pt idx="27">
                  <c:v>41730</c:v>
                </c:pt>
                <c:pt idx="28">
                  <c:v>41760</c:v>
                </c:pt>
                <c:pt idx="29">
                  <c:v>41791</c:v>
                </c:pt>
                <c:pt idx="30">
                  <c:v>41821</c:v>
                </c:pt>
                <c:pt idx="31">
                  <c:v>41852</c:v>
                </c:pt>
                <c:pt idx="32">
                  <c:v>41883</c:v>
                </c:pt>
                <c:pt idx="33">
                  <c:v>41913</c:v>
                </c:pt>
                <c:pt idx="34">
                  <c:v>41944</c:v>
                </c:pt>
                <c:pt idx="35">
                  <c:v>41974</c:v>
                </c:pt>
                <c:pt idx="36">
                  <c:v>42005</c:v>
                </c:pt>
                <c:pt idx="37">
                  <c:v>42036</c:v>
                </c:pt>
                <c:pt idx="38">
                  <c:v>42064</c:v>
                </c:pt>
                <c:pt idx="39">
                  <c:v>42095</c:v>
                </c:pt>
                <c:pt idx="40">
                  <c:v>42125</c:v>
                </c:pt>
                <c:pt idx="41">
                  <c:v>42156</c:v>
                </c:pt>
                <c:pt idx="42">
                  <c:v>42186</c:v>
                </c:pt>
                <c:pt idx="43">
                  <c:v>42217</c:v>
                </c:pt>
                <c:pt idx="44">
                  <c:v>42248</c:v>
                </c:pt>
                <c:pt idx="45">
                  <c:v>42278</c:v>
                </c:pt>
                <c:pt idx="46">
                  <c:v>42309</c:v>
                </c:pt>
                <c:pt idx="47">
                  <c:v>42339</c:v>
                </c:pt>
                <c:pt idx="48">
                  <c:v>42370</c:v>
                </c:pt>
                <c:pt idx="49">
                  <c:v>42401</c:v>
                </c:pt>
                <c:pt idx="50">
                  <c:v>42430</c:v>
                </c:pt>
                <c:pt idx="51">
                  <c:v>42461</c:v>
                </c:pt>
                <c:pt idx="52">
                  <c:v>42491</c:v>
                </c:pt>
                <c:pt idx="53">
                  <c:v>42522</c:v>
                </c:pt>
                <c:pt idx="54">
                  <c:v>42552</c:v>
                </c:pt>
                <c:pt idx="55">
                  <c:v>42583</c:v>
                </c:pt>
                <c:pt idx="56">
                  <c:v>42614</c:v>
                </c:pt>
                <c:pt idx="57">
                  <c:v>42644</c:v>
                </c:pt>
                <c:pt idx="58">
                  <c:v>42675</c:v>
                </c:pt>
                <c:pt idx="59">
                  <c:v>42705</c:v>
                </c:pt>
                <c:pt idx="60">
                  <c:v>42736</c:v>
                </c:pt>
                <c:pt idx="61">
                  <c:v>42767</c:v>
                </c:pt>
                <c:pt idx="62">
                  <c:v>42795</c:v>
                </c:pt>
                <c:pt idx="63">
                  <c:v>42826</c:v>
                </c:pt>
                <c:pt idx="64">
                  <c:v>42856</c:v>
                </c:pt>
                <c:pt idx="65">
                  <c:v>42887</c:v>
                </c:pt>
                <c:pt idx="66">
                  <c:v>42917</c:v>
                </c:pt>
                <c:pt idx="67">
                  <c:v>42948</c:v>
                </c:pt>
                <c:pt idx="68">
                  <c:v>42979</c:v>
                </c:pt>
                <c:pt idx="69">
                  <c:v>43009</c:v>
                </c:pt>
                <c:pt idx="70">
                  <c:v>43040</c:v>
                </c:pt>
                <c:pt idx="71">
                  <c:v>43070</c:v>
                </c:pt>
                <c:pt idx="72">
                  <c:v>43101</c:v>
                </c:pt>
                <c:pt idx="73">
                  <c:v>43132</c:v>
                </c:pt>
                <c:pt idx="74">
                  <c:v>43160</c:v>
                </c:pt>
                <c:pt idx="75">
                  <c:v>43191</c:v>
                </c:pt>
                <c:pt idx="76">
                  <c:v>43221</c:v>
                </c:pt>
                <c:pt idx="77">
                  <c:v>43252</c:v>
                </c:pt>
                <c:pt idx="78">
                  <c:v>43282</c:v>
                </c:pt>
                <c:pt idx="79">
                  <c:v>43313</c:v>
                </c:pt>
                <c:pt idx="80">
                  <c:v>43344</c:v>
                </c:pt>
                <c:pt idx="81">
                  <c:v>43374</c:v>
                </c:pt>
                <c:pt idx="82">
                  <c:v>43405</c:v>
                </c:pt>
                <c:pt idx="83">
                  <c:v>43435</c:v>
                </c:pt>
              </c:numCache>
            </c:numRef>
          </c:cat>
          <c:val>
            <c:numRef>
              <c:f>'Misc. Data &amp; Mechanisms'!$O$390:$O$473</c:f>
              <c:numCache>
                <c:formatCode>"$"#,##0.00</c:formatCode>
                <c:ptCount val="84"/>
                <c:pt idx="0">
                  <c:v>12.052473272287425</c:v>
                </c:pt>
                <c:pt idx="1">
                  <c:v>11.164741161462073</c:v>
                </c:pt>
                <c:pt idx="2">
                  <c:v>10.798484619306553</c:v>
                </c:pt>
                <c:pt idx="3">
                  <c:v>9.8019156999235335</c:v>
                </c:pt>
                <c:pt idx="4">
                  <c:v>7.766799628871631</c:v>
                </c:pt>
                <c:pt idx="5">
                  <c:v>6.6958123463090935</c:v>
                </c:pt>
                <c:pt idx="6">
                  <c:v>6.561725117230111</c:v>
                </c:pt>
                <c:pt idx="7">
                  <c:v>6.8326311577866825</c:v>
                </c:pt>
                <c:pt idx="8">
                  <c:v>6.7085926813645402</c:v>
                </c:pt>
                <c:pt idx="9">
                  <c:v>9.9108641055631672</c:v>
                </c:pt>
                <c:pt idx="10">
                  <c:v>10.914412418443739</c:v>
                </c:pt>
                <c:pt idx="11">
                  <c:v>11.833642042340699</c:v>
                </c:pt>
                <c:pt idx="12">
                  <c:v>13.707481277060138</c:v>
                </c:pt>
                <c:pt idx="13">
                  <c:v>11.281701948898768</c:v>
                </c:pt>
                <c:pt idx="14">
                  <c:v>13.040739223050227</c:v>
                </c:pt>
                <c:pt idx="15">
                  <c:v>11.816612487913511</c:v>
                </c:pt>
                <c:pt idx="16">
                  <c:v>9.4137626204642224</c:v>
                </c:pt>
                <c:pt idx="17">
                  <c:v>8.6181720851410191</c:v>
                </c:pt>
                <c:pt idx="18">
                  <c:v>8.6122173677683485</c:v>
                </c:pt>
                <c:pt idx="19">
                  <c:v>8.465002947958217</c:v>
                </c:pt>
                <c:pt idx="20">
                  <c:v>8.9584904400325467</c:v>
                </c:pt>
                <c:pt idx="21">
                  <c:v>11.533914493432922</c:v>
                </c:pt>
                <c:pt idx="22">
                  <c:v>13.747735822542953</c:v>
                </c:pt>
                <c:pt idx="23">
                  <c:v>16.284277363827229</c:v>
                </c:pt>
                <c:pt idx="24">
                  <c:v>14.372811227698838</c:v>
                </c:pt>
                <c:pt idx="25">
                  <c:v>16.545502279919404</c:v>
                </c:pt>
                <c:pt idx="26">
                  <c:v>15.957066007385773</c:v>
                </c:pt>
                <c:pt idx="27">
                  <c:v>12.719055467117732</c:v>
                </c:pt>
                <c:pt idx="28">
                  <c:v>11.317105335403996</c:v>
                </c:pt>
                <c:pt idx="29">
                  <c:v>9.5919932100271978</c:v>
                </c:pt>
                <c:pt idx="30">
                  <c:v>8.9470287653187519</c:v>
                </c:pt>
                <c:pt idx="31">
                  <c:v>9.2436335646666343</c:v>
                </c:pt>
                <c:pt idx="32">
                  <c:v>10.301104086013988</c:v>
                </c:pt>
                <c:pt idx="33">
                  <c:v>12.424132364525201</c:v>
                </c:pt>
                <c:pt idx="34">
                  <c:v>13.12776022349521</c:v>
                </c:pt>
                <c:pt idx="35">
                  <c:v>13.688215605280432</c:v>
                </c:pt>
                <c:pt idx="36">
                  <c:v>16.53042382198193</c:v>
                </c:pt>
                <c:pt idx="37">
                  <c:v>14.800111990277534</c:v>
                </c:pt>
                <c:pt idx="38">
                  <c:v>13.585441183147962</c:v>
                </c:pt>
                <c:pt idx="39">
                  <c:v>12.223452187156976</c:v>
                </c:pt>
                <c:pt idx="40">
                  <c:v>10.947584909863762</c:v>
                </c:pt>
                <c:pt idx="41">
                  <c:v>9.2443992222495677</c:v>
                </c:pt>
                <c:pt idx="42">
                  <c:v>9.1130083184939075</c:v>
                </c:pt>
                <c:pt idx="43">
                  <c:v>9.3329081546866846</c:v>
                </c:pt>
                <c:pt idx="44">
                  <c:v>10.175021398855895</c:v>
                </c:pt>
                <c:pt idx="45">
                  <c:v>11.480598303505136</c:v>
                </c:pt>
                <c:pt idx="46">
                  <c:v>14.66898407190434</c:v>
                </c:pt>
                <c:pt idx="47">
                  <c:v>17.139329185523184</c:v>
                </c:pt>
                <c:pt idx="48">
                  <c:v>17.1357956061699</c:v>
                </c:pt>
                <c:pt idx="49">
                  <c:v>13.818382617715045</c:v>
                </c:pt>
                <c:pt idx="50">
                  <c:v>14.417270690311744</c:v>
                </c:pt>
                <c:pt idx="51">
                  <c:v>11.369154937876722</c:v>
                </c:pt>
                <c:pt idx="52">
                  <c:v>11.192913324678063</c:v>
                </c:pt>
                <c:pt idx="53">
                  <c:v>9.0341931771730799</c:v>
                </c:pt>
                <c:pt idx="54">
                  <c:v>9.3851920729230702</c:v>
                </c:pt>
                <c:pt idx="55">
                  <c:v>9.5663773372855658</c:v>
                </c:pt>
                <c:pt idx="56">
                  <c:v>11.306260625566949</c:v>
                </c:pt>
                <c:pt idx="57">
                  <c:v>15.743437089632325</c:v>
                </c:pt>
                <c:pt idx="58">
                  <c:v>14.975895462378451</c:v>
                </c:pt>
                <c:pt idx="59">
                  <c:v>21.714870154482277</c:v>
                </c:pt>
                <c:pt idx="60">
                  <c:v>19.870300834958094</c:v>
                </c:pt>
                <c:pt idx="61">
                  <c:v>18.7409640915266</c:v>
                </c:pt>
                <c:pt idx="62">
                  <c:v>18.796987871195125</c:v>
                </c:pt>
                <c:pt idx="63">
                  <c:v>14.36708846525541</c:v>
                </c:pt>
                <c:pt idx="64">
                  <c:v>10.891930449458009</c:v>
                </c:pt>
                <c:pt idx="65">
                  <c:v>9.5001850299077191</c:v>
                </c:pt>
                <c:pt idx="66">
                  <c:v>9.7358075282675092</c:v>
                </c:pt>
                <c:pt idx="67">
                  <c:v>9.422522091868192</c:v>
                </c:pt>
                <c:pt idx="68">
                  <c:v>10.582362196196982</c:v>
                </c:pt>
                <c:pt idx="69">
                  <c:v>13.319357026597432</c:v>
                </c:pt>
                <c:pt idx="70">
                  <c:v>17.362433390909615</c:v>
                </c:pt>
                <c:pt idx="71">
                  <c:v>17.031813043615625</c:v>
                </c:pt>
                <c:pt idx="72">
                  <c:v>18.426599204486926</c:v>
                </c:pt>
                <c:pt idx="73">
                  <c:v>19.206231468291953</c:v>
                </c:pt>
                <c:pt idx="74">
                  <c:v>15.185254347049542</c:v>
                </c:pt>
                <c:pt idx="75">
                  <c:v>12.589306423918023</c:v>
                </c:pt>
                <c:pt idx="76">
                  <c:v>9.3177496227320127</c:v>
                </c:pt>
                <c:pt idx="77">
                  <c:v>8.6275296165669548</c:v>
                </c:pt>
                <c:pt idx="78">
                  <c:v>8.7218998832199031</c:v>
                </c:pt>
                <c:pt idx="79">
                  <c:v>8.8812616960487372</c:v>
                </c:pt>
                <c:pt idx="80">
                  <c:v>10.216709797484068</c:v>
                </c:pt>
                <c:pt idx="81">
                  <c:v>11.67161650830595</c:v>
                </c:pt>
                <c:pt idx="82">
                  <c:v>12.381554227689053</c:v>
                </c:pt>
                <c:pt idx="83">
                  <c:v>13.726312291970293</c:v>
                </c:pt>
              </c:numCache>
            </c:numRef>
          </c:val>
          <c:smooth val="0"/>
        </c:ser>
        <c:ser>
          <c:idx val="2"/>
          <c:order val="2"/>
          <c:tx>
            <c:strRef>
              <c:f>'Misc. Data &amp; Mechanisms'!$P$389</c:f>
              <c:strCache>
                <c:ptCount val="1"/>
                <c:pt idx="0">
                  <c:v>Calgary</c:v>
                </c:pt>
              </c:strCache>
            </c:strRef>
          </c:tx>
          <c:marker>
            <c:symbol val="none"/>
          </c:marker>
          <c:cat>
            <c:numRef>
              <c:f>'Misc. Data &amp; Mechanisms'!$M$390:$M$473</c:f>
              <c:numCache>
                <c:formatCode>mmm-yy</c:formatCode>
                <c:ptCount val="84"/>
                <c:pt idx="0">
                  <c:v>40909</c:v>
                </c:pt>
                <c:pt idx="1">
                  <c:v>40940</c:v>
                </c:pt>
                <c:pt idx="2">
                  <c:v>40969</c:v>
                </c:pt>
                <c:pt idx="3">
                  <c:v>41000</c:v>
                </c:pt>
                <c:pt idx="4">
                  <c:v>41030</c:v>
                </c:pt>
                <c:pt idx="5">
                  <c:v>41061</c:v>
                </c:pt>
                <c:pt idx="6">
                  <c:v>41091</c:v>
                </c:pt>
                <c:pt idx="7">
                  <c:v>41122</c:v>
                </c:pt>
                <c:pt idx="8">
                  <c:v>41153</c:v>
                </c:pt>
                <c:pt idx="9">
                  <c:v>41183</c:v>
                </c:pt>
                <c:pt idx="10">
                  <c:v>41214</c:v>
                </c:pt>
                <c:pt idx="11">
                  <c:v>41244</c:v>
                </c:pt>
                <c:pt idx="12">
                  <c:v>41275</c:v>
                </c:pt>
                <c:pt idx="13">
                  <c:v>41306</c:v>
                </c:pt>
                <c:pt idx="14">
                  <c:v>41334</c:v>
                </c:pt>
                <c:pt idx="15">
                  <c:v>41365</c:v>
                </c:pt>
                <c:pt idx="16">
                  <c:v>41395</c:v>
                </c:pt>
                <c:pt idx="17">
                  <c:v>41426</c:v>
                </c:pt>
                <c:pt idx="18">
                  <c:v>41456</c:v>
                </c:pt>
                <c:pt idx="19">
                  <c:v>41487</c:v>
                </c:pt>
                <c:pt idx="20">
                  <c:v>41518</c:v>
                </c:pt>
                <c:pt idx="21">
                  <c:v>41548</c:v>
                </c:pt>
                <c:pt idx="22">
                  <c:v>41579</c:v>
                </c:pt>
                <c:pt idx="23">
                  <c:v>41609</c:v>
                </c:pt>
                <c:pt idx="24">
                  <c:v>41640</c:v>
                </c:pt>
                <c:pt idx="25">
                  <c:v>41671</c:v>
                </c:pt>
                <c:pt idx="26">
                  <c:v>41699</c:v>
                </c:pt>
                <c:pt idx="27">
                  <c:v>41730</c:v>
                </c:pt>
                <c:pt idx="28">
                  <c:v>41760</c:v>
                </c:pt>
                <c:pt idx="29">
                  <c:v>41791</c:v>
                </c:pt>
                <c:pt idx="30">
                  <c:v>41821</c:v>
                </c:pt>
                <c:pt idx="31">
                  <c:v>41852</c:v>
                </c:pt>
                <c:pt idx="32">
                  <c:v>41883</c:v>
                </c:pt>
                <c:pt idx="33">
                  <c:v>41913</c:v>
                </c:pt>
                <c:pt idx="34">
                  <c:v>41944</c:v>
                </c:pt>
                <c:pt idx="35">
                  <c:v>41974</c:v>
                </c:pt>
                <c:pt idx="36">
                  <c:v>42005</c:v>
                </c:pt>
                <c:pt idx="37">
                  <c:v>42036</c:v>
                </c:pt>
                <c:pt idx="38">
                  <c:v>42064</c:v>
                </c:pt>
                <c:pt idx="39">
                  <c:v>42095</c:v>
                </c:pt>
                <c:pt idx="40">
                  <c:v>42125</c:v>
                </c:pt>
                <c:pt idx="41">
                  <c:v>42156</c:v>
                </c:pt>
                <c:pt idx="42">
                  <c:v>42186</c:v>
                </c:pt>
                <c:pt idx="43">
                  <c:v>42217</c:v>
                </c:pt>
                <c:pt idx="44">
                  <c:v>42248</c:v>
                </c:pt>
                <c:pt idx="45">
                  <c:v>42278</c:v>
                </c:pt>
                <c:pt idx="46">
                  <c:v>42309</c:v>
                </c:pt>
                <c:pt idx="47">
                  <c:v>42339</c:v>
                </c:pt>
                <c:pt idx="48">
                  <c:v>42370</c:v>
                </c:pt>
                <c:pt idx="49">
                  <c:v>42401</c:v>
                </c:pt>
                <c:pt idx="50">
                  <c:v>42430</c:v>
                </c:pt>
                <c:pt idx="51">
                  <c:v>42461</c:v>
                </c:pt>
                <c:pt idx="52">
                  <c:v>42491</c:v>
                </c:pt>
                <c:pt idx="53">
                  <c:v>42522</c:v>
                </c:pt>
                <c:pt idx="54">
                  <c:v>42552</c:v>
                </c:pt>
                <c:pt idx="55">
                  <c:v>42583</c:v>
                </c:pt>
                <c:pt idx="56">
                  <c:v>42614</c:v>
                </c:pt>
                <c:pt idx="57">
                  <c:v>42644</c:v>
                </c:pt>
                <c:pt idx="58">
                  <c:v>42675</c:v>
                </c:pt>
                <c:pt idx="59">
                  <c:v>42705</c:v>
                </c:pt>
                <c:pt idx="60">
                  <c:v>42736</c:v>
                </c:pt>
                <c:pt idx="61">
                  <c:v>42767</c:v>
                </c:pt>
                <c:pt idx="62">
                  <c:v>42795</c:v>
                </c:pt>
                <c:pt idx="63">
                  <c:v>42826</c:v>
                </c:pt>
                <c:pt idx="64">
                  <c:v>42856</c:v>
                </c:pt>
                <c:pt idx="65">
                  <c:v>42887</c:v>
                </c:pt>
                <c:pt idx="66">
                  <c:v>42917</c:v>
                </c:pt>
                <c:pt idx="67">
                  <c:v>42948</c:v>
                </c:pt>
                <c:pt idx="68">
                  <c:v>42979</c:v>
                </c:pt>
                <c:pt idx="69">
                  <c:v>43009</c:v>
                </c:pt>
                <c:pt idx="70">
                  <c:v>43040</c:v>
                </c:pt>
                <c:pt idx="71">
                  <c:v>43070</c:v>
                </c:pt>
                <c:pt idx="72">
                  <c:v>43101</c:v>
                </c:pt>
                <c:pt idx="73">
                  <c:v>43132</c:v>
                </c:pt>
                <c:pt idx="74">
                  <c:v>43160</c:v>
                </c:pt>
                <c:pt idx="75">
                  <c:v>43191</c:v>
                </c:pt>
                <c:pt idx="76">
                  <c:v>43221</c:v>
                </c:pt>
                <c:pt idx="77">
                  <c:v>43252</c:v>
                </c:pt>
                <c:pt idx="78">
                  <c:v>43282</c:v>
                </c:pt>
                <c:pt idx="79">
                  <c:v>43313</c:v>
                </c:pt>
                <c:pt idx="80">
                  <c:v>43344</c:v>
                </c:pt>
                <c:pt idx="81">
                  <c:v>43374</c:v>
                </c:pt>
                <c:pt idx="82">
                  <c:v>43405</c:v>
                </c:pt>
                <c:pt idx="83">
                  <c:v>43435</c:v>
                </c:pt>
              </c:numCache>
            </c:numRef>
          </c:cat>
          <c:val>
            <c:numRef>
              <c:f>'Misc. Data &amp; Mechanisms'!$P$390:$P$473</c:f>
              <c:numCache>
                <c:formatCode>"$"#,##0.00</c:formatCode>
                <c:ptCount val="84"/>
                <c:pt idx="0">
                  <c:v>9.8484244584817446</c:v>
                </c:pt>
                <c:pt idx="1">
                  <c:v>7.5507525598707828</c:v>
                </c:pt>
                <c:pt idx="2">
                  <c:v>6.7622197894507039</c:v>
                </c:pt>
                <c:pt idx="3">
                  <c:v>5.3286955547419659</c:v>
                </c:pt>
                <c:pt idx="4">
                  <c:v>3.7799982207830634</c:v>
                </c:pt>
                <c:pt idx="5">
                  <c:v>3.5315989021609382</c:v>
                </c:pt>
                <c:pt idx="6">
                  <c:v>2.9820353048041142</c:v>
                </c:pt>
                <c:pt idx="7">
                  <c:v>3.1833067660221444</c:v>
                </c:pt>
                <c:pt idx="8">
                  <c:v>3.0090154988245761</c:v>
                </c:pt>
                <c:pt idx="9">
                  <c:v>7.0917755749075866</c:v>
                </c:pt>
                <c:pt idx="10">
                  <c:v>10.246914064915114</c:v>
                </c:pt>
                <c:pt idx="11">
                  <c:v>12.247899410493913</c:v>
                </c:pt>
                <c:pt idx="12">
                  <c:v>10.626365902588628</c:v>
                </c:pt>
                <c:pt idx="13">
                  <c:v>8.6693985840711942</c:v>
                </c:pt>
                <c:pt idx="14">
                  <c:v>9.410140430183306</c:v>
                </c:pt>
                <c:pt idx="15">
                  <c:v>8.8046370367529434</c:v>
                </c:pt>
                <c:pt idx="16">
                  <c:v>5.6867900516602088</c:v>
                </c:pt>
                <c:pt idx="17">
                  <c:v>4.7986581469404683</c:v>
                </c:pt>
                <c:pt idx="18">
                  <c:v>4.0358761869557922</c:v>
                </c:pt>
                <c:pt idx="19">
                  <c:v>3.6046879514033088</c:v>
                </c:pt>
                <c:pt idx="20">
                  <c:v>4.4628333484437261</c:v>
                </c:pt>
                <c:pt idx="21">
                  <c:v>6.9153164627392005</c:v>
                </c:pt>
                <c:pt idx="22">
                  <c:v>11.824840064344972</c:v>
                </c:pt>
                <c:pt idx="23">
                  <c:v>14.169186131719329</c:v>
                </c:pt>
                <c:pt idx="24">
                  <c:v>13.168260705700026</c:v>
                </c:pt>
                <c:pt idx="25">
                  <c:v>17.619780472745767</c:v>
                </c:pt>
                <c:pt idx="26">
                  <c:v>26.964639443378456</c:v>
                </c:pt>
                <c:pt idx="27">
                  <c:v>9.6035350483971715</c:v>
                </c:pt>
                <c:pt idx="28">
                  <c:v>7.2417419503545171</c:v>
                </c:pt>
                <c:pt idx="29">
                  <c:v>4.7016350011996577</c:v>
                </c:pt>
                <c:pt idx="30">
                  <c:v>4.646562619172915</c:v>
                </c:pt>
                <c:pt idx="31">
                  <c:v>4.5847842433085013</c:v>
                </c:pt>
                <c:pt idx="32">
                  <c:v>6.0538801349036824</c:v>
                </c:pt>
                <c:pt idx="33">
                  <c:v>8.2280674073729116</c:v>
                </c:pt>
                <c:pt idx="34">
                  <c:v>11.210999072053156</c:v>
                </c:pt>
                <c:pt idx="35">
                  <c:v>12.693458940385259</c:v>
                </c:pt>
                <c:pt idx="36">
                  <c:v>11.577831380345758</c:v>
                </c:pt>
                <c:pt idx="37">
                  <c:v>9.9265569227122246</c:v>
                </c:pt>
                <c:pt idx="38">
                  <c:v>8.8441467700107879</c:v>
                </c:pt>
                <c:pt idx="39">
                  <c:v>7.5113132516517247</c:v>
                </c:pt>
                <c:pt idx="40">
                  <c:v>5.5199459501761057</c:v>
                </c:pt>
                <c:pt idx="41">
                  <c:v>4.7393771233497386</c:v>
                </c:pt>
                <c:pt idx="42">
                  <c:v>3.8772508160347887</c:v>
                </c:pt>
                <c:pt idx="43">
                  <c:v>4.1745678601338909</c:v>
                </c:pt>
                <c:pt idx="44">
                  <c:v>5.7466424052862193</c:v>
                </c:pt>
                <c:pt idx="45">
                  <c:v>6.7094422536815124</c:v>
                </c:pt>
                <c:pt idx="46">
                  <c:v>9.5122899609407661</c:v>
                </c:pt>
                <c:pt idx="47">
                  <c:v>10.878796444195968</c:v>
                </c:pt>
                <c:pt idx="48">
                  <c:v>10.133052544357611</c:v>
                </c:pt>
                <c:pt idx="49">
                  <c:v>9.0813690574811314</c:v>
                </c:pt>
                <c:pt idx="50">
                  <c:v>8.0730137905364732</c:v>
                </c:pt>
                <c:pt idx="51">
                  <c:v>4.7183474773148637</c:v>
                </c:pt>
                <c:pt idx="52">
                  <c:v>4.5324134957639162</c:v>
                </c:pt>
                <c:pt idx="53">
                  <c:v>3.61827212182923</c:v>
                </c:pt>
                <c:pt idx="54">
                  <c:v>3.7820273838016338</c:v>
                </c:pt>
                <c:pt idx="55">
                  <c:v>4.1212291167415618</c:v>
                </c:pt>
                <c:pt idx="56">
                  <c:v>5.5036055473683865</c:v>
                </c:pt>
                <c:pt idx="57">
                  <c:v>9.3811128581037924</c:v>
                </c:pt>
                <c:pt idx="58">
                  <c:v>9.7081041180960401</c:v>
                </c:pt>
                <c:pt idx="59">
                  <c:v>14.315530544313493</c:v>
                </c:pt>
                <c:pt idx="60">
                  <c:v>15.483751954567436</c:v>
                </c:pt>
                <c:pt idx="61">
                  <c:v>12.236507988211015</c:v>
                </c:pt>
                <c:pt idx="62">
                  <c:v>10.280394749376264</c:v>
                </c:pt>
                <c:pt idx="63">
                  <c:v>7.7424529054190714</c:v>
                </c:pt>
                <c:pt idx="64">
                  <c:v>4.9959199838473625</c:v>
                </c:pt>
                <c:pt idx="65">
                  <c:v>3.7996415914031267</c:v>
                </c:pt>
                <c:pt idx="66">
                  <c:v>3.9894885957641173</c:v>
                </c:pt>
                <c:pt idx="67">
                  <c:v>4.0556393514224238</c:v>
                </c:pt>
                <c:pt idx="68">
                  <c:v>4.6175794181517276</c:v>
                </c:pt>
                <c:pt idx="69">
                  <c:v>6.5972570580389798</c:v>
                </c:pt>
                <c:pt idx="70">
                  <c:v>9.8088894537026317</c:v>
                </c:pt>
                <c:pt idx="71">
                  <c:v>10.362669219713181</c:v>
                </c:pt>
                <c:pt idx="72">
                  <c:v>10.676110980678445</c:v>
                </c:pt>
                <c:pt idx="73">
                  <c:v>12.542616173891345</c:v>
                </c:pt>
                <c:pt idx="74">
                  <c:v>8.6416943046141661</c:v>
                </c:pt>
                <c:pt idx="75">
                  <c:v>7.3334970141691596</c:v>
                </c:pt>
                <c:pt idx="76">
                  <c:v>3.7913427187681479</c:v>
                </c:pt>
                <c:pt idx="77">
                  <c:v>3.2616653628121943</c:v>
                </c:pt>
                <c:pt idx="78">
                  <c:v>3.5791039974686183</c:v>
                </c:pt>
                <c:pt idx="79">
                  <c:v>3.5807739381330617</c:v>
                </c:pt>
                <c:pt idx="80">
                  <c:v>4.7821237904832854</c:v>
                </c:pt>
                <c:pt idx="81">
                  <c:v>5.7792426082158155</c:v>
                </c:pt>
                <c:pt idx="82">
                  <c:v>8.003569851022462</c:v>
                </c:pt>
                <c:pt idx="83">
                  <c:v>8.5861232858356242</c:v>
                </c:pt>
              </c:numCache>
            </c:numRef>
          </c:val>
          <c:smooth val="0"/>
        </c:ser>
        <c:ser>
          <c:idx val="3"/>
          <c:order val="3"/>
          <c:tx>
            <c:strRef>
              <c:f>'Misc. Data &amp; Mechanisms'!$Q$389</c:f>
              <c:strCache>
                <c:ptCount val="1"/>
                <c:pt idx="0">
                  <c:v>Edmonton</c:v>
                </c:pt>
              </c:strCache>
            </c:strRef>
          </c:tx>
          <c:marker>
            <c:symbol val="none"/>
          </c:marker>
          <c:cat>
            <c:numRef>
              <c:f>'Misc. Data &amp; Mechanisms'!$M$390:$M$473</c:f>
              <c:numCache>
                <c:formatCode>mmm-yy</c:formatCode>
                <c:ptCount val="84"/>
                <c:pt idx="0">
                  <c:v>40909</c:v>
                </c:pt>
                <c:pt idx="1">
                  <c:v>40940</c:v>
                </c:pt>
                <c:pt idx="2">
                  <c:v>40969</c:v>
                </c:pt>
                <c:pt idx="3">
                  <c:v>41000</c:v>
                </c:pt>
                <c:pt idx="4">
                  <c:v>41030</c:v>
                </c:pt>
                <c:pt idx="5">
                  <c:v>41061</c:v>
                </c:pt>
                <c:pt idx="6">
                  <c:v>41091</c:v>
                </c:pt>
                <c:pt idx="7">
                  <c:v>41122</c:v>
                </c:pt>
                <c:pt idx="8">
                  <c:v>41153</c:v>
                </c:pt>
                <c:pt idx="9">
                  <c:v>41183</c:v>
                </c:pt>
                <c:pt idx="10">
                  <c:v>41214</c:v>
                </c:pt>
                <c:pt idx="11">
                  <c:v>41244</c:v>
                </c:pt>
                <c:pt idx="12">
                  <c:v>41275</c:v>
                </c:pt>
                <c:pt idx="13">
                  <c:v>41306</c:v>
                </c:pt>
                <c:pt idx="14">
                  <c:v>41334</c:v>
                </c:pt>
                <c:pt idx="15">
                  <c:v>41365</c:v>
                </c:pt>
                <c:pt idx="16">
                  <c:v>41395</c:v>
                </c:pt>
                <c:pt idx="17">
                  <c:v>41426</c:v>
                </c:pt>
                <c:pt idx="18">
                  <c:v>41456</c:v>
                </c:pt>
                <c:pt idx="19">
                  <c:v>41487</c:v>
                </c:pt>
                <c:pt idx="20">
                  <c:v>41518</c:v>
                </c:pt>
                <c:pt idx="21">
                  <c:v>41548</c:v>
                </c:pt>
                <c:pt idx="22">
                  <c:v>41579</c:v>
                </c:pt>
                <c:pt idx="23">
                  <c:v>41609</c:v>
                </c:pt>
                <c:pt idx="24">
                  <c:v>41640</c:v>
                </c:pt>
                <c:pt idx="25">
                  <c:v>41671</c:v>
                </c:pt>
                <c:pt idx="26">
                  <c:v>41699</c:v>
                </c:pt>
                <c:pt idx="27">
                  <c:v>41730</c:v>
                </c:pt>
                <c:pt idx="28">
                  <c:v>41760</c:v>
                </c:pt>
                <c:pt idx="29">
                  <c:v>41791</c:v>
                </c:pt>
                <c:pt idx="30">
                  <c:v>41821</c:v>
                </c:pt>
                <c:pt idx="31">
                  <c:v>41852</c:v>
                </c:pt>
                <c:pt idx="32">
                  <c:v>41883</c:v>
                </c:pt>
                <c:pt idx="33">
                  <c:v>41913</c:v>
                </c:pt>
                <c:pt idx="34">
                  <c:v>41944</c:v>
                </c:pt>
                <c:pt idx="35">
                  <c:v>41974</c:v>
                </c:pt>
                <c:pt idx="36">
                  <c:v>42005</c:v>
                </c:pt>
                <c:pt idx="37">
                  <c:v>42036</c:v>
                </c:pt>
                <c:pt idx="38">
                  <c:v>42064</c:v>
                </c:pt>
                <c:pt idx="39">
                  <c:v>42095</c:v>
                </c:pt>
                <c:pt idx="40">
                  <c:v>42125</c:v>
                </c:pt>
                <c:pt idx="41">
                  <c:v>42156</c:v>
                </c:pt>
                <c:pt idx="42">
                  <c:v>42186</c:v>
                </c:pt>
                <c:pt idx="43">
                  <c:v>42217</c:v>
                </c:pt>
                <c:pt idx="44">
                  <c:v>42248</c:v>
                </c:pt>
                <c:pt idx="45">
                  <c:v>42278</c:v>
                </c:pt>
                <c:pt idx="46">
                  <c:v>42309</c:v>
                </c:pt>
                <c:pt idx="47">
                  <c:v>42339</c:v>
                </c:pt>
                <c:pt idx="48">
                  <c:v>42370</c:v>
                </c:pt>
                <c:pt idx="49">
                  <c:v>42401</c:v>
                </c:pt>
                <c:pt idx="50">
                  <c:v>42430</c:v>
                </c:pt>
                <c:pt idx="51">
                  <c:v>42461</c:v>
                </c:pt>
                <c:pt idx="52">
                  <c:v>42491</c:v>
                </c:pt>
                <c:pt idx="53">
                  <c:v>42522</c:v>
                </c:pt>
                <c:pt idx="54">
                  <c:v>42552</c:v>
                </c:pt>
                <c:pt idx="55">
                  <c:v>42583</c:v>
                </c:pt>
                <c:pt idx="56">
                  <c:v>42614</c:v>
                </c:pt>
                <c:pt idx="57">
                  <c:v>42644</c:v>
                </c:pt>
                <c:pt idx="58">
                  <c:v>42675</c:v>
                </c:pt>
                <c:pt idx="59">
                  <c:v>42705</c:v>
                </c:pt>
                <c:pt idx="60">
                  <c:v>42736</c:v>
                </c:pt>
                <c:pt idx="61">
                  <c:v>42767</c:v>
                </c:pt>
                <c:pt idx="62">
                  <c:v>42795</c:v>
                </c:pt>
                <c:pt idx="63">
                  <c:v>42826</c:v>
                </c:pt>
                <c:pt idx="64">
                  <c:v>42856</c:v>
                </c:pt>
                <c:pt idx="65">
                  <c:v>42887</c:v>
                </c:pt>
                <c:pt idx="66">
                  <c:v>42917</c:v>
                </c:pt>
                <c:pt idx="67">
                  <c:v>42948</c:v>
                </c:pt>
                <c:pt idx="68">
                  <c:v>42979</c:v>
                </c:pt>
                <c:pt idx="69">
                  <c:v>43009</c:v>
                </c:pt>
                <c:pt idx="70">
                  <c:v>43040</c:v>
                </c:pt>
                <c:pt idx="71">
                  <c:v>43070</c:v>
                </c:pt>
                <c:pt idx="72">
                  <c:v>43101</c:v>
                </c:pt>
                <c:pt idx="73">
                  <c:v>43132</c:v>
                </c:pt>
                <c:pt idx="74">
                  <c:v>43160</c:v>
                </c:pt>
                <c:pt idx="75">
                  <c:v>43191</c:v>
                </c:pt>
                <c:pt idx="76">
                  <c:v>43221</c:v>
                </c:pt>
                <c:pt idx="77">
                  <c:v>43252</c:v>
                </c:pt>
                <c:pt idx="78">
                  <c:v>43282</c:v>
                </c:pt>
                <c:pt idx="79">
                  <c:v>43313</c:v>
                </c:pt>
                <c:pt idx="80">
                  <c:v>43344</c:v>
                </c:pt>
                <c:pt idx="81">
                  <c:v>43374</c:v>
                </c:pt>
                <c:pt idx="82">
                  <c:v>43405</c:v>
                </c:pt>
                <c:pt idx="83">
                  <c:v>43435</c:v>
                </c:pt>
              </c:numCache>
            </c:numRef>
          </c:cat>
          <c:val>
            <c:numRef>
              <c:f>'Misc. Data &amp; Mechanisms'!$Q$390:$Q$473</c:f>
              <c:numCache>
                <c:formatCode>"$"#,##0.00</c:formatCode>
                <c:ptCount val="84"/>
                <c:pt idx="0">
                  <c:v>18.357624307999124</c:v>
                </c:pt>
                <c:pt idx="1">
                  <c:v>17.08170481468245</c:v>
                </c:pt>
                <c:pt idx="2">
                  <c:v>16.199616632111098</c:v>
                </c:pt>
                <c:pt idx="3">
                  <c:v>14.20977153210039</c:v>
                </c:pt>
                <c:pt idx="4">
                  <c:v>10.257334429335152</c:v>
                </c:pt>
                <c:pt idx="5">
                  <c:v>8.9641604968229238</c:v>
                </c:pt>
                <c:pt idx="6">
                  <c:v>10.068550368632973</c:v>
                </c:pt>
                <c:pt idx="7">
                  <c:v>10.359846614441691</c:v>
                </c:pt>
                <c:pt idx="8">
                  <c:v>10.266050642634621</c:v>
                </c:pt>
                <c:pt idx="9">
                  <c:v>15.647181637733087</c:v>
                </c:pt>
                <c:pt idx="10">
                  <c:v>18.552548837055429</c:v>
                </c:pt>
                <c:pt idx="11">
                  <c:v>20.910008596089344</c:v>
                </c:pt>
                <c:pt idx="12">
                  <c:v>21.204959410398295</c:v>
                </c:pt>
                <c:pt idx="13">
                  <c:v>17.341000402868229</c:v>
                </c:pt>
                <c:pt idx="14">
                  <c:v>19.250186449106835</c:v>
                </c:pt>
                <c:pt idx="15">
                  <c:v>18.544340327923173</c:v>
                </c:pt>
                <c:pt idx="16">
                  <c:v>13.018079432331859</c:v>
                </c:pt>
                <c:pt idx="17">
                  <c:v>11.692958831016622</c:v>
                </c:pt>
                <c:pt idx="18">
                  <c:v>11.920980763045488</c:v>
                </c:pt>
                <c:pt idx="19">
                  <c:v>11.734405679400211</c:v>
                </c:pt>
                <c:pt idx="20">
                  <c:v>12.333521518962975</c:v>
                </c:pt>
                <c:pt idx="21">
                  <c:v>15.599256015832728</c:v>
                </c:pt>
                <c:pt idx="22">
                  <c:v>19.480116423315582</c:v>
                </c:pt>
                <c:pt idx="23">
                  <c:v>23.285872630733945</c:v>
                </c:pt>
                <c:pt idx="24">
                  <c:v>20.517718510347361</c:v>
                </c:pt>
                <c:pt idx="25">
                  <c:v>21.438092542033832</c:v>
                </c:pt>
                <c:pt idx="26">
                  <c:v>19.996074308892005</c:v>
                </c:pt>
                <c:pt idx="27">
                  <c:v>16.055975816394536</c:v>
                </c:pt>
                <c:pt idx="28">
                  <c:v>13.938455568163766</c:v>
                </c:pt>
                <c:pt idx="29">
                  <c:v>11.71519751841041</c:v>
                </c:pt>
                <c:pt idx="30">
                  <c:v>11.567725381096569</c:v>
                </c:pt>
                <c:pt idx="31">
                  <c:v>11.636234014650203</c:v>
                </c:pt>
                <c:pt idx="32">
                  <c:v>12.917453326150079</c:v>
                </c:pt>
                <c:pt idx="33">
                  <c:v>15.612143063287224</c:v>
                </c:pt>
                <c:pt idx="34">
                  <c:v>20.596423601576976</c:v>
                </c:pt>
                <c:pt idx="35">
                  <c:v>20.035786150343217</c:v>
                </c:pt>
                <c:pt idx="36">
                  <c:v>21.85412132838611</c:v>
                </c:pt>
                <c:pt idx="37">
                  <c:v>19.817779293368503</c:v>
                </c:pt>
                <c:pt idx="38">
                  <c:v>18.059284428792708</c:v>
                </c:pt>
                <c:pt idx="39">
                  <c:v>15.509552433503893</c:v>
                </c:pt>
                <c:pt idx="40">
                  <c:v>13.921935098068982</c:v>
                </c:pt>
                <c:pt idx="41">
                  <c:v>12.071922661969754</c:v>
                </c:pt>
                <c:pt idx="42">
                  <c:v>12.091466714310217</c:v>
                </c:pt>
                <c:pt idx="43">
                  <c:v>12.331680163489581</c:v>
                </c:pt>
                <c:pt idx="44">
                  <c:v>13.493265133281591</c:v>
                </c:pt>
                <c:pt idx="45">
                  <c:v>15.349318087293412</c:v>
                </c:pt>
                <c:pt idx="46">
                  <c:v>18.864333450763393</c:v>
                </c:pt>
                <c:pt idx="47">
                  <c:v>22.492921154872466</c:v>
                </c:pt>
                <c:pt idx="48">
                  <c:v>22.6439993729634</c:v>
                </c:pt>
                <c:pt idx="49">
                  <c:v>19.251089806417063</c:v>
                </c:pt>
                <c:pt idx="50">
                  <c:v>19.334437136459147</c:v>
                </c:pt>
                <c:pt idx="51">
                  <c:v>15.144647876669389</c:v>
                </c:pt>
                <c:pt idx="52">
                  <c:v>13.992091432806346</c:v>
                </c:pt>
                <c:pt idx="53">
                  <c:v>12.176035163723146</c:v>
                </c:pt>
                <c:pt idx="54">
                  <c:v>12.455753235144059</c:v>
                </c:pt>
                <c:pt idx="55">
                  <c:v>12.79235454547007</c:v>
                </c:pt>
                <c:pt idx="56">
                  <c:v>14.488754363507432</c:v>
                </c:pt>
                <c:pt idx="57">
                  <c:v>20.443891816348426</c:v>
                </c:pt>
                <c:pt idx="58">
                  <c:v>20.08974834177431</c:v>
                </c:pt>
                <c:pt idx="59">
                  <c:v>27.792713528466123</c:v>
                </c:pt>
                <c:pt idx="60">
                  <c:v>26.044786876029626</c:v>
                </c:pt>
                <c:pt idx="61">
                  <c:v>23.264728038272917</c:v>
                </c:pt>
                <c:pt idx="62">
                  <c:v>25.115018631374625</c:v>
                </c:pt>
                <c:pt idx="63">
                  <c:v>18.92850996389603</c:v>
                </c:pt>
                <c:pt idx="64">
                  <c:v>13.96528674219347</c:v>
                </c:pt>
                <c:pt idx="65">
                  <c:v>12.565675056955703</c:v>
                </c:pt>
                <c:pt idx="66">
                  <c:v>12.974002064252977</c:v>
                </c:pt>
                <c:pt idx="67">
                  <c:v>12.51883087217108</c:v>
                </c:pt>
                <c:pt idx="68">
                  <c:v>13.697849730196767</c:v>
                </c:pt>
                <c:pt idx="69">
                  <c:v>17.652754900866086</c:v>
                </c:pt>
                <c:pt idx="70">
                  <c:v>23.676870896635133</c:v>
                </c:pt>
                <c:pt idx="71">
                  <c:v>22.361879350161935</c:v>
                </c:pt>
                <c:pt idx="72">
                  <c:v>25.191729215945564</c:v>
                </c:pt>
                <c:pt idx="73">
                  <c:v>24.044492346026065</c:v>
                </c:pt>
                <c:pt idx="74">
                  <c:v>19.399273681385537</c:v>
                </c:pt>
                <c:pt idx="75">
                  <c:v>14.798330416565376</c:v>
                </c:pt>
                <c:pt idx="76">
                  <c:v>11.085312073203285</c:v>
                </c:pt>
                <c:pt idx="77">
                  <c:v>10.436218765181387</c:v>
                </c:pt>
                <c:pt idx="78">
                  <c:v>10.582353133015316</c:v>
                </c:pt>
                <c:pt idx="79">
                  <c:v>10.886027774048172</c:v>
                </c:pt>
                <c:pt idx="80">
                  <c:v>12.806052335447594</c:v>
                </c:pt>
                <c:pt idx="81">
                  <c:v>14.406043096404616</c:v>
                </c:pt>
                <c:pt idx="82">
                  <c:v>15.993808539320852</c:v>
                </c:pt>
                <c:pt idx="83">
                  <c:v>18.008722690805541</c:v>
                </c:pt>
              </c:numCache>
            </c:numRef>
          </c:val>
          <c:smooth val="0"/>
        </c:ser>
        <c:ser>
          <c:idx val="4"/>
          <c:order val="4"/>
          <c:tx>
            <c:strRef>
              <c:f>'Misc. Data &amp; Mechanisms'!$R$389</c:f>
              <c:strCache>
                <c:ptCount val="1"/>
                <c:pt idx="0">
                  <c:v>Fort McMurray</c:v>
                </c:pt>
              </c:strCache>
            </c:strRef>
          </c:tx>
          <c:marker>
            <c:symbol val="none"/>
          </c:marker>
          <c:cat>
            <c:numRef>
              <c:f>'Misc. Data &amp; Mechanisms'!$M$390:$M$473</c:f>
              <c:numCache>
                <c:formatCode>mmm-yy</c:formatCode>
                <c:ptCount val="84"/>
                <c:pt idx="0">
                  <c:v>40909</c:v>
                </c:pt>
                <c:pt idx="1">
                  <c:v>40940</c:v>
                </c:pt>
                <c:pt idx="2">
                  <c:v>40969</c:v>
                </c:pt>
                <c:pt idx="3">
                  <c:v>41000</c:v>
                </c:pt>
                <c:pt idx="4">
                  <c:v>41030</c:v>
                </c:pt>
                <c:pt idx="5">
                  <c:v>41061</c:v>
                </c:pt>
                <c:pt idx="6">
                  <c:v>41091</c:v>
                </c:pt>
                <c:pt idx="7">
                  <c:v>41122</c:v>
                </c:pt>
                <c:pt idx="8">
                  <c:v>41153</c:v>
                </c:pt>
                <c:pt idx="9">
                  <c:v>41183</c:v>
                </c:pt>
                <c:pt idx="10">
                  <c:v>41214</c:v>
                </c:pt>
                <c:pt idx="11">
                  <c:v>41244</c:v>
                </c:pt>
                <c:pt idx="12">
                  <c:v>41275</c:v>
                </c:pt>
                <c:pt idx="13">
                  <c:v>41306</c:v>
                </c:pt>
                <c:pt idx="14">
                  <c:v>41334</c:v>
                </c:pt>
                <c:pt idx="15">
                  <c:v>41365</c:v>
                </c:pt>
                <c:pt idx="16">
                  <c:v>41395</c:v>
                </c:pt>
                <c:pt idx="17">
                  <c:v>41426</c:v>
                </c:pt>
                <c:pt idx="18">
                  <c:v>41456</c:v>
                </c:pt>
                <c:pt idx="19">
                  <c:v>41487</c:v>
                </c:pt>
                <c:pt idx="20">
                  <c:v>41518</c:v>
                </c:pt>
                <c:pt idx="21">
                  <c:v>41548</c:v>
                </c:pt>
                <c:pt idx="22">
                  <c:v>41579</c:v>
                </c:pt>
                <c:pt idx="23">
                  <c:v>41609</c:v>
                </c:pt>
                <c:pt idx="24">
                  <c:v>41640</c:v>
                </c:pt>
                <c:pt idx="25">
                  <c:v>41671</c:v>
                </c:pt>
                <c:pt idx="26">
                  <c:v>41699</c:v>
                </c:pt>
                <c:pt idx="27">
                  <c:v>41730</c:v>
                </c:pt>
                <c:pt idx="28">
                  <c:v>41760</c:v>
                </c:pt>
                <c:pt idx="29">
                  <c:v>41791</c:v>
                </c:pt>
                <c:pt idx="30">
                  <c:v>41821</c:v>
                </c:pt>
                <c:pt idx="31">
                  <c:v>41852</c:v>
                </c:pt>
                <c:pt idx="32">
                  <c:v>41883</c:v>
                </c:pt>
                <c:pt idx="33">
                  <c:v>41913</c:v>
                </c:pt>
                <c:pt idx="34">
                  <c:v>41944</c:v>
                </c:pt>
                <c:pt idx="35">
                  <c:v>41974</c:v>
                </c:pt>
                <c:pt idx="36">
                  <c:v>42005</c:v>
                </c:pt>
                <c:pt idx="37">
                  <c:v>42036</c:v>
                </c:pt>
                <c:pt idx="38">
                  <c:v>42064</c:v>
                </c:pt>
                <c:pt idx="39">
                  <c:v>42095</c:v>
                </c:pt>
                <c:pt idx="40">
                  <c:v>42125</c:v>
                </c:pt>
                <c:pt idx="41">
                  <c:v>42156</c:v>
                </c:pt>
                <c:pt idx="42">
                  <c:v>42186</c:v>
                </c:pt>
                <c:pt idx="43">
                  <c:v>42217</c:v>
                </c:pt>
                <c:pt idx="44">
                  <c:v>42248</c:v>
                </c:pt>
                <c:pt idx="45">
                  <c:v>42278</c:v>
                </c:pt>
                <c:pt idx="46">
                  <c:v>42309</c:v>
                </c:pt>
                <c:pt idx="47">
                  <c:v>42339</c:v>
                </c:pt>
                <c:pt idx="48">
                  <c:v>42370</c:v>
                </c:pt>
                <c:pt idx="49">
                  <c:v>42401</c:v>
                </c:pt>
                <c:pt idx="50">
                  <c:v>42430</c:v>
                </c:pt>
                <c:pt idx="51">
                  <c:v>42461</c:v>
                </c:pt>
                <c:pt idx="52">
                  <c:v>42491</c:v>
                </c:pt>
                <c:pt idx="53">
                  <c:v>42522</c:v>
                </c:pt>
                <c:pt idx="54">
                  <c:v>42552</c:v>
                </c:pt>
                <c:pt idx="55">
                  <c:v>42583</c:v>
                </c:pt>
                <c:pt idx="56">
                  <c:v>42614</c:v>
                </c:pt>
                <c:pt idx="57">
                  <c:v>42644</c:v>
                </c:pt>
                <c:pt idx="58">
                  <c:v>42675</c:v>
                </c:pt>
                <c:pt idx="59">
                  <c:v>42705</c:v>
                </c:pt>
                <c:pt idx="60">
                  <c:v>42736</c:v>
                </c:pt>
                <c:pt idx="61">
                  <c:v>42767</c:v>
                </c:pt>
                <c:pt idx="62">
                  <c:v>42795</c:v>
                </c:pt>
                <c:pt idx="63">
                  <c:v>42826</c:v>
                </c:pt>
                <c:pt idx="64">
                  <c:v>42856</c:v>
                </c:pt>
                <c:pt idx="65">
                  <c:v>42887</c:v>
                </c:pt>
                <c:pt idx="66">
                  <c:v>42917</c:v>
                </c:pt>
                <c:pt idx="67">
                  <c:v>42948</c:v>
                </c:pt>
                <c:pt idx="68">
                  <c:v>42979</c:v>
                </c:pt>
                <c:pt idx="69">
                  <c:v>43009</c:v>
                </c:pt>
                <c:pt idx="70">
                  <c:v>43040</c:v>
                </c:pt>
                <c:pt idx="71">
                  <c:v>43070</c:v>
                </c:pt>
                <c:pt idx="72">
                  <c:v>43101</c:v>
                </c:pt>
                <c:pt idx="73">
                  <c:v>43132</c:v>
                </c:pt>
                <c:pt idx="74">
                  <c:v>43160</c:v>
                </c:pt>
                <c:pt idx="75">
                  <c:v>43191</c:v>
                </c:pt>
                <c:pt idx="76">
                  <c:v>43221</c:v>
                </c:pt>
                <c:pt idx="77">
                  <c:v>43252</c:v>
                </c:pt>
                <c:pt idx="78">
                  <c:v>43282</c:v>
                </c:pt>
                <c:pt idx="79">
                  <c:v>43313</c:v>
                </c:pt>
                <c:pt idx="80">
                  <c:v>43344</c:v>
                </c:pt>
                <c:pt idx="81">
                  <c:v>43374</c:v>
                </c:pt>
                <c:pt idx="82">
                  <c:v>43405</c:v>
                </c:pt>
                <c:pt idx="83">
                  <c:v>43435</c:v>
                </c:pt>
              </c:numCache>
            </c:numRef>
          </c:cat>
          <c:val>
            <c:numRef>
              <c:f>'Misc. Data &amp; Mechanisms'!$R$390:$R$473</c:f>
              <c:numCache>
                <c:formatCode>"$"#,##0.00</c:formatCode>
                <c:ptCount val="84"/>
                <c:pt idx="0">
                  <c:v>9.3181499268204178</c:v>
                </c:pt>
                <c:pt idx="1">
                  <c:v>7.7716513371564808</c:v>
                </c:pt>
                <c:pt idx="2">
                  <c:v>6.8483416964181885</c:v>
                </c:pt>
                <c:pt idx="3">
                  <c:v>5.2405106657531295</c:v>
                </c:pt>
                <c:pt idx="4">
                  <c:v>3.4893143695767486</c:v>
                </c:pt>
                <c:pt idx="5">
                  <c:v>3.1142516622019105</c:v>
                </c:pt>
                <c:pt idx="6">
                  <c:v>3.2739746802185534</c:v>
                </c:pt>
                <c:pt idx="7">
                  <c:v>3.4251836471754649</c:v>
                </c:pt>
                <c:pt idx="8">
                  <c:v>3.3449811081865706</c:v>
                </c:pt>
                <c:pt idx="9">
                  <c:v>7.1225505796178812</c:v>
                </c:pt>
                <c:pt idx="10">
                  <c:v>10.933782201981666</c:v>
                </c:pt>
                <c:pt idx="11">
                  <c:v>13.403190706533756</c:v>
                </c:pt>
                <c:pt idx="12">
                  <c:v>10.791506852959593</c:v>
                </c:pt>
                <c:pt idx="13">
                  <c:v>8.7341409273042423</c:v>
                </c:pt>
                <c:pt idx="14">
                  <c:v>9.5462226883025707</c:v>
                </c:pt>
                <c:pt idx="15">
                  <c:v>9.0195807245717834</c:v>
                </c:pt>
                <c:pt idx="16">
                  <c:v>4.927619569361994</c:v>
                </c:pt>
                <c:pt idx="17">
                  <c:v>4.3767250016327797</c:v>
                </c:pt>
                <c:pt idx="18">
                  <c:v>3.7436039678758668</c:v>
                </c:pt>
                <c:pt idx="19">
                  <c:v>3.6496292164181945</c:v>
                </c:pt>
                <c:pt idx="20">
                  <c:v>4.2968000005986866</c:v>
                </c:pt>
                <c:pt idx="21">
                  <c:v>6.4383702541698504</c:v>
                </c:pt>
                <c:pt idx="22">
                  <c:v>11.266578061423202</c:v>
                </c:pt>
                <c:pt idx="23">
                  <c:v>13.589916968581999</c:v>
                </c:pt>
                <c:pt idx="24">
                  <c:v>12.685472793810114</c:v>
                </c:pt>
                <c:pt idx="25">
                  <c:v>15.656834599063286</c:v>
                </c:pt>
                <c:pt idx="26">
                  <c:v>20.929927805029493</c:v>
                </c:pt>
                <c:pt idx="27">
                  <c:v>9.4197324108308234</c:v>
                </c:pt>
                <c:pt idx="28">
                  <c:v>5.5032555467157538</c:v>
                </c:pt>
                <c:pt idx="29">
                  <c:v>4.4205608547691018</c:v>
                </c:pt>
                <c:pt idx="30">
                  <c:v>4.5400025632446663</c:v>
                </c:pt>
                <c:pt idx="31">
                  <c:v>4.098164913394382</c:v>
                </c:pt>
                <c:pt idx="32">
                  <c:v>5.2161809273982804</c:v>
                </c:pt>
                <c:pt idx="33">
                  <c:v>7.4691377223177593</c:v>
                </c:pt>
                <c:pt idx="34">
                  <c:v>11.190191062492669</c:v>
                </c:pt>
                <c:pt idx="35">
                  <c:v>12.540562922611379</c:v>
                </c:pt>
                <c:pt idx="36">
                  <c:v>11.70974701424268</c:v>
                </c:pt>
                <c:pt idx="37">
                  <c:v>9.2859382045454932</c:v>
                </c:pt>
                <c:pt idx="38">
                  <c:v>8.0232414553973737</c:v>
                </c:pt>
                <c:pt idx="39">
                  <c:v>6.5811332296244363</c:v>
                </c:pt>
                <c:pt idx="40">
                  <c:v>4.8804292145317598</c:v>
                </c:pt>
                <c:pt idx="41">
                  <c:v>4.1879422084563691</c:v>
                </c:pt>
                <c:pt idx="42">
                  <c:v>3.6679365822433994</c:v>
                </c:pt>
                <c:pt idx="43">
                  <c:v>4.1438701808195884</c:v>
                </c:pt>
                <c:pt idx="44">
                  <c:v>5.5416240428476868</c:v>
                </c:pt>
                <c:pt idx="45">
                  <c:v>6.0924710881556416</c:v>
                </c:pt>
                <c:pt idx="46">
                  <c:v>8.2920585905225241</c:v>
                </c:pt>
                <c:pt idx="47">
                  <c:v>10.058541669642358</c:v>
                </c:pt>
                <c:pt idx="48">
                  <c:v>9.6418360412893485</c:v>
                </c:pt>
                <c:pt idx="49">
                  <c:v>9.1516021474158151</c:v>
                </c:pt>
                <c:pt idx="50">
                  <c:v>7.8174803397879087</c:v>
                </c:pt>
                <c:pt idx="51">
                  <c:v>4.7067636851477301</c:v>
                </c:pt>
                <c:pt idx="52">
                  <c:v>4.1811569613609132</c:v>
                </c:pt>
                <c:pt idx="53">
                  <c:v>3.638066371087993</c:v>
                </c:pt>
                <c:pt idx="54">
                  <c:v>3.7035664718810262</c:v>
                </c:pt>
                <c:pt idx="55">
                  <c:v>4.0117365415873305</c:v>
                </c:pt>
                <c:pt idx="56">
                  <c:v>4.9845928308071255</c:v>
                </c:pt>
                <c:pt idx="57">
                  <c:v>8.5014749337645039</c:v>
                </c:pt>
                <c:pt idx="58">
                  <c:v>9.1014477280770052</c:v>
                </c:pt>
                <c:pt idx="59">
                  <c:v>12.666025802174209</c:v>
                </c:pt>
                <c:pt idx="60">
                  <c:v>13.691085972894095</c:v>
                </c:pt>
                <c:pt idx="61">
                  <c:v>10.771742606496577</c:v>
                </c:pt>
                <c:pt idx="62">
                  <c:v>10.206304700110302</c:v>
                </c:pt>
                <c:pt idx="63">
                  <c:v>7.5362946661126564</c:v>
                </c:pt>
                <c:pt idx="64">
                  <c:v>4.7486931858112555</c:v>
                </c:pt>
                <c:pt idx="65">
                  <c:v>3.9047568472880094</c:v>
                </c:pt>
                <c:pt idx="66">
                  <c:v>4.1132096004311549</c:v>
                </c:pt>
                <c:pt idx="67">
                  <c:v>4.0856897350808232</c:v>
                </c:pt>
                <c:pt idx="68">
                  <c:v>4.5249535942561607</c:v>
                </c:pt>
                <c:pt idx="69">
                  <c:v>6.5589601249768616</c:v>
                </c:pt>
                <c:pt idx="70">
                  <c:v>9.9443540004843172</c:v>
                </c:pt>
                <c:pt idx="71">
                  <c:v>9.8853039054955971</c:v>
                </c:pt>
                <c:pt idx="72">
                  <c:v>10.819415584476374</c:v>
                </c:pt>
                <c:pt idx="73">
                  <c:v>10.961066361744141</c:v>
                </c:pt>
                <c:pt idx="74">
                  <c:v>7.7593489458751979</c:v>
                </c:pt>
                <c:pt idx="75">
                  <c:v>6.1725041206405722</c:v>
                </c:pt>
                <c:pt idx="76">
                  <c:v>3.341021662075319</c:v>
                </c:pt>
                <c:pt idx="77">
                  <c:v>2.9862973091877469</c:v>
                </c:pt>
                <c:pt idx="78">
                  <c:v>3.2192658982180924</c:v>
                </c:pt>
                <c:pt idx="79">
                  <c:v>3.2969991543886294</c:v>
                </c:pt>
                <c:pt idx="80">
                  <c:v>4.4263816949667127</c:v>
                </c:pt>
                <c:pt idx="81">
                  <c:v>5.1905970444517546</c:v>
                </c:pt>
                <c:pt idx="82">
                  <c:v>7.4747314293361713</c:v>
                </c:pt>
                <c:pt idx="83">
                  <c:v>8.1996398817107607</c:v>
                </c:pt>
              </c:numCache>
            </c:numRef>
          </c:val>
          <c:smooth val="0"/>
        </c:ser>
        <c:ser>
          <c:idx val="5"/>
          <c:order val="5"/>
          <c:tx>
            <c:strRef>
              <c:f>'Misc. Data &amp; Mechanisms'!$S$389</c:f>
              <c:strCache>
                <c:ptCount val="1"/>
                <c:pt idx="0">
                  <c:v>Grande Prairie</c:v>
                </c:pt>
              </c:strCache>
            </c:strRef>
          </c:tx>
          <c:marker>
            <c:symbol val="none"/>
          </c:marker>
          <c:cat>
            <c:numRef>
              <c:f>'Misc. Data &amp; Mechanisms'!$M$390:$M$473</c:f>
              <c:numCache>
                <c:formatCode>mmm-yy</c:formatCode>
                <c:ptCount val="84"/>
                <c:pt idx="0">
                  <c:v>40909</c:v>
                </c:pt>
                <c:pt idx="1">
                  <c:v>40940</c:v>
                </c:pt>
                <c:pt idx="2">
                  <c:v>40969</c:v>
                </c:pt>
                <c:pt idx="3">
                  <c:v>41000</c:v>
                </c:pt>
                <c:pt idx="4">
                  <c:v>41030</c:v>
                </c:pt>
                <c:pt idx="5">
                  <c:v>41061</c:v>
                </c:pt>
                <c:pt idx="6">
                  <c:v>41091</c:v>
                </c:pt>
                <c:pt idx="7">
                  <c:v>41122</c:v>
                </c:pt>
                <c:pt idx="8">
                  <c:v>41153</c:v>
                </c:pt>
                <c:pt idx="9">
                  <c:v>41183</c:v>
                </c:pt>
                <c:pt idx="10">
                  <c:v>41214</c:v>
                </c:pt>
                <c:pt idx="11">
                  <c:v>41244</c:v>
                </c:pt>
                <c:pt idx="12">
                  <c:v>41275</c:v>
                </c:pt>
                <c:pt idx="13">
                  <c:v>41306</c:v>
                </c:pt>
                <c:pt idx="14">
                  <c:v>41334</c:v>
                </c:pt>
                <c:pt idx="15">
                  <c:v>41365</c:v>
                </c:pt>
                <c:pt idx="16">
                  <c:v>41395</c:v>
                </c:pt>
                <c:pt idx="17">
                  <c:v>41426</c:v>
                </c:pt>
                <c:pt idx="18">
                  <c:v>41456</c:v>
                </c:pt>
                <c:pt idx="19">
                  <c:v>41487</c:v>
                </c:pt>
                <c:pt idx="20">
                  <c:v>41518</c:v>
                </c:pt>
                <c:pt idx="21">
                  <c:v>41548</c:v>
                </c:pt>
                <c:pt idx="22">
                  <c:v>41579</c:v>
                </c:pt>
                <c:pt idx="23">
                  <c:v>41609</c:v>
                </c:pt>
                <c:pt idx="24">
                  <c:v>41640</c:v>
                </c:pt>
                <c:pt idx="25">
                  <c:v>41671</c:v>
                </c:pt>
                <c:pt idx="26">
                  <c:v>41699</c:v>
                </c:pt>
                <c:pt idx="27">
                  <c:v>41730</c:v>
                </c:pt>
                <c:pt idx="28">
                  <c:v>41760</c:v>
                </c:pt>
                <c:pt idx="29">
                  <c:v>41791</c:v>
                </c:pt>
                <c:pt idx="30">
                  <c:v>41821</c:v>
                </c:pt>
                <c:pt idx="31">
                  <c:v>41852</c:v>
                </c:pt>
                <c:pt idx="32">
                  <c:v>41883</c:v>
                </c:pt>
                <c:pt idx="33">
                  <c:v>41913</c:v>
                </c:pt>
                <c:pt idx="34">
                  <c:v>41944</c:v>
                </c:pt>
                <c:pt idx="35">
                  <c:v>41974</c:v>
                </c:pt>
                <c:pt idx="36">
                  <c:v>42005</c:v>
                </c:pt>
                <c:pt idx="37">
                  <c:v>42036</c:v>
                </c:pt>
                <c:pt idx="38">
                  <c:v>42064</c:v>
                </c:pt>
                <c:pt idx="39">
                  <c:v>42095</c:v>
                </c:pt>
                <c:pt idx="40">
                  <c:v>42125</c:v>
                </c:pt>
                <c:pt idx="41">
                  <c:v>42156</c:v>
                </c:pt>
                <c:pt idx="42">
                  <c:v>42186</c:v>
                </c:pt>
                <c:pt idx="43">
                  <c:v>42217</c:v>
                </c:pt>
                <c:pt idx="44">
                  <c:v>42248</c:v>
                </c:pt>
                <c:pt idx="45">
                  <c:v>42278</c:v>
                </c:pt>
                <c:pt idx="46">
                  <c:v>42309</c:v>
                </c:pt>
                <c:pt idx="47">
                  <c:v>42339</c:v>
                </c:pt>
                <c:pt idx="48">
                  <c:v>42370</c:v>
                </c:pt>
                <c:pt idx="49">
                  <c:v>42401</c:v>
                </c:pt>
                <c:pt idx="50">
                  <c:v>42430</c:v>
                </c:pt>
                <c:pt idx="51">
                  <c:v>42461</c:v>
                </c:pt>
                <c:pt idx="52">
                  <c:v>42491</c:v>
                </c:pt>
                <c:pt idx="53">
                  <c:v>42522</c:v>
                </c:pt>
                <c:pt idx="54">
                  <c:v>42552</c:v>
                </c:pt>
                <c:pt idx="55">
                  <c:v>42583</c:v>
                </c:pt>
                <c:pt idx="56">
                  <c:v>42614</c:v>
                </c:pt>
                <c:pt idx="57">
                  <c:v>42644</c:v>
                </c:pt>
                <c:pt idx="58">
                  <c:v>42675</c:v>
                </c:pt>
                <c:pt idx="59">
                  <c:v>42705</c:v>
                </c:pt>
                <c:pt idx="60">
                  <c:v>42736</c:v>
                </c:pt>
                <c:pt idx="61">
                  <c:v>42767</c:v>
                </c:pt>
                <c:pt idx="62">
                  <c:v>42795</c:v>
                </c:pt>
                <c:pt idx="63">
                  <c:v>42826</c:v>
                </c:pt>
                <c:pt idx="64">
                  <c:v>42856</c:v>
                </c:pt>
                <c:pt idx="65">
                  <c:v>42887</c:v>
                </c:pt>
                <c:pt idx="66">
                  <c:v>42917</c:v>
                </c:pt>
                <c:pt idx="67">
                  <c:v>42948</c:v>
                </c:pt>
                <c:pt idx="68">
                  <c:v>42979</c:v>
                </c:pt>
                <c:pt idx="69">
                  <c:v>43009</c:v>
                </c:pt>
                <c:pt idx="70">
                  <c:v>43040</c:v>
                </c:pt>
                <c:pt idx="71">
                  <c:v>43070</c:v>
                </c:pt>
                <c:pt idx="72">
                  <c:v>43101</c:v>
                </c:pt>
                <c:pt idx="73">
                  <c:v>43132</c:v>
                </c:pt>
                <c:pt idx="74">
                  <c:v>43160</c:v>
                </c:pt>
                <c:pt idx="75">
                  <c:v>43191</c:v>
                </c:pt>
                <c:pt idx="76">
                  <c:v>43221</c:v>
                </c:pt>
                <c:pt idx="77">
                  <c:v>43252</c:v>
                </c:pt>
                <c:pt idx="78">
                  <c:v>43282</c:v>
                </c:pt>
                <c:pt idx="79">
                  <c:v>43313</c:v>
                </c:pt>
                <c:pt idx="80">
                  <c:v>43344</c:v>
                </c:pt>
                <c:pt idx="81">
                  <c:v>43374</c:v>
                </c:pt>
                <c:pt idx="82">
                  <c:v>43405</c:v>
                </c:pt>
                <c:pt idx="83">
                  <c:v>43435</c:v>
                </c:pt>
              </c:numCache>
            </c:numRef>
          </c:cat>
          <c:val>
            <c:numRef>
              <c:f>'Misc. Data &amp; Mechanisms'!$S$390:$S$473</c:f>
              <c:numCache>
                <c:formatCode>"$"#,##0.00</c:formatCode>
                <c:ptCount val="84"/>
                <c:pt idx="0">
                  <c:v>14.338793040572288</c:v>
                </c:pt>
                <c:pt idx="1">
                  <c:v>13.427864212611338</c:v>
                </c:pt>
                <c:pt idx="2">
                  <c:v>12.73445799422637</c:v>
                </c:pt>
                <c:pt idx="3">
                  <c:v>11.170248209725976</c:v>
                </c:pt>
                <c:pt idx="4">
                  <c:v>8.0632521984613224</c:v>
                </c:pt>
                <c:pt idx="5">
                  <c:v>7.0466930108714969</c:v>
                </c:pt>
                <c:pt idx="6">
                  <c:v>7.914849755021641</c:v>
                </c:pt>
                <c:pt idx="7">
                  <c:v>8.1438366434381209</c:v>
                </c:pt>
                <c:pt idx="8">
                  <c:v>8.0701039811084989</c:v>
                </c:pt>
                <c:pt idx="9">
                  <c:v>12.300190913084297</c:v>
                </c:pt>
                <c:pt idx="10">
                  <c:v>14.584089192765495</c:v>
                </c:pt>
                <c:pt idx="11">
                  <c:v>16.43727948462638</c:v>
                </c:pt>
                <c:pt idx="12">
                  <c:v>16.669139215660692</c:v>
                </c:pt>
                <c:pt idx="13">
                  <c:v>13.690263475948601</c:v>
                </c:pt>
                <c:pt idx="14">
                  <c:v>15.197515617715922</c:v>
                </c:pt>
                <c:pt idx="15">
                  <c:v>14.640268679939346</c:v>
                </c:pt>
                <c:pt idx="16">
                  <c:v>10.27743113078831</c:v>
                </c:pt>
                <c:pt idx="17">
                  <c:v>9.2312832876447004</c:v>
                </c:pt>
                <c:pt idx="18">
                  <c:v>9.4113006024043333</c:v>
                </c:pt>
                <c:pt idx="19">
                  <c:v>9.2640044837370077</c:v>
                </c:pt>
                <c:pt idx="20">
                  <c:v>9.736990672865506</c:v>
                </c:pt>
                <c:pt idx="21">
                  <c:v>12.315202117762679</c:v>
                </c:pt>
                <c:pt idx="22">
                  <c:v>15.379039281564932</c:v>
                </c:pt>
                <c:pt idx="23">
                  <c:v>18.383583655842585</c:v>
                </c:pt>
                <c:pt idx="24">
                  <c:v>16.198198823958446</c:v>
                </c:pt>
                <c:pt idx="25">
                  <c:v>17.104246340814054</c:v>
                </c:pt>
                <c:pt idx="26">
                  <c:v>15.953741227579606</c:v>
                </c:pt>
                <c:pt idx="27">
                  <c:v>12.810158602837689</c:v>
                </c:pt>
                <c:pt idx="28">
                  <c:v>11.120708485650875</c:v>
                </c:pt>
                <c:pt idx="29">
                  <c:v>9.3468961332870091</c:v>
                </c:pt>
                <c:pt idx="30">
                  <c:v>9.2292364226538659</c:v>
                </c:pt>
                <c:pt idx="31">
                  <c:v>9.2838956019850674</c:v>
                </c:pt>
                <c:pt idx="32">
                  <c:v>10.306108314125131</c:v>
                </c:pt>
                <c:pt idx="33">
                  <c:v>12.456049452110561</c:v>
                </c:pt>
                <c:pt idx="34">
                  <c:v>16.432726107996725</c:v>
                </c:pt>
                <c:pt idx="35">
                  <c:v>15.985425068737445</c:v>
                </c:pt>
                <c:pt idx="36">
                  <c:v>17.43617227278245</c:v>
                </c:pt>
                <c:pt idx="37">
                  <c:v>15.62555675054055</c:v>
                </c:pt>
                <c:pt idx="38">
                  <c:v>14.239051184240404</c:v>
                </c:pt>
                <c:pt idx="39">
                  <c:v>12.228685572570377</c:v>
                </c:pt>
                <c:pt idx="40">
                  <c:v>10.976910365785157</c:v>
                </c:pt>
                <c:pt idx="41">
                  <c:v>9.5182467142453824</c:v>
                </c:pt>
                <c:pt idx="42">
                  <c:v>9.5336564478215156</c:v>
                </c:pt>
                <c:pt idx="43">
                  <c:v>9.7230555135206309</c:v>
                </c:pt>
                <c:pt idx="44">
                  <c:v>10.638920585856637</c:v>
                </c:pt>
                <c:pt idx="45">
                  <c:v>12.102346953442881</c:v>
                </c:pt>
                <c:pt idx="46">
                  <c:v>14.873801374640369</c:v>
                </c:pt>
                <c:pt idx="47">
                  <c:v>17.73480321826483</c:v>
                </c:pt>
                <c:pt idx="48">
                  <c:v>17.853922582528835</c:v>
                </c:pt>
                <c:pt idx="49">
                  <c:v>15.192751955334547</c:v>
                </c:pt>
                <c:pt idx="50">
                  <c:v>15.258528767151542</c:v>
                </c:pt>
                <c:pt idx="51">
                  <c:v>11.951992378344491</c:v>
                </c:pt>
                <c:pt idx="52">
                  <c:v>11.04240729291744</c:v>
                </c:pt>
                <c:pt idx="53">
                  <c:v>9.6091953183977257</c:v>
                </c:pt>
                <c:pt idx="54">
                  <c:v>9.82994579638396</c:v>
                </c:pt>
                <c:pt idx="55">
                  <c:v>10.095587911560163</c:v>
                </c:pt>
                <c:pt idx="56">
                  <c:v>11.434368308497758</c:v>
                </c:pt>
                <c:pt idx="57">
                  <c:v>16.134098406415511</c:v>
                </c:pt>
                <c:pt idx="58">
                  <c:v>15.854612204859723</c:v>
                </c:pt>
                <c:pt idx="59">
                  <c:v>21.933709054897587</c:v>
                </c:pt>
                <c:pt idx="60">
                  <c:v>20.554264237299055</c:v>
                </c:pt>
                <c:pt idx="61">
                  <c:v>18.316153289800504</c:v>
                </c:pt>
                <c:pt idx="62">
                  <c:v>19.772873784369526</c:v>
                </c:pt>
                <c:pt idx="63">
                  <c:v>14.902279943951294</c:v>
                </c:pt>
                <c:pt idx="64">
                  <c:v>10.994769948964471</c:v>
                </c:pt>
                <c:pt idx="65">
                  <c:v>9.8928657216363973</c:v>
                </c:pt>
                <c:pt idx="66">
                  <c:v>10.214338641746128</c:v>
                </c:pt>
                <c:pt idx="67">
                  <c:v>9.8559856314054084</c:v>
                </c:pt>
                <c:pt idx="68">
                  <c:v>10.784218710237784</c:v>
                </c:pt>
                <c:pt idx="69">
                  <c:v>13.897887145709488</c:v>
                </c:pt>
                <c:pt idx="70">
                  <c:v>18.640630402046995</c:v>
                </c:pt>
                <c:pt idx="71">
                  <c:v>17.605347002199313</c:v>
                </c:pt>
                <c:pt idx="72">
                  <c:v>19.833267476642224</c:v>
                </c:pt>
                <c:pt idx="73">
                  <c:v>18.552435598465792</c:v>
                </c:pt>
                <c:pt idx="74">
                  <c:v>14.968241809871289</c:v>
                </c:pt>
                <c:pt idx="75">
                  <c:v>11.418210377127044</c:v>
                </c:pt>
                <c:pt idx="76">
                  <c:v>8.5532909311345691</c:v>
                </c:pt>
                <c:pt idx="77">
                  <c:v>8.0524584901260283</c:v>
                </c:pt>
                <c:pt idx="78">
                  <c:v>8.1652139772847967</c:v>
                </c:pt>
                <c:pt idx="79">
                  <c:v>8.3995256083881422</c:v>
                </c:pt>
                <c:pt idx="80">
                  <c:v>9.8809930276294811</c:v>
                </c:pt>
                <c:pt idx="81">
                  <c:v>11.115526288869301</c:v>
                </c:pt>
                <c:pt idx="82">
                  <c:v>12.340626644545615</c:v>
                </c:pt>
                <c:pt idx="83">
                  <c:v>13.895309708504554</c:v>
                </c:pt>
              </c:numCache>
            </c:numRef>
          </c:val>
          <c:smooth val="0"/>
        </c:ser>
        <c:ser>
          <c:idx val="6"/>
          <c:order val="6"/>
          <c:tx>
            <c:strRef>
              <c:f>'Misc. Data &amp; Mechanisms'!$T$389</c:f>
              <c:strCache>
                <c:ptCount val="1"/>
                <c:pt idx="0">
                  <c:v>Hines Creek</c:v>
                </c:pt>
              </c:strCache>
            </c:strRef>
          </c:tx>
          <c:marker>
            <c:symbol val="none"/>
          </c:marker>
          <c:cat>
            <c:numRef>
              <c:f>'Misc. Data &amp; Mechanisms'!$M$390:$M$473</c:f>
              <c:numCache>
                <c:formatCode>mmm-yy</c:formatCode>
                <c:ptCount val="84"/>
                <c:pt idx="0">
                  <c:v>40909</c:v>
                </c:pt>
                <c:pt idx="1">
                  <c:v>40940</c:v>
                </c:pt>
                <c:pt idx="2">
                  <c:v>40969</c:v>
                </c:pt>
                <c:pt idx="3">
                  <c:v>41000</c:v>
                </c:pt>
                <c:pt idx="4">
                  <c:v>41030</c:v>
                </c:pt>
                <c:pt idx="5">
                  <c:v>41061</c:v>
                </c:pt>
                <c:pt idx="6">
                  <c:v>41091</c:v>
                </c:pt>
                <c:pt idx="7">
                  <c:v>41122</c:v>
                </c:pt>
                <c:pt idx="8">
                  <c:v>41153</c:v>
                </c:pt>
                <c:pt idx="9">
                  <c:v>41183</c:v>
                </c:pt>
                <c:pt idx="10">
                  <c:v>41214</c:v>
                </c:pt>
                <c:pt idx="11">
                  <c:v>41244</c:v>
                </c:pt>
                <c:pt idx="12">
                  <c:v>41275</c:v>
                </c:pt>
                <c:pt idx="13">
                  <c:v>41306</c:v>
                </c:pt>
                <c:pt idx="14">
                  <c:v>41334</c:v>
                </c:pt>
                <c:pt idx="15">
                  <c:v>41365</c:v>
                </c:pt>
                <c:pt idx="16">
                  <c:v>41395</c:v>
                </c:pt>
                <c:pt idx="17">
                  <c:v>41426</c:v>
                </c:pt>
                <c:pt idx="18">
                  <c:v>41456</c:v>
                </c:pt>
                <c:pt idx="19">
                  <c:v>41487</c:v>
                </c:pt>
                <c:pt idx="20">
                  <c:v>41518</c:v>
                </c:pt>
                <c:pt idx="21">
                  <c:v>41548</c:v>
                </c:pt>
                <c:pt idx="22">
                  <c:v>41579</c:v>
                </c:pt>
                <c:pt idx="23">
                  <c:v>41609</c:v>
                </c:pt>
                <c:pt idx="24">
                  <c:v>41640</c:v>
                </c:pt>
                <c:pt idx="25">
                  <c:v>41671</c:v>
                </c:pt>
                <c:pt idx="26">
                  <c:v>41699</c:v>
                </c:pt>
                <c:pt idx="27">
                  <c:v>41730</c:v>
                </c:pt>
                <c:pt idx="28">
                  <c:v>41760</c:v>
                </c:pt>
                <c:pt idx="29">
                  <c:v>41791</c:v>
                </c:pt>
                <c:pt idx="30">
                  <c:v>41821</c:v>
                </c:pt>
                <c:pt idx="31">
                  <c:v>41852</c:v>
                </c:pt>
                <c:pt idx="32">
                  <c:v>41883</c:v>
                </c:pt>
                <c:pt idx="33">
                  <c:v>41913</c:v>
                </c:pt>
                <c:pt idx="34">
                  <c:v>41944</c:v>
                </c:pt>
                <c:pt idx="35">
                  <c:v>41974</c:v>
                </c:pt>
                <c:pt idx="36">
                  <c:v>42005</c:v>
                </c:pt>
                <c:pt idx="37">
                  <c:v>42036</c:v>
                </c:pt>
                <c:pt idx="38">
                  <c:v>42064</c:v>
                </c:pt>
                <c:pt idx="39">
                  <c:v>42095</c:v>
                </c:pt>
                <c:pt idx="40">
                  <c:v>42125</c:v>
                </c:pt>
                <c:pt idx="41">
                  <c:v>42156</c:v>
                </c:pt>
                <c:pt idx="42">
                  <c:v>42186</c:v>
                </c:pt>
                <c:pt idx="43">
                  <c:v>42217</c:v>
                </c:pt>
                <c:pt idx="44">
                  <c:v>42248</c:v>
                </c:pt>
                <c:pt idx="45">
                  <c:v>42278</c:v>
                </c:pt>
                <c:pt idx="46">
                  <c:v>42309</c:v>
                </c:pt>
                <c:pt idx="47">
                  <c:v>42339</c:v>
                </c:pt>
                <c:pt idx="48">
                  <c:v>42370</c:v>
                </c:pt>
                <c:pt idx="49">
                  <c:v>42401</c:v>
                </c:pt>
                <c:pt idx="50">
                  <c:v>42430</c:v>
                </c:pt>
                <c:pt idx="51">
                  <c:v>42461</c:v>
                </c:pt>
                <c:pt idx="52">
                  <c:v>42491</c:v>
                </c:pt>
                <c:pt idx="53">
                  <c:v>42522</c:v>
                </c:pt>
                <c:pt idx="54">
                  <c:v>42552</c:v>
                </c:pt>
                <c:pt idx="55">
                  <c:v>42583</c:v>
                </c:pt>
                <c:pt idx="56">
                  <c:v>42614</c:v>
                </c:pt>
                <c:pt idx="57">
                  <c:v>42644</c:v>
                </c:pt>
                <c:pt idx="58">
                  <c:v>42675</c:v>
                </c:pt>
                <c:pt idx="59">
                  <c:v>42705</c:v>
                </c:pt>
                <c:pt idx="60">
                  <c:v>42736</c:v>
                </c:pt>
                <c:pt idx="61">
                  <c:v>42767</c:v>
                </c:pt>
                <c:pt idx="62">
                  <c:v>42795</c:v>
                </c:pt>
                <c:pt idx="63">
                  <c:v>42826</c:v>
                </c:pt>
                <c:pt idx="64">
                  <c:v>42856</c:v>
                </c:pt>
                <c:pt idx="65">
                  <c:v>42887</c:v>
                </c:pt>
                <c:pt idx="66">
                  <c:v>42917</c:v>
                </c:pt>
                <c:pt idx="67">
                  <c:v>42948</c:v>
                </c:pt>
                <c:pt idx="68">
                  <c:v>42979</c:v>
                </c:pt>
                <c:pt idx="69">
                  <c:v>43009</c:v>
                </c:pt>
                <c:pt idx="70">
                  <c:v>43040</c:v>
                </c:pt>
                <c:pt idx="71">
                  <c:v>43070</c:v>
                </c:pt>
                <c:pt idx="72">
                  <c:v>43101</c:v>
                </c:pt>
                <c:pt idx="73">
                  <c:v>43132</c:v>
                </c:pt>
                <c:pt idx="74">
                  <c:v>43160</c:v>
                </c:pt>
                <c:pt idx="75">
                  <c:v>43191</c:v>
                </c:pt>
                <c:pt idx="76">
                  <c:v>43221</c:v>
                </c:pt>
                <c:pt idx="77">
                  <c:v>43252</c:v>
                </c:pt>
                <c:pt idx="78">
                  <c:v>43282</c:v>
                </c:pt>
                <c:pt idx="79">
                  <c:v>43313</c:v>
                </c:pt>
                <c:pt idx="80">
                  <c:v>43344</c:v>
                </c:pt>
                <c:pt idx="81">
                  <c:v>43374</c:v>
                </c:pt>
                <c:pt idx="82">
                  <c:v>43405</c:v>
                </c:pt>
                <c:pt idx="83">
                  <c:v>43435</c:v>
                </c:pt>
              </c:numCache>
            </c:numRef>
          </c:cat>
          <c:val>
            <c:numRef>
              <c:f>'Misc. Data &amp; Mechanisms'!$T$390:$T$473</c:f>
              <c:numCache>
                <c:formatCode>"$"#,##0.00</c:formatCode>
                <c:ptCount val="84"/>
                <c:pt idx="0">
                  <c:v>14.884560249729018</c:v>
                </c:pt>
                <c:pt idx="1">
                  <c:v>13.701902257766671</c:v>
                </c:pt>
                <c:pt idx="2">
                  <c:v>12.994344892067724</c:v>
                </c:pt>
                <c:pt idx="3">
                  <c:v>11.398212458904057</c:v>
                </c:pt>
                <c:pt idx="4">
                  <c:v>8.227808365776859</c:v>
                </c:pt>
                <c:pt idx="5">
                  <c:v>7.1905030723178536</c:v>
                </c:pt>
                <c:pt idx="6">
                  <c:v>8.0763773010424895</c:v>
                </c:pt>
                <c:pt idx="7">
                  <c:v>8.3100373912633891</c:v>
                </c:pt>
                <c:pt idx="8">
                  <c:v>8.2347999807229577</c:v>
                </c:pt>
                <c:pt idx="9">
                  <c:v>12.551215217432956</c:v>
                </c:pt>
                <c:pt idx="10">
                  <c:v>14.88172366608724</c:v>
                </c:pt>
                <c:pt idx="11">
                  <c:v>16.772734167986105</c:v>
                </c:pt>
                <c:pt idx="12">
                  <c:v>17.009325730266013</c:v>
                </c:pt>
                <c:pt idx="13">
                  <c:v>13.690263475948601</c:v>
                </c:pt>
                <c:pt idx="14">
                  <c:v>15.197515617715922</c:v>
                </c:pt>
                <c:pt idx="15">
                  <c:v>14.640268679939345</c:v>
                </c:pt>
                <c:pt idx="16">
                  <c:v>10.27743113078831</c:v>
                </c:pt>
                <c:pt idx="17">
                  <c:v>9.2312832876447004</c:v>
                </c:pt>
                <c:pt idx="18">
                  <c:v>9.4113006024043333</c:v>
                </c:pt>
                <c:pt idx="19">
                  <c:v>9.2640044837370077</c:v>
                </c:pt>
                <c:pt idx="20">
                  <c:v>9.736990672865506</c:v>
                </c:pt>
                <c:pt idx="21">
                  <c:v>12.315202117762679</c:v>
                </c:pt>
                <c:pt idx="22">
                  <c:v>15.379039281564932</c:v>
                </c:pt>
                <c:pt idx="23">
                  <c:v>18.383583655842585</c:v>
                </c:pt>
                <c:pt idx="24">
                  <c:v>16.198198823958442</c:v>
                </c:pt>
                <c:pt idx="25">
                  <c:v>17.335384804879109</c:v>
                </c:pt>
                <c:pt idx="26">
                  <c:v>16.169332325249599</c:v>
                </c:pt>
                <c:pt idx="27">
                  <c:v>12.983268854227388</c:v>
                </c:pt>
                <c:pt idx="28">
                  <c:v>11.270988330051562</c:v>
                </c:pt>
                <c:pt idx="29">
                  <c:v>9.4732055404935913</c:v>
                </c:pt>
                <c:pt idx="30">
                  <c:v>9.3539558337708097</c:v>
                </c:pt>
                <c:pt idx="31">
                  <c:v>9.40935365066054</c:v>
                </c:pt>
                <c:pt idx="32">
                  <c:v>10.445380048099794</c:v>
                </c:pt>
                <c:pt idx="33">
                  <c:v>12.62437444470665</c:v>
                </c:pt>
                <c:pt idx="34">
                  <c:v>16.654789974321005</c:v>
                </c:pt>
                <c:pt idx="35">
                  <c:v>16.201444326423086</c:v>
                </c:pt>
                <c:pt idx="36">
                  <c:v>17.671796222414645</c:v>
                </c:pt>
                <c:pt idx="37">
                  <c:v>16.333334582446568</c:v>
                </c:pt>
                <c:pt idx="38">
                  <c:v>14.884025628125858</c:v>
                </c:pt>
                <c:pt idx="39">
                  <c:v>12.78259815948123</c:v>
                </c:pt>
                <c:pt idx="40">
                  <c:v>11.474122333573336</c:v>
                </c:pt>
                <c:pt idx="41">
                  <c:v>9.9493868093157314</c:v>
                </c:pt>
                <c:pt idx="42">
                  <c:v>9.9654945447611656</c:v>
                </c:pt>
                <c:pt idx="43">
                  <c:v>10.163472662216687</c:v>
                </c:pt>
                <c:pt idx="44">
                  <c:v>11.120822912045265</c:v>
                </c:pt>
                <c:pt idx="45">
                  <c:v>12.650536885131931</c:v>
                </c:pt>
                <c:pt idx="46">
                  <c:v>15.547527569310489</c:v>
                </c:pt>
                <c:pt idx="47">
                  <c:v>27.189245352043642</c:v>
                </c:pt>
                <c:pt idx="48">
                  <c:v>27.371867373911801</c:v>
                </c:pt>
                <c:pt idx="49">
                  <c:v>27.523855425931423</c:v>
                </c:pt>
                <c:pt idx="50">
                  <c:v>27.643019581586184</c:v>
                </c:pt>
                <c:pt idx="51">
                  <c:v>21.65275331556245</c:v>
                </c:pt>
                <c:pt idx="52">
                  <c:v>20.00490910257988</c:v>
                </c:pt>
                <c:pt idx="53">
                  <c:v>17.408439463809579</c:v>
                </c:pt>
                <c:pt idx="54">
                  <c:v>17.808360706462722</c:v>
                </c:pt>
                <c:pt idx="55">
                  <c:v>18.289609606901802</c:v>
                </c:pt>
                <c:pt idx="56">
                  <c:v>20.715002860257925</c:v>
                </c:pt>
                <c:pt idx="57">
                  <c:v>29.229239921211665</c:v>
                </c:pt>
                <c:pt idx="58">
                  <c:v>28.722910467023269</c:v>
                </c:pt>
                <c:pt idx="59">
                  <c:v>39.736068801509674</c:v>
                </c:pt>
                <c:pt idx="60">
                  <c:v>37.237006101134249</c:v>
                </c:pt>
                <c:pt idx="61">
                  <c:v>20.179902221043356</c:v>
                </c:pt>
                <c:pt idx="62">
                  <c:v>21.784850415059758</c:v>
                </c:pt>
                <c:pt idx="63">
                  <c:v>16.418652289125287</c:v>
                </c:pt>
                <c:pt idx="64">
                  <c:v>12.11353601394682</c:v>
                </c:pt>
                <c:pt idx="65">
                  <c:v>10.899508198574837</c:v>
                </c:pt>
                <c:pt idx="66">
                  <c:v>11.253692398274682</c:v>
                </c:pt>
                <c:pt idx="67">
                  <c:v>10.858875397408063</c:v>
                </c:pt>
                <c:pt idx="68">
                  <c:v>11.881560263209348</c:v>
                </c:pt>
                <c:pt idx="69">
                  <c:v>15.312058118430803</c:v>
                </c:pt>
                <c:pt idx="70">
                  <c:v>20.537396302606162</c:v>
                </c:pt>
                <c:pt idx="71">
                  <c:v>19.396768276107313</c:v>
                </c:pt>
                <c:pt idx="72">
                  <c:v>21.851389430405817</c:v>
                </c:pt>
                <c:pt idx="73">
                  <c:v>21.901250688441564</c:v>
                </c:pt>
                <c:pt idx="74">
                  <c:v>17.670090512014124</c:v>
                </c:pt>
                <c:pt idx="75">
                  <c:v>13.479259181662611</c:v>
                </c:pt>
                <c:pt idx="76">
                  <c:v>10.097206261664276</c:v>
                </c:pt>
                <c:pt idx="77">
                  <c:v>9.5059708529646603</c:v>
                </c:pt>
                <c:pt idx="78">
                  <c:v>9.6390793161448673</c:v>
                </c:pt>
                <c:pt idx="79">
                  <c:v>9.9156854654979156</c:v>
                </c:pt>
                <c:pt idx="80">
                  <c:v>11.664565776299062</c:v>
                </c:pt>
                <c:pt idx="81">
                  <c:v>13.121938976390835</c:v>
                </c:pt>
                <c:pt idx="82">
                  <c:v>14.568176580384174</c:v>
                </c:pt>
                <c:pt idx="83">
                  <c:v>16.403488356249056</c:v>
                </c:pt>
              </c:numCache>
            </c:numRef>
          </c:val>
          <c:smooth val="0"/>
        </c:ser>
        <c:ser>
          <c:idx val="7"/>
          <c:order val="7"/>
          <c:tx>
            <c:strRef>
              <c:f>'Misc. Data &amp; Mechanisms'!$U$389</c:f>
              <c:strCache>
                <c:ptCount val="1"/>
                <c:pt idx="0">
                  <c:v>Hinton</c:v>
                </c:pt>
              </c:strCache>
            </c:strRef>
          </c:tx>
          <c:marker>
            <c:symbol val="none"/>
          </c:marker>
          <c:cat>
            <c:numRef>
              <c:f>'Misc. Data &amp; Mechanisms'!$M$390:$M$473</c:f>
              <c:numCache>
                <c:formatCode>mmm-yy</c:formatCode>
                <c:ptCount val="84"/>
                <c:pt idx="0">
                  <c:v>40909</c:v>
                </c:pt>
                <c:pt idx="1">
                  <c:v>40940</c:v>
                </c:pt>
                <c:pt idx="2">
                  <c:v>40969</c:v>
                </c:pt>
                <c:pt idx="3">
                  <c:v>41000</c:v>
                </c:pt>
                <c:pt idx="4">
                  <c:v>41030</c:v>
                </c:pt>
                <c:pt idx="5">
                  <c:v>41061</c:v>
                </c:pt>
                <c:pt idx="6">
                  <c:v>41091</c:v>
                </c:pt>
                <c:pt idx="7">
                  <c:v>41122</c:v>
                </c:pt>
                <c:pt idx="8">
                  <c:v>41153</c:v>
                </c:pt>
                <c:pt idx="9">
                  <c:v>41183</c:v>
                </c:pt>
                <c:pt idx="10">
                  <c:v>41214</c:v>
                </c:pt>
                <c:pt idx="11">
                  <c:v>41244</c:v>
                </c:pt>
                <c:pt idx="12">
                  <c:v>41275</c:v>
                </c:pt>
                <c:pt idx="13">
                  <c:v>41306</c:v>
                </c:pt>
                <c:pt idx="14">
                  <c:v>41334</c:v>
                </c:pt>
                <c:pt idx="15">
                  <c:v>41365</c:v>
                </c:pt>
                <c:pt idx="16">
                  <c:v>41395</c:v>
                </c:pt>
                <c:pt idx="17">
                  <c:v>41426</c:v>
                </c:pt>
                <c:pt idx="18">
                  <c:v>41456</c:v>
                </c:pt>
                <c:pt idx="19">
                  <c:v>41487</c:v>
                </c:pt>
                <c:pt idx="20">
                  <c:v>41518</c:v>
                </c:pt>
                <c:pt idx="21">
                  <c:v>41548</c:v>
                </c:pt>
                <c:pt idx="22">
                  <c:v>41579</c:v>
                </c:pt>
                <c:pt idx="23">
                  <c:v>41609</c:v>
                </c:pt>
                <c:pt idx="24">
                  <c:v>41640</c:v>
                </c:pt>
                <c:pt idx="25">
                  <c:v>41671</c:v>
                </c:pt>
                <c:pt idx="26">
                  <c:v>41699</c:v>
                </c:pt>
                <c:pt idx="27">
                  <c:v>41730</c:v>
                </c:pt>
                <c:pt idx="28">
                  <c:v>41760</c:v>
                </c:pt>
                <c:pt idx="29">
                  <c:v>41791</c:v>
                </c:pt>
                <c:pt idx="30">
                  <c:v>41821</c:v>
                </c:pt>
                <c:pt idx="31">
                  <c:v>41852</c:v>
                </c:pt>
                <c:pt idx="32">
                  <c:v>41883</c:v>
                </c:pt>
                <c:pt idx="33">
                  <c:v>41913</c:v>
                </c:pt>
                <c:pt idx="34">
                  <c:v>41944</c:v>
                </c:pt>
                <c:pt idx="35">
                  <c:v>41974</c:v>
                </c:pt>
                <c:pt idx="36">
                  <c:v>42005</c:v>
                </c:pt>
                <c:pt idx="37">
                  <c:v>42036</c:v>
                </c:pt>
                <c:pt idx="38">
                  <c:v>42064</c:v>
                </c:pt>
                <c:pt idx="39">
                  <c:v>42095</c:v>
                </c:pt>
                <c:pt idx="40">
                  <c:v>42125</c:v>
                </c:pt>
                <c:pt idx="41">
                  <c:v>42156</c:v>
                </c:pt>
                <c:pt idx="42">
                  <c:v>42186</c:v>
                </c:pt>
                <c:pt idx="43">
                  <c:v>42217</c:v>
                </c:pt>
                <c:pt idx="44">
                  <c:v>42248</c:v>
                </c:pt>
                <c:pt idx="45">
                  <c:v>42278</c:v>
                </c:pt>
                <c:pt idx="46">
                  <c:v>42309</c:v>
                </c:pt>
                <c:pt idx="47">
                  <c:v>42339</c:v>
                </c:pt>
                <c:pt idx="48">
                  <c:v>42370</c:v>
                </c:pt>
                <c:pt idx="49">
                  <c:v>42401</c:v>
                </c:pt>
                <c:pt idx="50">
                  <c:v>42430</c:v>
                </c:pt>
                <c:pt idx="51">
                  <c:v>42461</c:v>
                </c:pt>
                <c:pt idx="52">
                  <c:v>42491</c:v>
                </c:pt>
                <c:pt idx="53">
                  <c:v>42522</c:v>
                </c:pt>
                <c:pt idx="54">
                  <c:v>42552</c:v>
                </c:pt>
                <c:pt idx="55">
                  <c:v>42583</c:v>
                </c:pt>
                <c:pt idx="56">
                  <c:v>42614</c:v>
                </c:pt>
                <c:pt idx="57">
                  <c:v>42644</c:v>
                </c:pt>
                <c:pt idx="58">
                  <c:v>42675</c:v>
                </c:pt>
                <c:pt idx="59">
                  <c:v>42705</c:v>
                </c:pt>
                <c:pt idx="60">
                  <c:v>42736</c:v>
                </c:pt>
                <c:pt idx="61">
                  <c:v>42767</c:v>
                </c:pt>
                <c:pt idx="62">
                  <c:v>42795</c:v>
                </c:pt>
                <c:pt idx="63">
                  <c:v>42826</c:v>
                </c:pt>
                <c:pt idx="64">
                  <c:v>42856</c:v>
                </c:pt>
                <c:pt idx="65">
                  <c:v>42887</c:v>
                </c:pt>
                <c:pt idx="66">
                  <c:v>42917</c:v>
                </c:pt>
                <c:pt idx="67">
                  <c:v>42948</c:v>
                </c:pt>
                <c:pt idx="68">
                  <c:v>42979</c:v>
                </c:pt>
                <c:pt idx="69">
                  <c:v>43009</c:v>
                </c:pt>
                <c:pt idx="70">
                  <c:v>43040</c:v>
                </c:pt>
                <c:pt idx="71">
                  <c:v>43070</c:v>
                </c:pt>
                <c:pt idx="72">
                  <c:v>43101</c:v>
                </c:pt>
                <c:pt idx="73">
                  <c:v>43132</c:v>
                </c:pt>
                <c:pt idx="74">
                  <c:v>43160</c:v>
                </c:pt>
                <c:pt idx="75">
                  <c:v>43191</c:v>
                </c:pt>
                <c:pt idx="76">
                  <c:v>43221</c:v>
                </c:pt>
                <c:pt idx="77">
                  <c:v>43252</c:v>
                </c:pt>
                <c:pt idx="78">
                  <c:v>43282</c:v>
                </c:pt>
                <c:pt idx="79">
                  <c:v>43313</c:v>
                </c:pt>
                <c:pt idx="80">
                  <c:v>43344</c:v>
                </c:pt>
                <c:pt idx="81">
                  <c:v>43374</c:v>
                </c:pt>
                <c:pt idx="82">
                  <c:v>43405</c:v>
                </c:pt>
                <c:pt idx="83">
                  <c:v>43435</c:v>
                </c:pt>
              </c:numCache>
            </c:numRef>
          </c:cat>
          <c:val>
            <c:numRef>
              <c:f>'Misc. Data &amp; Mechanisms'!$U$390:$U$473</c:f>
              <c:numCache>
                <c:formatCode>"$"#,##0.00</c:formatCode>
                <c:ptCount val="84"/>
                <c:pt idx="0">
                  <c:v>8.2361233381833898</c:v>
                </c:pt>
                <c:pt idx="1">
                  <c:v>7.8100842869270029</c:v>
                </c:pt>
                <c:pt idx="2">
                  <c:v>7.4067765884786025</c:v>
                </c:pt>
                <c:pt idx="3">
                  <c:v>6.4969811015753125</c:v>
                </c:pt>
                <c:pt idx="4">
                  <c:v>4.6898507684928097</c:v>
                </c:pt>
                <c:pt idx="5">
                  <c:v>4.0985867512211769</c:v>
                </c:pt>
                <c:pt idx="6">
                  <c:v>4.6035350615942194</c:v>
                </c:pt>
                <c:pt idx="7">
                  <c:v>4.7367213130201309</c:v>
                </c:pt>
                <c:pt idx="8">
                  <c:v>4.6938359890120855</c:v>
                </c:pt>
                <c:pt idx="9">
                  <c:v>7.1541926739367847</c:v>
                </c:pt>
                <c:pt idx="10">
                  <c:v>8.4825824896697259</c:v>
                </c:pt>
                <c:pt idx="11">
                  <c:v>9.5604584757520801</c:v>
                </c:pt>
                <c:pt idx="12">
                  <c:v>9.6953156662516271</c:v>
                </c:pt>
                <c:pt idx="13">
                  <c:v>8.1228896623961706</c:v>
                </c:pt>
                <c:pt idx="14">
                  <c:v>9.0171925998447797</c:v>
                </c:pt>
                <c:pt idx="15">
                  <c:v>8.6865594167640108</c:v>
                </c:pt>
                <c:pt idx="16">
                  <c:v>6.097942470934397</c:v>
                </c:pt>
                <c:pt idx="17">
                  <c:v>5.4772280840025225</c:v>
                </c:pt>
                <c:pt idx="18">
                  <c:v>5.5840383574265715</c:v>
                </c:pt>
                <c:pt idx="19">
                  <c:v>5.4966426603506253</c:v>
                </c:pt>
                <c:pt idx="20">
                  <c:v>5.7772811325668672</c:v>
                </c:pt>
                <c:pt idx="21">
                  <c:v>7.3070199232058561</c:v>
                </c:pt>
                <c:pt idx="22">
                  <c:v>9.1248966403951925</c:v>
                </c:pt>
                <c:pt idx="23">
                  <c:v>10.907592969133267</c:v>
                </c:pt>
                <c:pt idx="24">
                  <c:v>9.6109313022153433</c:v>
                </c:pt>
                <c:pt idx="25">
                  <c:v>10.632369346992521</c:v>
                </c:pt>
                <c:pt idx="26">
                  <c:v>9.9171904928197545</c:v>
                </c:pt>
                <c:pt idx="27">
                  <c:v>7.9630715639261309</c:v>
                </c:pt>
                <c:pt idx="28">
                  <c:v>6.912872842431625</c:v>
                </c:pt>
                <c:pt idx="29">
                  <c:v>5.8102327315027358</c:v>
                </c:pt>
                <c:pt idx="30">
                  <c:v>5.7370929113794293</c:v>
                </c:pt>
                <c:pt idx="31">
                  <c:v>5.7710702390717987</c:v>
                </c:pt>
                <c:pt idx="32">
                  <c:v>6.4064997628345406</c:v>
                </c:pt>
                <c:pt idx="33">
                  <c:v>7.742949659420078</c:v>
                </c:pt>
                <c:pt idx="34">
                  <c:v>10.214937850916883</c:v>
                </c:pt>
                <c:pt idx="35">
                  <c:v>9.9368858535394917</c:v>
                </c:pt>
                <c:pt idx="36">
                  <c:v>10.838701683080982</c:v>
                </c:pt>
                <c:pt idx="37">
                  <c:v>9.5277785064271647</c:v>
                </c:pt>
                <c:pt idx="38">
                  <c:v>8.6823482830734164</c:v>
                </c:pt>
                <c:pt idx="39">
                  <c:v>7.4565155930307174</c:v>
                </c:pt>
                <c:pt idx="40">
                  <c:v>6.6932380279177792</c:v>
                </c:pt>
                <c:pt idx="41">
                  <c:v>5.8038089721008435</c:v>
                </c:pt>
                <c:pt idx="42">
                  <c:v>5.8132051511106804</c:v>
                </c:pt>
                <c:pt idx="43">
                  <c:v>5.9286923862930667</c:v>
                </c:pt>
                <c:pt idx="44">
                  <c:v>6.4871466986930706</c:v>
                </c:pt>
                <c:pt idx="45">
                  <c:v>7.3794798496602931</c:v>
                </c:pt>
                <c:pt idx="46">
                  <c:v>9.0693910820977859</c:v>
                </c:pt>
                <c:pt idx="47">
                  <c:v>10.813904401380993</c:v>
                </c:pt>
                <c:pt idx="48">
                  <c:v>10.886538160078556</c:v>
                </c:pt>
                <c:pt idx="49">
                  <c:v>9.2613350960601011</c:v>
                </c:pt>
                <c:pt idx="50">
                  <c:v>9.301431919701967</c:v>
                </c:pt>
                <c:pt idx="51">
                  <c:v>7.2858035731004076</c:v>
                </c:pt>
                <c:pt idx="52">
                  <c:v>6.7313304730798089</c:v>
                </c:pt>
                <c:pt idx="53">
                  <c:v>5.8576601598451878</c:v>
                </c:pt>
                <c:pt idx="54">
                  <c:v>5.9922272320422758</c:v>
                </c:pt>
                <c:pt idx="55">
                  <c:v>6.1541597543072228</c:v>
                </c:pt>
                <c:pt idx="56">
                  <c:v>6.9702656127143854</c:v>
                </c:pt>
                <c:pt idx="57">
                  <c:v>9.8351695765135645</c:v>
                </c:pt>
                <c:pt idx="58">
                  <c:v>9.6647978509076395</c:v>
                </c:pt>
                <c:pt idx="59">
                  <c:v>13.370548670451269</c:v>
                </c:pt>
                <c:pt idx="60">
                  <c:v>12.529654226846684</c:v>
                </c:pt>
                <c:pt idx="61">
                  <c:v>10.347019928624142</c:v>
                </c:pt>
                <c:pt idx="62">
                  <c:v>11.169939225556115</c:v>
                </c:pt>
                <c:pt idx="63">
                  <c:v>8.418480950793537</c:v>
                </c:pt>
                <c:pt idx="64">
                  <c:v>6.2110805676606304</c:v>
                </c:pt>
                <c:pt idx="65">
                  <c:v>5.5886013374858239</c:v>
                </c:pt>
                <c:pt idx="66">
                  <c:v>5.7702053379688643</c:v>
                </c:pt>
                <c:pt idx="67">
                  <c:v>5.5677673216009493</c:v>
                </c:pt>
                <c:pt idx="68">
                  <c:v>6.0921375871869587</c:v>
                </c:pt>
                <c:pt idx="69">
                  <c:v>7.851087124418342</c:v>
                </c:pt>
                <c:pt idx="70">
                  <c:v>10.530321034138829</c:v>
                </c:pt>
                <c:pt idx="71">
                  <c:v>9.9454767275582068</c:v>
                </c:pt>
                <c:pt idx="72">
                  <c:v>11.204056363997887</c:v>
                </c:pt>
                <c:pt idx="73">
                  <c:v>10.917137193321025</c:v>
                </c:pt>
                <c:pt idx="74">
                  <c:v>8.8080267689856324</c:v>
                </c:pt>
                <c:pt idx="75">
                  <c:v>6.7190191027859498</c:v>
                </c:pt>
                <c:pt idx="76">
                  <c:v>5.03316397752684</c:v>
                </c:pt>
                <c:pt idx="77">
                  <c:v>4.738450302853944</c:v>
                </c:pt>
                <c:pt idx="78">
                  <c:v>4.8048010046838332</c:v>
                </c:pt>
                <c:pt idx="79">
                  <c:v>4.9426811341778603</c:v>
                </c:pt>
                <c:pt idx="80">
                  <c:v>5.8144471606628345</c:v>
                </c:pt>
                <c:pt idx="81">
                  <c:v>6.5409053613202008</c:v>
                </c:pt>
                <c:pt idx="82">
                  <c:v>7.2618127908337016</c:v>
                </c:pt>
                <c:pt idx="83">
                  <c:v>8.1766623916470831</c:v>
                </c:pt>
              </c:numCache>
            </c:numRef>
          </c:val>
          <c:smooth val="0"/>
        </c:ser>
        <c:ser>
          <c:idx val="8"/>
          <c:order val="8"/>
          <c:tx>
            <c:strRef>
              <c:f>'Misc. Data &amp; Mechanisms'!$V$389</c:f>
              <c:strCache>
                <c:ptCount val="1"/>
                <c:pt idx="0">
                  <c:v>Nobleford</c:v>
                </c:pt>
              </c:strCache>
            </c:strRef>
          </c:tx>
          <c:marker>
            <c:symbol val="none"/>
          </c:marker>
          <c:cat>
            <c:numRef>
              <c:f>'Misc. Data &amp; Mechanisms'!$M$390:$M$473</c:f>
              <c:numCache>
                <c:formatCode>mmm-yy</c:formatCode>
                <c:ptCount val="84"/>
                <c:pt idx="0">
                  <c:v>40909</c:v>
                </c:pt>
                <c:pt idx="1">
                  <c:v>40940</c:v>
                </c:pt>
                <c:pt idx="2">
                  <c:v>40969</c:v>
                </c:pt>
                <c:pt idx="3">
                  <c:v>41000</c:v>
                </c:pt>
                <c:pt idx="4">
                  <c:v>41030</c:v>
                </c:pt>
                <c:pt idx="5">
                  <c:v>41061</c:v>
                </c:pt>
                <c:pt idx="6">
                  <c:v>41091</c:v>
                </c:pt>
                <c:pt idx="7">
                  <c:v>41122</c:v>
                </c:pt>
                <c:pt idx="8">
                  <c:v>41153</c:v>
                </c:pt>
                <c:pt idx="9">
                  <c:v>41183</c:v>
                </c:pt>
                <c:pt idx="10">
                  <c:v>41214</c:v>
                </c:pt>
                <c:pt idx="11">
                  <c:v>41244</c:v>
                </c:pt>
                <c:pt idx="12">
                  <c:v>41275</c:v>
                </c:pt>
                <c:pt idx="13">
                  <c:v>41306</c:v>
                </c:pt>
                <c:pt idx="14">
                  <c:v>41334</c:v>
                </c:pt>
                <c:pt idx="15">
                  <c:v>41365</c:v>
                </c:pt>
                <c:pt idx="16">
                  <c:v>41395</c:v>
                </c:pt>
                <c:pt idx="17">
                  <c:v>41426</c:v>
                </c:pt>
                <c:pt idx="18">
                  <c:v>41456</c:v>
                </c:pt>
                <c:pt idx="19">
                  <c:v>41487</c:v>
                </c:pt>
                <c:pt idx="20">
                  <c:v>41518</c:v>
                </c:pt>
                <c:pt idx="21">
                  <c:v>41548</c:v>
                </c:pt>
                <c:pt idx="22">
                  <c:v>41579</c:v>
                </c:pt>
                <c:pt idx="23">
                  <c:v>41609</c:v>
                </c:pt>
                <c:pt idx="24">
                  <c:v>41640</c:v>
                </c:pt>
                <c:pt idx="25">
                  <c:v>41671</c:v>
                </c:pt>
                <c:pt idx="26">
                  <c:v>41699</c:v>
                </c:pt>
                <c:pt idx="27">
                  <c:v>41730</c:v>
                </c:pt>
                <c:pt idx="28">
                  <c:v>41760</c:v>
                </c:pt>
                <c:pt idx="29">
                  <c:v>41791</c:v>
                </c:pt>
                <c:pt idx="30">
                  <c:v>41821</c:v>
                </c:pt>
                <c:pt idx="31">
                  <c:v>41852</c:v>
                </c:pt>
                <c:pt idx="32">
                  <c:v>41883</c:v>
                </c:pt>
                <c:pt idx="33">
                  <c:v>41913</c:v>
                </c:pt>
                <c:pt idx="34">
                  <c:v>41944</c:v>
                </c:pt>
                <c:pt idx="35">
                  <c:v>41974</c:v>
                </c:pt>
                <c:pt idx="36">
                  <c:v>42005</c:v>
                </c:pt>
                <c:pt idx="37">
                  <c:v>42036</c:v>
                </c:pt>
                <c:pt idx="38">
                  <c:v>42064</c:v>
                </c:pt>
                <c:pt idx="39">
                  <c:v>42095</c:v>
                </c:pt>
                <c:pt idx="40">
                  <c:v>42125</c:v>
                </c:pt>
                <c:pt idx="41">
                  <c:v>42156</c:v>
                </c:pt>
                <c:pt idx="42">
                  <c:v>42186</c:v>
                </c:pt>
                <c:pt idx="43">
                  <c:v>42217</c:v>
                </c:pt>
                <c:pt idx="44">
                  <c:v>42248</c:v>
                </c:pt>
                <c:pt idx="45">
                  <c:v>42278</c:v>
                </c:pt>
                <c:pt idx="46">
                  <c:v>42309</c:v>
                </c:pt>
                <c:pt idx="47">
                  <c:v>42339</c:v>
                </c:pt>
                <c:pt idx="48">
                  <c:v>42370</c:v>
                </c:pt>
                <c:pt idx="49">
                  <c:v>42401</c:v>
                </c:pt>
                <c:pt idx="50">
                  <c:v>42430</c:v>
                </c:pt>
                <c:pt idx="51">
                  <c:v>42461</c:v>
                </c:pt>
                <c:pt idx="52">
                  <c:v>42491</c:v>
                </c:pt>
                <c:pt idx="53">
                  <c:v>42522</c:v>
                </c:pt>
                <c:pt idx="54">
                  <c:v>42552</c:v>
                </c:pt>
                <c:pt idx="55">
                  <c:v>42583</c:v>
                </c:pt>
                <c:pt idx="56">
                  <c:v>42614</c:v>
                </c:pt>
                <c:pt idx="57">
                  <c:v>42644</c:v>
                </c:pt>
                <c:pt idx="58">
                  <c:v>42675</c:v>
                </c:pt>
                <c:pt idx="59">
                  <c:v>42705</c:v>
                </c:pt>
                <c:pt idx="60">
                  <c:v>42736</c:v>
                </c:pt>
                <c:pt idx="61">
                  <c:v>42767</c:v>
                </c:pt>
                <c:pt idx="62">
                  <c:v>42795</c:v>
                </c:pt>
                <c:pt idx="63">
                  <c:v>42826</c:v>
                </c:pt>
                <c:pt idx="64">
                  <c:v>42856</c:v>
                </c:pt>
                <c:pt idx="65">
                  <c:v>42887</c:v>
                </c:pt>
                <c:pt idx="66">
                  <c:v>42917</c:v>
                </c:pt>
                <c:pt idx="67">
                  <c:v>42948</c:v>
                </c:pt>
                <c:pt idx="68">
                  <c:v>42979</c:v>
                </c:pt>
                <c:pt idx="69">
                  <c:v>43009</c:v>
                </c:pt>
                <c:pt idx="70">
                  <c:v>43040</c:v>
                </c:pt>
                <c:pt idx="71">
                  <c:v>43070</c:v>
                </c:pt>
                <c:pt idx="72">
                  <c:v>43101</c:v>
                </c:pt>
                <c:pt idx="73">
                  <c:v>43132</c:v>
                </c:pt>
                <c:pt idx="74">
                  <c:v>43160</c:v>
                </c:pt>
                <c:pt idx="75">
                  <c:v>43191</c:v>
                </c:pt>
                <c:pt idx="76">
                  <c:v>43221</c:v>
                </c:pt>
                <c:pt idx="77">
                  <c:v>43252</c:v>
                </c:pt>
                <c:pt idx="78">
                  <c:v>43282</c:v>
                </c:pt>
                <c:pt idx="79">
                  <c:v>43313</c:v>
                </c:pt>
                <c:pt idx="80">
                  <c:v>43344</c:v>
                </c:pt>
                <c:pt idx="81">
                  <c:v>43374</c:v>
                </c:pt>
                <c:pt idx="82">
                  <c:v>43405</c:v>
                </c:pt>
                <c:pt idx="83">
                  <c:v>43435</c:v>
                </c:pt>
              </c:numCache>
            </c:numRef>
          </c:cat>
          <c:val>
            <c:numRef>
              <c:f>'Misc. Data &amp; Mechanisms'!$V$390:$V$473</c:f>
              <c:numCache>
                <c:formatCode>"$"#,##0.00</c:formatCode>
                <c:ptCount val="84"/>
                <c:pt idx="0">
                  <c:v>0.15402521753721951</c:v>
                </c:pt>
                <c:pt idx="1">
                  <c:v>0.32205984119602132</c:v>
                </c:pt>
                <c:pt idx="2">
                  <c:v>0.31149474863384286</c:v>
                </c:pt>
                <c:pt idx="3">
                  <c:v>0.28274756826702502</c:v>
                </c:pt>
                <c:pt idx="4">
                  <c:v>0.22404229698668165</c:v>
                </c:pt>
                <c:pt idx="5">
                  <c:v>0.19314843306660845</c:v>
                </c:pt>
                <c:pt idx="6">
                  <c:v>0.18928053222779165</c:v>
                </c:pt>
                <c:pt idx="7">
                  <c:v>0.19709512955153891</c:v>
                </c:pt>
                <c:pt idx="8">
                  <c:v>0.19351709657782326</c:v>
                </c:pt>
                <c:pt idx="9">
                  <c:v>0.28589031073739901</c:v>
                </c:pt>
                <c:pt idx="10">
                  <c:v>0.31483881976280015</c:v>
                </c:pt>
                <c:pt idx="11">
                  <c:v>0.31036343933065741</c:v>
                </c:pt>
                <c:pt idx="12">
                  <c:v>0.3954081137613501</c:v>
                </c:pt>
                <c:pt idx="13">
                  <c:v>0.28835020955651808</c:v>
                </c:pt>
                <c:pt idx="14">
                  <c:v>0.3333096287041592</c:v>
                </c:pt>
                <c:pt idx="15">
                  <c:v>0.30202204441951469</c:v>
                </c:pt>
                <c:pt idx="16">
                  <c:v>0.24060735132176927</c:v>
                </c:pt>
                <c:pt idx="17">
                  <c:v>0.22027276894929126</c:v>
                </c:pt>
                <c:pt idx="18">
                  <c:v>0.22012057170014951</c:v>
                </c:pt>
                <c:pt idx="19">
                  <c:v>0.21635790282321321</c:v>
                </c:pt>
                <c:pt idx="20">
                  <c:v>0.22897100166217371</c:v>
                </c:pt>
                <c:pt idx="21">
                  <c:v>0.29479653657336541</c:v>
                </c:pt>
                <c:pt idx="22">
                  <c:v>0.35137982933017137</c:v>
                </c:pt>
                <c:pt idx="23">
                  <c:v>0.41621156201475346</c:v>
                </c:pt>
                <c:pt idx="24">
                  <c:v>0.36735619751306936</c:v>
                </c:pt>
                <c:pt idx="25">
                  <c:v>0.35968483217216102</c:v>
                </c:pt>
                <c:pt idx="26">
                  <c:v>0.34689273929099507</c:v>
                </c:pt>
                <c:pt idx="27">
                  <c:v>0.27650120580690724</c:v>
                </c:pt>
                <c:pt idx="28">
                  <c:v>0.24602402903052165</c:v>
                </c:pt>
                <c:pt idx="29">
                  <c:v>0.20852159152233041</c:v>
                </c:pt>
                <c:pt idx="30">
                  <c:v>0.19450062533301635</c:v>
                </c:pt>
                <c:pt idx="31">
                  <c:v>0.2009485557536225</c:v>
                </c:pt>
                <c:pt idx="32">
                  <c:v>0.22393704534813016</c:v>
                </c:pt>
                <c:pt idx="33">
                  <c:v>0.27008983401141745</c:v>
                </c:pt>
                <c:pt idx="34">
                  <c:v>0.28538609181511326</c:v>
                </c:pt>
                <c:pt idx="35">
                  <c:v>0.29756990446261805</c:v>
                </c:pt>
                <c:pt idx="36">
                  <c:v>0.3593570396083029</c:v>
                </c:pt>
                <c:pt idx="37">
                  <c:v>0.66410758930732527</c:v>
                </c:pt>
                <c:pt idx="38">
                  <c:v>0.60960313001304955</c:v>
                </c:pt>
                <c:pt idx="39">
                  <c:v>0.54848823916730027</c:v>
                </c:pt>
                <c:pt idx="40">
                  <c:v>0.49123778441696375</c:v>
                </c:pt>
                <c:pt idx="41">
                  <c:v>0.41481278561376267</c:v>
                </c:pt>
                <c:pt idx="42">
                  <c:v>0.40891703993241896</c:v>
                </c:pt>
                <c:pt idx="43">
                  <c:v>0.41878434027440253</c:v>
                </c:pt>
                <c:pt idx="44">
                  <c:v>0.4565714730255851</c:v>
                </c:pt>
                <c:pt idx="45">
                  <c:v>0.51515505208035872</c:v>
                </c:pt>
                <c:pt idx="46">
                  <c:v>0.65822364425211777</c:v>
                </c:pt>
                <c:pt idx="47">
                  <c:v>0.76907246345296343</c:v>
                </c:pt>
                <c:pt idx="48">
                  <c:v>0.76891390540505966</c:v>
                </c:pt>
                <c:pt idx="49">
                  <c:v>0.48718656665020987</c:v>
                </c:pt>
                <c:pt idx="50">
                  <c:v>0.50830121023534991</c:v>
                </c:pt>
                <c:pt idx="51">
                  <c:v>0.40083559075847414</c:v>
                </c:pt>
                <c:pt idx="52">
                  <c:v>0.39462194413929069</c:v>
                </c:pt>
                <c:pt idx="53">
                  <c:v>0.31851322099007656</c:v>
                </c:pt>
                <c:pt idx="54">
                  <c:v>0.3308881820581851</c:v>
                </c:pt>
                <c:pt idx="55">
                  <c:v>0.33727612407096541</c:v>
                </c:pt>
                <c:pt idx="56">
                  <c:v>0.39861816308088605</c:v>
                </c:pt>
                <c:pt idx="57">
                  <c:v>0.55505707687806272</c:v>
                </c:pt>
                <c:pt idx="58">
                  <c:v>0.5279963143787274</c:v>
                </c:pt>
                <c:pt idx="59">
                  <c:v>0.76558837083110587</c:v>
                </c:pt>
                <c:pt idx="60">
                  <c:v>0.70055547815557384</c:v>
                </c:pt>
                <c:pt idx="61">
                  <c:v>0.60067192601046793</c:v>
                </c:pt>
                <c:pt idx="62">
                  <c:v>0.60246755997420276</c:v>
                </c:pt>
                <c:pt idx="63">
                  <c:v>0.4604836046556221</c:v>
                </c:pt>
                <c:pt idx="64">
                  <c:v>0.34910033491852593</c:v>
                </c:pt>
                <c:pt idx="65">
                  <c:v>0.30449310993293971</c:v>
                </c:pt>
                <c:pt idx="66">
                  <c:v>0.31204511308549709</c:v>
                </c:pt>
                <c:pt idx="67">
                  <c:v>0.30200391320090358</c:v>
                </c:pt>
                <c:pt idx="68">
                  <c:v>0.33917827551913404</c:v>
                </c:pt>
                <c:pt idx="69">
                  <c:v>0.42690246880119975</c:v>
                </c:pt>
                <c:pt idx="70">
                  <c:v>0.55648824970864152</c:v>
                </c:pt>
                <c:pt idx="71">
                  <c:v>0.54589144370562903</c:v>
                </c:pt>
                <c:pt idx="72">
                  <c:v>0.59059612834893993</c:v>
                </c:pt>
                <c:pt idx="73">
                  <c:v>0.49089409503621606</c:v>
                </c:pt>
                <c:pt idx="74">
                  <c:v>0.3881215168574963</c:v>
                </c:pt>
                <c:pt idx="75">
                  <c:v>0.32177141019598782</c:v>
                </c:pt>
                <c:pt idx="76">
                  <c:v>0.23815334498995561</c:v>
                </c:pt>
                <c:pt idx="77">
                  <c:v>0.22051193908158351</c:v>
                </c:pt>
                <c:pt idx="78">
                  <c:v>0.22292395867654705</c:v>
                </c:pt>
                <c:pt idx="79">
                  <c:v>0.22699710405236392</c:v>
                </c:pt>
                <c:pt idx="80">
                  <c:v>0.26112996287499213</c:v>
                </c:pt>
                <c:pt idx="81">
                  <c:v>0.29831607688960898</c:v>
                </c:pt>
                <c:pt idx="82">
                  <c:v>0.31646144990898539</c:v>
                </c:pt>
                <c:pt idx="83">
                  <c:v>0.35083226305355386</c:v>
                </c:pt>
              </c:numCache>
            </c:numRef>
          </c:val>
          <c:smooth val="0"/>
        </c:ser>
        <c:ser>
          <c:idx val="9"/>
          <c:order val="9"/>
          <c:tx>
            <c:strRef>
              <c:f>'Misc. Data &amp; Mechanisms'!$W$389</c:f>
              <c:strCache>
                <c:ptCount val="1"/>
                <c:pt idx="0">
                  <c:v>Wetaskiwin</c:v>
                </c:pt>
              </c:strCache>
            </c:strRef>
          </c:tx>
          <c:marker>
            <c:symbol val="none"/>
          </c:marker>
          <c:cat>
            <c:numRef>
              <c:f>'Misc. Data &amp; Mechanisms'!$M$390:$M$473</c:f>
              <c:numCache>
                <c:formatCode>mmm-yy</c:formatCode>
                <c:ptCount val="84"/>
                <c:pt idx="0">
                  <c:v>40909</c:v>
                </c:pt>
                <c:pt idx="1">
                  <c:v>40940</c:v>
                </c:pt>
                <c:pt idx="2">
                  <c:v>40969</c:v>
                </c:pt>
                <c:pt idx="3">
                  <c:v>41000</c:v>
                </c:pt>
                <c:pt idx="4">
                  <c:v>41030</c:v>
                </c:pt>
                <c:pt idx="5">
                  <c:v>41061</c:v>
                </c:pt>
                <c:pt idx="6">
                  <c:v>41091</c:v>
                </c:pt>
                <c:pt idx="7">
                  <c:v>41122</c:v>
                </c:pt>
                <c:pt idx="8">
                  <c:v>41153</c:v>
                </c:pt>
                <c:pt idx="9">
                  <c:v>41183</c:v>
                </c:pt>
                <c:pt idx="10">
                  <c:v>41214</c:v>
                </c:pt>
                <c:pt idx="11">
                  <c:v>41244</c:v>
                </c:pt>
                <c:pt idx="12">
                  <c:v>41275</c:v>
                </c:pt>
                <c:pt idx="13">
                  <c:v>41306</c:v>
                </c:pt>
                <c:pt idx="14">
                  <c:v>41334</c:v>
                </c:pt>
                <c:pt idx="15">
                  <c:v>41365</c:v>
                </c:pt>
                <c:pt idx="16">
                  <c:v>41395</c:v>
                </c:pt>
                <c:pt idx="17">
                  <c:v>41426</c:v>
                </c:pt>
                <c:pt idx="18">
                  <c:v>41456</c:v>
                </c:pt>
                <c:pt idx="19">
                  <c:v>41487</c:v>
                </c:pt>
                <c:pt idx="20">
                  <c:v>41518</c:v>
                </c:pt>
                <c:pt idx="21">
                  <c:v>41548</c:v>
                </c:pt>
                <c:pt idx="22">
                  <c:v>41579</c:v>
                </c:pt>
                <c:pt idx="23">
                  <c:v>41609</c:v>
                </c:pt>
                <c:pt idx="24">
                  <c:v>41640</c:v>
                </c:pt>
                <c:pt idx="25">
                  <c:v>41671</c:v>
                </c:pt>
                <c:pt idx="26">
                  <c:v>41699</c:v>
                </c:pt>
                <c:pt idx="27">
                  <c:v>41730</c:v>
                </c:pt>
                <c:pt idx="28">
                  <c:v>41760</c:v>
                </c:pt>
                <c:pt idx="29">
                  <c:v>41791</c:v>
                </c:pt>
                <c:pt idx="30">
                  <c:v>41821</c:v>
                </c:pt>
                <c:pt idx="31">
                  <c:v>41852</c:v>
                </c:pt>
                <c:pt idx="32">
                  <c:v>41883</c:v>
                </c:pt>
                <c:pt idx="33">
                  <c:v>41913</c:v>
                </c:pt>
                <c:pt idx="34">
                  <c:v>41944</c:v>
                </c:pt>
                <c:pt idx="35">
                  <c:v>41974</c:v>
                </c:pt>
                <c:pt idx="36">
                  <c:v>42005</c:v>
                </c:pt>
                <c:pt idx="37">
                  <c:v>42036</c:v>
                </c:pt>
                <c:pt idx="38">
                  <c:v>42064</c:v>
                </c:pt>
                <c:pt idx="39">
                  <c:v>42095</c:v>
                </c:pt>
                <c:pt idx="40">
                  <c:v>42125</c:v>
                </c:pt>
                <c:pt idx="41">
                  <c:v>42156</c:v>
                </c:pt>
                <c:pt idx="42">
                  <c:v>42186</c:v>
                </c:pt>
                <c:pt idx="43">
                  <c:v>42217</c:v>
                </c:pt>
                <c:pt idx="44">
                  <c:v>42248</c:v>
                </c:pt>
                <c:pt idx="45">
                  <c:v>42278</c:v>
                </c:pt>
                <c:pt idx="46">
                  <c:v>42309</c:v>
                </c:pt>
                <c:pt idx="47">
                  <c:v>42339</c:v>
                </c:pt>
                <c:pt idx="48">
                  <c:v>42370</c:v>
                </c:pt>
                <c:pt idx="49">
                  <c:v>42401</c:v>
                </c:pt>
                <c:pt idx="50">
                  <c:v>42430</c:v>
                </c:pt>
                <c:pt idx="51">
                  <c:v>42461</c:v>
                </c:pt>
                <c:pt idx="52">
                  <c:v>42491</c:v>
                </c:pt>
                <c:pt idx="53">
                  <c:v>42522</c:v>
                </c:pt>
                <c:pt idx="54">
                  <c:v>42552</c:v>
                </c:pt>
                <c:pt idx="55">
                  <c:v>42583</c:v>
                </c:pt>
                <c:pt idx="56">
                  <c:v>42614</c:v>
                </c:pt>
                <c:pt idx="57">
                  <c:v>42644</c:v>
                </c:pt>
                <c:pt idx="58">
                  <c:v>42675</c:v>
                </c:pt>
                <c:pt idx="59">
                  <c:v>42705</c:v>
                </c:pt>
                <c:pt idx="60">
                  <c:v>42736</c:v>
                </c:pt>
                <c:pt idx="61">
                  <c:v>42767</c:v>
                </c:pt>
                <c:pt idx="62">
                  <c:v>42795</c:v>
                </c:pt>
                <c:pt idx="63">
                  <c:v>42826</c:v>
                </c:pt>
                <c:pt idx="64">
                  <c:v>42856</c:v>
                </c:pt>
                <c:pt idx="65">
                  <c:v>42887</c:v>
                </c:pt>
                <c:pt idx="66">
                  <c:v>42917</c:v>
                </c:pt>
                <c:pt idx="67">
                  <c:v>42948</c:v>
                </c:pt>
                <c:pt idx="68">
                  <c:v>42979</c:v>
                </c:pt>
                <c:pt idx="69">
                  <c:v>43009</c:v>
                </c:pt>
                <c:pt idx="70">
                  <c:v>43040</c:v>
                </c:pt>
                <c:pt idx="71">
                  <c:v>43070</c:v>
                </c:pt>
                <c:pt idx="72">
                  <c:v>43101</c:v>
                </c:pt>
                <c:pt idx="73">
                  <c:v>43132</c:v>
                </c:pt>
                <c:pt idx="74">
                  <c:v>43160</c:v>
                </c:pt>
                <c:pt idx="75">
                  <c:v>43191</c:v>
                </c:pt>
                <c:pt idx="76">
                  <c:v>43221</c:v>
                </c:pt>
                <c:pt idx="77">
                  <c:v>43252</c:v>
                </c:pt>
                <c:pt idx="78">
                  <c:v>43282</c:v>
                </c:pt>
                <c:pt idx="79">
                  <c:v>43313</c:v>
                </c:pt>
                <c:pt idx="80">
                  <c:v>43344</c:v>
                </c:pt>
                <c:pt idx="81">
                  <c:v>43374</c:v>
                </c:pt>
                <c:pt idx="82">
                  <c:v>43405</c:v>
                </c:pt>
                <c:pt idx="83">
                  <c:v>43435</c:v>
                </c:pt>
              </c:numCache>
            </c:numRef>
          </c:cat>
          <c:val>
            <c:numRef>
              <c:f>'Misc. Data &amp; Mechanisms'!$W$390:$W$473</c:f>
              <c:numCache>
                <c:formatCode>"$"#,##0.00</c:formatCode>
                <c:ptCount val="84"/>
                <c:pt idx="0">
                  <c:v>19.250697922982862</c:v>
                </c:pt>
                <c:pt idx="1">
                  <c:v>18.269203010355561</c:v>
                </c:pt>
                <c:pt idx="2">
                  <c:v>17.325793189423631</c:v>
                </c:pt>
                <c:pt idx="3">
                  <c:v>15.197616611872075</c:v>
                </c:pt>
                <c:pt idx="4">
                  <c:v>10.970411154369145</c:v>
                </c:pt>
                <c:pt idx="5">
                  <c:v>9.5873374297571381</c:v>
                </c:pt>
                <c:pt idx="6">
                  <c:v>10.768503068056654</c:v>
                </c:pt>
                <c:pt idx="7">
                  <c:v>11.080049855017851</c:v>
                </c:pt>
                <c:pt idx="8">
                  <c:v>10.97973330763061</c:v>
                </c:pt>
                <c:pt idx="9">
                  <c:v>16.734953623243943</c:v>
                </c:pt>
                <c:pt idx="10">
                  <c:v>19.842298221449653</c:v>
                </c:pt>
                <c:pt idx="11">
                  <c:v>22.363645557314804</c:v>
                </c:pt>
                <c:pt idx="12">
                  <c:v>22.679100973688016</c:v>
                </c:pt>
                <c:pt idx="13">
                  <c:v>18.710026750463086</c:v>
                </c:pt>
                <c:pt idx="14">
                  <c:v>20.769938010878427</c:v>
                </c:pt>
                <c:pt idx="15">
                  <c:v>20.008367195917106</c:v>
                </c:pt>
                <c:pt idx="16">
                  <c:v>14.045822545410688</c:v>
                </c:pt>
                <c:pt idx="17">
                  <c:v>12.61608715978109</c:v>
                </c:pt>
                <c:pt idx="18">
                  <c:v>12.862110823285921</c:v>
                </c:pt>
                <c:pt idx="19">
                  <c:v>12.660806127773911</c:v>
                </c:pt>
                <c:pt idx="20">
                  <c:v>13.307220586249525</c:v>
                </c:pt>
                <c:pt idx="21">
                  <c:v>16.830776227608993</c:v>
                </c:pt>
                <c:pt idx="22">
                  <c:v>21.018020351472074</c:v>
                </c:pt>
                <c:pt idx="23">
                  <c:v>25.1242309963182</c:v>
                </c:pt>
                <c:pt idx="24">
                  <c:v>22.137538392743206</c:v>
                </c:pt>
                <c:pt idx="25">
                  <c:v>23.74947718268438</c:v>
                </c:pt>
                <c:pt idx="26">
                  <c:v>22.151985285591948</c:v>
                </c:pt>
                <c:pt idx="27">
                  <c:v>17.787078330291521</c:v>
                </c:pt>
                <c:pt idx="28">
                  <c:v>15.44125401217064</c:v>
                </c:pt>
                <c:pt idx="29">
                  <c:v>12.978291590476219</c:v>
                </c:pt>
                <c:pt idx="30">
                  <c:v>12.814919492266009</c:v>
                </c:pt>
                <c:pt idx="31">
                  <c:v>12.89081450140494</c:v>
                </c:pt>
                <c:pt idx="32">
                  <c:v>14.310170665896718</c:v>
                </c:pt>
                <c:pt idx="33">
                  <c:v>17.295392989248107</c:v>
                </c:pt>
                <c:pt idx="34">
                  <c:v>22.817062264819779</c:v>
                </c:pt>
                <c:pt idx="35">
                  <c:v>22.195978727199627</c:v>
                </c:pt>
                <c:pt idx="36">
                  <c:v>24.210360824708062</c:v>
                </c:pt>
                <c:pt idx="37">
                  <c:v>21.886668340478401</c:v>
                </c:pt>
                <c:pt idx="38">
                  <c:v>19.944594341688649</c:v>
                </c:pt>
                <c:pt idx="39">
                  <c:v>17.128681533704849</c:v>
                </c:pt>
                <c:pt idx="40">
                  <c:v>15.375323926988267</c:v>
                </c:pt>
                <c:pt idx="41">
                  <c:v>13.332178324483078</c:v>
                </c:pt>
                <c:pt idx="42">
                  <c:v>13.353762689979963</c:v>
                </c:pt>
                <c:pt idx="43">
                  <c:v>13.619053367370361</c:v>
                </c:pt>
                <c:pt idx="44">
                  <c:v>14.901902702140656</c:v>
                </c:pt>
                <c:pt idx="45">
                  <c:v>16.951719426076785</c:v>
                </c:pt>
                <c:pt idx="46">
                  <c:v>20.833686942876056</c:v>
                </c:pt>
                <c:pt idx="47">
                  <c:v>24.841083253458049</c:v>
                </c:pt>
                <c:pt idx="48">
                  <c:v>25.007933373437599</c:v>
                </c:pt>
                <c:pt idx="49">
                  <c:v>21.228228759508543</c:v>
                </c:pt>
                <c:pt idx="50">
                  <c:v>21.320136085609004</c:v>
                </c:pt>
                <c:pt idx="51">
                  <c:v>16.700044145084082</c:v>
                </c:pt>
                <c:pt idx="52">
                  <c:v>15.429117039418887</c:v>
                </c:pt>
                <c:pt idx="53">
                  <c:v>13.426546883240658</c:v>
                </c:pt>
                <c:pt idx="54">
                  <c:v>13.734992756591284</c:v>
                </c:pt>
                <c:pt idx="55">
                  <c:v>14.106163931221047</c:v>
                </c:pt>
                <c:pt idx="56">
                  <c:v>15.976788595435224</c:v>
                </c:pt>
                <c:pt idx="57">
                  <c:v>22.54353475964907</c:v>
                </c:pt>
                <c:pt idx="58">
                  <c:v>22.153019793091669</c:v>
                </c:pt>
                <c:pt idx="59">
                  <c:v>30.64710032328156</c:v>
                </c:pt>
                <c:pt idx="60">
                  <c:v>28.719656879513746</c:v>
                </c:pt>
                <c:pt idx="61">
                  <c:v>25.321278583092621</c:v>
                </c:pt>
                <c:pt idx="62">
                  <c:v>27.335130775584535</c:v>
                </c:pt>
                <c:pt idx="63">
                  <c:v>20.601748413743191</c:v>
                </c:pt>
                <c:pt idx="64">
                  <c:v>15.199787227691234</c:v>
                </c:pt>
                <c:pt idx="65">
                  <c:v>13.676452962542946</c:v>
                </c:pt>
                <c:pt idx="66">
                  <c:v>14.120875174905173</c:v>
                </c:pt>
                <c:pt idx="67">
                  <c:v>13.625467855346423</c:v>
                </c:pt>
                <c:pt idx="68">
                  <c:v>14.908709374855041</c:v>
                </c:pt>
                <c:pt idx="69">
                  <c:v>19.213219422489605</c:v>
                </c:pt>
                <c:pt idx="70">
                  <c:v>25.769853959321107</c:v>
                </c:pt>
                <c:pt idx="71">
                  <c:v>24.338620066198345</c:v>
                </c:pt>
                <c:pt idx="72">
                  <c:v>27.418622406305388</c:v>
                </c:pt>
                <c:pt idx="73">
                  <c:v>25.651923589214434</c:v>
                </c:pt>
                <c:pt idx="74">
                  <c:v>20.696161058414091</c:v>
                </c:pt>
                <c:pt idx="75">
                  <c:v>15.787633842742448</c:v>
                </c:pt>
                <c:pt idx="76">
                  <c:v>11.826391431857544</c:v>
                </c:pt>
                <c:pt idx="77">
                  <c:v>11.13390469934393</c:v>
                </c:pt>
                <c:pt idx="78">
                  <c:v>11.289808495668149</c:v>
                </c:pt>
                <c:pt idx="79">
                  <c:v>11.61378450546086</c:v>
                </c:pt>
                <c:pt idx="80">
                  <c:v>13.662167254808992</c:v>
                </c:pt>
                <c:pt idx="81">
                  <c:v>15.369121186414953</c:v>
                </c:pt>
                <c:pt idx="82">
                  <c:v>17.06303250852336</c:v>
                </c:pt>
                <c:pt idx="83">
                  <c:v>19.212648441722902</c:v>
                </c:pt>
              </c:numCache>
            </c:numRef>
          </c:val>
          <c:smooth val="0"/>
        </c:ser>
        <c:dLbls>
          <c:showLegendKey val="0"/>
          <c:showVal val="0"/>
          <c:showCatName val="0"/>
          <c:showSerName val="0"/>
          <c:showPercent val="0"/>
          <c:showBubbleSize val="0"/>
        </c:dLbls>
        <c:marker val="1"/>
        <c:smooth val="0"/>
        <c:axId val="345518848"/>
        <c:axId val="345520384"/>
      </c:lineChart>
      <c:dateAx>
        <c:axId val="345518848"/>
        <c:scaling>
          <c:orientation val="minMax"/>
        </c:scaling>
        <c:delete val="0"/>
        <c:axPos val="b"/>
        <c:numFmt formatCode="mmm-yy" sourceLinked="1"/>
        <c:majorTickMark val="out"/>
        <c:minorTickMark val="none"/>
        <c:tickLblPos val="nextTo"/>
        <c:crossAx val="345520384"/>
        <c:crosses val="autoZero"/>
        <c:auto val="1"/>
        <c:lblOffset val="100"/>
        <c:baseTimeUnit val="months"/>
      </c:dateAx>
      <c:valAx>
        <c:axId val="345520384"/>
        <c:scaling>
          <c:orientation val="minMax"/>
        </c:scaling>
        <c:delete val="0"/>
        <c:axPos val="l"/>
        <c:majorGridlines/>
        <c:numFmt formatCode="&quot;$&quot;#,##0" sourceLinked="0"/>
        <c:majorTickMark val="out"/>
        <c:minorTickMark val="none"/>
        <c:tickLblPos val="nextTo"/>
        <c:crossAx val="345518848"/>
        <c:crosses val="autoZero"/>
        <c:crossBetween val="between"/>
        <c:majorUnit val="2"/>
      </c:valAx>
    </c:plotArea>
    <c:legend>
      <c:legendPos val="r"/>
      <c:overlay val="0"/>
    </c:legend>
    <c:plotVisOnly val="1"/>
    <c:dispBlanksAs val="gap"/>
    <c:showDLblsOverMax val="0"/>
  </c:chart>
  <c:spPr>
    <a:ln>
      <a:noFill/>
    </a:ln>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barChart>
        <c:barDir val="col"/>
        <c:grouping val="stacked"/>
        <c:varyColors val="0"/>
        <c:ser>
          <c:idx val="0"/>
          <c:order val="0"/>
          <c:tx>
            <c:v>Additional Annual Bill Payments due to Consumption Differences</c:v>
          </c:tx>
          <c:invertIfNegative val="0"/>
          <c:dLbls>
            <c:dLbl>
              <c:idx val="0"/>
              <c:tx>
                <c:strRef>
                  <c:f>'Misc. Data &amp; Mechanisms'!$C$494</c:f>
                  <c:strCache>
                    <c:ptCount val="1"/>
                    <c:pt idx="0">
                      <c:v>48.0%</c:v>
                    </c:pt>
                  </c:strCache>
                </c:strRef>
              </c:tx>
              <c:dLblPos val="ctr"/>
              <c:showLegendKey val="0"/>
              <c:showVal val="1"/>
              <c:showCatName val="0"/>
              <c:showSerName val="0"/>
              <c:showPercent val="0"/>
              <c:showBubbleSize val="0"/>
            </c:dLbl>
            <c:dLbl>
              <c:idx val="1"/>
              <c:tx>
                <c:strRef>
                  <c:f>'Misc. Data &amp; Mechanisms'!$E$494</c:f>
                  <c:strCache>
                    <c:ptCount val="1"/>
                    <c:pt idx="0">
                      <c:v>59.1%</c:v>
                    </c:pt>
                  </c:strCache>
                </c:strRef>
              </c:tx>
              <c:dLblPos val="ctr"/>
              <c:showLegendKey val="0"/>
              <c:showVal val="1"/>
              <c:showCatName val="0"/>
              <c:showSerName val="0"/>
              <c:showPercent val="0"/>
              <c:showBubbleSize val="0"/>
            </c:dLbl>
            <c:dLbl>
              <c:idx val="2"/>
              <c:tx>
                <c:strRef>
                  <c:f>'Misc. Data &amp; Mechanisms'!$F$494</c:f>
                  <c:strCache>
                    <c:ptCount val="1"/>
                    <c:pt idx="0">
                      <c:v>27.7%</c:v>
                    </c:pt>
                  </c:strCache>
                </c:strRef>
              </c:tx>
              <c:dLblPos val="ctr"/>
              <c:showLegendKey val="0"/>
              <c:showVal val="1"/>
              <c:showCatName val="0"/>
              <c:showSerName val="0"/>
              <c:showPercent val="0"/>
              <c:showBubbleSize val="0"/>
            </c:dLbl>
            <c:txPr>
              <a:bodyPr/>
              <a:lstStyle/>
              <a:p>
                <a:pPr>
                  <a:defRPr sz="800">
                    <a:solidFill>
                      <a:schemeClr val="bg1"/>
                    </a:solidFill>
                  </a:defRPr>
                </a:pPr>
                <a:endParaRPr lang="en-US"/>
              </a:p>
            </c:txPr>
            <c:dLblPos val="ctr"/>
            <c:showLegendKey val="0"/>
            <c:showVal val="1"/>
            <c:showCatName val="0"/>
            <c:showSerName val="0"/>
            <c:showPercent val="0"/>
            <c:showBubbleSize val="0"/>
            <c:showLeaderLines val="0"/>
          </c:dLbls>
          <c:cat>
            <c:strRef>
              <c:f>('Misc. Data &amp; Mechanisms'!$C$492,'Misc. Data &amp; Mechanisms'!$E$492,'Misc. Data &amp; Mechanisms'!$F$492)</c:f>
              <c:strCache>
                <c:ptCount val="3"/>
                <c:pt idx="0">
                  <c:v>ENMAX</c:v>
                </c:pt>
                <c:pt idx="1">
                  <c:v>FORTIS</c:v>
                </c:pt>
                <c:pt idx="2">
                  <c:v>ATCO</c:v>
                </c:pt>
              </c:strCache>
            </c:strRef>
          </c:cat>
          <c:val>
            <c:numRef>
              <c:f>('Misc. Data &amp; Mechanisms'!$C$493,'Misc. Data &amp; Mechanisms'!$E$493,'Misc. Data &amp; Mechanisms'!$F$493)</c:f>
              <c:numCache>
                <c:formatCode>"$"#,##0.00</c:formatCode>
                <c:ptCount val="3"/>
                <c:pt idx="0">
                  <c:v>46.108994683552169</c:v>
                </c:pt>
                <c:pt idx="1">
                  <c:v>274.81212515710126</c:v>
                </c:pt>
                <c:pt idx="2">
                  <c:v>306.87897804755562</c:v>
                </c:pt>
              </c:numCache>
            </c:numRef>
          </c:val>
        </c:ser>
        <c:ser>
          <c:idx val="1"/>
          <c:order val="1"/>
          <c:tx>
            <c:v>Additional Annual Bill Payments due to Rate Differences</c:v>
          </c:tx>
          <c:invertIfNegative val="0"/>
          <c:dLbls>
            <c:dLbl>
              <c:idx val="0"/>
              <c:tx>
                <c:strRef>
                  <c:f>'Misc. Data &amp; Mechanisms'!$C$497</c:f>
                  <c:strCache>
                    <c:ptCount val="1"/>
                    <c:pt idx="0">
                      <c:v>52.0%</c:v>
                    </c:pt>
                  </c:strCache>
                </c:strRef>
              </c:tx>
              <c:dLblPos val="ctr"/>
              <c:showLegendKey val="0"/>
              <c:showVal val="1"/>
              <c:showCatName val="0"/>
              <c:showSerName val="0"/>
              <c:showPercent val="0"/>
              <c:showBubbleSize val="0"/>
            </c:dLbl>
            <c:dLbl>
              <c:idx val="1"/>
              <c:tx>
                <c:strRef>
                  <c:f>'Misc. Data &amp; Mechanisms'!$E$497</c:f>
                  <c:strCache>
                    <c:ptCount val="1"/>
                    <c:pt idx="0">
                      <c:v>40.9%</c:v>
                    </c:pt>
                  </c:strCache>
                </c:strRef>
              </c:tx>
              <c:dLblPos val="ctr"/>
              <c:showLegendKey val="0"/>
              <c:showVal val="1"/>
              <c:showCatName val="0"/>
              <c:showSerName val="0"/>
              <c:showPercent val="0"/>
              <c:showBubbleSize val="0"/>
            </c:dLbl>
            <c:dLbl>
              <c:idx val="2"/>
              <c:tx>
                <c:strRef>
                  <c:f>'Misc. Data &amp; Mechanisms'!$F$497</c:f>
                  <c:strCache>
                    <c:ptCount val="1"/>
                    <c:pt idx="0">
                      <c:v>72.3%</c:v>
                    </c:pt>
                  </c:strCache>
                </c:strRef>
              </c:tx>
              <c:dLblPos val="ctr"/>
              <c:showLegendKey val="0"/>
              <c:showVal val="1"/>
              <c:showCatName val="0"/>
              <c:showSerName val="0"/>
              <c:showPercent val="0"/>
              <c:showBubbleSize val="0"/>
            </c:dLbl>
            <c:txPr>
              <a:bodyPr/>
              <a:lstStyle/>
              <a:p>
                <a:pPr>
                  <a:defRPr sz="800">
                    <a:solidFill>
                      <a:schemeClr val="bg1"/>
                    </a:solidFill>
                  </a:defRPr>
                </a:pPr>
                <a:endParaRPr lang="en-US"/>
              </a:p>
            </c:txPr>
            <c:dLblPos val="ctr"/>
            <c:showLegendKey val="0"/>
            <c:showVal val="1"/>
            <c:showCatName val="0"/>
            <c:showSerName val="0"/>
            <c:showPercent val="0"/>
            <c:showBubbleSize val="0"/>
            <c:showLeaderLines val="0"/>
          </c:dLbls>
          <c:cat>
            <c:strRef>
              <c:f>('Misc. Data &amp; Mechanisms'!$C$492,'Misc. Data &amp; Mechanisms'!$E$492,'Misc. Data &amp; Mechanisms'!$F$492)</c:f>
              <c:strCache>
                <c:ptCount val="3"/>
                <c:pt idx="0">
                  <c:v>ENMAX</c:v>
                </c:pt>
                <c:pt idx="1">
                  <c:v>FORTIS</c:v>
                </c:pt>
                <c:pt idx="2">
                  <c:v>ATCO</c:v>
                </c:pt>
              </c:strCache>
            </c:strRef>
          </c:cat>
          <c:val>
            <c:numRef>
              <c:f>('Misc. Data &amp; Mechanisms'!$C$496,'Misc. Data &amp; Mechanisms'!$E$496,'Misc. Data &amp; Mechanisms'!$F$496)</c:f>
              <c:numCache>
                <c:formatCode>"$"#,##0.00</c:formatCode>
                <c:ptCount val="3"/>
                <c:pt idx="0">
                  <c:v>49.969631219801499</c:v>
                </c:pt>
                <c:pt idx="1">
                  <c:v>190.33180560939718</c:v>
                </c:pt>
                <c:pt idx="2">
                  <c:v>801.46360707152076</c:v>
                </c:pt>
              </c:numCache>
            </c:numRef>
          </c:val>
        </c:ser>
        <c:dLbls>
          <c:dLblPos val="ctr"/>
          <c:showLegendKey val="0"/>
          <c:showVal val="1"/>
          <c:showCatName val="0"/>
          <c:showSerName val="0"/>
          <c:showPercent val="0"/>
          <c:showBubbleSize val="0"/>
        </c:dLbls>
        <c:gapWidth val="100"/>
        <c:overlap val="100"/>
        <c:axId val="345567232"/>
        <c:axId val="345568768"/>
      </c:barChart>
      <c:catAx>
        <c:axId val="345567232"/>
        <c:scaling>
          <c:orientation val="minMax"/>
        </c:scaling>
        <c:delete val="0"/>
        <c:axPos val="b"/>
        <c:majorTickMark val="out"/>
        <c:minorTickMark val="none"/>
        <c:tickLblPos val="nextTo"/>
        <c:crossAx val="345568768"/>
        <c:crosses val="autoZero"/>
        <c:auto val="1"/>
        <c:lblAlgn val="ctr"/>
        <c:lblOffset val="100"/>
        <c:noMultiLvlLbl val="0"/>
      </c:catAx>
      <c:valAx>
        <c:axId val="345568768"/>
        <c:scaling>
          <c:orientation val="minMax"/>
        </c:scaling>
        <c:delete val="0"/>
        <c:axPos val="l"/>
        <c:majorGridlines/>
        <c:numFmt formatCode="&quot;$&quot;#,##0.00" sourceLinked="1"/>
        <c:majorTickMark val="out"/>
        <c:minorTickMark val="none"/>
        <c:tickLblPos val="nextTo"/>
        <c:crossAx val="345567232"/>
        <c:crosses val="autoZero"/>
        <c:crossBetween val="between"/>
      </c:valAx>
    </c:plotArea>
    <c:legend>
      <c:legendPos val="r"/>
      <c:overlay val="0"/>
    </c:legend>
    <c:plotVisOnly val="1"/>
    <c:dispBlanksAs val="gap"/>
    <c:showDLblsOverMax val="0"/>
  </c:chart>
  <c:spPr>
    <a:ln>
      <a:noFill/>
    </a:ln>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itle>
    <c:autoTitleDeleted val="0"/>
    <c:plotArea>
      <c:layout>
        <c:manualLayout>
          <c:layoutTarget val="inner"/>
          <c:xMode val="edge"/>
          <c:yMode val="edge"/>
          <c:x val="0.11136893887692219"/>
          <c:y val="0.13225345031492547"/>
          <c:w val="0.68571603461228126"/>
          <c:h val="0.79310474266247222"/>
        </c:manualLayout>
      </c:layout>
      <c:barChart>
        <c:barDir val="col"/>
        <c:grouping val="stacked"/>
        <c:varyColors val="0"/>
        <c:ser>
          <c:idx val="1"/>
          <c:order val="0"/>
          <c:tx>
            <c:strRef>
              <c:f>'Elec. Analysis'!$A$31</c:f>
              <c:strCache>
                <c:ptCount val="1"/>
                <c:pt idx="0">
                  <c:v>Total Bill, Relative to EPCOR in 2019</c:v>
                </c:pt>
              </c:strCache>
            </c:strRef>
          </c:tx>
          <c:invertIfNegative val="0"/>
          <c:cat>
            <c:strRef>
              <c:f>'Elec. Analysis'!$C$20:$F$20</c:f>
              <c:strCache>
                <c:ptCount val="4"/>
                <c:pt idx="0">
                  <c:v>ENMAX</c:v>
                </c:pt>
                <c:pt idx="1">
                  <c:v>EPCOR</c:v>
                </c:pt>
                <c:pt idx="2">
                  <c:v>FORTIS</c:v>
                </c:pt>
                <c:pt idx="3">
                  <c:v>ATCO</c:v>
                </c:pt>
              </c:strCache>
            </c:strRef>
          </c:cat>
          <c:val>
            <c:numRef>
              <c:f>'Elec. Analysis'!$C$31:$F$31</c:f>
              <c:numCache>
                <c:formatCode>0.0%</c:formatCode>
                <c:ptCount val="4"/>
                <c:pt idx="0">
                  <c:v>1.1332365875583306</c:v>
                </c:pt>
                <c:pt idx="1">
                  <c:v>1</c:v>
                </c:pt>
                <c:pt idx="2">
                  <c:v>1.549169240251191</c:v>
                </c:pt>
                <c:pt idx="3">
                  <c:v>2.2022493951817954</c:v>
                </c:pt>
              </c:numCache>
            </c:numRef>
          </c:val>
        </c:ser>
        <c:dLbls>
          <c:showLegendKey val="0"/>
          <c:showVal val="0"/>
          <c:showCatName val="0"/>
          <c:showSerName val="0"/>
          <c:showPercent val="0"/>
          <c:showBubbleSize val="0"/>
        </c:dLbls>
        <c:gapWidth val="150"/>
        <c:overlap val="100"/>
        <c:axId val="240362624"/>
        <c:axId val="240364160"/>
      </c:barChart>
      <c:catAx>
        <c:axId val="240362624"/>
        <c:scaling>
          <c:orientation val="minMax"/>
        </c:scaling>
        <c:delete val="0"/>
        <c:axPos val="b"/>
        <c:majorTickMark val="out"/>
        <c:minorTickMark val="none"/>
        <c:tickLblPos val="nextTo"/>
        <c:crossAx val="240364160"/>
        <c:crosses val="autoZero"/>
        <c:auto val="1"/>
        <c:lblAlgn val="ctr"/>
        <c:lblOffset val="100"/>
        <c:noMultiLvlLbl val="0"/>
      </c:catAx>
      <c:valAx>
        <c:axId val="240364160"/>
        <c:scaling>
          <c:orientation val="minMax"/>
        </c:scaling>
        <c:delete val="0"/>
        <c:axPos val="l"/>
        <c:majorGridlines>
          <c:spPr>
            <a:ln>
              <a:solidFill>
                <a:schemeClr val="bg1">
                  <a:lumMod val="85000"/>
                </a:schemeClr>
              </a:solidFill>
              <a:prstDash val="dash"/>
            </a:ln>
          </c:spPr>
        </c:majorGridlines>
        <c:numFmt formatCode="0.0%" sourceLinked="1"/>
        <c:majorTickMark val="out"/>
        <c:minorTickMark val="none"/>
        <c:tickLblPos val="nextTo"/>
        <c:crossAx val="240362624"/>
        <c:crosses val="autoZero"/>
        <c:crossBetween val="between"/>
      </c:valAx>
    </c:plotArea>
    <c:legend>
      <c:legendPos val="r"/>
      <c:layout>
        <c:manualLayout>
          <c:xMode val="edge"/>
          <c:yMode val="edge"/>
          <c:x val="0.80674015748031491"/>
          <c:y val="0.39006139139713586"/>
          <c:w val="0.17864789516151469"/>
          <c:h val="0.27597324073355006"/>
        </c:manualLayout>
      </c:layout>
      <c:overlay val="0"/>
      <c:txPr>
        <a:bodyPr/>
        <a:lstStyle/>
        <a:p>
          <a:pPr>
            <a:defRPr sz="1100"/>
          </a:pPr>
          <a:endParaRPr lang="en-US"/>
        </a:p>
      </c:txPr>
    </c:legend>
    <c:plotVisOnly val="1"/>
    <c:dispBlanksAs val="gap"/>
    <c:showDLblsOverMax val="0"/>
  </c:chart>
  <c:spPr>
    <a:ln>
      <a:noFill/>
    </a:ln>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014192472376797"/>
          <c:y val="5.1579650104712521E-2"/>
          <c:w val="0.4484716498014123"/>
          <c:h val="0.83203636130849501"/>
        </c:manualLayout>
      </c:layout>
      <c:barChart>
        <c:barDir val="col"/>
        <c:grouping val="clustered"/>
        <c:varyColors val="0"/>
        <c:ser>
          <c:idx val="0"/>
          <c:order val="0"/>
          <c:tx>
            <c:strRef>
              <c:f>'Misc. Data &amp; Mechanisms'!$Z$480</c:f>
              <c:strCache>
                <c:ptCount val="1"/>
                <c:pt idx="0">
                  <c:v>Detached Total Annual Bill ($)</c:v>
                </c:pt>
              </c:strCache>
            </c:strRef>
          </c:tx>
          <c:spPr>
            <a:solidFill>
              <a:schemeClr val="accent2">
                <a:lumMod val="75000"/>
              </a:schemeClr>
            </a:solidFill>
          </c:spPr>
          <c:invertIfNegative val="0"/>
          <c:cat>
            <c:numRef>
              <c:f>'Misc. Data &amp; Mechanisms'!$Y$481:$Y$487</c:f>
              <c:numCache>
                <c:formatCode>0</c:formatCode>
                <c:ptCount val="7"/>
                <c:pt idx="0">
                  <c:v>2012</c:v>
                </c:pt>
                <c:pt idx="1">
                  <c:v>2013</c:v>
                </c:pt>
                <c:pt idx="2">
                  <c:v>2014</c:v>
                </c:pt>
                <c:pt idx="3">
                  <c:v>2015</c:v>
                </c:pt>
                <c:pt idx="4">
                  <c:v>2016</c:v>
                </c:pt>
                <c:pt idx="5">
                  <c:v>2017</c:v>
                </c:pt>
                <c:pt idx="6">
                  <c:v>2018</c:v>
                </c:pt>
              </c:numCache>
            </c:numRef>
          </c:cat>
          <c:val>
            <c:numRef>
              <c:f>'Misc. Data &amp; Mechanisms'!$Z$481:$Z$487</c:f>
              <c:numCache>
                <c:formatCode>0.00</c:formatCode>
                <c:ptCount val="7"/>
                <c:pt idx="0">
                  <c:v>1341.0591094199638</c:v>
                </c:pt>
                <c:pt idx="1">
                  <c:v>1232.5271443136678</c:v>
                </c:pt>
                <c:pt idx="2">
                  <c:v>1218.2459513856784</c:v>
                </c:pt>
                <c:pt idx="3">
                  <c:v>1033.7087182827095</c:v>
                </c:pt>
                <c:pt idx="4">
                  <c:v>893.39200321505848</c:v>
                </c:pt>
                <c:pt idx="5">
                  <c:v>906.1433838938342</c:v>
                </c:pt>
                <c:pt idx="6">
                  <c:v>1151.9960429980324</c:v>
                </c:pt>
              </c:numCache>
            </c:numRef>
          </c:val>
        </c:ser>
        <c:dLbls>
          <c:showLegendKey val="0"/>
          <c:showVal val="0"/>
          <c:showCatName val="0"/>
          <c:showSerName val="0"/>
          <c:showPercent val="0"/>
          <c:showBubbleSize val="0"/>
        </c:dLbls>
        <c:gapWidth val="150"/>
        <c:axId val="345607168"/>
        <c:axId val="345613056"/>
      </c:barChart>
      <c:lineChart>
        <c:grouping val="standard"/>
        <c:varyColors val="0"/>
        <c:ser>
          <c:idx val="1"/>
          <c:order val="1"/>
          <c:tx>
            <c:strRef>
              <c:f>'Misc. Data &amp; Mechanisms'!$AA$480</c:f>
              <c:strCache>
                <c:ptCount val="1"/>
                <c:pt idx="0">
                  <c:v>Detached Total Annual Consumption (kWh/year)</c:v>
                </c:pt>
              </c:strCache>
            </c:strRef>
          </c:tx>
          <c:spPr>
            <a:ln>
              <a:solidFill>
                <a:schemeClr val="accent1">
                  <a:lumMod val="75000"/>
                </a:schemeClr>
              </a:solidFill>
            </a:ln>
          </c:spPr>
          <c:marker>
            <c:symbol val="none"/>
          </c:marker>
          <c:cat>
            <c:numRef>
              <c:f>'Misc. Data &amp; Mechanisms'!$Y$481:$Y$487</c:f>
              <c:numCache>
                <c:formatCode>0</c:formatCode>
                <c:ptCount val="7"/>
                <c:pt idx="0">
                  <c:v>2012</c:v>
                </c:pt>
                <c:pt idx="1">
                  <c:v>2013</c:v>
                </c:pt>
                <c:pt idx="2">
                  <c:v>2014</c:v>
                </c:pt>
                <c:pt idx="3">
                  <c:v>2015</c:v>
                </c:pt>
                <c:pt idx="4">
                  <c:v>2016</c:v>
                </c:pt>
                <c:pt idx="5">
                  <c:v>2017</c:v>
                </c:pt>
                <c:pt idx="6">
                  <c:v>2018</c:v>
                </c:pt>
              </c:numCache>
            </c:numRef>
          </c:cat>
          <c:val>
            <c:numRef>
              <c:f>'Misc. Data &amp; Mechanisms'!$AA$481:$AA$487</c:f>
              <c:numCache>
                <c:formatCode>0</c:formatCode>
                <c:ptCount val="7"/>
                <c:pt idx="0">
                  <c:v>7260.2058854877832</c:v>
                </c:pt>
                <c:pt idx="1">
                  <c:v>7224.9999320139168</c:v>
                </c:pt>
                <c:pt idx="2">
                  <c:v>7206.8761845516656</c:v>
                </c:pt>
                <c:pt idx="3">
                  <c:v>6958.7394879593321</c:v>
                </c:pt>
                <c:pt idx="4">
                  <c:v>6786.6456582751607</c:v>
                </c:pt>
                <c:pt idx="5">
                  <c:v>6712.5622872685408</c:v>
                </c:pt>
                <c:pt idx="6">
                  <c:v>6637.2738037623576</c:v>
                </c:pt>
              </c:numCache>
            </c:numRef>
          </c:val>
          <c:smooth val="0"/>
        </c:ser>
        <c:dLbls>
          <c:showLegendKey val="0"/>
          <c:showVal val="0"/>
          <c:showCatName val="0"/>
          <c:showSerName val="0"/>
          <c:showPercent val="0"/>
          <c:showBubbleSize val="0"/>
        </c:dLbls>
        <c:marker val="1"/>
        <c:smooth val="0"/>
        <c:axId val="345617152"/>
        <c:axId val="345614976"/>
      </c:lineChart>
      <c:catAx>
        <c:axId val="345607168"/>
        <c:scaling>
          <c:orientation val="minMax"/>
        </c:scaling>
        <c:delete val="0"/>
        <c:axPos val="b"/>
        <c:numFmt formatCode="0" sourceLinked="1"/>
        <c:majorTickMark val="out"/>
        <c:minorTickMark val="none"/>
        <c:tickLblPos val="nextTo"/>
        <c:crossAx val="345613056"/>
        <c:crosses val="autoZero"/>
        <c:auto val="1"/>
        <c:lblAlgn val="ctr"/>
        <c:lblOffset val="100"/>
        <c:noMultiLvlLbl val="0"/>
      </c:catAx>
      <c:valAx>
        <c:axId val="345613056"/>
        <c:scaling>
          <c:orientation val="minMax"/>
          <c:max val="1500"/>
          <c:min val="800"/>
        </c:scaling>
        <c:delete val="0"/>
        <c:axPos val="l"/>
        <c:majorGridlines/>
        <c:title>
          <c:tx>
            <c:rich>
              <a:bodyPr rot="-5400000" vert="horz"/>
              <a:lstStyle/>
              <a:p>
                <a:pPr>
                  <a:defRPr/>
                </a:pPr>
                <a:r>
                  <a:rPr lang="en-US"/>
                  <a:t>Total Annual Regulated Bill ($)</a:t>
                </a:r>
              </a:p>
            </c:rich>
          </c:tx>
          <c:overlay val="0"/>
        </c:title>
        <c:numFmt formatCode="&quot;$&quot;#,##0" sourceLinked="0"/>
        <c:majorTickMark val="out"/>
        <c:minorTickMark val="none"/>
        <c:tickLblPos val="nextTo"/>
        <c:crossAx val="345607168"/>
        <c:crosses val="autoZero"/>
        <c:crossBetween val="between"/>
      </c:valAx>
      <c:valAx>
        <c:axId val="345614976"/>
        <c:scaling>
          <c:orientation val="minMax"/>
          <c:max val="8500"/>
          <c:min val="5000"/>
        </c:scaling>
        <c:delete val="0"/>
        <c:axPos val="r"/>
        <c:title>
          <c:tx>
            <c:rich>
              <a:bodyPr rot="5400000" vert="horz"/>
              <a:lstStyle/>
              <a:p>
                <a:pPr>
                  <a:defRPr/>
                </a:pPr>
                <a:r>
                  <a:rPr lang="en-US"/>
                  <a:t>Total Annual Consumption (kWh/year)</a:t>
                </a:r>
              </a:p>
            </c:rich>
          </c:tx>
          <c:overlay val="0"/>
        </c:title>
        <c:numFmt formatCode="0" sourceLinked="1"/>
        <c:majorTickMark val="out"/>
        <c:minorTickMark val="none"/>
        <c:tickLblPos val="nextTo"/>
        <c:crossAx val="345617152"/>
        <c:crosses val="max"/>
        <c:crossBetween val="between"/>
      </c:valAx>
      <c:catAx>
        <c:axId val="345617152"/>
        <c:scaling>
          <c:orientation val="minMax"/>
        </c:scaling>
        <c:delete val="1"/>
        <c:axPos val="b"/>
        <c:numFmt formatCode="0" sourceLinked="1"/>
        <c:majorTickMark val="out"/>
        <c:minorTickMark val="none"/>
        <c:tickLblPos val="nextTo"/>
        <c:crossAx val="345614976"/>
        <c:crosses val="autoZero"/>
        <c:auto val="1"/>
        <c:lblAlgn val="ctr"/>
        <c:lblOffset val="100"/>
        <c:noMultiLvlLbl val="0"/>
      </c:catAx>
    </c:plotArea>
    <c:legend>
      <c:legendPos val="r"/>
      <c:layout>
        <c:manualLayout>
          <c:xMode val="edge"/>
          <c:yMode val="edge"/>
          <c:x val="0.7583369631987491"/>
          <c:y val="0.2696270109093506"/>
          <c:w val="0.24121985770108675"/>
          <c:h val="0.48755976931454997"/>
        </c:manualLayout>
      </c:layout>
      <c:overlay val="0"/>
    </c:legend>
    <c:plotVisOnly val="1"/>
    <c:dispBlanksAs val="gap"/>
    <c:showDLblsOverMax val="0"/>
  </c:chart>
  <c:spPr>
    <a:ln>
      <a:noFill/>
    </a:ln>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5245571576280237"/>
          <c:y val="5.2401263112672639E-2"/>
          <c:w val="0.44176841531172234"/>
          <c:h val="0.82936086602822268"/>
        </c:manualLayout>
      </c:layout>
      <c:barChart>
        <c:barDir val="col"/>
        <c:grouping val="clustered"/>
        <c:varyColors val="0"/>
        <c:ser>
          <c:idx val="3"/>
          <c:order val="0"/>
          <c:tx>
            <c:strRef>
              <c:f>'Misc. Data &amp; Mechanisms'!$AC$480</c:f>
              <c:strCache>
                <c:ptCount val="1"/>
                <c:pt idx="0">
                  <c:v>Apartment Total Annual Bill ($)</c:v>
                </c:pt>
              </c:strCache>
            </c:strRef>
          </c:tx>
          <c:spPr>
            <a:solidFill>
              <a:schemeClr val="accent2">
                <a:lumMod val="75000"/>
              </a:schemeClr>
            </a:solidFill>
          </c:spPr>
          <c:invertIfNegative val="0"/>
          <c:cat>
            <c:numRef>
              <c:f>'Misc. Data &amp; Mechanisms'!$Y$481:$Y$487</c:f>
              <c:numCache>
                <c:formatCode>0</c:formatCode>
                <c:ptCount val="7"/>
                <c:pt idx="0">
                  <c:v>2012</c:v>
                </c:pt>
                <c:pt idx="1">
                  <c:v>2013</c:v>
                </c:pt>
                <c:pt idx="2">
                  <c:v>2014</c:v>
                </c:pt>
                <c:pt idx="3">
                  <c:v>2015</c:v>
                </c:pt>
                <c:pt idx="4">
                  <c:v>2016</c:v>
                </c:pt>
                <c:pt idx="5">
                  <c:v>2017</c:v>
                </c:pt>
                <c:pt idx="6">
                  <c:v>2018</c:v>
                </c:pt>
              </c:numCache>
            </c:numRef>
          </c:cat>
          <c:val>
            <c:numRef>
              <c:f>'Misc. Data &amp; Mechanisms'!$AC$481:$AC$487</c:f>
              <c:numCache>
                <c:formatCode>0.00</c:formatCode>
                <c:ptCount val="7"/>
                <c:pt idx="0">
                  <c:v>856.85057704211249</c:v>
                </c:pt>
                <c:pt idx="1">
                  <c:v>793.98330988899306</c:v>
                </c:pt>
                <c:pt idx="2">
                  <c:v>809.28658087197016</c:v>
                </c:pt>
                <c:pt idx="3">
                  <c:v>701.40827462153788</c:v>
                </c:pt>
                <c:pt idx="4">
                  <c:v>616.54488917805895</c:v>
                </c:pt>
                <c:pt idx="5">
                  <c:v>630.51643308002667</c:v>
                </c:pt>
                <c:pt idx="6">
                  <c:v>778.639644754919</c:v>
                </c:pt>
              </c:numCache>
            </c:numRef>
          </c:val>
        </c:ser>
        <c:dLbls>
          <c:showLegendKey val="0"/>
          <c:showVal val="0"/>
          <c:showCatName val="0"/>
          <c:showSerName val="0"/>
          <c:showPercent val="0"/>
          <c:showBubbleSize val="0"/>
        </c:dLbls>
        <c:gapWidth val="150"/>
        <c:axId val="346053248"/>
        <c:axId val="346067328"/>
      </c:barChart>
      <c:lineChart>
        <c:grouping val="standard"/>
        <c:varyColors val="0"/>
        <c:ser>
          <c:idx val="4"/>
          <c:order val="1"/>
          <c:tx>
            <c:strRef>
              <c:f>'Misc. Data &amp; Mechanisms'!$AD$480</c:f>
              <c:strCache>
                <c:ptCount val="1"/>
                <c:pt idx="0">
                  <c:v>Apartment Total Annual Consumption (kWh/year)</c:v>
                </c:pt>
              </c:strCache>
            </c:strRef>
          </c:tx>
          <c:spPr>
            <a:ln>
              <a:solidFill>
                <a:schemeClr val="accent1">
                  <a:lumMod val="75000"/>
                </a:schemeClr>
              </a:solidFill>
            </a:ln>
          </c:spPr>
          <c:marker>
            <c:symbol val="none"/>
          </c:marker>
          <c:cat>
            <c:numRef>
              <c:f>'Misc. Data &amp; Mechanisms'!$Y$481:$Y$487</c:f>
              <c:numCache>
                <c:formatCode>0</c:formatCode>
                <c:ptCount val="7"/>
                <c:pt idx="0">
                  <c:v>2012</c:v>
                </c:pt>
                <c:pt idx="1">
                  <c:v>2013</c:v>
                </c:pt>
                <c:pt idx="2">
                  <c:v>2014</c:v>
                </c:pt>
                <c:pt idx="3">
                  <c:v>2015</c:v>
                </c:pt>
                <c:pt idx="4">
                  <c:v>2016</c:v>
                </c:pt>
                <c:pt idx="5">
                  <c:v>2017</c:v>
                </c:pt>
                <c:pt idx="6">
                  <c:v>2018</c:v>
                </c:pt>
              </c:numCache>
            </c:numRef>
          </c:cat>
          <c:val>
            <c:numRef>
              <c:f>'Misc. Data &amp; Mechanisms'!$AD$481:$AD$487</c:f>
              <c:numCache>
                <c:formatCode>0</c:formatCode>
                <c:ptCount val="7"/>
                <c:pt idx="0">
                  <c:v>4077.6377840983105</c:v>
                </c:pt>
                <c:pt idx="1">
                  <c:v>4057.8646360120833</c:v>
                </c:pt>
                <c:pt idx="2">
                  <c:v>4047.6855751690223</c:v>
                </c:pt>
                <c:pt idx="3">
                  <c:v>3908.3215425775052</c:v>
                </c:pt>
                <c:pt idx="4">
                  <c:v>3811.6663907266425</c:v>
                </c:pt>
                <c:pt idx="5">
                  <c:v>3770.0580455151389</c:v>
                </c:pt>
                <c:pt idx="6">
                  <c:v>3727.772858304962</c:v>
                </c:pt>
              </c:numCache>
            </c:numRef>
          </c:val>
          <c:smooth val="0"/>
        </c:ser>
        <c:dLbls>
          <c:showLegendKey val="0"/>
          <c:showVal val="0"/>
          <c:showCatName val="0"/>
          <c:showSerName val="0"/>
          <c:showPercent val="0"/>
          <c:showBubbleSize val="0"/>
        </c:dLbls>
        <c:marker val="1"/>
        <c:smooth val="0"/>
        <c:axId val="346071424"/>
        <c:axId val="346069248"/>
      </c:lineChart>
      <c:catAx>
        <c:axId val="346053248"/>
        <c:scaling>
          <c:orientation val="minMax"/>
        </c:scaling>
        <c:delete val="0"/>
        <c:axPos val="b"/>
        <c:numFmt formatCode="0" sourceLinked="1"/>
        <c:majorTickMark val="out"/>
        <c:minorTickMark val="none"/>
        <c:tickLblPos val="nextTo"/>
        <c:crossAx val="346067328"/>
        <c:crosses val="autoZero"/>
        <c:auto val="1"/>
        <c:lblAlgn val="ctr"/>
        <c:lblOffset val="100"/>
        <c:noMultiLvlLbl val="0"/>
      </c:catAx>
      <c:valAx>
        <c:axId val="346067328"/>
        <c:scaling>
          <c:orientation val="minMax"/>
          <c:max val="1000"/>
          <c:min val="500"/>
        </c:scaling>
        <c:delete val="0"/>
        <c:axPos val="l"/>
        <c:majorGridlines/>
        <c:title>
          <c:tx>
            <c:rich>
              <a:bodyPr rot="-5400000" vert="horz"/>
              <a:lstStyle/>
              <a:p>
                <a:pPr>
                  <a:defRPr/>
                </a:pPr>
                <a:r>
                  <a:rPr lang="en-US"/>
                  <a:t>Total Annual Regulated Bill ($)</a:t>
                </a:r>
              </a:p>
            </c:rich>
          </c:tx>
          <c:overlay val="0"/>
        </c:title>
        <c:numFmt formatCode="&quot;$&quot;#,##0" sourceLinked="0"/>
        <c:majorTickMark val="out"/>
        <c:minorTickMark val="none"/>
        <c:tickLblPos val="nextTo"/>
        <c:crossAx val="346053248"/>
        <c:crosses val="autoZero"/>
        <c:crossBetween val="between"/>
        <c:majorUnit val="100"/>
      </c:valAx>
      <c:valAx>
        <c:axId val="346069248"/>
        <c:scaling>
          <c:orientation val="minMax"/>
          <c:max val="4100"/>
          <c:min val="3600"/>
        </c:scaling>
        <c:delete val="0"/>
        <c:axPos val="r"/>
        <c:title>
          <c:tx>
            <c:rich>
              <a:bodyPr rot="5400000" vert="horz"/>
              <a:lstStyle/>
              <a:p>
                <a:pPr>
                  <a:defRPr/>
                </a:pPr>
                <a:r>
                  <a:rPr lang="en-US"/>
                  <a:t>Total Annual Consumption (kWh/year)</a:t>
                </a:r>
              </a:p>
            </c:rich>
          </c:tx>
          <c:overlay val="0"/>
        </c:title>
        <c:numFmt formatCode="0" sourceLinked="1"/>
        <c:majorTickMark val="out"/>
        <c:minorTickMark val="none"/>
        <c:tickLblPos val="nextTo"/>
        <c:crossAx val="346071424"/>
        <c:crosses val="max"/>
        <c:crossBetween val="between"/>
        <c:majorUnit val="100"/>
      </c:valAx>
      <c:catAx>
        <c:axId val="346071424"/>
        <c:scaling>
          <c:orientation val="minMax"/>
        </c:scaling>
        <c:delete val="1"/>
        <c:axPos val="b"/>
        <c:numFmt formatCode="0" sourceLinked="1"/>
        <c:majorTickMark val="out"/>
        <c:minorTickMark val="none"/>
        <c:tickLblPos val="nextTo"/>
        <c:crossAx val="346069248"/>
        <c:crosses val="autoZero"/>
        <c:auto val="1"/>
        <c:lblAlgn val="ctr"/>
        <c:lblOffset val="100"/>
        <c:noMultiLvlLbl val="0"/>
      </c:catAx>
    </c:plotArea>
    <c:legend>
      <c:legendPos val="r"/>
      <c:layout>
        <c:manualLayout>
          <c:xMode val="edge"/>
          <c:yMode val="edge"/>
          <c:x val="0.75082114735658045"/>
          <c:y val="0.26755742595267673"/>
          <c:w val="0.23186283532740226"/>
          <c:h val="0.46960453959453891"/>
        </c:manualLayout>
      </c:layout>
      <c:overlay val="0"/>
    </c:legend>
    <c:plotVisOnly val="1"/>
    <c:dispBlanksAs val="gap"/>
    <c:showDLblsOverMax val="0"/>
  </c:chart>
  <c:spPr>
    <a:ln>
      <a:noFill/>
    </a:ln>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a:t>Variable Rate Components (all Household Types) in the ENMAX Zone, 2012 - 2017</a:t>
            </a:r>
          </a:p>
        </c:rich>
      </c:tx>
      <c:overlay val="0"/>
    </c:title>
    <c:autoTitleDeleted val="0"/>
    <c:plotArea>
      <c:layout/>
      <c:areaChart>
        <c:grouping val="stacked"/>
        <c:varyColors val="0"/>
        <c:ser>
          <c:idx val="2"/>
          <c:order val="0"/>
          <c:tx>
            <c:strRef>
              <c:f>'Misc. Data &amp; Mechanisms'!$P$480</c:f>
              <c:strCache>
                <c:ptCount val="1"/>
                <c:pt idx="0">
                  <c:v>Transmission</c:v>
                </c:pt>
              </c:strCache>
            </c:strRef>
          </c:tx>
          <c:spPr>
            <a:solidFill>
              <a:schemeClr val="accent2">
                <a:lumMod val="75000"/>
              </a:schemeClr>
            </a:solidFill>
            <a:ln w="25400">
              <a:noFill/>
            </a:ln>
          </c:spPr>
          <c:cat>
            <c:numRef>
              <c:f>'Misc. Data &amp; Mechanisms'!$M$481:$M$564</c:f>
              <c:numCache>
                <c:formatCode>mmm-yy</c:formatCode>
                <c:ptCount val="84"/>
                <c:pt idx="0">
                  <c:v>40909</c:v>
                </c:pt>
                <c:pt idx="1">
                  <c:v>40940</c:v>
                </c:pt>
                <c:pt idx="2">
                  <c:v>40969</c:v>
                </c:pt>
                <c:pt idx="3">
                  <c:v>41000</c:v>
                </c:pt>
                <c:pt idx="4">
                  <c:v>41030</c:v>
                </c:pt>
                <c:pt idx="5">
                  <c:v>41061</c:v>
                </c:pt>
                <c:pt idx="6">
                  <c:v>41091</c:v>
                </c:pt>
                <c:pt idx="7">
                  <c:v>41122</c:v>
                </c:pt>
                <c:pt idx="8">
                  <c:v>41153</c:v>
                </c:pt>
                <c:pt idx="9">
                  <c:v>41183</c:v>
                </c:pt>
                <c:pt idx="10">
                  <c:v>41214</c:v>
                </c:pt>
                <c:pt idx="11">
                  <c:v>41244</c:v>
                </c:pt>
                <c:pt idx="12">
                  <c:v>41275</c:v>
                </c:pt>
                <c:pt idx="13">
                  <c:v>41306</c:v>
                </c:pt>
                <c:pt idx="14">
                  <c:v>41334</c:v>
                </c:pt>
                <c:pt idx="15">
                  <c:v>41365</c:v>
                </c:pt>
                <c:pt idx="16">
                  <c:v>41395</c:v>
                </c:pt>
                <c:pt idx="17">
                  <c:v>41426</c:v>
                </c:pt>
                <c:pt idx="18">
                  <c:v>41456</c:v>
                </c:pt>
                <c:pt idx="19">
                  <c:v>41487</c:v>
                </c:pt>
                <c:pt idx="20">
                  <c:v>41518</c:v>
                </c:pt>
                <c:pt idx="21">
                  <c:v>41548</c:v>
                </c:pt>
                <c:pt idx="22">
                  <c:v>41579</c:v>
                </c:pt>
                <c:pt idx="23">
                  <c:v>41609</c:v>
                </c:pt>
                <c:pt idx="24">
                  <c:v>41640</c:v>
                </c:pt>
                <c:pt idx="25">
                  <c:v>41671</c:v>
                </c:pt>
                <c:pt idx="26">
                  <c:v>41699</c:v>
                </c:pt>
                <c:pt idx="27">
                  <c:v>41730</c:v>
                </c:pt>
                <c:pt idx="28">
                  <c:v>41760</c:v>
                </c:pt>
                <c:pt idx="29">
                  <c:v>41791</c:v>
                </c:pt>
                <c:pt idx="30">
                  <c:v>41821</c:v>
                </c:pt>
                <c:pt idx="31">
                  <c:v>41852</c:v>
                </c:pt>
                <c:pt idx="32">
                  <c:v>41883</c:v>
                </c:pt>
                <c:pt idx="33">
                  <c:v>41913</c:v>
                </c:pt>
                <c:pt idx="34">
                  <c:v>41944</c:v>
                </c:pt>
                <c:pt idx="35">
                  <c:v>41974</c:v>
                </c:pt>
                <c:pt idx="36">
                  <c:v>42005</c:v>
                </c:pt>
                <c:pt idx="37">
                  <c:v>42036</c:v>
                </c:pt>
                <c:pt idx="38">
                  <c:v>42064</c:v>
                </c:pt>
                <c:pt idx="39">
                  <c:v>42095</c:v>
                </c:pt>
                <c:pt idx="40">
                  <c:v>42125</c:v>
                </c:pt>
                <c:pt idx="41">
                  <c:v>42156</c:v>
                </c:pt>
                <c:pt idx="42">
                  <c:v>42186</c:v>
                </c:pt>
                <c:pt idx="43">
                  <c:v>42217</c:v>
                </c:pt>
                <c:pt idx="44">
                  <c:v>42248</c:v>
                </c:pt>
                <c:pt idx="45">
                  <c:v>42278</c:v>
                </c:pt>
                <c:pt idx="46">
                  <c:v>42309</c:v>
                </c:pt>
                <c:pt idx="47">
                  <c:v>42339</c:v>
                </c:pt>
                <c:pt idx="48">
                  <c:v>42370</c:v>
                </c:pt>
                <c:pt idx="49">
                  <c:v>42401</c:v>
                </c:pt>
                <c:pt idx="50">
                  <c:v>42430</c:v>
                </c:pt>
                <c:pt idx="51">
                  <c:v>42461</c:v>
                </c:pt>
                <c:pt idx="52">
                  <c:v>42491</c:v>
                </c:pt>
                <c:pt idx="53">
                  <c:v>42522</c:v>
                </c:pt>
                <c:pt idx="54">
                  <c:v>42552</c:v>
                </c:pt>
                <c:pt idx="55">
                  <c:v>42583</c:v>
                </c:pt>
                <c:pt idx="56">
                  <c:v>42614</c:v>
                </c:pt>
                <c:pt idx="57">
                  <c:v>42644</c:v>
                </c:pt>
                <c:pt idx="58">
                  <c:v>42675</c:v>
                </c:pt>
                <c:pt idx="59">
                  <c:v>42705</c:v>
                </c:pt>
                <c:pt idx="60">
                  <c:v>42736</c:v>
                </c:pt>
                <c:pt idx="61">
                  <c:v>42767</c:v>
                </c:pt>
                <c:pt idx="62">
                  <c:v>42795</c:v>
                </c:pt>
                <c:pt idx="63">
                  <c:v>42826</c:v>
                </c:pt>
                <c:pt idx="64">
                  <c:v>42856</c:v>
                </c:pt>
                <c:pt idx="65">
                  <c:v>42887</c:v>
                </c:pt>
                <c:pt idx="66">
                  <c:v>42917</c:v>
                </c:pt>
                <c:pt idx="67">
                  <c:v>42948</c:v>
                </c:pt>
                <c:pt idx="68">
                  <c:v>42979</c:v>
                </c:pt>
                <c:pt idx="69">
                  <c:v>43009</c:v>
                </c:pt>
                <c:pt idx="70">
                  <c:v>43040</c:v>
                </c:pt>
                <c:pt idx="71">
                  <c:v>43070</c:v>
                </c:pt>
                <c:pt idx="72">
                  <c:v>43101</c:v>
                </c:pt>
                <c:pt idx="73">
                  <c:v>43132</c:v>
                </c:pt>
                <c:pt idx="74">
                  <c:v>43160</c:v>
                </c:pt>
                <c:pt idx="75">
                  <c:v>43191</c:v>
                </c:pt>
                <c:pt idx="76">
                  <c:v>43221</c:v>
                </c:pt>
                <c:pt idx="77">
                  <c:v>43252</c:v>
                </c:pt>
                <c:pt idx="78">
                  <c:v>43282</c:v>
                </c:pt>
                <c:pt idx="79">
                  <c:v>43313</c:v>
                </c:pt>
                <c:pt idx="80">
                  <c:v>43344</c:v>
                </c:pt>
                <c:pt idx="81">
                  <c:v>43374</c:v>
                </c:pt>
                <c:pt idx="82">
                  <c:v>43405</c:v>
                </c:pt>
                <c:pt idx="83">
                  <c:v>43435</c:v>
                </c:pt>
              </c:numCache>
            </c:numRef>
          </c:cat>
          <c:val>
            <c:numRef>
              <c:f>'Misc. Data &amp; Mechanisms'!$P$481:$P$564</c:f>
              <c:numCache>
                <c:formatCode>0.0000</c:formatCode>
                <c:ptCount val="84"/>
                <c:pt idx="0">
                  <c:v>1.9462999999999999</c:v>
                </c:pt>
                <c:pt idx="1">
                  <c:v>1.9462999999999999</c:v>
                </c:pt>
                <c:pt idx="2">
                  <c:v>1.9462999999999999</c:v>
                </c:pt>
                <c:pt idx="3">
                  <c:v>1.9462999999999999</c:v>
                </c:pt>
                <c:pt idx="4">
                  <c:v>1.9462999999999999</c:v>
                </c:pt>
                <c:pt idx="5">
                  <c:v>1.9462999999999999</c:v>
                </c:pt>
                <c:pt idx="6">
                  <c:v>1.9462999999999999</c:v>
                </c:pt>
                <c:pt idx="7">
                  <c:v>1.9462999999999999</c:v>
                </c:pt>
                <c:pt idx="8">
                  <c:v>1.9462999999999999</c:v>
                </c:pt>
                <c:pt idx="9">
                  <c:v>1.9462999999999999</c:v>
                </c:pt>
                <c:pt idx="10">
                  <c:v>1.9462999999999999</c:v>
                </c:pt>
                <c:pt idx="11">
                  <c:v>1.9462999999999999</c:v>
                </c:pt>
                <c:pt idx="12">
                  <c:v>1.9462999999999999</c:v>
                </c:pt>
                <c:pt idx="13">
                  <c:v>1.9462999999999999</c:v>
                </c:pt>
                <c:pt idx="14">
                  <c:v>1.9462999999999999</c:v>
                </c:pt>
                <c:pt idx="15">
                  <c:v>1.9462999999999999</c:v>
                </c:pt>
                <c:pt idx="16">
                  <c:v>1.9462999999999999</c:v>
                </c:pt>
                <c:pt idx="17">
                  <c:v>1.9462999999999999</c:v>
                </c:pt>
                <c:pt idx="18">
                  <c:v>1.9462999999999999</c:v>
                </c:pt>
                <c:pt idx="19">
                  <c:v>1.9462999999999999</c:v>
                </c:pt>
                <c:pt idx="20">
                  <c:v>1.9462999999999999</c:v>
                </c:pt>
                <c:pt idx="21">
                  <c:v>1.9462999999999999</c:v>
                </c:pt>
                <c:pt idx="22">
                  <c:v>1.9462999999999999</c:v>
                </c:pt>
                <c:pt idx="23">
                  <c:v>1.9462999999999999</c:v>
                </c:pt>
                <c:pt idx="24">
                  <c:v>1.9462999999999999</c:v>
                </c:pt>
                <c:pt idx="25">
                  <c:v>1.9462999999999999</c:v>
                </c:pt>
                <c:pt idx="26">
                  <c:v>1.9462999999999999</c:v>
                </c:pt>
                <c:pt idx="27">
                  <c:v>1.9462999999999999</c:v>
                </c:pt>
                <c:pt idx="28">
                  <c:v>1.9462999999999999</c:v>
                </c:pt>
                <c:pt idx="29">
                  <c:v>1.9462999999999999</c:v>
                </c:pt>
                <c:pt idx="30">
                  <c:v>1.9462999999999999</c:v>
                </c:pt>
                <c:pt idx="31">
                  <c:v>1.9462999999999999</c:v>
                </c:pt>
                <c:pt idx="32">
                  <c:v>1.9462999999999999</c:v>
                </c:pt>
                <c:pt idx="33">
                  <c:v>1.9462999999999999</c:v>
                </c:pt>
                <c:pt idx="34">
                  <c:v>1.9462999999999999</c:v>
                </c:pt>
                <c:pt idx="35">
                  <c:v>1.9462999999999999</c:v>
                </c:pt>
                <c:pt idx="36">
                  <c:v>1.9462999999999999</c:v>
                </c:pt>
                <c:pt idx="37">
                  <c:v>1.9462999999999999</c:v>
                </c:pt>
                <c:pt idx="38">
                  <c:v>1.9462999999999999</c:v>
                </c:pt>
                <c:pt idx="39">
                  <c:v>1.9462999999999999</c:v>
                </c:pt>
                <c:pt idx="40">
                  <c:v>1.9462999999999999</c:v>
                </c:pt>
                <c:pt idx="41">
                  <c:v>1.9462999999999999</c:v>
                </c:pt>
                <c:pt idx="42">
                  <c:v>1.9462999999999999</c:v>
                </c:pt>
                <c:pt idx="43">
                  <c:v>1.9462999999999999</c:v>
                </c:pt>
                <c:pt idx="44">
                  <c:v>1.9462999999999999</c:v>
                </c:pt>
                <c:pt idx="45">
                  <c:v>1.9462999999999999</c:v>
                </c:pt>
                <c:pt idx="46">
                  <c:v>1.9462999999999999</c:v>
                </c:pt>
                <c:pt idx="47">
                  <c:v>1.9462999999999999</c:v>
                </c:pt>
                <c:pt idx="48">
                  <c:v>1.9462999999999999</c:v>
                </c:pt>
                <c:pt idx="49">
                  <c:v>1.9462999999999999</c:v>
                </c:pt>
                <c:pt idx="50">
                  <c:v>1.9462999999999999</c:v>
                </c:pt>
                <c:pt idx="51">
                  <c:v>1.9462999999999999</c:v>
                </c:pt>
                <c:pt idx="52">
                  <c:v>1.9462999999999999</c:v>
                </c:pt>
                <c:pt idx="53">
                  <c:v>1.9462999999999999</c:v>
                </c:pt>
                <c:pt idx="54">
                  <c:v>1.9462999999999999</c:v>
                </c:pt>
                <c:pt idx="55">
                  <c:v>1.9462999999999999</c:v>
                </c:pt>
                <c:pt idx="56">
                  <c:v>1.9462999999999999</c:v>
                </c:pt>
                <c:pt idx="57">
                  <c:v>1.9462999999999999</c:v>
                </c:pt>
                <c:pt idx="58">
                  <c:v>1.9462999999999999</c:v>
                </c:pt>
                <c:pt idx="59">
                  <c:v>1.9462999999999999</c:v>
                </c:pt>
                <c:pt idx="60">
                  <c:v>1.9462999999999999</c:v>
                </c:pt>
                <c:pt idx="61">
                  <c:v>1.9462999999999999</c:v>
                </c:pt>
                <c:pt idx="62">
                  <c:v>1.9462999999999999</c:v>
                </c:pt>
                <c:pt idx="63">
                  <c:v>1.9462999999999999</c:v>
                </c:pt>
                <c:pt idx="64">
                  <c:v>1.9462999999999999</c:v>
                </c:pt>
                <c:pt idx="65">
                  <c:v>1.9462999999999999</c:v>
                </c:pt>
                <c:pt idx="66">
                  <c:v>1.9462999999999999</c:v>
                </c:pt>
                <c:pt idx="67">
                  <c:v>1.9462999999999999</c:v>
                </c:pt>
                <c:pt idx="68">
                  <c:v>1.9462999999999999</c:v>
                </c:pt>
                <c:pt idx="69">
                  <c:v>1.9462999999999999</c:v>
                </c:pt>
                <c:pt idx="70">
                  <c:v>1.9462999999999999</c:v>
                </c:pt>
                <c:pt idx="71">
                  <c:v>1.9462999999999999</c:v>
                </c:pt>
                <c:pt idx="72">
                  <c:v>1.9462999999999999</c:v>
                </c:pt>
                <c:pt idx="73">
                  <c:v>1.9462999999999999</c:v>
                </c:pt>
                <c:pt idx="74">
                  <c:v>1.9462999999999999</c:v>
                </c:pt>
                <c:pt idx="75">
                  <c:v>1.9462999999999999</c:v>
                </c:pt>
                <c:pt idx="76">
                  <c:v>1.9462999999999999</c:v>
                </c:pt>
                <c:pt idx="77">
                  <c:v>1.9462999999999999</c:v>
                </c:pt>
                <c:pt idx="78">
                  <c:v>1.9462999999999999</c:v>
                </c:pt>
                <c:pt idx="79">
                  <c:v>1.9462999999999999</c:v>
                </c:pt>
                <c:pt idx="80">
                  <c:v>1.9462999999999999</c:v>
                </c:pt>
                <c:pt idx="81">
                  <c:v>1.9462999999999999</c:v>
                </c:pt>
                <c:pt idx="82">
                  <c:v>1.9462999999999999</c:v>
                </c:pt>
                <c:pt idx="83">
                  <c:v>1.9462999999999999</c:v>
                </c:pt>
              </c:numCache>
            </c:numRef>
          </c:val>
        </c:ser>
        <c:ser>
          <c:idx val="3"/>
          <c:order val="1"/>
          <c:tx>
            <c:strRef>
              <c:f>'Misc. Data &amp; Mechanisms'!$Q$480</c:f>
              <c:strCache>
                <c:ptCount val="1"/>
                <c:pt idx="0">
                  <c:v>Distribution</c:v>
                </c:pt>
              </c:strCache>
            </c:strRef>
          </c:tx>
          <c:spPr>
            <a:solidFill>
              <a:schemeClr val="accent1">
                <a:lumMod val="75000"/>
              </a:schemeClr>
            </a:solidFill>
            <a:ln w="25400">
              <a:noFill/>
            </a:ln>
          </c:spPr>
          <c:cat>
            <c:numRef>
              <c:f>'Misc. Data &amp; Mechanisms'!$M$481:$M$564</c:f>
              <c:numCache>
                <c:formatCode>mmm-yy</c:formatCode>
                <c:ptCount val="84"/>
                <c:pt idx="0">
                  <c:v>40909</c:v>
                </c:pt>
                <c:pt idx="1">
                  <c:v>40940</c:v>
                </c:pt>
                <c:pt idx="2">
                  <c:v>40969</c:v>
                </c:pt>
                <c:pt idx="3">
                  <c:v>41000</c:v>
                </c:pt>
                <c:pt idx="4">
                  <c:v>41030</c:v>
                </c:pt>
                <c:pt idx="5">
                  <c:v>41061</c:v>
                </c:pt>
                <c:pt idx="6">
                  <c:v>41091</c:v>
                </c:pt>
                <c:pt idx="7">
                  <c:v>41122</c:v>
                </c:pt>
                <c:pt idx="8">
                  <c:v>41153</c:v>
                </c:pt>
                <c:pt idx="9">
                  <c:v>41183</c:v>
                </c:pt>
                <c:pt idx="10">
                  <c:v>41214</c:v>
                </c:pt>
                <c:pt idx="11">
                  <c:v>41244</c:v>
                </c:pt>
                <c:pt idx="12">
                  <c:v>41275</c:v>
                </c:pt>
                <c:pt idx="13">
                  <c:v>41306</c:v>
                </c:pt>
                <c:pt idx="14">
                  <c:v>41334</c:v>
                </c:pt>
                <c:pt idx="15">
                  <c:v>41365</c:v>
                </c:pt>
                <c:pt idx="16">
                  <c:v>41395</c:v>
                </c:pt>
                <c:pt idx="17">
                  <c:v>41426</c:v>
                </c:pt>
                <c:pt idx="18">
                  <c:v>41456</c:v>
                </c:pt>
                <c:pt idx="19">
                  <c:v>41487</c:v>
                </c:pt>
                <c:pt idx="20">
                  <c:v>41518</c:v>
                </c:pt>
                <c:pt idx="21">
                  <c:v>41548</c:v>
                </c:pt>
                <c:pt idx="22">
                  <c:v>41579</c:v>
                </c:pt>
                <c:pt idx="23">
                  <c:v>41609</c:v>
                </c:pt>
                <c:pt idx="24">
                  <c:v>41640</c:v>
                </c:pt>
                <c:pt idx="25">
                  <c:v>41671</c:v>
                </c:pt>
                <c:pt idx="26">
                  <c:v>41699</c:v>
                </c:pt>
                <c:pt idx="27">
                  <c:v>41730</c:v>
                </c:pt>
                <c:pt idx="28">
                  <c:v>41760</c:v>
                </c:pt>
                <c:pt idx="29">
                  <c:v>41791</c:v>
                </c:pt>
                <c:pt idx="30">
                  <c:v>41821</c:v>
                </c:pt>
                <c:pt idx="31">
                  <c:v>41852</c:v>
                </c:pt>
                <c:pt idx="32">
                  <c:v>41883</c:v>
                </c:pt>
                <c:pt idx="33">
                  <c:v>41913</c:v>
                </c:pt>
                <c:pt idx="34">
                  <c:v>41944</c:v>
                </c:pt>
                <c:pt idx="35">
                  <c:v>41974</c:v>
                </c:pt>
                <c:pt idx="36">
                  <c:v>42005</c:v>
                </c:pt>
                <c:pt idx="37">
                  <c:v>42036</c:v>
                </c:pt>
                <c:pt idx="38">
                  <c:v>42064</c:v>
                </c:pt>
                <c:pt idx="39">
                  <c:v>42095</c:v>
                </c:pt>
                <c:pt idx="40">
                  <c:v>42125</c:v>
                </c:pt>
                <c:pt idx="41">
                  <c:v>42156</c:v>
                </c:pt>
                <c:pt idx="42">
                  <c:v>42186</c:v>
                </c:pt>
                <c:pt idx="43">
                  <c:v>42217</c:v>
                </c:pt>
                <c:pt idx="44">
                  <c:v>42248</c:v>
                </c:pt>
                <c:pt idx="45">
                  <c:v>42278</c:v>
                </c:pt>
                <c:pt idx="46">
                  <c:v>42309</c:v>
                </c:pt>
                <c:pt idx="47">
                  <c:v>42339</c:v>
                </c:pt>
                <c:pt idx="48">
                  <c:v>42370</c:v>
                </c:pt>
                <c:pt idx="49">
                  <c:v>42401</c:v>
                </c:pt>
                <c:pt idx="50">
                  <c:v>42430</c:v>
                </c:pt>
                <c:pt idx="51">
                  <c:v>42461</c:v>
                </c:pt>
                <c:pt idx="52">
                  <c:v>42491</c:v>
                </c:pt>
                <c:pt idx="53">
                  <c:v>42522</c:v>
                </c:pt>
                <c:pt idx="54">
                  <c:v>42552</c:v>
                </c:pt>
                <c:pt idx="55">
                  <c:v>42583</c:v>
                </c:pt>
                <c:pt idx="56">
                  <c:v>42614</c:v>
                </c:pt>
                <c:pt idx="57">
                  <c:v>42644</c:v>
                </c:pt>
                <c:pt idx="58">
                  <c:v>42675</c:v>
                </c:pt>
                <c:pt idx="59">
                  <c:v>42705</c:v>
                </c:pt>
                <c:pt idx="60">
                  <c:v>42736</c:v>
                </c:pt>
                <c:pt idx="61">
                  <c:v>42767</c:v>
                </c:pt>
                <c:pt idx="62">
                  <c:v>42795</c:v>
                </c:pt>
                <c:pt idx="63">
                  <c:v>42826</c:v>
                </c:pt>
                <c:pt idx="64">
                  <c:v>42856</c:v>
                </c:pt>
                <c:pt idx="65">
                  <c:v>42887</c:v>
                </c:pt>
                <c:pt idx="66">
                  <c:v>42917</c:v>
                </c:pt>
                <c:pt idx="67">
                  <c:v>42948</c:v>
                </c:pt>
                <c:pt idx="68">
                  <c:v>42979</c:v>
                </c:pt>
                <c:pt idx="69">
                  <c:v>43009</c:v>
                </c:pt>
                <c:pt idx="70">
                  <c:v>43040</c:v>
                </c:pt>
                <c:pt idx="71">
                  <c:v>43070</c:v>
                </c:pt>
                <c:pt idx="72">
                  <c:v>43101</c:v>
                </c:pt>
                <c:pt idx="73">
                  <c:v>43132</c:v>
                </c:pt>
                <c:pt idx="74">
                  <c:v>43160</c:v>
                </c:pt>
                <c:pt idx="75">
                  <c:v>43191</c:v>
                </c:pt>
                <c:pt idx="76">
                  <c:v>43221</c:v>
                </c:pt>
                <c:pt idx="77">
                  <c:v>43252</c:v>
                </c:pt>
                <c:pt idx="78">
                  <c:v>43282</c:v>
                </c:pt>
                <c:pt idx="79">
                  <c:v>43313</c:v>
                </c:pt>
                <c:pt idx="80">
                  <c:v>43344</c:v>
                </c:pt>
                <c:pt idx="81">
                  <c:v>43374</c:v>
                </c:pt>
                <c:pt idx="82">
                  <c:v>43405</c:v>
                </c:pt>
                <c:pt idx="83">
                  <c:v>43435</c:v>
                </c:pt>
              </c:numCache>
            </c:numRef>
          </c:cat>
          <c:val>
            <c:numRef>
              <c:f>'Misc. Data &amp; Mechanisms'!$Q$481:$Q$564</c:f>
              <c:numCache>
                <c:formatCode>0.0000</c:formatCode>
                <c:ptCount val="84"/>
                <c:pt idx="0">
                  <c:v>0.69679999999999997</c:v>
                </c:pt>
                <c:pt idx="1">
                  <c:v>0.69679999999999997</c:v>
                </c:pt>
                <c:pt idx="2">
                  <c:v>0.69679999999999997</c:v>
                </c:pt>
                <c:pt idx="3">
                  <c:v>0.69679999999999997</c:v>
                </c:pt>
                <c:pt idx="4" formatCode="General">
                  <c:v>0.69679999999999997</c:v>
                </c:pt>
                <c:pt idx="5" formatCode="General">
                  <c:v>0.69679999999999997</c:v>
                </c:pt>
                <c:pt idx="6" formatCode="General">
                  <c:v>0.69679999999999997</c:v>
                </c:pt>
                <c:pt idx="7" formatCode="General">
                  <c:v>0.69679999999999997</c:v>
                </c:pt>
                <c:pt idx="8" formatCode="General">
                  <c:v>0.69679999999999997</c:v>
                </c:pt>
                <c:pt idx="9" formatCode="General">
                  <c:v>0.69679999999999997</c:v>
                </c:pt>
                <c:pt idx="10" formatCode="General">
                  <c:v>0.69679999999999997</c:v>
                </c:pt>
                <c:pt idx="11" formatCode="General">
                  <c:v>0.69679999999999997</c:v>
                </c:pt>
                <c:pt idx="12" formatCode="General">
                  <c:v>0.69679999999999997</c:v>
                </c:pt>
                <c:pt idx="13" formatCode="General">
                  <c:v>0.69679999999999997</c:v>
                </c:pt>
                <c:pt idx="14" formatCode="General">
                  <c:v>0.69679999999999997</c:v>
                </c:pt>
                <c:pt idx="15" formatCode="General">
                  <c:v>0.69679999999999997</c:v>
                </c:pt>
                <c:pt idx="16" formatCode="General">
                  <c:v>0.69679999999999997</c:v>
                </c:pt>
                <c:pt idx="17" formatCode="General">
                  <c:v>0.69679999999999997</c:v>
                </c:pt>
                <c:pt idx="18" formatCode="General">
                  <c:v>0.69679999999999997</c:v>
                </c:pt>
                <c:pt idx="19" formatCode="General">
                  <c:v>0.69679999999999997</c:v>
                </c:pt>
                <c:pt idx="20" formatCode="General">
                  <c:v>0.69679999999999997</c:v>
                </c:pt>
                <c:pt idx="21" formatCode="General">
                  <c:v>0.69679999999999997</c:v>
                </c:pt>
                <c:pt idx="22" formatCode="General">
                  <c:v>0.69679999999999997</c:v>
                </c:pt>
                <c:pt idx="23" formatCode="General">
                  <c:v>0.69679999999999997</c:v>
                </c:pt>
                <c:pt idx="24" formatCode="General">
                  <c:v>0.86209999999999998</c:v>
                </c:pt>
                <c:pt idx="25" formatCode="General">
                  <c:v>0.86209999999999998</c:v>
                </c:pt>
                <c:pt idx="26" formatCode="General">
                  <c:v>0.86209999999999998</c:v>
                </c:pt>
                <c:pt idx="27" formatCode="General">
                  <c:v>0.86209999999999998</c:v>
                </c:pt>
                <c:pt idx="28" formatCode="General">
                  <c:v>0.86209999999999998</c:v>
                </c:pt>
                <c:pt idx="29" formatCode="General">
                  <c:v>0.86209999999999998</c:v>
                </c:pt>
                <c:pt idx="30" formatCode="General">
                  <c:v>0.86209999999999998</c:v>
                </c:pt>
                <c:pt idx="31" formatCode="General">
                  <c:v>0.86209999999999998</c:v>
                </c:pt>
                <c:pt idx="32" formatCode="General">
                  <c:v>0.86209999999999998</c:v>
                </c:pt>
                <c:pt idx="33" formatCode="General">
                  <c:v>0.86209999999999998</c:v>
                </c:pt>
                <c:pt idx="34" formatCode="General">
                  <c:v>0.86209999999999998</c:v>
                </c:pt>
                <c:pt idx="35" formatCode="General">
                  <c:v>0.86209999999999998</c:v>
                </c:pt>
                <c:pt idx="36" formatCode="General">
                  <c:v>0.88959999999999995</c:v>
                </c:pt>
                <c:pt idx="37" formatCode="General">
                  <c:v>0.88959999999999995</c:v>
                </c:pt>
                <c:pt idx="38" formatCode="General">
                  <c:v>0.88959999999999995</c:v>
                </c:pt>
                <c:pt idx="39" formatCode="General">
                  <c:v>0.88959999999999995</c:v>
                </c:pt>
                <c:pt idx="40" formatCode="General">
                  <c:v>0.88959999999999995</c:v>
                </c:pt>
                <c:pt idx="41" formatCode="General">
                  <c:v>0.88959999999999995</c:v>
                </c:pt>
                <c:pt idx="42" formatCode="General">
                  <c:v>0.88959999999999995</c:v>
                </c:pt>
                <c:pt idx="43" formatCode="General">
                  <c:v>0.88959999999999995</c:v>
                </c:pt>
                <c:pt idx="44" formatCode="General">
                  <c:v>0.88959999999999995</c:v>
                </c:pt>
                <c:pt idx="45" formatCode="General">
                  <c:v>0.88959999999999995</c:v>
                </c:pt>
                <c:pt idx="46" formatCode="General">
                  <c:v>0.88959999999999995</c:v>
                </c:pt>
                <c:pt idx="47" formatCode="General">
                  <c:v>0.88959999999999995</c:v>
                </c:pt>
                <c:pt idx="48" formatCode="General">
                  <c:v>0.88959999999999995</c:v>
                </c:pt>
                <c:pt idx="49" formatCode="General">
                  <c:v>0.88959999999999995</c:v>
                </c:pt>
                <c:pt idx="50" formatCode="General">
                  <c:v>0.88959999999999995</c:v>
                </c:pt>
                <c:pt idx="51" formatCode="General">
                  <c:v>0.88959999999999995</c:v>
                </c:pt>
                <c:pt idx="52" formatCode="General">
                  <c:v>0.88959999999999995</c:v>
                </c:pt>
                <c:pt idx="53" formatCode="General">
                  <c:v>0.88959999999999995</c:v>
                </c:pt>
                <c:pt idx="54" formatCode="General">
                  <c:v>0.88959999999999995</c:v>
                </c:pt>
                <c:pt idx="55" formatCode="General">
                  <c:v>0.88959999999999995</c:v>
                </c:pt>
                <c:pt idx="56" formatCode="General">
                  <c:v>0.88959999999999995</c:v>
                </c:pt>
                <c:pt idx="57" formatCode="General">
                  <c:v>0.88959999999999995</c:v>
                </c:pt>
                <c:pt idx="58" formatCode="General">
                  <c:v>0.88959999999999995</c:v>
                </c:pt>
                <c:pt idx="59" formatCode="General">
                  <c:v>0.88959999999999995</c:v>
                </c:pt>
                <c:pt idx="60" formatCode="General">
                  <c:v>1.0046999999999999</c:v>
                </c:pt>
                <c:pt idx="61" formatCode="General">
                  <c:v>1.0046999999999999</c:v>
                </c:pt>
                <c:pt idx="62" formatCode="General">
                  <c:v>1.0046999999999999</c:v>
                </c:pt>
                <c:pt idx="63" formatCode="General">
                  <c:v>1.0046999999999999</c:v>
                </c:pt>
                <c:pt idx="64" formatCode="General">
                  <c:v>1.0046999999999999</c:v>
                </c:pt>
                <c:pt idx="65" formatCode="General">
                  <c:v>1.0046999999999999</c:v>
                </c:pt>
                <c:pt idx="66" formatCode="General">
                  <c:v>1.0046999999999999</c:v>
                </c:pt>
                <c:pt idx="67" formatCode="General">
                  <c:v>1.0046999999999999</c:v>
                </c:pt>
                <c:pt idx="68" formatCode="General">
                  <c:v>1.0046999999999999</c:v>
                </c:pt>
                <c:pt idx="69" formatCode="General">
                  <c:v>1.0046999999999999</c:v>
                </c:pt>
                <c:pt idx="70" formatCode="General">
                  <c:v>1.0046999999999999</c:v>
                </c:pt>
                <c:pt idx="71" formatCode="General">
                  <c:v>1.0046999999999999</c:v>
                </c:pt>
                <c:pt idx="72" formatCode="General">
                  <c:v>1.0046999999999999</c:v>
                </c:pt>
                <c:pt idx="73" formatCode="General">
                  <c:v>1.0046999999999999</c:v>
                </c:pt>
                <c:pt idx="74" formatCode="General">
                  <c:v>1.0046999999999999</c:v>
                </c:pt>
                <c:pt idx="75" formatCode="General">
                  <c:v>1.069</c:v>
                </c:pt>
                <c:pt idx="76" formatCode="General">
                  <c:v>1.069</c:v>
                </c:pt>
                <c:pt idx="77" formatCode="General">
                  <c:v>1.069</c:v>
                </c:pt>
                <c:pt idx="78" formatCode="General">
                  <c:v>1.069</c:v>
                </c:pt>
                <c:pt idx="79" formatCode="General">
                  <c:v>1.069</c:v>
                </c:pt>
                <c:pt idx="80" formatCode="General">
                  <c:v>1.069</c:v>
                </c:pt>
                <c:pt idx="81" formatCode="General">
                  <c:v>1.069</c:v>
                </c:pt>
                <c:pt idx="82" formatCode="General">
                  <c:v>1.069</c:v>
                </c:pt>
                <c:pt idx="83" formatCode="General">
                  <c:v>1.069</c:v>
                </c:pt>
              </c:numCache>
            </c:numRef>
          </c:val>
        </c:ser>
        <c:ser>
          <c:idx val="4"/>
          <c:order val="2"/>
          <c:tx>
            <c:strRef>
              <c:f>'Misc. Data &amp; Mechanisms'!$R$480</c:f>
              <c:strCache>
                <c:ptCount val="1"/>
                <c:pt idx="0">
                  <c:v>Local Access Fee</c:v>
                </c:pt>
              </c:strCache>
            </c:strRef>
          </c:tx>
          <c:spPr>
            <a:solidFill>
              <a:schemeClr val="accent3">
                <a:lumMod val="75000"/>
              </a:schemeClr>
            </a:solidFill>
            <a:ln w="25400">
              <a:noFill/>
            </a:ln>
          </c:spPr>
          <c:cat>
            <c:numRef>
              <c:f>'Misc. Data &amp; Mechanisms'!$M$481:$M$564</c:f>
              <c:numCache>
                <c:formatCode>mmm-yy</c:formatCode>
                <c:ptCount val="84"/>
                <c:pt idx="0">
                  <c:v>40909</c:v>
                </c:pt>
                <c:pt idx="1">
                  <c:v>40940</c:v>
                </c:pt>
                <c:pt idx="2">
                  <c:v>40969</c:v>
                </c:pt>
                <c:pt idx="3">
                  <c:v>41000</c:v>
                </c:pt>
                <c:pt idx="4">
                  <c:v>41030</c:v>
                </c:pt>
                <c:pt idx="5">
                  <c:v>41061</c:v>
                </c:pt>
                <c:pt idx="6">
                  <c:v>41091</c:v>
                </c:pt>
                <c:pt idx="7">
                  <c:v>41122</c:v>
                </c:pt>
                <c:pt idx="8">
                  <c:v>41153</c:v>
                </c:pt>
                <c:pt idx="9">
                  <c:v>41183</c:v>
                </c:pt>
                <c:pt idx="10">
                  <c:v>41214</c:v>
                </c:pt>
                <c:pt idx="11">
                  <c:v>41244</c:v>
                </c:pt>
                <c:pt idx="12">
                  <c:v>41275</c:v>
                </c:pt>
                <c:pt idx="13">
                  <c:v>41306</c:v>
                </c:pt>
                <c:pt idx="14">
                  <c:v>41334</c:v>
                </c:pt>
                <c:pt idx="15">
                  <c:v>41365</c:v>
                </c:pt>
                <c:pt idx="16">
                  <c:v>41395</c:v>
                </c:pt>
                <c:pt idx="17">
                  <c:v>41426</c:v>
                </c:pt>
                <c:pt idx="18">
                  <c:v>41456</c:v>
                </c:pt>
                <c:pt idx="19">
                  <c:v>41487</c:v>
                </c:pt>
                <c:pt idx="20">
                  <c:v>41518</c:v>
                </c:pt>
                <c:pt idx="21">
                  <c:v>41548</c:v>
                </c:pt>
                <c:pt idx="22">
                  <c:v>41579</c:v>
                </c:pt>
                <c:pt idx="23">
                  <c:v>41609</c:v>
                </c:pt>
                <c:pt idx="24">
                  <c:v>41640</c:v>
                </c:pt>
                <c:pt idx="25">
                  <c:v>41671</c:v>
                </c:pt>
                <c:pt idx="26">
                  <c:v>41699</c:v>
                </c:pt>
                <c:pt idx="27">
                  <c:v>41730</c:v>
                </c:pt>
                <c:pt idx="28">
                  <c:v>41760</c:v>
                </c:pt>
                <c:pt idx="29">
                  <c:v>41791</c:v>
                </c:pt>
                <c:pt idx="30">
                  <c:v>41821</c:v>
                </c:pt>
                <c:pt idx="31">
                  <c:v>41852</c:v>
                </c:pt>
                <c:pt idx="32">
                  <c:v>41883</c:v>
                </c:pt>
                <c:pt idx="33">
                  <c:v>41913</c:v>
                </c:pt>
                <c:pt idx="34">
                  <c:v>41944</c:v>
                </c:pt>
                <c:pt idx="35">
                  <c:v>41974</c:v>
                </c:pt>
                <c:pt idx="36">
                  <c:v>42005</c:v>
                </c:pt>
                <c:pt idx="37">
                  <c:v>42036</c:v>
                </c:pt>
                <c:pt idx="38">
                  <c:v>42064</c:v>
                </c:pt>
                <c:pt idx="39">
                  <c:v>42095</c:v>
                </c:pt>
                <c:pt idx="40">
                  <c:v>42125</c:v>
                </c:pt>
                <c:pt idx="41">
                  <c:v>42156</c:v>
                </c:pt>
                <c:pt idx="42">
                  <c:v>42186</c:v>
                </c:pt>
                <c:pt idx="43">
                  <c:v>42217</c:v>
                </c:pt>
                <c:pt idx="44">
                  <c:v>42248</c:v>
                </c:pt>
                <c:pt idx="45">
                  <c:v>42278</c:v>
                </c:pt>
                <c:pt idx="46">
                  <c:v>42309</c:v>
                </c:pt>
                <c:pt idx="47">
                  <c:v>42339</c:v>
                </c:pt>
                <c:pt idx="48">
                  <c:v>42370</c:v>
                </c:pt>
                <c:pt idx="49">
                  <c:v>42401</c:v>
                </c:pt>
                <c:pt idx="50">
                  <c:v>42430</c:v>
                </c:pt>
                <c:pt idx="51">
                  <c:v>42461</c:v>
                </c:pt>
                <c:pt idx="52">
                  <c:v>42491</c:v>
                </c:pt>
                <c:pt idx="53">
                  <c:v>42522</c:v>
                </c:pt>
                <c:pt idx="54">
                  <c:v>42552</c:v>
                </c:pt>
                <c:pt idx="55">
                  <c:v>42583</c:v>
                </c:pt>
                <c:pt idx="56">
                  <c:v>42614</c:v>
                </c:pt>
                <c:pt idx="57">
                  <c:v>42644</c:v>
                </c:pt>
                <c:pt idx="58">
                  <c:v>42675</c:v>
                </c:pt>
                <c:pt idx="59">
                  <c:v>42705</c:v>
                </c:pt>
                <c:pt idx="60">
                  <c:v>42736</c:v>
                </c:pt>
                <c:pt idx="61">
                  <c:v>42767</c:v>
                </c:pt>
                <c:pt idx="62">
                  <c:v>42795</c:v>
                </c:pt>
                <c:pt idx="63">
                  <c:v>42826</c:v>
                </c:pt>
                <c:pt idx="64">
                  <c:v>42856</c:v>
                </c:pt>
                <c:pt idx="65">
                  <c:v>42887</c:v>
                </c:pt>
                <c:pt idx="66">
                  <c:v>42917</c:v>
                </c:pt>
                <c:pt idx="67">
                  <c:v>42948</c:v>
                </c:pt>
                <c:pt idx="68">
                  <c:v>42979</c:v>
                </c:pt>
                <c:pt idx="69">
                  <c:v>43009</c:v>
                </c:pt>
                <c:pt idx="70">
                  <c:v>43040</c:v>
                </c:pt>
                <c:pt idx="71">
                  <c:v>43070</c:v>
                </c:pt>
                <c:pt idx="72">
                  <c:v>43101</c:v>
                </c:pt>
                <c:pt idx="73">
                  <c:v>43132</c:v>
                </c:pt>
                <c:pt idx="74">
                  <c:v>43160</c:v>
                </c:pt>
                <c:pt idx="75">
                  <c:v>43191</c:v>
                </c:pt>
                <c:pt idx="76">
                  <c:v>43221</c:v>
                </c:pt>
                <c:pt idx="77">
                  <c:v>43252</c:v>
                </c:pt>
                <c:pt idx="78">
                  <c:v>43282</c:v>
                </c:pt>
                <c:pt idx="79">
                  <c:v>43313</c:v>
                </c:pt>
                <c:pt idx="80">
                  <c:v>43344</c:v>
                </c:pt>
                <c:pt idx="81">
                  <c:v>43374</c:v>
                </c:pt>
                <c:pt idx="82">
                  <c:v>43405</c:v>
                </c:pt>
                <c:pt idx="83">
                  <c:v>43435</c:v>
                </c:pt>
              </c:numCache>
            </c:numRef>
          </c:cat>
          <c:val>
            <c:numRef>
              <c:f>'Misc. Data &amp; Mechanisms'!$R$481:$R$564</c:f>
              <c:numCache>
                <c:formatCode>General</c:formatCode>
                <c:ptCount val="84"/>
                <c:pt idx="0">
                  <c:v>2.1020453300000002</c:v>
                </c:pt>
                <c:pt idx="1">
                  <c:v>1.92495193</c:v>
                </c:pt>
                <c:pt idx="2">
                  <c:v>1.3170127300000001</c:v>
                </c:pt>
                <c:pt idx="3">
                  <c:v>1.2012465299999999</c:v>
                </c:pt>
                <c:pt idx="4">
                  <c:v>1.1095223699999999</c:v>
                </c:pt>
                <c:pt idx="5">
                  <c:v>1.2566520999999999</c:v>
                </c:pt>
                <c:pt idx="6">
                  <c:v>1.4075814500000001</c:v>
                </c:pt>
                <c:pt idx="7">
                  <c:v>1.6610560999999999</c:v>
                </c:pt>
                <c:pt idx="8">
                  <c:v>1.5997622299999998</c:v>
                </c:pt>
                <c:pt idx="9">
                  <c:v>1.3625081800000001</c:v>
                </c:pt>
                <c:pt idx="10">
                  <c:v>1.1155662100000001</c:v>
                </c:pt>
                <c:pt idx="11">
                  <c:v>1.2357875200000001</c:v>
                </c:pt>
                <c:pt idx="12">
                  <c:v>1.3092024</c:v>
                </c:pt>
                <c:pt idx="13">
                  <c:v>1.14787409</c:v>
                </c:pt>
                <c:pt idx="14">
                  <c:v>1.0971347199999999</c:v>
                </c:pt>
                <c:pt idx="15">
                  <c:v>1.2938706</c:v>
                </c:pt>
                <c:pt idx="16">
                  <c:v>1.16308368</c:v>
                </c:pt>
                <c:pt idx="17">
                  <c:v>1.2192669500000002</c:v>
                </c:pt>
                <c:pt idx="18">
                  <c:v>1.57477584</c:v>
                </c:pt>
                <c:pt idx="19">
                  <c:v>1.56566564</c:v>
                </c:pt>
                <c:pt idx="20">
                  <c:v>1.5364463400000001</c:v>
                </c:pt>
                <c:pt idx="21">
                  <c:v>1.3369551800000001</c:v>
                </c:pt>
                <c:pt idx="22">
                  <c:v>1.3195458099999999</c:v>
                </c:pt>
                <c:pt idx="23">
                  <c:v>1.3051250299999999</c:v>
                </c:pt>
                <c:pt idx="24">
                  <c:v>1.3497094599999999</c:v>
                </c:pt>
                <c:pt idx="25">
                  <c:v>1.28159405</c:v>
                </c:pt>
                <c:pt idx="26">
                  <c:v>1.3082822520240001</c:v>
                </c:pt>
                <c:pt idx="27">
                  <c:v>1.111157522024</c:v>
                </c:pt>
                <c:pt idx="28">
                  <c:v>1.5031405420239998</c:v>
                </c:pt>
                <c:pt idx="29">
                  <c:v>0.91351062202400002</c:v>
                </c:pt>
                <c:pt idx="30">
                  <c:v>1.1808949920239999</c:v>
                </c:pt>
                <c:pt idx="31">
                  <c:v>1.285017912024</c:v>
                </c:pt>
                <c:pt idx="32">
                  <c:v>1.3254027620240001</c:v>
                </c:pt>
                <c:pt idx="33">
                  <c:v>1.2943058720239999</c:v>
                </c:pt>
                <c:pt idx="34">
                  <c:v>1.0576073220239999</c:v>
                </c:pt>
                <c:pt idx="35">
                  <c:v>1.166196462024</c:v>
                </c:pt>
                <c:pt idx="36">
                  <c:v>1.2470757066240001</c:v>
                </c:pt>
                <c:pt idx="37">
                  <c:v>1.0828254666240003</c:v>
                </c:pt>
                <c:pt idx="38">
                  <c:v>0.97035893662399997</c:v>
                </c:pt>
                <c:pt idx="39">
                  <c:v>0.95121598000000007</c:v>
                </c:pt>
                <c:pt idx="40">
                  <c:v>0.88470040999999988</c:v>
                </c:pt>
                <c:pt idx="41">
                  <c:v>0.8053083499999999</c:v>
                </c:pt>
                <c:pt idx="42">
                  <c:v>1.2799719899999997</c:v>
                </c:pt>
                <c:pt idx="43">
                  <c:v>1.2444199899999999</c:v>
                </c:pt>
                <c:pt idx="44">
                  <c:v>0.96676537601599999</c:v>
                </c:pt>
                <c:pt idx="45">
                  <c:v>1.0267371560160001</c:v>
                </c:pt>
                <c:pt idx="46">
                  <c:v>0.96550994601600004</c:v>
                </c:pt>
                <c:pt idx="47">
                  <c:v>0.98646340601600013</c:v>
                </c:pt>
                <c:pt idx="48">
                  <c:v>1.01818706</c:v>
                </c:pt>
                <c:pt idx="49">
                  <c:v>0.97345820000000005</c:v>
                </c:pt>
                <c:pt idx="50">
                  <c:v>0.95053827000000002</c:v>
                </c:pt>
                <c:pt idx="51">
                  <c:v>0.82568408999999987</c:v>
                </c:pt>
                <c:pt idx="52">
                  <c:v>0.82064015000000001</c:v>
                </c:pt>
                <c:pt idx="53">
                  <c:v>0.83834949000000003</c:v>
                </c:pt>
                <c:pt idx="54">
                  <c:v>1.0099101100000001</c:v>
                </c:pt>
                <c:pt idx="55">
                  <c:v>0.99698918000000014</c:v>
                </c:pt>
                <c:pt idx="56">
                  <c:v>0.86368029000000002</c:v>
                </c:pt>
                <c:pt idx="57">
                  <c:v>0.79412058000000008</c:v>
                </c:pt>
                <c:pt idx="58">
                  <c:v>0.75903520000000002</c:v>
                </c:pt>
                <c:pt idx="59">
                  <c:v>0.79855346999999999</c:v>
                </c:pt>
                <c:pt idx="60">
                  <c:v>0.88372273000000001</c:v>
                </c:pt>
                <c:pt idx="61">
                  <c:v>0.83149461999999996</c:v>
                </c:pt>
                <c:pt idx="62">
                  <c:v>0.77758890000000003</c:v>
                </c:pt>
                <c:pt idx="63">
                  <c:v>0.84498216000000004</c:v>
                </c:pt>
                <c:pt idx="64">
                  <c:v>0.83684964000000006</c:v>
                </c:pt>
                <c:pt idx="65">
                  <c:v>0.88253395999999995</c:v>
                </c:pt>
                <c:pt idx="66">
                  <c:v>0.97302490999999991</c:v>
                </c:pt>
                <c:pt idx="67">
                  <c:v>0.96104833000000001</c:v>
                </c:pt>
                <c:pt idx="68">
                  <c:v>0.92338542999999995</c:v>
                </c:pt>
                <c:pt idx="69">
                  <c:v>0.93048471999999993</c:v>
                </c:pt>
                <c:pt idx="70">
                  <c:v>0.90837582000000006</c:v>
                </c:pt>
                <c:pt idx="71">
                  <c:v>0.94648312000000001</c:v>
                </c:pt>
                <c:pt idx="72">
                  <c:v>1.0820806700000001</c:v>
                </c:pt>
                <c:pt idx="73">
                  <c:v>1.08996877</c:v>
                </c:pt>
                <c:pt idx="74">
                  <c:v>1.08185847</c:v>
                </c:pt>
                <c:pt idx="75">
                  <c:v>1.2986640539400001</c:v>
                </c:pt>
                <c:pt idx="76">
                  <c:v>1.16156665394</c:v>
                </c:pt>
                <c:pt idx="77">
                  <c:v>1.1055722539400001</c:v>
                </c:pt>
                <c:pt idx="78">
                  <c:v>1.3011783913700001</c:v>
                </c:pt>
                <c:pt idx="79">
                  <c:v>1.3011783913700001</c:v>
                </c:pt>
                <c:pt idx="80">
                  <c:v>1.3011783913700001</c:v>
                </c:pt>
                <c:pt idx="81">
                  <c:v>1.3087246699999999</c:v>
                </c:pt>
                <c:pt idx="82">
                  <c:v>1.2967258700000002</c:v>
                </c:pt>
                <c:pt idx="83">
                  <c:v>1.3516092700000002</c:v>
                </c:pt>
              </c:numCache>
            </c:numRef>
          </c:val>
        </c:ser>
        <c:ser>
          <c:idx val="5"/>
          <c:order val="3"/>
          <c:tx>
            <c:strRef>
              <c:f>'Misc. Data &amp; Mechanisms'!$S$480</c:f>
              <c:strCache>
                <c:ptCount val="1"/>
                <c:pt idx="0">
                  <c:v>Rate Riders</c:v>
                </c:pt>
              </c:strCache>
            </c:strRef>
          </c:tx>
          <c:spPr>
            <a:solidFill>
              <a:schemeClr val="accent4"/>
            </a:solidFill>
            <a:ln w="25400">
              <a:noFill/>
            </a:ln>
          </c:spPr>
          <c:cat>
            <c:numRef>
              <c:f>'Misc. Data &amp; Mechanisms'!$M$481:$M$564</c:f>
              <c:numCache>
                <c:formatCode>mmm-yy</c:formatCode>
                <c:ptCount val="84"/>
                <c:pt idx="0">
                  <c:v>40909</c:v>
                </c:pt>
                <c:pt idx="1">
                  <c:v>40940</c:v>
                </c:pt>
                <c:pt idx="2">
                  <c:v>40969</c:v>
                </c:pt>
                <c:pt idx="3">
                  <c:v>41000</c:v>
                </c:pt>
                <c:pt idx="4">
                  <c:v>41030</c:v>
                </c:pt>
                <c:pt idx="5">
                  <c:v>41061</c:v>
                </c:pt>
                <c:pt idx="6">
                  <c:v>41091</c:v>
                </c:pt>
                <c:pt idx="7">
                  <c:v>41122</c:v>
                </c:pt>
                <c:pt idx="8">
                  <c:v>41153</c:v>
                </c:pt>
                <c:pt idx="9">
                  <c:v>41183</c:v>
                </c:pt>
                <c:pt idx="10">
                  <c:v>41214</c:v>
                </c:pt>
                <c:pt idx="11">
                  <c:v>41244</c:v>
                </c:pt>
                <c:pt idx="12">
                  <c:v>41275</c:v>
                </c:pt>
                <c:pt idx="13">
                  <c:v>41306</c:v>
                </c:pt>
                <c:pt idx="14">
                  <c:v>41334</c:v>
                </c:pt>
                <c:pt idx="15">
                  <c:v>41365</c:v>
                </c:pt>
                <c:pt idx="16">
                  <c:v>41395</c:v>
                </c:pt>
                <c:pt idx="17">
                  <c:v>41426</c:v>
                </c:pt>
                <c:pt idx="18">
                  <c:v>41456</c:v>
                </c:pt>
                <c:pt idx="19">
                  <c:v>41487</c:v>
                </c:pt>
                <c:pt idx="20">
                  <c:v>41518</c:v>
                </c:pt>
                <c:pt idx="21">
                  <c:v>41548</c:v>
                </c:pt>
                <c:pt idx="22">
                  <c:v>41579</c:v>
                </c:pt>
                <c:pt idx="23">
                  <c:v>41609</c:v>
                </c:pt>
                <c:pt idx="24">
                  <c:v>41640</c:v>
                </c:pt>
                <c:pt idx="25">
                  <c:v>41671</c:v>
                </c:pt>
                <c:pt idx="26">
                  <c:v>41699</c:v>
                </c:pt>
                <c:pt idx="27">
                  <c:v>41730</c:v>
                </c:pt>
                <c:pt idx="28">
                  <c:v>41760</c:v>
                </c:pt>
                <c:pt idx="29">
                  <c:v>41791</c:v>
                </c:pt>
                <c:pt idx="30">
                  <c:v>41821</c:v>
                </c:pt>
                <c:pt idx="31">
                  <c:v>41852</c:v>
                </c:pt>
                <c:pt idx="32">
                  <c:v>41883</c:v>
                </c:pt>
                <c:pt idx="33">
                  <c:v>41913</c:v>
                </c:pt>
                <c:pt idx="34">
                  <c:v>41944</c:v>
                </c:pt>
                <c:pt idx="35">
                  <c:v>41974</c:v>
                </c:pt>
                <c:pt idx="36">
                  <c:v>42005</c:v>
                </c:pt>
                <c:pt idx="37">
                  <c:v>42036</c:v>
                </c:pt>
                <c:pt idx="38">
                  <c:v>42064</c:v>
                </c:pt>
                <c:pt idx="39">
                  <c:v>42095</c:v>
                </c:pt>
                <c:pt idx="40">
                  <c:v>42125</c:v>
                </c:pt>
                <c:pt idx="41">
                  <c:v>42156</c:v>
                </c:pt>
                <c:pt idx="42">
                  <c:v>42186</c:v>
                </c:pt>
                <c:pt idx="43">
                  <c:v>42217</c:v>
                </c:pt>
                <c:pt idx="44">
                  <c:v>42248</c:v>
                </c:pt>
                <c:pt idx="45">
                  <c:v>42278</c:v>
                </c:pt>
                <c:pt idx="46">
                  <c:v>42309</c:v>
                </c:pt>
                <c:pt idx="47">
                  <c:v>42339</c:v>
                </c:pt>
                <c:pt idx="48">
                  <c:v>42370</c:v>
                </c:pt>
                <c:pt idx="49">
                  <c:v>42401</c:v>
                </c:pt>
                <c:pt idx="50">
                  <c:v>42430</c:v>
                </c:pt>
                <c:pt idx="51">
                  <c:v>42461</c:v>
                </c:pt>
                <c:pt idx="52">
                  <c:v>42491</c:v>
                </c:pt>
                <c:pt idx="53">
                  <c:v>42522</c:v>
                </c:pt>
                <c:pt idx="54">
                  <c:v>42552</c:v>
                </c:pt>
                <c:pt idx="55">
                  <c:v>42583</c:v>
                </c:pt>
                <c:pt idx="56">
                  <c:v>42614</c:v>
                </c:pt>
                <c:pt idx="57">
                  <c:v>42644</c:v>
                </c:pt>
                <c:pt idx="58">
                  <c:v>42675</c:v>
                </c:pt>
                <c:pt idx="59">
                  <c:v>42705</c:v>
                </c:pt>
                <c:pt idx="60">
                  <c:v>42736</c:v>
                </c:pt>
                <c:pt idx="61">
                  <c:v>42767</c:v>
                </c:pt>
                <c:pt idx="62">
                  <c:v>42795</c:v>
                </c:pt>
                <c:pt idx="63">
                  <c:v>42826</c:v>
                </c:pt>
                <c:pt idx="64">
                  <c:v>42856</c:v>
                </c:pt>
                <c:pt idx="65">
                  <c:v>42887</c:v>
                </c:pt>
                <c:pt idx="66">
                  <c:v>42917</c:v>
                </c:pt>
                <c:pt idx="67">
                  <c:v>42948</c:v>
                </c:pt>
                <c:pt idx="68">
                  <c:v>42979</c:v>
                </c:pt>
                <c:pt idx="69">
                  <c:v>43009</c:v>
                </c:pt>
                <c:pt idx="70">
                  <c:v>43040</c:v>
                </c:pt>
                <c:pt idx="71">
                  <c:v>43070</c:v>
                </c:pt>
                <c:pt idx="72">
                  <c:v>43101</c:v>
                </c:pt>
                <c:pt idx="73">
                  <c:v>43132</c:v>
                </c:pt>
                <c:pt idx="74">
                  <c:v>43160</c:v>
                </c:pt>
                <c:pt idx="75">
                  <c:v>43191</c:v>
                </c:pt>
                <c:pt idx="76">
                  <c:v>43221</c:v>
                </c:pt>
                <c:pt idx="77">
                  <c:v>43252</c:v>
                </c:pt>
                <c:pt idx="78">
                  <c:v>43282</c:v>
                </c:pt>
                <c:pt idx="79">
                  <c:v>43313</c:v>
                </c:pt>
                <c:pt idx="80">
                  <c:v>43344</c:v>
                </c:pt>
                <c:pt idx="81">
                  <c:v>43374</c:v>
                </c:pt>
                <c:pt idx="82">
                  <c:v>43405</c:v>
                </c:pt>
                <c:pt idx="83">
                  <c:v>43435</c:v>
                </c:pt>
              </c:numCache>
            </c:numRef>
          </c:cat>
          <c:val>
            <c:numRef>
              <c:f>'Misc. Data &amp; Mechanisms'!$S$481:$S$564</c:f>
              <c:numCache>
                <c:formatCode>General</c:formatCode>
                <c:ptCount val="84"/>
                <c:pt idx="0">
                  <c:v>0.99319999999999997</c:v>
                </c:pt>
                <c:pt idx="1">
                  <c:v>0.99319999999999997</c:v>
                </c:pt>
                <c:pt idx="2">
                  <c:v>0.99319999999999997</c:v>
                </c:pt>
                <c:pt idx="3">
                  <c:v>0.99319999999999997</c:v>
                </c:pt>
                <c:pt idx="4">
                  <c:v>0.99319999999999997</c:v>
                </c:pt>
                <c:pt idx="5">
                  <c:v>0.99319999999999997</c:v>
                </c:pt>
                <c:pt idx="6">
                  <c:v>0.99319999999999997</c:v>
                </c:pt>
                <c:pt idx="7">
                  <c:v>0.99319999999999997</c:v>
                </c:pt>
                <c:pt idx="8">
                  <c:v>0.99319999999999997</c:v>
                </c:pt>
                <c:pt idx="9">
                  <c:v>-1.4999999999999458E-3</c:v>
                </c:pt>
                <c:pt idx="10">
                  <c:v>-1.4999999999999458E-3</c:v>
                </c:pt>
                <c:pt idx="11">
                  <c:v>-1.4999999999999458E-3</c:v>
                </c:pt>
                <c:pt idx="12">
                  <c:v>-1.4999999999999458E-3</c:v>
                </c:pt>
                <c:pt idx="13">
                  <c:v>-1.4999999999999458E-3</c:v>
                </c:pt>
                <c:pt idx="14">
                  <c:v>-1.4999999999999458E-3</c:v>
                </c:pt>
                <c:pt idx="15">
                  <c:v>0.61019999999999996</c:v>
                </c:pt>
                <c:pt idx="16">
                  <c:v>0.61019999999999996</c:v>
                </c:pt>
                <c:pt idx="17">
                  <c:v>0.61019999999999996</c:v>
                </c:pt>
                <c:pt idx="18">
                  <c:v>0.23829999999999996</c:v>
                </c:pt>
                <c:pt idx="19">
                  <c:v>0.23829999999999996</c:v>
                </c:pt>
                <c:pt idx="20">
                  <c:v>0.23829999999999996</c:v>
                </c:pt>
                <c:pt idx="21">
                  <c:v>1.3313000000000001</c:v>
                </c:pt>
                <c:pt idx="22">
                  <c:v>1.3313000000000001</c:v>
                </c:pt>
                <c:pt idx="23">
                  <c:v>1.5246</c:v>
                </c:pt>
                <c:pt idx="24">
                  <c:v>1.5361999999999998</c:v>
                </c:pt>
                <c:pt idx="25">
                  <c:v>1.5361999999999998</c:v>
                </c:pt>
                <c:pt idx="26">
                  <c:v>1.6486178399999998</c:v>
                </c:pt>
                <c:pt idx="27">
                  <c:v>0.10921784000000001</c:v>
                </c:pt>
                <c:pt idx="28">
                  <c:v>0.10921784000000001</c:v>
                </c:pt>
                <c:pt idx="29">
                  <c:v>-8.4082160000000017E-2</c:v>
                </c:pt>
                <c:pt idx="30">
                  <c:v>0.11671783999999996</c:v>
                </c:pt>
                <c:pt idx="31">
                  <c:v>0.11671783999999996</c:v>
                </c:pt>
                <c:pt idx="32">
                  <c:v>0.11671783999999996</c:v>
                </c:pt>
                <c:pt idx="33">
                  <c:v>0.39071783999999998</c:v>
                </c:pt>
                <c:pt idx="34">
                  <c:v>0.39021783999999993</c:v>
                </c:pt>
                <c:pt idx="35">
                  <c:v>0.39021783999999993</c:v>
                </c:pt>
                <c:pt idx="36">
                  <c:v>0.98010383999999984</c:v>
                </c:pt>
                <c:pt idx="37">
                  <c:v>0.98060384</c:v>
                </c:pt>
                <c:pt idx="38">
                  <c:v>0.98060384</c:v>
                </c:pt>
                <c:pt idx="39">
                  <c:v>0.6117999999999999</c:v>
                </c:pt>
                <c:pt idx="40">
                  <c:v>0.6117999999999999</c:v>
                </c:pt>
                <c:pt idx="41">
                  <c:v>0.6117999999999999</c:v>
                </c:pt>
                <c:pt idx="42">
                  <c:v>0.46899999999999986</c:v>
                </c:pt>
                <c:pt idx="43">
                  <c:v>0.46899999999999986</c:v>
                </c:pt>
                <c:pt idx="44">
                  <c:v>0.45885855999999986</c:v>
                </c:pt>
                <c:pt idx="45">
                  <c:v>0.85095856000000003</c:v>
                </c:pt>
                <c:pt idx="46">
                  <c:v>0.85095856000000003</c:v>
                </c:pt>
                <c:pt idx="47">
                  <c:v>0.85095856000000003</c:v>
                </c:pt>
                <c:pt idx="48">
                  <c:v>1.534</c:v>
                </c:pt>
                <c:pt idx="49">
                  <c:v>1.534</c:v>
                </c:pt>
                <c:pt idx="50">
                  <c:v>1.534</c:v>
                </c:pt>
                <c:pt idx="51">
                  <c:v>1.2463000000000002</c:v>
                </c:pt>
                <c:pt idx="52">
                  <c:v>1.2463000000000002</c:v>
                </c:pt>
                <c:pt idx="53">
                  <c:v>1.2463000000000002</c:v>
                </c:pt>
                <c:pt idx="54">
                  <c:v>1.2714000000000001</c:v>
                </c:pt>
                <c:pt idx="55">
                  <c:v>1.2714000000000001</c:v>
                </c:pt>
                <c:pt idx="56">
                  <c:v>1.2714000000000001</c:v>
                </c:pt>
                <c:pt idx="57">
                  <c:v>0.18470000000000003</c:v>
                </c:pt>
                <c:pt idx="58">
                  <c:v>0.18470000000000003</c:v>
                </c:pt>
                <c:pt idx="59">
                  <c:v>0.18470000000000003</c:v>
                </c:pt>
                <c:pt idx="60">
                  <c:v>0.60899999999999999</c:v>
                </c:pt>
                <c:pt idx="61">
                  <c:v>0.60899999999999999</c:v>
                </c:pt>
                <c:pt idx="62">
                  <c:v>0.60899999999999999</c:v>
                </c:pt>
                <c:pt idx="63">
                  <c:v>1.5979000000000001</c:v>
                </c:pt>
                <c:pt idx="64">
                  <c:v>1.5979000000000001</c:v>
                </c:pt>
                <c:pt idx="65">
                  <c:v>1.5979000000000001</c:v>
                </c:pt>
                <c:pt idx="66">
                  <c:v>1.5943000000000001</c:v>
                </c:pt>
                <c:pt idx="67">
                  <c:v>1.5943000000000001</c:v>
                </c:pt>
                <c:pt idx="68">
                  <c:v>1.5943000000000001</c:v>
                </c:pt>
                <c:pt idx="69">
                  <c:v>1.5722</c:v>
                </c:pt>
                <c:pt idx="70">
                  <c:v>1.5722</c:v>
                </c:pt>
                <c:pt idx="71">
                  <c:v>1.5722</c:v>
                </c:pt>
                <c:pt idx="72">
                  <c:v>1.6767000000000001</c:v>
                </c:pt>
                <c:pt idx="73">
                  <c:v>1.6767000000000001</c:v>
                </c:pt>
                <c:pt idx="74">
                  <c:v>1.6767000000000001</c:v>
                </c:pt>
                <c:pt idx="75">
                  <c:v>1.8738454</c:v>
                </c:pt>
                <c:pt idx="76">
                  <c:v>1.8738454</c:v>
                </c:pt>
                <c:pt idx="77">
                  <c:v>1.8738454</c:v>
                </c:pt>
                <c:pt idx="78">
                  <c:v>1.8964767</c:v>
                </c:pt>
                <c:pt idx="79">
                  <c:v>1.8964767</c:v>
                </c:pt>
                <c:pt idx="80">
                  <c:v>1.8964767</c:v>
                </c:pt>
                <c:pt idx="81">
                  <c:v>2.3504</c:v>
                </c:pt>
                <c:pt idx="82">
                  <c:v>2.3504</c:v>
                </c:pt>
                <c:pt idx="83">
                  <c:v>2.3504</c:v>
                </c:pt>
              </c:numCache>
            </c:numRef>
          </c:val>
        </c:ser>
        <c:ser>
          <c:idx val="6"/>
          <c:order val="4"/>
          <c:tx>
            <c:strRef>
              <c:f>'Misc. Data &amp; Mechanisms'!$T$480</c:f>
              <c:strCache>
                <c:ptCount val="1"/>
                <c:pt idx="0">
                  <c:v>GST</c:v>
                </c:pt>
              </c:strCache>
            </c:strRef>
          </c:tx>
          <c:spPr>
            <a:solidFill>
              <a:srgbClr val="996633"/>
            </a:solidFill>
            <a:ln w="25400">
              <a:noFill/>
            </a:ln>
          </c:spPr>
          <c:cat>
            <c:numRef>
              <c:f>'Misc. Data &amp; Mechanisms'!$M$481:$M$564</c:f>
              <c:numCache>
                <c:formatCode>mmm-yy</c:formatCode>
                <c:ptCount val="84"/>
                <c:pt idx="0">
                  <c:v>40909</c:v>
                </c:pt>
                <c:pt idx="1">
                  <c:v>40940</c:v>
                </c:pt>
                <c:pt idx="2">
                  <c:v>40969</c:v>
                </c:pt>
                <c:pt idx="3">
                  <c:v>41000</c:v>
                </c:pt>
                <c:pt idx="4">
                  <c:v>41030</c:v>
                </c:pt>
                <c:pt idx="5">
                  <c:v>41061</c:v>
                </c:pt>
                <c:pt idx="6">
                  <c:v>41091</c:v>
                </c:pt>
                <c:pt idx="7">
                  <c:v>41122</c:v>
                </c:pt>
                <c:pt idx="8">
                  <c:v>41153</c:v>
                </c:pt>
                <c:pt idx="9">
                  <c:v>41183</c:v>
                </c:pt>
                <c:pt idx="10">
                  <c:v>41214</c:v>
                </c:pt>
                <c:pt idx="11">
                  <c:v>41244</c:v>
                </c:pt>
                <c:pt idx="12">
                  <c:v>41275</c:v>
                </c:pt>
                <c:pt idx="13">
                  <c:v>41306</c:v>
                </c:pt>
                <c:pt idx="14">
                  <c:v>41334</c:v>
                </c:pt>
                <c:pt idx="15">
                  <c:v>41365</c:v>
                </c:pt>
                <c:pt idx="16">
                  <c:v>41395</c:v>
                </c:pt>
                <c:pt idx="17">
                  <c:v>41426</c:v>
                </c:pt>
                <c:pt idx="18">
                  <c:v>41456</c:v>
                </c:pt>
                <c:pt idx="19">
                  <c:v>41487</c:v>
                </c:pt>
                <c:pt idx="20">
                  <c:v>41518</c:v>
                </c:pt>
                <c:pt idx="21">
                  <c:v>41548</c:v>
                </c:pt>
                <c:pt idx="22">
                  <c:v>41579</c:v>
                </c:pt>
                <c:pt idx="23">
                  <c:v>41609</c:v>
                </c:pt>
                <c:pt idx="24">
                  <c:v>41640</c:v>
                </c:pt>
                <c:pt idx="25">
                  <c:v>41671</c:v>
                </c:pt>
                <c:pt idx="26">
                  <c:v>41699</c:v>
                </c:pt>
                <c:pt idx="27">
                  <c:v>41730</c:v>
                </c:pt>
                <c:pt idx="28">
                  <c:v>41760</c:v>
                </c:pt>
                <c:pt idx="29">
                  <c:v>41791</c:v>
                </c:pt>
                <c:pt idx="30">
                  <c:v>41821</c:v>
                </c:pt>
                <c:pt idx="31">
                  <c:v>41852</c:v>
                </c:pt>
                <c:pt idx="32">
                  <c:v>41883</c:v>
                </c:pt>
                <c:pt idx="33">
                  <c:v>41913</c:v>
                </c:pt>
                <c:pt idx="34">
                  <c:v>41944</c:v>
                </c:pt>
                <c:pt idx="35">
                  <c:v>41974</c:v>
                </c:pt>
                <c:pt idx="36">
                  <c:v>42005</c:v>
                </c:pt>
                <c:pt idx="37">
                  <c:v>42036</c:v>
                </c:pt>
                <c:pt idx="38">
                  <c:v>42064</c:v>
                </c:pt>
                <c:pt idx="39">
                  <c:v>42095</c:v>
                </c:pt>
                <c:pt idx="40">
                  <c:v>42125</c:v>
                </c:pt>
                <c:pt idx="41">
                  <c:v>42156</c:v>
                </c:pt>
                <c:pt idx="42">
                  <c:v>42186</c:v>
                </c:pt>
                <c:pt idx="43">
                  <c:v>42217</c:v>
                </c:pt>
                <c:pt idx="44">
                  <c:v>42248</c:v>
                </c:pt>
                <c:pt idx="45">
                  <c:v>42278</c:v>
                </c:pt>
                <c:pt idx="46">
                  <c:v>42309</c:v>
                </c:pt>
                <c:pt idx="47">
                  <c:v>42339</c:v>
                </c:pt>
                <c:pt idx="48">
                  <c:v>42370</c:v>
                </c:pt>
                <c:pt idx="49">
                  <c:v>42401</c:v>
                </c:pt>
                <c:pt idx="50">
                  <c:v>42430</c:v>
                </c:pt>
                <c:pt idx="51">
                  <c:v>42461</c:v>
                </c:pt>
                <c:pt idx="52">
                  <c:v>42491</c:v>
                </c:pt>
                <c:pt idx="53">
                  <c:v>42522</c:v>
                </c:pt>
                <c:pt idx="54">
                  <c:v>42552</c:v>
                </c:pt>
                <c:pt idx="55">
                  <c:v>42583</c:v>
                </c:pt>
                <c:pt idx="56">
                  <c:v>42614</c:v>
                </c:pt>
                <c:pt idx="57">
                  <c:v>42644</c:v>
                </c:pt>
                <c:pt idx="58">
                  <c:v>42675</c:v>
                </c:pt>
                <c:pt idx="59">
                  <c:v>42705</c:v>
                </c:pt>
                <c:pt idx="60">
                  <c:v>42736</c:v>
                </c:pt>
                <c:pt idx="61">
                  <c:v>42767</c:v>
                </c:pt>
                <c:pt idx="62">
                  <c:v>42795</c:v>
                </c:pt>
                <c:pt idx="63">
                  <c:v>42826</c:v>
                </c:pt>
                <c:pt idx="64">
                  <c:v>42856</c:v>
                </c:pt>
                <c:pt idx="65">
                  <c:v>42887</c:v>
                </c:pt>
                <c:pt idx="66">
                  <c:v>42917</c:v>
                </c:pt>
                <c:pt idx="67">
                  <c:v>42948</c:v>
                </c:pt>
                <c:pt idx="68">
                  <c:v>42979</c:v>
                </c:pt>
                <c:pt idx="69">
                  <c:v>43009</c:v>
                </c:pt>
                <c:pt idx="70">
                  <c:v>43040</c:v>
                </c:pt>
                <c:pt idx="71">
                  <c:v>43070</c:v>
                </c:pt>
                <c:pt idx="72">
                  <c:v>43101</c:v>
                </c:pt>
                <c:pt idx="73">
                  <c:v>43132</c:v>
                </c:pt>
                <c:pt idx="74">
                  <c:v>43160</c:v>
                </c:pt>
                <c:pt idx="75">
                  <c:v>43191</c:v>
                </c:pt>
                <c:pt idx="76">
                  <c:v>43221</c:v>
                </c:pt>
                <c:pt idx="77">
                  <c:v>43252</c:v>
                </c:pt>
                <c:pt idx="78">
                  <c:v>43282</c:v>
                </c:pt>
                <c:pt idx="79">
                  <c:v>43313</c:v>
                </c:pt>
                <c:pt idx="80">
                  <c:v>43344</c:v>
                </c:pt>
                <c:pt idx="81">
                  <c:v>43374</c:v>
                </c:pt>
                <c:pt idx="82">
                  <c:v>43405</c:v>
                </c:pt>
                <c:pt idx="83">
                  <c:v>43435</c:v>
                </c:pt>
              </c:numCache>
            </c:numRef>
          </c:cat>
          <c:val>
            <c:numRef>
              <c:f>'Misc. Data &amp; Mechanisms'!$T$481:$T$564</c:f>
              <c:numCache>
                <c:formatCode>0.000000</c:formatCode>
                <c:ptCount val="84"/>
                <c:pt idx="0">
                  <c:v>1.0511172665000001</c:v>
                </c:pt>
                <c:pt idx="1">
                  <c:v>0.96256259649999998</c:v>
                </c:pt>
                <c:pt idx="2">
                  <c:v>0.65856563650000011</c:v>
                </c:pt>
                <c:pt idx="3">
                  <c:v>0.60067732650000005</c:v>
                </c:pt>
                <c:pt idx="4">
                  <c:v>0.55481111849999998</c:v>
                </c:pt>
                <c:pt idx="5">
                  <c:v>0.62838260499999998</c:v>
                </c:pt>
                <c:pt idx="6">
                  <c:v>0.70385407250000009</c:v>
                </c:pt>
                <c:pt idx="7">
                  <c:v>0.83060280500000006</c:v>
                </c:pt>
                <c:pt idx="8">
                  <c:v>0.79995311149999992</c:v>
                </c:pt>
                <c:pt idx="9">
                  <c:v>0.68131540900000009</c:v>
                </c:pt>
                <c:pt idx="10">
                  <c:v>0.55783331050000007</c:v>
                </c:pt>
                <c:pt idx="11">
                  <c:v>0.61794937600000011</c:v>
                </c:pt>
                <c:pt idx="12">
                  <c:v>0.65466011999999996</c:v>
                </c:pt>
                <c:pt idx="13">
                  <c:v>0.57398870449999995</c:v>
                </c:pt>
                <c:pt idx="14">
                  <c:v>0.54861673599999994</c:v>
                </c:pt>
                <c:pt idx="15">
                  <c:v>0.64699353000000004</c:v>
                </c:pt>
                <c:pt idx="16">
                  <c:v>0.58159418399999996</c:v>
                </c:pt>
                <c:pt idx="17">
                  <c:v>0.60968834750000012</c:v>
                </c:pt>
                <c:pt idx="18">
                  <c:v>0.78745879200000013</c:v>
                </c:pt>
                <c:pt idx="19">
                  <c:v>0.78290328200000003</c:v>
                </c:pt>
                <c:pt idx="20">
                  <c:v>0.76829231700000011</c:v>
                </c:pt>
                <c:pt idx="21">
                  <c:v>0.66853775900000012</c:v>
                </c:pt>
                <c:pt idx="22">
                  <c:v>0.65983229050000014</c:v>
                </c:pt>
                <c:pt idx="23">
                  <c:v>0.65262125149999994</c:v>
                </c:pt>
                <c:pt idx="24">
                  <c:v>0.67491547299999999</c:v>
                </c:pt>
                <c:pt idx="25">
                  <c:v>0.64085470249999998</c:v>
                </c:pt>
                <c:pt idx="26">
                  <c:v>0.65420000460120009</c:v>
                </c:pt>
                <c:pt idx="27">
                  <c:v>0.55562876810119999</c:v>
                </c:pt>
                <c:pt idx="28">
                  <c:v>0.75163791910119993</c:v>
                </c:pt>
                <c:pt idx="29">
                  <c:v>0.45679642310120006</c:v>
                </c:pt>
                <c:pt idx="30">
                  <c:v>0.59050064160119997</c:v>
                </c:pt>
                <c:pt idx="31">
                  <c:v>0.6425667876011999</c:v>
                </c:pt>
                <c:pt idx="32">
                  <c:v>0.66276103010120002</c:v>
                </c:pt>
                <c:pt idx="33">
                  <c:v>0.64721118560119995</c:v>
                </c:pt>
                <c:pt idx="34">
                  <c:v>0.52885125810119993</c:v>
                </c:pt>
                <c:pt idx="35">
                  <c:v>0.58315071510119998</c:v>
                </c:pt>
                <c:pt idx="36">
                  <c:v>0.62359397733120003</c:v>
                </c:pt>
                <c:pt idx="37">
                  <c:v>0.5414614653312001</c:v>
                </c:pt>
                <c:pt idx="38">
                  <c:v>0.48522313883120005</c:v>
                </c:pt>
                <c:pt idx="39">
                  <c:v>0.47565079900000007</c:v>
                </c:pt>
                <c:pt idx="40">
                  <c:v>0.44239002049999998</c:v>
                </c:pt>
                <c:pt idx="41">
                  <c:v>0.40269041749999995</c:v>
                </c:pt>
                <c:pt idx="42">
                  <c:v>0.64004359949999989</c:v>
                </c:pt>
                <c:pt idx="43">
                  <c:v>0.62226599950000006</c:v>
                </c:pt>
                <c:pt idx="44">
                  <c:v>0.48342619680080001</c:v>
                </c:pt>
                <c:pt idx="45">
                  <c:v>0.51341478580080013</c:v>
                </c:pt>
                <c:pt idx="46">
                  <c:v>0.48279842530080003</c:v>
                </c:pt>
                <c:pt idx="47">
                  <c:v>0.49327609830080005</c:v>
                </c:pt>
                <c:pt idx="48">
                  <c:v>0.50913935300000002</c:v>
                </c:pt>
                <c:pt idx="49">
                  <c:v>0.48677291</c:v>
                </c:pt>
                <c:pt idx="50">
                  <c:v>0.47531191350000007</c:v>
                </c:pt>
                <c:pt idx="51">
                  <c:v>0.41287920450000004</c:v>
                </c:pt>
                <c:pt idx="52">
                  <c:v>0.41035700750000004</c:v>
                </c:pt>
                <c:pt idx="53">
                  <c:v>0.41921247450000004</c:v>
                </c:pt>
                <c:pt idx="54">
                  <c:v>0.50500050549999997</c:v>
                </c:pt>
                <c:pt idx="55">
                  <c:v>0.49853945900000007</c:v>
                </c:pt>
                <c:pt idx="56">
                  <c:v>0.43187901449999999</c:v>
                </c:pt>
                <c:pt idx="57">
                  <c:v>0.39709602900000007</c:v>
                </c:pt>
                <c:pt idx="58">
                  <c:v>0.37955176000000002</c:v>
                </c:pt>
                <c:pt idx="59">
                  <c:v>0.39931267349999999</c:v>
                </c:pt>
                <c:pt idx="60">
                  <c:v>0.44190113650000007</c:v>
                </c:pt>
                <c:pt idx="61">
                  <c:v>0.41578473099999996</c:v>
                </c:pt>
                <c:pt idx="62">
                  <c:v>0.38882944500000005</c:v>
                </c:pt>
                <c:pt idx="63">
                  <c:v>0.42252910799999999</c:v>
                </c:pt>
                <c:pt idx="64">
                  <c:v>0.41846248200000002</c:v>
                </c:pt>
                <c:pt idx="65">
                  <c:v>0.441306698</c:v>
                </c:pt>
                <c:pt idx="66">
                  <c:v>0.48655624550000004</c:v>
                </c:pt>
                <c:pt idx="67">
                  <c:v>0.48056741650000001</c:v>
                </c:pt>
                <c:pt idx="68">
                  <c:v>0.46173427149999996</c:v>
                </c:pt>
                <c:pt idx="69">
                  <c:v>0.46528423599999996</c:v>
                </c:pt>
                <c:pt idx="70">
                  <c:v>0.45422879100000002</c:v>
                </c:pt>
                <c:pt idx="71">
                  <c:v>0.47328415600000001</c:v>
                </c:pt>
                <c:pt idx="72">
                  <c:v>0.54108903350000004</c:v>
                </c:pt>
                <c:pt idx="73">
                  <c:v>0.54503343850000008</c:v>
                </c:pt>
                <c:pt idx="74">
                  <c:v>0.54097792350000007</c:v>
                </c:pt>
                <c:pt idx="75">
                  <c:v>0.64939047269700012</c:v>
                </c:pt>
                <c:pt idx="76">
                  <c:v>0.58083560269699996</c:v>
                </c:pt>
                <c:pt idx="77">
                  <c:v>0.55283588269700012</c:v>
                </c:pt>
                <c:pt idx="78">
                  <c:v>0.65064775456849999</c:v>
                </c:pt>
                <c:pt idx="79">
                  <c:v>0.65064775456849999</c:v>
                </c:pt>
                <c:pt idx="80">
                  <c:v>0.65064775456849999</c:v>
                </c:pt>
                <c:pt idx="81">
                  <c:v>0.65442123349999992</c:v>
                </c:pt>
                <c:pt idx="82">
                  <c:v>0.64842129350000011</c:v>
                </c:pt>
                <c:pt idx="83">
                  <c:v>0.6758654635000001</c:v>
                </c:pt>
              </c:numCache>
            </c:numRef>
          </c:val>
        </c:ser>
        <c:ser>
          <c:idx val="1"/>
          <c:order val="5"/>
          <c:tx>
            <c:strRef>
              <c:f>'Misc. Data &amp; Mechanisms'!$O$480</c:f>
              <c:strCache>
                <c:ptCount val="1"/>
                <c:pt idx="0">
                  <c:v>Energy</c:v>
                </c:pt>
              </c:strCache>
            </c:strRef>
          </c:tx>
          <c:spPr>
            <a:solidFill>
              <a:srgbClr val="3BA0BB"/>
            </a:solidFill>
            <a:ln w="25400">
              <a:noFill/>
            </a:ln>
          </c:spPr>
          <c:cat>
            <c:numRef>
              <c:f>'Misc. Data &amp; Mechanisms'!$M$481:$M$564</c:f>
              <c:numCache>
                <c:formatCode>mmm-yy</c:formatCode>
                <c:ptCount val="84"/>
                <c:pt idx="0">
                  <c:v>40909</c:v>
                </c:pt>
                <c:pt idx="1">
                  <c:v>40940</c:v>
                </c:pt>
                <c:pt idx="2">
                  <c:v>40969</c:v>
                </c:pt>
                <c:pt idx="3">
                  <c:v>41000</c:v>
                </c:pt>
                <c:pt idx="4">
                  <c:v>41030</c:v>
                </c:pt>
                <c:pt idx="5">
                  <c:v>41061</c:v>
                </c:pt>
                <c:pt idx="6">
                  <c:v>41091</c:v>
                </c:pt>
                <c:pt idx="7">
                  <c:v>41122</c:v>
                </c:pt>
                <c:pt idx="8">
                  <c:v>41153</c:v>
                </c:pt>
                <c:pt idx="9">
                  <c:v>41183</c:v>
                </c:pt>
                <c:pt idx="10">
                  <c:v>41214</c:v>
                </c:pt>
                <c:pt idx="11">
                  <c:v>41244</c:v>
                </c:pt>
                <c:pt idx="12">
                  <c:v>41275</c:v>
                </c:pt>
                <c:pt idx="13">
                  <c:v>41306</c:v>
                </c:pt>
                <c:pt idx="14">
                  <c:v>41334</c:v>
                </c:pt>
                <c:pt idx="15">
                  <c:v>41365</c:v>
                </c:pt>
                <c:pt idx="16">
                  <c:v>41395</c:v>
                </c:pt>
                <c:pt idx="17">
                  <c:v>41426</c:v>
                </c:pt>
                <c:pt idx="18">
                  <c:v>41456</c:v>
                </c:pt>
                <c:pt idx="19">
                  <c:v>41487</c:v>
                </c:pt>
                <c:pt idx="20">
                  <c:v>41518</c:v>
                </c:pt>
                <c:pt idx="21">
                  <c:v>41548</c:v>
                </c:pt>
                <c:pt idx="22">
                  <c:v>41579</c:v>
                </c:pt>
                <c:pt idx="23">
                  <c:v>41609</c:v>
                </c:pt>
                <c:pt idx="24">
                  <c:v>41640</c:v>
                </c:pt>
                <c:pt idx="25">
                  <c:v>41671</c:v>
                </c:pt>
                <c:pt idx="26">
                  <c:v>41699</c:v>
                </c:pt>
                <c:pt idx="27">
                  <c:v>41730</c:v>
                </c:pt>
                <c:pt idx="28">
                  <c:v>41760</c:v>
                </c:pt>
                <c:pt idx="29">
                  <c:v>41791</c:v>
                </c:pt>
                <c:pt idx="30">
                  <c:v>41821</c:v>
                </c:pt>
                <c:pt idx="31">
                  <c:v>41852</c:v>
                </c:pt>
                <c:pt idx="32">
                  <c:v>41883</c:v>
                </c:pt>
                <c:pt idx="33">
                  <c:v>41913</c:v>
                </c:pt>
                <c:pt idx="34">
                  <c:v>41944</c:v>
                </c:pt>
                <c:pt idx="35">
                  <c:v>41974</c:v>
                </c:pt>
                <c:pt idx="36">
                  <c:v>42005</c:v>
                </c:pt>
                <c:pt idx="37">
                  <c:v>42036</c:v>
                </c:pt>
                <c:pt idx="38">
                  <c:v>42064</c:v>
                </c:pt>
                <c:pt idx="39">
                  <c:v>42095</c:v>
                </c:pt>
                <c:pt idx="40">
                  <c:v>42125</c:v>
                </c:pt>
                <c:pt idx="41">
                  <c:v>42156</c:v>
                </c:pt>
                <c:pt idx="42">
                  <c:v>42186</c:v>
                </c:pt>
                <c:pt idx="43">
                  <c:v>42217</c:v>
                </c:pt>
                <c:pt idx="44">
                  <c:v>42248</c:v>
                </c:pt>
                <c:pt idx="45">
                  <c:v>42278</c:v>
                </c:pt>
                <c:pt idx="46">
                  <c:v>42309</c:v>
                </c:pt>
                <c:pt idx="47">
                  <c:v>42339</c:v>
                </c:pt>
                <c:pt idx="48">
                  <c:v>42370</c:v>
                </c:pt>
                <c:pt idx="49">
                  <c:v>42401</c:v>
                </c:pt>
                <c:pt idx="50">
                  <c:v>42430</c:v>
                </c:pt>
                <c:pt idx="51">
                  <c:v>42461</c:v>
                </c:pt>
                <c:pt idx="52">
                  <c:v>42491</c:v>
                </c:pt>
                <c:pt idx="53">
                  <c:v>42522</c:v>
                </c:pt>
                <c:pt idx="54">
                  <c:v>42552</c:v>
                </c:pt>
                <c:pt idx="55">
                  <c:v>42583</c:v>
                </c:pt>
                <c:pt idx="56">
                  <c:v>42614</c:v>
                </c:pt>
                <c:pt idx="57">
                  <c:v>42644</c:v>
                </c:pt>
                <c:pt idx="58">
                  <c:v>42675</c:v>
                </c:pt>
                <c:pt idx="59">
                  <c:v>42705</c:v>
                </c:pt>
                <c:pt idx="60">
                  <c:v>42736</c:v>
                </c:pt>
                <c:pt idx="61">
                  <c:v>42767</c:v>
                </c:pt>
                <c:pt idx="62">
                  <c:v>42795</c:v>
                </c:pt>
                <c:pt idx="63">
                  <c:v>42826</c:v>
                </c:pt>
                <c:pt idx="64">
                  <c:v>42856</c:v>
                </c:pt>
                <c:pt idx="65">
                  <c:v>42887</c:v>
                </c:pt>
                <c:pt idx="66">
                  <c:v>42917</c:v>
                </c:pt>
                <c:pt idx="67">
                  <c:v>42948</c:v>
                </c:pt>
                <c:pt idx="68">
                  <c:v>42979</c:v>
                </c:pt>
                <c:pt idx="69">
                  <c:v>43009</c:v>
                </c:pt>
                <c:pt idx="70">
                  <c:v>43040</c:v>
                </c:pt>
                <c:pt idx="71">
                  <c:v>43070</c:v>
                </c:pt>
                <c:pt idx="72">
                  <c:v>43101</c:v>
                </c:pt>
                <c:pt idx="73">
                  <c:v>43132</c:v>
                </c:pt>
                <c:pt idx="74">
                  <c:v>43160</c:v>
                </c:pt>
                <c:pt idx="75">
                  <c:v>43191</c:v>
                </c:pt>
                <c:pt idx="76">
                  <c:v>43221</c:v>
                </c:pt>
                <c:pt idx="77">
                  <c:v>43252</c:v>
                </c:pt>
                <c:pt idx="78">
                  <c:v>43282</c:v>
                </c:pt>
                <c:pt idx="79">
                  <c:v>43313</c:v>
                </c:pt>
                <c:pt idx="80">
                  <c:v>43344</c:v>
                </c:pt>
                <c:pt idx="81">
                  <c:v>43374</c:v>
                </c:pt>
                <c:pt idx="82">
                  <c:v>43405</c:v>
                </c:pt>
                <c:pt idx="83">
                  <c:v>43435</c:v>
                </c:pt>
              </c:numCache>
            </c:numRef>
          </c:cat>
          <c:val>
            <c:numRef>
              <c:f>'Misc. Data &amp; Mechanisms'!$O$481:$O$564</c:f>
              <c:numCache>
                <c:formatCode>0.00</c:formatCode>
                <c:ptCount val="84"/>
                <c:pt idx="0">
                  <c:v>15.284000000000001</c:v>
                </c:pt>
                <c:pt idx="1">
                  <c:v>13.69</c:v>
                </c:pt>
                <c:pt idx="2">
                  <c:v>8.218</c:v>
                </c:pt>
                <c:pt idx="3">
                  <c:v>7.1760000000000002</c:v>
                </c:pt>
                <c:pt idx="4">
                  <c:v>6.3503999999999996</c:v>
                </c:pt>
                <c:pt idx="5">
                  <c:v>7.6746999999999996</c:v>
                </c:pt>
                <c:pt idx="6">
                  <c:v>9.0332000000000008</c:v>
                </c:pt>
                <c:pt idx="7">
                  <c:v>11.3147</c:v>
                </c:pt>
                <c:pt idx="8">
                  <c:v>10.763</c:v>
                </c:pt>
                <c:pt idx="9">
                  <c:v>9.6221999999999994</c:v>
                </c:pt>
                <c:pt idx="10">
                  <c:v>7.3994999999999997</c:v>
                </c:pt>
                <c:pt idx="11">
                  <c:v>8.4816000000000003</c:v>
                </c:pt>
                <c:pt idx="12">
                  <c:v>9.1424000000000003</c:v>
                </c:pt>
                <c:pt idx="13">
                  <c:v>7.6902999999999997</c:v>
                </c:pt>
                <c:pt idx="14">
                  <c:v>7.2336</c:v>
                </c:pt>
                <c:pt idx="15">
                  <c:v>8.3926999999999996</c:v>
                </c:pt>
                <c:pt idx="16">
                  <c:v>7.2154999999999996</c:v>
                </c:pt>
                <c:pt idx="17">
                  <c:v>7.7211999999999996</c:v>
                </c:pt>
                <c:pt idx="18">
                  <c:v>11.292999999999999</c:v>
                </c:pt>
                <c:pt idx="19">
                  <c:v>11.211</c:v>
                </c:pt>
                <c:pt idx="20">
                  <c:v>10.948</c:v>
                </c:pt>
                <c:pt idx="21">
                  <c:v>8.0594000000000001</c:v>
                </c:pt>
                <c:pt idx="22">
                  <c:v>7.9027000000000003</c:v>
                </c:pt>
                <c:pt idx="23">
                  <c:v>7.5796000000000001</c:v>
                </c:pt>
                <c:pt idx="24">
                  <c:v>7.8040000000000003</c:v>
                </c:pt>
                <c:pt idx="25">
                  <c:v>7.1909000000000001</c:v>
                </c:pt>
                <c:pt idx="26">
                  <c:v>7.3186999999999998</c:v>
                </c:pt>
                <c:pt idx="27">
                  <c:v>7.0838000000000001</c:v>
                </c:pt>
                <c:pt idx="28">
                  <c:v>10.612</c:v>
                </c:pt>
                <c:pt idx="29">
                  <c:v>5.4981</c:v>
                </c:pt>
                <c:pt idx="30">
                  <c:v>7.7039999999999997</c:v>
                </c:pt>
                <c:pt idx="31">
                  <c:v>8.6411999999999995</c:v>
                </c:pt>
                <c:pt idx="32">
                  <c:v>9.0046999999999997</c:v>
                </c:pt>
                <c:pt idx="33">
                  <c:v>8.4507999999999992</c:v>
                </c:pt>
                <c:pt idx="34">
                  <c:v>6.3208000000000002</c:v>
                </c:pt>
                <c:pt idx="35">
                  <c:v>7.2981999999999996</c:v>
                </c:pt>
                <c:pt idx="36">
                  <c:v>7.4088000000000003</c:v>
                </c:pt>
                <c:pt idx="37">
                  <c:v>5.9298999999999999</c:v>
                </c:pt>
                <c:pt idx="38">
                  <c:v>4.9176000000000002</c:v>
                </c:pt>
                <c:pt idx="39">
                  <c:v>5.1140999999999996</c:v>
                </c:pt>
                <c:pt idx="40">
                  <c:v>4.5153999999999996</c:v>
                </c:pt>
                <c:pt idx="41">
                  <c:v>3.8008000000000002</c:v>
                </c:pt>
                <c:pt idx="42">
                  <c:v>8.2159999999999993</c:v>
                </c:pt>
                <c:pt idx="43">
                  <c:v>7.8959999999999999</c:v>
                </c:pt>
                <c:pt idx="44">
                  <c:v>5.407</c:v>
                </c:pt>
                <c:pt idx="45">
                  <c:v>5.5547000000000004</c:v>
                </c:pt>
                <c:pt idx="46">
                  <c:v>5.0035999999999996</c:v>
                </c:pt>
                <c:pt idx="47">
                  <c:v>5.1921999999999997</c:v>
                </c:pt>
                <c:pt idx="48">
                  <c:v>4.7946999999999997</c:v>
                </c:pt>
                <c:pt idx="49">
                  <c:v>4.3921000000000001</c:v>
                </c:pt>
                <c:pt idx="50">
                  <c:v>4.1858000000000004</c:v>
                </c:pt>
                <c:pt idx="51">
                  <c:v>3.3496999999999999</c:v>
                </c:pt>
                <c:pt idx="52">
                  <c:v>3.3043</c:v>
                </c:pt>
                <c:pt idx="53">
                  <c:v>3.4636999999999998</c:v>
                </c:pt>
                <c:pt idx="54">
                  <c:v>4.9828000000000001</c:v>
                </c:pt>
                <c:pt idx="55">
                  <c:v>4.8665000000000003</c:v>
                </c:pt>
                <c:pt idx="56">
                  <c:v>3.6665999999999999</c:v>
                </c:pt>
                <c:pt idx="57">
                  <c:v>4.1272000000000002</c:v>
                </c:pt>
                <c:pt idx="58">
                  <c:v>3.8113999999999999</c:v>
                </c:pt>
                <c:pt idx="59">
                  <c:v>4.1670999999999996</c:v>
                </c:pt>
                <c:pt idx="60">
                  <c:v>4.3943000000000003</c:v>
                </c:pt>
                <c:pt idx="61">
                  <c:v>3.9241999999999999</c:v>
                </c:pt>
                <c:pt idx="62">
                  <c:v>3.4390000000000001</c:v>
                </c:pt>
                <c:pt idx="63">
                  <c:v>3.0567000000000002</c:v>
                </c:pt>
                <c:pt idx="64">
                  <c:v>2.9834999999999998</c:v>
                </c:pt>
                <c:pt idx="65">
                  <c:v>3.3946999999999998</c:v>
                </c:pt>
                <c:pt idx="66">
                  <c:v>4.2127999999999997</c:v>
                </c:pt>
                <c:pt idx="67">
                  <c:v>4.1050000000000004</c:v>
                </c:pt>
                <c:pt idx="68">
                  <c:v>3.766</c:v>
                </c:pt>
                <c:pt idx="69">
                  <c:v>3.8519999999999999</c:v>
                </c:pt>
                <c:pt idx="70">
                  <c:v>3.653</c:v>
                </c:pt>
                <c:pt idx="71">
                  <c:v>3.996</c:v>
                </c:pt>
                <c:pt idx="72">
                  <c:v>5.1120000000000001</c:v>
                </c:pt>
                <c:pt idx="73">
                  <c:v>5.1829999999999998</c:v>
                </c:pt>
                <c:pt idx="74">
                  <c:v>5.1100000000000003</c:v>
                </c:pt>
                <c:pt idx="75">
                  <c:v>6.8</c:v>
                </c:pt>
                <c:pt idx="76">
                  <c:v>5.5659999999999998</c:v>
                </c:pt>
                <c:pt idx="77">
                  <c:v>5.0620000000000003</c:v>
                </c:pt>
                <c:pt idx="78">
                  <c:v>6.8</c:v>
                </c:pt>
                <c:pt idx="79">
                  <c:v>6.8</c:v>
                </c:pt>
                <c:pt idx="80">
                  <c:v>6.8</c:v>
                </c:pt>
                <c:pt idx="81">
                  <c:v>6.4139999999999997</c:v>
                </c:pt>
                <c:pt idx="82">
                  <c:v>6.306</c:v>
                </c:pt>
                <c:pt idx="83">
                  <c:v>6.8</c:v>
                </c:pt>
              </c:numCache>
            </c:numRef>
          </c:val>
        </c:ser>
        <c:dLbls>
          <c:showLegendKey val="0"/>
          <c:showVal val="0"/>
          <c:showCatName val="0"/>
          <c:showSerName val="0"/>
          <c:showPercent val="0"/>
          <c:showBubbleSize val="0"/>
        </c:dLbls>
        <c:axId val="345789184"/>
        <c:axId val="345790720"/>
      </c:areaChart>
      <c:dateAx>
        <c:axId val="345789184"/>
        <c:scaling>
          <c:orientation val="minMax"/>
        </c:scaling>
        <c:delete val="0"/>
        <c:axPos val="b"/>
        <c:numFmt formatCode="mmm-yy" sourceLinked="1"/>
        <c:majorTickMark val="out"/>
        <c:minorTickMark val="none"/>
        <c:tickLblPos val="nextTo"/>
        <c:crossAx val="345790720"/>
        <c:crosses val="autoZero"/>
        <c:auto val="1"/>
        <c:lblOffset val="100"/>
        <c:baseTimeUnit val="months"/>
      </c:dateAx>
      <c:valAx>
        <c:axId val="345790720"/>
        <c:scaling>
          <c:orientation val="minMax"/>
        </c:scaling>
        <c:delete val="0"/>
        <c:axPos val="l"/>
        <c:majorGridlines/>
        <c:title>
          <c:tx>
            <c:rich>
              <a:bodyPr rot="-5400000" vert="horz"/>
              <a:lstStyle/>
              <a:p>
                <a:pPr>
                  <a:defRPr/>
                </a:pPr>
                <a:r>
                  <a:rPr lang="en-US"/>
                  <a:t>¢/kWh</a:t>
                </a:r>
              </a:p>
            </c:rich>
          </c:tx>
          <c:overlay val="0"/>
        </c:title>
        <c:numFmt formatCode="#,##0" sourceLinked="0"/>
        <c:majorTickMark val="out"/>
        <c:minorTickMark val="none"/>
        <c:tickLblPos val="nextTo"/>
        <c:crossAx val="345789184"/>
        <c:crosses val="autoZero"/>
        <c:crossBetween val="midCat"/>
      </c:valAx>
    </c:plotArea>
    <c:legend>
      <c:legendPos val="r"/>
      <c:layout>
        <c:manualLayout>
          <c:xMode val="edge"/>
          <c:yMode val="edge"/>
          <c:x val="0.7100535090230371"/>
          <c:y val="0.3661901991001672"/>
          <c:w val="0.28781054640897158"/>
          <c:h val="0.44300002674432276"/>
        </c:manualLayout>
      </c:layout>
      <c:overlay val="0"/>
    </c:legend>
    <c:plotVisOnly val="1"/>
    <c:dispBlanksAs val="zero"/>
    <c:showDLblsOverMax val="0"/>
  </c:chart>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'Misc. Data &amp; Mechanisms'!$L$757</c:f>
          <c:strCache>
            <c:ptCount val="1"/>
            <c:pt idx="0">
              <c:v>Monthly Bill vs. Monthly Consumption in the ENMAX Service Zone</c:v>
            </c:pt>
          </c:strCache>
        </c:strRef>
      </c:tx>
      <c:overlay val="0"/>
    </c:title>
    <c:autoTitleDeleted val="0"/>
    <c:plotArea>
      <c:layout/>
      <c:areaChart>
        <c:grouping val="standard"/>
        <c:varyColors val="0"/>
        <c:ser>
          <c:idx val="0"/>
          <c:order val="0"/>
          <c:tx>
            <c:strRef>
              <c:f>'Elec. Analysis'!$C$233</c:f>
              <c:strCache>
                <c:ptCount val="1"/>
                <c:pt idx="0">
                  <c:v>ENMAX Total Monthly Bill ($)</c:v>
                </c:pt>
              </c:strCache>
            </c:strRef>
          </c:tx>
          <c:spPr>
            <a:solidFill>
              <a:schemeClr val="accent1"/>
            </a:solidFill>
            <a:ln>
              <a:solidFill>
                <a:schemeClr val="accent1"/>
              </a:solidFill>
            </a:ln>
          </c:spPr>
          <c:cat>
            <c:numRef>
              <c:f>'Elec. Analysis'!$A$234:$A$323</c:f>
              <c:numCache>
                <c:formatCode>[$-409]mmm-yy;@</c:formatCode>
                <c:ptCount val="90"/>
                <c:pt idx="0">
                  <c:v>40909</c:v>
                </c:pt>
                <c:pt idx="1">
                  <c:v>40940</c:v>
                </c:pt>
                <c:pt idx="2">
                  <c:v>40969</c:v>
                </c:pt>
                <c:pt idx="3">
                  <c:v>41000</c:v>
                </c:pt>
                <c:pt idx="4">
                  <c:v>41030</c:v>
                </c:pt>
                <c:pt idx="5">
                  <c:v>41061</c:v>
                </c:pt>
                <c:pt idx="6">
                  <c:v>41091</c:v>
                </c:pt>
                <c:pt idx="7">
                  <c:v>41122</c:v>
                </c:pt>
                <c:pt idx="8">
                  <c:v>41153</c:v>
                </c:pt>
                <c:pt idx="9">
                  <c:v>41183</c:v>
                </c:pt>
                <c:pt idx="10">
                  <c:v>41214</c:v>
                </c:pt>
                <c:pt idx="11">
                  <c:v>41244</c:v>
                </c:pt>
                <c:pt idx="12">
                  <c:v>41275</c:v>
                </c:pt>
                <c:pt idx="13">
                  <c:v>41306</c:v>
                </c:pt>
                <c:pt idx="14">
                  <c:v>41334</c:v>
                </c:pt>
                <c:pt idx="15">
                  <c:v>41365</c:v>
                </c:pt>
                <c:pt idx="16">
                  <c:v>41395</c:v>
                </c:pt>
                <c:pt idx="17">
                  <c:v>41426</c:v>
                </c:pt>
                <c:pt idx="18">
                  <c:v>41456</c:v>
                </c:pt>
                <c:pt idx="19">
                  <c:v>41487</c:v>
                </c:pt>
                <c:pt idx="20">
                  <c:v>41518</c:v>
                </c:pt>
                <c:pt idx="21">
                  <c:v>41548</c:v>
                </c:pt>
                <c:pt idx="22">
                  <c:v>41579</c:v>
                </c:pt>
                <c:pt idx="23">
                  <c:v>41609</c:v>
                </c:pt>
                <c:pt idx="24">
                  <c:v>41640</c:v>
                </c:pt>
                <c:pt idx="25">
                  <c:v>41671</c:v>
                </c:pt>
                <c:pt idx="26">
                  <c:v>41699</c:v>
                </c:pt>
                <c:pt idx="27">
                  <c:v>41730</c:v>
                </c:pt>
                <c:pt idx="28">
                  <c:v>41760</c:v>
                </c:pt>
                <c:pt idx="29">
                  <c:v>41791</c:v>
                </c:pt>
                <c:pt idx="30">
                  <c:v>41821</c:v>
                </c:pt>
                <c:pt idx="31">
                  <c:v>41852</c:v>
                </c:pt>
                <c:pt idx="32">
                  <c:v>41883</c:v>
                </c:pt>
                <c:pt idx="33">
                  <c:v>41913</c:v>
                </c:pt>
                <c:pt idx="34">
                  <c:v>41944</c:v>
                </c:pt>
                <c:pt idx="35">
                  <c:v>41974</c:v>
                </c:pt>
                <c:pt idx="36">
                  <c:v>42005</c:v>
                </c:pt>
                <c:pt idx="37">
                  <c:v>42036</c:v>
                </c:pt>
                <c:pt idx="38">
                  <c:v>42064</c:v>
                </c:pt>
                <c:pt idx="39">
                  <c:v>42095</c:v>
                </c:pt>
                <c:pt idx="40">
                  <c:v>42125</c:v>
                </c:pt>
                <c:pt idx="41">
                  <c:v>42156</c:v>
                </c:pt>
                <c:pt idx="42">
                  <c:v>42186</c:v>
                </c:pt>
                <c:pt idx="43">
                  <c:v>42217</c:v>
                </c:pt>
                <c:pt idx="44">
                  <c:v>42248</c:v>
                </c:pt>
                <c:pt idx="45">
                  <c:v>42278</c:v>
                </c:pt>
                <c:pt idx="46">
                  <c:v>42309</c:v>
                </c:pt>
                <c:pt idx="47">
                  <c:v>42339</c:v>
                </c:pt>
                <c:pt idx="48">
                  <c:v>42370</c:v>
                </c:pt>
                <c:pt idx="49">
                  <c:v>42401</c:v>
                </c:pt>
                <c:pt idx="50">
                  <c:v>42430</c:v>
                </c:pt>
                <c:pt idx="51">
                  <c:v>42461</c:v>
                </c:pt>
                <c:pt idx="52">
                  <c:v>42491</c:v>
                </c:pt>
                <c:pt idx="53">
                  <c:v>42522</c:v>
                </c:pt>
                <c:pt idx="54">
                  <c:v>42552</c:v>
                </c:pt>
                <c:pt idx="55">
                  <c:v>42583</c:v>
                </c:pt>
                <c:pt idx="56">
                  <c:v>42614</c:v>
                </c:pt>
                <c:pt idx="57">
                  <c:v>42644</c:v>
                </c:pt>
                <c:pt idx="58">
                  <c:v>42675</c:v>
                </c:pt>
                <c:pt idx="59">
                  <c:v>42705</c:v>
                </c:pt>
                <c:pt idx="60">
                  <c:v>42736</c:v>
                </c:pt>
                <c:pt idx="61">
                  <c:v>42767</c:v>
                </c:pt>
                <c:pt idx="62">
                  <c:v>42795</c:v>
                </c:pt>
                <c:pt idx="63">
                  <c:v>42826</c:v>
                </c:pt>
                <c:pt idx="64">
                  <c:v>42856</c:v>
                </c:pt>
                <c:pt idx="65">
                  <c:v>42887</c:v>
                </c:pt>
                <c:pt idx="66">
                  <c:v>42917</c:v>
                </c:pt>
                <c:pt idx="67">
                  <c:v>42948</c:v>
                </c:pt>
                <c:pt idx="68">
                  <c:v>42979</c:v>
                </c:pt>
                <c:pt idx="69">
                  <c:v>43009</c:v>
                </c:pt>
                <c:pt idx="70">
                  <c:v>43040</c:v>
                </c:pt>
                <c:pt idx="71">
                  <c:v>43070</c:v>
                </c:pt>
                <c:pt idx="72">
                  <c:v>43101</c:v>
                </c:pt>
                <c:pt idx="73">
                  <c:v>43132</c:v>
                </c:pt>
                <c:pt idx="74">
                  <c:v>43160</c:v>
                </c:pt>
                <c:pt idx="75">
                  <c:v>43191</c:v>
                </c:pt>
                <c:pt idx="76">
                  <c:v>43221</c:v>
                </c:pt>
                <c:pt idx="77">
                  <c:v>43252</c:v>
                </c:pt>
                <c:pt idx="78">
                  <c:v>43282</c:v>
                </c:pt>
                <c:pt idx="79">
                  <c:v>43313</c:v>
                </c:pt>
                <c:pt idx="80">
                  <c:v>43344</c:v>
                </c:pt>
                <c:pt idx="81">
                  <c:v>43374</c:v>
                </c:pt>
                <c:pt idx="82">
                  <c:v>43405</c:v>
                </c:pt>
                <c:pt idx="83">
                  <c:v>43435</c:v>
                </c:pt>
                <c:pt idx="84">
                  <c:v>43466</c:v>
                </c:pt>
                <c:pt idx="85">
                  <c:v>43497</c:v>
                </c:pt>
                <c:pt idx="86">
                  <c:v>43525</c:v>
                </c:pt>
                <c:pt idx="87">
                  <c:v>43556</c:v>
                </c:pt>
                <c:pt idx="88">
                  <c:v>43586</c:v>
                </c:pt>
                <c:pt idx="89">
                  <c:v>43617</c:v>
                </c:pt>
              </c:numCache>
            </c:numRef>
          </c:cat>
          <c:val>
            <c:numRef>
              <c:f>'Elec. Analysis'!$C$234:$C$323</c:f>
              <c:numCache>
                <c:formatCode>0.00_);[Red]\(0.00\)</c:formatCode>
                <c:ptCount val="90"/>
                <c:pt idx="0">
                  <c:v>176.03224583567183</c:v>
                </c:pt>
                <c:pt idx="1">
                  <c:v>146.38684193791593</c:v>
                </c:pt>
                <c:pt idx="2">
                  <c:v>104.46397338464241</c:v>
                </c:pt>
                <c:pt idx="3">
                  <c:v>89.20275930212344</c:v>
                </c:pt>
                <c:pt idx="4">
                  <c:v>83.166867696355169</c:v>
                </c:pt>
                <c:pt idx="5">
                  <c:v>87.41731040655921</c:v>
                </c:pt>
                <c:pt idx="6">
                  <c:v>103.51440278901468</c:v>
                </c:pt>
                <c:pt idx="7">
                  <c:v>115.39031338141906</c:v>
                </c:pt>
                <c:pt idx="8">
                  <c:v>110.05570077540159</c:v>
                </c:pt>
                <c:pt idx="9">
                  <c:v>110.1496103260307</c:v>
                </c:pt>
                <c:pt idx="10">
                  <c:v>96.461293354412746</c:v>
                </c:pt>
                <c:pt idx="11">
                  <c:v>118.81779023041705</c:v>
                </c:pt>
                <c:pt idx="12">
                  <c:v>115.67277820131953</c:v>
                </c:pt>
                <c:pt idx="13">
                  <c:v>89.04222337749988</c:v>
                </c:pt>
                <c:pt idx="14">
                  <c:v>93.242061887794094</c:v>
                </c:pt>
                <c:pt idx="15">
                  <c:v>98.476380221446362</c:v>
                </c:pt>
                <c:pt idx="16">
                  <c:v>84.05004054674572</c:v>
                </c:pt>
                <c:pt idx="17">
                  <c:v>85.968160553757244</c:v>
                </c:pt>
                <c:pt idx="18">
                  <c:v>108.53599142391927</c:v>
                </c:pt>
                <c:pt idx="19">
                  <c:v>109.6193005300434</c:v>
                </c:pt>
                <c:pt idx="20">
                  <c:v>107.86766277802467</c:v>
                </c:pt>
                <c:pt idx="21">
                  <c:v>104.79381364046809</c:v>
                </c:pt>
                <c:pt idx="22">
                  <c:v>110.01465976738784</c:v>
                </c:pt>
                <c:pt idx="23">
                  <c:v>125.24407138526182</c:v>
                </c:pt>
                <c:pt idx="24">
                  <c:v>118.94385744842</c:v>
                </c:pt>
                <c:pt idx="25">
                  <c:v>108.11127147150229</c:v>
                </c:pt>
                <c:pt idx="26">
                  <c:v>116.9334600996698</c:v>
                </c:pt>
                <c:pt idx="27">
                  <c:v>87.840720182916058</c:v>
                </c:pt>
                <c:pt idx="28">
                  <c:v>110.5563265567594</c:v>
                </c:pt>
                <c:pt idx="29">
                  <c:v>72.498197170599155</c:v>
                </c:pt>
                <c:pt idx="30">
                  <c:v>92.784785516980946</c:v>
                </c:pt>
                <c:pt idx="31">
                  <c:v>98.559841179175223</c:v>
                </c:pt>
                <c:pt idx="32">
                  <c:v>98.842115917858933</c:v>
                </c:pt>
                <c:pt idx="33">
                  <c:v>103.0807358200106</c:v>
                </c:pt>
                <c:pt idx="34">
                  <c:v>99.432182382399986</c:v>
                </c:pt>
                <c:pt idx="35">
                  <c:v>110.66245763938612</c:v>
                </c:pt>
                <c:pt idx="36">
                  <c:v>113.20600559155233</c:v>
                </c:pt>
                <c:pt idx="37">
                  <c:v>89.713420061713649</c:v>
                </c:pt>
                <c:pt idx="38">
                  <c:v>85.446869439449046</c:v>
                </c:pt>
                <c:pt idx="39">
                  <c:v>75.564647608827087</c:v>
                </c:pt>
                <c:pt idx="40">
                  <c:v>71.931584570078343</c:v>
                </c:pt>
                <c:pt idx="41">
                  <c:v>67.377849207802342</c:v>
                </c:pt>
                <c:pt idx="42">
                  <c:v>96.213593449055423</c:v>
                </c:pt>
                <c:pt idx="43">
                  <c:v>94.564390313877794</c:v>
                </c:pt>
                <c:pt idx="44">
                  <c:v>74.719712869783052</c:v>
                </c:pt>
                <c:pt idx="45">
                  <c:v>84.375683962990621</c:v>
                </c:pt>
                <c:pt idx="46">
                  <c:v>84.990315900775997</c:v>
                </c:pt>
                <c:pt idx="47">
                  <c:v>95.604645306803775</c:v>
                </c:pt>
                <c:pt idx="48">
                  <c:v>92.292263290884136</c:v>
                </c:pt>
                <c:pt idx="49">
                  <c:v>79.919934134559725</c:v>
                </c:pt>
                <c:pt idx="50">
                  <c:v>79.626628662128496</c:v>
                </c:pt>
                <c:pt idx="51">
                  <c:v>66.143398610381837</c:v>
                </c:pt>
                <c:pt idx="52">
                  <c:v>68.482426679410551</c:v>
                </c:pt>
                <c:pt idx="53">
                  <c:v>66.722339694954314</c:v>
                </c:pt>
                <c:pt idx="54">
                  <c:v>78.629381891768517</c:v>
                </c:pt>
                <c:pt idx="55">
                  <c:v>76.785878756948549</c:v>
                </c:pt>
                <c:pt idx="56">
                  <c:v>67.488154638459207</c:v>
                </c:pt>
                <c:pt idx="57">
                  <c:v>71.405808375660001</c:v>
                </c:pt>
                <c:pt idx="58">
                  <c:v>63.797060121675813</c:v>
                </c:pt>
                <c:pt idx="59">
                  <c:v>82.098728358227334</c:v>
                </c:pt>
                <c:pt idx="60">
                  <c:v>81.172660945086108</c:v>
                </c:pt>
                <c:pt idx="61">
                  <c:v>68.651904841888083</c:v>
                </c:pt>
                <c:pt idx="62">
                  <c:v>69.307154646758036</c:v>
                </c:pt>
                <c:pt idx="63">
                  <c:v>66.692254981087331</c:v>
                </c:pt>
                <c:pt idx="64">
                  <c:v>68.701949839346156</c:v>
                </c:pt>
                <c:pt idx="65">
                  <c:v>68.184002802872556</c:v>
                </c:pt>
                <c:pt idx="66">
                  <c:v>81.314809741058738</c:v>
                </c:pt>
                <c:pt idx="67">
                  <c:v>76.278948511532576</c:v>
                </c:pt>
                <c:pt idx="68">
                  <c:v>73.42519585960018</c:v>
                </c:pt>
                <c:pt idx="69">
                  <c:v>78.635927532328026</c:v>
                </c:pt>
                <c:pt idx="70">
                  <c:v>81.538955698710438</c:v>
                </c:pt>
                <c:pt idx="71">
                  <c:v>92.239618493565786</c:v>
                </c:pt>
                <c:pt idx="72">
                  <c:v>97.04768000615276</c:v>
                </c:pt>
                <c:pt idx="73">
                  <c:v>90.414418526864011</c:v>
                </c:pt>
                <c:pt idx="74">
                  <c:v>91.688336430019945</c:v>
                </c:pt>
                <c:pt idx="75">
                  <c:v>98.143887448812052</c:v>
                </c:pt>
                <c:pt idx="76">
                  <c:v>87.366600450974673</c:v>
                </c:pt>
                <c:pt idx="77">
                  <c:v>82.016944173843683</c:v>
                </c:pt>
                <c:pt idx="78">
                  <c:v>95.772531450151874</c:v>
                </c:pt>
                <c:pt idx="79">
                  <c:v>97.676571480872184</c:v>
                </c:pt>
                <c:pt idx="80">
                  <c:v>94.427956990055407</c:v>
                </c:pt>
                <c:pt idx="81">
                  <c:v>99.808261723978561</c:v>
                </c:pt>
                <c:pt idx="82">
                  <c:v>103.62204058208933</c:v>
                </c:pt>
                <c:pt idx="83">
                  <c:v>114.01081373421792</c:v>
                </c:pt>
                <c:pt idx="84">
                  <c:v>114.90395361763929</c:v>
                </c:pt>
                <c:pt idx="85">
                  <c:v>116.41903663158469</c:v>
                </c:pt>
                <c:pt idx="86">
                  <c:v>105.12998929161778</c:v>
                </c:pt>
                <c:pt idx="87">
                  <c:v>96.677407493638754</c:v>
                </c:pt>
                <c:pt idx="88">
                  <c:v>96.761693219855815</c:v>
                </c:pt>
                <c:pt idx="89">
                  <c:v>93.940632384574229</c:v>
                </c:pt>
              </c:numCache>
            </c:numRef>
          </c:val>
        </c:ser>
        <c:dLbls>
          <c:showLegendKey val="0"/>
          <c:showVal val="0"/>
          <c:showCatName val="0"/>
          <c:showSerName val="0"/>
          <c:showPercent val="0"/>
          <c:showBubbleSize val="0"/>
        </c:dLbls>
        <c:axId val="240400640"/>
        <c:axId val="240406528"/>
      </c:areaChart>
      <c:lineChart>
        <c:grouping val="standard"/>
        <c:varyColors val="0"/>
        <c:ser>
          <c:idx val="1"/>
          <c:order val="1"/>
          <c:tx>
            <c:strRef>
              <c:f>'Elec. Analysis'!$D$233</c:f>
              <c:strCache>
                <c:ptCount val="1"/>
                <c:pt idx="0">
                  <c:v>Detached Home Consumption (kWh)</c:v>
                </c:pt>
              </c:strCache>
            </c:strRef>
          </c:tx>
          <c:spPr>
            <a:ln w="38100"/>
          </c:spPr>
          <c:marker>
            <c:symbol val="none"/>
          </c:marker>
          <c:cat>
            <c:numRef>
              <c:f>'Elec. Analysis'!$A$234:$A$317</c:f>
              <c:numCache>
                <c:formatCode>[$-409]mmm-yy;@</c:formatCode>
                <c:ptCount val="84"/>
                <c:pt idx="0">
                  <c:v>40909</c:v>
                </c:pt>
                <c:pt idx="1">
                  <c:v>40940</c:v>
                </c:pt>
                <c:pt idx="2">
                  <c:v>40969</c:v>
                </c:pt>
                <c:pt idx="3">
                  <c:v>41000</c:v>
                </c:pt>
                <c:pt idx="4">
                  <c:v>41030</c:v>
                </c:pt>
                <c:pt idx="5">
                  <c:v>41061</c:v>
                </c:pt>
                <c:pt idx="6">
                  <c:v>41091</c:v>
                </c:pt>
                <c:pt idx="7">
                  <c:v>41122</c:v>
                </c:pt>
                <c:pt idx="8">
                  <c:v>41153</c:v>
                </c:pt>
                <c:pt idx="9">
                  <c:v>41183</c:v>
                </c:pt>
                <c:pt idx="10">
                  <c:v>41214</c:v>
                </c:pt>
                <c:pt idx="11">
                  <c:v>41244</c:v>
                </c:pt>
                <c:pt idx="12">
                  <c:v>41275</c:v>
                </c:pt>
                <c:pt idx="13">
                  <c:v>41306</c:v>
                </c:pt>
                <c:pt idx="14">
                  <c:v>41334</c:v>
                </c:pt>
                <c:pt idx="15">
                  <c:v>41365</c:v>
                </c:pt>
                <c:pt idx="16">
                  <c:v>41395</c:v>
                </c:pt>
                <c:pt idx="17">
                  <c:v>41426</c:v>
                </c:pt>
                <c:pt idx="18">
                  <c:v>41456</c:v>
                </c:pt>
                <c:pt idx="19">
                  <c:v>41487</c:v>
                </c:pt>
                <c:pt idx="20">
                  <c:v>41518</c:v>
                </c:pt>
                <c:pt idx="21">
                  <c:v>41548</c:v>
                </c:pt>
                <c:pt idx="22">
                  <c:v>41579</c:v>
                </c:pt>
                <c:pt idx="23">
                  <c:v>41609</c:v>
                </c:pt>
                <c:pt idx="24">
                  <c:v>41640</c:v>
                </c:pt>
                <c:pt idx="25">
                  <c:v>41671</c:v>
                </c:pt>
                <c:pt idx="26">
                  <c:v>41699</c:v>
                </c:pt>
                <c:pt idx="27">
                  <c:v>41730</c:v>
                </c:pt>
                <c:pt idx="28">
                  <c:v>41760</c:v>
                </c:pt>
                <c:pt idx="29">
                  <c:v>41791</c:v>
                </c:pt>
                <c:pt idx="30">
                  <c:v>41821</c:v>
                </c:pt>
                <c:pt idx="31">
                  <c:v>41852</c:v>
                </c:pt>
                <c:pt idx="32">
                  <c:v>41883</c:v>
                </c:pt>
                <c:pt idx="33">
                  <c:v>41913</c:v>
                </c:pt>
                <c:pt idx="34">
                  <c:v>41944</c:v>
                </c:pt>
                <c:pt idx="35">
                  <c:v>41974</c:v>
                </c:pt>
                <c:pt idx="36">
                  <c:v>42005</c:v>
                </c:pt>
                <c:pt idx="37">
                  <c:v>42036</c:v>
                </c:pt>
                <c:pt idx="38">
                  <c:v>42064</c:v>
                </c:pt>
                <c:pt idx="39">
                  <c:v>42095</c:v>
                </c:pt>
                <c:pt idx="40">
                  <c:v>42125</c:v>
                </c:pt>
                <c:pt idx="41">
                  <c:v>42156</c:v>
                </c:pt>
                <c:pt idx="42">
                  <c:v>42186</c:v>
                </c:pt>
                <c:pt idx="43">
                  <c:v>42217</c:v>
                </c:pt>
                <c:pt idx="44">
                  <c:v>42248</c:v>
                </c:pt>
                <c:pt idx="45">
                  <c:v>42278</c:v>
                </c:pt>
                <c:pt idx="46">
                  <c:v>42309</c:v>
                </c:pt>
                <c:pt idx="47">
                  <c:v>42339</c:v>
                </c:pt>
                <c:pt idx="48">
                  <c:v>42370</c:v>
                </c:pt>
                <c:pt idx="49">
                  <c:v>42401</c:v>
                </c:pt>
                <c:pt idx="50">
                  <c:v>42430</c:v>
                </c:pt>
                <c:pt idx="51">
                  <c:v>42461</c:v>
                </c:pt>
                <c:pt idx="52">
                  <c:v>42491</c:v>
                </c:pt>
                <c:pt idx="53">
                  <c:v>42522</c:v>
                </c:pt>
                <c:pt idx="54">
                  <c:v>42552</c:v>
                </c:pt>
                <c:pt idx="55">
                  <c:v>42583</c:v>
                </c:pt>
                <c:pt idx="56">
                  <c:v>42614</c:v>
                </c:pt>
                <c:pt idx="57">
                  <c:v>42644</c:v>
                </c:pt>
                <c:pt idx="58">
                  <c:v>42675</c:v>
                </c:pt>
                <c:pt idx="59">
                  <c:v>42705</c:v>
                </c:pt>
                <c:pt idx="60">
                  <c:v>42736</c:v>
                </c:pt>
                <c:pt idx="61">
                  <c:v>42767</c:v>
                </c:pt>
                <c:pt idx="62">
                  <c:v>42795</c:v>
                </c:pt>
                <c:pt idx="63">
                  <c:v>42826</c:v>
                </c:pt>
                <c:pt idx="64">
                  <c:v>42856</c:v>
                </c:pt>
                <c:pt idx="65">
                  <c:v>42887</c:v>
                </c:pt>
                <c:pt idx="66">
                  <c:v>42917</c:v>
                </c:pt>
                <c:pt idx="67">
                  <c:v>42948</c:v>
                </c:pt>
                <c:pt idx="68">
                  <c:v>42979</c:v>
                </c:pt>
                <c:pt idx="69">
                  <c:v>43009</c:v>
                </c:pt>
                <c:pt idx="70">
                  <c:v>43040</c:v>
                </c:pt>
                <c:pt idx="71">
                  <c:v>43070</c:v>
                </c:pt>
                <c:pt idx="72">
                  <c:v>43101</c:v>
                </c:pt>
                <c:pt idx="73">
                  <c:v>43132</c:v>
                </c:pt>
                <c:pt idx="74">
                  <c:v>43160</c:v>
                </c:pt>
                <c:pt idx="75">
                  <c:v>43191</c:v>
                </c:pt>
                <c:pt idx="76">
                  <c:v>43221</c:v>
                </c:pt>
                <c:pt idx="77">
                  <c:v>43252</c:v>
                </c:pt>
                <c:pt idx="78">
                  <c:v>43282</c:v>
                </c:pt>
                <c:pt idx="79">
                  <c:v>43313</c:v>
                </c:pt>
                <c:pt idx="80">
                  <c:v>43344</c:v>
                </c:pt>
                <c:pt idx="81">
                  <c:v>43374</c:v>
                </c:pt>
                <c:pt idx="82">
                  <c:v>43405</c:v>
                </c:pt>
                <c:pt idx="83">
                  <c:v>43435</c:v>
                </c:pt>
              </c:numCache>
            </c:numRef>
          </c:cat>
          <c:val>
            <c:numRef>
              <c:f>'Elec. Analysis'!$D$234:$D$323</c:f>
              <c:numCache>
                <c:formatCode>0_);[Red]\(0\)</c:formatCode>
                <c:ptCount val="90"/>
                <c:pt idx="0">
                  <c:v>706.749077999924</c:v>
                </c:pt>
                <c:pt idx="1">
                  <c:v>631.50245411531682</c:v>
                </c:pt>
                <c:pt idx="2">
                  <c:v>610.5311897530521</c:v>
                </c:pt>
                <c:pt idx="3">
                  <c:v>553.50674210245211</c:v>
                </c:pt>
                <c:pt idx="4">
                  <c:v>541.91428860302665</c:v>
                </c:pt>
                <c:pt idx="5">
                  <c:v>515.57253474242975</c:v>
                </c:pt>
                <c:pt idx="6">
                  <c:v>564.82318192701314</c:v>
                </c:pt>
                <c:pt idx="7">
                  <c:v>546.71745545533315</c:v>
                </c:pt>
                <c:pt idx="8">
                  <c:v>539.75497456034395</c:v>
                </c:pt>
                <c:pt idx="9">
                  <c:v>629.88348353718152</c:v>
                </c:pt>
                <c:pt idx="10">
                  <c:v>657.98042355140103</c:v>
                </c:pt>
                <c:pt idx="11">
                  <c:v>761.27007914030821</c:v>
                </c:pt>
                <c:pt idx="12">
                  <c:v>695.70470034835296</c:v>
                </c:pt>
                <c:pt idx="13">
                  <c:v>588.63103674874526</c:v>
                </c:pt>
                <c:pt idx="14">
                  <c:v>635.48405455189265</c:v>
                </c:pt>
                <c:pt idx="15">
                  <c:v>582.137273709135</c:v>
                </c:pt>
                <c:pt idx="16">
                  <c:v>524.18966004109279</c:v>
                </c:pt>
                <c:pt idx="17">
                  <c:v>529.52087601301878</c:v>
                </c:pt>
                <c:pt idx="18">
                  <c:v>542.78935903304478</c:v>
                </c:pt>
                <c:pt idx="19">
                  <c:v>552.5367918507244</c:v>
                </c:pt>
                <c:pt idx="20">
                  <c:v>548.43636134944279</c:v>
                </c:pt>
                <c:pt idx="21">
                  <c:v>603.77371963474275</c:v>
                </c:pt>
                <c:pt idx="22">
                  <c:v>654.080202180794</c:v>
                </c:pt>
                <c:pt idx="23">
                  <c:v>767.71589655293087</c:v>
                </c:pt>
                <c:pt idx="24">
                  <c:v>679.80526265539095</c:v>
                </c:pt>
                <c:pt idx="25">
                  <c:v>651.69079712842574</c:v>
                </c:pt>
                <c:pt idx="26">
                  <c:v>672.47295275973647</c:v>
                </c:pt>
                <c:pt idx="27">
                  <c:v>549.22593994361023</c:v>
                </c:pt>
                <c:pt idx="28">
                  <c:v>544.89601415275456</c:v>
                </c:pt>
                <c:pt idx="29">
                  <c:v>508.11715523587856</c:v>
                </c:pt>
                <c:pt idx="30">
                  <c:v>550.27564308737453</c:v>
                </c:pt>
                <c:pt idx="31">
                  <c:v>548.4852192164833</c:v>
                </c:pt>
                <c:pt idx="32">
                  <c:v>539.49057792869712</c:v>
                </c:pt>
                <c:pt idx="33">
                  <c:v>577.81210120705612</c:v>
                </c:pt>
                <c:pt idx="34">
                  <c:v>681.40742022456311</c:v>
                </c:pt>
                <c:pt idx="35">
                  <c:v>703.19710101169528</c:v>
                </c:pt>
                <c:pt idx="36">
                  <c:v>672.43278272761768</c:v>
                </c:pt>
                <c:pt idx="37">
                  <c:v>589.22827055193079</c:v>
                </c:pt>
                <c:pt idx="38">
                  <c:v>591.76623672893038</c:v>
                </c:pt>
                <c:pt idx="39">
                  <c:v>534.43170590601471</c:v>
                </c:pt>
                <c:pt idx="40">
                  <c:v>527.54718087523224</c:v>
                </c:pt>
                <c:pt idx="41">
                  <c:v>534.45054632951371</c:v>
                </c:pt>
                <c:pt idx="42">
                  <c:v>545.29132412881165</c:v>
                </c:pt>
                <c:pt idx="43">
                  <c:v>548.24925977459793</c:v>
                </c:pt>
                <c:pt idx="44">
                  <c:v>519.19357702298203</c:v>
                </c:pt>
                <c:pt idx="45">
                  <c:v>571.6210749094887</c:v>
                </c:pt>
                <c:pt idx="46">
                  <c:v>621.16898918569302</c:v>
                </c:pt>
                <c:pt idx="47">
                  <c:v>703.35853981851835</c:v>
                </c:pt>
                <c:pt idx="48">
                  <c:v>648.81494461562306</c:v>
                </c:pt>
                <c:pt idx="49">
                  <c:v>572.05995122032334</c:v>
                </c:pt>
                <c:pt idx="50">
                  <c:v>568.09995204782911</c:v>
                </c:pt>
                <c:pt idx="51">
                  <c:v>507.02427047604448</c:v>
                </c:pt>
                <c:pt idx="52">
                  <c:v>528.70316044981587</c:v>
                </c:pt>
                <c:pt idx="53">
                  <c:v>505.94066890972266</c:v>
                </c:pt>
                <c:pt idx="54">
                  <c:v>525.29824868173444</c:v>
                </c:pt>
                <c:pt idx="55">
                  <c:v>514.49747885704483</c:v>
                </c:pt>
                <c:pt idx="56">
                  <c:v>499.54586897401543</c:v>
                </c:pt>
                <c:pt idx="57">
                  <c:v>581.41581667192713</c:v>
                </c:pt>
                <c:pt idx="58">
                  <c:v>576.30672568593138</c:v>
                </c:pt>
                <c:pt idx="59">
                  <c:v>758.93857168514921</c:v>
                </c:pt>
                <c:pt idx="60">
                  <c:v>647.80149995356771</c:v>
                </c:pt>
                <c:pt idx="61">
                  <c:v>568.43198073192229</c:v>
                </c:pt>
                <c:pt idx="62">
                  <c:v>590.90640142097993</c:v>
                </c:pt>
                <c:pt idx="63">
                  <c:v>521.96284196970953</c:v>
                </c:pt>
                <c:pt idx="64">
                  <c:v>499.78475479463549</c:v>
                </c:pt>
                <c:pt idx="65">
                  <c:v>476.9507488479735</c:v>
                </c:pt>
                <c:pt idx="66">
                  <c:v>553.28116548516766</c:v>
                </c:pt>
                <c:pt idx="67">
                  <c:v>510.2761997497081</c:v>
                </c:pt>
                <c:pt idx="68">
                  <c:v>509.90285276586809</c:v>
                </c:pt>
                <c:pt idx="69">
                  <c:v>551.15949519938317</c:v>
                </c:pt>
                <c:pt idx="70">
                  <c:v>603.38881925349096</c:v>
                </c:pt>
                <c:pt idx="71">
                  <c:v>678.71552709613513</c:v>
                </c:pt>
                <c:pt idx="72">
                  <c:v>635.97821266527023</c:v>
                </c:pt>
                <c:pt idx="73">
                  <c:v>594.37508025101431</c:v>
                </c:pt>
                <c:pt idx="74">
                  <c:v>588.93374180774288</c:v>
                </c:pt>
                <c:pt idx="75">
                  <c:v>528.01162456374163</c:v>
                </c:pt>
                <c:pt idx="76">
                  <c:v>494.83267205155215</c:v>
                </c:pt>
                <c:pt idx="77">
                  <c:v>481.31960825480462</c:v>
                </c:pt>
                <c:pt idx="78">
                  <c:v>515.53500390451472</c:v>
                </c:pt>
                <c:pt idx="79">
                  <c:v>529.47012813338006</c:v>
                </c:pt>
                <c:pt idx="80">
                  <c:v>511.67498853221838</c:v>
                </c:pt>
                <c:pt idx="81">
                  <c:v>545.14156168933403</c:v>
                </c:pt>
                <c:pt idx="82">
                  <c:v>584.09010167112854</c:v>
                </c:pt>
                <c:pt idx="83">
                  <c:v>627.91108023765605</c:v>
                </c:pt>
                <c:pt idx="84">
                  <c:v>604.05865639280523</c:v>
                </c:pt>
                <c:pt idx="85">
                  <c:v>631.39549774534771</c:v>
                </c:pt>
                <c:pt idx="86">
                  <c:v>578.27899102446463</c:v>
                </c:pt>
                <c:pt idx="87">
                  <c:v>511.80512836511508</c:v>
                </c:pt>
                <c:pt idx="88">
                  <c:v>493.13403457407418</c:v>
                </c:pt>
                <c:pt idx="89">
                  <c:v>479.27857953782711</c:v>
                </c:pt>
              </c:numCache>
            </c:numRef>
          </c:val>
          <c:smooth val="0"/>
        </c:ser>
        <c:dLbls>
          <c:showLegendKey val="0"/>
          <c:showVal val="0"/>
          <c:showCatName val="0"/>
          <c:showSerName val="0"/>
          <c:showPercent val="0"/>
          <c:showBubbleSize val="0"/>
        </c:dLbls>
        <c:marker val="1"/>
        <c:smooth val="0"/>
        <c:axId val="240409600"/>
        <c:axId val="240408064"/>
      </c:lineChart>
      <c:dateAx>
        <c:axId val="240400640"/>
        <c:scaling>
          <c:orientation val="minMax"/>
        </c:scaling>
        <c:delete val="0"/>
        <c:axPos val="b"/>
        <c:numFmt formatCode="[$-409]mmm-yy;@" sourceLinked="1"/>
        <c:majorTickMark val="out"/>
        <c:minorTickMark val="none"/>
        <c:tickLblPos val="nextTo"/>
        <c:crossAx val="240406528"/>
        <c:crosses val="autoZero"/>
        <c:auto val="1"/>
        <c:lblOffset val="100"/>
        <c:baseTimeUnit val="months"/>
      </c:dateAx>
      <c:valAx>
        <c:axId val="240406528"/>
        <c:scaling>
          <c:orientation val="minMax"/>
          <c:max val="300"/>
        </c:scaling>
        <c:delete val="0"/>
        <c:axPos val="l"/>
        <c:majorGridlines>
          <c:spPr>
            <a:ln>
              <a:solidFill>
                <a:schemeClr val="bg1">
                  <a:lumMod val="85000"/>
                </a:schemeClr>
              </a:solidFill>
              <a:prstDash val="dash"/>
            </a:ln>
          </c:spPr>
        </c:majorGridlines>
        <c:numFmt formatCode="&quot;$&quot;#,##0" sourceLinked="0"/>
        <c:majorTickMark val="none"/>
        <c:minorTickMark val="none"/>
        <c:tickLblPos val="nextTo"/>
        <c:spPr>
          <a:ln w="9525">
            <a:noFill/>
          </a:ln>
        </c:spPr>
        <c:crossAx val="240400640"/>
        <c:crosses val="autoZero"/>
        <c:crossBetween val="midCat"/>
      </c:valAx>
      <c:valAx>
        <c:axId val="240408064"/>
        <c:scaling>
          <c:orientation val="minMax"/>
        </c:scaling>
        <c:delete val="0"/>
        <c:axPos val="r"/>
        <c:numFmt formatCode="0_);[Red]\(0\)" sourceLinked="1"/>
        <c:majorTickMark val="out"/>
        <c:minorTickMark val="none"/>
        <c:tickLblPos val="nextTo"/>
        <c:crossAx val="240409600"/>
        <c:crosses val="max"/>
        <c:crossBetween val="between"/>
      </c:valAx>
      <c:dateAx>
        <c:axId val="240409600"/>
        <c:scaling>
          <c:orientation val="minMax"/>
        </c:scaling>
        <c:delete val="1"/>
        <c:axPos val="b"/>
        <c:numFmt formatCode="[$-409]mmm-yy;@" sourceLinked="1"/>
        <c:majorTickMark val="out"/>
        <c:minorTickMark val="none"/>
        <c:tickLblPos val="nextTo"/>
        <c:crossAx val="240408064"/>
        <c:crosses val="autoZero"/>
        <c:auto val="1"/>
        <c:lblOffset val="100"/>
        <c:baseTimeUnit val="months"/>
      </c:dateAx>
    </c:plotArea>
    <c:legend>
      <c:legendPos val="b"/>
      <c:overlay val="0"/>
      <c:txPr>
        <a:bodyPr/>
        <a:lstStyle/>
        <a:p>
          <a:pPr>
            <a:defRPr sz="1100"/>
          </a:pPr>
          <a:endParaRPr lang="en-US"/>
        </a:p>
      </c:txPr>
    </c:legend>
    <c:plotVisOnly val="1"/>
    <c:dispBlanksAs val="zero"/>
    <c:showDLblsOverMax val="0"/>
  </c:chart>
  <c:spPr>
    <a:ln>
      <a:noFill/>
    </a:ln>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'Misc. Data &amp; Mechanisms'!$L$758</c:f>
          <c:strCache>
            <c:ptCount val="1"/>
            <c:pt idx="0">
              <c:v>Monthly Bill vs. Energy Rate in the ENMAX Service Zone</c:v>
            </c:pt>
          </c:strCache>
        </c:strRef>
      </c:tx>
      <c:overlay val="0"/>
    </c:title>
    <c:autoTitleDeleted val="0"/>
    <c:plotArea>
      <c:layout/>
      <c:areaChart>
        <c:grouping val="standard"/>
        <c:varyColors val="0"/>
        <c:ser>
          <c:idx val="0"/>
          <c:order val="0"/>
          <c:tx>
            <c:strRef>
              <c:f>'Elec. Analysis'!$C$233</c:f>
              <c:strCache>
                <c:ptCount val="1"/>
                <c:pt idx="0">
                  <c:v>ENMAX Total Monthly Bill ($)</c:v>
                </c:pt>
              </c:strCache>
            </c:strRef>
          </c:tx>
          <c:spPr>
            <a:solidFill>
              <a:schemeClr val="accent1"/>
            </a:solidFill>
            <a:ln>
              <a:solidFill>
                <a:schemeClr val="accent1"/>
              </a:solidFill>
            </a:ln>
          </c:spPr>
          <c:cat>
            <c:numRef>
              <c:f>'Elec. Analysis'!$A$234:$A$323</c:f>
              <c:numCache>
                <c:formatCode>[$-409]mmm-yy;@</c:formatCode>
                <c:ptCount val="90"/>
                <c:pt idx="0">
                  <c:v>40909</c:v>
                </c:pt>
                <c:pt idx="1">
                  <c:v>40940</c:v>
                </c:pt>
                <c:pt idx="2">
                  <c:v>40969</c:v>
                </c:pt>
                <c:pt idx="3">
                  <c:v>41000</c:v>
                </c:pt>
                <c:pt idx="4">
                  <c:v>41030</c:v>
                </c:pt>
                <c:pt idx="5">
                  <c:v>41061</c:v>
                </c:pt>
                <c:pt idx="6">
                  <c:v>41091</c:v>
                </c:pt>
                <c:pt idx="7">
                  <c:v>41122</c:v>
                </c:pt>
                <c:pt idx="8">
                  <c:v>41153</c:v>
                </c:pt>
                <c:pt idx="9">
                  <c:v>41183</c:v>
                </c:pt>
                <c:pt idx="10">
                  <c:v>41214</c:v>
                </c:pt>
                <c:pt idx="11">
                  <c:v>41244</c:v>
                </c:pt>
                <c:pt idx="12">
                  <c:v>41275</c:v>
                </c:pt>
                <c:pt idx="13">
                  <c:v>41306</c:v>
                </c:pt>
                <c:pt idx="14">
                  <c:v>41334</c:v>
                </c:pt>
                <c:pt idx="15">
                  <c:v>41365</c:v>
                </c:pt>
                <c:pt idx="16">
                  <c:v>41395</c:v>
                </c:pt>
                <c:pt idx="17">
                  <c:v>41426</c:v>
                </c:pt>
                <c:pt idx="18">
                  <c:v>41456</c:v>
                </c:pt>
                <c:pt idx="19">
                  <c:v>41487</c:v>
                </c:pt>
                <c:pt idx="20">
                  <c:v>41518</c:v>
                </c:pt>
                <c:pt idx="21">
                  <c:v>41548</c:v>
                </c:pt>
                <c:pt idx="22">
                  <c:v>41579</c:v>
                </c:pt>
                <c:pt idx="23">
                  <c:v>41609</c:v>
                </c:pt>
                <c:pt idx="24">
                  <c:v>41640</c:v>
                </c:pt>
                <c:pt idx="25">
                  <c:v>41671</c:v>
                </c:pt>
                <c:pt idx="26">
                  <c:v>41699</c:v>
                </c:pt>
                <c:pt idx="27">
                  <c:v>41730</c:v>
                </c:pt>
                <c:pt idx="28">
                  <c:v>41760</c:v>
                </c:pt>
                <c:pt idx="29">
                  <c:v>41791</c:v>
                </c:pt>
                <c:pt idx="30">
                  <c:v>41821</c:v>
                </c:pt>
                <c:pt idx="31">
                  <c:v>41852</c:v>
                </c:pt>
                <c:pt idx="32">
                  <c:v>41883</c:v>
                </c:pt>
                <c:pt idx="33">
                  <c:v>41913</c:v>
                </c:pt>
                <c:pt idx="34">
                  <c:v>41944</c:v>
                </c:pt>
                <c:pt idx="35">
                  <c:v>41974</c:v>
                </c:pt>
                <c:pt idx="36">
                  <c:v>42005</c:v>
                </c:pt>
                <c:pt idx="37">
                  <c:v>42036</c:v>
                </c:pt>
                <c:pt idx="38">
                  <c:v>42064</c:v>
                </c:pt>
                <c:pt idx="39">
                  <c:v>42095</c:v>
                </c:pt>
                <c:pt idx="40">
                  <c:v>42125</c:v>
                </c:pt>
                <c:pt idx="41">
                  <c:v>42156</c:v>
                </c:pt>
                <c:pt idx="42">
                  <c:v>42186</c:v>
                </c:pt>
                <c:pt idx="43">
                  <c:v>42217</c:v>
                </c:pt>
                <c:pt idx="44">
                  <c:v>42248</c:v>
                </c:pt>
                <c:pt idx="45">
                  <c:v>42278</c:v>
                </c:pt>
                <c:pt idx="46">
                  <c:v>42309</c:v>
                </c:pt>
                <c:pt idx="47">
                  <c:v>42339</c:v>
                </c:pt>
                <c:pt idx="48">
                  <c:v>42370</c:v>
                </c:pt>
                <c:pt idx="49">
                  <c:v>42401</c:v>
                </c:pt>
                <c:pt idx="50">
                  <c:v>42430</c:v>
                </c:pt>
                <c:pt idx="51">
                  <c:v>42461</c:v>
                </c:pt>
                <c:pt idx="52">
                  <c:v>42491</c:v>
                </c:pt>
                <c:pt idx="53">
                  <c:v>42522</c:v>
                </c:pt>
                <c:pt idx="54">
                  <c:v>42552</c:v>
                </c:pt>
                <c:pt idx="55">
                  <c:v>42583</c:v>
                </c:pt>
                <c:pt idx="56">
                  <c:v>42614</c:v>
                </c:pt>
                <c:pt idx="57">
                  <c:v>42644</c:v>
                </c:pt>
                <c:pt idx="58">
                  <c:v>42675</c:v>
                </c:pt>
                <c:pt idx="59">
                  <c:v>42705</c:v>
                </c:pt>
                <c:pt idx="60">
                  <c:v>42736</c:v>
                </c:pt>
                <c:pt idx="61">
                  <c:v>42767</c:v>
                </c:pt>
                <c:pt idx="62">
                  <c:v>42795</c:v>
                </c:pt>
                <c:pt idx="63">
                  <c:v>42826</c:v>
                </c:pt>
                <c:pt idx="64">
                  <c:v>42856</c:v>
                </c:pt>
                <c:pt idx="65">
                  <c:v>42887</c:v>
                </c:pt>
                <c:pt idx="66">
                  <c:v>42917</c:v>
                </c:pt>
                <c:pt idx="67">
                  <c:v>42948</c:v>
                </c:pt>
                <c:pt idx="68">
                  <c:v>42979</c:v>
                </c:pt>
                <c:pt idx="69">
                  <c:v>43009</c:v>
                </c:pt>
                <c:pt idx="70">
                  <c:v>43040</c:v>
                </c:pt>
                <c:pt idx="71">
                  <c:v>43070</c:v>
                </c:pt>
                <c:pt idx="72">
                  <c:v>43101</c:v>
                </c:pt>
                <c:pt idx="73">
                  <c:v>43132</c:v>
                </c:pt>
                <c:pt idx="74">
                  <c:v>43160</c:v>
                </c:pt>
                <c:pt idx="75">
                  <c:v>43191</c:v>
                </c:pt>
                <c:pt idx="76">
                  <c:v>43221</c:v>
                </c:pt>
                <c:pt idx="77">
                  <c:v>43252</c:v>
                </c:pt>
                <c:pt idx="78">
                  <c:v>43282</c:v>
                </c:pt>
                <c:pt idx="79">
                  <c:v>43313</c:v>
                </c:pt>
                <c:pt idx="80">
                  <c:v>43344</c:v>
                </c:pt>
                <c:pt idx="81">
                  <c:v>43374</c:v>
                </c:pt>
                <c:pt idx="82">
                  <c:v>43405</c:v>
                </c:pt>
                <c:pt idx="83">
                  <c:v>43435</c:v>
                </c:pt>
                <c:pt idx="84">
                  <c:v>43466</c:v>
                </c:pt>
                <c:pt idx="85">
                  <c:v>43497</c:v>
                </c:pt>
                <c:pt idx="86">
                  <c:v>43525</c:v>
                </c:pt>
                <c:pt idx="87">
                  <c:v>43556</c:v>
                </c:pt>
                <c:pt idx="88">
                  <c:v>43586</c:v>
                </c:pt>
                <c:pt idx="89">
                  <c:v>43617</c:v>
                </c:pt>
              </c:numCache>
            </c:numRef>
          </c:cat>
          <c:val>
            <c:numRef>
              <c:f>'Elec. Analysis'!$C$234:$C$323</c:f>
              <c:numCache>
                <c:formatCode>0.00_);[Red]\(0.00\)</c:formatCode>
                <c:ptCount val="90"/>
                <c:pt idx="0">
                  <c:v>176.03224583567183</c:v>
                </c:pt>
                <c:pt idx="1">
                  <c:v>146.38684193791593</c:v>
                </c:pt>
                <c:pt idx="2">
                  <c:v>104.46397338464241</c:v>
                </c:pt>
                <c:pt idx="3">
                  <c:v>89.20275930212344</c:v>
                </c:pt>
                <c:pt idx="4">
                  <c:v>83.166867696355169</c:v>
                </c:pt>
                <c:pt idx="5">
                  <c:v>87.41731040655921</c:v>
                </c:pt>
                <c:pt idx="6">
                  <c:v>103.51440278901468</c:v>
                </c:pt>
                <c:pt idx="7">
                  <c:v>115.39031338141906</c:v>
                </c:pt>
                <c:pt idx="8">
                  <c:v>110.05570077540159</c:v>
                </c:pt>
                <c:pt idx="9">
                  <c:v>110.1496103260307</c:v>
                </c:pt>
                <c:pt idx="10">
                  <c:v>96.461293354412746</c:v>
                </c:pt>
                <c:pt idx="11">
                  <c:v>118.81779023041705</c:v>
                </c:pt>
                <c:pt idx="12">
                  <c:v>115.67277820131953</c:v>
                </c:pt>
                <c:pt idx="13">
                  <c:v>89.04222337749988</c:v>
                </c:pt>
                <c:pt idx="14">
                  <c:v>93.242061887794094</c:v>
                </c:pt>
                <c:pt idx="15">
                  <c:v>98.476380221446362</c:v>
                </c:pt>
                <c:pt idx="16">
                  <c:v>84.05004054674572</c:v>
                </c:pt>
                <c:pt idx="17">
                  <c:v>85.968160553757244</c:v>
                </c:pt>
                <c:pt idx="18">
                  <c:v>108.53599142391927</c:v>
                </c:pt>
                <c:pt idx="19">
                  <c:v>109.6193005300434</c:v>
                </c:pt>
                <c:pt idx="20">
                  <c:v>107.86766277802467</c:v>
                </c:pt>
                <c:pt idx="21">
                  <c:v>104.79381364046809</c:v>
                </c:pt>
                <c:pt idx="22">
                  <c:v>110.01465976738784</c:v>
                </c:pt>
                <c:pt idx="23">
                  <c:v>125.24407138526182</c:v>
                </c:pt>
                <c:pt idx="24">
                  <c:v>118.94385744842</c:v>
                </c:pt>
                <c:pt idx="25">
                  <c:v>108.11127147150229</c:v>
                </c:pt>
                <c:pt idx="26">
                  <c:v>116.9334600996698</c:v>
                </c:pt>
                <c:pt idx="27">
                  <c:v>87.840720182916058</c:v>
                </c:pt>
                <c:pt idx="28">
                  <c:v>110.5563265567594</c:v>
                </c:pt>
                <c:pt idx="29">
                  <c:v>72.498197170599155</c:v>
                </c:pt>
                <c:pt idx="30">
                  <c:v>92.784785516980946</c:v>
                </c:pt>
                <c:pt idx="31">
                  <c:v>98.559841179175223</c:v>
                </c:pt>
                <c:pt idx="32">
                  <c:v>98.842115917858933</c:v>
                </c:pt>
                <c:pt idx="33">
                  <c:v>103.0807358200106</c:v>
                </c:pt>
                <c:pt idx="34">
                  <c:v>99.432182382399986</c:v>
                </c:pt>
                <c:pt idx="35">
                  <c:v>110.66245763938612</c:v>
                </c:pt>
                <c:pt idx="36">
                  <c:v>113.20600559155233</c:v>
                </c:pt>
                <c:pt idx="37">
                  <c:v>89.713420061713649</c:v>
                </c:pt>
                <c:pt idx="38">
                  <c:v>85.446869439449046</c:v>
                </c:pt>
                <c:pt idx="39">
                  <c:v>75.564647608827087</c:v>
                </c:pt>
                <c:pt idx="40">
                  <c:v>71.931584570078343</c:v>
                </c:pt>
                <c:pt idx="41">
                  <c:v>67.377849207802342</c:v>
                </c:pt>
                <c:pt idx="42">
                  <c:v>96.213593449055423</c:v>
                </c:pt>
                <c:pt idx="43">
                  <c:v>94.564390313877794</c:v>
                </c:pt>
                <c:pt idx="44">
                  <c:v>74.719712869783052</c:v>
                </c:pt>
                <c:pt idx="45">
                  <c:v>84.375683962990621</c:v>
                </c:pt>
                <c:pt idx="46">
                  <c:v>84.990315900775997</c:v>
                </c:pt>
                <c:pt idx="47">
                  <c:v>95.604645306803775</c:v>
                </c:pt>
                <c:pt idx="48">
                  <c:v>92.292263290884136</c:v>
                </c:pt>
                <c:pt idx="49">
                  <c:v>79.919934134559725</c:v>
                </c:pt>
                <c:pt idx="50">
                  <c:v>79.626628662128496</c:v>
                </c:pt>
                <c:pt idx="51">
                  <c:v>66.143398610381837</c:v>
                </c:pt>
                <c:pt idx="52">
                  <c:v>68.482426679410551</c:v>
                </c:pt>
                <c:pt idx="53">
                  <c:v>66.722339694954314</c:v>
                </c:pt>
                <c:pt idx="54">
                  <c:v>78.629381891768517</c:v>
                </c:pt>
                <c:pt idx="55">
                  <c:v>76.785878756948549</c:v>
                </c:pt>
                <c:pt idx="56">
                  <c:v>67.488154638459207</c:v>
                </c:pt>
                <c:pt idx="57">
                  <c:v>71.405808375660001</c:v>
                </c:pt>
                <c:pt idx="58">
                  <c:v>63.797060121675813</c:v>
                </c:pt>
                <c:pt idx="59">
                  <c:v>82.098728358227334</c:v>
                </c:pt>
                <c:pt idx="60">
                  <c:v>81.172660945086108</c:v>
                </c:pt>
                <c:pt idx="61">
                  <c:v>68.651904841888083</c:v>
                </c:pt>
                <c:pt idx="62">
                  <c:v>69.307154646758036</c:v>
                </c:pt>
                <c:pt idx="63">
                  <c:v>66.692254981087331</c:v>
                </c:pt>
                <c:pt idx="64">
                  <c:v>68.701949839346156</c:v>
                </c:pt>
                <c:pt idx="65">
                  <c:v>68.184002802872556</c:v>
                </c:pt>
                <c:pt idx="66">
                  <c:v>81.314809741058738</c:v>
                </c:pt>
                <c:pt idx="67">
                  <c:v>76.278948511532576</c:v>
                </c:pt>
                <c:pt idx="68">
                  <c:v>73.42519585960018</c:v>
                </c:pt>
                <c:pt idx="69">
                  <c:v>78.635927532328026</c:v>
                </c:pt>
                <c:pt idx="70">
                  <c:v>81.538955698710438</c:v>
                </c:pt>
                <c:pt idx="71">
                  <c:v>92.239618493565786</c:v>
                </c:pt>
                <c:pt idx="72">
                  <c:v>97.04768000615276</c:v>
                </c:pt>
                <c:pt idx="73">
                  <c:v>90.414418526864011</c:v>
                </c:pt>
                <c:pt idx="74">
                  <c:v>91.688336430019945</c:v>
                </c:pt>
                <c:pt idx="75">
                  <c:v>98.143887448812052</c:v>
                </c:pt>
                <c:pt idx="76">
                  <c:v>87.366600450974673</c:v>
                </c:pt>
                <c:pt idx="77">
                  <c:v>82.016944173843683</c:v>
                </c:pt>
                <c:pt idx="78">
                  <c:v>95.772531450151874</c:v>
                </c:pt>
                <c:pt idx="79">
                  <c:v>97.676571480872184</c:v>
                </c:pt>
                <c:pt idx="80">
                  <c:v>94.427956990055407</c:v>
                </c:pt>
                <c:pt idx="81">
                  <c:v>99.808261723978561</c:v>
                </c:pt>
                <c:pt idx="82">
                  <c:v>103.62204058208933</c:v>
                </c:pt>
                <c:pt idx="83">
                  <c:v>114.01081373421792</c:v>
                </c:pt>
                <c:pt idx="84">
                  <c:v>114.90395361763929</c:v>
                </c:pt>
                <c:pt idx="85">
                  <c:v>116.41903663158469</c:v>
                </c:pt>
                <c:pt idx="86">
                  <c:v>105.12998929161778</c:v>
                </c:pt>
                <c:pt idx="87">
                  <c:v>96.677407493638754</c:v>
                </c:pt>
                <c:pt idx="88">
                  <c:v>96.761693219855815</c:v>
                </c:pt>
                <c:pt idx="89">
                  <c:v>93.940632384574229</c:v>
                </c:pt>
              </c:numCache>
            </c:numRef>
          </c:val>
        </c:ser>
        <c:dLbls>
          <c:showLegendKey val="0"/>
          <c:showVal val="0"/>
          <c:showCatName val="0"/>
          <c:showSerName val="0"/>
          <c:showPercent val="0"/>
          <c:showBubbleSize val="0"/>
        </c:dLbls>
        <c:axId val="240447872"/>
        <c:axId val="240449408"/>
      </c:areaChart>
      <c:lineChart>
        <c:grouping val="standard"/>
        <c:varyColors val="0"/>
        <c:ser>
          <c:idx val="1"/>
          <c:order val="1"/>
          <c:tx>
            <c:strRef>
              <c:f>'Elec. Analysis'!$E$233</c:f>
              <c:strCache>
                <c:ptCount val="1"/>
                <c:pt idx="0">
                  <c:v>RRO Energy Rate (¢/kWh)</c:v>
                </c:pt>
              </c:strCache>
            </c:strRef>
          </c:tx>
          <c:spPr>
            <a:ln w="38100">
              <a:solidFill>
                <a:srgbClr val="FFC000"/>
              </a:solidFill>
            </a:ln>
          </c:spPr>
          <c:marker>
            <c:symbol val="none"/>
          </c:marker>
          <c:cat>
            <c:numRef>
              <c:f>'Elec. Analysis'!$A$234:$A$320</c:f>
              <c:numCache>
                <c:formatCode>[$-409]mmm-yy;@</c:formatCode>
                <c:ptCount val="87"/>
                <c:pt idx="0">
                  <c:v>40909</c:v>
                </c:pt>
                <c:pt idx="1">
                  <c:v>40940</c:v>
                </c:pt>
                <c:pt idx="2">
                  <c:v>40969</c:v>
                </c:pt>
                <c:pt idx="3">
                  <c:v>41000</c:v>
                </c:pt>
                <c:pt idx="4">
                  <c:v>41030</c:v>
                </c:pt>
                <c:pt idx="5">
                  <c:v>41061</c:v>
                </c:pt>
                <c:pt idx="6">
                  <c:v>41091</c:v>
                </c:pt>
                <c:pt idx="7">
                  <c:v>41122</c:v>
                </c:pt>
                <c:pt idx="8">
                  <c:v>41153</c:v>
                </c:pt>
                <c:pt idx="9">
                  <c:v>41183</c:v>
                </c:pt>
                <c:pt idx="10">
                  <c:v>41214</c:v>
                </c:pt>
                <c:pt idx="11">
                  <c:v>41244</c:v>
                </c:pt>
                <c:pt idx="12">
                  <c:v>41275</c:v>
                </c:pt>
                <c:pt idx="13">
                  <c:v>41306</c:v>
                </c:pt>
                <c:pt idx="14">
                  <c:v>41334</c:v>
                </c:pt>
                <c:pt idx="15">
                  <c:v>41365</c:v>
                </c:pt>
                <c:pt idx="16">
                  <c:v>41395</c:v>
                </c:pt>
                <c:pt idx="17">
                  <c:v>41426</c:v>
                </c:pt>
                <c:pt idx="18">
                  <c:v>41456</c:v>
                </c:pt>
                <c:pt idx="19">
                  <c:v>41487</c:v>
                </c:pt>
                <c:pt idx="20">
                  <c:v>41518</c:v>
                </c:pt>
                <c:pt idx="21">
                  <c:v>41548</c:v>
                </c:pt>
                <c:pt idx="22">
                  <c:v>41579</c:v>
                </c:pt>
                <c:pt idx="23">
                  <c:v>41609</c:v>
                </c:pt>
                <c:pt idx="24">
                  <c:v>41640</c:v>
                </c:pt>
                <c:pt idx="25">
                  <c:v>41671</c:v>
                </c:pt>
                <c:pt idx="26">
                  <c:v>41699</c:v>
                </c:pt>
                <c:pt idx="27">
                  <c:v>41730</c:v>
                </c:pt>
                <c:pt idx="28">
                  <c:v>41760</c:v>
                </c:pt>
                <c:pt idx="29">
                  <c:v>41791</c:v>
                </c:pt>
                <c:pt idx="30">
                  <c:v>41821</c:v>
                </c:pt>
                <c:pt idx="31">
                  <c:v>41852</c:v>
                </c:pt>
                <c:pt idx="32">
                  <c:v>41883</c:v>
                </c:pt>
                <c:pt idx="33">
                  <c:v>41913</c:v>
                </c:pt>
                <c:pt idx="34">
                  <c:v>41944</c:v>
                </c:pt>
                <c:pt idx="35">
                  <c:v>41974</c:v>
                </c:pt>
                <c:pt idx="36">
                  <c:v>42005</c:v>
                </c:pt>
                <c:pt idx="37">
                  <c:v>42036</c:v>
                </c:pt>
                <c:pt idx="38">
                  <c:v>42064</c:v>
                </c:pt>
                <c:pt idx="39">
                  <c:v>42095</c:v>
                </c:pt>
                <c:pt idx="40">
                  <c:v>42125</c:v>
                </c:pt>
                <c:pt idx="41">
                  <c:v>42156</c:v>
                </c:pt>
                <c:pt idx="42">
                  <c:v>42186</c:v>
                </c:pt>
                <c:pt idx="43">
                  <c:v>42217</c:v>
                </c:pt>
                <c:pt idx="44">
                  <c:v>42248</c:v>
                </c:pt>
                <c:pt idx="45">
                  <c:v>42278</c:v>
                </c:pt>
                <c:pt idx="46">
                  <c:v>42309</c:v>
                </c:pt>
                <c:pt idx="47">
                  <c:v>42339</c:v>
                </c:pt>
                <c:pt idx="48">
                  <c:v>42370</c:v>
                </c:pt>
                <c:pt idx="49">
                  <c:v>42401</c:v>
                </c:pt>
                <c:pt idx="50">
                  <c:v>42430</c:v>
                </c:pt>
                <c:pt idx="51">
                  <c:v>42461</c:v>
                </c:pt>
                <c:pt idx="52">
                  <c:v>42491</c:v>
                </c:pt>
                <c:pt idx="53">
                  <c:v>42522</c:v>
                </c:pt>
                <c:pt idx="54">
                  <c:v>42552</c:v>
                </c:pt>
                <c:pt idx="55">
                  <c:v>42583</c:v>
                </c:pt>
                <c:pt idx="56">
                  <c:v>42614</c:v>
                </c:pt>
                <c:pt idx="57">
                  <c:v>42644</c:v>
                </c:pt>
                <c:pt idx="58">
                  <c:v>42675</c:v>
                </c:pt>
                <c:pt idx="59">
                  <c:v>42705</c:v>
                </c:pt>
                <c:pt idx="60">
                  <c:v>42736</c:v>
                </c:pt>
                <c:pt idx="61">
                  <c:v>42767</c:v>
                </c:pt>
                <c:pt idx="62">
                  <c:v>42795</c:v>
                </c:pt>
                <c:pt idx="63">
                  <c:v>42826</c:v>
                </c:pt>
                <c:pt idx="64">
                  <c:v>42856</c:v>
                </c:pt>
                <c:pt idx="65">
                  <c:v>42887</c:v>
                </c:pt>
                <c:pt idx="66">
                  <c:v>42917</c:v>
                </c:pt>
                <c:pt idx="67">
                  <c:v>42948</c:v>
                </c:pt>
                <c:pt idx="68">
                  <c:v>42979</c:v>
                </c:pt>
                <c:pt idx="69">
                  <c:v>43009</c:v>
                </c:pt>
                <c:pt idx="70">
                  <c:v>43040</c:v>
                </c:pt>
                <c:pt idx="71">
                  <c:v>43070</c:v>
                </c:pt>
                <c:pt idx="72">
                  <c:v>43101</c:v>
                </c:pt>
                <c:pt idx="73">
                  <c:v>43132</c:v>
                </c:pt>
                <c:pt idx="74">
                  <c:v>43160</c:v>
                </c:pt>
                <c:pt idx="75">
                  <c:v>43191</c:v>
                </c:pt>
                <c:pt idx="76">
                  <c:v>43221</c:v>
                </c:pt>
                <c:pt idx="77">
                  <c:v>43252</c:v>
                </c:pt>
                <c:pt idx="78">
                  <c:v>43282</c:v>
                </c:pt>
                <c:pt idx="79">
                  <c:v>43313</c:v>
                </c:pt>
                <c:pt idx="80">
                  <c:v>43344</c:v>
                </c:pt>
                <c:pt idx="81">
                  <c:v>43374</c:v>
                </c:pt>
                <c:pt idx="82">
                  <c:v>43405</c:v>
                </c:pt>
                <c:pt idx="83">
                  <c:v>43435</c:v>
                </c:pt>
                <c:pt idx="84">
                  <c:v>43466</c:v>
                </c:pt>
                <c:pt idx="85">
                  <c:v>43497</c:v>
                </c:pt>
                <c:pt idx="86">
                  <c:v>43525</c:v>
                </c:pt>
              </c:numCache>
            </c:numRef>
          </c:cat>
          <c:val>
            <c:numRef>
              <c:f>'Elec. Analysis'!$E$234:$E$323</c:f>
              <c:numCache>
                <c:formatCode>0.0000_);[Red]\(0.0000\)</c:formatCode>
                <c:ptCount val="90"/>
                <c:pt idx="0">
                  <c:v>15.284000000000001</c:v>
                </c:pt>
                <c:pt idx="1">
                  <c:v>13.69</c:v>
                </c:pt>
                <c:pt idx="2">
                  <c:v>8.218</c:v>
                </c:pt>
                <c:pt idx="3">
                  <c:v>7.1760000000000002</c:v>
                </c:pt>
                <c:pt idx="4">
                  <c:v>6.3503999999999996</c:v>
                </c:pt>
                <c:pt idx="5">
                  <c:v>7.6746999999999996</c:v>
                </c:pt>
                <c:pt idx="6">
                  <c:v>9.0332000000000008</c:v>
                </c:pt>
                <c:pt idx="7">
                  <c:v>11.3147</c:v>
                </c:pt>
                <c:pt idx="8">
                  <c:v>10.763</c:v>
                </c:pt>
                <c:pt idx="9">
                  <c:v>9.6221999999999994</c:v>
                </c:pt>
                <c:pt idx="10">
                  <c:v>7.3994999999999997</c:v>
                </c:pt>
                <c:pt idx="11">
                  <c:v>8.4816000000000003</c:v>
                </c:pt>
                <c:pt idx="12">
                  <c:v>9.1424000000000003</c:v>
                </c:pt>
                <c:pt idx="13">
                  <c:v>7.6902999999999997</c:v>
                </c:pt>
                <c:pt idx="14">
                  <c:v>7.2336</c:v>
                </c:pt>
                <c:pt idx="15">
                  <c:v>8.3926999999999996</c:v>
                </c:pt>
                <c:pt idx="16">
                  <c:v>7.2154999999999996</c:v>
                </c:pt>
                <c:pt idx="17">
                  <c:v>7.7211999999999996</c:v>
                </c:pt>
                <c:pt idx="18">
                  <c:v>11.292999999999999</c:v>
                </c:pt>
                <c:pt idx="19">
                  <c:v>11.211</c:v>
                </c:pt>
                <c:pt idx="20">
                  <c:v>10.948</c:v>
                </c:pt>
                <c:pt idx="21">
                  <c:v>8.0594000000000001</c:v>
                </c:pt>
                <c:pt idx="22">
                  <c:v>7.9027000000000003</c:v>
                </c:pt>
                <c:pt idx="23">
                  <c:v>7.5796000000000001</c:v>
                </c:pt>
                <c:pt idx="24">
                  <c:v>7.8040000000000003</c:v>
                </c:pt>
                <c:pt idx="25">
                  <c:v>7.1909000000000001</c:v>
                </c:pt>
                <c:pt idx="26">
                  <c:v>7.3186999999999998</c:v>
                </c:pt>
                <c:pt idx="27">
                  <c:v>7.0838000000000001</c:v>
                </c:pt>
                <c:pt idx="28">
                  <c:v>10.612</c:v>
                </c:pt>
                <c:pt idx="29">
                  <c:v>5.4981</c:v>
                </c:pt>
                <c:pt idx="30">
                  <c:v>7.7039999999999997</c:v>
                </c:pt>
                <c:pt idx="31">
                  <c:v>8.6411999999999995</c:v>
                </c:pt>
                <c:pt idx="32">
                  <c:v>9.0046999999999997</c:v>
                </c:pt>
                <c:pt idx="33">
                  <c:v>8.4507999999999992</c:v>
                </c:pt>
                <c:pt idx="34">
                  <c:v>6.3208000000000002</c:v>
                </c:pt>
                <c:pt idx="35">
                  <c:v>7.2981999999999996</c:v>
                </c:pt>
                <c:pt idx="36">
                  <c:v>7.4088000000000003</c:v>
                </c:pt>
                <c:pt idx="37">
                  <c:v>5.9298999999999999</c:v>
                </c:pt>
                <c:pt idx="38">
                  <c:v>4.9176000000000002</c:v>
                </c:pt>
                <c:pt idx="39">
                  <c:v>5.1140999999999996</c:v>
                </c:pt>
                <c:pt idx="40">
                  <c:v>4.5153999999999996</c:v>
                </c:pt>
                <c:pt idx="41">
                  <c:v>3.8008000000000002</c:v>
                </c:pt>
                <c:pt idx="42">
                  <c:v>8.2159999999999993</c:v>
                </c:pt>
                <c:pt idx="43">
                  <c:v>7.8959999999999999</c:v>
                </c:pt>
                <c:pt idx="44">
                  <c:v>5.407</c:v>
                </c:pt>
                <c:pt idx="45">
                  <c:v>5.5547000000000004</c:v>
                </c:pt>
                <c:pt idx="46">
                  <c:v>5.0035999999999996</c:v>
                </c:pt>
                <c:pt idx="47">
                  <c:v>5.1921999999999997</c:v>
                </c:pt>
                <c:pt idx="48">
                  <c:v>4.7946999999999997</c:v>
                </c:pt>
                <c:pt idx="49">
                  <c:v>4.3921000000000001</c:v>
                </c:pt>
                <c:pt idx="50">
                  <c:v>4.1858000000000004</c:v>
                </c:pt>
                <c:pt idx="51">
                  <c:v>3.3496999999999999</c:v>
                </c:pt>
                <c:pt idx="52">
                  <c:v>3.3043</c:v>
                </c:pt>
                <c:pt idx="53">
                  <c:v>3.4636999999999998</c:v>
                </c:pt>
                <c:pt idx="54">
                  <c:v>4.9828000000000001</c:v>
                </c:pt>
                <c:pt idx="55">
                  <c:v>4.8665000000000003</c:v>
                </c:pt>
                <c:pt idx="56">
                  <c:v>3.6665999999999999</c:v>
                </c:pt>
                <c:pt idx="57">
                  <c:v>4.1272000000000002</c:v>
                </c:pt>
                <c:pt idx="58">
                  <c:v>3.8113999999999999</c:v>
                </c:pt>
                <c:pt idx="59">
                  <c:v>4.1670999999999996</c:v>
                </c:pt>
                <c:pt idx="60">
                  <c:v>4.3943000000000003</c:v>
                </c:pt>
                <c:pt idx="61">
                  <c:v>3.9241999999999999</c:v>
                </c:pt>
                <c:pt idx="62">
                  <c:v>3.4390000000000001</c:v>
                </c:pt>
                <c:pt idx="63">
                  <c:v>3.0567000000000002</c:v>
                </c:pt>
                <c:pt idx="64">
                  <c:v>2.9834999999999998</c:v>
                </c:pt>
                <c:pt idx="65">
                  <c:v>3.3946999999999998</c:v>
                </c:pt>
                <c:pt idx="66">
                  <c:v>4.2127999999999997</c:v>
                </c:pt>
                <c:pt idx="67">
                  <c:v>4.1050000000000004</c:v>
                </c:pt>
                <c:pt idx="68">
                  <c:v>3.766</c:v>
                </c:pt>
                <c:pt idx="69">
                  <c:v>3.8519999999999999</c:v>
                </c:pt>
                <c:pt idx="70">
                  <c:v>3.653</c:v>
                </c:pt>
                <c:pt idx="71">
                  <c:v>3.996</c:v>
                </c:pt>
                <c:pt idx="72">
                  <c:v>5.1120000000000001</c:v>
                </c:pt>
                <c:pt idx="73">
                  <c:v>5.1829999999999998</c:v>
                </c:pt>
                <c:pt idx="74">
                  <c:v>5.1100000000000003</c:v>
                </c:pt>
                <c:pt idx="75">
                  <c:v>6.8</c:v>
                </c:pt>
                <c:pt idx="76">
                  <c:v>5.5659999999999998</c:v>
                </c:pt>
                <c:pt idx="77">
                  <c:v>5.0620000000000003</c:v>
                </c:pt>
                <c:pt idx="78">
                  <c:v>6.8</c:v>
                </c:pt>
                <c:pt idx="79">
                  <c:v>6.8</c:v>
                </c:pt>
                <c:pt idx="80">
                  <c:v>6.8</c:v>
                </c:pt>
                <c:pt idx="81">
                  <c:v>6.4139999999999997</c:v>
                </c:pt>
                <c:pt idx="82">
                  <c:v>6.306</c:v>
                </c:pt>
                <c:pt idx="83">
                  <c:v>6.8</c:v>
                </c:pt>
                <c:pt idx="84">
                  <c:v>6.8</c:v>
                </c:pt>
                <c:pt idx="85">
                  <c:v>6.8</c:v>
                </c:pt>
                <c:pt idx="86">
                  <c:v>5.9139999999999997</c:v>
                </c:pt>
                <c:pt idx="87">
                  <c:v>6.0670000000000002</c:v>
                </c:pt>
                <c:pt idx="88">
                  <c:v>6.39</c:v>
                </c:pt>
                <c:pt idx="89">
                  <c:v>6.391</c:v>
                </c:pt>
              </c:numCache>
            </c:numRef>
          </c:val>
          <c:smooth val="0"/>
        </c:ser>
        <c:dLbls>
          <c:showLegendKey val="0"/>
          <c:showVal val="0"/>
          <c:showCatName val="0"/>
          <c:showSerName val="0"/>
          <c:showPercent val="0"/>
          <c:showBubbleSize val="0"/>
        </c:dLbls>
        <c:marker val="1"/>
        <c:smooth val="0"/>
        <c:axId val="240452736"/>
        <c:axId val="240450944"/>
      </c:lineChart>
      <c:dateAx>
        <c:axId val="240447872"/>
        <c:scaling>
          <c:orientation val="minMax"/>
        </c:scaling>
        <c:delete val="0"/>
        <c:axPos val="b"/>
        <c:numFmt formatCode="[$-409]mmm-yy;@" sourceLinked="1"/>
        <c:majorTickMark val="out"/>
        <c:minorTickMark val="none"/>
        <c:tickLblPos val="nextTo"/>
        <c:crossAx val="240449408"/>
        <c:crosses val="autoZero"/>
        <c:auto val="1"/>
        <c:lblOffset val="100"/>
        <c:baseTimeUnit val="months"/>
      </c:dateAx>
      <c:valAx>
        <c:axId val="240449408"/>
        <c:scaling>
          <c:orientation val="minMax"/>
          <c:max val="300"/>
        </c:scaling>
        <c:delete val="0"/>
        <c:axPos val="l"/>
        <c:majorGridlines>
          <c:spPr>
            <a:ln>
              <a:solidFill>
                <a:schemeClr val="bg1">
                  <a:lumMod val="85000"/>
                </a:schemeClr>
              </a:solidFill>
              <a:prstDash val="dash"/>
            </a:ln>
          </c:spPr>
        </c:majorGridlines>
        <c:numFmt formatCode="&quot;$&quot;#,##0" sourceLinked="0"/>
        <c:majorTickMark val="none"/>
        <c:minorTickMark val="none"/>
        <c:tickLblPos val="nextTo"/>
        <c:spPr>
          <a:ln w="9525">
            <a:noFill/>
          </a:ln>
        </c:spPr>
        <c:crossAx val="240447872"/>
        <c:crosses val="autoZero"/>
        <c:crossBetween val="midCat"/>
      </c:valAx>
      <c:valAx>
        <c:axId val="240450944"/>
        <c:scaling>
          <c:orientation val="minMax"/>
          <c:max val="18"/>
        </c:scaling>
        <c:delete val="0"/>
        <c:axPos val="r"/>
        <c:numFmt formatCode="0\ \¢" sourceLinked="0"/>
        <c:majorTickMark val="out"/>
        <c:minorTickMark val="none"/>
        <c:tickLblPos val="nextTo"/>
        <c:crossAx val="240452736"/>
        <c:crosses val="max"/>
        <c:crossBetween val="between"/>
      </c:valAx>
      <c:dateAx>
        <c:axId val="240452736"/>
        <c:scaling>
          <c:orientation val="minMax"/>
        </c:scaling>
        <c:delete val="1"/>
        <c:axPos val="b"/>
        <c:numFmt formatCode="[$-409]mmm-yy;@" sourceLinked="1"/>
        <c:majorTickMark val="out"/>
        <c:minorTickMark val="none"/>
        <c:tickLblPos val="nextTo"/>
        <c:crossAx val="240450944"/>
        <c:crosses val="autoZero"/>
        <c:auto val="1"/>
        <c:lblOffset val="100"/>
        <c:baseTimeUnit val="months"/>
      </c:dateAx>
    </c:plotArea>
    <c:legend>
      <c:legendPos val="b"/>
      <c:overlay val="0"/>
      <c:txPr>
        <a:bodyPr/>
        <a:lstStyle/>
        <a:p>
          <a:pPr>
            <a:defRPr sz="1100"/>
          </a:pPr>
          <a:endParaRPr lang="en-US"/>
        </a:p>
      </c:txPr>
    </c:legend>
    <c:plotVisOnly val="1"/>
    <c:dispBlanksAs val="zero"/>
    <c:showDLblsOverMax val="0"/>
  </c:chart>
  <c:spPr>
    <a:ln>
      <a:noFill/>
    </a:ln>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'Misc. Data &amp; Mechanisms'!$L$759</c:f>
          <c:strCache>
            <c:ptCount val="1"/>
            <c:pt idx="0">
              <c:v>Monthly Consumption vs. Energy Rate in the ENMAX Service Zone</c:v>
            </c:pt>
          </c:strCache>
        </c:strRef>
      </c:tx>
      <c:overlay val="0"/>
    </c:title>
    <c:autoTitleDeleted val="0"/>
    <c:plotArea>
      <c:layout/>
      <c:lineChart>
        <c:grouping val="standard"/>
        <c:varyColors val="0"/>
        <c:ser>
          <c:idx val="0"/>
          <c:order val="0"/>
          <c:tx>
            <c:strRef>
              <c:f>'Elec. Analysis'!$D$233</c:f>
              <c:strCache>
                <c:ptCount val="1"/>
                <c:pt idx="0">
                  <c:v>Detached Home Consumption (kWh)</c:v>
                </c:pt>
              </c:strCache>
            </c:strRef>
          </c:tx>
          <c:spPr>
            <a:ln w="38100">
              <a:solidFill>
                <a:schemeClr val="accent2"/>
              </a:solidFill>
            </a:ln>
          </c:spPr>
          <c:marker>
            <c:symbol val="none"/>
          </c:marker>
          <c:cat>
            <c:numRef>
              <c:f>'Elec. Analysis'!$A$234:$A$323</c:f>
              <c:numCache>
                <c:formatCode>[$-409]mmm-yy;@</c:formatCode>
                <c:ptCount val="90"/>
                <c:pt idx="0">
                  <c:v>40909</c:v>
                </c:pt>
                <c:pt idx="1">
                  <c:v>40940</c:v>
                </c:pt>
                <c:pt idx="2">
                  <c:v>40969</c:v>
                </c:pt>
                <c:pt idx="3">
                  <c:v>41000</c:v>
                </c:pt>
                <c:pt idx="4">
                  <c:v>41030</c:v>
                </c:pt>
                <c:pt idx="5">
                  <c:v>41061</c:v>
                </c:pt>
                <c:pt idx="6">
                  <c:v>41091</c:v>
                </c:pt>
                <c:pt idx="7">
                  <c:v>41122</c:v>
                </c:pt>
                <c:pt idx="8">
                  <c:v>41153</c:v>
                </c:pt>
                <c:pt idx="9">
                  <c:v>41183</c:v>
                </c:pt>
                <c:pt idx="10">
                  <c:v>41214</c:v>
                </c:pt>
                <c:pt idx="11">
                  <c:v>41244</c:v>
                </c:pt>
                <c:pt idx="12">
                  <c:v>41275</c:v>
                </c:pt>
                <c:pt idx="13">
                  <c:v>41306</c:v>
                </c:pt>
                <c:pt idx="14">
                  <c:v>41334</c:v>
                </c:pt>
                <c:pt idx="15">
                  <c:v>41365</c:v>
                </c:pt>
                <c:pt idx="16">
                  <c:v>41395</c:v>
                </c:pt>
                <c:pt idx="17">
                  <c:v>41426</c:v>
                </c:pt>
                <c:pt idx="18">
                  <c:v>41456</c:v>
                </c:pt>
                <c:pt idx="19">
                  <c:v>41487</c:v>
                </c:pt>
                <c:pt idx="20">
                  <c:v>41518</c:v>
                </c:pt>
                <c:pt idx="21">
                  <c:v>41548</c:v>
                </c:pt>
                <c:pt idx="22">
                  <c:v>41579</c:v>
                </c:pt>
                <c:pt idx="23">
                  <c:v>41609</c:v>
                </c:pt>
                <c:pt idx="24">
                  <c:v>41640</c:v>
                </c:pt>
                <c:pt idx="25">
                  <c:v>41671</c:v>
                </c:pt>
                <c:pt idx="26">
                  <c:v>41699</c:v>
                </c:pt>
                <c:pt idx="27">
                  <c:v>41730</c:v>
                </c:pt>
                <c:pt idx="28">
                  <c:v>41760</c:v>
                </c:pt>
                <c:pt idx="29">
                  <c:v>41791</c:v>
                </c:pt>
                <c:pt idx="30">
                  <c:v>41821</c:v>
                </c:pt>
                <c:pt idx="31">
                  <c:v>41852</c:v>
                </c:pt>
                <c:pt idx="32">
                  <c:v>41883</c:v>
                </c:pt>
                <c:pt idx="33">
                  <c:v>41913</c:v>
                </c:pt>
                <c:pt idx="34">
                  <c:v>41944</c:v>
                </c:pt>
                <c:pt idx="35">
                  <c:v>41974</c:v>
                </c:pt>
                <c:pt idx="36">
                  <c:v>42005</c:v>
                </c:pt>
                <c:pt idx="37">
                  <c:v>42036</c:v>
                </c:pt>
                <c:pt idx="38">
                  <c:v>42064</c:v>
                </c:pt>
                <c:pt idx="39">
                  <c:v>42095</c:v>
                </c:pt>
                <c:pt idx="40">
                  <c:v>42125</c:v>
                </c:pt>
                <c:pt idx="41">
                  <c:v>42156</c:v>
                </c:pt>
                <c:pt idx="42">
                  <c:v>42186</c:v>
                </c:pt>
                <c:pt idx="43">
                  <c:v>42217</c:v>
                </c:pt>
                <c:pt idx="44">
                  <c:v>42248</c:v>
                </c:pt>
                <c:pt idx="45">
                  <c:v>42278</c:v>
                </c:pt>
                <c:pt idx="46">
                  <c:v>42309</c:v>
                </c:pt>
                <c:pt idx="47">
                  <c:v>42339</c:v>
                </c:pt>
                <c:pt idx="48">
                  <c:v>42370</c:v>
                </c:pt>
                <c:pt idx="49">
                  <c:v>42401</c:v>
                </c:pt>
                <c:pt idx="50">
                  <c:v>42430</c:v>
                </c:pt>
                <c:pt idx="51">
                  <c:v>42461</c:v>
                </c:pt>
                <c:pt idx="52">
                  <c:v>42491</c:v>
                </c:pt>
                <c:pt idx="53">
                  <c:v>42522</c:v>
                </c:pt>
                <c:pt idx="54">
                  <c:v>42552</c:v>
                </c:pt>
                <c:pt idx="55">
                  <c:v>42583</c:v>
                </c:pt>
                <c:pt idx="56">
                  <c:v>42614</c:v>
                </c:pt>
                <c:pt idx="57">
                  <c:v>42644</c:v>
                </c:pt>
                <c:pt idx="58">
                  <c:v>42675</c:v>
                </c:pt>
                <c:pt idx="59">
                  <c:v>42705</c:v>
                </c:pt>
                <c:pt idx="60">
                  <c:v>42736</c:v>
                </c:pt>
                <c:pt idx="61">
                  <c:v>42767</c:v>
                </c:pt>
                <c:pt idx="62">
                  <c:v>42795</c:v>
                </c:pt>
                <c:pt idx="63">
                  <c:v>42826</c:v>
                </c:pt>
                <c:pt idx="64">
                  <c:v>42856</c:v>
                </c:pt>
                <c:pt idx="65">
                  <c:v>42887</c:v>
                </c:pt>
                <c:pt idx="66">
                  <c:v>42917</c:v>
                </c:pt>
                <c:pt idx="67">
                  <c:v>42948</c:v>
                </c:pt>
                <c:pt idx="68">
                  <c:v>42979</c:v>
                </c:pt>
                <c:pt idx="69">
                  <c:v>43009</c:v>
                </c:pt>
                <c:pt idx="70">
                  <c:v>43040</c:v>
                </c:pt>
                <c:pt idx="71">
                  <c:v>43070</c:v>
                </c:pt>
                <c:pt idx="72">
                  <c:v>43101</c:v>
                </c:pt>
                <c:pt idx="73">
                  <c:v>43132</c:v>
                </c:pt>
                <c:pt idx="74">
                  <c:v>43160</c:v>
                </c:pt>
                <c:pt idx="75">
                  <c:v>43191</c:v>
                </c:pt>
                <c:pt idx="76">
                  <c:v>43221</c:v>
                </c:pt>
                <c:pt idx="77">
                  <c:v>43252</c:v>
                </c:pt>
                <c:pt idx="78">
                  <c:v>43282</c:v>
                </c:pt>
                <c:pt idx="79">
                  <c:v>43313</c:v>
                </c:pt>
                <c:pt idx="80">
                  <c:v>43344</c:v>
                </c:pt>
                <c:pt idx="81">
                  <c:v>43374</c:v>
                </c:pt>
                <c:pt idx="82">
                  <c:v>43405</c:v>
                </c:pt>
                <c:pt idx="83">
                  <c:v>43435</c:v>
                </c:pt>
                <c:pt idx="84">
                  <c:v>43466</c:v>
                </c:pt>
                <c:pt idx="85">
                  <c:v>43497</c:v>
                </c:pt>
                <c:pt idx="86">
                  <c:v>43525</c:v>
                </c:pt>
                <c:pt idx="87">
                  <c:v>43556</c:v>
                </c:pt>
                <c:pt idx="88">
                  <c:v>43586</c:v>
                </c:pt>
                <c:pt idx="89">
                  <c:v>43617</c:v>
                </c:pt>
              </c:numCache>
            </c:numRef>
          </c:cat>
          <c:val>
            <c:numRef>
              <c:f>'Elec. Analysis'!$D$234:$D$323</c:f>
              <c:numCache>
                <c:formatCode>0_);[Red]\(0\)</c:formatCode>
                <c:ptCount val="90"/>
                <c:pt idx="0">
                  <c:v>706.749077999924</c:v>
                </c:pt>
                <c:pt idx="1">
                  <c:v>631.50245411531682</c:v>
                </c:pt>
                <c:pt idx="2">
                  <c:v>610.5311897530521</c:v>
                </c:pt>
                <c:pt idx="3">
                  <c:v>553.50674210245211</c:v>
                </c:pt>
                <c:pt idx="4">
                  <c:v>541.91428860302665</c:v>
                </c:pt>
                <c:pt idx="5">
                  <c:v>515.57253474242975</c:v>
                </c:pt>
                <c:pt idx="6">
                  <c:v>564.82318192701314</c:v>
                </c:pt>
                <c:pt idx="7">
                  <c:v>546.71745545533315</c:v>
                </c:pt>
                <c:pt idx="8">
                  <c:v>539.75497456034395</c:v>
                </c:pt>
                <c:pt idx="9">
                  <c:v>629.88348353718152</c:v>
                </c:pt>
                <c:pt idx="10">
                  <c:v>657.98042355140103</c:v>
                </c:pt>
                <c:pt idx="11">
                  <c:v>761.27007914030821</c:v>
                </c:pt>
                <c:pt idx="12">
                  <c:v>695.70470034835296</c:v>
                </c:pt>
                <c:pt idx="13">
                  <c:v>588.63103674874526</c:v>
                </c:pt>
                <c:pt idx="14">
                  <c:v>635.48405455189265</c:v>
                </c:pt>
                <c:pt idx="15">
                  <c:v>582.137273709135</c:v>
                </c:pt>
                <c:pt idx="16">
                  <c:v>524.18966004109279</c:v>
                </c:pt>
                <c:pt idx="17">
                  <c:v>529.52087601301878</c:v>
                </c:pt>
                <c:pt idx="18">
                  <c:v>542.78935903304478</c:v>
                </c:pt>
                <c:pt idx="19">
                  <c:v>552.5367918507244</c:v>
                </c:pt>
                <c:pt idx="20">
                  <c:v>548.43636134944279</c:v>
                </c:pt>
                <c:pt idx="21">
                  <c:v>603.77371963474275</c:v>
                </c:pt>
                <c:pt idx="22">
                  <c:v>654.080202180794</c:v>
                </c:pt>
                <c:pt idx="23">
                  <c:v>767.71589655293087</c:v>
                </c:pt>
                <c:pt idx="24">
                  <c:v>679.80526265539095</c:v>
                </c:pt>
                <c:pt idx="25">
                  <c:v>651.69079712842574</c:v>
                </c:pt>
                <c:pt idx="26">
                  <c:v>672.47295275973647</c:v>
                </c:pt>
                <c:pt idx="27">
                  <c:v>549.22593994361023</c:v>
                </c:pt>
                <c:pt idx="28">
                  <c:v>544.89601415275456</c:v>
                </c:pt>
                <c:pt idx="29">
                  <c:v>508.11715523587856</c:v>
                </c:pt>
                <c:pt idx="30">
                  <c:v>550.27564308737453</c:v>
                </c:pt>
                <c:pt idx="31">
                  <c:v>548.4852192164833</c:v>
                </c:pt>
                <c:pt idx="32">
                  <c:v>539.49057792869712</c:v>
                </c:pt>
                <c:pt idx="33">
                  <c:v>577.81210120705612</c:v>
                </c:pt>
                <c:pt idx="34">
                  <c:v>681.40742022456311</c:v>
                </c:pt>
                <c:pt idx="35">
                  <c:v>703.19710101169528</c:v>
                </c:pt>
                <c:pt idx="36">
                  <c:v>672.43278272761768</c:v>
                </c:pt>
                <c:pt idx="37">
                  <c:v>589.22827055193079</c:v>
                </c:pt>
                <c:pt idx="38">
                  <c:v>591.76623672893038</c:v>
                </c:pt>
                <c:pt idx="39">
                  <c:v>534.43170590601471</c:v>
                </c:pt>
                <c:pt idx="40">
                  <c:v>527.54718087523224</c:v>
                </c:pt>
                <c:pt idx="41">
                  <c:v>534.45054632951371</c:v>
                </c:pt>
                <c:pt idx="42">
                  <c:v>545.29132412881165</c:v>
                </c:pt>
                <c:pt idx="43">
                  <c:v>548.24925977459793</c:v>
                </c:pt>
                <c:pt idx="44">
                  <c:v>519.19357702298203</c:v>
                </c:pt>
                <c:pt idx="45">
                  <c:v>571.6210749094887</c:v>
                </c:pt>
                <c:pt idx="46">
                  <c:v>621.16898918569302</c:v>
                </c:pt>
                <c:pt idx="47">
                  <c:v>703.35853981851835</c:v>
                </c:pt>
                <c:pt idx="48">
                  <c:v>648.81494461562306</c:v>
                </c:pt>
                <c:pt idx="49">
                  <c:v>572.05995122032334</c:v>
                </c:pt>
                <c:pt idx="50">
                  <c:v>568.09995204782911</c:v>
                </c:pt>
                <c:pt idx="51">
                  <c:v>507.02427047604448</c:v>
                </c:pt>
                <c:pt idx="52">
                  <c:v>528.70316044981587</c:v>
                </c:pt>
                <c:pt idx="53">
                  <c:v>505.94066890972266</c:v>
                </c:pt>
                <c:pt idx="54">
                  <c:v>525.29824868173444</c:v>
                </c:pt>
                <c:pt idx="55">
                  <c:v>514.49747885704483</c:v>
                </c:pt>
                <c:pt idx="56">
                  <c:v>499.54586897401543</c:v>
                </c:pt>
                <c:pt idx="57">
                  <c:v>581.41581667192713</c:v>
                </c:pt>
                <c:pt idx="58">
                  <c:v>576.30672568593138</c:v>
                </c:pt>
                <c:pt idx="59">
                  <c:v>758.93857168514921</c:v>
                </c:pt>
                <c:pt idx="60">
                  <c:v>647.80149995356771</c:v>
                </c:pt>
                <c:pt idx="61">
                  <c:v>568.43198073192229</c:v>
                </c:pt>
                <c:pt idx="62">
                  <c:v>590.90640142097993</c:v>
                </c:pt>
                <c:pt idx="63">
                  <c:v>521.96284196970953</c:v>
                </c:pt>
                <c:pt idx="64">
                  <c:v>499.78475479463549</c:v>
                </c:pt>
                <c:pt idx="65">
                  <c:v>476.9507488479735</c:v>
                </c:pt>
                <c:pt idx="66">
                  <c:v>553.28116548516766</c:v>
                </c:pt>
                <c:pt idx="67">
                  <c:v>510.2761997497081</c:v>
                </c:pt>
                <c:pt idx="68">
                  <c:v>509.90285276586809</c:v>
                </c:pt>
                <c:pt idx="69">
                  <c:v>551.15949519938317</c:v>
                </c:pt>
                <c:pt idx="70">
                  <c:v>603.38881925349096</c:v>
                </c:pt>
                <c:pt idx="71">
                  <c:v>678.71552709613513</c:v>
                </c:pt>
                <c:pt idx="72">
                  <c:v>635.97821266527023</c:v>
                </c:pt>
                <c:pt idx="73">
                  <c:v>594.37508025101431</c:v>
                </c:pt>
                <c:pt idx="74">
                  <c:v>588.93374180774288</c:v>
                </c:pt>
                <c:pt idx="75">
                  <c:v>528.01162456374163</c:v>
                </c:pt>
                <c:pt idx="76">
                  <c:v>494.83267205155215</c:v>
                </c:pt>
                <c:pt idx="77">
                  <c:v>481.31960825480462</c:v>
                </c:pt>
                <c:pt idx="78">
                  <c:v>515.53500390451472</c:v>
                </c:pt>
                <c:pt idx="79">
                  <c:v>529.47012813338006</c:v>
                </c:pt>
                <c:pt idx="80">
                  <c:v>511.67498853221838</c:v>
                </c:pt>
                <c:pt idx="81">
                  <c:v>545.14156168933403</c:v>
                </c:pt>
                <c:pt idx="82">
                  <c:v>584.09010167112854</c:v>
                </c:pt>
                <c:pt idx="83">
                  <c:v>627.91108023765605</c:v>
                </c:pt>
                <c:pt idx="84">
                  <c:v>604.05865639280523</c:v>
                </c:pt>
                <c:pt idx="85">
                  <c:v>631.39549774534771</c:v>
                </c:pt>
                <c:pt idx="86">
                  <c:v>578.27899102446463</c:v>
                </c:pt>
                <c:pt idx="87">
                  <c:v>511.80512836511508</c:v>
                </c:pt>
                <c:pt idx="88">
                  <c:v>493.13403457407418</c:v>
                </c:pt>
                <c:pt idx="89">
                  <c:v>479.27857953782711</c:v>
                </c:pt>
              </c:numCache>
            </c:numRef>
          </c:val>
          <c:smooth val="0"/>
        </c:ser>
        <c:dLbls>
          <c:showLegendKey val="0"/>
          <c:showVal val="0"/>
          <c:showCatName val="0"/>
          <c:showSerName val="0"/>
          <c:showPercent val="0"/>
          <c:showBubbleSize val="0"/>
        </c:dLbls>
        <c:marker val="1"/>
        <c:smooth val="0"/>
        <c:axId val="240510080"/>
        <c:axId val="240511616"/>
      </c:lineChart>
      <c:lineChart>
        <c:grouping val="standard"/>
        <c:varyColors val="0"/>
        <c:ser>
          <c:idx val="1"/>
          <c:order val="1"/>
          <c:tx>
            <c:strRef>
              <c:f>'Elec. Analysis'!$E$233</c:f>
              <c:strCache>
                <c:ptCount val="1"/>
                <c:pt idx="0">
                  <c:v>RRO Energy Rate (¢/kWh)</c:v>
                </c:pt>
              </c:strCache>
            </c:strRef>
          </c:tx>
          <c:spPr>
            <a:ln w="38100">
              <a:solidFill>
                <a:srgbClr val="FFC000"/>
              </a:solidFill>
            </a:ln>
          </c:spPr>
          <c:marker>
            <c:symbol val="none"/>
          </c:marker>
          <c:cat>
            <c:numRef>
              <c:f>'Elec. Analysis'!$A$234:$A$320</c:f>
              <c:numCache>
                <c:formatCode>[$-409]mmm-yy;@</c:formatCode>
                <c:ptCount val="87"/>
                <c:pt idx="0">
                  <c:v>40909</c:v>
                </c:pt>
                <c:pt idx="1">
                  <c:v>40940</c:v>
                </c:pt>
                <c:pt idx="2">
                  <c:v>40969</c:v>
                </c:pt>
                <c:pt idx="3">
                  <c:v>41000</c:v>
                </c:pt>
                <c:pt idx="4">
                  <c:v>41030</c:v>
                </c:pt>
                <c:pt idx="5">
                  <c:v>41061</c:v>
                </c:pt>
                <c:pt idx="6">
                  <c:v>41091</c:v>
                </c:pt>
                <c:pt idx="7">
                  <c:v>41122</c:v>
                </c:pt>
                <c:pt idx="8">
                  <c:v>41153</c:v>
                </c:pt>
                <c:pt idx="9">
                  <c:v>41183</c:v>
                </c:pt>
                <c:pt idx="10">
                  <c:v>41214</c:v>
                </c:pt>
                <c:pt idx="11">
                  <c:v>41244</c:v>
                </c:pt>
                <c:pt idx="12">
                  <c:v>41275</c:v>
                </c:pt>
                <c:pt idx="13">
                  <c:v>41306</c:v>
                </c:pt>
                <c:pt idx="14">
                  <c:v>41334</c:v>
                </c:pt>
                <c:pt idx="15">
                  <c:v>41365</c:v>
                </c:pt>
                <c:pt idx="16">
                  <c:v>41395</c:v>
                </c:pt>
                <c:pt idx="17">
                  <c:v>41426</c:v>
                </c:pt>
                <c:pt idx="18">
                  <c:v>41456</c:v>
                </c:pt>
                <c:pt idx="19">
                  <c:v>41487</c:v>
                </c:pt>
                <c:pt idx="20">
                  <c:v>41518</c:v>
                </c:pt>
                <c:pt idx="21">
                  <c:v>41548</c:v>
                </c:pt>
                <c:pt idx="22">
                  <c:v>41579</c:v>
                </c:pt>
                <c:pt idx="23">
                  <c:v>41609</c:v>
                </c:pt>
                <c:pt idx="24">
                  <c:v>41640</c:v>
                </c:pt>
                <c:pt idx="25">
                  <c:v>41671</c:v>
                </c:pt>
                <c:pt idx="26">
                  <c:v>41699</c:v>
                </c:pt>
                <c:pt idx="27">
                  <c:v>41730</c:v>
                </c:pt>
                <c:pt idx="28">
                  <c:v>41760</c:v>
                </c:pt>
                <c:pt idx="29">
                  <c:v>41791</c:v>
                </c:pt>
                <c:pt idx="30">
                  <c:v>41821</c:v>
                </c:pt>
                <c:pt idx="31">
                  <c:v>41852</c:v>
                </c:pt>
                <c:pt idx="32">
                  <c:v>41883</c:v>
                </c:pt>
                <c:pt idx="33">
                  <c:v>41913</c:v>
                </c:pt>
                <c:pt idx="34">
                  <c:v>41944</c:v>
                </c:pt>
                <c:pt idx="35">
                  <c:v>41974</c:v>
                </c:pt>
                <c:pt idx="36">
                  <c:v>42005</c:v>
                </c:pt>
                <c:pt idx="37">
                  <c:v>42036</c:v>
                </c:pt>
                <c:pt idx="38">
                  <c:v>42064</c:v>
                </c:pt>
                <c:pt idx="39">
                  <c:v>42095</c:v>
                </c:pt>
                <c:pt idx="40">
                  <c:v>42125</c:v>
                </c:pt>
                <c:pt idx="41">
                  <c:v>42156</c:v>
                </c:pt>
                <c:pt idx="42">
                  <c:v>42186</c:v>
                </c:pt>
                <c:pt idx="43">
                  <c:v>42217</c:v>
                </c:pt>
                <c:pt idx="44">
                  <c:v>42248</c:v>
                </c:pt>
                <c:pt idx="45">
                  <c:v>42278</c:v>
                </c:pt>
                <c:pt idx="46">
                  <c:v>42309</c:v>
                </c:pt>
                <c:pt idx="47">
                  <c:v>42339</c:v>
                </c:pt>
                <c:pt idx="48">
                  <c:v>42370</c:v>
                </c:pt>
                <c:pt idx="49">
                  <c:v>42401</c:v>
                </c:pt>
                <c:pt idx="50">
                  <c:v>42430</c:v>
                </c:pt>
                <c:pt idx="51">
                  <c:v>42461</c:v>
                </c:pt>
                <c:pt idx="52">
                  <c:v>42491</c:v>
                </c:pt>
                <c:pt idx="53">
                  <c:v>42522</c:v>
                </c:pt>
                <c:pt idx="54">
                  <c:v>42552</c:v>
                </c:pt>
                <c:pt idx="55">
                  <c:v>42583</c:v>
                </c:pt>
                <c:pt idx="56">
                  <c:v>42614</c:v>
                </c:pt>
                <c:pt idx="57">
                  <c:v>42644</c:v>
                </c:pt>
                <c:pt idx="58">
                  <c:v>42675</c:v>
                </c:pt>
                <c:pt idx="59">
                  <c:v>42705</c:v>
                </c:pt>
                <c:pt idx="60">
                  <c:v>42736</c:v>
                </c:pt>
                <c:pt idx="61">
                  <c:v>42767</c:v>
                </c:pt>
                <c:pt idx="62">
                  <c:v>42795</c:v>
                </c:pt>
                <c:pt idx="63">
                  <c:v>42826</c:v>
                </c:pt>
                <c:pt idx="64">
                  <c:v>42856</c:v>
                </c:pt>
                <c:pt idx="65">
                  <c:v>42887</c:v>
                </c:pt>
                <c:pt idx="66">
                  <c:v>42917</c:v>
                </c:pt>
                <c:pt idx="67">
                  <c:v>42948</c:v>
                </c:pt>
                <c:pt idx="68">
                  <c:v>42979</c:v>
                </c:pt>
                <c:pt idx="69">
                  <c:v>43009</c:v>
                </c:pt>
                <c:pt idx="70">
                  <c:v>43040</c:v>
                </c:pt>
                <c:pt idx="71">
                  <c:v>43070</c:v>
                </c:pt>
                <c:pt idx="72">
                  <c:v>43101</c:v>
                </c:pt>
                <c:pt idx="73">
                  <c:v>43132</c:v>
                </c:pt>
                <c:pt idx="74">
                  <c:v>43160</c:v>
                </c:pt>
                <c:pt idx="75">
                  <c:v>43191</c:v>
                </c:pt>
                <c:pt idx="76">
                  <c:v>43221</c:v>
                </c:pt>
                <c:pt idx="77">
                  <c:v>43252</c:v>
                </c:pt>
                <c:pt idx="78">
                  <c:v>43282</c:v>
                </c:pt>
                <c:pt idx="79">
                  <c:v>43313</c:v>
                </c:pt>
                <c:pt idx="80">
                  <c:v>43344</c:v>
                </c:pt>
                <c:pt idx="81">
                  <c:v>43374</c:v>
                </c:pt>
                <c:pt idx="82">
                  <c:v>43405</c:v>
                </c:pt>
                <c:pt idx="83">
                  <c:v>43435</c:v>
                </c:pt>
                <c:pt idx="84">
                  <c:v>43466</c:v>
                </c:pt>
                <c:pt idx="85">
                  <c:v>43497</c:v>
                </c:pt>
                <c:pt idx="86">
                  <c:v>43525</c:v>
                </c:pt>
              </c:numCache>
            </c:numRef>
          </c:cat>
          <c:val>
            <c:numRef>
              <c:f>'Elec. Analysis'!$E$234:$E$323</c:f>
              <c:numCache>
                <c:formatCode>0.0000_);[Red]\(0.0000\)</c:formatCode>
                <c:ptCount val="90"/>
                <c:pt idx="0">
                  <c:v>15.284000000000001</c:v>
                </c:pt>
                <c:pt idx="1">
                  <c:v>13.69</c:v>
                </c:pt>
                <c:pt idx="2">
                  <c:v>8.218</c:v>
                </c:pt>
                <c:pt idx="3">
                  <c:v>7.1760000000000002</c:v>
                </c:pt>
                <c:pt idx="4">
                  <c:v>6.3503999999999996</c:v>
                </c:pt>
                <c:pt idx="5">
                  <c:v>7.6746999999999996</c:v>
                </c:pt>
                <c:pt idx="6">
                  <c:v>9.0332000000000008</c:v>
                </c:pt>
                <c:pt idx="7">
                  <c:v>11.3147</c:v>
                </c:pt>
                <c:pt idx="8">
                  <c:v>10.763</c:v>
                </c:pt>
                <c:pt idx="9">
                  <c:v>9.6221999999999994</c:v>
                </c:pt>
                <c:pt idx="10">
                  <c:v>7.3994999999999997</c:v>
                </c:pt>
                <c:pt idx="11">
                  <c:v>8.4816000000000003</c:v>
                </c:pt>
                <c:pt idx="12">
                  <c:v>9.1424000000000003</c:v>
                </c:pt>
                <c:pt idx="13">
                  <c:v>7.6902999999999997</c:v>
                </c:pt>
                <c:pt idx="14">
                  <c:v>7.2336</c:v>
                </c:pt>
                <c:pt idx="15">
                  <c:v>8.3926999999999996</c:v>
                </c:pt>
                <c:pt idx="16">
                  <c:v>7.2154999999999996</c:v>
                </c:pt>
                <c:pt idx="17">
                  <c:v>7.7211999999999996</c:v>
                </c:pt>
                <c:pt idx="18">
                  <c:v>11.292999999999999</c:v>
                </c:pt>
                <c:pt idx="19">
                  <c:v>11.211</c:v>
                </c:pt>
                <c:pt idx="20">
                  <c:v>10.948</c:v>
                </c:pt>
                <c:pt idx="21">
                  <c:v>8.0594000000000001</c:v>
                </c:pt>
                <c:pt idx="22">
                  <c:v>7.9027000000000003</c:v>
                </c:pt>
                <c:pt idx="23">
                  <c:v>7.5796000000000001</c:v>
                </c:pt>
                <c:pt idx="24">
                  <c:v>7.8040000000000003</c:v>
                </c:pt>
                <c:pt idx="25">
                  <c:v>7.1909000000000001</c:v>
                </c:pt>
                <c:pt idx="26">
                  <c:v>7.3186999999999998</c:v>
                </c:pt>
                <c:pt idx="27">
                  <c:v>7.0838000000000001</c:v>
                </c:pt>
                <c:pt idx="28">
                  <c:v>10.612</c:v>
                </c:pt>
                <c:pt idx="29">
                  <c:v>5.4981</c:v>
                </c:pt>
                <c:pt idx="30">
                  <c:v>7.7039999999999997</c:v>
                </c:pt>
                <c:pt idx="31">
                  <c:v>8.6411999999999995</c:v>
                </c:pt>
                <c:pt idx="32">
                  <c:v>9.0046999999999997</c:v>
                </c:pt>
                <c:pt idx="33">
                  <c:v>8.4507999999999992</c:v>
                </c:pt>
                <c:pt idx="34">
                  <c:v>6.3208000000000002</c:v>
                </c:pt>
                <c:pt idx="35">
                  <c:v>7.2981999999999996</c:v>
                </c:pt>
                <c:pt idx="36">
                  <c:v>7.4088000000000003</c:v>
                </c:pt>
                <c:pt idx="37">
                  <c:v>5.9298999999999999</c:v>
                </c:pt>
                <c:pt idx="38">
                  <c:v>4.9176000000000002</c:v>
                </c:pt>
                <c:pt idx="39">
                  <c:v>5.1140999999999996</c:v>
                </c:pt>
                <c:pt idx="40">
                  <c:v>4.5153999999999996</c:v>
                </c:pt>
                <c:pt idx="41">
                  <c:v>3.8008000000000002</c:v>
                </c:pt>
                <c:pt idx="42">
                  <c:v>8.2159999999999993</c:v>
                </c:pt>
                <c:pt idx="43">
                  <c:v>7.8959999999999999</c:v>
                </c:pt>
                <c:pt idx="44">
                  <c:v>5.407</c:v>
                </c:pt>
                <c:pt idx="45">
                  <c:v>5.5547000000000004</c:v>
                </c:pt>
                <c:pt idx="46">
                  <c:v>5.0035999999999996</c:v>
                </c:pt>
                <c:pt idx="47">
                  <c:v>5.1921999999999997</c:v>
                </c:pt>
                <c:pt idx="48">
                  <c:v>4.7946999999999997</c:v>
                </c:pt>
                <c:pt idx="49">
                  <c:v>4.3921000000000001</c:v>
                </c:pt>
                <c:pt idx="50">
                  <c:v>4.1858000000000004</c:v>
                </c:pt>
                <c:pt idx="51">
                  <c:v>3.3496999999999999</c:v>
                </c:pt>
                <c:pt idx="52">
                  <c:v>3.3043</c:v>
                </c:pt>
                <c:pt idx="53">
                  <c:v>3.4636999999999998</c:v>
                </c:pt>
                <c:pt idx="54">
                  <c:v>4.9828000000000001</c:v>
                </c:pt>
                <c:pt idx="55">
                  <c:v>4.8665000000000003</c:v>
                </c:pt>
                <c:pt idx="56">
                  <c:v>3.6665999999999999</c:v>
                </c:pt>
                <c:pt idx="57">
                  <c:v>4.1272000000000002</c:v>
                </c:pt>
                <c:pt idx="58">
                  <c:v>3.8113999999999999</c:v>
                </c:pt>
                <c:pt idx="59">
                  <c:v>4.1670999999999996</c:v>
                </c:pt>
                <c:pt idx="60">
                  <c:v>4.3943000000000003</c:v>
                </c:pt>
                <c:pt idx="61">
                  <c:v>3.9241999999999999</c:v>
                </c:pt>
                <c:pt idx="62">
                  <c:v>3.4390000000000001</c:v>
                </c:pt>
                <c:pt idx="63">
                  <c:v>3.0567000000000002</c:v>
                </c:pt>
                <c:pt idx="64">
                  <c:v>2.9834999999999998</c:v>
                </c:pt>
                <c:pt idx="65">
                  <c:v>3.3946999999999998</c:v>
                </c:pt>
                <c:pt idx="66">
                  <c:v>4.2127999999999997</c:v>
                </c:pt>
                <c:pt idx="67">
                  <c:v>4.1050000000000004</c:v>
                </c:pt>
                <c:pt idx="68">
                  <c:v>3.766</c:v>
                </c:pt>
                <c:pt idx="69">
                  <c:v>3.8519999999999999</c:v>
                </c:pt>
                <c:pt idx="70">
                  <c:v>3.653</c:v>
                </c:pt>
                <c:pt idx="71">
                  <c:v>3.996</c:v>
                </c:pt>
                <c:pt idx="72">
                  <c:v>5.1120000000000001</c:v>
                </c:pt>
                <c:pt idx="73">
                  <c:v>5.1829999999999998</c:v>
                </c:pt>
                <c:pt idx="74">
                  <c:v>5.1100000000000003</c:v>
                </c:pt>
                <c:pt idx="75">
                  <c:v>6.8</c:v>
                </c:pt>
                <c:pt idx="76">
                  <c:v>5.5659999999999998</c:v>
                </c:pt>
                <c:pt idx="77">
                  <c:v>5.0620000000000003</c:v>
                </c:pt>
                <c:pt idx="78">
                  <c:v>6.8</c:v>
                </c:pt>
                <c:pt idx="79">
                  <c:v>6.8</c:v>
                </c:pt>
                <c:pt idx="80">
                  <c:v>6.8</c:v>
                </c:pt>
                <c:pt idx="81">
                  <c:v>6.4139999999999997</c:v>
                </c:pt>
                <c:pt idx="82">
                  <c:v>6.306</c:v>
                </c:pt>
                <c:pt idx="83">
                  <c:v>6.8</c:v>
                </c:pt>
                <c:pt idx="84">
                  <c:v>6.8</c:v>
                </c:pt>
                <c:pt idx="85">
                  <c:v>6.8</c:v>
                </c:pt>
                <c:pt idx="86">
                  <c:v>5.9139999999999997</c:v>
                </c:pt>
                <c:pt idx="87">
                  <c:v>6.0670000000000002</c:v>
                </c:pt>
                <c:pt idx="88">
                  <c:v>6.39</c:v>
                </c:pt>
                <c:pt idx="89">
                  <c:v>6.391</c:v>
                </c:pt>
              </c:numCache>
            </c:numRef>
          </c:val>
          <c:smooth val="0"/>
        </c:ser>
        <c:dLbls>
          <c:showLegendKey val="0"/>
          <c:showVal val="0"/>
          <c:showCatName val="0"/>
          <c:showSerName val="0"/>
          <c:showPercent val="0"/>
          <c:showBubbleSize val="0"/>
        </c:dLbls>
        <c:marker val="1"/>
        <c:smooth val="0"/>
        <c:axId val="240514944"/>
        <c:axId val="240513408"/>
      </c:lineChart>
      <c:dateAx>
        <c:axId val="240510080"/>
        <c:scaling>
          <c:orientation val="minMax"/>
        </c:scaling>
        <c:delete val="0"/>
        <c:axPos val="b"/>
        <c:numFmt formatCode="[$-409]mmm-yy;@" sourceLinked="1"/>
        <c:majorTickMark val="out"/>
        <c:minorTickMark val="none"/>
        <c:tickLblPos val="nextTo"/>
        <c:crossAx val="240511616"/>
        <c:crosses val="autoZero"/>
        <c:auto val="1"/>
        <c:lblOffset val="100"/>
        <c:baseTimeUnit val="months"/>
      </c:dateAx>
      <c:valAx>
        <c:axId val="240511616"/>
        <c:scaling>
          <c:orientation val="minMax"/>
        </c:scaling>
        <c:delete val="0"/>
        <c:axPos val="l"/>
        <c:majorGridlines>
          <c:spPr>
            <a:ln>
              <a:solidFill>
                <a:schemeClr val="bg1">
                  <a:lumMod val="85000"/>
                </a:schemeClr>
              </a:solidFill>
              <a:prstDash val="dash"/>
            </a:ln>
          </c:spPr>
        </c:majorGridlines>
        <c:numFmt formatCode="#,##0_);[Red]\(#,##0\)" sourceLinked="0"/>
        <c:majorTickMark val="none"/>
        <c:minorTickMark val="none"/>
        <c:tickLblPos val="nextTo"/>
        <c:spPr>
          <a:ln w="9525">
            <a:noFill/>
          </a:ln>
        </c:spPr>
        <c:crossAx val="240510080"/>
        <c:crosses val="autoZero"/>
        <c:crossBetween val="midCat"/>
      </c:valAx>
      <c:valAx>
        <c:axId val="240513408"/>
        <c:scaling>
          <c:orientation val="minMax"/>
          <c:max val="18"/>
        </c:scaling>
        <c:delete val="0"/>
        <c:axPos val="r"/>
        <c:numFmt formatCode="0\ \¢" sourceLinked="0"/>
        <c:majorTickMark val="out"/>
        <c:minorTickMark val="none"/>
        <c:tickLblPos val="nextTo"/>
        <c:crossAx val="240514944"/>
        <c:crosses val="max"/>
        <c:crossBetween val="between"/>
      </c:valAx>
      <c:dateAx>
        <c:axId val="240514944"/>
        <c:scaling>
          <c:orientation val="minMax"/>
        </c:scaling>
        <c:delete val="1"/>
        <c:axPos val="b"/>
        <c:numFmt formatCode="[$-409]mmm-yy;@" sourceLinked="1"/>
        <c:majorTickMark val="out"/>
        <c:minorTickMark val="none"/>
        <c:tickLblPos val="nextTo"/>
        <c:crossAx val="240513408"/>
        <c:crosses val="autoZero"/>
        <c:auto val="1"/>
        <c:lblOffset val="100"/>
        <c:baseTimeUnit val="months"/>
      </c:dateAx>
    </c:plotArea>
    <c:legend>
      <c:legendPos val="b"/>
      <c:overlay val="0"/>
      <c:txPr>
        <a:bodyPr/>
        <a:lstStyle/>
        <a:p>
          <a:pPr>
            <a:defRPr sz="1100"/>
          </a:pPr>
          <a:endParaRPr lang="en-US"/>
        </a:p>
      </c:txPr>
    </c:legend>
    <c:plotVisOnly val="1"/>
    <c:dispBlanksAs val="gap"/>
    <c:showDLblsOverMax val="0"/>
  </c:chart>
  <c:spPr>
    <a:ln>
      <a:noFill/>
    </a:ln>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'Elec. Analysis'!$C$233</c:f>
          <c:strCache>
            <c:ptCount val="1"/>
            <c:pt idx="0">
              <c:v>ENMAX Total Monthly Bill ($)</c:v>
            </c:pt>
          </c:strCache>
        </c:strRef>
      </c:tx>
      <c:overlay val="0"/>
    </c:title>
    <c:autoTitleDeleted val="0"/>
    <c:plotArea>
      <c:layout/>
      <c:lineChart>
        <c:grouping val="standard"/>
        <c:varyColors val="0"/>
        <c:ser>
          <c:idx val="0"/>
          <c:order val="0"/>
          <c:tx>
            <c:strRef>
              <c:f>'Elec. Analysis'!$V$9</c:f>
              <c:strCache>
                <c:ptCount val="1"/>
                <c:pt idx="0">
                  <c:v>2012</c:v>
                </c:pt>
              </c:strCache>
            </c:strRef>
          </c:tx>
          <c:spPr>
            <a:ln w="38100" cmpd="sng"/>
          </c:spPr>
          <c:marker>
            <c:symbol val="none"/>
          </c:marker>
          <c:cat>
            <c:strRef>
              <c:f>'Elec. Analysis'!$C$81:$N$81</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'Elec. Analysis'!$C$234:$C$245</c:f>
              <c:numCache>
                <c:formatCode>0.00_);[Red]\(0.00\)</c:formatCode>
                <c:ptCount val="12"/>
                <c:pt idx="0">
                  <c:v>176.03224583567183</c:v>
                </c:pt>
                <c:pt idx="1">
                  <c:v>146.38684193791593</c:v>
                </c:pt>
                <c:pt idx="2">
                  <c:v>104.46397338464241</c:v>
                </c:pt>
                <c:pt idx="3">
                  <c:v>89.20275930212344</c:v>
                </c:pt>
                <c:pt idx="4">
                  <c:v>83.166867696355169</c:v>
                </c:pt>
                <c:pt idx="5">
                  <c:v>87.41731040655921</c:v>
                </c:pt>
                <c:pt idx="6">
                  <c:v>103.51440278901468</c:v>
                </c:pt>
                <c:pt idx="7">
                  <c:v>115.39031338141906</c:v>
                </c:pt>
                <c:pt idx="8">
                  <c:v>110.05570077540159</c:v>
                </c:pt>
                <c:pt idx="9">
                  <c:v>110.1496103260307</c:v>
                </c:pt>
                <c:pt idx="10">
                  <c:v>96.461293354412746</c:v>
                </c:pt>
                <c:pt idx="11">
                  <c:v>118.81779023041705</c:v>
                </c:pt>
              </c:numCache>
            </c:numRef>
          </c:val>
          <c:smooth val="0"/>
        </c:ser>
        <c:ser>
          <c:idx val="1"/>
          <c:order val="1"/>
          <c:tx>
            <c:strRef>
              <c:f>'Elec. Analysis'!$V$10</c:f>
              <c:strCache>
                <c:ptCount val="1"/>
                <c:pt idx="0">
                  <c:v>2013</c:v>
                </c:pt>
              </c:strCache>
            </c:strRef>
          </c:tx>
          <c:spPr>
            <a:ln w="38100"/>
          </c:spPr>
          <c:marker>
            <c:symbol val="none"/>
          </c:marker>
          <c:cat>
            <c:strRef>
              <c:f>'Elec. Analysis'!$C$81:$N$81</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'Elec. Analysis'!$C$246:$C$257</c:f>
              <c:numCache>
                <c:formatCode>0.00_);[Red]\(0.00\)</c:formatCode>
                <c:ptCount val="12"/>
                <c:pt idx="0">
                  <c:v>115.67277820131953</c:v>
                </c:pt>
                <c:pt idx="1">
                  <c:v>89.04222337749988</c:v>
                </c:pt>
                <c:pt idx="2">
                  <c:v>93.242061887794094</c:v>
                </c:pt>
                <c:pt idx="3">
                  <c:v>98.476380221446362</c:v>
                </c:pt>
                <c:pt idx="4">
                  <c:v>84.05004054674572</c:v>
                </c:pt>
                <c:pt idx="5">
                  <c:v>85.968160553757244</c:v>
                </c:pt>
                <c:pt idx="6">
                  <c:v>108.53599142391927</c:v>
                </c:pt>
                <c:pt idx="7">
                  <c:v>109.6193005300434</c:v>
                </c:pt>
                <c:pt idx="8">
                  <c:v>107.86766277802467</c:v>
                </c:pt>
                <c:pt idx="9">
                  <c:v>104.79381364046809</c:v>
                </c:pt>
                <c:pt idx="10">
                  <c:v>110.01465976738784</c:v>
                </c:pt>
                <c:pt idx="11">
                  <c:v>125.24407138526182</c:v>
                </c:pt>
              </c:numCache>
            </c:numRef>
          </c:val>
          <c:smooth val="0"/>
        </c:ser>
        <c:ser>
          <c:idx val="2"/>
          <c:order val="2"/>
          <c:tx>
            <c:strRef>
              <c:f>'Elec. Analysis'!$V$11</c:f>
              <c:strCache>
                <c:ptCount val="1"/>
                <c:pt idx="0">
                  <c:v>2014</c:v>
                </c:pt>
              </c:strCache>
            </c:strRef>
          </c:tx>
          <c:spPr>
            <a:ln w="38100"/>
          </c:spPr>
          <c:marker>
            <c:symbol val="none"/>
          </c:marker>
          <c:cat>
            <c:strRef>
              <c:f>'Elec. Analysis'!$C$81:$N$81</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'Elec. Analysis'!$C$258:$C$269</c:f>
              <c:numCache>
                <c:formatCode>0.00_);[Red]\(0.00\)</c:formatCode>
                <c:ptCount val="12"/>
                <c:pt idx="0">
                  <c:v>118.94385744842</c:v>
                </c:pt>
                <c:pt idx="1">
                  <c:v>108.11127147150229</c:v>
                </c:pt>
                <c:pt idx="2">
                  <c:v>116.9334600996698</c:v>
                </c:pt>
                <c:pt idx="3">
                  <c:v>87.840720182916058</c:v>
                </c:pt>
                <c:pt idx="4">
                  <c:v>110.5563265567594</c:v>
                </c:pt>
                <c:pt idx="5">
                  <c:v>72.498197170599155</c:v>
                </c:pt>
                <c:pt idx="6">
                  <c:v>92.784785516980946</c:v>
                </c:pt>
                <c:pt idx="7">
                  <c:v>98.559841179175223</c:v>
                </c:pt>
                <c:pt idx="8">
                  <c:v>98.842115917858933</c:v>
                </c:pt>
                <c:pt idx="9">
                  <c:v>103.0807358200106</c:v>
                </c:pt>
                <c:pt idx="10">
                  <c:v>99.432182382399986</c:v>
                </c:pt>
                <c:pt idx="11">
                  <c:v>110.66245763938612</c:v>
                </c:pt>
              </c:numCache>
            </c:numRef>
          </c:val>
          <c:smooth val="0"/>
        </c:ser>
        <c:ser>
          <c:idx val="3"/>
          <c:order val="3"/>
          <c:tx>
            <c:strRef>
              <c:f>'Elec. Analysis'!$V$12</c:f>
              <c:strCache>
                <c:ptCount val="1"/>
                <c:pt idx="0">
                  <c:v>2015</c:v>
                </c:pt>
              </c:strCache>
            </c:strRef>
          </c:tx>
          <c:spPr>
            <a:ln w="38100"/>
          </c:spPr>
          <c:marker>
            <c:symbol val="none"/>
          </c:marker>
          <c:cat>
            <c:strRef>
              <c:f>'Elec. Analysis'!$C$81:$N$81</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'Elec. Analysis'!$C$270:$C$281</c:f>
              <c:numCache>
                <c:formatCode>0.00_);[Red]\(0.00\)</c:formatCode>
                <c:ptCount val="12"/>
                <c:pt idx="0">
                  <c:v>113.20600559155233</c:v>
                </c:pt>
                <c:pt idx="1">
                  <c:v>89.713420061713649</c:v>
                </c:pt>
                <c:pt idx="2">
                  <c:v>85.446869439449046</c:v>
                </c:pt>
                <c:pt idx="3">
                  <c:v>75.564647608827087</c:v>
                </c:pt>
                <c:pt idx="4">
                  <c:v>71.931584570078343</c:v>
                </c:pt>
                <c:pt idx="5">
                  <c:v>67.377849207802342</c:v>
                </c:pt>
                <c:pt idx="6">
                  <c:v>96.213593449055423</c:v>
                </c:pt>
                <c:pt idx="7">
                  <c:v>94.564390313877794</c:v>
                </c:pt>
                <c:pt idx="8">
                  <c:v>74.719712869783052</c:v>
                </c:pt>
                <c:pt idx="9">
                  <c:v>84.375683962990621</c:v>
                </c:pt>
                <c:pt idx="10">
                  <c:v>84.990315900775997</c:v>
                </c:pt>
                <c:pt idx="11">
                  <c:v>95.604645306803775</c:v>
                </c:pt>
              </c:numCache>
            </c:numRef>
          </c:val>
          <c:smooth val="0"/>
        </c:ser>
        <c:ser>
          <c:idx val="4"/>
          <c:order val="4"/>
          <c:tx>
            <c:strRef>
              <c:f>'Elec. Analysis'!$V$13</c:f>
              <c:strCache>
                <c:ptCount val="1"/>
                <c:pt idx="0">
                  <c:v>2016</c:v>
                </c:pt>
              </c:strCache>
            </c:strRef>
          </c:tx>
          <c:spPr>
            <a:ln w="38100"/>
          </c:spPr>
          <c:marker>
            <c:symbol val="none"/>
          </c:marker>
          <c:cat>
            <c:strRef>
              <c:f>'Elec. Analysis'!$C$81:$N$81</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'Elec. Analysis'!$C$282:$C$293</c:f>
              <c:numCache>
                <c:formatCode>0.00_);[Red]\(0.00\)</c:formatCode>
                <c:ptCount val="12"/>
                <c:pt idx="0">
                  <c:v>92.292263290884136</c:v>
                </c:pt>
                <c:pt idx="1">
                  <c:v>79.919934134559725</c:v>
                </c:pt>
                <c:pt idx="2">
                  <c:v>79.626628662128496</c:v>
                </c:pt>
                <c:pt idx="3">
                  <c:v>66.143398610381837</c:v>
                </c:pt>
                <c:pt idx="4">
                  <c:v>68.482426679410551</c:v>
                </c:pt>
                <c:pt idx="5">
                  <c:v>66.722339694954314</c:v>
                </c:pt>
                <c:pt idx="6">
                  <c:v>78.629381891768517</c:v>
                </c:pt>
                <c:pt idx="7">
                  <c:v>76.785878756948549</c:v>
                </c:pt>
                <c:pt idx="8">
                  <c:v>67.488154638459207</c:v>
                </c:pt>
                <c:pt idx="9">
                  <c:v>71.405808375660001</c:v>
                </c:pt>
                <c:pt idx="10">
                  <c:v>63.797060121675813</c:v>
                </c:pt>
                <c:pt idx="11">
                  <c:v>82.098728358227334</c:v>
                </c:pt>
              </c:numCache>
            </c:numRef>
          </c:val>
          <c:smooth val="0"/>
        </c:ser>
        <c:ser>
          <c:idx val="5"/>
          <c:order val="5"/>
          <c:tx>
            <c:strRef>
              <c:f>'Elec. Analysis'!$V$14</c:f>
              <c:strCache>
                <c:ptCount val="1"/>
                <c:pt idx="0">
                  <c:v>2017</c:v>
                </c:pt>
              </c:strCache>
            </c:strRef>
          </c:tx>
          <c:spPr>
            <a:ln w="38100">
              <a:solidFill>
                <a:schemeClr val="accent6">
                  <a:lumMod val="75000"/>
                </a:schemeClr>
              </a:solidFill>
            </a:ln>
          </c:spPr>
          <c:marker>
            <c:symbol val="none"/>
          </c:marker>
          <c:cat>
            <c:strRef>
              <c:f>'Elec. Analysis'!$C$81:$N$81</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'Elec. Analysis'!$C$294:$C$305</c:f>
              <c:numCache>
                <c:formatCode>0.00_);[Red]\(0.00\)</c:formatCode>
                <c:ptCount val="12"/>
                <c:pt idx="0">
                  <c:v>81.172660945086108</c:v>
                </c:pt>
                <c:pt idx="1">
                  <c:v>68.651904841888083</c:v>
                </c:pt>
                <c:pt idx="2">
                  <c:v>69.307154646758036</c:v>
                </c:pt>
                <c:pt idx="3">
                  <c:v>66.692254981087331</c:v>
                </c:pt>
                <c:pt idx="4">
                  <c:v>68.701949839346156</c:v>
                </c:pt>
                <c:pt idx="5">
                  <c:v>68.184002802872556</c:v>
                </c:pt>
                <c:pt idx="6">
                  <c:v>81.314809741058738</c:v>
                </c:pt>
                <c:pt idx="7">
                  <c:v>76.278948511532576</c:v>
                </c:pt>
                <c:pt idx="8">
                  <c:v>73.42519585960018</c:v>
                </c:pt>
                <c:pt idx="9">
                  <c:v>78.635927532328026</c:v>
                </c:pt>
                <c:pt idx="10">
                  <c:v>81.538955698710438</c:v>
                </c:pt>
                <c:pt idx="11">
                  <c:v>92.239618493565786</c:v>
                </c:pt>
              </c:numCache>
            </c:numRef>
          </c:val>
          <c:smooth val="0"/>
        </c:ser>
        <c:ser>
          <c:idx val="6"/>
          <c:order val="6"/>
          <c:tx>
            <c:strRef>
              <c:f>'Elec. Analysis'!$V$15</c:f>
              <c:strCache>
                <c:ptCount val="1"/>
                <c:pt idx="0">
                  <c:v>2018</c:v>
                </c:pt>
              </c:strCache>
            </c:strRef>
          </c:tx>
          <c:spPr>
            <a:ln w="38100">
              <a:solidFill>
                <a:schemeClr val="tx1"/>
              </a:solidFill>
            </a:ln>
          </c:spPr>
          <c:marker>
            <c:symbol val="none"/>
          </c:marker>
          <c:cat>
            <c:strRef>
              <c:f>'Elec. Analysis'!$C$81:$N$81</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'Elec. Analysis'!$C$306:$C$317</c:f>
              <c:numCache>
                <c:formatCode>0.00_);[Red]\(0.00\)</c:formatCode>
                <c:ptCount val="12"/>
                <c:pt idx="0">
                  <c:v>97.04768000615276</c:v>
                </c:pt>
                <c:pt idx="1">
                  <c:v>90.414418526864011</c:v>
                </c:pt>
                <c:pt idx="2">
                  <c:v>91.688336430019945</c:v>
                </c:pt>
                <c:pt idx="3">
                  <c:v>98.143887448812052</c:v>
                </c:pt>
                <c:pt idx="4">
                  <c:v>87.366600450974673</c:v>
                </c:pt>
                <c:pt idx="5">
                  <c:v>82.016944173843683</c:v>
                </c:pt>
                <c:pt idx="6">
                  <c:v>95.772531450151874</c:v>
                </c:pt>
                <c:pt idx="7">
                  <c:v>97.676571480872184</c:v>
                </c:pt>
                <c:pt idx="8">
                  <c:v>94.427956990055407</c:v>
                </c:pt>
                <c:pt idx="9">
                  <c:v>99.808261723978561</c:v>
                </c:pt>
                <c:pt idx="10">
                  <c:v>103.62204058208933</c:v>
                </c:pt>
                <c:pt idx="11">
                  <c:v>114.01081373421792</c:v>
                </c:pt>
              </c:numCache>
            </c:numRef>
          </c:val>
          <c:smooth val="0"/>
        </c:ser>
        <c:ser>
          <c:idx val="7"/>
          <c:order val="7"/>
          <c:tx>
            <c:strRef>
              <c:f>'Elec. Analysis'!$V$16</c:f>
              <c:strCache>
                <c:ptCount val="1"/>
                <c:pt idx="0">
                  <c:v>2019</c:v>
                </c:pt>
              </c:strCache>
            </c:strRef>
          </c:tx>
          <c:marker>
            <c:symbol val="none"/>
          </c:marker>
          <c:cat>
            <c:strRef>
              <c:f>'Elec. Analysis'!$C$81:$N$81</c:f>
              <c:strCache>
                <c:ptCount val="12"/>
                <c:pt idx="0">
                  <c:v>January</c:v>
                </c:pt>
                <c:pt idx="1">
                  <c:v>February</c:v>
                </c:pt>
                <c:pt idx="2">
                  <c:v>March</c:v>
                </c:pt>
                <c:pt idx="3">
                  <c:v>April</c:v>
                </c:pt>
                <c:pt idx="4">
                  <c:v>May</c:v>
                </c:pt>
                <c:pt idx="5">
                  <c:v>June</c:v>
                </c:pt>
                <c:pt idx="6">
                  <c:v>July</c:v>
                </c:pt>
                <c:pt idx="7">
                  <c:v>August</c:v>
                </c:pt>
                <c:pt idx="8">
                  <c:v>September</c:v>
                </c:pt>
                <c:pt idx="9">
                  <c:v>October</c:v>
                </c:pt>
                <c:pt idx="10">
                  <c:v>November</c:v>
                </c:pt>
                <c:pt idx="11">
                  <c:v>December</c:v>
                </c:pt>
              </c:strCache>
            </c:strRef>
          </c:cat>
          <c:val>
            <c:numRef>
              <c:f>'Elec. Analysis'!$C$318:$C$323</c:f>
              <c:numCache>
                <c:formatCode>0.00_);[Red]\(0.00\)</c:formatCode>
                <c:ptCount val="6"/>
                <c:pt idx="0">
                  <c:v>114.90395361763929</c:v>
                </c:pt>
                <c:pt idx="1">
                  <c:v>116.41903663158469</c:v>
                </c:pt>
                <c:pt idx="2">
                  <c:v>105.12998929161778</c:v>
                </c:pt>
                <c:pt idx="3">
                  <c:v>96.677407493638754</c:v>
                </c:pt>
                <c:pt idx="4">
                  <c:v>96.761693219855815</c:v>
                </c:pt>
                <c:pt idx="5">
                  <c:v>93.940632384574229</c:v>
                </c:pt>
              </c:numCache>
            </c:numRef>
          </c:val>
          <c:smooth val="0"/>
        </c:ser>
        <c:dLbls>
          <c:showLegendKey val="0"/>
          <c:showVal val="0"/>
          <c:showCatName val="0"/>
          <c:showSerName val="0"/>
          <c:showPercent val="0"/>
          <c:showBubbleSize val="0"/>
        </c:dLbls>
        <c:marker val="1"/>
        <c:smooth val="0"/>
        <c:axId val="240631168"/>
        <c:axId val="240645248"/>
      </c:lineChart>
      <c:catAx>
        <c:axId val="240631168"/>
        <c:scaling>
          <c:orientation val="minMax"/>
        </c:scaling>
        <c:delete val="0"/>
        <c:axPos val="b"/>
        <c:numFmt formatCode="0" sourceLinked="1"/>
        <c:majorTickMark val="out"/>
        <c:minorTickMark val="none"/>
        <c:tickLblPos val="nextTo"/>
        <c:crossAx val="240645248"/>
        <c:crosses val="autoZero"/>
        <c:auto val="1"/>
        <c:lblAlgn val="ctr"/>
        <c:lblOffset val="100"/>
        <c:noMultiLvlLbl val="0"/>
      </c:catAx>
      <c:valAx>
        <c:axId val="240645248"/>
        <c:scaling>
          <c:orientation val="minMax"/>
          <c:max val="250"/>
        </c:scaling>
        <c:delete val="0"/>
        <c:axPos val="l"/>
        <c:majorGridlines>
          <c:spPr>
            <a:ln>
              <a:solidFill>
                <a:schemeClr val="bg1">
                  <a:lumMod val="85000"/>
                </a:schemeClr>
              </a:solidFill>
              <a:prstDash val="dash"/>
            </a:ln>
          </c:spPr>
        </c:majorGridlines>
        <c:numFmt formatCode="&quot;$&quot;#,##0" sourceLinked="0"/>
        <c:majorTickMark val="none"/>
        <c:minorTickMark val="none"/>
        <c:tickLblPos val="nextTo"/>
        <c:spPr>
          <a:ln w="9525">
            <a:noFill/>
          </a:ln>
        </c:spPr>
        <c:crossAx val="240631168"/>
        <c:crosses val="autoZero"/>
        <c:crossBetween val="midCat"/>
      </c:valAx>
    </c:plotArea>
    <c:legend>
      <c:legendPos val="b"/>
      <c:overlay val="0"/>
      <c:txPr>
        <a:bodyPr/>
        <a:lstStyle/>
        <a:p>
          <a:pPr>
            <a:defRPr sz="1100"/>
          </a:pPr>
          <a:endParaRPr lang="en-US"/>
        </a:p>
      </c:txPr>
    </c:legend>
    <c:plotVisOnly val="1"/>
    <c:dispBlanksAs val="gap"/>
    <c:showDLblsOverMax val="0"/>
  </c:chart>
  <c:spPr>
    <a:ln>
      <a:noFill/>
    </a:ln>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strRef>
          <c:f>'Misc. Data &amp; Mechanisms'!$G$674</c:f>
          <c:strCache>
            <c:ptCount val="1"/>
            <c:pt idx="0">
              <c:v>Total Monthly Bill ($/month), ENMAX Zone, 2012 - 2019</c:v>
            </c:pt>
          </c:strCache>
        </c:strRef>
      </c:tx>
      <c:overlay val="0"/>
    </c:title>
    <c:autoTitleDeleted val="0"/>
    <c:plotArea>
      <c:layout>
        <c:manualLayout>
          <c:layoutTarget val="inner"/>
          <c:xMode val="edge"/>
          <c:yMode val="edge"/>
          <c:x val="3.1499286973715172E-2"/>
          <c:y val="9.176263364164064E-2"/>
          <c:w val="0.95896654188725217"/>
          <c:h val="0.76109526057332133"/>
        </c:manualLayout>
      </c:layout>
      <c:lineChart>
        <c:grouping val="standard"/>
        <c:varyColors val="0"/>
        <c:ser>
          <c:idx val="0"/>
          <c:order val="0"/>
          <c:tx>
            <c:strRef>
              <c:f>'Misc. Data &amp; Mechanisms'!$H$676</c:f>
              <c:strCache>
                <c:ptCount val="1"/>
                <c:pt idx="0">
                  <c:v>ENMAX</c:v>
                </c:pt>
              </c:strCache>
            </c:strRef>
          </c:tx>
          <c:spPr>
            <a:ln w="38100">
              <a:solidFill>
                <a:srgbClr val="C00000"/>
              </a:solidFill>
            </a:ln>
          </c:spPr>
          <c:marker>
            <c:symbol val="none"/>
          </c:marker>
          <c:cat>
            <c:numRef>
              <c:f>'Misc. Data &amp; Mechanisms'!$G$677:$G$766</c:f>
              <c:numCache>
                <c:formatCode>mmm-yy</c:formatCode>
                <c:ptCount val="90"/>
                <c:pt idx="0">
                  <c:v>40909</c:v>
                </c:pt>
                <c:pt idx="1">
                  <c:v>40940</c:v>
                </c:pt>
                <c:pt idx="2">
                  <c:v>40969</c:v>
                </c:pt>
                <c:pt idx="3">
                  <c:v>41000</c:v>
                </c:pt>
                <c:pt idx="4">
                  <c:v>41030</c:v>
                </c:pt>
                <c:pt idx="5">
                  <c:v>41061</c:v>
                </c:pt>
                <c:pt idx="6">
                  <c:v>41091</c:v>
                </c:pt>
                <c:pt idx="7">
                  <c:v>41122</c:v>
                </c:pt>
                <c:pt idx="8">
                  <c:v>41153</c:v>
                </c:pt>
                <c:pt idx="9">
                  <c:v>41183</c:v>
                </c:pt>
                <c:pt idx="10">
                  <c:v>41214</c:v>
                </c:pt>
                <c:pt idx="11">
                  <c:v>41244</c:v>
                </c:pt>
                <c:pt idx="12">
                  <c:v>41275</c:v>
                </c:pt>
                <c:pt idx="13">
                  <c:v>41306</c:v>
                </c:pt>
                <c:pt idx="14">
                  <c:v>41334</c:v>
                </c:pt>
                <c:pt idx="15">
                  <c:v>41365</c:v>
                </c:pt>
                <c:pt idx="16">
                  <c:v>41395</c:v>
                </c:pt>
                <c:pt idx="17">
                  <c:v>41426</c:v>
                </c:pt>
                <c:pt idx="18">
                  <c:v>41456</c:v>
                </c:pt>
                <c:pt idx="19">
                  <c:v>41487</c:v>
                </c:pt>
                <c:pt idx="20">
                  <c:v>41518</c:v>
                </c:pt>
                <c:pt idx="21">
                  <c:v>41548</c:v>
                </c:pt>
                <c:pt idx="22">
                  <c:v>41579</c:v>
                </c:pt>
                <c:pt idx="23">
                  <c:v>41609</c:v>
                </c:pt>
                <c:pt idx="24">
                  <c:v>41640</c:v>
                </c:pt>
                <c:pt idx="25">
                  <c:v>41671</c:v>
                </c:pt>
                <c:pt idx="26">
                  <c:v>41699</c:v>
                </c:pt>
                <c:pt idx="27">
                  <c:v>41730</c:v>
                </c:pt>
                <c:pt idx="28">
                  <c:v>41760</c:v>
                </c:pt>
                <c:pt idx="29">
                  <c:v>41791</c:v>
                </c:pt>
                <c:pt idx="30">
                  <c:v>41821</c:v>
                </c:pt>
                <c:pt idx="31">
                  <c:v>41852</c:v>
                </c:pt>
                <c:pt idx="32">
                  <c:v>41883</c:v>
                </c:pt>
                <c:pt idx="33">
                  <c:v>41913</c:v>
                </c:pt>
                <c:pt idx="34">
                  <c:v>41944</c:v>
                </c:pt>
                <c:pt idx="35">
                  <c:v>41974</c:v>
                </c:pt>
                <c:pt idx="36">
                  <c:v>42005</c:v>
                </c:pt>
                <c:pt idx="37">
                  <c:v>42036</c:v>
                </c:pt>
                <c:pt idx="38">
                  <c:v>42064</c:v>
                </c:pt>
                <c:pt idx="39">
                  <c:v>42095</c:v>
                </c:pt>
                <c:pt idx="40">
                  <c:v>42125</c:v>
                </c:pt>
                <c:pt idx="41">
                  <c:v>42156</c:v>
                </c:pt>
                <c:pt idx="42">
                  <c:v>42186</c:v>
                </c:pt>
                <c:pt idx="43">
                  <c:v>42217</c:v>
                </c:pt>
                <c:pt idx="44">
                  <c:v>42248</c:v>
                </c:pt>
                <c:pt idx="45">
                  <c:v>42278</c:v>
                </c:pt>
                <c:pt idx="46">
                  <c:v>42309</c:v>
                </c:pt>
                <c:pt idx="47">
                  <c:v>42339</c:v>
                </c:pt>
                <c:pt idx="48">
                  <c:v>42370</c:v>
                </c:pt>
                <c:pt idx="49">
                  <c:v>42401</c:v>
                </c:pt>
                <c:pt idx="50">
                  <c:v>42430</c:v>
                </c:pt>
                <c:pt idx="51">
                  <c:v>42461</c:v>
                </c:pt>
                <c:pt idx="52">
                  <c:v>42491</c:v>
                </c:pt>
                <c:pt idx="53">
                  <c:v>42522</c:v>
                </c:pt>
                <c:pt idx="54">
                  <c:v>42552</c:v>
                </c:pt>
                <c:pt idx="55">
                  <c:v>42583</c:v>
                </c:pt>
                <c:pt idx="56">
                  <c:v>42614</c:v>
                </c:pt>
                <c:pt idx="57">
                  <c:v>42644</c:v>
                </c:pt>
                <c:pt idx="58">
                  <c:v>42675</c:v>
                </c:pt>
                <c:pt idx="59">
                  <c:v>42705</c:v>
                </c:pt>
                <c:pt idx="60">
                  <c:v>42736</c:v>
                </c:pt>
                <c:pt idx="61">
                  <c:v>42767</c:v>
                </c:pt>
                <c:pt idx="62">
                  <c:v>42795</c:v>
                </c:pt>
                <c:pt idx="63">
                  <c:v>42826</c:v>
                </c:pt>
                <c:pt idx="64">
                  <c:v>42856</c:v>
                </c:pt>
                <c:pt idx="65">
                  <c:v>42887</c:v>
                </c:pt>
                <c:pt idx="66">
                  <c:v>42917</c:v>
                </c:pt>
                <c:pt idx="67">
                  <c:v>42948</c:v>
                </c:pt>
                <c:pt idx="68">
                  <c:v>42979</c:v>
                </c:pt>
                <c:pt idx="69">
                  <c:v>43009</c:v>
                </c:pt>
                <c:pt idx="70">
                  <c:v>43040</c:v>
                </c:pt>
                <c:pt idx="71">
                  <c:v>43070</c:v>
                </c:pt>
                <c:pt idx="72">
                  <c:v>43101</c:v>
                </c:pt>
                <c:pt idx="73">
                  <c:v>43132</c:v>
                </c:pt>
                <c:pt idx="74">
                  <c:v>43160</c:v>
                </c:pt>
                <c:pt idx="75">
                  <c:v>43191</c:v>
                </c:pt>
                <c:pt idx="76">
                  <c:v>43221</c:v>
                </c:pt>
                <c:pt idx="77">
                  <c:v>43252</c:v>
                </c:pt>
                <c:pt idx="78">
                  <c:v>43282</c:v>
                </c:pt>
                <c:pt idx="79">
                  <c:v>43313</c:v>
                </c:pt>
                <c:pt idx="80">
                  <c:v>43344</c:v>
                </c:pt>
                <c:pt idx="81">
                  <c:v>43374</c:v>
                </c:pt>
                <c:pt idx="82">
                  <c:v>43405</c:v>
                </c:pt>
                <c:pt idx="83">
                  <c:v>43435</c:v>
                </c:pt>
                <c:pt idx="84">
                  <c:v>43466</c:v>
                </c:pt>
                <c:pt idx="85">
                  <c:v>43497</c:v>
                </c:pt>
                <c:pt idx="86">
                  <c:v>43525</c:v>
                </c:pt>
                <c:pt idx="87">
                  <c:v>43556</c:v>
                </c:pt>
                <c:pt idx="88">
                  <c:v>43586</c:v>
                </c:pt>
                <c:pt idx="89">
                  <c:v>43617</c:v>
                </c:pt>
              </c:numCache>
            </c:numRef>
          </c:cat>
          <c:val>
            <c:numRef>
              <c:f>'Misc. Data &amp; Mechanisms'!$H$677:$H$766</c:f>
              <c:numCache>
                <c:formatCode>General</c:formatCode>
                <c:ptCount val="90"/>
                <c:pt idx="0">
                  <c:v>176.03224583567183</c:v>
                </c:pt>
                <c:pt idx="1">
                  <c:v>146.38684193791593</c:v>
                </c:pt>
                <c:pt idx="2">
                  <c:v>104.46397338464241</c:v>
                </c:pt>
                <c:pt idx="3">
                  <c:v>89.20275930212344</c:v>
                </c:pt>
                <c:pt idx="4">
                  <c:v>83.166867696355169</c:v>
                </c:pt>
                <c:pt idx="5">
                  <c:v>87.41731040655921</c:v>
                </c:pt>
                <c:pt idx="6">
                  <c:v>103.51440278901468</c:v>
                </c:pt>
                <c:pt idx="7">
                  <c:v>115.39031338141906</c:v>
                </c:pt>
                <c:pt idx="8">
                  <c:v>110.05570077540159</c:v>
                </c:pt>
                <c:pt idx="9">
                  <c:v>110.1496103260307</c:v>
                </c:pt>
                <c:pt idx="10">
                  <c:v>96.461293354412746</c:v>
                </c:pt>
                <c:pt idx="11">
                  <c:v>118.81779023041705</c:v>
                </c:pt>
                <c:pt idx="12">
                  <c:v>115.67277820131953</c:v>
                </c:pt>
                <c:pt idx="13">
                  <c:v>89.04222337749988</c:v>
                </c:pt>
                <c:pt idx="14">
                  <c:v>93.242061887794094</c:v>
                </c:pt>
                <c:pt idx="15">
                  <c:v>98.476380221446362</c:v>
                </c:pt>
                <c:pt idx="16">
                  <c:v>84.05004054674572</c:v>
                </c:pt>
                <c:pt idx="17">
                  <c:v>85.968160553757244</c:v>
                </c:pt>
                <c:pt idx="18">
                  <c:v>108.53599142391927</c:v>
                </c:pt>
                <c:pt idx="19">
                  <c:v>109.6193005300434</c:v>
                </c:pt>
                <c:pt idx="20">
                  <c:v>107.86766277802467</c:v>
                </c:pt>
                <c:pt idx="21">
                  <c:v>104.79381364046809</c:v>
                </c:pt>
                <c:pt idx="22">
                  <c:v>110.01465976738784</c:v>
                </c:pt>
                <c:pt idx="23">
                  <c:v>125.24407138526182</c:v>
                </c:pt>
                <c:pt idx="24">
                  <c:v>118.94385744842</c:v>
                </c:pt>
                <c:pt idx="25">
                  <c:v>108.11127147150229</c:v>
                </c:pt>
                <c:pt idx="26">
                  <c:v>116.9334600996698</c:v>
                </c:pt>
                <c:pt idx="27">
                  <c:v>87.840720182916058</c:v>
                </c:pt>
                <c:pt idx="28">
                  <c:v>110.5563265567594</c:v>
                </c:pt>
                <c:pt idx="29">
                  <c:v>72.498197170599155</c:v>
                </c:pt>
                <c:pt idx="30">
                  <c:v>92.784785516980946</c:v>
                </c:pt>
                <c:pt idx="31">
                  <c:v>98.559841179175223</c:v>
                </c:pt>
                <c:pt idx="32">
                  <c:v>98.842115917858933</c:v>
                </c:pt>
                <c:pt idx="33">
                  <c:v>103.0807358200106</c:v>
                </c:pt>
                <c:pt idx="34">
                  <c:v>99.432182382399986</c:v>
                </c:pt>
                <c:pt idx="35">
                  <c:v>110.66245763938612</c:v>
                </c:pt>
                <c:pt idx="36">
                  <c:v>113.20600559155233</c:v>
                </c:pt>
                <c:pt idx="37">
                  <c:v>89.713420061713649</c:v>
                </c:pt>
                <c:pt idx="38">
                  <c:v>85.446869439449046</c:v>
                </c:pt>
                <c:pt idx="39">
                  <c:v>75.564647608827087</c:v>
                </c:pt>
                <c:pt idx="40">
                  <c:v>71.931584570078343</c:v>
                </c:pt>
                <c:pt idx="41">
                  <c:v>67.377849207802342</c:v>
                </c:pt>
                <c:pt idx="42">
                  <c:v>96.213593449055423</c:v>
                </c:pt>
                <c:pt idx="43">
                  <c:v>94.564390313877794</c:v>
                </c:pt>
                <c:pt idx="44">
                  <c:v>74.719712869783052</c:v>
                </c:pt>
                <c:pt idx="45">
                  <c:v>84.375683962990621</c:v>
                </c:pt>
                <c:pt idx="46">
                  <c:v>84.990315900775997</c:v>
                </c:pt>
                <c:pt idx="47">
                  <c:v>95.604645306803775</c:v>
                </c:pt>
                <c:pt idx="48">
                  <c:v>92.292263290884136</c:v>
                </c:pt>
                <c:pt idx="49">
                  <c:v>79.919934134559725</c:v>
                </c:pt>
                <c:pt idx="50">
                  <c:v>79.626628662128496</c:v>
                </c:pt>
                <c:pt idx="51">
                  <c:v>66.143398610381837</c:v>
                </c:pt>
                <c:pt idx="52">
                  <c:v>68.482426679410551</c:v>
                </c:pt>
                <c:pt idx="53">
                  <c:v>66.722339694954314</c:v>
                </c:pt>
                <c:pt idx="54">
                  <c:v>78.629381891768517</c:v>
                </c:pt>
                <c:pt idx="55">
                  <c:v>76.785878756948549</c:v>
                </c:pt>
                <c:pt idx="56">
                  <c:v>67.488154638459207</c:v>
                </c:pt>
                <c:pt idx="57">
                  <c:v>71.405808375660001</c:v>
                </c:pt>
                <c:pt idx="58">
                  <c:v>63.797060121675813</c:v>
                </c:pt>
                <c:pt idx="59">
                  <c:v>82.098728358227334</c:v>
                </c:pt>
                <c:pt idx="60">
                  <c:v>81.172660945086108</c:v>
                </c:pt>
                <c:pt idx="61">
                  <c:v>68.651904841888083</c:v>
                </c:pt>
                <c:pt idx="62">
                  <c:v>69.307154646758036</c:v>
                </c:pt>
                <c:pt idx="63">
                  <c:v>66.692254981087331</c:v>
                </c:pt>
                <c:pt idx="64">
                  <c:v>68.701949839346156</c:v>
                </c:pt>
                <c:pt idx="65">
                  <c:v>68.184002802872556</c:v>
                </c:pt>
                <c:pt idx="66">
                  <c:v>81.314809741058738</c:v>
                </c:pt>
                <c:pt idx="67">
                  <c:v>76.278948511532576</c:v>
                </c:pt>
                <c:pt idx="68">
                  <c:v>73.42519585960018</c:v>
                </c:pt>
                <c:pt idx="69">
                  <c:v>78.635927532328026</c:v>
                </c:pt>
                <c:pt idx="70">
                  <c:v>81.538955698710438</c:v>
                </c:pt>
                <c:pt idx="71">
                  <c:v>92.239618493565786</c:v>
                </c:pt>
                <c:pt idx="72">
                  <c:v>97.04768000615276</c:v>
                </c:pt>
                <c:pt idx="73">
                  <c:v>90.414418526864011</c:v>
                </c:pt>
                <c:pt idx="74">
                  <c:v>91.688336430019945</c:v>
                </c:pt>
                <c:pt idx="75">
                  <c:v>98.143887448812052</c:v>
                </c:pt>
                <c:pt idx="76">
                  <c:v>87.366600450974673</c:v>
                </c:pt>
                <c:pt idx="77">
                  <c:v>82.016944173843683</c:v>
                </c:pt>
                <c:pt idx="78">
                  <c:v>95.772531450151874</c:v>
                </c:pt>
                <c:pt idx="79">
                  <c:v>97.676571480872184</c:v>
                </c:pt>
                <c:pt idx="80">
                  <c:v>94.427956990055407</c:v>
                </c:pt>
                <c:pt idx="81">
                  <c:v>99.808261723978561</c:v>
                </c:pt>
                <c:pt idx="82">
                  <c:v>103.62204058208933</c:v>
                </c:pt>
                <c:pt idx="83">
                  <c:v>114.01081373421792</c:v>
                </c:pt>
                <c:pt idx="84">
                  <c:v>114.90395361763929</c:v>
                </c:pt>
                <c:pt idx="85">
                  <c:v>116.41903663158469</c:v>
                </c:pt>
                <c:pt idx="86">
                  <c:v>105.12998929161778</c:v>
                </c:pt>
                <c:pt idx="87">
                  <c:v>96.677407493638754</c:v>
                </c:pt>
                <c:pt idx="88">
                  <c:v>96.761693219855815</c:v>
                </c:pt>
                <c:pt idx="89">
                  <c:v>93.940632384574229</c:v>
                </c:pt>
              </c:numCache>
            </c:numRef>
          </c:val>
          <c:smooth val="0"/>
        </c:ser>
        <c:dLbls>
          <c:showLegendKey val="0"/>
          <c:showVal val="0"/>
          <c:showCatName val="0"/>
          <c:showSerName val="0"/>
          <c:showPercent val="0"/>
          <c:showBubbleSize val="0"/>
        </c:dLbls>
        <c:marker val="1"/>
        <c:smooth val="0"/>
        <c:axId val="241926144"/>
        <c:axId val="241927680"/>
      </c:lineChart>
      <c:dateAx>
        <c:axId val="241926144"/>
        <c:scaling>
          <c:orientation val="minMax"/>
        </c:scaling>
        <c:delete val="0"/>
        <c:axPos val="b"/>
        <c:numFmt formatCode="mmm-yy" sourceLinked="1"/>
        <c:majorTickMark val="out"/>
        <c:minorTickMark val="none"/>
        <c:tickLblPos val="nextTo"/>
        <c:crossAx val="241927680"/>
        <c:crosses val="autoZero"/>
        <c:auto val="1"/>
        <c:lblOffset val="100"/>
        <c:baseTimeUnit val="months"/>
        <c:majorUnit val="1"/>
        <c:majorTimeUnit val="months"/>
      </c:dateAx>
      <c:valAx>
        <c:axId val="241927680"/>
        <c:scaling>
          <c:orientation val="minMax"/>
        </c:scaling>
        <c:delete val="0"/>
        <c:axPos val="l"/>
        <c:majorGridlines>
          <c:spPr>
            <a:ln>
              <a:solidFill>
                <a:sysClr val="window" lastClr="FFFFFF">
                  <a:lumMod val="85000"/>
                </a:sysClr>
              </a:solidFill>
              <a:prstDash val="dash"/>
            </a:ln>
          </c:spPr>
        </c:majorGridlines>
        <c:numFmt formatCode="#,##0.0" sourceLinked="0"/>
        <c:majorTickMark val="none"/>
        <c:minorTickMark val="none"/>
        <c:tickLblPos val="nextTo"/>
        <c:spPr>
          <a:ln w="9525">
            <a:noFill/>
          </a:ln>
        </c:spPr>
        <c:crossAx val="241926144"/>
        <c:crosses val="autoZero"/>
        <c:crossBetween val="midCat"/>
      </c:valAx>
    </c:plotArea>
    <c:legend>
      <c:legendPos val="b"/>
      <c:overlay val="0"/>
      <c:txPr>
        <a:bodyPr/>
        <a:lstStyle/>
        <a:p>
          <a:pPr>
            <a:defRPr sz="1100"/>
          </a:pPr>
          <a:endParaRPr lang="en-US"/>
        </a:p>
      </c:txPr>
    </c:legend>
    <c:plotVisOnly val="1"/>
    <c:dispBlanksAs val="gap"/>
    <c:showDLblsOverMax val="0"/>
  </c:chart>
  <c:spPr>
    <a:ln>
      <a:noFill/>
    </a:ln>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'Misc. Data &amp; Mechanisms'!$B$908</c:f>
          <c:strCache>
            <c:ptCount val="1"/>
            <c:pt idx="0">
              <c:v>Bill Component Shares of Total Bill (%) in the ENMAX Zone, 2012-2019</c:v>
            </c:pt>
          </c:strCache>
        </c:strRef>
      </c:tx>
      <c:overlay val="0"/>
    </c:title>
    <c:autoTitleDeleted val="0"/>
    <c:plotArea>
      <c:layout>
        <c:manualLayout>
          <c:layoutTarget val="inner"/>
          <c:xMode val="edge"/>
          <c:yMode val="edge"/>
          <c:x val="4.557035223037529E-2"/>
          <c:y val="0.14725823449299927"/>
          <c:w val="0.75257322119638559"/>
          <c:h val="0.74152512750767574"/>
        </c:manualLayout>
      </c:layout>
      <c:areaChart>
        <c:grouping val="stacked"/>
        <c:varyColors val="0"/>
        <c:ser>
          <c:idx val="0"/>
          <c:order val="0"/>
          <c:tx>
            <c:strRef>
              <c:f>'Misc. Data &amp; Mechanisms'!$B$814</c:f>
              <c:strCache>
                <c:ptCount val="1"/>
                <c:pt idx="0">
                  <c:v>Energy</c:v>
                </c:pt>
              </c:strCache>
            </c:strRef>
          </c:tx>
          <c:spPr>
            <a:solidFill>
              <a:schemeClr val="accent5">
                <a:lumMod val="75000"/>
              </a:schemeClr>
            </a:solidFill>
          </c:spPr>
          <c:cat>
            <c:numRef>
              <c:f>'Misc. Data &amp; Mechanisms'!$A$815:$A$905</c:f>
              <c:numCache>
                <c:formatCode>[$-409]mmm-yy;@</c:formatCode>
                <c:ptCount val="91"/>
                <c:pt idx="0">
                  <c:v>40909</c:v>
                </c:pt>
                <c:pt idx="1">
                  <c:v>40940</c:v>
                </c:pt>
                <c:pt idx="2">
                  <c:v>40969</c:v>
                </c:pt>
                <c:pt idx="3">
                  <c:v>41000</c:v>
                </c:pt>
                <c:pt idx="4">
                  <c:v>41030</c:v>
                </c:pt>
                <c:pt idx="5">
                  <c:v>41061</c:v>
                </c:pt>
                <c:pt idx="6">
                  <c:v>41091</c:v>
                </c:pt>
                <c:pt idx="7">
                  <c:v>41122</c:v>
                </c:pt>
                <c:pt idx="8">
                  <c:v>41153</c:v>
                </c:pt>
                <c:pt idx="9">
                  <c:v>41183</c:v>
                </c:pt>
                <c:pt idx="10">
                  <c:v>41214</c:v>
                </c:pt>
                <c:pt idx="11">
                  <c:v>41244</c:v>
                </c:pt>
                <c:pt idx="12">
                  <c:v>41275</c:v>
                </c:pt>
                <c:pt idx="13">
                  <c:v>41306</c:v>
                </c:pt>
                <c:pt idx="14">
                  <c:v>41334</c:v>
                </c:pt>
                <c:pt idx="15">
                  <c:v>41365</c:v>
                </c:pt>
                <c:pt idx="16">
                  <c:v>41395</c:v>
                </c:pt>
                <c:pt idx="17">
                  <c:v>41426</c:v>
                </c:pt>
                <c:pt idx="18">
                  <c:v>41456</c:v>
                </c:pt>
                <c:pt idx="19">
                  <c:v>41487</c:v>
                </c:pt>
                <c:pt idx="20">
                  <c:v>41518</c:v>
                </c:pt>
                <c:pt idx="21">
                  <c:v>41548</c:v>
                </c:pt>
                <c:pt idx="22">
                  <c:v>41579</c:v>
                </c:pt>
                <c:pt idx="23">
                  <c:v>41609</c:v>
                </c:pt>
                <c:pt idx="24">
                  <c:v>41640</c:v>
                </c:pt>
                <c:pt idx="25">
                  <c:v>41671</c:v>
                </c:pt>
                <c:pt idx="26">
                  <c:v>41699</c:v>
                </c:pt>
                <c:pt idx="27">
                  <c:v>41730</c:v>
                </c:pt>
                <c:pt idx="28">
                  <c:v>41760</c:v>
                </c:pt>
                <c:pt idx="29">
                  <c:v>41791</c:v>
                </c:pt>
                <c:pt idx="30">
                  <c:v>41821</c:v>
                </c:pt>
                <c:pt idx="31">
                  <c:v>41852</c:v>
                </c:pt>
                <c:pt idx="32">
                  <c:v>41883</c:v>
                </c:pt>
                <c:pt idx="33">
                  <c:v>41913</c:v>
                </c:pt>
                <c:pt idx="34">
                  <c:v>41944</c:v>
                </c:pt>
                <c:pt idx="35">
                  <c:v>41974</c:v>
                </c:pt>
                <c:pt idx="36">
                  <c:v>42005</c:v>
                </c:pt>
                <c:pt idx="37">
                  <c:v>42036</c:v>
                </c:pt>
                <c:pt idx="38">
                  <c:v>42064</c:v>
                </c:pt>
                <c:pt idx="39">
                  <c:v>42095</c:v>
                </c:pt>
                <c:pt idx="40">
                  <c:v>42125</c:v>
                </c:pt>
                <c:pt idx="41">
                  <c:v>42156</c:v>
                </c:pt>
                <c:pt idx="42">
                  <c:v>42186</c:v>
                </c:pt>
                <c:pt idx="43">
                  <c:v>42217</c:v>
                </c:pt>
                <c:pt idx="44">
                  <c:v>42248</c:v>
                </c:pt>
                <c:pt idx="45">
                  <c:v>42278</c:v>
                </c:pt>
                <c:pt idx="46">
                  <c:v>42309</c:v>
                </c:pt>
                <c:pt idx="47">
                  <c:v>42339</c:v>
                </c:pt>
                <c:pt idx="48">
                  <c:v>42370</c:v>
                </c:pt>
                <c:pt idx="49">
                  <c:v>42401</c:v>
                </c:pt>
                <c:pt idx="50">
                  <c:v>42430</c:v>
                </c:pt>
                <c:pt idx="51">
                  <c:v>42461</c:v>
                </c:pt>
                <c:pt idx="52">
                  <c:v>42491</c:v>
                </c:pt>
                <c:pt idx="53">
                  <c:v>42522</c:v>
                </c:pt>
                <c:pt idx="54">
                  <c:v>42552</c:v>
                </c:pt>
                <c:pt idx="55">
                  <c:v>42583</c:v>
                </c:pt>
                <c:pt idx="56">
                  <c:v>42614</c:v>
                </c:pt>
                <c:pt idx="57">
                  <c:v>42644</c:v>
                </c:pt>
                <c:pt idx="58">
                  <c:v>42675</c:v>
                </c:pt>
                <c:pt idx="59">
                  <c:v>42705</c:v>
                </c:pt>
                <c:pt idx="60">
                  <c:v>42736</c:v>
                </c:pt>
                <c:pt idx="61">
                  <c:v>42767</c:v>
                </c:pt>
                <c:pt idx="62">
                  <c:v>42795</c:v>
                </c:pt>
                <c:pt idx="63">
                  <c:v>42826</c:v>
                </c:pt>
                <c:pt idx="64">
                  <c:v>42856</c:v>
                </c:pt>
                <c:pt idx="65">
                  <c:v>42887</c:v>
                </c:pt>
                <c:pt idx="66">
                  <c:v>42917</c:v>
                </c:pt>
                <c:pt idx="67">
                  <c:v>42948</c:v>
                </c:pt>
                <c:pt idx="68">
                  <c:v>42979</c:v>
                </c:pt>
                <c:pt idx="69">
                  <c:v>43009</c:v>
                </c:pt>
                <c:pt idx="70">
                  <c:v>43040</c:v>
                </c:pt>
                <c:pt idx="71">
                  <c:v>43070</c:v>
                </c:pt>
                <c:pt idx="72">
                  <c:v>43101</c:v>
                </c:pt>
                <c:pt idx="73">
                  <c:v>43132</c:v>
                </c:pt>
                <c:pt idx="74">
                  <c:v>43160</c:v>
                </c:pt>
                <c:pt idx="75">
                  <c:v>43191</c:v>
                </c:pt>
                <c:pt idx="76">
                  <c:v>43221</c:v>
                </c:pt>
                <c:pt idx="77">
                  <c:v>43252</c:v>
                </c:pt>
                <c:pt idx="78">
                  <c:v>43282</c:v>
                </c:pt>
                <c:pt idx="79">
                  <c:v>43313</c:v>
                </c:pt>
                <c:pt idx="80">
                  <c:v>43344</c:v>
                </c:pt>
                <c:pt idx="81">
                  <c:v>43374</c:v>
                </c:pt>
                <c:pt idx="82">
                  <c:v>43405</c:v>
                </c:pt>
                <c:pt idx="83">
                  <c:v>43435</c:v>
                </c:pt>
                <c:pt idx="84">
                  <c:v>43466</c:v>
                </c:pt>
                <c:pt idx="85">
                  <c:v>43497</c:v>
                </c:pt>
                <c:pt idx="86">
                  <c:v>43525</c:v>
                </c:pt>
                <c:pt idx="87">
                  <c:v>43556</c:v>
                </c:pt>
                <c:pt idx="88">
                  <c:v>43586</c:v>
                </c:pt>
                <c:pt idx="89">
                  <c:v>43617</c:v>
                </c:pt>
              </c:numCache>
            </c:numRef>
          </c:cat>
          <c:val>
            <c:numRef>
              <c:f>'Misc. Data &amp; Mechanisms'!$B$815:$B$905</c:f>
              <c:numCache>
                <c:formatCode>0.00%</c:formatCode>
                <c:ptCount val="91"/>
                <c:pt idx="0">
                  <c:v>0.61363489722414766</c:v>
                </c:pt>
                <c:pt idx="1">
                  <c:v>0.59057689081818088</c:v>
                </c:pt>
                <c:pt idx="2">
                  <c:v>0.48029432107817938</c:v>
                </c:pt>
                <c:pt idx="3">
                  <c:v>0.44527371265214272</c:v>
                </c:pt>
                <c:pt idx="4">
                  <c:v>0.41379128415767902</c:v>
                </c:pt>
                <c:pt idx="5">
                  <c:v>0.45264084584451236</c:v>
                </c:pt>
                <c:pt idx="6">
                  <c:v>0.49289380313408476</c:v>
                </c:pt>
                <c:pt idx="7">
                  <c:v>0.53608867260746695</c:v>
                </c:pt>
                <c:pt idx="8">
                  <c:v>0.52785841626219787</c:v>
                </c:pt>
                <c:pt idx="9">
                  <c:v>0.55023933696651095</c:v>
                </c:pt>
                <c:pt idx="10">
                  <c:v>0.50473365790153646</c:v>
                </c:pt>
                <c:pt idx="11">
                  <c:v>0.54341932220041544</c:v>
                </c:pt>
                <c:pt idx="12">
                  <c:v>0.5498623575371363</c:v>
                </c:pt>
                <c:pt idx="13">
                  <c:v>0.50838232584528453</c:v>
                </c:pt>
                <c:pt idx="14">
                  <c:v>0.49300040817826685</c:v>
                </c:pt>
                <c:pt idx="15">
                  <c:v>0.49612947653762768</c:v>
                </c:pt>
                <c:pt idx="16">
                  <c:v>0.45000460052400876</c:v>
                </c:pt>
                <c:pt idx="17">
                  <c:v>0.47558730599046545</c:v>
                </c:pt>
                <c:pt idx="18">
                  <c:v>0.56476383097831084</c:v>
                </c:pt>
                <c:pt idx="19">
                  <c:v>0.56509117860506186</c:v>
                </c:pt>
                <c:pt idx="20">
                  <c:v>0.55663403928660282</c:v>
                </c:pt>
                <c:pt idx="21">
                  <c:v>0.46434553214361962</c:v>
                </c:pt>
                <c:pt idx="22">
                  <c:v>0.46984643907487972</c:v>
                </c:pt>
                <c:pt idx="23">
                  <c:v>0.46461116643301226</c:v>
                </c:pt>
                <c:pt idx="24">
                  <c:v>0.44602557740850729</c:v>
                </c:pt>
                <c:pt idx="25">
                  <c:v>0.43346482649647428</c:v>
                </c:pt>
                <c:pt idx="26">
                  <c:v>0.42089131675122482</c:v>
                </c:pt>
                <c:pt idx="27">
                  <c:v>0.44291607642456704</c:v>
                </c:pt>
                <c:pt idx="28">
                  <c:v>0.5230308099302069</c:v>
                </c:pt>
                <c:pt idx="29">
                  <c:v>0.38534460720842995</c:v>
                </c:pt>
                <c:pt idx="30">
                  <c:v>0.45689856701444614</c:v>
                </c:pt>
                <c:pt idx="31">
                  <c:v>0.48088251965394824</c:v>
                </c:pt>
                <c:pt idx="32">
                  <c:v>0.49148591791697954</c:v>
                </c:pt>
                <c:pt idx="33">
                  <c:v>0.47370388521544476</c:v>
                </c:pt>
                <c:pt idx="34">
                  <c:v>0.43316358130320864</c:v>
                </c:pt>
                <c:pt idx="35">
                  <c:v>0.46375918193750526</c:v>
                </c:pt>
                <c:pt idx="36">
                  <c:v>0.44007559268959273</c:v>
                </c:pt>
                <c:pt idx="37">
                  <c:v>0.38946957090057827</c:v>
                </c:pt>
                <c:pt idx="38">
                  <c:v>0.34057065692738764</c:v>
                </c:pt>
                <c:pt idx="39">
                  <c:v>0.36169522040551122</c:v>
                </c:pt>
                <c:pt idx="40">
                  <c:v>0.3311600258441838</c:v>
                </c:pt>
                <c:pt idx="41">
                  <c:v>0.30148478474346829</c:v>
                </c:pt>
                <c:pt idx="42">
                  <c:v>0.46564246884869881</c:v>
                </c:pt>
                <c:pt idx="43">
                  <c:v>0.45778079262304788</c:v>
                </c:pt>
                <c:pt idx="44">
                  <c:v>0.37570803783141127</c:v>
                </c:pt>
                <c:pt idx="45">
                  <c:v>0.37631500399954754</c:v>
                </c:pt>
                <c:pt idx="46">
                  <c:v>0.36569827060275173</c:v>
                </c:pt>
                <c:pt idx="47">
                  <c:v>0.38198752777401024</c:v>
                </c:pt>
                <c:pt idx="48">
                  <c:v>0.33706758335135484</c:v>
                </c:pt>
                <c:pt idx="49">
                  <c:v>0.31438270551180103</c:v>
                </c:pt>
                <c:pt idx="50">
                  <c:v>0.29863788273291419</c:v>
                </c:pt>
                <c:pt idx="51">
                  <c:v>0.2567722908854323</c:v>
                </c:pt>
                <c:pt idx="52">
                  <c:v>0.25510104384188909</c:v>
                </c:pt>
                <c:pt idx="53">
                  <c:v>0.26264467087252469</c:v>
                </c:pt>
                <c:pt idx="54">
                  <c:v>0.33288524601836661</c:v>
                </c:pt>
                <c:pt idx="55">
                  <c:v>0.32607583860349232</c:v>
                </c:pt>
                <c:pt idx="56">
                  <c:v>0.27140094331996129</c:v>
                </c:pt>
                <c:pt idx="57">
                  <c:v>0.33605380474711249</c:v>
                </c:pt>
                <c:pt idx="58">
                  <c:v>0.34430041918703713</c:v>
                </c:pt>
                <c:pt idx="59">
                  <c:v>0.38521582310869679</c:v>
                </c:pt>
                <c:pt idx="60">
                  <c:v>0.35068877847576435</c:v>
                </c:pt>
                <c:pt idx="61">
                  <c:v>0.32492044961106159</c:v>
                </c:pt>
                <c:pt idx="62">
                  <c:v>0.29320596478733191</c:v>
                </c:pt>
                <c:pt idx="63">
                  <c:v>0.23923075018250026</c:v>
                </c:pt>
                <c:pt idx="64">
                  <c:v>0.21704010139692215</c:v>
                </c:pt>
                <c:pt idx="65">
                  <c:v>0.23746108186039255</c:v>
                </c:pt>
                <c:pt idx="66">
                  <c:v>0.28664678689876816</c:v>
                </c:pt>
                <c:pt idx="67">
                  <c:v>0.27460837371871455</c:v>
                </c:pt>
                <c:pt idx="68">
                  <c:v>0.26153068044764161</c:v>
                </c:pt>
                <c:pt idx="69">
                  <c:v>0.26998681673020386</c:v>
                </c:pt>
                <c:pt idx="70">
                  <c:v>0.27032224509687486</c:v>
                </c:pt>
                <c:pt idx="71">
                  <c:v>0.29403279096013862</c:v>
                </c:pt>
                <c:pt idx="72">
                  <c:v>0.3350024053062105</c:v>
                </c:pt>
                <c:pt idx="73">
                  <c:v>0.34072508468609825</c:v>
                </c:pt>
                <c:pt idx="74">
                  <c:v>0.3282261995160633</c:v>
                </c:pt>
                <c:pt idx="75">
                  <c:v>0.36583827483969333</c:v>
                </c:pt>
                <c:pt idx="76">
                  <c:v>0.31525075239530082</c:v>
                </c:pt>
                <c:pt idx="77">
                  <c:v>0.29706542733676183</c:v>
                </c:pt>
                <c:pt idx="78">
                  <c:v>0.36603794151304547</c:v>
                </c:pt>
                <c:pt idx="79">
                  <c:v>0.3686039361047847</c:v>
                </c:pt>
                <c:pt idx="80">
                  <c:v>0.36847031672892316</c:v>
                </c:pt>
                <c:pt idx="81">
                  <c:v>0.35032550575273252</c:v>
                </c:pt>
                <c:pt idx="82">
                  <c:v>0.35545258136663027</c:v>
                </c:pt>
                <c:pt idx="83">
                  <c:v>0.3745079265524594</c:v>
                </c:pt>
                <c:pt idx="84">
                  <c:v>0.35748107303076337</c:v>
                </c:pt>
                <c:pt idx="85">
                  <c:v>0.36879616159815687</c:v>
                </c:pt>
                <c:pt idx="86">
                  <c:v>0.32530603074943548</c:v>
                </c:pt>
                <c:pt idx="87">
                  <c:v>0.32118380025813853</c:v>
                </c:pt>
                <c:pt idx="88">
                  <c:v>0.32565846835364315</c:v>
                </c:pt>
                <c:pt idx="89">
                  <c:v>0.3260643796059044</c:v>
                </c:pt>
              </c:numCache>
            </c:numRef>
          </c:val>
        </c:ser>
        <c:ser>
          <c:idx val="1"/>
          <c:order val="1"/>
          <c:tx>
            <c:strRef>
              <c:f>'Misc. Data &amp; Mechanisms'!$C$814</c:f>
              <c:strCache>
                <c:ptCount val="1"/>
                <c:pt idx="0">
                  <c:v>Transmission</c:v>
                </c:pt>
              </c:strCache>
            </c:strRef>
          </c:tx>
          <c:spPr>
            <a:solidFill>
              <a:schemeClr val="bg1">
                <a:lumMod val="65000"/>
              </a:schemeClr>
            </a:solidFill>
          </c:spPr>
          <c:cat>
            <c:numRef>
              <c:f>'Misc. Data &amp; Mechanisms'!$A$815:$A$905</c:f>
              <c:numCache>
                <c:formatCode>[$-409]mmm-yy;@</c:formatCode>
                <c:ptCount val="91"/>
                <c:pt idx="0">
                  <c:v>40909</c:v>
                </c:pt>
                <c:pt idx="1">
                  <c:v>40940</c:v>
                </c:pt>
                <c:pt idx="2">
                  <c:v>40969</c:v>
                </c:pt>
                <c:pt idx="3">
                  <c:v>41000</c:v>
                </c:pt>
                <c:pt idx="4">
                  <c:v>41030</c:v>
                </c:pt>
                <c:pt idx="5">
                  <c:v>41061</c:v>
                </c:pt>
                <c:pt idx="6">
                  <c:v>41091</c:v>
                </c:pt>
                <c:pt idx="7">
                  <c:v>41122</c:v>
                </c:pt>
                <c:pt idx="8">
                  <c:v>41153</c:v>
                </c:pt>
                <c:pt idx="9">
                  <c:v>41183</c:v>
                </c:pt>
                <c:pt idx="10">
                  <c:v>41214</c:v>
                </c:pt>
                <c:pt idx="11">
                  <c:v>41244</c:v>
                </c:pt>
                <c:pt idx="12">
                  <c:v>41275</c:v>
                </c:pt>
                <c:pt idx="13">
                  <c:v>41306</c:v>
                </c:pt>
                <c:pt idx="14">
                  <c:v>41334</c:v>
                </c:pt>
                <c:pt idx="15">
                  <c:v>41365</c:v>
                </c:pt>
                <c:pt idx="16">
                  <c:v>41395</c:v>
                </c:pt>
                <c:pt idx="17">
                  <c:v>41426</c:v>
                </c:pt>
                <c:pt idx="18">
                  <c:v>41456</c:v>
                </c:pt>
                <c:pt idx="19">
                  <c:v>41487</c:v>
                </c:pt>
                <c:pt idx="20">
                  <c:v>41518</c:v>
                </c:pt>
                <c:pt idx="21">
                  <c:v>41548</c:v>
                </c:pt>
                <c:pt idx="22">
                  <c:v>41579</c:v>
                </c:pt>
                <c:pt idx="23">
                  <c:v>41609</c:v>
                </c:pt>
                <c:pt idx="24">
                  <c:v>41640</c:v>
                </c:pt>
                <c:pt idx="25">
                  <c:v>41671</c:v>
                </c:pt>
                <c:pt idx="26">
                  <c:v>41699</c:v>
                </c:pt>
                <c:pt idx="27">
                  <c:v>41730</c:v>
                </c:pt>
                <c:pt idx="28">
                  <c:v>41760</c:v>
                </c:pt>
                <c:pt idx="29">
                  <c:v>41791</c:v>
                </c:pt>
                <c:pt idx="30">
                  <c:v>41821</c:v>
                </c:pt>
                <c:pt idx="31">
                  <c:v>41852</c:v>
                </c:pt>
                <c:pt idx="32">
                  <c:v>41883</c:v>
                </c:pt>
                <c:pt idx="33">
                  <c:v>41913</c:v>
                </c:pt>
                <c:pt idx="34">
                  <c:v>41944</c:v>
                </c:pt>
                <c:pt idx="35">
                  <c:v>41974</c:v>
                </c:pt>
                <c:pt idx="36">
                  <c:v>42005</c:v>
                </c:pt>
                <c:pt idx="37">
                  <c:v>42036</c:v>
                </c:pt>
                <c:pt idx="38">
                  <c:v>42064</c:v>
                </c:pt>
                <c:pt idx="39">
                  <c:v>42095</c:v>
                </c:pt>
                <c:pt idx="40">
                  <c:v>42125</c:v>
                </c:pt>
                <c:pt idx="41">
                  <c:v>42156</c:v>
                </c:pt>
                <c:pt idx="42">
                  <c:v>42186</c:v>
                </c:pt>
                <c:pt idx="43">
                  <c:v>42217</c:v>
                </c:pt>
                <c:pt idx="44">
                  <c:v>42248</c:v>
                </c:pt>
                <c:pt idx="45">
                  <c:v>42278</c:v>
                </c:pt>
                <c:pt idx="46">
                  <c:v>42309</c:v>
                </c:pt>
                <c:pt idx="47">
                  <c:v>42339</c:v>
                </c:pt>
                <c:pt idx="48">
                  <c:v>42370</c:v>
                </c:pt>
                <c:pt idx="49">
                  <c:v>42401</c:v>
                </c:pt>
                <c:pt idx="50">
                  <c:v>42430</c:v>
                </c:pt>
                <c:pt idx="51">
                  <c:v>42461</c:v>
                </c:pt>
                <c:pt idx="52">
                  <c:v>42491</c:v>
                </c:pt>
                <c:pt idx="53">
                  <c:v>42522</c:v>
                </c:pt>
                <c:pt idx="54">
                  <c:v>42552</c:v>
                </c:pt>
                <c:pt idx="55">
                  <c:v>42583</c:v>
                </c:pt>
                <c:pt idx="56">
                  <c:v>42614</c:v>
                </c:pt>
                <c:pt idx="57">
                  <c:v>42644</c:v>
                </c:pt>
                <c:pt idx="58">
                  <c:v>42675</c:v>
                </c:pt>
                <c:pt idx="59">
                  <c:v>42705</c:v>
                </c:pt>
                <c:pt idx="60">
                  <c:v>42736</c:v>
                </c:pt>
                <c:pt idx="61">
                  <c:v>42767</c:v>
                </c:pt>
                <c:pt idx="62">
                  <c:v>42795</c:v>
                </c:pt>
                <c:pt idx="63">
                  <c:v>42826</c:v>
                </c:pt>
                <c:pt idx="64">
                  <c:v>42856</c:v>
                </c:pt>
                <c:pt idx="65">
                  <c:v>42887</c:v>
                </c:pt>
                <c:pt idx="66">
                  <c:v>42917</c:v>
                </c:pt>
                <c:pt idx="67">
                  <c:v>42948</c:v>
                </c:pt>
                <c:pt idx="68">
                  <c:v>42979</c:v>
                </c:pt>
                <c:pt idx="69">
                  <c:v>43009</c:v>
                </c:pt>
                <c:pt idx="70">
                  <c:v>43040</c:v>
                </c:pt>
                <c:pt idx="71">
                  <c:v>43070</c:v>
                </c:pt>
                <c:pt idx="72">
                  <c:v>43101</c:v>
                </c:pt>
                <c:pt idx="73">
                  <c:v>43132</c:v>
                </c:pt>
                <c:pt idx="74">
                  <c:v>43160</c:v>
                </c:pt>
                <c:pt idx="75">
                  <c:v>43191</c:v>
                </c:pt>
                <c:pt idx="76">
                  <c:v>43221</c:v>
                </c:pt>
                <c:pt idx="77">
                  <c:v>43252</c:v>
                </c:pt>
                <c:pt idx="78">
                  <c:v>43282</c:v>
                </c:pt>
                <c:pt idx="79">
                  <c:v>43313</c:v>
                </c:pt>
                <c:pt idx="80">
                  <c:v>43344</c:v>
                </c:pt>
                <c:pt idx="81">
                  <c:v>43374</c:v>
                </c:pt>
                <c:pt idx="82">
                  <c:v>43405</c:v>
                </c:pt>
                <c:pt idx="83">
                  <c:v>43435</c:v>
                </c:pt>
                <c:pt idx="84">
                  <c:v>43466</c:v>
                </c:pt>
                <c:pt idx="85">
                  <c:v>43497</c:v>
                </c:pt>
                <c:pt idx="86">
                  <c:v>43525</c:v>
                </c:pt>
                <c:pt idx="87">
                  <c:v>43556</c:v>
                </c:pt>
                <c:pt idx="88">
                  <c:v>43586</c:v>
                </c:pt>
                <c:pt idx="89">
                  <c:v>43617</c:v>
                </c:pt>
              </c:numCache>
            </c:numRef>
          </c:cat>
          <c:val>
            <c:numRef>
              <c:f>'Misc. Data &amp; Mechanisms'!$C$815:$C$905</c:f>
              <c:numCache>
                <c:formatCode>0.00%</c:formatCode>
                <c:ptCount val="91"/>
                <c:pt idx="0">
                  <c:v>7.8141690687474397E-2</c:v>
                </c:pt>
                <c:pt idx="1">
                  <c:v>8.3962001650798035E-2</c:v>
                </c:pt>
                <c:pt idx="2">
                  <c:v>0.11374991933736435</c:v>
                </c:pt>
                <c:pt idx="3">
                  <c:v>0.12076870497977497</c:v>
                </c:pt>
                <c:pt idx="4">
                  <c:v>0.12682066899031411</c:v>
                </c:pt>
                <c:pt idx="5">
                  <c:v>0.11478948731118797</c:v>
                </c:pt>
                <c:pt idx="6">
                  <c:v>0.10619926593453803</c:v>
                </c:pt>
                <c:pt idx="7">
                  <c:v>9.2215382068982193E-2</c:v>
                </c:pt>
                <c:pt idx="8">
                  <c:v>9.5453947372583448E-2</c:v>
                </c:pt>
                <c:pt idx="9">
                  <c:v>0.11129791747603669</c:v>
                </c:pt>
                <c:pt idx="10">
                  <c:v>0.13276074307368882</c:v>
                </c:pt>
                <c:pt idx="11">
                  <c:v>0.12470017765500242</c:v>
                </c:pt>
                <c:pt idx="12">
                  <c:v>0.11705866145372419</c:v>
                </c:pt>
                <c:pt idx="13">
                  <c:v>0.12866396899895677</c:v>
                </c:pt>
                <c:pt idx="14">
                  <c:v>0.13264856979061057</c:v>
                </c:pt>
                <c:pt idx="15">
                  <c:v>0.11505436869960615</c:v>
                </c:pt>
                <c:pt idx="16">
                  <c:v>0.12138368151893539</c:v>
                </c:pt>
                <c:pt idx="17">
                  <c:v>0.11988234648101884</c:v>
                </c:pt>
                <c:pt idx="18">
                  <c:v>9.7334618279738452E-2</c:v>
                </c:pt>
                <c:pt idx="19">
                  <c:v>9.8103377122382637E-2</c:v>
                </c:pt>
                <c:pt idx="20">
                  <c:v>9.8956597612670338E-2</c:v>
                </c:pt>
                <c:pt idx="21">
                  <c:v>0.11213684755827069</c:v>
                </c:pt>
                <c:pt idx="22">
                  <c:v>0.1157151510713349</c:v>
                </c:pt>
                <c:pt idx="23">
                  <c:v>0.11930348741735339</c:v>
                </c:pt>
                <c:pt idx="24">
                  <c:v>0.11123777310484079</c:v>
                </c:pt>
                <c:pt idx="25">
                  <c:v>0.11732225337719726</c:v>
                </c:pt>
                <c:pt idx="26">
                  <c:v>0.11192981947516756</c:v>
                </c:pt>
                <c:pt idx="27">
                  <c:v>0.12169281452682668</c:v>
                </c:pt>
                <c:pt idx="28">
                  <c:v>9.592676831578982E-2</c:v>
                </c:pt>
                <c:pt idx="29">
                  <c:v>0.13641007057160967</c:v>
                </c:pt>
                <c:pt idx="30">
                  <c:v>0.11542856710542788</c:v>
                </c:pt>
                <c:pt idx="31">
                  <c:v>0.10831153636097759</c:v>
                </c:pt>
                <c:pt idx="32">
                  <c:v>0.10623108399411607</c:v>
                </c:pt>
                <c:pt idx="33">
                  <c:v>0.10909853171236099</c:v>
                </c:pt>
                <c:pt idx="34">
                  <c:v>0.13337967951690211</c:v>
                </c:pt>
                <c:pt idx="35">
                  <c:v>0.12367631687333404</c:v>
                </c:pt>
                <c:pt idx="36">
                  <c:v>0.11560834764762906</c:v>
                </c:pt>
                <c:pt idx="37">
                  <c:v>0.12783092899438361</c:v>
                </c:pt>
                <c:pt idx="38">
                  <c:v>0.13479190450174361</c:v>
                </c:pt>
                <c:pt idx="39">
                  <c:v>0.1376522569905255</c:v>
                </c:pt>
                <c:pt idx="40">
                  <c:v>0.14274189624408357</c:v>
                </c:pt>
                <c:pt idx="41">
                  <c:v>0.15438324472379825</c:v>
                </c:pt>
                <c:pt idx="42">
                  <c:v>0.11030671094452561</c:v>
                </c:pt>
                <c:pt idx="43">
                  <c:v>0.11283925489896633</c:v>
                </c:pt>
                <c:pt idx="44">
                  <c:v>0.13523960681177652</c:v>
                </c:pt>
                <c:pt idx="45">
                  <c:v>0.13185624647313429</c:v>
                </c:pt>
                <c:pt idx="46">
                  <c:v>0.14224928932651204</c:v>
                </c:pt>
                <c:pt idx="47">
                  <c:v>0.14318830655725051</c:v>
                </c:pt>
                <c:pt idx="48">
                  <c:v>0.13682496036806097</c:v>
                </c:pt>
                <c:pt idx="49">
                  <c:v>0.13931446454716837</c:v>
                </c:pt>
                <c:pt idx="50">
                  <c:v>0.13885969495988121</c:v>
                </c:pt>
                <c:pt idx="51">
                  <c:v>0.14919422925943121</c:v>
                </c:pt>
                <c:pt idx="52">
                  <c:v>0.15025971056788689</c:v>
                </c:pt>
                <c:pt idx="53">
                  <c:v>0.14758360219395292</c:v>
                </c:pt>
                <c:pt idx="54">
                  <c:v>0.13002620099653747</c:v>
                </c:pt>
                <c:pt idx="55">
                  <c:v>0.13041023418760445</c:v>
                </c:pt>
                <c:pt idx="56">
                  <c:v>0.14406470735385388</c:v>
                </c:pt>
                <c:pt idx="57">
                  <c:v>0.15847584807600915</c:v>
                </c:pt>
                <c:pt idx="58">
                  <c:v>0.17581778503010184</c:v>
                </c:pt>
                <c:pt idx="59">
                  <c:v>0.17992022186087606</c:v>
                </c:pt>
                <c:pt idx="60">
                  <c:v>0.1553252098280454</c:v>
                </c:pt>
                <c:pt idx="61">
                  <c:v>0.16115199813414433</c:v>
                </c:pt>
                <c:pt idx="62">
                  <c:v>0.16593974099028319</c:v>
                </c:pt>
                <c:pt idx="63">
                  <c:v>0.15232597542454288</c:v>
                </c:pt>
                <c:pt idx="64">
                  <c:v>0.1415871122335611</c:v>
                </c:pt>
                <c:pt idx="65">
                  <c:v>0.13614472666947949</c:v>
                </c:pt>
                <c:pt idx="66">
                  <c:v>0.13242989017780868</c:v>
                </c:pt>
                <c:pt idx="67">
                  <c:v>0.13019982406059291</c:v>
                </c:pt>
                <c:pt idx="68">
                  <c:v>0.13516122234605546</c:v>
                </c:pt>
                <c:pt idx="69">
                  <c:v>0.13641623608566866</c:v>
                </c:pt>
                <c:pt idx="70">
                  <c:v>0.14402633058638037</c:v>
                </c:pt>
                <c:pt idx="71">
                  <c:v>0.1432122174789083</c:v>
                </c:pt>
                <c:pt idx="72">
                  <c:v>0.12754600576046118</c:v>
                </c:pt>
                <c:pt idx="73">
                  <c:v>0.12794775850367604</c:v>
                </c:pt>
                <c:pt idx="74">
                  <c:v>0.12501500041450372</c:v>
                </c:pt>
                <c:pt idx="75">
                  <c:v>0.10471044622360222</c:v>
                </c:pt>
                <c:pt idx="76">
                  <c:v>0.11023581375978692</c:v>
                </c:pt>
                <c:pt idx="77">
                  <c:v>0.11421936808090466</c:v>
                </c:pt>
                <c:pt idx="78">
                  <c:v>0.10476759493630006</c:v>
                </c:pt>
                <c:pt idx="79">
                  <c:v>0.10550203541775623</c:v>
                </c:pt>
                <c:pt idx="80">
                  <c:v>0.10546379080139751</c:v>
                </c:pt>
                <c:pt idx="81">
                  <c:v>0.10630472900632106</c:v>
                </c:pt>
                <c:pt idx="82">
                  <c:v>0.10970779560955793</c:v>
                </c:pt>
                <c:pt idx="83">
                  <c:v>0.10719187903662525</c:v>
                </c:pt>
                <c:pt idx="84">
                  <c:v>0.10231844300584922</c:v>
                </c:pt>
                <c:pt idx="85">
                  <c:v>0.10555705431154301</c:v>
                </c:pt>
                <c:pt idx="86">
                  <c:v>0.10705835773547959</c:v>
                </c:pt>
                <c:pt idx="87">
                  <c:v>0.10303610193545655</c:v>
                </c:pt>
                <c:pt idx="88">
                  <c:v>9.9190778866462534E-2</c:v>
                </c:pt>
                <c:pt idx="89">
                  <c:v>9.9298873732901222E-2</c:v>
                </c:pt>
              </c:numCache>
            </c:numRef>
          </c:val>
        </c:ser>
        <c:ser>
          <c:idx val="2"/>
          <c:order val="2"/>
          <c:tx>
            <c:strRef>
              <c:f>'Misc. Data &amp; Mechanisms'!$D$814</c:f>
              <c:strCache>
                <c:ptCount val="1"/>
                <c:pt idx="0">
                  <c:v>Distribution</c:v>
                </c:pt>
              </c:strCache>
            </c:strRef>
          </c:tx>
          <c:spPr>
            <a:solidFill>
              <a:schemeClr val="accent1">
                <a:lumMod val="75000"/>
              </a:schemeClr>
            </a:solidFill>
          </c:spPr>
          <c:cat>
            <c:numRef>
              <c:f>'Misc. Data &amp; Mechanisms'!$A$815:$A$905</c:f>
              <c:numCache>
                <c:formatCode>[$-409]mmm-yy;@</c:formatCode>
                <c:ptCount val="91"/>
                <c:pt idx="0">
                  <c:v>40909</c:v>
                </c:pt>
                <c:pt idx="1">
                  <c:v>40940</c:v>
                </c:pt>
                <c:pt idx="2">
                  <c:v>40969</c:v>
                </c:pt>
                <c:pt idx="3">
                  <c:v>41000</c:v>
                </c:pt>
                <c:pt idx="4">
                  <c:v>41030</c:v>
                </c:pt>
                <c:pt idx="5">
                  <c:v>41061</c:v>
                </c:pt>
                <c:pt idx="6">
                  <c:v>41091</c:v>
                </c:pt>
                <c:pt idx="7">
                  <c:v>41122</c:v>
                </c:pt>
                <c:pt idx="8">
                  <c:v>41153</c:v>
                </c:pt>
                <c:pt idx="9">
                  <c:v>41183</c:v>
                </c:pt>
                <c:pt idx="10">
                  <c:v>41214</c:v>
                </c:pt>
                <c:pt idx="11">
                  <c:v>41244</c:v>
                </c:pt>
                <c:pt idx="12">
                  <c:v>41275</c:v>
                </c:pt>
                <c:pt idx="13">
                  <c:v>41306</c:v>
                </c:pt>
                <c:pt idx="14">
                  <c:v>41334</c:v>
                </c:pt>
                <c:pt idx="15">
                  <c:v>41365</c:v>
                </c:pt>
                <c:pt idx="16">
                  <c:v>41395</c:v>
                </c:pt>
                <c:pt idx="17">
                  <c:v>41426</c:v>
                </c:pt>
                <c:pt idx="18">
                  <c:v>41456</c:v>
                </c:pt>
                <c:pt idx="19">
                  <c:v>41487</c:v>
                </c:pt>
                <c:pt idx="20">
                  <c:v>41518</c:v>
                </c:pt>
                <c:pt idx="21">
                  <c:v>41548</c:v>
                </c:pt>
                <c:pt idx="22">
                  <c:v>41579</c:v>
                </c:pt>
                <c:pt idx="23">
                  <c:v>41609</c:v>
                </c:pt>
                <c:pt idx="24">
                  <c:v>41640</c:v>
                </c:pt>
                <c:pt idx="25">
                  <c:v>41671</c:v>
                </c:pt>
                <c:pt idx="26">
                  <c:v>41699</c:v>
                </c:pt>
                <c:pt idx="27">
                  <c:v>41730</c:v>
                </c:pt>
                <c:pt idx="28">
                  <c:v>41760</c:v>
                </c:pt>
                <c:pt idx="29">
                  <c:v>41791</c:v>
                </c:pt>
                <c:pt idx="30">
                  <c:v>41821</c:v>
                </c:pt>
                <c:pt idx="31">
                  <c:v>41852</c:v>
                </c:pt>
                <c:pt idx="32">
                  <c:v>41883</c:v>
                </c:pt>
                <c:pt idx="33">
                  <c:v>41913</c:v>
                </c:pt>
                <c:pt idx="34">
                  <c:v>41944</c:v>
                </c:pt>
                <c:pt idx="35">
                  <c:v>41974</c:v>
                </c:pt>
                <c:pt idx="36">
                  <c:v>42005</c:v>
                </c:pt>
                <c:pt idx="37">
                  <c:v>42036</c:v>
                </c:pt>
                <c:pt idx="38">
                  <c:v>42064</c:v>
                </c:pt>
                <c:pt idx="39">
                  <c:v>42095</c:v>
                </c:pt>
                <c:pt idx="40">
                  <c:v>42125</c:v>
                </c:pt>
                <c:pt idx="41">
                  <c:v>42156</c:v>
                </c:pt>
                <c:pt idx="42">
                  <c:v>42186</c:v>
                </c:pt>
                <c:pt idx="43">
                  <c:v>42217</c:v>
                </c:pt>
                <c:pt idx="44">
                  <c:v>42248</c:v>
                </c:pt>
                <c:pt idx="45">
                  <c:v>42278</c:v>
                </c:pt>
                <c:pt idx="46">
                  <c:v>42309</c:v>
                </c:pt>
                <c:pt idx="47">
                  <c:v>42339</c:v>
                </c:pt>
                <c:pt idx="48">
                  <c:v>42370</c:v>
                </c:pt>
                <c:pt idx="49">
                  <c:v>42401</c:v>
                </c:pt>
                <c:pt idx="50">
                  <c:v>42430</c:v>
                </c:pt>
                <c:pt idx="51">
                  <c:v>42461</c:v>
                </c:pt>
                <c:pt idx="52">
                  <c:v>42491</c:v>
                </c:pt>
                <c:pt idx="53">
                  <c:v>42522</c:v>
                </c:pt>
                <c:pt idx="54">
                  <c:v>42552</c:v>
                </c:pt>
                <c:pt idx="55">
                  <c:v>42583</c:v>
                </c:pt>
                <c:pt idx="56">
                  <c:v>42614</c:v>
                </c:pt>
                <c:pt idx="57">
                  <c:v>42644</c:v>
                </c:pt>
                <c:pt idx="58">
                  <c:v>42675</c:v>
                </c:pt>
                <c:pt idx="59">
                  <c:v>42705</c:v>
                </c:pt>
                <c:pt idx="60">
                  <c:v>42736</c:v>
                </c:pt>
                <c:pt idx="61">
                  <c:v>42767</c:v>
                </c:pt>
                <c:pt idx="62">
                  <c:v>42795</c:v>
                </c:pt>
                <c:pt idx="63">
                  <c:v>42826</c:v>
                </c:pt>
                <c:pt idx="64">
                  <c:v>42856</c:v>
                </c:pt>
                <c:pt idx="65">
                  <c:v>42887</c:v>
                </c:pt>
                <c:pt idx="66">
                  <c:v>42917</c:v>
                </c:pt>
                <c:pt idx="67">
                  <c:v>42948</c:v>
                </c:pt>
                <c:pt idx="68">
                  <c:v>42979</c:v>
                </c:pt>
                <c:pt idx="69">
                  <c:v>43009</c:v>
                </c:pt>
                <c:pt idx="70">
                  <c:v>43040</c:v>
                </c:pt>
                <c:pt idx="71">
                  <c:v>43070</c:v>
                </c:pt>
                <c:pt idx="72">
                  <c:v>43101</c:v>
                </c:pt>
                <c:pt idx="73">
                  <c:v>43132</c:v>
                </c:pt>
                <c:pt idx="74">
                  <c:v>43160</c:v>
                </c:pt>
                <c:pt idx="75">
                  <c:v>43191</c:v>
                </c:pt>
                <c:pt idx="76">
                  <c:v>43221</c:v>
                </c:pt>
                <c:pt idx="77">
                  <c:v>43252</c:v>
                </c:pt>
                <c:pt idx="78">
                  <c:v>43282</c:v>
                </c:pt>
                <c:pt idx="79">
                  <c:v>43313</c:v>
                </c:pt>
                <c:pt idx="80">
                  <c:v>43344</c:v>
                </c:pt>
                <c:pt idx="81">
                  <c:v>43374</c:v>
                </c:pt>
                <c:pt idx="82">
                  <c:v>43405</c:v>
                </c:pt>
                <c:pt idx="83">
                  <c:v>43435</c:v>
                </c:pt>
                <c:pt idx="84">
                  <c:v>43466</c:v>
                </c:pt>
                <c:pt idx="85">
                  <c:v>43497</c:v>
                </c:pt>
                <c:pt idx="86">
                  <c:v>43525</c:v>
                </c:pt>
                <c:pt idx="87">
                  <c:v>43556</c:v>
                </c:pt>
                <c:pt idx="88">
                  <c:v>43586</c:v>
                </c:pt>
                <c:pt idx="89">
                  <c:v>43617</c:v>
                </c:pt>
              </c:numCache>
            </c:numRef>
          </c:cat>
          <c:val>
            <c:numRef>
              <c:f>'Misc. Data &amp; Mechanisms'!$D$815:$D$905</c:f>
              <c:numCache>
                <c:formatCode>0.00%</c:formatCode>
                <c:ptCount val="91"/>
                <c:pt idx="0">
                  <c:v>8.8458665635838776E-2</c:v>
                </c:pt>
                <c:pt idx="1">
                  <c:v>9.8098701428137189E-2</c:v>
                </c:pt>
                <c:pt idx="2">
                  <c:v>0.14264373493943636</c:v>
                </c:pt>
                <c:pt idx="3">
                  <c:v>0.15874323944408303</c:v>
                </c:pt>
                <c:pt idx="4">
                  <c:v>0.17342253186262518</c:v>
                </c:pt>
                <c:pt idx="5">
                  <c:v>0.15896175891774619</c:v>
                </c:pt>
                <c:pt idx="6">
                  <c:v>0.14087544862129067</c:v>
                </c:pt>
                <c:pt idx="7">
                  <c:v>0.12528328250420229</c:v>
                </c:pt>
                <c:pt idx="8">
                  <c:v>0.12779449463902753</c:v>
                </c:pt>
                <c:pt idx="9">
                  <c:v>0.13650505043805641</c:v>
                </c:pt>
                <c:pt idx="10">
                  <c:v>0.15434488874832278</c:v>
                </c:pt>
                <c:pt idx="11">
                  <c:v>0.13425161232603136</c:v>
                </c:pt>
                <c:pt idx="12">
                  <c:v>0.13395217606911916</c:v>
                </c:pt>
                <c:pt idx="13">
                  <c:v>0.1540637749565866</c:v>
                </c:pt>
                <c:pt idx="14">
                  <c:v>0.16167599243202696</c:v>
                </c:pt>
                <c:pt idx="15">
                  <c:v>0.14582006863893585</c:v>
                </c:pt>
                <c:pt idx="16">
                  <c:v>0.17013083465692611</c:v>
                </c:pt>
                <c:pt idx="17">
                  <c:v>0.16277190734246949</c:v>
                </c:pt>
                <c:pt idx="18">
                  <c:v>0.13294305478249269</c:v>
                </c:pt>
                <c:pt idx="19">
                  <c:v>0.13224884938617756</c:v>
                </c:pt>
                <c:pt idx="20">
                  <c:v>0.13094753517511581</c:v>
                </c:pt>
                <c:pt idx="21">
                  <c:v>0.14174544052167903</c:v>
                </c:pt>
                <c:pt idx="22">
                  <c:v>0.13508318691543256</c:v>
                </c:pt>
                <c:pt idx="23">
                  <c:v>0.12772176910453908</c:v>
                </c:pt>
                <c:pt idx="24">
                  <c:v>0.15727067854230428</c:v>
                </c:pt>
                <c:pt idx="25">
                  <c:v>0.1592883528946703</c:v>
                </c:pt>
                <c:pt idx="26">
                  <c:v>0.15943400041229375</c:v>
                </c:pt>
                <c:pt idx="27">
                  <c:v>0.19542504652178949</c:v>
                </c:pt>
                <c:pt idx="28">
                  <c:v>0.15868226707952518</c:v>
                </c:pt>
                <c:pt idx="29">
                  <c:v>0.23189373876053265</c:v>
                </c:pt>
                <c:pt idx="30">
                  <c:v>0.18957532984583006</c:v>
                </c:pt>
                <c:pt idx="31">
                  <c:v>0.17831066755593133</c:v>
                </c:pt>
                <c:pt idx="32">
                  <c:v>0.17282459115423321</c:v>
                </c:pt>
                <c:pt idx="33">
                  <c:v>0.17294306237427284</c:v>
                </c:pt>
                <c:pt idx="34">
                  <c:v>0.18410350583832891</c:v>
                </c:pt>
                <c:pt idx="35">
                  <c:v>0.17086230155340615</c:v>
                </c:pt>
                <c:pt idx="36">
                  <c:v>0.16993055213477476</c:v>
                </c:pt>
                <c:pt idx="37">
                  <c:v>0.1918799961364572</c:v>
                </c:pt>
                <c:pt idx="38">
                  <c:v>0.21673760037591816</c:v>
                </c:pt>
                <c:pt idx="39">
                  <c:v>0.23267380993762582</c:v>
                </c:pt>
                <c:pt idx="40">
                  <c:v>0.24951843933842757</c:v>
                </c:pt>
                <c:pt idx="41">
                  <c:v>0.26094751119053755</c:v>
                </c:pt>
                <c:pt idx="42">
                  <c:v>0.18818659578531377</c:v>
                </c:pt>
                <c:pt idx="43">
                  <c:v>0.19174683361009093</c:v>
                </c:pt>
                <c:pt idx="44">
                  <c:v>0.23349067322569733</c:v>
                </c:pt>
                <c:pt idx="45">
                  <c:v>0.21736520785347779</c:v>
                </c:pt>
                <c:pt idx="46">
                  <c:v>0.21594847757976565</c:v>
                </c:pt>
                <c:pt idx="47">
                  <c:v>0.20409337336704633</c:v>
                </c:pt>
                <c:pt idx="48">
                  <c:v>0.20616088574327895</c:v>
                </c:pt>
                <c:pt idx="49">
                  <c:v>0.21883236661093805</c:v>
                </c:pt>
                <c:pt idx="50">
                  <c:v>0.22993582022800751</c:v>
                </c:pt>
                <c:pt idx="51">
                  <c:v>0.26212892404100796</c:v>
                </c:pt>
                <c:pt idx="52">
                  <c:v>0.26223574698121571</c:v>
                </c:pt>
                <c:pt idx="53">
                  <c:v>0.2597099902348195</c:v>
                </c:pt>
                <c:pt idx="54">
                  <c:v>0.22800955303134038</c:v>
                </c:pt>
                <c:pt idx="55">
                  <c:v>0.23223236955269708</c:v>
                </c:pt>
                <c:pt idx="56">
                  <c:v>0.25592002245310108</c:v>
                </c:pt>
                <c:pt idx="57">
                  <c:v>0.25806685092293991</c:v>
                </c:pt>
                <c:pt idx="58">
                  <c:v>0.28143043891769887</c:v>
                </c:pt>
                <c:pt idx="59">
                  <c:v>0.243690918651192</c:v>
                </c:pt>
                <c:pt idx="60">
                  <c:v>0.27092904697200038</c:v>
                </c:pt>
                <c:pt idx="61">
                  <c:v>0.28689948451941505</c:v>
                </c:pt>
                <c:pt idx="62">
                  <c:v>0.30906486818354134</c:v>
                </c:pt>
                <c:pt idx="63">
                  <c:v>0.30330749318651812</c:v>
                </c:pt>
                <c:pt idx="64">
                  <c:v>0.29846179736340434</c:v>
                </c:pt>
                <c:pt idx="65">
                  <c:v>0.290039061374121</c:v>
                </c:pt>
                <c:pt idx="66">
                  <c:v>0.25877679523124347</c:v>
                </c:pt>
                <c:pt idx="67">
                  <c:v>0.27019663198122418</c:v>
                </c:pt>
                <c:pt idx="68">
                  <c:v>0.27384460778540393</c:v>
                </c:pt>
                <c:pt idx="69">
                  <c:v>0.26732144082138826</c:v>
                </c:pt>
                <c:pt idx="70">
                  <c:v>0.25811401785432331</c:v>
                </c:pt>
                <c:pt idx="71">
                  <c:v>0.24179008179972686</c:v>
                </c:pt>
                <c:pt idx="72">
                  <c:v>0.22538656360730333</c:v>
                </c:pt>
                <c:pt idx="73">
                  <c:v>0.22072637037810891</c:v>
                </c:pt>
                <c:pt idx="74">
                  <c:v>0.23340577588378583</c:v>
                </c:pt>
                <c:pt idx="75">
                  <c:v>0.21109948673463894</c:v>
                </c:pt>
                <c:pt idx="76">
                  <c:v>0.23883151177365414</c:v>
                </c:pt>
                <c:pt idx="77">
                  <c:v>0.24652206706686799</c:v>
                </c:pt>
                <c:pt idx="78">
                  <c:v>0.22018009623891821</c:v>
                </c:pt>
                <c:pt idx="79">
                  <c:v>0.2174131559675441</c:v>
                </c:pt>
                <c:pt idx="80">
                  <c:v>0.2175572392143667</c:v>
                </c:pt>
                <c:pt idx="81">
                  <c:v>0.21444817217287357</c:v>
                </c:pt>
                <c:pt idx="82">
                  <c:v>0.20572460325153094</c:v>
                </c:pt>
                <c:pt idx="83">
                  <c:v>0.19549466158271198</c:v>
                </c:pt>
                <c:pt idx="84">
                  <c:v>0.19556964506628541</c:v>
                </c:pt>
                <c:pt idx="85">
                  <c:v>0.18206417483042528</c:v>
                </c:pt>
                <c:pt idx="86">
                  <c:v>0.21118316077628912</c:v>
                </c:pt>
                <c:pt idx="87">
                  <c:v>0.2170578345411811</c:v>
                </c:pt>
                <c:pt idx="88">
                  <c:v>0.22022961053135634</c:v>
                </c:pt>
                <c:pt idx="89">
                  <c:v>0.21975446190469355</c:v>
                </c:pt>
              </c:numCache>
            </c:numRef>
          </c:val>
        </c:ser>
        <c:ser>
          <c:idx val="3"/>
          <c:order val="3"/>
          <c:tx>
            <c:strRef>
              <c:f>'Misc. Data &amp; Mechanisms'!$E$814</c:f>
              <c:strCache>
                <c:ptCount val="1"/>
                <c:pt idx="0">
                  <c:v>Local Access and Franchise Fees</c:v>
                </c:pt>
              </c:strCache>
            </c:strRef>
          </c:tx>
          <c:spPr>
            <a:solidFill>
              <a:schemeClr val="accent3">
                <a:lumMod val="75000"/>
              </a:schemeClr>
            </a:solidFill>
          </c:spPr>
          <c:cat>
            <c:numRef>
              <c:f>'Misc. Data &amp; Mechanisms'!$A$815:$A$905</c:f>
              <c:numCache>
                <c:formatCode>[$-409]mmm-yy;@</c:formatCode>
                <c:ptCount val="91"/>
                <c:pt idx="0">
                  <c:v>40909</c:v>
                </c:pt>
                <c:pt idx="1">
                  <c:v>40940</c:v>
                </c:pt>
                <c:pt idx="2">
                  <c:v>40969</c:v>
                </c:pt>
                <c:pt idx="3">
                  <c:v>41000</c:v>
                </c:pt>
                <c:pt idx="4">
                  <c:v>41030</c:v>
                </c:pt>
                <c:pt idx="5">
                  <c:v>41061</c:v>
                </c:pt>
                <c:pt idx="6">
                  <c:v>41091</c:v>
                </c:pt>
                <c:pt idx="7">
                  <c:v>41122</c:v>
                </c:pt>
                <c:pt idx="8">
                  <c:v>41153</c:v>
                </c:pt>
                <c:pt idx="9">
                  <c:v>41183</c:v>
                </c:pt>
                <c:pt idx="10">
                  <c:v>41214</c:v>
                </c:pt>
                <c:pt idx="11">
                  <c:v>41244</c:v>
                </c:pt>
                <c:pt idx="12">
                  <c:v>41275</c:v>
                </c:pt>
                <c:pt idx="13">
                  <c:v>41306</c:v>
                </c:pt>
                <c:pt idx="14">
                  <c:v>41334</c:v>
                </c:pt>
                <c:pt idx="15">
                  <c:v>41365</c:v>
                </c:pt>
                <c:pt idx="16">
                  <c:v>41395</c:v>
                </c:pt>
                <c:pt idx="17">
                  <c:v>41426</c:v>
                </c:pt>
                <c:pt idx="18">
                  <c:v>41456</c:v>
                </c:pt>
                <c:pt idx="19">
                  <c:v>41487</c:v>
                </c:pt>
                <c:pt idx="20">
                  <c:v>41518</c:v>
                </c:pt>
                <c:pt idx="21">
                  <c:v>41548</c:v>
                </c:pt>
                <c:pt idx="22">
                  <c:v>41579</c:v>
                </c:pt>
                <c:pt idx="23">
                  <c:v>41609</c:v>
                </c:pt>
                <c:pt idx="24">
                  <c:v>41640</c:v>
                </c:pt>
                <c:pt idx="25">
                  <c:v>41671</c:v>
                </c:pt>
                <c:pt idx="26">
                  <c:v>41699</c:v>
                </c:pt>
                <c:pt idx="27">
                  <c:v>41730</c:v>
                </c:pt>
                <c:pt idx="28">
                  <c:v>41760</c:v>
                </c:pt>
                <c:pt idx="29">
                  <c:v>41791</c:v>
                </c:pt>
                <c:pt idx="30">
                  <c:v>41821</c:v>
                </c:pt>
                <c:pt idx="31">
                  <c:v>41852</c:v>
                </c:pt>
                <c:pt idx="32">
                  <c:v>41883</c:v>
                </c:pt>
                <c:pt idx="33">
                  <c:v>41913</c:v>
                </c:pt>
                <c:pt idx="34">
                  <c:v>41944</c:v>
                </c:pt>
                <c:pt idx="35">
                  <c:v>41974</c:v>
                </c:pt>
                <c:pt idx="36">
                  <c:v>42005</c:v>
                </c:pt>
                <c:pt idx="37">
                  <c:v>42036</c:v>
                </c:pt>
                <c:pt idx="38">
                  <c:v>42064</c:v>
                </c:pt>
                <c:pt idx="39">
                  <c:v>42095</c:v>
                </c:pt>
                <c:pt idx="40">
                  <c:v>42125</c:v>
                </c:pt>
                <c:pt idx="41">
                  <c:v>42156</c:v>
                </c:pt>
                <c:pt idx="42">
                  <c:v>42186</c:v>
                </c:pt>
                <c:pt idx="43">
                  <c:v>42217</c:v>
                </c:pt>
                <c:pt idx="44">
                  <c:v>42248</c:v>
                </c:pt>
                <c:pt idx="45">
                  <c:v>42278</c:v>
                </c:pt>
                <c:pt idx="46">
                  <c:v>42309</c:v>
                </c:pt>
                <c:pt idx="47">
                  <c:v>42339</c:v>
                </c:pt>
                <c:pt idx="48">
                  <c:v>42370</c:v>
                </c:pt>
                <c:pt idx="49">
                  <c:v>42401</c:v>
                </c:pt>
                <c:pt idx="50">
                  <c:v>42430</c:v>
                </c:pt>
                <c:pt idx="51">
                  <c:v>42461</c:v>
                </c:pt>
                <c:pt idx="52">
                  <c:v>42491</c:v>
                </c:pt>
                <c:pt idx="53">
                  <c:v>42522</c:v>
                </c:pt>
                <c:pt idx="54">
                  <c:v>42552</c:v>
                </c:pt>
                <c:pt idx="55">
                  <c:v>42583</c:v>
                </c:pt>
                <c:pt idx="56">
                  <c:v>42614</c:v>
                </c:pt>
                <c:pt idx="57">
                  <c:v>42644</c:v>
                </c:pt>
                <c:pt idx="58">
                  <c:v>42675</c:v>
                </c:pt>
                <c:pt idx="59">
                  <c:v>42705</c:v>
                </c:pt>
                <c:pt idx="60">
                  <c:v>42736</c:v>
                </c:pt>
                <c:pt idx="61">
                  <c:v>42767</c:v>
                </c:pt>
                <c:pt idx="62">
                  <c:v>42795</c:v>
                </c:pt>
                <c:pt idx="63">
                  <c:v>42826</c:v>
                </c:pt>
                <c:pt idx="64">
                  <c:v>42856</c:v>
                </c:pt>
                <c:pt idx="65">
                  <c:v>42887</c:v>
                </c:pt>
                <c:pt idx="66">
                  <c:v>42917</c:v>
                </c:pt>
                <c:pt idx="67">
                  <c:v>42948</c:v>
                </c:pt>
                <c:pt idx="68">
                  <c:v>42979</c:v>
                </c:pt>
                <c:pt idx="69">
                  <c:v>43009</c:v>
                </c:pt>
                <c:pt idx="70">
                  <c:v>43040</c:v>
                </c:pt>
                <c:pt idx="71">
                  <c:v>43070</c:v>
                </c:pt>
                <c:pt idx="72">
                  <c:v>43101</c:v>
                </c:pt>
                <c:pt idx="73">
                  <c:v>43132</c:v>
                </c:pt>
                <c:pt idx="74">
                  <c:v>43160</c:v>
                </c:pt>
                <c:pt idx="75">
                  <c:v>43191</c:v>
                </c:pt>
                <c:pt idx="76">
                  <c:v>43221</c:v>
                </c:pt>
                <c:pt idx="77">
                  <c:v>43252</c:v>
                </c:pt>
                <c:pt idx="78">
                  <c:v>43282</c:v>
                </c:pt>
                <c:pt idx="79">
                  <c:v>43313</c:v>
                </c:pt>
                <c:pt idx="80">
                  <c:v>43344</c:v>
                </c:pt>
                <c:pt idx="81">
                  <c:v>43374</c:v>
                </c:pt>
                <c:pt idx="82">
                  <c:v>43405</c:v>
                </c:pt>
                <c:pt idx="83">
                  <c:v>43435</c:v>
                </c:pt>
                <c:pt idx="84">
                  <c:v>43466</c:v>
                </c:pt>
                <c:pt idx="85">
                  <c:v>43497</c:v>
                </c:pt>
                <c:pt idx="86">
                  <c:v>43525</c:v>
                </c:pt>
                <c:pt idx="87">
                  <c:v>43556</c:v>
                </c:pt>
                <c:pt idx="88">
                  <c:v>43586</c:v>
                </c:pt>
                <c:pt idx="89">
                  <c:v>43617</c:v>
                </c:pt>
              </c:numCache>
            </c:numRef>
          </c:cat>
          <c:val>
            <c:numRef>
              <c:f>'Misc. Data &amp; Mechanisms'!$E$815:$E$905</c:f>
              <c:numCache>
                <c:formatCode>0.00%</c:formatCode>
                <c:ptCount val="91"/>
                <c:pt idx="0">
                  <c:v>9.1114341339984445E-2</c:v>
                </c:pt>
                <c:pt idx="1">
                  <c:v>9.0600221016551366E-2</c:v>
                </c:pt>
                <c:pt idx="2">
                  <c:v>8.829502972001782E-2</c:v>
                </c:pt>
                <c:pt idx="3">
                  <c:v>8.7370608754657977E-2</c:v>
                </c:pt>
                <c:pt idx="4">
                  <c:v>8.6519266657343261E-2</c:v>
                </c:pt>
                <c:pt idx="5">
                  <c:v>8.7210094881756323E-2</c:v>
                </c:pt>
                <c:pt idx="6">
                  <c:v>8.8231417397247838E-2</c:v>
                </c:pt>
                <c:pt idx="7">
                  <c:v>8.8951658833594946E-2</c:v>
                </c:pt>
                <c:pt idx="8">
                  <c:v>8.8859686492026774E-2</c:v>
                </c:pt>
                <c:pt idx="9">
                  <c:v>8.8652970298845918E-2</c:v>
                </c:pt>
                <c:pt idx="10">
                  <c:v>8.7961977581820991E-2</c:v>
                </c:pt>
                <c:pt idx="11">
                  <c:v>8.9132753234783674E-2</c:v>
                </c:pt>
                <c:pt idx="12">
                  <c:v>8.896698893980616E-2</c:v>
                </c:pt>
                <c:pt idx="13">
                  <c:v>8.7881312030608671E-2</c:v>
                </c:pt>
                <c:pt idx="14">
                  <c:v>8.746044630980096E-2</c:v>
                </c:pt>
                <c:pt idx="15">
                  <c:v>8.8110690773282235E-2</c:v>
                </c:pt>
                <c:pt idx="16">
                  <c:v>8.6610791450323549E-2</c:v>
                </c:pt>
                <c:pt idx="17">
                  <c:v>8.7074912809101082E-2</c:v>
                </c:pt>
                <c:pt idx="18">
                  <c:v>8.8555195811525697E-2</c:v>
                </c:pt>
                <c:pt idx="19">
                  <c:v>8.8621154636018037E-2</c:v>
                </c:pt>
                <c:pt idx="20">
                  <c:v>8.873047774177388E-2</c:v>
                </c:pt>
                <c:pt idx="21">
                  <c:v>8.831685615420104E-2</c:v>
                </c:pt>
                <c:pt idx="22">
                  <c:v>8.8857310221978486E-2</c:v>
                </c:pt>
                <c:pt idx="23">
                  <c:v>8.9445578910807219E-2</c:v>
                </c:pt>
                <c:pt idx="24">
                  <c:v>8.9139215131268629E-2</c:v>
                </c:pt>
                <c:pt idx="25">
                  <c:v>8.9177415575366986E-2</c:v>
                </c:pt>
                <c:pt idx="26">
                  <c:v>8.9034506519746523E-2</c:v>
                </c:pt>
                <c:pt idx="27">
                  <c:v>8.7248750126902919E-2</c:v>
                </c:pt>
                <c:pt idx="28">
                  <c:v>8.8677164219750235E-2</c:v>
                </c:pt>
                <c:pt idx="29">
                  <c:v>8.5559808782906657E-2</c:v>
                </c:pt>
                <c:pt idx="30">
                  <c:v>8.7422157537513034E-2</c:v>
                </c:pt>
                <c:pt idx="31">
                  <c:v>8.7879625546405465E-2</c:v>
                </c:pt>
                <c:pt idx="32">
                  <c:v>8.8137031886102696E-2</c:v>
                </c:pt>
                <c:pt idx="33">
                  <c:v>8.8201975935317381E-2</c:v>
                </c:pt>
                <c:pt idx="34">
                  <c:v>8.8179121293004828E-2</c:v>
                </c:pt>
                <c:pt idx="35">
                  <c:v>8.8683448275090782E-2</c:v>
                </c:pt>
                <c:pt idx="36">
                  <c:v>8.8956481257996253E-2</c:v>
                </c:pt>
                <c:pt idx="37">
                  <c:v>8.8079843488884743E-2</c:v>
                </c:pt>
                <c:pt idx="38">
                  <c:v>8.6918557094843515E-2</c:v>
                </c:pt>
                <c:pt idx="39">
                  <c:v>8.6134819200881146E-2</c:v>
                </c:pt>
                <c:pt idx="40">
                  <c:v>8.535700270671702E-2</c:v>
                </c:pt>
                <c:pt idx="41">
                  <c:v>8.502975999638708E-2</c:v>
                </c:pt>
                <c:pt idx="42">
                  <c:v>8.7848590791116316E-2</c:v>
                </c:pt>
                <c:pt idx="43">
                  <c:v>8.7719867307649385E-2</c:v>
                </c:pt>
                <c:pt idx="44">
                  <c:v>8.6031975767767929E-2</c:v>
                </c:pt>
                <c:pt idx="45">
                  <c:v>8.6813045810903169E-2</c:v>
                </c:pt>
                <c:pt idx="46">
                  <c:v>8.7143447856250333E-2</c:v>
                </c:pt>
                <c:pt idx="47">
                  <c:v>8.7801578374690117E-2</c:v>
                </c:pt>
                <c:pt idx="48">
                  <c:v>8.753498839507165E-2</c:v>
                </c:pt>
                <c:pt idx="49">
                  <c:v>8.6917076879401575E-2</c:v>
                </c:pt>
                <c:pt idx="50">
                  <c:v>8.6311074049465503E-2</c:v>
                </c:pt>
                <c:pt idx="51">
                  <c:v>8.4839399284790881E-2</c:v>
                </c:pt>
                <c:pt idx="52">
                  <c:v>8.4859767351341903E-2</c:v>
                </c:pt>
                <c:pt idx="53">
                  <c:v>8.4929553046470541E-2</c:v>
                </c:pt>
                <c:pt idx="54">
                  <c:v>8.6197962450208651E-2</c:v>
                </c:pt>
                <c:pt idx="55">
                  <c:v>8.5981129462298161E-2</c:v>
                </c:pt>
                <c:pt idx="56">
                  <c:v>8.5046430911995596E-2</c:v>
                </c:pt>
                <c:pt idx="57">
                  <c:v>8.5284309229144789E-2</c:v>
                </c:pt>
                <c:pt idx="58">
                  <c:v>8.5524620860544104E-2</c:v>
                </c:pt>
                <c:pt idx="59">
                  <c:v>8.7436681780721226E-2</c:v>
                </c:pt>
                <c:pt idx="60">
                  <c:v>8.7347776268751662E-2</c:v>
                </c:pt>
                <c:pt idx="61">
                  <c:v>8.6812160971664332E-2</c:v>
                </c:pt>
                <c:pt idx="62">
                  <c:v>8.5998407296003263E-2</c:v>
                </c:pt>
                <c:pt idx="63">
                  <c:v>8.59459229276099E-2</c:v>
                </c:pt>
                <c:pt idx="64">
                  <c:v>8.591708913759652E-2</c:v>
                </c:pt>
                <c:pt idx="65">
                  <c:v>8.6149032025004665E-2</c:v>
                </c:pt>
                <c:pt idx="66">
                  <c:v>8.7361554581883855E-2</c:v>
                </c:pt>
                <c:pt idx="67">
                  <c:v>8.6842118990149972E-2</c:v>
                </c:pt>
                <c:pt idx="68">
                  <c:v>8.6797210208069325E-2</c:v>
                </c:pt>
                <c:pt idx="69">
                  <c:v>8.70935172710188E-2</c:v>
                </c:pt>
                <c:pt idx="70">
                  <c:v>8.7636290941548442E-2</c:v>
                </c:pt>
                <c:pt idx="71">
                  <c:v>8.8293432440335218E-2</c:v>
                </c:pt>
                <c:pt idx="72">
                  <c:v>8.8637069233566623E-2</c:v>
                </c:pt>
                <c:pt idx="73">
                  <c:v>8.883819813553237E-2</c:v>
                </c:pt>
                <c:pt idx="74">
                  <c:v>8.8251728742083341E-2</c:v>
                </c:pt>
                <c:pt idx="75">
                  <c:v>8.8920987476295191E-2</c:v>
                </c:pt>
                <c:pt idx="76">
                  <c:v>8.7906560365709957E-2</c:v>
                </c:pt>
                <c:pt idx="77">
                  <c:v>8.7680543721208551E-2</c:v>
                </c:pt>
                <c:pt idx="78">
                  <c:v>8.8549295017970028E-2</c:v>
                </c:pt>
                <c:pt idx="79">
                  <c:v>8.8679514810469345E-2</c:v>
                </c:pt>
                <c:pt idx="80">
                  <c:v>8.8672733857986213E-2</c:v>
                </c:pt>
                <c:pt idx="81">
                  <c:v>8.8819408941993652E-2</c:v>
                </c:pt>
                <c:pt idx="82">
                  <c:v>8.9254498835621615E-2</c:v>
                </c:pt>
                <c:pt idx="83">
                  <c:v>8.9617929587522613E-2</c:v>
                </c:pt>
                <c:pt idx="84">
                  <c:v>8.9661548091280713E-2</c:v>
                </c:pt>
                <c:pt idx="85">
                  <c:v>9.0265833906407342E-2</c:v>
                </c:pt>
                <c:pt idx="86">
                  <c:v>8.9143891849068721E-2</c:v>
                </c:pt>
                <c:pt idx="87">
                  <c:v>8.8825294571475921E-2</c:v>
                </c:pt>
                <c:pt idx="88">
                  <c:v>8.8617584716391071E-2</c:v>
                </c:pt>
                <c:pt idx="89">
                  <c:v>8.863871998184468E-2</c:v>
                </c:pt>
              </c:numCache>
            </c:numRef>
          </c:val>
        </c:ser>
        <c:ser>
          <c:idx val="5"/>
          <c:order val="4"/>
          <c:tx>
            <c:strRef>
              <c:f>'Misc. Data &amp; Mechanisms'!$G$814</c:f>
              <c:strCache>
                <c:ptCount val="1"/>
                <c:pt idx="0">
                  <c:v>Administration</c:v>
                </c:pt>
              </c:strCache>
            </c:strRef>
          </c:tx>
          <c:spPr>
            <a:solidFill>
              <a:schemeClr val="accent6">
                <a:lumMod val="75000"/>
              </a:schemeClr>
            </a:solidFill>
          </c:spPr>
          <c:cat>
            <c:numRef>
              <c:f>'Misc. Data &amp; Mechanisms'!$A$815:$A$905</c:f>
              <c:numCache>
                <c:formatCode>[$-409]mmm-yy;@</c:formatCode>
                <c:ptCount val="91"/>
                <c:pt idx="0">
                  <c:v>40909</c:v>
                </c:pt>
                <c:pt idx="1">
                  <c:v>40940</c:v>
                </c:pt>
                <c:pt idx="2">
                  <c:v>40969</c:v>
                </c:pt>
                <c:pt idx="3">
                  <c:v>41000</c:v>
                </c:pt>
                <c:pt idx="4">
                  <c:v>41030</c:v>
                </c:pt>
                <c:pt idx="5">
                  <c:v>41061</c:v>
                </c:pt>
                <c:pt idx="6">
                  <c:v>41091</c:v>
                </c:pt>
                <c:pt idx="7">
                  <c:v>41122</c:v>
                </c:pt>
                <c:pt idx="8">
                  <c:v>41153</c:v>
                </c:pt>
                <c:pt idx="9">
                  <c:v>41183</c:v>
                </c:pt>
                <c:pt idx="10">
                  <c:v>41214</c:v>
                </c:pt>
                <c:pt idx="11">
                  <c:v>41244</c:v>
                </c:pt>
                <c:pt idx="12">
                  <c:v>41275</c:v>
                </c:pt>
                <c:pt idx="13">
                  <c:v>41306</c:v>
                </c:pt>
                <c:pt idx="14">
                  <c:v>41334</c:v>
                </c:pt>
                <c:pt idx="15">
                  <c:v>41365</c:v>
                </c:pt>
                <c:pt idx="16">
                  <c:v>41395</c:v>
                </c:pt>
                <c:pt idx="17">
                  <c:v>41426</c:v>
                </c:pt>
                <c:pt idx="18">
                  <c:v>41456</c:v>
                </c:pt>
                <c:pt idx="19">
                  <c:v>41487</c:v>
                </c:pt>
                <c:pt idx="20">
                  <c:v>41518</c:v>
                </c:pt>
                <c:pt idx="21">
                  <c:v>41548</c:v>
                </c:pt>
                <c:pt idx="22">
                  <c:v>41579</c:v>
                </c:pt>
                <c:pt idx="23">
                  <c:v>41609</c:v>
                </c:pt>
                <c:pt idx="24">
                  <c:v>41640</c:v>
                </c:pt>
                <c:pt idx="25">
                  <c:v>41671</c:v>
                </c:pt>
                <c:pt idx="26">
                  <c:v>41699</c:v>
                </c:pt>
                <c:pt idx="27">
                  <c:v>41730</c:v>
                </c:pt>
                <c:pt idx="28">
                  <c:v>41760</c:v>
                </c:pt>
                <c:pt idx="29">
                  <c:v>41791</c:v>
                </c:pt>
                <c:pt idx="30">
                  <c:v>41821</c:v>
                </c:pt>
                <c:pt idx="31">
                  <c:v>41852</c:v>
                </c:pt>
                <c:pt idx="32">
                  <c:v>41883</c:v>
                </c:pt>
                <c:pt idx="33">
                  <c:v>41913</c:v>
                </c:pt>
                <c:pt idx="34">
                  <c:v>41944</c:v>
                </c:pt>
                <c:pt idx="35">
                  <c:v>41974</c:v>
                </c:pt>
                <c:pt idx="36">
                  <c:v>42005</c:v>
                </c:pt>
                <c:pt idx="37">
                  <c:v>42036</c:v>
                </c:pt>
                <c:pt idx="38">
                  <c:v>42064</c:v>
                </c:pt>
                <c:pt idx="39">
                  <c:v>42095</c:v>
                </c:pt>
                <c:pt idx="40">
                  <c:v>42125</c:v>
                </c:pt>
                <c:pt idx="41">
                  <c:v>42156</c:v>
                </c:pt>
                <c:pt idx="42">
                  <c:v>42186</c:v>
                </c:pt>
                <c:pt idx="43">
                  <c:v>42217</c:v>
                </c:pt>
                <c:pt idx="44">
                  <c:v>42248</c:v>
                </c:pt>
                <c:pt idx="45">
                  <c:v>42278</c:v>
                </c:pt>
                <c:pt idx="46">
                  <c:v>42309</c:v>
                </c:pt>
                <c:pt idx="47">
                  <c:v>42339</c:v>
                </c:pt>
                <c:pt idx="48">
                  <c:v>42370</c:v>
                </c:pt>
                <c:pt idx="49">
                  <c:v>42401</c:v>
                </c:pt>
                <c:pt idx="50">
                  <c:v>42430</c:v>
                </c:pt>
                <c:pt idx="51">
                  <c:v>42461</c:v>
                </c:pt>
                <c:pt idx="52">
                  <c:v>42491</c:v>
                </c:pt>
                <c:pt idx="53">
                  <c:v>42522</c:v>
                </c:pt>
                <c:pt idx="54">
                  <c:v>42552</c:v>
                </c:pt>
                <c:pt idx="55">
                  <c:v>42583</c:v>
                </c:pt>
                <c:pt idx="56">
                  <c:v>42614</c:v>
                </c:pt>
                <c:pt idx="57">
                  <c:v>42644</c:v>
                </c:pt>
                <c:pt idx="58">
                  <c:v>42675</c:v>
                </c:pt>
                <c:pt idx="59">
                  <c:v>42705</c:v>
                </c:pt>
                <c:pt idx="60">
                  <c:v>42736</c:v>
                </c:pt>
                <c:pt idx="61">
                  <c:v>42767</c:v>
                </c:pt>
                <c:pt idx="62">
                  <c:v>42795</c:v>
                </c:pt>
                <c:pt idx="63">
                  <c:v>42826</c:v>
                </c:pt>
                <c:pt idx="64">
                  <c:v>42856</c:v>
                </c:pt>
                <c:pt idx="65">
                  <c:v>42887</c:v>
                </c:pt>
                <c:pt idx="66">
                  <c:v>42917</c:v>
                </c:pt>
                <c:pt idx="67">
                  <c:v>42948</c:v>
                </c:pt>
                <c:pt idx="68">
                  <c:v>42979</c:v>
                </c:pt>
                <c:pt idx="69">
                  <c:v>43009</c:v>
                </c:pt>
                <c:pt idx="70">
                  <c:v>43040</c:v>
                </c:pt>
                <c:pt idx="71">
                  <c:v>43070</c:v>
                </c:pt>
                <c:pt idx="72">
                  <c:v>43101</c:v>
                </c:pt>
                <c:pt idx="73">
                  <c:v>43132</c:v>
                </c:pt>
                <c:pt idx="74">
                  <c:v>43160</c:v>
                </c:pt>
                <c:pt idx="75">
                  <c:v>43191</c:v>
                </c:pt>
                <c:pt idx="76">
                  <c:v>43221</c:v>
                </c:pt>
                <c:pt idx="77">
                  <c:v>43252</c:v>
                </c:pt>
                <c:pt idx="78">
                  <c:v>43282</c:v>
                </c:pt>
                <c:pt idx="79">
                  <c:v>43313</c:v>
                </c:pt>
                <c:pt idx="80">
                  <c:v>43344</c:v>
                </c:pt>
                <c:pt idx="81">
                  <c:v>43374</c:v>
                </c:pt>
                <c:pt idx="82">
                  <c:v>43405</c:v>
                </c:pt>
                <c:pt idx="83">
                  <c:v>43435</c:v>
                </c:pt>
                <c:pt idx="84">
                  <c:v>43466</c:v>
                </c:pt>
                <c:pt idx="85">
                  <c:v>43497</c:v>
                </c:pt>
                <c:pt idx="86">
                  <c:v>43525</c:v>
                </c:pt>
                <c:pt idx="87">
                  <c:v>43556</c:v>
                </c:pt>
                <c:pt idx="88">
                  <c:v>43586</c:v>
                </c:pt>
                <c:pt idx="89">
                  <c:v>43617</c:v>
                </c:pt>
              </c:numCache>
            </c:numRef>
          </c:cat>
          <c:val>
            <c:numRef>
              <c:f>'Misc. Data &amp; Mechanisms'!$G$815:$G$905</c:f>
              <c:numCache>
                <c:formatCode>0.00%</c:formatCode>
                <c:ptCount val="91"/>
                <c:pt idx="0">
                  <c:v>4.1155527872791059E-2</c:v>
                </c:pt>
                <c:pt idx="1">
                  <c:v>4.629719386168818E-2</c:v>
                </c:pt>
                <c:pt idx="2">
                  <c:v>6.9351181706678852E-2</c:v>
                </c:pt>
                <c:pt idx="3">
                  <c:v>7.8596223422352202E-2</c:v>
                </c:pt>
                <c:pt idx="4">
                  <c:v>8.7110410680015335E-2</c:v>
                </c:pt>
                <c:pt idx="5">
                  <c:v>8.0201506628302097E-2</c:v>
                </c:pt>
                <c:pt idx="6">
                  <c:v>6.9987362191194835E-2</c:v>
                </c:pt>
                <c:pt idx="7">
                  <c:v>6.2784299545602856E-2</c:v>
                </c:pt>
                <c:pt idx="8">
                  <c:v>6.3704105744670517E-2</c:v>
                </c:pt>
                <c:pt idx="9">
                  <c:v>6.5771453739659064E-2</c:v>
                </c:pt>
                <c:pt idx="10">
                  <c:v>7.26820028655491E-2</c:v>
                </c:pt>
                <c:pt idx="11">
                  <c:v>6.0973192532454416E-2</c:v>
                </c:pt>
                <c:pt idx="12">
                  <c:v>6.263098468501517E-2</c:v>
                </c:pt>
                <c:pt idx="13">
                  <c:v>7.3488730983928968E-2</c:v>
                </c:pt>
                <c:pt idx="14">
                  <c:v>7.7697767009036633E-2</c:v>
                </c:pt>
                <c:pt idx="15">
                  <c:v>7.1194737095679028E-2</c:v>
                </c:pt>
                <c:pt idx="16">
                  <c:v>8.6195080369660837E-2</c:v>
                </c:pt>
                <c:pt idx="17">
                  <c:v>8.1553449030887556E-2</c:v>
                </c:pt>
                <c:pt idx="18">
                  <c:v>6.6749286618700443E-2</c:v>
                </c:pt>
                <c:pt idx="19">
                  <c:v>6.6089639004898074E-2</c:v>
                </c:pt>
                <c:pt idx="20">
                  <c:v>6.4996309546704253E-2</c:v>
                </c:pt>
                <c:pt idx="21">
                  <c:v>6.9132897719091341E-2</c:v>
                </c:pt>
                <c:pt idx="22">
                  <c:v>6.3727870584010152E-2</c:v>
                </c:pt>
                <c:pt idx="23">
                  <c:v>5.7844654200953458E-2</c:v>
                </c:pt>
                <c:pt idx="24">
                  <c:v>6.0908567751316318E-2</c:v>
                </c:pt>
                <c:pt idx="25">
                  <c:v>6.0526528926494655E-2</c:v>
                </c:pt>
                <c:pt idx="26">
                  <c:v>6.1955748113712558E-2</c:v>
                </c:pt>
                <c:pt idx="27">
                  <c:v>7.9814919383636315E-2</c:v>
                </c:pt>
                <c:pt idx="28">
                  <c:v>6.5529492753909346E-2</c:v>
                </c:pt>
                <c:pt idx="29">
                  <c:v>9.6705853022828456E-2</c:v>
                </c:pt>
                <c:pt idx="30">
                  <c:v>7.8080689195257291E-2</c:v>
                </c:pt>
                <c:pt idx="31">
                  <c:v>7.350559734394882E-2</c:v>
                </c:pt>
                <c:pt idx="32">
                  <c:v>7.093130225810193E-2</c:v>
                </c:pt>
                <c:pt idx="33">
                  <c:v>7.0281803310465102E-2</c:v>
                </c:pt>
                <c:pt idx="34">
                  <c:v>7.0510370304825806E-2</c:v>
                </c:pt>
                <c:pt idx="35">
                  <c:v>6.546664654428859E-2</c:v>
                </c:pt>
                <c:pt idx="36">
                  <c:v>6.2736070960973597E-2</c:v>
                </c:pt>
                <c:pt idx="37">
                  <c:v>7.1503237704986317E-2</c:v>
                </c:pt>
                <c:pt idx="38">
                  <c:v>8.3117146907679545E-2</c:v>
                </c:pt>
                <c:pt idx="39">
                  <c:v>9.0955231281951085E-2</c:v>
                </c:pt>
                <c:pt idx="40">
                  <c:v>9.8734096328447735E-2</c:v>
                </c:pt>
                <c:pt idx="41">
                  <c:v>0.10200681797964112</c:v>
                </c:pt>
                <c:pt idx="42">
                  <c:v>7.3815972830913165E-2</c:v>
                </c:pt>
                <c:pt idx="43">
                  <c:v>7.5103323528304206E-2</c:v>
                </c:pt>
                <c:pt idx="44">
                  <c:v>9.1983758181429912E-2</c:v>
                </c:pt>
                <c:pt idx="45">
                  <c:v>8.4172354716735287E-2</c:v>
                </c:pt>
                <c:pt idx="46">
                  <c:v>8.0868036871683716E-2</c:v>
                </c:pt>
                <c:pt idx="47">
                  <c:v>7.428613931058195E-2</c:v>
                </c:pt>
                <c:pt idx="48">
                  <c:v>7.6952279061743262E-2</c:v>
                </c:pt>
                <c:pt idx="49">
                  <c:v>8.3131950394425849E-2</c:v>
                </c:pt>
                <c:pt idx="50">
                  <c:v>8.9192524150879374E-2</c:v>
                </c:pt>
                <c:pt idx="51">
                  <c:v>0.10391059643737777</c:v>
                </c:pt>
                <c:pt idx="52">
                  <c:v>0.10370689743877415</c:v>
                </c:pt>
                <c:pt idx="53">
                  <c:v>0.10300897767408104</c:v>
                </c:pt>
                <c:pt idx="54">
                  <c:v>9.0323741954068421E-2</c:v>
                </c:pt>
                <c:pt idx="55">
                  <c:v>9.2492267002379169E-2</c:v>
                </c:pt>
                <c:pt idx="56">
                  <c:v>0.10184009381823149</c:v>
                </c:pt>
                <c:pt idx="57">
                  <c:v>9.9461096534842725E-2</c:v>
                </c:pt>
                <c:pt idx="58">
                  <c:v>9.70577639187514E-2</c:v>
                </c:pt>
                <c:pt idx="59">
                  <c:v>7.7935433690049336E-2</c:v>
                </c:pt>
                <c:pt idx="60">
                  <c:v>7.8824568832707886E-2</c:v>
                </c:pt>
                <c:pt idx="61">
                  <c:v>8.4181203905558805E-2</c:v>
                </c:pt>
                <c:pt idx="62">
                  <c:v>9.2319473113722697E-2</c:v>
                </c:pt>
                <c:pt idx="63">
                  <c:v>9.2844364038312019E-2</c:v>
                </c:pt>
                <c:pt idx="64">
                  <c:v>9.3132727891451855E-2</c:v>
                </c:pt>
                <c:pt idx="65">
                  <c:v>9.0813090247895134E-2</c:v>
                </c:pt>
                <c:pt idx="66">
                  <c:v>7.8686773299664003E-2</c:v>
                </c:pt>
                <c:pt idx="67">
                  <c:v>8.388159675578942E-2</c:v>
                </c:pt>
                <c:pt idx="68">
                  <c:v>8.4330724998541634E-2</c:v>
                </c:pt>
                <c:pt idx="69">
                  <c:v>8.1367387666020127E-2</c:v>
                </c:pt>
                <c:pt idx="70">
                  <c:v>7.593916241556585E-2</c:v>
                </c:pt>
                <c:pt idx="71">
                  <c:v>6.9367155941200284E-2</c:v>
                </c:pt>
                <c:pt idx="72">
                  <c:v>6.5930478704842255E-2</c:v>
                </c:pt>
                <c:pt idx="73">
                  <c:v>6.3919008651069073E-2</c:v>
                </c:pt>
                <c:pt idx="74">
                  <c:v>6.9784230460801344E-2</c:v>
                </c:pt>
                <c:pt idx="75">
                  <c:v>6.3091040725582637E-2</c:v>
                </c:pt>
                <c:pt idx="76">
                  <c:v>7.3236224907142058E-2</c:v>
                </c:pt>
                <c:pt idx="77">
                  <c:v>7.5496594787479457E-2</c:v>
                </c:pt>
                <c:pt idx="78">
                  <c:v>6.6808299865502338E-2</c:v>
                </c:pt>
                <c:pt idx="79">
                  <c:v>6.5505984730974978E-2</c:v>
                </c:pt>
                <c:pt idx="80">
                  <c:v>6.5573800359273945E-2</c:v>
                </c:pt>
                <c:pt idx="81">
                  <c:v>6.4106917498421956E-2</c:v>
                </c:pt>
                <c:pt idx="82">
                  <c:v>5.9755626942076104E-2</c:v>
                </c:pt>
                <c:pt idx="83">
                  <c:v>5.6120992302677128E-2</c:v>
                </c:pt>
                <c:pt idx="84">
                  <c:v>5.5684768004516771E-2</c:v>
                </c:pt>
                <c:pt idx="85">
                  <c:v>4.9641365941625507E-2</c:v>
                </c:pt>
                <c:pt idx="86">
                  <c:v>6.0861796363848357E-2</c:v>
                </c:pt>
                <c:pt idx="87">
                  <c:v>6.4048055906002918E-2</c:v>
                </c:pt>
                <c:pt idx="88">
                  <c:v>6.6125341414416533E-2</c:v>
                </c:pt>
                <c:pt idx="89">
                  <c:v>6.5913969736239225E-2</c:v>
                </c:pt>
              </c:numCache>
            </c:numRef>
          </c:val>
        </c:ser>
        <c:ser>
          <c:idx val="4"/>
          <c:order val="5"/>
          <c:tx>
            <c:strRef>
              <c:f>'Misc. Data &amp; Mechanisms'!$H$814</c:f>
              <c:strCache>
                <c:ptCount val="1"/>
                <c:pt idx="0">
                  <c:v>GST</c:v>
                </c:pt>
              </c:strCache>
            </c:strRef>
          </c:tx>
          <c:spPr>
            <a:solidFill>
              <a:srgbClr val="996633"/>
            </a:solidFill>
            <a:ln w="25400">
              <a:noFill/>
            </a:ln>
          </c:spPr>
          <c:cat>
            <c:numRef>
              <c:f>'Misc. Data &amp; Mechanisms'!$A$815:$A$905</c:f>
              <c:numCache>
                <c:formatCode>[$-409]mmm-yy;@</c:formatCode>
                <c:ptCount val="91"/>
                <c:pt idx="0">
                  <c:v>40909</c:v>
                </c:pt>
                <c:pt idx="1">
                  <c:v>40940</c:v>
                </c:pt>
                <c:pt idx="2">
                  <c:v>40969</c:v>
                </c:pt>
                <c:pt idx="3">
                  <c:v>41000</c:v>
                </c:pt>
                <c:pt idx="4">
                  <c:v>41030</c:v>
                </c:pt>
                <c:pt idx="5">
                  <c:v>41061</c:v>
                </c:pt>
                <c:pt idx="6">
                  <c:v>41091</c:v>
                </c:pt>
                <c:pt idx="7">
                  <c:v>41122</c:v>
                </c:pt>
                <c:pt idx="8">
                  <c:v>41153</c:v>
                </c:pt>
                <c:pt idx="9">
                  <c:v>41183</c:v>
                </c:pt>
                <c:pt idx="10">
                  <c:v>41214</c:v>
                </c:pt>
                <c:pt idx="11">
                  <c:v>41244</c:v>
                </c:pt>
                <c:pt idx="12">
                  <c:v>41275</c:v>
                </c:pt>
                <c:pt idx="13">
                  <c:v>41306</c:v>
                </c:pt>
                <c:pt idx="14">
                  <c:v>41334</c:v>
                </c:pt>
                <c:pt idx="15">
                  <c:v>41365</c:v>
                </c:pt>
                <c:pt idx="16">
                  <c:v>41395</c:v>
                </c:pt>
                <c:pt idx="17">
                  <c:v>41426</c:v>
                </c:pt>
                <c:pt idx="18">
                  <c:v>41456</c:v>
                </c:pt>
                <c:pt idx="19">
                  <c:v>41487</c:v>
                </c:pt>
                <c:pt idx="20">
                  <c:v>41518</c:v>
                </c:pt>
                <c:pt idx="21">
                  <c:v>41548</c:v>
                </c:pt>
                <c:pt idx="22">
                  <c:v>41579</c:v>
                </c:pt>
                <c:pt idx="23">
                  <c:v>41609</c:v>
                </c:pt>
                <c:pt idx="24">
                  <c:v>41640</c:v>
                </c:pt>
                <c:pt idx="25">
                  <c:v>41671</c:v>
                </c:pt>
                <c:pt idx="26">
                  <c:v>41699</c:v>
                </c:pt>
                <c:pt idx="27">
                  <c:v>41730</c:v>
                </c:pt>
                <c:pt idx="28">
                  <c:v>41760</c:v>
                </c:pt>
                <c:pt idx="29">
                  <c:v>41791</c:v>
                </c:pt>
                <c:pt idx="30">
                  <c:v>41821</c:v>
                </c:pt>
                <c:pt idx="31">
                  <c:v>41852</c:v>
                </c:pt>
                <c:pt idx="32">
                  <c:v>41883</c:v>
                </c:pt>
                <c:pt idx="33">
                  <c:v>41913</c:v>
                </c:pt>
                <c:pt idx="34">
                  <c:v>41944</c:v>
                </c:pt>
                <c:pt idx="35">
                  <c:v>41974</c:v>
                </c:pt>
                <c:pt idx="36">
                  <c:v>42005</c:v>
                </c:pt>
                <c:pt idx="37">
                  <c:v>42036</c:v>
                </c:pt>
                <c:pt idx="38">
                  <c:v>42064</c:v>
                </c:pt>
                <c:pt idx="39">
                  <c:v>42095</c:v>
                </c:pt>
                <c:pt idx="40">
                  <c:v>42125</c:v>
                </c:pt>
                <c:pt idx="41">
                  <c:v>42156</c:v>
                </c:pt>
                <c:pt idx="42">
                  <c:v>42186</c:v>
                </c:pt>
                <c:pt idx="43">
                  <c:v>42217</c:v>
                </c:pt>
                <c:pt idx="44">
                  <c:v>42248</c:v>
                </c:pt>
                <c:pt idx="45">
                  <c:v>42278</c:v>
                </c:pt>
                <c:pt idx="46">
                  <c:v>42309</c:v>
                </c:pt>
                <c:pt idx="47">
                  <c:v>42339</c:v>
                </c:pt>
                <c:pt idx="48">
                  <c:v>42370</c:v>
                </c:pt>
                <c:pt idx="49">
                  <c:v>42401</c:v>
                </c:pt>
                <c:pt idx="50">
                  <c:v>42430</c:v>
                </c:pt>
                <c:pt idx="51">
                  <c:v>42461</c:v>
                </c:pt>
                <c:pt idx="52">
                  <c:v>42491</c:v>
                </c:pt>
                <c:pt idx="53">
                  <c:v>42522</c:v>
                </c:pt>
                <c:pt idx="54">
                  <c:v>42552</c:v>
                </c:pt>
                <c:pt idx="55">
                  <c:v>42583</c:v>
                </c:pt>
                <c:pt idx="56">
                  <c:v>42614</c:v>
                </c:pt>
                <c:pt idx="57">
                  <c:v>42644</c:v>
                </c:pt>
                <c:pt idx="58">
                  <c:v>42675</c:v>
                </c:pt>
                <c:pt idx="59">
                  <c:v>42705</c:v>
                </c:pt>
                <c:pt idx="60">
                  <c:v>42736</c:v>
                </c:pt>
                <c:pt idx="61">
                  <c:v>42767</c:v>
                </c:pt>
                <c:pt idx="62">
                  <c:v>42795</c:v>
                </c:pt>
                <c:pt idx="63">
                  <c:v>42826</c:v>
                </c:pt>
                <c:pt idx="64">
                  <c:v>42856</c:v>
                </c:pt>
                <c:pt idx="65">
                  <c:v>42887</c:v>
                </c:pt>
                <c:pt idx="66">
                  <c:v>42917</c:v>
                </c:pt>
                <c:pt idx="67">
                  <c:v>42948</c:v>
                </c:pt>
                <c:pt idx="68">
                  <c:v>42979</c:v>
                </c:pt>
                <c:pt idx="69">
                  <c:v>43009</c:v>
                </c:pt>
                <c:pt idx="70">
                  <c:v>43040</c:v>
                </c:pt>
                <c:pt idx="71">
                  <c:v>43070</c:v>
                </c:pt>
                <c:pt idx="72">
                  <c:v>43101</c:v>
                </c:pt>
                <c:pt idx="73">
                  <c:v>43132</c:v>
                </c:pt>
                <c:pt idx="74">
                  <c:v>43160</c:v>
                </c:pt>
                <c:pt idx="75">
                  <c:v>43191</c:v>
                </c:pt>
                <c:pt idx="76">
                  <c:v>43221</c:v>
                </c:pt>
                <c:pt idx="77">
                  <c:v>43252</c:v>
                </c:pt>
                <c:pt idx="78">
                  <c:v>43282</c:v>
                </c:pt>
                <c:pt idx="79">
                  <c:v>43313</c:v>
                </c:pt>
                <c:pt idx="80">
                  <c:v>43344</c:v>
                </c:pt>
                <c:pt idx="81">
                  <c:v>43374</c:v>
                </c:pt>
                <c:pt idx="82">
                  <c:v>43405</c:v>
                </c:pt>
                <c:pt idx="83">
                  <c:v>43435</c:v>
                </c:pt>
                <c:pt idx="84">
                  <c:v>43466</c:v>
                </c:pt>
                <c:pt idx="85">
                  <c:v>43497</c:v>
                </c:pt>
                <c:pt idx="86">
                  <c:v>43525</c:v>
                </c:pt>
                <c:pt idx="87">
                  <c:v>43556</c:v>
                </c:pt>
                <c:pt idx="88">
                  <c:v>43586</c:v>
                </c:pt>
                <c:pt idx="89">
                  <c:v>43617</c:v>
                </c:pt>
              </c:numCache>
            </c:numRef>
          </c:cat>
          <c:val>
            <c:numRef>
              <c:f>'Misc. Data &amp; Mechanisms'!$H$815:$H$905</c:f>
              <c:numCache>
                <c:formatCode>0.00%</c:formatCode>
                <c:ptCount val="91"/>
                <c:pt idx="0">
                  <c:v>4.7619047619047616E-2</c:v>
                </c:pt>
                <c:pt idx="1">
                  <c:v>4.7619047619047616E-2</c:v>
                </c:pt>
                <c:pt idx="2">
                  <c:v>4.7619047619047623E-2</c:v>
                </c:pt>
                <c:pt idx="3">
                  <c:v>4.7619047619047623E-2</c:v>
                </c:pt>
                <c:pt idx="4">
                  <c:v>4.7619047619047616E-2</c:v>
                </c:pt>
                <c:pt idx="5">
                  <c:v>4.7619047619047623E-2</c:v>
                </c:pt>
                <c:pt idx="6">
                  <c:v>4.7619047619047623E-2</c:v>
                </c:pt>
                <c:pt idx="7">
                  <c:v>4.7619047619047623E-2</c:v>
                </c:pt>
                <c:pt idx="8">
                  <c:v>4.7619047619047623E-2</c:v>
                </c:pt>
                <c:pt idx="9">
                  <c:v>4.7619047619047616E-2</c:v>
                </c:pt>
                <c:pt idx="10">
                  <c:v>4.7619047619047616E-2</c:v>
                </c:pt>
                <c:pt idx="11">
                  <c:v>4.7619047619047623E-2</c:v>
                </c:pt>
                <c:pt idx="12">
                  <c:v>4.7619047619047623E-2</c:v>
                </c:pt>
                <c:pt idx="13">
                  <c:v>4.7619047619047616E-2</c:v>
                </c:pt>
                <c:pt idx="14">
                  <c:v>4.7619047619047616E-2</c:v>
                </c:pt>
                <c:pt idx="15">
                  <c:v>4.7619047619047623E-2</c:v>
                </c:pt>
                <c:pt idx="16">
                  <c:v>4.7619047619047616E-2</c:v>
                </c:pt>
                <c:pt idx="17">
                  <c:v>4.7619047619047623E-2</c:v>
                </c:pt>
                <c:pt idx="18">
                  <c:v>4.7619047619047623E-2</c:v>
                </c:pt>
                <c:pt idx="19">
                  <c:v>4.7619047619047623E-2</c:v>
                </c:pt>
                <c:pt idx="20">
                  <c:v>4.7619047619047623E-2</c:v>
                </c:pt>
                <c:pt idx="21">
                  <c:v>4.7619047619047623E-2</c:v>
                </c:pt>
                <c:pt idx="22">
                  <c:v>4.7619047619047616E-2</c:v>
                </c:pt>
                <c:pt idx="23">
                  <c:v>4.7619047619047623E-2</c:v>
                </c:pt>
                <c:pt idx="24">
                  <c:v>4.7619047619047623E-2</c:v>
                </c:pt>
                <c:pt idx="25">
                  <c:v>4.7619047619047616E-2</c:v>
                </c:pt>
                <c:pt idx="26">
                  <c:v>4.7619047619047623E-2</c:v>
                </c:pt>
                <c:pt idx="27">
                  <c:v>4.7619047619047623E-2</c:v>
                </c:pt>
                <c:pt idx="28">
                  <c:v>4.7619047619047623E-2</c:v>
                </c:pt>
                <c:pt idx="29">
                  <c:v>4.7619047619047623E-2</c:v>
                </c:pt>
                <c:pt idx="30">
                  <c:v>4.7619047619047616E-2</c:v>
                </c:pt>
                <c:pt idx="31">
                  <c:v>4.7619047619047623E-2</c:v>
                </c:pt>
                <c:pt idx="32">
                  <c:v>4.761904761904763E-2</c:v>
                </c:pt>
                <c:pt idx="33">
                  <c:v>4.7619047619047623E-2</c:v>
                </c:pt>
                <c:pt idx="34">
                  <c:v>4.7619047619047616E-2</c:v>
                </c:pt>
                <c:pt idx="35">
                  <c:v>4.7619047619047623E-2</c:v>
                </c:pt>
                <c:pt idx="36">
                  <c:v>4.7619047619047623E-2</c:v>
                </c:pt>
                <c:pt idx="37">
                  <c:v>4.7619047619047623E-2</c:v>
                </c:pt>
                <c:pt idx="38">
                  <c:v>4.7619047619047623E-2</c:v>
                </c:pt>
                <c:pt idx="39">
                  <c:v>4.7619047619047616E-2</c:v>
                </c:pt>
                <c:pt idx="40">
                  <c:v>4.7619047619047623E-2</c:v>
                </c:pt>
                <c:pt idx="41">
                  <c:v>4.7619047619047616E-2</c:v>
                </c:pt>
                <c:pt idx="42">
                  <c:v>4.7619047619047616E-2</c:v>
                </c:pt>
                <c:pt idx="43">
                  <c:v>4.7619047619047616E-2</c:v>
                </c:pt>
                <c:pt idx="44">
                  <c:v>4.7619047619047623E-2</c:v>
                </c:pt>
                <c:pt idx="45">
                  <c:v>4.7619047619047623E-2</c:v>
                </c:pt>
                <c:pt idx="46">
                  <c:v>4.7619047619047623E-2</c:v>
                </c:pt>
                <c:pt idx="47">
                  <c:v>4.7619047619047616E-2</c:v>
                </c:pt>
                <c:pt idx="48">
                  <c:v>4.7619047619047623E-2</c:v>
                </c:pt>
                <c:pt idx="49">
                  <c:v>4.7619047619047616E-2</c:v>
                </c:pt>
                <c:pt idx="50">
                  <c:v>4.7619047619047623E-2</c:v>
                </c:pt>
                <c:pt idx="51">
                  <c:v>4.7619047619047616E-2</c:v>
                </c:pt>
                <c:pt idx="52">
                  <c:v>4.7619047619047616E-2</c:v>
                </c:pt>
                <c:pt idx="53">
                  <c:v>4.7619047619047616E-2</c:v>
                </c:pt>
                <c:pt idx="54">
                  <c:v>4.7619047619047616E-2</c:v>
                </c:pt>
                <c:pt idx="55">
                  <c:v>4.7619047619047616E-2</c:v>
                </c:pt>
                <c:pt idx="56">
                  <c:v>4.7619047619047623E-2</c:v>
                </c:pt>
                <c:pt idx="57">
                  <c:v>4.7619047619047616E-2</c:v>
                </c:pt>
                <c:pt idx="58">
                  <c:v>4.761904761904763E-2</c:v>
                </c:pt>
                <c:pt idx="59">
                  <c:v>4.7619047619047623E-2</c:v>
                </c:pt>
                <c:pt idx="60">
                  <c:v>4.7619047619047623E-2</c:v>
                </c:pt>
                <c:pt idx="61">
                  <c:v>4.7619047619047623E-2</c:v>
                </c:pt>
                <c:pt idx="62">
                  <c:v>4.761904761904763E-2</c:v>
                </c:pt>
                <c:pt idx="63">
                  <c:v>4.7619047619047623E-2</c:v>
                </c:pt>
                <c:pt idx="64">
                  <c:v>4.7619047619047623E-2</c:v>
                </c:pt>
                <c:pt idx="65">
                  <c:v>4.7619047619047623E-2</c:v>
                </c:pt>
                <c:pt idx="66">
                  <c:v>4.7619047619047623E-2</c:v>
                </c:pt>
                <c:pt idx="67">
                  <c:v>4.7619047619047623E-2</c:v>
                </c:pt>
                <c:pt idx="68">
                  <c:v>4.7619047619047623E-2</c:v>
                </c:pt>
                <c:pt idx="69">
                  <c:v>4.7619047619047623E-2</c:v>
                </c:pt>
                <c:pt idx="70">
                  <c:v>4.7619047619047623E-2</c:v>
                </c:pt>
                <c:pt idx="71">
                  <c:v>4.7619047619047616E-2</c:v>
                </c:pt>
                <c:pt idx="72">
                  <c:v>4.7619047619047623E-2</c:v>
                </c:pt>
                <c:pt idx="73">
                  <c:v>4.7619047619047623E-2</c:v>
                </c:pt>
                <c:pt idx="74">
                  <c:v>4.7619047619047623E-2</c:v>
                </c:pt>
                <c:pt idx="75">
                  <c:v>4.7619047619047623E-2</c:v>
                </c:pt>
                <c:pt idx="76">
                  <c:v>4.7619047619047616E-2</c:v>
                </c:pt>
                <c:pt idx="77">
                  <c:v>4.7619047619047623E-2</c:v>
                </c:pt>
                <c:pt idx="78">
                  <c:v>4.7619047619047616E-2</c:v>
                </c:pt>
                <c:pt idx="79">
                  <c:v>4.7619047619047623E-2</c:v>
                </c:pt>
                <c:pt idx="80">
                  <c:v>4.7619047619047616E-2</c:v>
                </c:pt>
                <c:pt idx="81">
                  <c:v>4.7619047619047623E-2</c:v>
                </c:pt>
                <c:pt idx="82">
                  <c:v>4.7619047619047623E-2</c:v>
                </c:pt>
                <c:pt idx="83">
                  <c:v>4.7619047619047616E-2</c:v>
                </c:pt>
                <c:pt idx="84">
                  <c:v>4.7619047619047623E-2</c:v>
                </c:pt>
                <c:pt idx="85">
                  <c:v>4.7619047619047623E-2</c:v>
                </c:pt>
                <c:pt idx="86">
                  <c:v>4.7619047619047616E-2</c:v>
                </c:pt>
                <c:pt idx="87">
                  <c:v>4.7619047619047623E-2</c:v>
                </c:pt>
                <c:pt idx="88">
                  <c:v>4.7619047619047616E-2</c:v>
                </c:pt>
                <c:pt idx="89">
                  <c:v>4.7619047619047616E-2</c:v>
                </c:pt>
              </c:numCache>
            </c:numRef>
          </c:val>
        </c:ser>
        <c:ser>
          <c:idx val="6"/>
          <c:order val="6"/>
          <c:tx>
            <c:strRef>
              <c:f>'Misc. Data &amp; Mechanisms'!$K$814</c:f>
              <c:strCache>
                <c:ptCount val="1"/>
                <c:pt idx="0">
                  <c:v>Rate Riders (Charge)</c:v>
                </c:pt>
              </c:strCache>
            </c:strRef>
          </c:tx>
          <c:spPr>
            <a:solidFill>
              <a:schemeClr val="accent4">
                <a:lumMod val="75000"/>
              </a:schemeClr>
            </a:solidFill>
            <a:ln w="25400">
              <a:noFill/>
            </a:ln>
          </c:spPr>
          <c:cat>
            <c:numRef>
              <c:f>'Misc. Data &amp; Mechanisms'!$A$815:$A$905</c:f>
              <c:numCache>
                <c:formatCode>[$-409]mmm-yy;@</c:formatCode>
                <c:ptCount val="91"/>
                <c:pt idx="0">
                  <c:v>40909</c:v>
                </c:pt>
                <c:pt idx="1">
                  <c:v>40940</c:v>
                </c:pt>
                <c:pt idx="2">
                  <c:v>40969</c:v>
                </c:pt>
                <c:pt idx="3">
                  <c:v>41000</c:v>
                </c:pt>
                <c:pt idx="4">
                  <c:v>41030</c:v>
                </c:pt>
                <c:pt idx="5">
                  <c:v>41061</c:v>
                </c:pt>
                <c:pt idx="6">
                  <c:v>41091</c:v>
                </c:pt>
                <c:pt idx="7">
                  <c:v>41122</c:v>
                </c:pt>
                <c:pt idx="8">
                  <c:v>41153</c:v>
                </c:pt>
                <c:pt idx="9">
                  <c:v>41183</c:v>
                </c:pt>
                <c:pt idx="10">
                  <c:v>41214</c:v>
                </c:pt>
                <c:pt idx="11">
                  <c:v>41244</c:v>
                </c:pt>
                <c:pt idx="12">
                  <c:v>41275</c:v>
                </c:pt>
                <c:pt idx="13">
                  <c:v>41306</c:v>
                </c:pt>
                <c:pt idx="14">
                  <c:v>41334</c:v>
                </c:pt>
                <c:pt idx="15">
                  <c:v>41365</c:v>
                </c:pt>
                <c:pt idx="16">
                  <c:v>41395</c:v>
                </c:pt>
                <c:pt idx="17">
                  <c:v>41426</c:v>
                </c:pt>
                <c:pt idx="18">
                  <c:v>41456</c:v>
                </c:pt>
                <c:pt idx="19">
                  <c:v>41487</c:v>
                </c:pt>
                <c:pt idx="20">
                  <c:v>41518</c:v>
                </c:pt>
                <c:pt idx="21">
                  <c:v>41548</c:v>
                </c:pt>
                <c:pt idx="22">
                  <c:v>41579</c:v>
                </c:pt>
                <c:pt idx="23">
                  <c:v>41609</c:v>
                </c:pt>
                <c:pt idx="24">
                  <c:v>41640</c:v>
                </c:pt>
                <c:pt idx="25">
                  <c:v>41671</c:v>
                </c:pt>
                <c:pt idx="26">
                  <c:v>41699</c:v>
                </c:pt>
                <c:pt idx="27">
                  <c:v>41730</c:v>
                </c:pt>
                <c:pt idx="28">
                  <c:v>41760</c:v>
                </c:pt>
                <c:pt idx="29">
                  <c:v>41791</c:v>
                </c:pt>
                <c:pt idx="30">
                  <c:v>41821</c:v>
                </c:pt>
                <c:pt idx="31">
                  <c:v>41852</c:v>
                </c:pt>
                <c:pt idx="32">
                  <c:v>41883</c:v>
                </c:pt>
                <c:pt idx="33">
                  <c:v>41913</c:v>
                </c:pt>
                <c:pt idx="34">
                  <c:v>41944</c:v>
                </c:pt>
                <c:pt idx="35">
                  <c:v>41974</c:v>
                </c:pt>
                <c:pt idx="36">
                  <c:v>42005</c:v>
                </c:pt>
                <c:pt idx="37">
                  <c:v>42036</c:v>
                </c:pt>
                <c:pt idx="38">
                  <c:v>42064</c:v>
                </c:pt>
                <c:pt idx="39">
                  <c:v>42095</c:v>
                </c:pt>
                <c:pt idx="40">
                  <c:v>42125</c:v>
                </c:pt>
                <c:pt idx="41">
                  <c:v>42156</c:v>
                </c:pt>
                <c:pt idx="42">
                  <c:v>42186</c:v>
                </c:pt>
                <c:pt idx="43">
                  <c:v>42217</c:v>
                </c:pt>
                <c:pt idx="44">
                  <c:v>42248</c:v>
                </c:pt>
                <c:pt idx="45">
                  <c:v>42278</c:v>
                </c:pt>
                <c:pt idx="46">
                  <c:v>42309</c:v>
                </c:pt>
                <c:pt idx="47">
                  <c:v>42339</c:v>
                </c:pt>
                <c:pt idx="48">
                  <c:v>42370</c:v>
                </c:pt>
                <c:pt idx="49">
                  <c:v>42401</c:v>
                </c:pt>
                <c:pt idx="50">
                  <c:v>42430</c:v>
                </c:pt>
                <c:pt idx="51">
                  <c:v>42461</c:v>
                </c:pt>
                <c:pt idx="52">
                  <c:v>42491</c:v>
                </c:pt>
                <c:pt idx="53">
                  <c:v>42522</c:v>
                </c:pt>
                <c:pt idx="54">
                  <c:v>42552</c:v>
                </c:pt>
                <c:pt idx="55">
                  <c:v>42583</c:v>
                </c:pt>
                <c:pt idx="56">
                  <c:v>42614</c:v>
                </c:pt>
                <c:pt idx="57">
                  <c:v>42644</c:v>
                </c:pt>
                <c:pt idx="58">
                  <c:v>42675</c:v>
                </c:pt>
                <c:pt idx="59">
                  <c:v>42705</c:v>
                </c:pt>
                <c:pt idx="60">
                  <c:v>42736</c:v>
                </c:pt>
                <c:pt idx="61">
                  <c:v>42767</c:v>
                </c:pt>
                <c:pt idx="62">
                  <c:v>42795</c:v>
                </c:pt>
                <c:pt idx="63">
                  <c:v>42826</c:v>
                </c:pt>
                <c:pt idx="64">
                  <c:v>42856</c:v>
                </c:pt>
                <c:pt idx="65">
                  <c:v>42887</c:v>
                </c:pt>
                <c:pt idx="66">
                  <c:v>42917</c:v>
                </c:pt>
                <c:pt idx="67">
                  <c:v>42948</c:v>
                </c:pt>
                <c:pt idx="68">
                  <c:v>42979</c:v>
                </c:pt>
                <c:pt idx="69">
                  <c:v>43009</c:v>
                </c:pt>
                <c:pt idx="70">
                  <c:v>43040</c:v>
                </c:pt>
                <c:pt idx="71">
                  <c:v>43070</c:v>
                </c:pt>
                <c:pt idx="72">
                  <c:v>43101</c:v>
                </c:pt>
                <c:pt idx="73">
                  <c:v>43132</c:v>
                </c:pt>
                <c:pt idx="74">
                  <c:v>43160</c:v>
                </c:pt>
                <c:pt idx="75">
                  <c:v>43191</c:v>
                </c:pt>
                <c:pt idx="76">
                  <c:v>43221</c:v>
                </c:pt>
                <c:pt idx="77">
                  <c:v>43252</c:v>
                </c:pt>
                <c:pt idx="78">
                  <c:v>43282</c:v>
                </c:pt>
                <c:pt idx="79">
                  <c:v>43313</c:v>
                </c:pt>
                <c:pt idx="80">
                  <c:v>43344</c:v>
                </c:pt>
                <c:pt idx="81">
                  <c:v>43374</c:v>
                </c:pt>
                <c:pt idx="82">
                  <c:v>43405</c:v>
                </c:pt>
                <c:pt idx="83">
                  <c:v>43435</c:v>
                </c:pt>
                <c:pt idx="84">
                  <c:v>43466</c:v>
                </c:pt>
                <c:pt idx="85">
                  <c:v>43497</c:v>
                </c:pt>
                <c:pt idx="86">
                  <c:v>43525</c:v>
                </c:pt>
                <c:pt idx="87">
                  <c:v>43556</c:v>
                </c:pt>
                <c:pt idx="88">
                  <c:v>43586</c:v>
                </c:pt>
                <c:pt idx="89">
                  <c:v>43617</c:v>
                </c:pt>
              </c:numCache>
            </c:numRef>
          </c:cat>
          <c:val>
            <c:numRef>
              <c:f>'Misc. Data &amp; Mechanisms'!$K$815:$K$905</c:f>
              <c:numCache>
                <c:formatCode>0.00%</c:formatCode>
                <c:ptCount val="91"/>
                <c:pt idx="0">
                  <c:v>3.9875829620716001E-2</c:v>
                </c:pt>
                <c:pt idx="1">
                  <c:v>4.2845943605596577E-2</c:v>
                </c:pt>
                <c:pt idx="2">
                  <c:v>5.8046765599275692E-2</c:v>
                </c:pt>
                <c:pt idx="3">
                  <c:v>6.1628463127941478E-2</c:v>
                </c:pt>
                <c:pt idx="4">
                  <c:v>6.4716790032975369E-2</c:v>
                </c:pt>
                <c:pt idx="5">
                  <c:v>5.8577258797447421E-2</c:v>
                </c:pt>
                <c:pt idx="6">
                  <c:v>5.4193655102596307E-2</c:v>
                </c:pt>
                <c:pt idx="7">
                  <c:v>4.7057656821103175E-2</c:v>
                </c:pt>
                <c:pt idx="8">
                  <c:v>4.8710301870446421E-2</c:v>
                </c:pt>
                <c:pt idx="9">
                  <c:v>0</c:v>
                </c:pt>
                <c:pt idx="10">
                  <c:v>0</c:v>
                </c:pt>
                <c:pt idx="11">
                  <c:v>0</c:v>
                </c:pt>
                <c:pt idx="12">
                  <c:v>0</c:v>
                </c:pt>
                <c:pt idx="13">
                  <c:v>0</c:v>
                </c:pt>
                <c:pt idx="14">
                  <c:v>0</c:v>
                </c:pt>
                <c:pt idx="15">
                  <c:v>3.6071610635821649E-2</c:v>
                </c:pt>
                <c:pt idx="16">
                  <c:v>3.8055963861097664E-2</c:v>
                </c:pt>
                <c:pt idx="17">
                  <c:v>2.5511030727010123E-2</c:v>
                </c:pt>
                <c:pt idx="18">
                  <c:v>2.0349659101844336E-3</c:v>
                </c:pt>
                <c:pt idx="19">
                  <c:v>2.2267536264143238E-3</c:v>
                </c:pt>
                <c:pt idx="20">
                  <c:v>1.2115993018085254E-2</c:v>
                </c:pt>
                <c:pt idx="21">
                  <c:v>7.6703378284090712E-2</c:v>
                </c:pt>
                <c:pt idx="22">
                  <c:v>7.9150994513316641E-2</c:v>
                </c:pt>
                <c:pt idx="23">
                  <c:v>9.3454296314287089E-2</c:v>
                </c:pt>
                <c:pt idx="24">
                  <c:v>8.7799140442715112E-2</c:v>
                </c:pt>
                <c:pt idx="25">
                  <c:v>9.2601575110748832E-2</c:v>
                </c:pt>
                <c:pt idx="26">
                  <c:v>0.10913556110880725</c:v>
                </c:pt>
                <c:pt idx="27">
                  <c:v>2.5283345397230102E-2</c:v>
                </c:pt>
                <c:pt idx="28">
                  <c:v>2.053445008177085E-2</c:v>
                </c:pt>
                <c:pt idx="29">
                  <c:v>1.6466874034645092E-2</c:v>
                </c:pt>
                <c:pt idx="30">
                  <c:v>2.4975641682478029E-2</c:v>
                </c:pt>
                <c:pt idx="31">
                  <c:v>2.3491005919741063E-2</c:v>
                </c:pt>
                <c:pt idx="32">
                  <c:v>2.2771025171419119E-2</c:v>
                </c:pt>
                <c:pt idx="33">
                  <c:v>3.8151693833091409E-2</c:v>
                </c:pt>
                <c:pt idx="34">
                  <c:v>4.3044694124682106E-2</c:v>
                </c:pt>
                <c:pt idx="35">
                  <c:v>3.9933057197327648E-2</c:v>
                </c:pt>
                <c:pt idx="36">
                  <c:v>7.507390768998598E-2</c:v>
                </c:pt>
                <c:pt idx="37">
                  <c:v>8.3617375155662213E-2</c:v>
                </c:pt>
                <c:pt idx="38">
                  <c:v>9.0245086573380068E-2</c:v>
                </c:pt>
                <c:pt idx="39">
                  <c:v>4.3269614564457416E-2</c:v>
                </c:pt>
                <c:pt idx="40">
                  <c:v>4.4869491919092792E-2</c:v>
                </c:pt>
                <c:pt idx="41">
                  <c:v>4.8528833747120047E-2</c:v>
                </c:pt>
                <c:pt idx="42">
                  <c:v>2.6580613180384582E-2</c:v>
                </c:pt>
                <c:pt idx="43">
                  <c:v>2.71908804128938E-2</c:v>
                </c:pt>
                <c:pt idx="44">
                  <c:v>2.9926900562869341E-2</c:v>
                </c:pt>
                <c:pt idx="45">
                  <c:v>5.5859093527154312E-2</c:v>
                </c:pt>
                <c:pt idx="46">
                  <c:v>6.047343014398894E-2</c:v>
                </c:pt>
                <c:pt idx="47">
                  <c:v>6.1024026997373276E-2</c:v>
                </c:pt>
                <c:pt idx="48">
                  <c:v>0.10784025546144252</c:v>
                </c:pt>
                <c:pt idx="49">
                  <c:v>0.10980238843721743</c:v>
                </c:pt>
                <c:pt idx="50">
                  <c:v>0.10944395625980465</c:v>
                </c:pt>
                <c:pt idx="51">
                  <c:v>9.5535512472912296E-2</c:v>
                </c:pt>
                <c:pt idx="52">
                  <c:v>9.6217786199844585E-2</c:v>
                </c:pt>
                <c:pt idx="53">
                  <c:v>9.4504158359103724E-2</c:v>
                </c:pt>
                <c:pt idx="54">
                  <c:v>8.4938247930430949E-2</c:v>
                </c:pt>
                <c:pt idx="55">
                  <c:v>8.5189113572481268E-2</c:v>
                </c:pt>
                <c:pt idx="56">
                  <c:v>9.4108754523809193E-2</c:v>
                </c:pt>
                <c:pt idx="57">
                  <c:v>1.5039042870903203E-2</c:v>
                </c:pt>
                <c:pt idx="58">
                  <c:v>0</c:v>
                </c:pt>
                <c:pt idx="59">
                  <c:v>0</c:v>
                </c:pt>
                <c:pt idx="60">
                  <c:v>9.2655720036828211E-3</c:v>
                </c:pt>
                <c:pt idx="61">
                  <c:v>8.4156552391084025E-3</c:v>
                </c:pt>
                <c:pt idx="62">
                  <c:v>5.8524980100700414E-3</c:v>
                </c:pt>
                <c:pt idx="63">
                  <c:v>7.872644662146927E-2</c:v>
                </c:pt>
                <c:pt idx="64">
                  <c:v>0.1162421243580164</c:v>
                </c:pt>
                <c:pt idx="65">
                  <c:v>0.11177396020405965</c:v>
                </c:pt>
                <c:pt idx="66">
                  <c:v>0.10847915219158424</c:v>
                </c:pt>
                <c:pt idx="67">
                  <c:v>0.10665240687448149</c:v>
                </c:pt>
                <c:pt idx="68">
                  <c:v>0.11071650659524031</c:v>
                </c:pt>
                <c:pt idx="69">
                  <c:v>0.11019555380665279</c:v>
                </c:pt>
                <c:pt idx="70">
                  <c:v>0.11634290548625971</c:v>
                </c:pt>
                <c:pt idx="71">
                  <c:v>0.11568527376064311</c:v>
                </c:pt>
                <c:pt idx="72">
                  <c:v>0.10987842976856871</c:v>
                </c:pt>
                <c:pt idx="73">
                  <c:v>0.11022453202646748</c:v>
                </c:pt>
                <c:pt idx="74">
                  <c:v>0.10769801736371494</c:v>
                </c:pt>
                <c:pt idx="75">
                  <c:v>0.11872071638114001</c:v>
                </c:pt>
                <c:pt idx="76">
                  <c:v>0.1269200891793586</c:v>
                </c:pt>
                <c:pt idx="77">
                  <c:v>0.13139695138772969</c:v>
                </c:pt>
                <c:pt idx="78">
                  <c:v>0.10603772480921625</c:v>
                </c:pt>
                <c:pt idx="79">
                  <c:v>0.10667632534942306</c:v>
                </c:pt>
                <c:pt idx="80">
                  <c:v>0.10664307141900482</c:v>
                </c:pt>
                <c:pt idx="81">
                  <c:v>0.12837621900860968</c:v>
                </c:pt>
                <c:pt idx="82">
                  <c:v>0.13248584637553565</c:v>
                </c:pt>
                <c:pt idx="83">
                  <c:v>0.12944756331895596</c:v>
                </c:pt>
                <c:pt idx="84">
                  <c:v>0.15166547518225687</c:v>
                </c:pt>
                <c:pt idx="85">
                  <c:v>0.15605636179279417</c:v>
                </c:pt>
                <c:pt idx="86">
                  <c:v>0.15882771490683115</c:v>
                </c:pt>
                <c:pt idx="87">
                  <c:v>0.15822986516869736</c:v>
                </c:pt>
                <c:pt idx="88">
                  <c:v>0.15255916849868262</c:v>
                </c:pt>
                <c:pt idx="89">
                  <c:v>0.15271054741936915</c:v>
                </c:pt>
              </c:numCache>
            </c:numRef>
          </c:val>
        </c:ser>
        <c:ser>
          <c:idx val="7"/>
          <c:order val="7"/>
          <c:tx>
            <c:strRef>
              <c:f>'Misc. Data &amp; Mechanisms'!$L$814</c:f>
              <c:strCache>
                <c:ptCount val="1"/>
                <c:pt idx="0">
                  <c:v>Rate Riders (Refund)</c:v>
                </c:pt>
              </c:strCache>
            </c:strRef>
          </c:tx>
          <c:spPr>
            <a:solidFill>
              <a:srgbClr val="FF0000">
                <a:alpha val="80000"/>
              </a:srgbClr>
            </a:solidFill>
            <a:ln w="25400">
              <a:noFill/>
            </a:ln>
          </c:spPr>
          <c:cat>
            <c:numRef>
              <c:f>'Misc. Data &amp; Mechanisms'!$A$815:$A$905</c:f>
              <c:numCache>
                <c:formatCode>[$-409]mmm-yy;@</c:formatCode>
                <c:ptCount val="91"/>
                <c:pt idx="0">
                  <c:v>40909</c:v>
                </c:pt>
                <c:pt idx="1">
                  <c:v>40940</c:v>
                </c:pt>
                <c:pt idx="2">
                  <c:v>40969</c:v>
                </c:pt>
                <c:pt idx="3">
                  <c:v>41000</c:v>
                </c:pt>
                <c:pt idx="4">
                  <c:v>41030</c:v>
                </c:pt>
                <c:pt idx="5">
                  <c:v>41061</c:v>
                </c:pt>
                <c:pt idx="6">
                  <c:v>41091</c:v>
                </c:pt>
                <c:pt idx="7">
                  <c:v>41122</c:v>
                </c:pt>
                <c:pt idx="8">
                  <c:v>41153</c:v>
                </c:pt>
                <c:pt idx="9">
                  <c:v>41183</c:v>
                </c:pt>
                <c:pt idx="10">
                  <c:v>41214</c:v>
                </c:pt>
                <c:pt idx="11">
                  <c:v>41244</c:v>
                </c:pt>
                <c:pt idx="12">
                  <c:v>41275</c:v>
                </c:pt>
                <c:pt idx="13">
                  <c:v>41306</c:v>
                </c:pt>
                <c:pt idx="14">
                  <c:v>41334</c:v>
                </c:pt>
                <c:pt idx="15">
                  <c:v>41365</c:v>
                </c:pt>
                <c:pt idx="16">
                  <c:v>41395</c:v>
                </c:pt>
                <c:pt idx="17">
                  <c:v>41426</c:v>
                </c:pt>
                <c:pt idx="18">
                  <c:v>41456</c:v>
                </c:pt>
                <c:pt idx="19">
                  <c:v>41487</c:v>
                </c:pt>
                <c:pt idx="20">
                  <c:v>41518</c:v>
                </c:pt>
                <c:pt idx="21">
                  <c:v>41548</c:v>
                </c:pt>
                <c:pt idx="22">
                  <c:v>41579</c:v>
                </c:pt>
                <c:pt idx="23">
                  <c:v>41609</c:v>
                </c:pt>
                <c:pt idx="24">
                  <c:v>41640</c:v>
                </c:pt>
                <c:pt idx="25">
                  <c:v>41671</c:v>
                </c:pt>
                <c:pt idx="26">
                  <c:v>41699</c:v>
                </c:pt>
                <c:pt idx="27">
                  <c:v>41730</c:v>
                </c:pt>
                <c:pt idx="28">
                  <c:v>41760</c:v>
                </c:pt>
                <c:pt idx="29">
                  <c:v>41791</c:v>
                </c:pt>
                <c:pt idx="30">
                  <c:v>41821</c:v>
                </c:pt>
                <c:pt idx="31">
                  <c:v>41852</c:v>
                </c:pt>
                <c:pt idx="32">
                  <c:v>41883</c:v>
                </c:pt>
                <c:pt idx="33">
                  <c:v>41913</c:v>
                </c:pt>
                <c:pt idx="34">
                  <c:v>41944</c:v>
                </c:pt>
                <c:pt idx="35">
                  <c:v>41974</c:v>
                </c:pt>
                <c:pt idx="36">
                  <c:v>42005</c:v>
                </c:pt>
                <c:pt idx="37">
                  <c:v>42036</c:v>
                </c:pt>
                <c:pt idx="38">
                  <c:v>42064</c:v>
                </c:pt>
                <c:pt idx="39">
                  <c:v>42095</c:v>
                </c:pt>
                <c:pt idx="40">
                  <c:v>42125</c:v>
                </c:pt>
                <c:pt idx="41">
                  <c:v>42156</c:v>
                </c:pt>
                <c:pt idx="42">
                  <c:v>42186</c:v>
                </c:pt>
                <c:pt idx="43">
                  <c:v>42217</c:v>
                </c:pt>
                <c:pt idx="44">
                  <c:v>42248</c:v>
                </c:pt>
                <c:pt idx="45">
                  <c:v>42278</c:v>
                </c:pt>
                <c:pt idx="46">
                  <c:v>42309</c:v>
                </c:pt>
                <c:pt idx="47">
                  <c:v>42339</c:v>
                </c:pt>
                <c:pt idx="48">
                  <c:v>42370</c:v>
                </c:pt>
                <c:pt idx="49">
                  <c:v>42401</c:v>
                </c:pt>
                <c:pt idx="50">
                  <c:v>42430</c:v>
                </c:pt>
                <c:pt idx="51">
                  <c:v>42461</c:v>
                </c:pt>
                <c:pt idx="52">
                  <c:v>42491</c:v>
                </c:pt>
                <c:pt idx="53">
                  <c:v>42522</c:v>
                </c:pt>
                <c:pt idx="54">
                  <c:v>42552</c:v>
                </c:pt>
                <c:pt idx="55">
                  <c:v>42583</c:v>
                </c:pt>
                <c:pt idx="56">
                  <c:v>42614</c:v>
                </c:pt>
                <c:pt idx="57">
                  <c:v>42644</c:v>
                </c:pt>
                <c:pt idx="58">
                  <c:v>42675</c:v>
                </c:pt>
                <c:pt idx="59">
                  <c:v>42705</c:v>
                </c:pt>
                <c:pt idx="60">
                  <c:v>42736</c:v>
                </c:pt>
                <c:pt idx="61">
                  <c:v>42767</c:v>
                </c:pt>
                <c:pt idx="62">
                  <c:v>42795</c:v>
                </c:pt>
                <c:pt idx="63">
                  <c:v>42826</c:v>
                </c:pt>
                <c:pt idx="64">
                  <c:v>42856</c:v>
                </c:pt>
                <c:pt idx="65">
                  <c:v>42887</c:v>
                </c:pt>
                <c:pt idx="66">
                  <c:v>42917</c:v>
                </c:pt>
                <c:pt idx="67">
                  <c:v>42948</c:v>
                </c:pt>
                <c:pt idx="68">
                  <c:v>42979</c:v>
                </c:pt>
                <c:pt idx="69">
                  <c:v>43009</c:v>
                </c:pt>
                <c:pt idx="70">
                  <c:v>43040</c:v>
                </c:pt>
                <c:pt idx="71">
                  <c:v>43070</c:v>
                </c:pt>
                <c:pt idx="72">
                  <c:v>43101</c:v>
                </c:pt>
                <c:pt idx="73">
                  <c:v>43132</c:v>
                </c:pt>
                <c:pt idx="74">
                  <c:v>43160</c:v>
                </c:pt>
                <c:pt idx="75">
                  <c:v>43191</c:v>
                </c:pt>
                <c:pt idx="76">
                  <c:v>43221</c:v>
                </c:pt>
                <c:pt idx="77">
                  <c:v>43252</c:v>
                </c:pt>
                <c:pt idx="78">
                  <c:v>43282</c:v>
                </c:pt>
                <c:pt idx="79">
                  <c:v>43313</c:v>
                </c:pt>
                <c:pt idx="80">
                  <c:v>43344</c:v>
                </c:pt>
                <c:pt idx="81">
                  <c:v>43374</c:v>
                </c:pt>
                <c:pt idx="82">
                  <c:v>43405</c:v>
                </c:pt>
                <c:pt idx="83">
                  <c:v>43435</c:v>
                </c:pt>
                <c:pt idx="84">
                  <c:v>43466</c:v>
                </c:pt>
                <c:pt idx="85">
                  <c:v>43497</c:v>
                </c:pt>
                <c:pt idx="86">
                  <c:v>43525</c:v>
                </c:pt>
                <c:pt idx="87">
                  <c:v>43556</c:v>
                </c:pt>
                <c:pt idx="88">
                  <c:v>43586</c:v>
                </c:pt>
                <c:pt idx="89">
                  <c:v>43617</c:v>
                </c:pt>
              </c:numCache>
            </c:numRef>
          </c:cat>
          <c:val>
            <c:numRef>
              <c:f>'Misc. Data &amp; Mechanisms'!$L$815:$L$905</c:f>
              <c:numCache>
                <c:formatCode>0.00%</c:formatCode>
                <c:ptCount val="91"/>
                <c:pt idx="0">
                  <c:v>0</c:v>
                </c:pt>
                <c:pt idx="1">
                  <c:v>0</c:v>
                </c:pt>
                <c:pt idx="2">
                  <c:v>0</c:v>
                </c:pt>
                <c:pt idx="3">
                  <c:v>0</c:v>
                </c:pt>
                <c:pt idx="4">
                  <c:v>0</c:v>
                </c:pt>
                <c:pt idx="5">
                  <c:v>0</c:v>
                </c:pt>
                <c:pt idx="6">
                  <c:v>0</c:v>
                </c:pt>
                <c:pt idx="7">
                  <c:v>0</c:v>
                </c:pt>
                <c:pt idx="8">
                  <c:v>0</c:v>
                </c:pt>
                <c:pt idx="9">
                  <c:v>-8.5776538156527926E-5</c:v>
                </c:pt>
                <c:pt idx="10">
                  <c:v>-1.0231778996584148E-4</c:v>
                </c:pt>
                <c:pt idx="11">
                  <c:v>-9.6105567734932961E-5</c:v>
                </c:pt>
                <c:pt idx="12">
                  <c:v>-9.0216303848626589E-5</c:v>
                </c:pt>
                <c:pt idx="13">
                  <c:v>-9.9160434413208916E-5</c:v>
                </c:pt>
                <c:pt idx="14">
                  <c:v>-1.0223133878945258E-4</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-3.1750075533180815E-2</c:v>
                </c:pt>
                <c:pt idx="59">
                  <c:v>-2.1818126710582891E-2</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numCache>
            </c:numRef>
          </c:val>
        </c:ser>
        <c:dLbls>
          <c:showLegendKey val="0"/>
          <c:showVal val="0"/>
          <c:showCatName val="0"/>
          <c:showSerName val="0"/>
          <c:showPercent val="0"/>
          <c:showBubbleSize val="0"/>
        </c:dLbls>
        <c:axId val="243381760"/>
        <c:axId val="243383296"/>
      </c:areaChart>
      <c:dateAx>
        <c:axId val="243381760"/>
        <c:scaling>
          <c:orientation val="minMax"/>
        </c:scaling>
        <c:delete val="0"/>
        <c:axPos val="b"/>
        <c:numFmt formatCode="[$-409]mmm-yy;@" sourceLinked="1"/>
        <c:majorTickMark val="out"/>
        <c:minorTickMark val="none"/>
        <c:tickLblPos val="nextTo"/>
        <c:crossAx val="243383296"/>
        <c:crosses val="autoZero"/>
        <c:auto val="1"/>
        <c:lblOffset val="100"/>
        <c:baseTimeUnit val="months"/>
      </c:dateAx>
      <c:valAx>
        <c:axId val="243383296"/>
        <c:scaling>
          <c:orientation val="minMax"/>
          <c:max val="1.1000000000000001"/>
        </c:scaling>
        <c:delete val="0"/>
        <c:axPos val="l"/>
        <c:majorGridlines/>
        <c:numFmt formatCode="0%" sourceLinked="0"/>
        <c:majorTickMark val="out"/>
        <c:minorTickMark val="none"/>
        <c:tickLblPos val="nextTo"/>
        <c:crossAx val="243381760"/>
        <c:crosses val="autoZero"/>
        <c:crossBetween val="midCat"/>
        <c:majorUnit val="0.1"/>
      </c:valAx>
    </c:plotArea>
    <c:legend>
      <c:legendPos val="r"/>
      <c:layout>
        <c:manualLayout>
          <c:xMode val="edge"/>
          <c:yMode val="edge"/>
          <c:x val="0.81295974166566431"/>
          <c:y val="0.28661895480886673"/>
          <c:w val="0.17998972954467646"/>
          <c:h val="0.51309851615082769"/>
        </c:manualLayout>
      </c:layout>
      <c:overlay val="0"/>
      <c:txPr>
        <a:bodyPr/>
        <a:lstStyle/>
        <a:p>
          <a:pPr>
            <a:defRPr sz="1100"/>
          </a:pPr>
          <a:endParaRPr lang="en-US"/>
        </a:p>
      </c:txPr>
    </c:legend>
    <c:plotVisOnly val="0"/>
    <c:dispBlanksAs val="zero"/>
    <c:showDLblsOverMax val="0"/>
  </c:chart>
  <c:spPr>
    <a:ln>
      <a:noFill/>
    </a:ln>
  </c:spPr>
  <c:txPr>
    <a:bodyPr/>
    <a:lstStyle/>
    <a:p>
      <a:pPr>
        <a:defRPr>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2.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chart" Target="../charts/chart11.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image" Target="../media/image1.png"/><Relationship Id="rId5" Type="http://schemas.openxmlformats.org/officeDocument/2006/relationships/chart" Target="../charts/chart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3.xml"/></Relationships>
</file>

<file path=xl/drawings/_rels/drawing2.xml.rels><?xml version="1.0" encoding="UTF-8" standalone="yes"?>
<Relationships xmlns="http://schemas.openxmlformats.org/package/2006/relationships"><Relationship Id="rId8" Type="http://schemas.openxmlformats.org/officeDocument/2006/relationships/chart" Target="../charts/chart21.xml"/><Relationship Id="rId13" Type="http://schemas.openxmlformats.org/officeDocument/2006/relationships/chart" Target="../charts/chart25.xml"/><Relationship Id="rId3" Type="http://schemas.openxmlformats.org/officeDocument/2006/relationships/chart" Target="../charts/chart16.xml"/><Relationship Id="rId7" Type="http://schemas.openxmlformats.org/officeDocument/2006/relationships/chart" Target="../charts/chart20.xml"/><Relationship Id="rId12" Type="http://schemas.openxmlformats.org/officeDocument/2006/relationships/chart" Target="../charts/chart24.xml"/><Relationship Id="rId2" Type="http://schemas.openxmlformats.org/officeDocument/2006/relationships/chart" Target="../charts/chart15.xml"/><Relationship Id="rId1" Type="http://schemas.openxmlformats.org/officeDocument/2006/relationships/chart" Target="../charts/chart14.xml"/><Relationship Id="rId6" Type="http://schemas.openxmlformats.org/officeDocument/2006/relationships/chart" Target="../charts/chart19.xml"/><Relationship Id="rId11" Type="http://schemas.openxmlformats.org/officeDocument/2006/relationships/image" Target="../media/image1.png"/><Relationship Id="rId5" Type="http://schemas.openxmlformats.org/officeDocument/2006/relationships/chart" Target="../charts/chart18.xml"/><Relationship Id="rId10" Type="http://schemas.openxmlformats.org/officeDocument/2006/relationships/chart" Target="../charts/chart23.xml"/><Relationship Id="rId4" Type="http://schemas.openxmlformats.org/officeDocument/2006/relationships/chart" Target="../charts/chart17.xml"/><Relationship Id="rId9" Type="http://schemas.openxmlformats.org/officeDocument/2006/relationships/chart" Target="../charts/chart22.xml"/><Relationship Id="rId14" Type="http://schemas.openxmlformats.org/officeDocument/2006/relationships/chart" Target="../charts/chart26.xml"/></Relationships>
</file>

<file path=xl/drawings/_rels/drawing3.xml.rels><?xml version="1.0" encoding="UTF-8" standalone="yes"?>
<Relationships xmlns="http://schemas.openxmlformats.org/package/2006/relationships"><Relationship Id="rId3" Type="http://schemas.openxmlformats.org/officeDocument/2006/relationships/chart" Target="../charts/chart29.xml"/><Relationship Id="rId2" Type="http://schemas.openxmlformats.org/officeDocument/2006/relationships/chart" Target="../charts/chart28.xml"/><Relationship Id="rId1" Type="http://schemas.openxmlformats.org/officeDocument/2006/relationships/chart" Target="../charts/chart27.xml"/><Relationship Id="rId6" Type="http://schemas.openxmlformats.org/officeDocument/2006/relationships/chart" Target="../charts/chart32.xml"/><Relationship Id="rId5" Type="http://schemas.openxmlformats.org/officeDocument/2006/relationships/chart" Target="../charts/chart31.xml"/><Relationship Id="rId4" Type="http://schemas.openxmlformats.org/officeDocument/2006/relationships/chart" Target="../charts/chart30.xml"/></Relationships>
</file>

<file path=xl/drawings/drawing1.xml><?xml version="1.0" encoding="utf-8"?>
<xdr:wsDr xmlns:xdr="http://schemas.openxmlformats.org/drawingml/2006/spreadsheetDrawing" xmlns:a="http://schemas.openxmlformats.org/drawingml/2006/main">
  <xdr:twoCellAnchor>
    <xdr:from>
      <xdr:col>0</xdr:col>
      <xdr:colOff>0</xdr:colOff>
      <xdr:row>157</xdr:row>
      <xdr:rowOff>0</xdr:rowOff>
    </xdr:from>
    <xdr:to>
      <xdr:col>24</xdr:col>
      <xdr:colOff>571500</xdr:colOff>
      <xdr:row>184</xdr:row>
      <xdr:rowOff>190500</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1</xdr:colOff>
      <xdr:row>18</xdr:row>
      <xdr:rowOff>11907</xdr:rowOff>
    </xdr:from>
    <xdr:to>
      <xdr:col>16</xdr:col>
      <xdr:colOff>571500</xdr:colOff>
      <xdr:row>36</xdr:row>
      <xdr:rowOff>178594</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16</xdr:col>
      <xdr:colOff>517071</xdr:colOff>
      <xdr:row>18</xdr:row>
      <xdr:rowOff>15875</xdr:rowOff>
    </xdr:from>
    <xdr:to>
      <xdr:col>24</xdr:col>
      <xdr:colOff>571500</xdr:colOff>
      <xdr:row>36</xdr:row>
      <xdr:rowOff>163285</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7</xdr:col>
      <xdr:colOff>0</xdr:colOff>
      <xdr:row>250</xdr:row>
      <xdr:rowOff>0</xdr:rowOff>
    </xdr:from>
    <xdr:to>
      <xdr:col>24</xdr:col>
      <xdr:colOff>571500</xdr:colOff>
      <xdr:row>270</xdr:row>
      <xdr:rowOff>0</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0</xdr:colOff>
      <xdr:row>269</xdr:row>
      <xdr:rowOff>190499</xdr:rowOff>
    </xdr:from>
    <xdr:to>
      <xdr:col>24</xdr:col>
      <xdr:colOff>571499</xdr:colOff>
      <xdr:row>290</xdr:row>
      <xdr:rowOff>15875</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0</xdr:colOff>
      <xdr:row>290</xdr:row>
      <xdr:rowOff>31751</xdr:rowOff>
    </xdr:from>
    <xdr:to>
      <xdr:col>24</xdr:col>
      <xdr:colOff>571500</xdr:colOff>
      <xdr:row>325</xdr:row>
      <xdr:rowOff>163285</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0</xdr:colOff>
      <xdr:row>231</xdr:row>
      <xdr:rowOff>15874</xdr:rowOff>
    </xdr:from>
    <xdr:to>
      <xdr:col>24</xdr:col>
      <xdr:colOff>571500</xdr:colOff>
      <xdr:row>250</xdr:row>
      <xdr:rowOff>19049</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15876</xdr:colOff>
      <xdr:row>195</xdr:row>
      <xdr:rowOff>15875</xdr:rowOff>
    </xdr:from>
    <xdr:to>
      <xdr:col>24</xdr:col>
      <xdr:colOff>571500</xdr:colOff>
      <xdr:row>226</xdr:row>
      <xdr:rowOff>190500</xdr:rowOff>
    </xdr:to>
    <xdr:graphicFrame macro="">
      <xdr:nvGraphicFramePr>
        <xdr:cNvPr id="11"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9</xdr:col>
      <xdr:colOff>3175</xdr:colOff>
      <xdr:row>121</xdr:row>
      <xdr:rowOff>15875</xdr:rowOff>
    </xdr:from>
    <xdr:to>
      <xdr:col>24</xdr:col>
      <xdr:colOff>571500</xdr:colOff>
      <xdr:row>147</xdr:row>
      <xdr:rowOff>190500</xdr:rowOff>
    </xdr:to>
    <xdr:graphicFrame macro="">
      <xdr:nvGraphicFramePr>
        <xdr:cNvPr id="13" name="Chart 1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121</xdr:row>
      <xdr:rowOff>15875</xdr:rowOff>
    </xdr:from>
    <xdr:to>
      <xdr:col>9</xdr:col>
      <xdr:colOff>0</xdr:colOff>
      <xdr:row>147</xdr:row>
      <xdr:rowOff>190501</xdr:rowOff>
    </xdr:to>
    <xdr:graphicFrame macro="">
      <xdr:nvGraphicFramePr>
        <xdr:cNvPr id="14" name="Chart 1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oneCell">
    <xdr:from>
      <xdr:col>15</xdr:col>
      <xdr:colOff>15875</xdr:colOff>
      <xdr:row>6</xdr:row>
      <xdr:rowOff>222249</xdr:rowOff>
    </xdr:from>
    <xdr:to>
      <xdr:col>19</xdr:col>
      <xdr:colOff>0</xdr:colOff>
      <xdr:row>12</xdr:row>
      <xdr:rowOff>31750</xdr:rowOff>
    </xdr:to>
    <xdr:pic>
      <xdr:nvPicPr>
        <xdr:cNvPr id="23" name="Picture 22" descr="\\aeso.ca\DFS\users\jconville\Desktop\Group Ungroup Expand Raw Photo.PNG"/>
        <xdr:cNvPicPr/>
      </xdr:nvPicPr>
      <xdr:blipFill rotWithShape="1">
        <a:blip xmlns:r="http://schemas.openxmlformats.org/officeDocument/2006/relationships" r:embed="rId11">
          <a:extLst>
            <a:ext uri="{28A0092B-C50C-407E-A947-70E740481C1C}">
              <a14:useLocalDpi xmlns:a14="http://schemas.microsoft.com/office/drawing/2010/main" val="0"/>
            </a:ext>
          </a:extLst>
        </a:blip>
        <a:srcRect l="1742" t="4280" r="2934" b="3378"/>
        <a:stretch/>
      </xdr:blipFill>
      <xdr:spPr bwMode="auto">
        <a:xfrm>
          <a:off x="16160750" y="1841499"/>
          <a:ext cx="2762250" cy="1857376"/>
        </a:xfrm>
        <a:prstGeom prst="rect">
          <a:avLst/>
        </a:prstGeom>
        <a:noFill/>
        <a:ln>
          <a:solidFill>
            <a:sysClr val="windowText" lastClr="000000"/>
          </a:solidFill>
        </a:ln>
        <a:extLst>
          <a:ext uri="{53640926-AAD7-44D8-BBD7-CCE9431645EC}">
            <a14:shadowObscured xmlns:a14="http://schemas.microsoft.com/office/drawing/2010/main"/>
          </a:ext>
        </a:extLst>
      </xdr:spPr>
    </xdr:pic>
    <xdr:clientData/>
  </xdr:twoCellAnchor>
  <xdr:twoCellAnchor>
    <xdr:from>
      <xdr:col>2</xdr:col>
      <xdr:colOff>19050</xdr:colOff>
      <xdr:row>43</xdr:row>
      <xdr:rowOff>171450</xdr:rowOff>
    </xdr:from>
    <xdr:to>
      <xdr:col>19</xdr:col>
      <xdr:colOff>19049</xdr:colOff>
      <xdr:row>74</xdr:row>
      <xdr:rowOff>152401</xdr:rowOff>
    </xdr:to>
    <xdr:graphicFrame macro="">
      <xdr:nvGraphicFramePr>
        <xdr:cNvPr id="15" name="Chart 1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93</xdr:row>
      <xdr:rowOff>1</xdr:rowOff>
    </xdr:from>
    <xdr:to>
      <xdr:col>13</xdr:col>
      <xdr:colOff>936624</xdr:colOff>
      <xdr:row>112</xdr:row>
      <xdr:rowOff>158750</xdr:rowOff>
    </xdr:to>
    <xdr:graphicFrame macro="">
      <xdr:nvGraphicFramePr>
        <xdr:cNvPr id="24" name="Chart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15</xdr:col>
      <xdr:colOff>13607</xdr:colOff>
      <xdr:row>79</xdr:row>
      <xdr:rowOff>13607</xdr:rowOff>
    </xdr:from>
    <xdr:to>
      <xdr:col>24</xdr:col>
      <xdr:colOff>585107</xdr:colOff>
      <xdr:row>112</xdr:row>
      <xdr:rowOff>176894</xdr:rowOff>
    </xdr:to>
    <xdr:graphicFrame macro="">
      <xdr:nvGraphicFramePr>
        <xdr:cNvPr id="25"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6</xdr:col>
      <xdr:colOff>19051</xdr:colOff>
      <xdr:row>17</xdr:row>
      <xdr:rowOff>40822</xdr:rowOff>
    </xdr:from>
    <xdr:to>
      <xdr:col>15</xdr:col>
      <xdr:colOff>914400</xdr:colOff>
      <xdr:row>38</xdr:row>
      <xdr:rowOff>174626</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936625</xdr:colOff>
      <xdr:row>17</xdr:row>
      <xdr:rowOff>13607</xdr:rowOff>
    </xdr:from>
    <xdr:to>
      <xdr:col>24</xdr:col>
      <xdr:colOff>571500</xdr:colOff>
      <xdr:row>38</xdr:row>
      <xdr:rowOff>209550</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19050</xdr:colOff>
      <xdr:row>248</xdr:row>
      <xdr:rowOff>209550</xdr:rowOff>
    </xdr:from>
    <xdr:to>
      <xdr:col>24</xdr:col>
      <xdr:colOff>571499</xdr:colOff>
      <xdr:row>268</xdr:row>
      <xdr:rowOff>209550</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2</xdr:colOff>
      <xdr:row>268</xdr:row>
      <xdr:rowOff>190499</xdr:rowOff>
    </xdr:from>
    <xdr:to>
      <xdr:col>24</xdr:col>
      <xdr:colOff>571500</xdr:colOff>
      <xdr:row>289</xdr:row>
      <xdr:rowOff>15875</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0</xdr:colOff>
      <xdr:row>289</xdr:row>
      <xdr:rowOff>31751</xdr:rowOff>
    </xdr:from>
    <xdr:to>
      <xdr:col>24</xdr:col>
      <xdr:colOff>571500</xdr:colOff>
      <xdr:row>324</xdr:row>
      <xdr:rowOff>163285</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13607</xdr:colOff>
      <xdr:row>230</xdr:row>
      <xdr:rowOff>19050</xdr:rowOff>
    </xdr:from>
    <xdr:to>
      <xdr:col>24</xdr:col>
      <xdr:colOff>571500</xdr:colOff>
      <xdr:row>248</xdr:row>
      <xdr:rowOff>193675</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31750</xdr:colOff>
      <xdr:row>158</xdr:row>
      <xdr:rowOff>15875</xdr:rowOff>
    </xdr:from>
    <xdr:to>
      <xdr:col>24</xdr:col>
      <xdr:colOff>571500</xdr:colOff>
      <xdr:row>185</xdr:row>
      <xdr:rowOff>206375</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196</xdr:row>
      <xdr:rowOff>15875</xdr:rowOff>
    </xdr:from>
    <xdr:to>
      <xdr:col>24</xdr:col>
      <xdr:colOff>571500</xdr:colOff>
      <xdr:row>225</xdr:row>
      <xdr:rowOff>209550</xdr:rowOff>
    </xdr:to>
    <xdr:graphicFrame macro="">
      <xdr:nvGraphicFramePr>
        <xdr:cNvPr id="11"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9</xdr:col>
      <xdr:colOff>19050</xdr:colOff>
      <xdr:row>122</xdr:row>
      <xdr:rowOff>15875</xdr:rowOff>
    </xdr:from>
    <xdr:to>
      <xdr:col>24</xdr:col>
      <xdr:colOff>571500</xdr:colOff>
      <xdr:row>148</xdr:row>
      <xdr:rowOff>190499</xdr:rowOff>
    </xdr:to>
    <xdr:graphicFrame macro="">
      <xdr:nvGraphicFramePr>
        <xdr:cNvPr id="13"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122</xdr:row>
      <xdr:rowOff>15875</xdr:rowOff>
    </xdr:from>
    <xdr:to>
      <xdr:col>9</xdr:col>
      <xdr:colOff>0</xdr:colOff>
      <xdr:row>148</xdr:row>
      <xdr:rowOff>190501</xdr:rowOff>
    </xdr:to>
    <xdr:graphicFrame macro="">
      <xdr:nvGraphicFramePr>
        <xdr:cNvPr id="14"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oneCell">
    <xdr:from>
      <xdr:col>15</xdr:col>
      <xdr:colOff>15875</xdr:colOff>
      <xdr:row>6</xdr:row>
      <xdr:rowOff>222249</xdr:rowOff>
    </xdr:from>
    <xdr:to>
      <xdr:col>19</xdr:col>
      <xdr:colOff>0</xdr:colOff>
      <xdr:row>12</xdr:row>
      <xdr:rowOff>31750</xdr:rowOff>
    </xdr:to>
    <xdr:pic>
      <xdr:nvPicPr>
        <xdr:cNvPr id="17" name="Picture 16" descr="\\aeso.ca\DFS\users\jconville\Desktop\Group Ungroup Expand Raw Photo.PNG"/>
        <xdr:cNvPicPr/>
      </xdr:nvPicPr>
      <xdr:blipFill rotWithShape="1">
        <a:blip xmlns:r="http://schemas.openxmlformats.org/officeDocument/2006/relationships" r:embed="rId11">
          <a:extLst>
            <a:ext uri="{28A0092B-C50C-407E-A947-70E740481C1C}">
              <a14:useLocalDpi xmlns:a14="http://schemas.microsoft.com/office/drawing/2010/main" val="0"/>
            </a:ext>
          </a:extLst>
        </a:blip>
        <a:srcRect l="1742" t="4280" r="2934" b="3378"/>
        <a:stretch/>
      </xdr:blipFill>
      <xdr:spPr bwMode="auto">
        <a:xfrm>
          <a:off x="16179800" y="1851024"/>
          <a:ext cx="2774950" cy="1863726"/>
        </a:xfrm>
        <a:prstGeom prst="rect">
          <a:avLst/>
        </a:prstGeom>
        <a:noFill/>
        <a:ln>
          <a:solidFill>
            <a:sysClr val="windowText" lastClr="000000"/>
          </a:solidFill>
        </a:ln>
        <a:extLst>
          <a:ext uri="{53640926-AAD7-44D8-BBD7-CCE9431645EC}">
            <a14:shadowObscured xmlns:a14="http://schemas.microsoft.com/office/drawing/2010/main"/>
          </a:ext>
        </a:extLst>
      </xdr:spPr>
    </xdr:pic>
    <xdr:clientData/>
  </xdr:twoCellAnchor>
  <xdr:twoCellAnchor>
    <xdr:from>
      <xdr:col>2</xdr:col>
      <xdr:colOff>0</xdr:colOff>
      <xdr:row>46</xdr:row>
      <xdr:rowOff>1</xdr:rowOff>
    </xdr:from>
    <xdr:to>
      <xdr:col>20</xdr:col>
      <xdr:colOff>219075</xdr:colOff>
      <xdr:row>76</xdr:row>
      <xdr:rowOff>190500</xdr:rowOff>
    </xdr:to>
    <xdr:graphicFrame macro="">
      <xdr:nvGraphicFramePr>
        <xdr:cNvPr id="19"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94</xdr:row>
      <xdr:rowOff>6350</xdr:rowOff>
    </xdr:from>
    <xdr:to>
      <xdr:col>14</xdr:col>
      <xdr:colOff>15875</xdr:colOff>
      <xdr:row>113</xdr:row>
      <xdr:rowOff>158750</xdr:rowOff>
    </xdr:to>
    <xdr:graphicFrame macro="">
      <xdr:nvGraphicFramePr>
        <xdr:cNvPr id="20" name="Chart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14</xdr:col>
      <xdr:colOff>761999</xdr:colOff>
      <xdr:row>81</xdr:row>
      <xdr:rowOff>15874</xdr:rowOff>
    </xdr:from>
    <xdr:to>
      <xdr:col>24</xdr:col>
      <xdr:colOff>571500</xdr:colOff>
      <xdr:row>113</xdr:row>
      <xdr:rowOff>174624</xdr:rowOff>
    </xdr:to>
    <xdr:graphicFrame macro="">
      <xdr:nvGraphicFramePr>
        <xdr:cNvPr id="21"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24</xdr:col>
      <xdr:colOff>0</xdr:colOff>
      <xdr:row>386</xdr:row>
      <xdr:rowOff>0</xdr:rowOff>
    </xdr:from>
    <xdr:to>
      <xdr:col>29</xdr:col>
      <xdr:colOff>29369</xdr:colOff>
      <xdr:row>420</xdr:row>
      <xdr:rowOff>7939</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29</xdr:col>
      <xdr:colOff>349250</xdr:colOff>
      <xdr:row>386</xdr:row>
      <xdr:rowOff>0</xdr:rowOff>
    </xdr:from>
    <xdr:to>
      <xdr:col>37</xdr:col>
      <xdr:colOff>731839</xdr:colOff>
      <xdr:row>419</xdr:row>
      <xdr:rowOff>142875</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1666876</xdr:colOff>
      <xdr:row>479</xdr:row>
      <xdr:rowOff>0</xdr:rowOff>
    </xdr:from>
    <xdr:to>
      <xdr:col>9</xdr:col>
      <xdr:colOff>1023938</xdr:colOff>
      <xdr:row>499</xdr:row>
      <xdr:rowOff>63500</xdr:rowOff>
    </xdr:to>
    <xdr:graphicFrame macro="">
      <xdr:nvGraphicFramePr>
        <xdr:cNvPr id="11"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24</xdr:col>
      <xdr:colOff>692149</xdr:colOff>
      <xdr:row>494</xdr:row>
      <xdr:rowOff>111124</xdr:rowOff>
    </xdr:from>
    <xdr:to>
      <xdr:col>28</xdr:col>
      <xdr:colOff>381000</xdr:colOff>
      <xdr:row>509</xdr:row>
      <xdr:rowOff>133349</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29</xdr:col>
      <xdr:colOff>28575</xdr:colOff>
      <xdr:row>494</xdr:row>
      <xdr:rowOff>32429</xdr:rowOff>
    </xdr:from>
    <xdr:to>
      <xdr:col>34</xdr:col>
      <xdr:colOff>15875</xdr:colOff>
      <xdr:row>509</xdr:row>
      <xdr:rowOff>30842</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20</xdr:col>
      <xdr:colOff>31751</xdr:colOff>
      <xdr:row>479</xdr:row>
      <xdr:rowOff>15875</xdr:rowOff>
    </xdr:from>
    <xdr:to>
      <xdr:col>23</xdr:col>
      <xdr:colOff>1381125</xdr:colOff>
      <xdr:row>506</xdr:row>
      <xdr:rowOff>182562</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jconville\Downloads\KeyMunicipalitiesLAFHistorica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 Electricity"/>
      <sheetName val="Elec Rider #1"/>
      <sheetName val="Elec Rider #2"/>
      <sheetName val="All NG"/>
      <sheetName val="NG Rider #1"/>
      <sheetName val="NG Rider #2"/>
      <sheetName val="AltaGas Rider B Components"/>
    </sheetNames>
    <sheetDataSet>
      <sheetData sheetId="0">
        <row r="1">
          <cell r="A1" t="str">
            <v>Summed</v>
          </cell>
          <cell r="B1" t="str">
            <v>Municipality</v>
          </cell>
          <cell r="C1" t="str">
            <v>Service Region</v>
          </cell>
          <cell r="D1" t="str">
            <v>Rider 1</v>
          </cell>
          <cell r="E1" t="str">
            <v>Rider 2</v>
          </cell>
          <cell r="F1" t="str">
            <v xml:space="preserve">Rider 1 Descr. </v>
          </cell>
          <cell r="G1" t="str">
            <v>Rider 2 Descr.</v>
          </cell>
          <cell r="H1" t="str">
            <v>Problem</v>
          </cell>
        </row>
        <row r="2">
          <cell r="A2">
            <v>-0.11</v>
          </cell>
          <cell r="B2" t="str">
            <v>Lakeland</v>
          </cell>
          <cell r="C2" t="str">
            <v>ATCO</v>
          </cell>
          <cell r="D2">
            <v>-0.11</v>
          </cell>
          <cell r="E2">
            <v>0</v>
          </cell>
          <cell r="F2" t="str">
            <v>Municipal Assessment Rider (A-1)</v>
          </cell>
          <cell r="G2" t="str">
            <v>Municipal Franchise Fee</v>
          </cell>
        </row>
        <row r="3">
          <cell r="A3">
            <v>-4.0000000000000001E-3</v>
          </cell>
          <cell r="B3" t="str">
            <v>Red Deer, City Of</v>
          </cell>
          <cell r="C3" t="str">
            <v>FORTIS</v>
          </cell>
          <cell r="D3">
            <v>-4.0000000000000001E-3</v>
          </cell>
          <cell r="F3" t="str">
            <v>Municipal Assessment Rider A-179</v>
          </cell>
          <cell r="G3" t="str">
            <v>Franchise Fee</v>
          </cell>
          <cell r="H3">
            <v>1</v>
          </cell>
        </row>
        <row r="4">
          <cell r="A4">
            <v>-1.1000000000000001E-3</v>
          </cell>
          <cell r="B4" t="str">
            <v>Point Alison, Village Of</v>
          </cell>
          <cell r="C4" t="str">
            <v>FORTIS</v>
          </cell>
          <cell r="D4">
            <v>-1.1000000000000001E-3</v>
          </cell>
          <cell r="F4" t="str">
            <v>Municipal Assessment Rider A-170</v>
          </cell>
          <cell r="G4" t="str">
            <v>Franchise Fee</v>
          </cell>
        </row>
        <row r="5">
          <cell r="A5">
            <v>-5.0000000000000001E-4</v>
          </cell>
          <cell r="B5" t="str">
            <v>Wood Buffalo, Muni Of</v>
          </cell>
          <cell r="C5" t="str">
            <v>FORTIS</v>
          </cell>
          <cell r="D5">
            <v>-5.0000000000000001E-4</v>
          </cell>
          <cell r="F5" t="str">
            <v>Municipal Assessment Rider A-247</v>
          </cell>
          <cell r="G5" t="str">
            <v>Franchise Fee</v>
          </cell>
          <cell r="H5">
            <v>1</v>
          </cell>
        </row>
        <row r="6">
          <cell r="A6">
            <v>0</v>
          </cell>
          <cell r="B6" t="str">
            <v>Greenview #16, M.D. Of</v>
          </cell>
          <cell r="C6" t="str">
            <v>FORTIS</v>
          </cell>
          <cell r="D6">
            <v>0</v>
          </cell>
          <cell r="F6" t="str">
            <v>Municipal Assessment Rider A-97</v>
          </cell>
          <cell r="G6" t="str">
            <v>Franchise Fee</v>
          </cell>
        </row>
        <row r="7">
          <cell r="A7">
            <v>0</v>
          </cell>
        </row>
        <row r="8">
          <cell r="A8">
            <v>1E-4</v>
          </cell>
          <cell r="B8" t="str">
            <v>Cardston, Town Of</v>
          </cell>
          <cell r="C8" t="str">
            <v>FORTIS</v>
          </cell>
          <cell r="D8">
            <v>1E-4</v>
          </cell>
          <cell r="F8" t="str">
            <v>Municipal Assessment Rider A-49</v>
          </cell>
          <cell r="G8" t="str">
            <v>Franchise Fee</v>
          </cell>
        </row>
        <row r="9">
          <cell r="A9">
            <v>5.0000000000000001E-4</v>
          </cell>
          <cell r="B9" t="str">
            <v>Id No. 9</v>
          </cell>
          <cell r="C9" t="str">
            <v>FORTIS</v>
          </cell>
          <cell r="D9">
            <v>5.0000000000000001E-4</v>
          </cell>
          <cell r="F9" t="str">
            <v>Municipal Assessment Rider A-111</v>
          </cell>
          <cell r="G9" t="str">
            <v>Franchise Fee</v>
          </cell>
          <cell r="H9">
            <v>1</v>
          </cell>
        </row>
        <row r="10">
          <cell r="A10">
            <v>5.0000000000000001E-4</v>
          </cell>
          <cell r="B10" t="str">
            <v>Lamont County</v>
          </cell>
          <cell r="C10" t="str">
            <v>FORTIS</v>
          </cell>
          <cell r="D10">
            <v>5.0000000000000001E-4</v>
          </cell>
          <cell r="F10" t="str">
            <v>Municipal Assessment Rider A-129</v>
          </cell>
          <cell r="G10" t="str">
            <v>Franchise Fee</v>
          </cell>
        </row>
        <row r="11">
          <cell r="A11">
            <v>6.9999999999999999E-4</v>
          </cell>
          <cell r="B11" t="str">
            <v>Vermilion River, County Of</v>
          </cell>
          <cell r="C11" t="str">
            <v>FORTIS</v>
          </cell>
          <cell r="D11">
            <v>6.9999999999999999E-4</v>
          </cell>
          <cell r="F11" t="str">
            <v>Municipal Assessment Rider A-226</v>
          </cell>
          <cell r="G11" t="str">
            <v>Franchise Fee</v>
          </cell>
          <cell r="H11">
            <v>1</v>
          </cell>
        </row>
        <row r="12">
          <cell r="A12">
            <v>1.2999999999999999E-3</v>
          </cell>
          <cell r="B12" t="str">
            <v>Athabasca County</v>
          </cell>
          <cell r="C12" t="str">
            <v>FORTIS</v>
          </cell>
          <cell r="D12">
            <v>1.2999999999999999E-3</v>
          </cell>
          <cell r="F12" t="str">
            <v>Municipal Assessment Rider A-10</v>
          </cell>
          <cell r="G12" t="str">
            <v>Franchise Fee</v>
          </cell>
        </row>
        <row r="13">
          <cell r="A13">
            <v>1.5E-3</v>
          </cell>
          <cell r="B13" t="str">
            <v>Stettler #6, County Of</v>
          </cell>
          <cell r="C13" t="str">
            <v>FORTIS</v>
          </cell>
          <cell r="D13">
            <v>1.5E-3</v>
          </cell>
          <cell r="F13" t="str">
            <v>Municipal Assessment Rider A-202</v>
          </cell>
          <cell r="G13" t="str">
            <v>Franchise Fee</v>
          </cell>
          <cell r="H13">
            <v>1</v>
          </cell>
        </row>
        <row r="14">
          <cell r="A14">
            <v>1.6000000000000001E-3</v>
          </cell>
          <cell r="B14" t="str">
            <v>Lethbridge, City Of</v>
          </cell>
          <cell r="C14" t="str">
            <v>FORTIS</v>
          </cell>
          <cell r="D14">
            <v>1.6000000000000001E-3</v>
          </cell>
          <cell r="F14" t="str">
            <v>Municipal Assessment Rider A-137</v>
          </cell>
          <cell r="G14" t="str">
            <v>Franchise Fee</v>
          </cell>
        </row>
        <row r="15">
          <cell r="A15">
            <v>1.6999999999999999E-3</v>
          </cell>
          <cell r="B15" t="str">
            <v>Leduc County</v>
          </cell>
          <cell r="C15" t="str">
            <v>FORTIS</v>
          </cell>
          <cell r="D15">
            <v>1.6999999999999999E-3</v>
          </cell>
          <cell r="F15" t="str">
            <v>Municipal Assessment Rider A-132</v>
          </cell>
          <cell r="G15" t="str">
            <v>Franchise Fee</v>
          </cell>
        </row>
        <row r="16">
          <cell r="A16">
            <v>1.8E-3</v>
          </cell>
          <cell r="B16" t="str">
            <v>Bighorn #8, M.D. Of</v>
          </cell>
          <cell r="C16" t="str">
            <v>FORTIS</v>
          </cell>
          <cell r="D16">
            <v>1.8E-3</v>
          </cell>
          <cell r="F16" t="str">
            <v>Municipal Assessment Rider A-25</v>
          </cell>
          <cell r="G16" t="str">
            <v>Franchise Fee</v>
          </cell>
        </row>
        <row r="17">
          <cell r="A17">
            <v>1.8E-3</v>
          </cell>
          <cell r="B17" t="str">
            <v>Fort Macleod, Town Of</v>
          </cell>
          <cell r="C17" t="str">
            <v>FORTIS</v>
          </cell>
          <cell r="D17">
            <v>1.8E-3</v>
          </cell>
          <cell r="F17" t="str">
            <v>Municipal Assessment Rider A-88</v>
          </cell>
          <cell r="G17" t="str">
            <v>Franchise Fee</v>
          </cell>
        </row>
        <row r="18">
          <cell r="A18">
            <v>1.8E-3</v>
          </cell>
          <cell r="B18" t="str">
            <v>Yellowhead County</v>
          </cell>
          <cell r="C18" t="str">
            <v>FORTIS</v>
          </cell>
          <cell r="D18">
            <v>1.8E-3</v>
          </cell>
          <cell r="F18" t="str">
            <v>Municipal Assessment Rider A-249</v>
          </cell>
          <cell r="G18" t="str">
            <v>Franchise Fee</v>
          </cell>
        </row>
        <row r="19">
          <cell r="A19">
            <v>1.9E-3</v>
          </cell>
          <cell r="B19" t="str">
            <v>Paintearth No. 18, County Of</v>
          </cell>
          <cell r="C19" t="str">
            <v>FORTIS</v>
          </cell>
          <cell r="D19">
            <v>1.9E-3</v>
          </cell>
          <cell r="F19" t="str">
            <v>Municipal Assessment Rider A-162</v>
          </cell>
          <cell r="G19" t="str">
            <v>Franchise Fee</v>
          </cell>
        </row>
        <row r="20">
          <cell r="A20">
            <v>1.9E-3</v>
          </cell>
          <cell r="B20" t="str">
            <v>Provost #52, M.D. Of</v>
          </cell>
          <cell r="C20" t="str">
            <v>FORTIS</v>
          </cell>
          <cell r="D20">
            <v>1.9E-3</v>
          </cell>
          <cell r="F20" t="str">
            <v>Municipal Assessment Rider A-174</v>
          </cell>
          <cell r="G20" t="str">
            <v>Franchise Fee</v>
          </cell>
        </row>
        <row r="21">
          <cell r="A21">
            <v>2E-3</v>
          </cell>
          <cell r="B21" t="str">
            <v>Cypress County</v>
          </cell>
          <cell r="C21" t="str">
            <v>FORTIS</v>
          </cell>
          <cell r="D21">
            <v>2E-3</v>
          </cell>
          <cell r="F21" t="str">
            <v>Municipal Assessment Rider A-71</v>
          </cell>
          <cell r="G21" t="str">
            <v>Franchise Fee</v>
          </cell>
        </row>
        <row r="22">
          <cell r="A22">
            <v>2.0999999999999999E-3</v>
          </cell>
          <cell r="B22" t="str">
            <v>Id No. 13</v>
          </cell>
          <cell r="C22" t="str">
            <v>FORTIS</v>
          </cell>
          <cell r="D22">
            <v>2.0999999999999999E-3</v>
          </cell>
          <cell r="F22" t="str">
            <v>Municipal Assessment Rider A-108</v>
          </cell>
          <cell r="G22" t="str">
            <v>Franchise Fee</v>
          </cell>
          <cell r="H22">
            <v>1</v>
          </cell>
        </row>
        <row r="23">
          <cell r="A23">
            <v>2.0999999999999999E-3</v>
          </cell>
          <cell r="B23" t="str">
            <v>Lacombe County</v>
          </cell>
          <cell r="C23" t="str">
            <v>FORTIS</v>
          </cell>
          <cell r="D23">
            <v>2.0999999999999999E-3</v>
          </cell>
          <cell r="F23" t="str">
            <v>Municipal Assessment Rider A-126</v>
          </cell>
          <cell r="G23" t="str">
            <v>Franchise Fee</v>
          </cell>
        </row>
        <row r="24">
          <cell r="A24">
            <v>2.2000000000000001E-3</v>
          </cell>
          <cell r="B24" t="str">
            <v>Sturgeon County</v>
          </cell>
          <cell r="C24" t="str">
            <v>FORTIS</v>
          </cell>
          <cell r="D24">
            <v>2.2000000000000001E-3</v>
          </cell>
          <cell r="F24" t="str">
            <v>Municipal Assessment Rider A-209</v>
          </cell>
          <cell r="G24" t="str">
            <v>Franchise Fee</v>
          </cell>
          <cell r="H24">
            <v>1</v>
          </cell>
        </row>
        <row r="25">
          <cell r="A25">
            <v>2.3E-3</v>
          </cell>
          <cell r="B25" t="str">
            <v>Ghost Lake, S.V. Of</v>
          </cell>
          <cell r="C25" t="str">
            <v>FORTIS</v>
          </cell>
          <cell r="D25">
            <v>2.3E-3</v>
          </cell>
          <cell r="F25" t="str">
            <v>Municipal Assessment Rider A-91</v>
          </cell>
          <cell r="G25" t="str">
            <v>Franchise Fee</v>
          </cell>
        </row>
        <row r="26">
          <cell r="A26">
            <v>2.5000000000000001E-3</v>
          </cell>
          <cell r="B26" t="str">
            <v>Lethbridge County</v>
          </cell>
          <cell r="C26" t="str">
            <v>FORTIS</v>
          </cell>
          <cell r="D26">
            <v>2.5000000000000001E-3</v>
          </cell>
          <cell r="F26" t="str">
            <v>Municipal Assessment Rider A-136</v>
          </cell>
          <cell r="G26" t="str">
            <v>Franchise Fee</v>
          </cell>
        </row>
        <row r="27">
          <cell r="A27">
            <v>2.5000000000000001E-3</v>
          </cell>
          <cell r="B27" t="str">
            <v>Waiparous, S.V. Of</v>
          </cell>
          <cell r="C27" t="str">
            <v>FORTIS</v>
          </cell>
          <cell r="D27">
            <v>2.5000000000000001E-3</v>
          </cell>
          <cell r="F27" t="str">
            <v>Municipal Assessment Rider A-233</v>
          </cell>
          <cell r="G27" t="str">
            <v>Franchise Fee</v>
          </cell>
        </row>
        <row r="28">
          <cell r="A28">
            <v>2.5999999999999999E-3</v>
          </cell>
          <cell r="B28" t="str">
            <v>Nobleford, Village Of</v>
          </cell>
          <cell r="C28" t="str">
            <v>FORTIS</v>
          </cell>
          <cell r="D28">
            <v>2.5999999999999999E-3</v>
          </cell>
          <cell r="E28">
            <v>0</v>
          </cell>
          <cell r="F28" t="str">
            <v>Municipal Assessment Rider A-154</v>
          </cell>
          <cell r="G28" t="str">
            <v>Franchise Fee</v>
          </cell>
        </row>
        <row r="29">
          <cell r="A29">
            <v>2.7000000000000001E-3</v>
          </cell>
          <cell r="B29" t="str">
            <v>Island Lake, S.V. Of</v>
          </cell>
          <cell r="C29" t="str">
            <v>FORTIS</v>
          </cell>
          <cell r="D29">
            <v>2.7000000000000001E-3</v>
          </cell>
          <cell r="E29">
            <v>0</v>
          </cell>
          <cell r="F29" t="str">
            <v>Municipal Assessment Rider A-115</v>
          </cell>
          <cell r="G29" t="str">
            <v>Franchise Fee</v>
          </cell>
        </row>
        <row r="30">
          <cell r="A30">
            <v>2.7000000000000001E-3</v>
          </cell>
          <cell r="B30" t="str">
            <v>Kananaskis I.D.</v>
          </cell>
          <cell r="C30" t="str">
            <v>FORTIS</v>
          </cell>
          <cell r="D30">
            <v>2.7000000000000001E-3</v>
          </cell>
          <cell r="F30" t="str">
            <v>Municipal Assessment Rider A-119</v>
          </cell>
          <cell r="G30" t="str">
            <v>Franchise Fee</v>
          </cell>
        </row>
        <row r="31">
          <cell r="A31">
            <v>2.7000000000000001E-3</v>
          </cell>
          <cell r="B31" t="str">
            <v>Wheatland County</v>
          </cell>
          <cell r="C31" t="str">
            <v>FORTIS</v>
          </cell>
          <cell r="D31">
            <v>2.7000000000000001E-3</v>
          </cell>
          <cell r="F31" t="str">
            <v>Municipal Assessment Rider A-243</v>
          </cell>
          <cell r="G31" t="str">
            <v>Franchise Fee</v>
          </cell>
          <cell r="H31">
            <v>1</v>
          </cell>
        </row>
        <row r="32">
          <cell r="A32">
            <v>2.8E-3</v>
          </cell>
          <cell r="B32" t="str">
            <v>Foothills #31, M.D. Of</v>
          </cell>
          <cell r="C32" t="str">
            <v>FORTIS</v>
          </cell>
          <cell r="D32">
            <v>2.8E-3</v>
          </cell>
          <cell r="F32" t="str">
            <v>Municipal Assessment Rider A-86</v>
          </cell>
          <cell r="G32" t="str">
            <v>Franchise Fee</v>
          </cell>
        </row>
        <row r="33">
          <cell r="A33">
            <v>2.8E-3</v>
          </cell>
          <cell r="B33" t="str">
            <v>Newell, County Of</v>
          </cell>
          <cell r="C33" t="str">
            <v>FORTIS</v>
          </cell>
          <cell r="D33">
            <v>2.8E-3</v>
          </cell>
          <cell r="F33" t="str">
            <v>Municipal Assessment Rider A-153</v>
          </cell>
          <cell r="G33" t="str">
            <v>Franchise Fee</v>
          </cell>
        </row>
        <row r="34">
          <cell r="A34">
            <v>2.8999999999999998E-3</v>
          </cell>
          <cell r="B34" t="str">
            <v>Rocky View County</v>
          </cell>
          <cell r="C34" t="str">
            <v>FORTIS</v>
          </cell>
          <cell r="D34">
            <v>2.8999999999999998E-3</v>
          </cell>
          <cell r="F34" t="str">
            <v>Municipal Assessment Rider A-183</v>
          </cell>
          <cell r="G34" t="str">
            <v>Franchise Fee</v>
          </cell>
        </row>
        <row r="35">
          <cell r="A35">
            <v>3.0000000000000001E-3</v>
          </cell>
          <cell r="B35" t="str">
            <v>Edmonton, City Of</v>
          </cell>
          <cell r="C35" t="str">
            <v>FORTIS</v>
          </cell>
          <cell r="D35">
            <v>3.0000000000000001E-3</v>
          </cell>
          <cell r="F35" t="str">
            <v>Municipal Assessment Rider A-81</v>
          </cell>
          <cell r="G35" t="str">
            <v>Franchise Fee</v>
          </cell>
        </row>
        <row r="36">
          <cell r="A36">
            <v>3.0000000000000001E-3</v>
          </cell>
          <cell r="B36" t="str">
            <v>Ponoka County</v>
          </cell>
          <cell r="C36" t="str">
            <v>FORTIS</v>
          </cell>
          <cell r="D36">
            <v>3.0000000000000001E-3</v>
          </cell>
          <cell r="F36" t="str">
            <v>Municipal Assessment Rider A-171</v>
          </cell>
          <cell r="G36" t="str">
            <v>Franchise Fee</v>
          </cell>
        </row>
        <row r="37">
          <cell r="A37">
            <v>3.3E-3</v>
          </cell>
          <cell r="B37" t="str">
            <v>Argentia Beach, S.V. Of</v>
          </cell>
          <cell r="C37" t="str">
            <v>FORTIS</v>
          </cell>
          <cell r="D37">
            <v>3.3E-3</v>
          </cell>
          <cell r="F37" t="str">
            <v>Municipal Assessment Rider A-8</v>
          </cell>
          <cell r="G37" t="str">
            <v>Franchise Fee</v>
          </cell>
        </row>
        <row r="38">
          <cell r="A38">
            <v>3.3E-3</v>
          </cell>
          <cell r="B38" t="str">
            <v>Parkland County</v>
          </cell>
          <cell r="C38" t="str">
            <v>FORTIS</v>
          </cell>
          <cell r="D38">
            <v>3.3E-3</v>
          </cell>
          <cell r="F38" t="str">
            <v>Municipal Assessment Rider A-164</v>
          </cell>
          <cell r="G38" t="str">
            <v>Franchise Fee</v>
          </cell>
        </row>
        <row r="39">
          <cell r="A39">
            <v>3.5000000000000001E-3</v>
          </cell>
          <cell r="B39" t="str">
            <v>Taber, M.D. Of</v>
          </cell>
          <cell r="C39" t="str">
            <v>FORTIS</v>
          </cell>
          <cell r="D39">
            <v>3.5000000000000001E-3</v>
          </cell>
          <cell r="F39" t="str">
            <v>Municipal Assessment Rider A-217</v>
          </cell>
          <cell r="G39" t="str">
            <v>Franchise Fee</v>
          </cell>
        </row>
        <row r="40">
          <cell r="A40">
            <v>3.5999999999999999E-3</v>
          </cell>
          <cell r="B40" t="str">
            <v>Jarvis Bay, S.V. Of</v>
          </cell>
          <cell r="C40" t="str">
            <v>FORTIS</v>
          </cell>
          <cell r="D40">
            <v>3.5999999999999999E-3</v>
          </cell>
          <cell r="E40">
            <v>0</v>
          </cell>
          <cell r="F40" t="str">
            <v>Municipal Assessment Rider A-118</v>
          </cell>
          <cell r="G40" t="str">
            <v>Franchise Fee</v>
          </cell>
        </row>
        <row r="41">
          <cell r="A41">
            <v>3.5999999999999999E-3</v>
          </cell>
          <cell r="B41" t="str">
            <v>Willow Creek #26, M.D.</v>
          </cell>
          <cell r="C41" t="str">
            <v>FORTIS</v>
          </cell>
          <cell r="D41">
            <v>3.5999999999999999E-3</v>
          </cell>
          <cell r="F41" t="str">
            <v>Municipal Assessment Rider A-246</v>
          </cell>
          <cell r="G41" t="str">
            <v>Franchise Fee</v>
          </cell>
        </row>
        <row r="42">
          <cell r="A42">
            <v>3.8E-3</v>
          </cell>
          <cell r="B42" t="str">
            <v>Wetaskiwin #10, County</v>
          </cell>
          <cell r="C42" t="str">
            <v>FORTIS</v>
          </cell>
          <cell r="D42">
            <v>3.8E-3</v>
          </cell>
          <cell r="F42" t="str">
            <v>Municipal Assessment Rider A-241</v>
          </cell>
          <cell r="G42" t="str">
            <v>Franchise Fee</v>
          </cell>
        </row>
        <row r="43">
          <cell r="A43">
            <v>3.8999999999999998E-3</v>
          </cell>
          <cell r="B43" t="str">
            <v>Crossfield, Town Of</v>
          </cell>
          <cell r="C43" t="str">
            <v>FORTIS</v>
          </cell>
          <cell r="D43">
            <v>3.8999999999999998E-3</v>
          </cell>
          <cell r="E43">
            <v>0</v>
          </cell>
          <cell r="F43" t="str">
            <v>Municipal Assessment Rider A-68</v>
          </cell>
          <cell r="G43" t="str">
            <v>Franchise Fee</v>
          </cell>
        </row>
        <row r="44">
          <cell r="A44">
            <v>3.8999999999999998E-3</v>
          </cell>
          <cell r="B44" t="str">
            <v>Mountain View County</v>
          </cell>
          <cell r="C44" t="str">
            <v>FORTIS</v>
          </cell>
          <cell r="D44">
            <v>3.8999999999999998E-3</v>
          </cell>
          <cell r="F44" t="str">
            <v>Municipal Assessment Rider A-150</v>
          </cell>
          <cell r="G44" t="str">
            <v>Franchise Fee</v>
          </cell>
        </row>
        <row r="45">
          <cell r="A45">
            <v>3.8999999999999998E-3</v>
          </cell>
          <cell r="B45" t="str">
            <v>Warner #5, County Of</v>
          </cell>
          <cell r="C45" t="str">
            <v>FORTIS</v>
          </cell>
          <cell r="D45">
            <v>3.8999999999999998E-3</v>
          </cell>
          <cell r="F45" t="str">
            <v>Municipal Assessment Rider A-235</v>
          </cell>
          <cell r="G45" t="str">
            <v>Franchise Fee</v>
          </cell>
        </row>
        <row r="46">
          <cell r="A46">
            <v>4.1000000000000003E-3</v>
          </cell>
          <cell r="B46" t="str">
            <v>Burnstick Lake, S.V.</v>
          </cell>
          <cell r="C46" t="str">
            <v>FORTIS</v>
          </cell>
          <cell r="D46">
            <v>4.1000000000000003E-3</v>
          </cell>
          <cell r="F46" t="str">
            <v>Municipal Assessment Rider A-42</v>
          </cell>
          <cell r="G46" t="str">
            <v>Franchise Fee</v>
          </cell>
        </row>
        <row r="47">
          <cell r="A47">
            <v>4.1000000000000003E-3</v>
          </cell>
          <cell r="B47" t="str">
            <v>Special Areas</v>
          </cell>
          <cell r="C47" t="str">
            <v>FORTIS</v>
          </cell>
          <cell r="D47">
            <v>4.1000000000000003E-3</v>
          </cell>
          <cell r="F47" t="str">
            <v>Municipal Assessment Rider A-196</v>
          </cell>
          <cell r="G47" t="str">
            <v>Franchise Fee</v>
          </cell>
          <cell r="H47">
            <v>1</v>
          </cell>
        </row>
        <row r="48">
          <cell r="A48">
            <v>4.1999999999999997E-3</v>
          </cell>
          <cell r="B48" t="str">
            <v>Woodlands County</v>
          </cell>
          <cell r="C48" t="str">
            <v>FORTIS</v>
          </cell>
          <cell r="D48">
            <v>4.1999999999999997E-3</v>
          </cell>
          <cell r="F48" t="str">
            <v>Municipal Assessment Rider A-248</v>
          </cell>
          <cell r="G48" t="str">
            <v>Franchise Fee</v>
          </cell>
        </row>
        <row r="49">
          <cell r="A49">
            <v>4.3E-3</v>
          </cell>
          <cell r="B49" t="str">
            <v>Redwater, Town Of</v>
          </cell>
          <cell r="C49" t="str">
            <v>FORTIS</v>
          </cell>
          <cell r="D49">
            <v>4.3E-3</v>
          </cell>
          <cell r="E49">
            <v>0</v>
          </cell>
          <cell r="F49" t="str">
            <v>Municipal Assessment Rider A-180</v>
          </cell>
          <cell r="G49" t="str">
            <v>Franchise Fee</v>
          </cell>
        </row>
        <row r="50">
          <cell r="A50">
            <v>4.4000000000000003E-3</v>
          </cell>
          <cell r="B50" t="str">
            <v>Poplar Bay, S.V. Of</v>
          </cell>
          <cell r="C50" t="str">
            <v>FORTIS</v>
          </cell>
          <cell r="D50">
            <v>4.4000000000000003E-3</v>
          </cell>
          <cell r="E50">
            <v>0</v>
          </cell>
          <cell r="F50" t="str">
            <v>Municipal Assessment Rider A-173</v>
          </cell>
          <cell r="G50" t="str">
            <v>Franchise Fee</v>
          </cell>
        </row>
        <row r="51">
          <cell r="A51">
            <v>4.5999999999999999E-3</v>
          </cell>
          <cell r="B51" t="str">
            <v>Mewatha Beach, S.V. Of</v>
          </cell>
          <cell r="C51" t="str">
            <v>FORTIS</v>
          </cell>
          <cell r="D51">
            <v>4.5999999999999999E-3</v>
          </cell>
          <cell r="F51" t="str">
            <v>Municipal Assessment Rider A-144</v>
          </cell>
          <cell r="G51" t="str">
            <v>Franchise Fee</v>
          </cell>
        </row>
        <row r="52">
          <cell r="A52">
            <v>4.5999999999999999E-3</v>
          </cell>
          <cell r="B52" t="str">
            <v>Strathcona County</v>
          </cell>
          <cell r="C52" t="str">
            <v>FORTIS</v>
          </cell>
          <cell r="D52">
            <v>4.5999999999999999E-3</v>
          </cell>
          <cell r="F52" t="str">
            <v>Municipal Assessment Rider A-206</v>
          </cell>
          <cell r="G52" t="str">
            <v>Franchise Fee</v>
          </cell>
        </row>
        <row r="53">
          <cell r="A53">
            <v>4.5999999999999999E-3</v>
          </cell>
          <cell r="B53" t="str">
            <v>West Baptiste, S.V. Of</v>
          </cell>
          <cell r="C53" t="str">
            <v>FORTIS</v>
          </cell>
          <cell r="D53">
            <v>4.5999999999999999E-3</v>
          </cell>
          <cell r="F53" t="str">
            <v>Municipal Assessment Rider A-237</v>
          </cell>
          <cell r="G53" t="str">
            <v>Franchise Fee</v>
          </cell>
        </row>
        <row r="54">
          <cell r="A54">
            <v>4.7000000000000002E-3</v>
          </cell>
          <cell r="B54" t="str">
            <v>Barrhead #11, County Of</v>
          </cell>
          <cell r="C54" t="str">
            <v>FORTIS</v>
          </cell>
          <cell r="D54">
            <v>4.7000000000000002E-3</v>
          </cell>
          <cell r="F54" t="str">
            <v>Municipal Assessment Rider A-15</v>
          </cell>
          <cell r="G54" t="str">
            <v>Franchise Fee</v>
          </cell>
        </row>
        <row r="55">
          <cell r="A55">
            <v>4.7999999999999996E-3</v>
          </cell>
          <cell r="B55" t="str">
            <v>Clearwater County</v>
          </cell>
          <cell r="C55" t="str">
            <v>FORTIS</v>
          </cell>
          <cell r="D55">
            <v>4.7999999999999996E-3</v>
          </cell>
          <cell r="F55" t="str">
            <v>Municipal Assessment Rider A-59</v>
          </cell>
          <cell r="G55" t="str">
            <v>Franchise Fee</v>
          </cell>
        </row>
        <row r="56">
          <cell r="A56">
            <v>4.7999999999999996E-3</v>
          </cell>
          <cell r="B56" t="str">
            <v>Enoch Cree Nation # 440</v>
          </cell>
          <cell r="C56" t="str">
            <v>FORTIS</v>
          </cell>
          <cell r="D56">
            <v>4.7999999999999996E-3</v>
          </cell>
          <cell r="F56" t="str">
            <v>Municipal Assessment Rider A-83</v>
          </cell>
          <cell r="G56" t="str">
            <v>Franchise Fee</v>
          </cell>
        </row>
        <row r="57">
          <cell r="A57">
            <v>4.7999999999999996E-3</v>
          </cell>
          <cell r="B57" t="str">
            <v>Golden Days, S.V. Of</v>
          </cell>
          <cell r="C57" t="str">
            <v>FORTIS</v>
          </cell>
          <cell r="D57">
            <v>4.7999999999999996E-3</v>
          </cell>
          <cell r="F57" t="str">
            <v>Municipal Assessment Rider A-94</v>
          </cell>
          <cell r="G57" t="str">
            <v>Franchise Fee</v>
          </cell>
        </row>
        <row r="58">
          <cell r="A58">
            <v>4.7999999999999996E-3</v>
          </cell>
          <cell r="B58" t="str">
            <v>Red Deer County</v>
          </cell>
          <cell r="C58" t="str">
            <v>FORTIS</v>
          </cell>
          <cell r="D58">
            <v>4.7999999999999996E-3</v>
          </cell>
          <cell r="F58" t="str">
            <v>Municipal Assessment Rider A-178</v>
          </cell>
          <cell r="G58" t="str">
            <v>Franchise Fee</v>
          </cell>
          <cell r="H58">
            <v>1</v>
          </cell>
        </row>
        <row r="59">
          <cell r="A59">
            <v>4.8999999999999998E-3</v>
          </cell>
          <cell r="B59" t="str">
            <v>Birchcliff, S.V. Of</v>
          </cell>
          <cell r="C59" t="str">
            <v>FORTIS</v>
          </cell>
          <cell r="D59">
            <v>4.8999999999999998E-3</v>
          </cell>
          <cell r="F59" t="str">
            <v>Municipal Assessment Rider A-28</v>
          </cell>
          <cell r="G59" t="str">
            <v>Franchise Fee</v>
          </cell>
        </row>
        <row r="60">
          <cell r="A60">
            <v>5.0000000000000001E-3</v>
          </cell>
          <cell r="B60" t="str">
            <v>Whispering Hills, S.V. Of</v>
          </cell>
          <cell r="C60" t="str">
            <v>FORTIS</v>
          </cell>
          <cell r="D60">
            <v>5.0000000000000001E-3</v>
          </cell>
          <cell r="F60" t="str">
            <v>Municipal Assessment Rider A-244</v>
          </cell>
          <cell r="G60" t="str">
            <v>Franchise Fee</v>
          </cell>
        </row>
        <row r="61">
          <cell r="A61">
            <v>5.1999999999999998E-3</v>
          </cell>
          <cell r="B61" t="str">
            <v>Vulcan County</v>
          </cell>
          <cell r="C61" t="str">
            <v>FORTIS</v>
          </cell>
          <cell r="D61">
            <v>5.1999999999999998E-3</v>
          </cell>
          <cell r="F61" t="str">
            <v>Municipal Assessment Rider A-228</v>
          </cell>
          <cell r="G61" t="str">
            <v>Franchise Fee</v>
          </cell>
        </row>
        <row r="62">
          <cell r="A62">
            <v>5.4000000000000003E-3</v>
          </cell>
          <cell r="B62" t="str">
            <v>Island Lk South, S.V. Of</v>
          </cell>
          <cell r="C62" t="str">
            <v>FORTIS</v>
          </cell>
          <cell r="D62">
            <v>5.4000000000000003E-3</v>
          </cell>
          <cell r="F62" t="str">
            <v>Municipal Assessment Rider A-116</v>
          </cell>
          <cell r="G62" t="str">
            <v>Franchise Fee</v>
          </cell>
        </row>
        <row r="63">
          <cell r="A63">
            <v>5.4999999999999997E-3</v>
          </cell>
          <cell r="B63" t="str">
            <v>Pincher Creek #9, M.D. Of</v>
          </cell>
          <cell r="C63" t="str">
            <v>FORTIS</v>
          </cell>
          <cell r="D63">
            <v>5.4999999999999997E-3</v>
          </cell>
          <cell r="F63" t="str">
            <v>Municipal Assessment Rider A-168</v>
          </cell>
          <cell r="G63" t="str">
            <v>Franchise Fee</v>
          </cell>
        </row>
        <row r="64">
          <cell r="A64">
            <v>5.8999999999999999E-3</v>
          </cell>
          <cell r="B64" t="str">
            <v>Sunset Beach, S.V. Of</v>
          </cell>
          <cell r="C64" t="str">
            <v>FORTIS</v>
          </cell>
          <cell r="D64">
            <v>5.8999999999999999E-3</v>
          </cell>
          <cell r="F64" t="str">
            <v>Municipal Assessment Rider A-214</v>
          </cell>
          <cell r="G64" t="str">
            <v>Franchise Fee</v>
          </cell>
        </row>
        <row r="65">
          <cell r="A65">
            <v>6.0000000000000001E-3</v>
          </cell>
          <cell r="B65" t="str">
            <v>Stoney ( Bearspaw ) Band</v>
          </cell>
          <cell r="C65" t="str">
            <v>FORTIS</v>
          </cell>
          <cell r="D65">
            <v>6.0000000000000001E-3</v>
          </cell>
          <cell r="F65" t="str">
            <v>Municipal Assessment Rider A-204</v>
          </cell>
          <cell r="G65" t="str">
            <v>Franchise Fee</v>
          </cell>
        </row>
        <row r="66">
          <cell r="A66">
            <v>6.1000000000000004E-3</v>
          </cell>
          <cell r="B66" t="str">
            <v>Cardston County</v>
          </cell>
          <cell r="C66" t="str">
            <v>FORTIS</v>
          </cell>
          <cell r="D66">
            <v>6.1000000000000004E-3</v>
          </cell>
          <cell r="F66" t="str">
            <v>Municipal Assessment Rider A-48</v>
          </cell>
          <cell r="G66" t="str">
            <v>Franchise Fee</v>
          </cell>
        </row>
        <row r="67">
          <cell r="A67">
            <v>6.1999999999999998E-3</v>
          </cell>
          <cell r="B67" t="str">
            <v>Brazeau County</v>
          </cell>
          <cell r="C67" t="str">
            <v>FORTIS</v>
          </cell>
          <cell r="D67">
            <v>6.1999999999999998E-3</v>
          </cell>
          <cell r="F67" t="str">
            <v>Municipal Assessment Rider A-37</v>
          </cell>
          <cell r="G67" t="str">
            <v>Franchise Fee</v>
          </cell>
        </row>
        <row r="68">
          <cell r="A68">
            <v>6.3E-3</v>
          </cell>
          <cell r="B68" t="str">
            <v>Castle Island, S.V. Of</v>
          </cell>
          <cell r="C68" t="str">
            <v>FORTIS</v>
          </cell>
          <cell r="D68">
            <v>6.3E-3</v>
          </cell>
          <cell r="F68" t="str">
            <v>Municipal Assessment Rider A-53</v>
          </cell>
          <cell r="G68" t="str">
            <v>Franchise Fee</v>
          </cell>
        </row>
        <row r="69">
          <cell r="A69">
            <v>6.4000000000000003E-3</v>
          </cell>
          <cell r="B69" t="str">
            <v>Forty Mile #8, County Of</v>
          </cell>
          <cell r="C69" t="str">
            <v>FORTIS</v>
          </cell>
          <cell r="D69">
            <v>6.4000000000000003E-3</v>
          </cell>
          <cell r="F69" t="str">
            <v>Municipal Assessment Rider A-89</v>
          </cell>
          <cell r="G69" t="str">
            <v>Franchise Fee</v>
          </cell>
        </row>
        <row r="70">
          <cell r="A70">
            <v>6.4000000000000003E-3</v>
          </cell>
          <cell r="B70" t="str">
            <v>Kapasiwin, S.V. Of</v>
          </cell>
          <cell r="C70" t="str">
            <v>FORTIS</v>
          </cell>
          <cell r="D70">
            <v>6.4000000000000003E-3</v>
          </cell>
          <cell r="F70" t="str">
            <v>Municipal Assessment Rider A-120</v>
          </cell>
          <cell r="G70" t="str">
            <v>Franchise Fee</v>
          </cell>
        </row>
        <row r="71">
          <cell r="A71">
            <v>6.4999999999999997E-3</v>
          </cell>
          <cell r="B71" t="str">
            <v>Norris Beach, S.V. Of</v>
          </cell>
          <cell r="C71" t="str">
            <v>FORTIS</v>
          </cell>
          <cell r="D71">
            <v>6.4999999999999997E-3</v>
          </cell>
          <cell r="E71">
            <v>0</v>
          </cell>
          <cell r="F71" t="str">
            <v>Municipal Assessment Rider A-156</v>
          </cell>
          <cell r="G71" t="str">
            <v>Franchise Fee</v>
          </cell>
        </row>
        <row r="72">
          <cell r="A72">
            <v>6.8999999999999999E-3</v>
          </cell>
          <cell r="B72" t="str">
            <v>Id No. 349</v>
          </cell>
          <cell r="C72" t="str">
            <v>FORTIS</v>
          </cell>
          <cell r="D72">
            <v>6.8999999999999999E-3</v>
          </cell>
          <cell r="F72" t="str">
            <v>Municipal Assessment Rider A-109</v>
          </cell>
          <cell r="G72" t="str">
            <v>Franchise Fee</v>
          </cell>
          <cell r="H72">
            <v>1</v>
          </cell>
        </row>
        <row r="73">
          <cell r="A73">
            <v>6.8999999999999999E-3</v>
          </cell>
          <cell r="B73" t="str">
            <v>Lac La Biche County</v>
          </cell>
          <cell r="C73" t="str">
            <v>FORTIS</v>
          </cell>
          <cell r="D73">
            <v>6.8999999999999999E-3</v>
          </cell>
          <cell r="F73" t="str">
            <v>Municipal Assessment Rider A-124</v>
          </cell>
          <cell r="G73" t="str">
            <v>Franchise Fee</v>
          </cell>
        </row>
        <row r="74">
          <cell r="A74">
            <v>6.8999999999999999E-3</v>
          </cell>
          <cell r="B74" t="str">
            <v>Lesser Slave #124, M.D.</v>
          </cell>
          <cell r="C74" t="str">
            <v>FORTIS</v>
          </cell>
          <cell r="D74">
            <v>6.8999999999999999E-3</v>
          </cell>
          <cell r="F74" t="str">
            <v>Municipal Assessment Rider A-135</v>
          </cell>
          <cell r="G74" t="str">
            <v>Franchise Fee</v>
          </cell>
        </row>
        <row r="75">
          <cell r="A75">
            <v>7.1999999999999998E-3</v>
          </cell>
          <cell r="B75" t="str">
            <v>O'Chiese First Nation</v>
          </cell>
          <cell r="C75" t="str">
            <v>FORTIS</v>
          </cell>
          <cell r="D75">
            <v>7.1999999999999998E-3</v>
          </cell>
          <cell r="F75" t="str">
            <v>Municipal Assessment Rider A-157</v>
          </cell>
          <cell r="G75" t="str">
            <v>Franchise Fee</v>
          </cell>
        </row>
        <row r="76">
          <cell r="A76">
            <v>7.4000000000000003E-3</v>
          </cell>
          <cell r="B76" t="str">
            <v>Birch Cove, S.V. Of</v>
          </cell>
          <cell r="C76" t="str">
            <v>FORTIS</v>
          </cell>
          <cell r="D76">
            <v>7.4000000000000003E-3</v>
          </cell>
          <cell r="F76" t="str">
            <v>Municipal Assessment Rider A-27</v>
          </cell>
          <cell r="G76" t="str">
            <v>Franchise Fee</v>
          </cell>
        </row>
        <row r="77">
          <cell r="A77">
            <v>7.4000000000000003E-3</v>
          </cell>
          <cell r="B77" t="str">
            <v>Irricana, Town Of</v>
          </cell>
          <cell r="C77" t="str">
            <v>FORTIS</v>
          </cell>
          <cell r="D77">
            <v>7.4000000000000003E-3</v>
          </cell>
          <cell r="E77">
            <v>0</v>
          </cell>
          <cell r="F77" t="str">
            <v>Municipal Assessment Rider A-114</v>
          </cell>
          <cell r="G77" t="str">
            <v>Franchise Fee</v>
          </cell>
        </row>
        <row r="78">
          <cell r="A78">
            <v>7.7000000000000002E-3</v>
          </cell>
          <cell r="B78" t="str">
            <v>Bondiss, S.V. Of</v>
          </cell>
          <cell r="C78" t="str">
            <v>FORTIS</v>
          </cell>
          <cell r="D78">
            <v>7.7000000000000002E-3</v>
          </cell>
          <cell r="F78" t="str">
            <v>Municipal Assessment Rider A-33</v>
          </cell>
          <cell r="G78" t="str">
            <v>Franchise Fee</v>
          </cell>
        </row>
        <row r="79">
          <cell r="A79">
            <v>7.7999999999999996E-3</v>
          </cell>
          <cell r="B79" t="str">
            <v>Half Moon Bay, S.V. Of</v>
          </cell>
          <cell r="C79" t="str">
            <v>FORTIS</v>
          </cell>
          <cell r="D79">
            <v>7.7999999999999996E-3</v>
          </cell>
          <cell r="F79" t="str">
            <v>Municipal Assessment Rider A-99</v>
          </cell>
          <cell r="G79" t="str">
            <v>Franchise Fee</v>
          </cell>
        </row>
        <row r="80">
          <cell r="A80">
            <v>8.0000000000000002E-3</v>
          </cell>
          <cell r="B80" t="str">
            <v>Grandview, S.V. Of</v>
          </cell>
          <cell r="C80" t="str">
            <v>FORTIS</v>
          </cell>
          <cell r="D80">
            <v>8.0000000000000002E-3</v>
          </cell>
          <cell r="E80">
            <v>0</v>
          </cell>
          <cell r="F80" t="str">
            <v>Municipal Assessment Rider A-95</v>
          </cell>
          <cell r="G80" t="str">
            <v>Franchise Fee</v>
          </cell>
        </row>
        <row r="81">
          <cell r="A81">
            <v>8.0000000000000002E-3</v>
          </cell>
          <cell r="B81" t="str">
            <v>Lac Ste Anne County</v>
          </cell>
          <cell r="C81" t="str">
            <v>FORTIS</v>
          </cell>
          <cell r="D81">
            <v>8.0000000000000002E-3</v>
          </cell>
          <cell r="F81" t="str">
            <v>Municipal Assessment Rider A-125</v>
          </cell>
          <cell r="G81" t="str">
            <v>Franchise Fee</v>
          </cell>
        </row>
        <row r="82">
          <cell r="A82">
            <v>8.0999999999999996E-3</v>
          </cell>
          <cell r="B82" t="str">
            <v>Ross Haven, S.V. Of</v>
          </cell>
          <cell r="C82" t="str">
            <v>FORTIS</v>
          </cell>
          <cell r="D82">
            <v>8.0999999999999996E-3</v>
          </cell>
          <cell r="E82">
            <v>0</v>
          </cell>
          <cell r="F82" t="str">
            <v>Municipal Assessment Rider A-186</v>
          </cell>
          <cell r="G82" t="str">
            <v>Franchise Fee</v>
          </cell>
        </row>
        <row r="83">
          <cell r="A83">
            <v>8.0999999999999996E-3</v>
          </cell>
          <cell r="B83" t="str">
            <v>Sunbreaker Cove, S.V. Of</v>
          </cell>
          <cell r="C83" t="str">
            <v>FORTIS</v>
          </cell>
          <cell r="D83">
            <v>8.0999999999999996E-3</v>
          </cell>
          <cell r="F83" t="str">
            <v>Municipal Assessment Rider A-210</v>
          </cell>
          <cell r="G83" t="str">
            <v>Franchise Fee</v>
          </cell>
        </row>
        <row r="84">
          <cell r="A84">
            <v>8.2000000000000007E-3</v>
          </cell>
          <cell r="B84" t="str">
            <v>Beaver County</v>
          </cell>
          <cell r="C84" t="str">
            <v>FORTIS</v>
          </cell>
          <cell r="D84">
            <v>8.2000000000000007E-3</v>
          </cell>
          <cell r="F84" t="str">
            <v>Municipal Assessment Rider A-21</v>
          </cell>
          <cell r="G84" t="str">
            <v>Franchise Fee</v>
          </cell>
        </row>
        <row r="85">
          <cell r="A85">
            <v>8.2000000000000007E-3</v>
          </cell>
          <cell r="B85" t="str">
            <v>Spring Lake,V.</v>
          </cell>
          <cell r="C85" t="str">
            <v>FORTIS</v>
          </cell>
          <cell r="D85">
            <v>8.2000000000000007E-3</v>
          </cell>
          <cell r="F85" t="str">
            <v>Municipal Assessment Rider A-197</v>
          </cell>
          <cell r="G85" t="str">
            <v>Franchise Fee</v>
          </cell>
        </row>
        <row r="86">
          <cell r="A86">
            <v>8.3000000000000001E-3</v>
          </cell>
          <cell r="B86" t="str">
            <v>Crystal Springs, S.V. Of</v>
          </cell>
          <cell r="C86" t="str">
            <v>FORTIS</v>
          </cell>
          <cell r="D86">
            <v>8.3000000000000001E-3</v>
          </cell>
          <cell r="E86">
            <v>0</v>
          </cell>
          <cell r="F86" t="str">
            <v>Municipal Assessment Rider A-70</v>
          </cell>
          <cell r="G86" t="str">
            <v>Franchise Fee</v>
          </cell>
        </row>
        <row r="87">
          <cell r="A87">
            <v>8.3999999999999995E-3</v>
          </cell>
          <cell r="B87" t="str">
            <v>Sundance Beach, S.V. Of</v>
          </cell>
          <cell r="C87" t="str">
            <v>FORTIS</v>
          </cell>
          <cell r="D87">
            <v>8.3999999999999995E-3</v>
          </cell>
          <cell r="F87" t="str">
            <v>Municipal Assessment Rider A-211</v>
          </cell>
          <cell r="G87" t="str">
            <v>Franchise Fee</v>
          </cell>
        </row>
        <row r="88">
          <cell r="A88">
            <v>8.5000000000000006E-3</v>
          </cell>
          <cell r="B88" t="str">
            <v>Id No. 4</v>
          </cell>
          <cell r="C88" t="str">
            <v>FORTIS</v>
          </cell>
          <cell r="D88">
            <v>8.5000000000000006E-3</v>
          </cell>
          <cell r="F88" t="str">
            <v>Municipal Assessment Rider A-110</v>
          </cell>
          <cell r="G88" t="str">
            <v>Franchise Fee</v>
          </cell>
          <cell r="H88">
            <v>1</v>
          </cell>
        </row>
        <row r="89">
          <cell r="A89">
            <v>8.5000000000000006E-3</v>
          </cell>
          <cell r="B89" t="str">
            <v>Paul First Nation</v>
          </cell>
          <cell r="C89" t="str">
            <v>FORTIS</v>
          </cell>
          <cell r="D89">
            <v>8.5000000000000006E-3</v>
          </cell>
          <cell r="F89" t="str">
            <v>Municipal Assessment Rider A-165</v>
          </cell>
          <cell r="G89" t="str">
            <v>Franchise Fee</v>
          </cell>
        </row>
        <row r="90">
          <cell r="A90">
            <v>8.6E-3</v>
          </cell>
          <cell r="B90" t="str">
            <v>Camrose County</v>
          </cell>
          <cell r="C90" t="str">
            <v>FORTIS</v>
          </cell>
          <cell r="D90">
            <v>8.6E-3</v>
          </cell>
          <cell r="F90" t="str">
            <v>Municipal Assessment Rider A-45</v>
          </cell>
          <cell r="G90" t="str">
            <v>Franchise Fee</v>
          </cell>
          <cell r="H90">
            <v>1</v>
          </cell>
        </row>
        <row r="91">
          <cell r="A91">
            <v>8.8000000000000005E-3</v>
          </cell>
          <cell r="B91" t="str">
            <v>Ft Saskatchewan, City Of</v>
          </cell>
          <cell r="C91" t="str">
            <v>FORTIS</v>
          </cell>
          <cell r="D91">
            <v>8.8000000000000005E-3</v>
          </cell>
          <cell r="E91">
            <v>0</v>
          </cell>
          <cell r="F91" t="str">
            <v>Municipal Assessment Rider A-90</v>
          </cell>
          <cell r="G91" t="str">
            <v>Franchise Fee</v>
          </cell>
        </row>
        <row r="92">
          <cell r="A92">
            <v>8.8999999999999999E-3</v>
          </cell>
          <cell r="B92" t="str">
            <v>Ma-Me-O Beach, S.V. Of</v>
          </cell>
          <cell r="C92" t="str">
            <v>FORTIS</v>
          </cell>
          <cell r="D92">
            <v>8.8999999999999999E-3</v>
          </cell>
          <cell r="E92">
            <v>0</v>
          </cell>
          <cell r="F92" t="str">
            <v>Municipal Assessment Rider A-142</v>
          </cell>
          <cell r="G92" t="str">
            <v>Franchise Fee</v>
          </cell>
        </row>
        <row r="93">
          <cell r="A93">
            <v>9.2999999999999992E-3</v>
          </cell>
          <cell r="B93" t="str">
            <v>St. Albert, City Of</v>
          </cell>
          <cell r="C93" t="str">
            <v>FORTIS</v>
          </cell>
          <cell r="D93">
            <v>9.2999999999999992E-3</v>
          </cell>
          <cell r="E93">
            <v>0</v>
          </cell>
          <cell r="F93" t="str">
            <v>Municipal Assessment Rider A-199</v>
          </cell>
          <cell r="G93" t="str">
            <v>Franchise Fee</v>
          </cell>
        </row>
        <row r="94">
          <cell r="A94">
            <v>9.2999999999999992E-3</v>
          </cell>
          <cell r="B94" t="str">
            <v>Standard, Village Of</v>
          </cell>
          <cell r="C94" t="str">
            <v>FORTIS</v>
          </cell>
          <cell r="D94">
            <v>9.2999999999999992E-3</v>
          </cell>
          <cell r="E94">
            <v>0</v>
          </cell>
          <cell r="F94" t="str">
            <v>Municipal Assessment Rider A-200</v>
          </cell>
          <cell r="G94" t="str">
            <v>Franchise Fee</v>
          </cell>
        </row>
        <row r="95">
          <cell r="A95">
            <v>9.4000000000000004E-3</v>
          </cell>
          <cell r="B95" t="str">
            <v>Warner, Village Of</v>
          </cell>
          <cell r="C95" t="str">
            <v>FORTIS</v>
          </cell>
          <cell r="D95">
            <v>9.4000000000000004E-3</v>
          </cell>
          <cell r="E95">
            <v>0</v>
          </cell>
          <cell r="F95" t="str">
            <v>Municipal Assessment Rider A-236</v>
          </cell>
          <cell r="G95" t="str">
            <v>Franchise Fee</v>
          </cell>
        </row>
        <row r="96">
          <cell r="A96">
            <v>9.4999999999999998E-3</v>
          </cell>
          <cell r="B96" t="str">
            <v>Wainwright #61, M.D. Of</v>
          </cell>
          <cell r="C96" t="str">
            <v>FORTIS</v>
          </cell>
          <cell r="D96">
            <v>9.4999999999999998E-3</v>
          </cell>
          <cell r="F96" t="str">
            <v>Municipal Assessment Rider A-231</v>
          </cell>
          <cell r="G96" t="str">
            <v>Franchise Fee</v>
          </cell>
        </row>
        <row r="97">
          <cell r="A97">
            <v>9.9000000000000008E-3</v>
          </cell>
          <cell r="B97" t="str">
            <v>Flagstaff County</v>
          </cell>
          <cell r="C97" t="str">
            <v>FORTIS</v>
          </cell>
          <cell r="D97">
            <v>9.9000000000000008E-3</v>
          </cell>
          <cell r="F97" t="str">
            <v>Municipal Assessment Rider A-85</v>
          </cell>
          <cell r="G97" t="str">
            <v>Franchise Fee</v>
          </cell>
          <cell r="H97">
            <v>1</v>
          </cell>
        </row>
        <row r="98">
          <cell r="A98">
            <v>0.01</v>
          </cell>
          <cell r="B98" t="str">
            <v>Driftpile River First Nation I.R. 150</v>
          </cell>
          <cell r="C98" t="str">
            <v>ATCO</v>
          </cell>
          <cell r="D98">
            <v>0.01</v>
          </cell>
          <cell r="E98">
            <v>0</v>
          </cell>
          <cell r="F98" t="str">
            <v>Municipal Assessment Rider (A-1)</v>
          </cell>
          <cell r="G98" t="str">
            <v>Municipal Franchise Fee</v>
          </cell>
        </row>
        <row r="99">
          <cell r="A99">
            <v>1.01E-2</v>
          </cell>
          <cell r="B99" t="str">
            <v>Siksika Nation</v>
          </cell>
          <cell r="C99" t="str">
            <v>FORTIS</v>
          </cell>
          <cell r="D99">
            <v>1.01E-2</v>
          </cell>
          <cell r="F99" t="str">
            <v>Municipal Assessment Rider A-191</v>
          </cell>
          <cell r="G99" t="str">
            <v>Franchise Fee</v>
          </cell>
        </row>
        <row r="100">
          <cell r="A100">
            <v>1.0200000000000001E-2</v>
          </cell>
          <cell r="B100" t="str">
            <v>Kneehill County</v>
          </cell>
          <cell r="C100" t="str">
            <v>FORTIS</v>
          </cell>
          <cell r="D100">
            <v>1.0200000000000001E-2</v>
          </cell>
          <cell r="F100" t="str">
            <v>Municipal Assessment Rider A-123</v>
          </cell>
          <cell r="G100" t="str">
            <v>Franchise Fee</v>
          </cell>
        </row>
        <row r="101">
          <cell r="A101">
            <v>1.03E-2</v>
          </cell>
          <cell r="B101" t="str">
            <v>Itaska Beach, S.V. Of</v>
          </cell>
          <cell r="C101" t="str">
            <v>FORTIS</v>
          </cell>
          <cell r="D101">
            <v>1.03E-2</v>
          </cell>
          <cell r="F101" t="str">
            <v>Municipal Assessment Rider A-117</v>
          </cell>
          <cell r="G101" t="str">
            <v>Franchise Fee</v>
          </cell>
        </row>
        <row r="102">
          <cell r="A102">
            <v>1.06E-2</v>
          </cell>
          <cell r="B102" t="str">
            <v>Carmangay, Village Of</v>
          </cell>
          <cell r="C102" t="str">
            <v>FORTIS</v>
          </cell>
          <cell r="D102">
            <v>1.06E-2</v>
          </cell>
          <cell r="E102">
            <v>0</v>
          </cell>
          <cell r="F102" t="str">
            <v>Municipal Assessment Rider A-50</v>
          </cell>
          <cell r="G102" t="str">
            <v>Franchise Fee</v>
          </cell>
        </row>
        <row r="103">
          <cell r="A103">
            <v>1.0699999999999999E-2</v>
          </cell>
          <cell r="B103" t="str">
            <v>Gull Lake, S.V. Of</v>
          </cell>
          <cell r="C103" t="str">
            <v>FORTIS</v>
          </cell>
          <cell r="D103">
            <v>1.0699999999999999E-2</v>
          </cell>
          <cell r="E103">
            <v>0</v>
          </cell>
          <cell r="F103" t="str">
            <v>Municipal Assessment Rider A-98</v>
          </cell>
          <cell r="G103" t="str">
            <v>Franchise Fee</v>
          </cell>
        </row>
        <row r="104">
          <cell r="A104">
            <v>1.0800000000000001E-2</v>
          </cell>
          <cell r="B104" t="str">
            <v>Alexis Nakota Sioux Nation</v>
          </cell>
          <cell r="C104" t="str">
            <v>FORTIS</v>
          </cell>
          <cell r="D104">
            <v>1.0800000000000001E-2</v>
          </cell>
          <cell r="F104" t="str">
            <v>Municipal Assessment Rider A-5</v>
          </cell>
          <cell r="G104" t="str">
            <v>Franchise Fee</v>
          </cell>
        </row>
        <row r="105">
          <cell r="A105">
            <v>1.0800000000000001E-2</v>
          </cell>
          <cell r="B105" t="str">
            <v>Minburn # 27, County Of</v>
          </cell>
          <cell r="C105" t="str">
            <v>FORTIS</v>
          </cell>
          <cell r="D105">
            <v>1.0800000000000001E-2</v>
          </cell>
          <cell r="F105" t="str">
            <v>Municipal Assessment Rider A-148</v>
          </cell>
          <cell r="G105" t="str">
            <v>Franchise Fee</v>
          </cell>
          <cell r="H105">
            <v>1</v>
          </cell>
        </row>
        <row r="106">
          <cell r="A106">
            <v>1.0800000000000001E-2</v>
          </cell>
          <cell r="B106" t="str">
            <v>Ranchland #66, M.D. Of</v>
          </cell>
          <cell r="C106" t="str">
            <v>FORTIS</v>
          </cell>
          <cell r="D106">
            <v>1.0800000000000001E-2</v>
          </cell>
          <cell r="F106" t="str">
            <v>Municipal Assessment Rider A-176</v>
          </cell>
          <cell r="G106" t="str">
            <v>Franchise Fee</v>
          </cell>
        </row>
        <row r="107">
          <cell r="A107">
            <v>1.0800000000000001E-2</v>
          </cell>
          <cell r="B107" t="str">
            <v>Silver Beach, S.V. Of</v>
          </cell>
          <cell r="C107" t="str">
            <v>FORTIS</v>
          </cell>
          <cell r="D107">
            <v>1.0800000000000001E-2</v>
          </cell>
          <cell r="F107" t="str">
            <v>Municipal Assessment Rider A-192</v>
          </cell>
          <cell r="G107" t="str">
            <v>Franchise Fee</v>
          </cell>
        </row>
        <row r="108">
          <cell r="A108">
            <v>1.09E-2</v>
          </cell>
          <cell r="B108" t="str">
            <v>Larkspur, S.V. Of</v>
          </cell>
          <cell r="C108" t="str">
            <v>FORTIS</v>
          </cell>
          <cell r="D108">
            <v>1.09E-2</v>
          </cell>
          <cell r="F108" t="str">
            <v>Municipal Assessment Rider A-131</v>
          </cell>
          <cell r="G108" t="str">
            <v>Franchise Fee</v>
          </cell>
        </row>
        <row r="109">
          <cell r="A109">
            <v>1.11E-2</v>
          </cell>
          <cell r="B109" t="str">
            <v>Beiseker, Village Of</v>
          </cell>
          <cell r="C109" t="str">
            <v>FORTIS</v>
          </cell>
          <cell r="D109">
            <v>1.11E-2</v>
          </cell>
          <cell r="E109">
            <v>0</v>
          </cell>
          <cell r="F109" t="str">
            <v>Municipal Assessment Rider A-22</v>
          </cell>
          <cell r="G109" t="str">
            <v>Franchise Fee</v>
          </cell>
        </row>
        <row r="110">
          <cell r="A110">
            <v>1.1299999999999999E-2</v>
          </cell>
          <cell r="B110" t="str">
            <v>Parkland Beach, S.V. Of</v>
          </cell>
          <cell r="C110" t="str">
            <v>FORTIS</v>
          </cell>
          <cell r="D110">
            <v>1.1299999999999999E-2</v>
          </cell>
          <cell r="E110">
            <v>0</v>
          </cell>
          <cell r="F110" t="str">
            <v>Municipal Assessment Rider A-163</v>
          </cell>
          <cell r="G110" t="str">
            <v>Franchise Fee</v>
          </cell>
        </row>
        <row r="111">
          <cell r="A111">
            <v>1.14E-2</v>
          </cell>
          <cell r="B111" t="str">
            <v>West Cove, S.V. Of</v>
          </cell>
          <cell r="C111" t="str">
            <v>FORTIS</v>
          </cell>
          <cell r="D111">
            <v>1.14E-2</v>
          </cell>
          <cell r="F111" t="str">
            <v>Municipal Assessment Rider A-238</v>
          </cell>
          <cell r="G111" t="str">
            <v>Franchise Fee</v>
          </cell>
        </row>
        <row r="112">
          <cell r="A112">
            <v>1.17E-2</v>
          </cell>
          <cell r="B112" t="str">
            <v>Southview, S.V. Of</v>
          </cell>
          <cell r="C112" t="str">
            <v>FORTIS</v>
          </cell>
          <cell r="D112">
            <v>1.17E-2</v>
          </cell>
          <cell r="E112">
            <v>0</v>
          </cell>
          <cell r="F112" t="str">
            <v>Municipal Assessment Rider A-195</v>
          </cell>
          <cell r="G112" t="str">
            <v>Franchise Fee</v>
          </cell>
        </row>
        <row r="113">
          <cell r="A113">
            <v>1.23E-2</v>
          </cell>
          <cell r="B113" t="str">
            <v>Big Stone Cree Nation</v>
          </cell>
          <cell r="C113" t="str">
            <v>FORTIS</v>
          </cell>
          <cell r="D113">
            <v>1.23E-2</v>
          </cell>
          <cell r="F113" t="str">
            <v>Municipal Assessment Rider A-26</v>
          </cell>
          <cell r="G113" t="str">
            <v>Franchise Fee</v>
          </cell>
        </row>
        <row r="114">
          <cell r="A114">
            <v>1.23E-2</v>
          </cell>
          <cell r="B114" t="str">
            <v>Sunset Point, S.V. Of</v>
          </cell>
          <cell r="C114" t="str">
            <v>FORTIS</v>
          </cell>
          <cell r="D114">
            <v>1.23E-2</v>
          </cell>
          <cell r="E114">
            <v>0</v>
          </cell>
          <cell r="F114" t="str">
            <v>Municipal Assessment Rider A-215</v>
          </cell>
          <cell r="G114" t="str">
            <v>Franchise Fee</v>
          </cell>
        </row>
        <row r="115">
          <cell r="A115">
            <v>1.24E-2</v>
          </cell>
          <cell r="B115" t="str">
            <v>Betula Beach, S.V. Of</v>
          </cell>
          <cell r="C115" t="str">
            <v>FORTIS</v>
          </cell>
          <cell r="D115">
            <v>1.24E-2</v>
          </cell>
          <cell r="F115" t="str">
            <v>Municipal Assessment Rider A-24</v>
          </cell>
          <cell r="G115" t="str">
            <v>Franchise Fee</v>
          </cell>
        </row>
        <row r="116">
          <cell r="A116">
            <v>1.24E-2</v>
          </cell>
          <cell r="B116" t="str">
            <v>Val Quentin, S.V. Of</v>
          </cell>
          <cell r="C116" t="str">
            <v>FORTIS</v>
          </cell>
          <cell r="D116">
            <v>1.24E-2</v>
          </cell>
          <cell r="E116">
            <v>0</v>
          </cell>
          <cell r="F116" t="str">
            <v>Municipal Assessment Rider A-224</v>
          </cell>
          <cell r="G116" t="str">
            <v>Franchise Fee</v>
          </cell>
        </row>
        <row r="117">
          <cell r="A117">
            <v>1.29E-2</v>
          </cell>
          <cell r="B117" t="str">
            <v>Glenwood, Village Of</v>
          </cell>
          <cell r="C117" t="str">
            <v>FORTIS</v>
          </cell>
          <cell r="D117">
            <v>1.29E-2</v>
          </cell>
          <cell r="E117">
            <v>0</v>
          </cell>
          <cell r="F117" t="str">
            <v>Municipal Assessment Rider A-93</v>
          </cell>
          <cell r="G117" t="str">
            <v>Franchise Fee</v>
          </cell>
        </row>
        <row r="118">
          <cell r="A118">
            <v>1.3100000000000001E-2</v>
          </cell>
          <cell r="B118" t="str">
            <v>Bruderheim, Town Of</v>
          </cell>
          <cell r="C118" t="str">
            <v>FORTIS</v>
          </cell>
          <cell r="D118">
            <v>1.3100000000000001E-2</v>
          </cell>
          <cell r="E118">
            <v>0</v>
          </cell>
          <cell r="F118" t="str">
            <v>Municipal Assessment Rider A-40</v>
          </cell>
          <cell r="G118" t="str">
            <v>Franchise Fee</v>
          </cell>
        </row>
        <row r="119">
          <cell r="A119">
            <v>1.37E-2</v>
          </cell>
          <cell r="B119" t="str">
            <v>South Baptiste, S.V. Of</v>
          </cell>
          <cell r="C119" t="str">
            <v>FORTIS</v>
          </cell>
          <cell r="D119">
            <v>1.37E-2</v>
          </cell>
          <cell r="E119">
            <v>0</v>
          </cell>
          <cell r="F119" t="str">
            <v>Municipal Assessment Rider A-194</v>
          </cell>
          <cell r="G119" t="str">
            <v>Franchise Fee</v>
          </cell>
        </row>
        <row r="120">
          <cell r="A120">
            <v>1.4500000000000001E-2</v>
          </cell>
          <cell r="B120" t="str">
            <v>Westlock County</v>
          </cell>
          <cell r="C120" t="str">
            <v>FORTIS</v>
          </cell>
          <cell r="D120">
            <v>1.4500000000000001E-2</v>
          </cell>
          <cell r="F120" t="str">
            <v>Municipal Assessment Rider A-239</v>
          </cell>
          <cell r="G120" t="str">
            <v>Franchise Fee</v>
          </cell>
        </row>
        <row r="121">
          <cell r="A121">
            <v>1.61E-2</v>
          </cell>
          <cell r="B121" t="str">
            <v>Alexander First Nation</v>
          </cell>
          <cell r="C121" t="str">
            <v>FORTIS</v>
          </cell>
          <cell r="D121">
            <v>1.61E-2</v>
          </cell>
          <cell r="F121" t="str">
            <v>Municipal Assessment Rider A-4</v>
          </cell>
          <cell r="G121" t="str">
            <v>Franchise Fee</v>
          </cell>
        </row>
        <row r="122">
          <cell r="A122">
            <v>1.6400000000000001E-2</v>
          </cell>
          <cell r="B122" t="str">
            <v>Amisk, Village Of</v>
          </cell>
          <cell r="C122" t="str">
            <v>FORTIS</v>
          </cell>
          <cell r="D122">
            <v>1.6400000000000001E-2</v>
          </cell>
          <cell r="E122">
            <v>0</v>
          </cell>
          <cell r="F122" t="str">
            <v>Municipal Assessment Rider A-7</v>
          </cell>
          <cell r="G122" t="str">
            <v>Franchise Fee</v>
          </cell>
        </row>
        <row r="123">
          <cell r="A123">
            <v>1.6799999999999999E-2</v>
          </cell>
          <cell r="B123" t="str">
            <v>Buffalo Lk Metis</v>
          </cell>
          <cell r="C123" t="str">
            <v>FORTIS</v>
          </cell>
          <cell r="D123">
            <v>1.6799999999999999E-2</v>
          </cell>
          <cell r="F123" t="str">
            <v>Municipal Assessment Rider A-41</v>
          </cell>
          <cell r="G123" t="str">
            <v>Franchise Fee</v>
          </cell>
        </row>
        <row r="124">
          <cell r="A124">
            <v>1.8200000000000001E-2</v>
          </cell>
          <cell r="B124" t="str">
            <v>Thorhild County</v>
          </cell>
          <cell r="C124" t="str">
            <v>FORTIS</v>
          </cell>
          <cell r="D124">
            <v>1.8200000000000001E-2</v>
          </cell>
          <cell r="F124" t="str">
            <v>Municipal Assessment Rider A-219</v>
          </cell>
          <cell r="G124" t="str">
            <v>Franchise Fee</v>
          </cell>
        </row>
        <row r="125">
          <cell r="A125">
            <v>1.8599999999999998E-2</v>
          </cell>
          <cell r="B125" t="str">
            <v>Nakamun Park, S.V. Of</v>
          </cell>
          <cell r="C125" t="str">
            <v>FORTIS</v>
          </cell>
          <cell r="D125">
            <v>1.8599999999999998E-2</v>
          </cell>
          <cell r="E125">
            <v>0</v>
          </cell>
          <cell r="F125" t="str">
            <v>Municipal Assessment Rider A-151</v>
          </cell>
          <cell r="G125" t="str">
            <v>Franchise Fee</v>
          </cell>
        </row>
        <row r="126">
          <cell r="A126">
            <v>2.24E-2</v>
          </cell>
          <cell r="B126" t="str">
            <v>Lakeview, S.V. Of</v>
          </cell>
          <cell r="C126" t="str">
            <v>FORTIS</v>
          </cell>
          <cell r="D126">
            <v>2.3999999999999998E-3</v>
          </cell>
          <cell r="E126">
            <v>0.02</v>
          </cell>
          <cell r="F126" t="str">
            <v>Municipal Assessment Rider A-128</v>
          </cell>
          <cell r="G126" t="str">
            <v>Franchise Fee</v>
          </cell>
        </row>
        <row r="127">
          <cell r="A127">
            <v>2.2499999999999999E-2</v>
          </cell>
          <cell r="B127" t="str">
            <v>Chipman, Village Of</v>
          </cell>
          <cell r="C127" t="str">
            <v>FORTIS</v>
          </cell>
          <cell r="D127">
            <v>2.2499999999999999E-2</v>
          </cell>
          <cell r="E127">
            <v>0</v>
          </cell>
          <cell r="F127" t="str">
            <v>Municipal Assessment Rider A-57</v>
          </cell>
          <cell r="G127" t="str">
            <v>Franchise Fee</v>
          </cell>
        </row>
        <row r="128">
          <cell r="A128">
            <v>2.35E-2</v>
          </cell>
          <cell r="B128" t="str">
            <v>Lomond, Village Of</v>
          </cell>
          <cell r="C128" t="str">
            <v>FORTIS</v>
          </cell>
          <cell r="D128">
            <v>2.35E-2</v>
          </cell>
          <cell r="E128">
            <v>0</v>
          </cell>
          <cell r="F128" t="str">
            <v>Municipal Assessment Rider A-138</v>
          </cell>
          <cell r="G128" t="str">
            <v>Franchise Fee</v>
          </cell>
        </row>
        <row r="129">
          <cell r="A129">
            <v>2.4899999999999999E-2</v>
          </cell>
          <cell r="B129" t="str">
            <v>Tsuu T'Ina Nation</v>
          </cell>
          <cell r="C129" t="str">
            <v>FORTIS</v>
          </cell>
          <cell r="D129">
            <v>2.4899999999999999E-2</v>
          </cell>
          <cell r="F129" t="str">
            <v>Municipal Assessment Rider A-222</v>
          </cell>
          <cell r="G129" t="str">
            <v>Franchise Fee</v>
          </cell>
        </row>
        <row r="130">
          <cell r="A130">
            <v>2.5700000000000001E-2</v>
          </cell>
          <cell r="B130" t="str">
            <v>Kikino Metis</v>
          </cell>
          <cell r="C130" t="str">
            <v>FORTIS</v>
          </cell>
          <cell r="D130">
            <v>2.5700000000000001E-2</v>
          </cell>
          <cell r="F130" t="str">
            <v>Municipal Assessment Rider A-121</v>
          </cell>
          <cell r="G130" t="str">
            <v>Franchise Fee</v>
          </cell>
        </row>
        <row r="131">
          <cell r="A131">
            <v>2.64E-2</v>
          </cell>
          <cell r="B131" t="str">
            <v>Sandy Beach, S.V. Of</v>
          </cell>
          <cell r="C131" t="str">
            <v>FORTIS</v>
          </cell>
          <cell r="D131">
            <v>2.64E-2</v>
          </cell>
          <cell r="F131" t="str">
            <v>Municipal Assessment Rider A-188</v>
          </cell>
          <cell r="G131" t="str">
            <v>Franchise Fee</v>
          </cell>
        </row>
        <row r="132">
          <cell r="A132">
            <v>2.8299999999999999E-2</v>
          </cell>
          <cell r="B132" t="str">
            <v>Claresholm, Town Of</v>
          </cell>
          <cell r="C132" t="str">
            <v>FORTIS</v>
          </cell>
          <cell r="D132">
            <v>8.3000000000000001E-3</v>
          </cell>
          <cell r="E132">
            <v>0.02</v>
          </cell>
          <cell r="F132" t="str">
            <v>Municipal Assessment Rider A-58</v>
          </cell>
          <cell r="G132" t="str">
            <v>Franchise Fee</v>
          </cell>
        </row>
        <row r="133">
          <cell r="A133">
            <v>3.0100000000000002E-2</v>
          </cell>
          <cell r="B133" t="str">
            <v>Whitecourt, Town Of</v>
          </cell>
          <cell r="C133" t="str">
            <v>FORTIS</v>
          </cell>
          <cell r="D133">
            <v>6.0000000000000001E-3</v>
          </cell>
          <cell r="E133">
            <v>2.41E-2</v>
          </cell>
          <cell r="F133" t="str">
            <v>Municipal Assessment Rider A-245</v>
          </cell>
          <cell r="G133" t="str">
            <v>Franchise Fee</v>
          </cell>
        </row>
        <row r="134">
          <cell r="A134">
            <v>3.0600000000000002E-2</v>
          </cell>
          <cell r="B134" t="str">
            <v>Vauxhall, Town Of</v>
          </cell>
          <cell r="C134" t="str">
            <v>FORTIS</v>
          </cell>
          <cell r="D134">
            <v>1.06E-2</v>
          </cell>
          <cell r="E134">
            <v>0.02</v>
          </cell>
          <cell r="F134" t="str">
            <v>Municipal Assessment Rider A-225</v>
          </cell>
          <cell r="G134" t="str">
            <v>Franchise Fee</v>
          </cell>
        </row>
        <row r="135">
          <cell r="A135">
            <v>3.5499999999999997E-2</v>
          </cell>
          <cell r="B135" t="str">
            <v>Wainwright, Town Of</v>
          </cell>
          <cell r="C135" t="str">
            <v>FORTIS</v>
          </cell>
          <cell r="D135">
            <v>5.4999999999999997E-3</v>
          </cell>
          <cell r="E135">
            <v>0.03</v>
          </cell>
          <cell r="F135" t="str">
            <v>Municipal Assessment Rider A-232</v>
          </cell>
          <cell r="G135" t="str">
            <v>Franchise Fee</v>
          </cell>
        </row>
        <row r="136">
          <cell r="A136">
            <v>3.6600000000000001E-2</v>
          </cell>
          <cell r="B136" t="str">
            <v>Opportunity 17, M.D. Of</v>
          </cell>
          <cell r="C136" t="str">
            <v>FORTIS</v>
          </cell>
          <cell r="D136">
            <v>3.6600000000000001E-2</v>
          </cell>
          <cell r="F136" t="str">
            <v>Municipal Assessment Rider A-161</v>
          </cell>
          <cell r="G136" t="str">
            <v>Franchise Fee</v>
          </cell>
          <cell r="H136">
            <v>1</v>
          </cell>
        </row>
        <row r="137">
          <cell r="A137">
            <v>3.9399999999999998E-2</v>
          </cell>
          <cell r="B137" t="str">
            <v>Boyle, Village Of</v>
          </cell>
          <cell r="C137" t="str">
            <v>FORTIS</v>
          </cell>
          <cell r="D137">
            <v>9.4000000000000004E-3</v>
          </cell>
          <cell r="E137">
            <v>0.03</v>
          </cell>
          <cell r="F137" t="str">
            <v>Municipal Assessment Rider A-36</v>
          </cell>
          <cell r="G137" t="str">
            <v>Franchise Fee</v>
          </cell>
        </row>
        <row r="138">
          <cell r="A138">
            <v>3.9899999999999998E-2</v>
          </cell>
          <cell r="B138" t="str">
            <v>Stavely, Town Of</v>
          </cell>
          <cell r="C138" t="str">
            <v>FORTIS</v>
          </cell>
          <cell r="D138">
            <v>9.9000000000000008E-3</v>
          </cell>
          <cell r="E138">
            <v>0.03</v>
          </cell>
          <cell r="F138" t="str">
            <v>Municipal Assessment Rider A-201</v>
          </cell>
          <cell r="G138" t="str">
            <v>Franchise Fee</v>
          </cell>
        </row>
        <row r="139">
          <cell r="A139">
            <v>0.04</v>
          </cell>
          <cell r="B139" t="str">
            <v>Bashaw, Town Of</v>
          </cell>
          <cell r="C139" t="str">
            <v>FORTIS</v>
          </cell>
          <cell r="D139">
            <v>0.01</v>
          </cell>
          <cell r="E139">
            <v>0.03</v>
          </cell>
          <cell r="F139" t="str">
            <v>Municipal Assessment Rider A-17</v>
          </cell>
          <cell r="G139" t="str">
            <v>Franchise Fee</v>
          </cell>
        </row>
        <row r="140">
          <cell r="A140">
            <v>4.1700000000000001E-2</v>
          </cell>
          <cell r="B140" t="str">
            <v>Ryley, Village Of</v>
          </cell>
          <cell r="C140" t="str">
            <v>FORTIS</v>
          </cell>
          <cell r="D140">
            <v>1.17E-2</v>
          </cell>
          <cell r="E140">
            <v>0.03</v>
          </cell>
          <cell r="F140" t="str">
            <v>Municipal Assessment Rider A-187</v>
          </cell>
          <cell r="G140" t="str">
            <v>Franchise Fee</v>
          </cell>
        </row>
        <row r="141">
          <cell r="A141">
            <v>4.1800000000000004E-2</v>
          </cell>
          <cell r="B141" t="str">
            <v>Banff, Town Of</v>
          </cell>
          <cell r="C141" t="str">
            <v>FORTIS</v>
          </cell>
          <cell r="D141">
            <v>1.8E-3</v>
          </cell>
          <cell r="E141">
            <v>0.04</v>
          </cell>
          <cell r="F141" t="str">
            <v>Municipal Assessment Rider A-12</v>
          </cell>
          <cell r="G141" t="str">
            <v>Franchise Fee</v>
          </cell>
        </row>
        <row r="142">
          <cell r="A142">
            <v>4.2700000000000002E-2</v>
          </cell>
          <cell r="B142" t="str">
            <v>Seba Beach, S.V. Of</v>
          </cell>
          <cell r="C142" t="str">
            <v>FORTIS</v>
          </cell>
          <cell r="D142">
            <v>2.7000000000000001E-3</v>
          </cell>
          <cell r="E142">
            <v>0.04</v>
          </cell>
          <cell r="F142" t="str">
            <v>Municipal Assessment Rider A-189</v>
          </cell>
          <cell r="G142" t="str">
            <v>Franchise Fee</v>
          </cell>
        </row>
        <row r="143">
          <cell r="A143">
            <v>4.41E-2</v>
          </cell>
          <cell r="B143" t="str">
            <v>Alberta Beach, S.V. Of</v>
          </cell>
          <cell r="C143" t="str">
            <v>FORTIS</v>
          </cell>
          <cell r="D143">
            <v>1.41E-2</v>
          </cell>
          <cell r="E143">
            <v>0.03</v>
          </cell>
          <cell r="F143" t="str">
            <v>Municipal Assessment Rider A-3</v>
          </cell>
          <cell r="G143" t="str">
            <v>Franchise Fee</v>
          </cell>
        </row>
        <row r="144">
          <cell r="A144">
            <v>4.5400000000000003E-2</v>
          </cell>
          <cell r="B144" t="str">
            <v>Sunrise Beach, S.V. Of</v>
          </cell>
          <cell r="C144" t="str">
            <v>FORTIS</v>
          </cell>
          <cell r="D144">
            <v>4.5400000000000003E-2</v>
          </cell>
          <cell r="E144">
            <v>0</v>
          </cell>
          <cell r="F144" t="str">
            <v>Municipal Assessment Rider A-213</v>
          </cell>
          <cell r="G144" t="str">
            <v>Franchise Fee</v>
          </cell>
        </row>
        <row r="145">
          <cell r="A145">
            <v>5.0900000000000001E-2</v>
          </cell>
          <cell r="B145" t="str">
            <v>Yellowstone, S.V. Of</v>
          </cell>
          <cell r="C145" t="str">
            <v>FORTIS</v>
          </cell>
          <cell r="D145">
            <v>2.0899999999999998E-2</v>
          </cell>
          <cell r="E145">
            <v>0.03</v>
          </cell>
          <cell r="F145" t="str">
            <v>Municipal Assessment Rider A-250</v>
          </cell>
          <cell r="G145" t="str">
            <v>Franchise Fee</v>
          </cell>
        </row>
        <row r="146">
          <cell r="A146">
            <v>5.11E-2</v>
          </cell>
          <cell r="B146" t="str">
            <v>Norglenwold, S.V. Of</v>
          </cell>
          <cell r="C146" t="str">
            <v>FORTIS</v>
          </cell>
          <cell r="D146">
            <v>1.1000000000000001E-3</v>
          </cell>
          <cell r="E146">
            <v>0.05</v>
          </cell>
          <cell r="F146" t="str">
            <v>Municipal Assessment Rider A-155</v>
          </cell>
          <cell r="G146" t="str">
            <v>Franchise Fee</v>
          </cell>
        </row>
        <row r="147">
          <cell r="A147">
            <v>5.1199999999999996E-2</v>
          </cell>
          <cell r="B147" t="str">
            <v>Acme, Village Of</v>
          </cell>
          <cell r="C147" t="str">
            <v>FORTIS</v>
          </cell>
          <cell r="D147">
            <v>2.12E-2</v>
          </cell>
          <cell r="E147">
            <v>0.03</v>
          </cell>
          <cell r="F147" t="str">
            <v>Municipal Assessment Rider A-1</v>
          </cell>
          <cell r="G147" t="str">
            <v>Franchise Fee</v>
          </cell>
        </row>
        <row r="148">
          <cell r="A148">
            <v>5.1400000000000001E-2</v>
          </cell>
          <cell r="B148" t="str">
            <v>Coutts, Village Of</v>
          </cell>
          <cell r="C148" t="str">
            <v>FORTIS</v>
          </cell>
          <cell r="D148">
            <v>2.1399999999999999E-2</v>
          </cell>
          <cell r="E148">
            <v>0.03</v>
          </cell>
          <cell r="F148" t="str">
            <v>Municipal Assessment Rider A-65</v>
          </cell>
          <cell r="G148" t="str">
            <v>Franchise Fee</v>
          </cell>
        </row>
        <row r="149">
          <cell r="A149">
            <v>5.3100000000000001E-2</v>
          </cell>
          <cell r="B149" t="str">
            <v>Barnwell, Village Of</v>
          </cell>
          <cell r="C149" t="str">
            <v>FORTIS</v>
          </cell>
          <cell r="D149">
            <v>3.0999999999999999E-3</v>
          </cell>
          <cell r="E149">
            <v>0.05</v>
          </cell>
          <cell r="F149" t="str">
            <v>Municipal Assessment Rider A-13</v>
          </cell>
          <cell r="G149" t="str">
            <v>Franchise Fee</v>
          </cell>
        </row>
        <row r="150">
          <cell r="A150">
            <v>5.3500000000000006E-2</v>
          </cell>
          <cell r="B150" t="str">
            <v>Daysland, Town Of</v>
          </cell>
          <cell r="C150" t="str">
            <v>FORTIS</v>
          </cell>
          <cell r="D150">
            <v>3.5000000000000001E-3</v>
          </cell>
          <cell r="E150">
            <v>0.05</v>
          </cell>
          <cell r="F150" t="str">
            <v>Municipal Assessment Rider A-73</v>
          </cell>
          <cell r="G150" t="str">
            <v>Franchise Fee</v>
          </cell>
        </row>
        <row r="151">
          <cell r="A151">
            <v>5.4699999999999999E-2</v>
          </cell>
          <cell r="B151" t="str">
            <v>Holden, Village Of</v>
          </cell>
          <cell r="C151" t="str">
            <v>FORTIS</v>
          </cell>
          <cell r="D151">
            <v>1.47E-2</v>
          </cell>
          <cell r="E151">
            <v>0.04</v>
          </cell>
          <cell r="F151" t="str">
            <v>Municipal Assessment Rider A-105</v>
          </cell>
          <cell r="G151" t="str">
            <v>Franchise Fee</v>
          </cell>
        </row>
        <row r="152">
          <cell r="A152">
            <v>5.5500000000000001E-2</v>
          </cell>
          <cell r="B152" t="str">
            <v>Cowley, Village Of</v>
          </cell>
          <cell r="C152" t="str">
            <v>FORTIS</v>
          </cell>
          <cell r="D152">
            <v>5.4999999999999997E-3</v>
          </cell>
          <cell r="E152">
            <v>0.05</v>
          </cell>
          <cell r="F152" t="str">
            <v>Municipal Assessment Rider A-66</v>
          </cell>
          <cell r="G152" t="str">
            <v>Franchise Fee</v>
          </cell>
        </row>
        <row r="153">
          <cell r="A153">
            <v>5.8000000000000003E-2</v>
          </cell>
          <cell r="B153" t="str">
            <v>Edson, Town Of</v>
          </cell>
          <cell r="C153" t="str">
            <v>FORTIS</v>
          </cell>
          <cell r="D153">
            <v>8.0000000000000002E-3</v>
          </cell>
          <cell r="E153">
            <v>0.05</v>
          </cell>
          <cell r="F153" t="str">
            <v>Municipal Assessment Rider A-82</v>
          </cell>
          <cell r="G153" t="str">
            <v>Franchise Fee</v>
          </cell>
        </row>
        <row r="154">
          <cell r="A154">
            <v>5.9400000000000001E-2</v>
          </cell>
          <cell r="B154" t="str">
            <v>Coalhurst, Town Of</v>
          </cell>
          <cell r="C154" t="str">
            <v>FORTIS</v>
          </cell>
          <cell r="D154">
            <v>9.4000000000000004E-3</v>
          </cell>
          <cell r="E154">
            <v>0.05</v>
          </cell>
          <cell r="F154" t="str">
            <v>Municipal Assessment Rider A-63</v>
          </cell>
          <cell r="G154" t="str">
            <v>Franchise Fee</v>
          </cell>
        </row>
        <row r="155">
          <cell r="A155">
            <v>5.9900000000000002E-2</v>
          </cell>
          <cell r="B155" t="str">
            <v>Lamont, Town Of</v>
          </cell>
          <cell r="C155" t="str">
            <v>FORTIS</v>
          </cell>
          <cell r="D155">
            <v>9.9000000000000008E-3</v>
          </cell>
          <cell r="E155">
            <v>0.05</v>
          </cell>
          <cell r="F155" t="str">
            <v>Municipal Assessment Rider A-130</v>
          </cell>
          <cell r="G155" t="str">
            <v>Franchise Fee</v>
          </cell>
        </row>
        <row r="156">
          <cell r="A156">
            <v>6.0200000000000004E-2</v>
          </cell>
          <cell r="B156" t="str">
            <v>Rockyford, Village Of</v>
          </cell>
          <cell r="C156" t="str">
            <v>FORTIS</v>
          </cell>
          <cell r="D156">
            <v>1.0200000000000001E-2</v>
          </cell>
          <cell r="E156">
            <v>0.05</v>
          </cell>
          <cell r="F156" t="str">
            <v>Municipal Assessment Rider A-184</v>
          </cell>
          <cell r="G156" t="str">
            <v>Franchise Fee</v>
          </cell>
        </row>
        <row r="157">
          <cell r="A157">
            <v>6.0600000000000001E-2</v>
          </cell>
          <cell r="B157" t="str">
            <v>Hughendon, Village Of</v>
          </cell>
          <cell r="C157" t="str">
            <v>FORTIS</v>
          </cell>
          <cell r="D157">
            <v>1.06E-2</v>
          </cell>
          <cell r="E157">
            <v>0.05</v>
          </cell>
          <cell r="F157" t="str">
            <v>Municipal Assessment Rider A-106</v>
          </cell>
          <cell r="G157" t="str">
            <v>Franchise Fee</v>
          </cell>
        </row>
        <row r="158">
          <cell r="A158">
            <v>6.0600000000000001E-2</v>
          </cell>
          <cell r="B158" t="str">
            <v>Tofield, Town</v>
          </cell>
          <cell r="C158" t="str">
            <v>FORTIS</v>
          </cell>
          <cell r="D158">
            <v>1.06E-2</v>
          </cell>
          <cell r="E158">
            <v>0.05</v>
          </cell>
          <cell r="F158" t="str">
            <v>Municipal Assessment Rider A-221</v>
          </cell>
          <cell r="G158" t="str">
            <v>Franchise Fee</v>
          </cell>
        </row>
        <row r="159">
          <cell r="A159">
            <v>6.0700000000000004E-2</v>
          </cell>
          <cell r="B159" t="str">
            <v>Czar, Village Of</v>
          </cell>
          <cell r="C159" t="str">
            <v>FORTIS</v>
          </cell>
          <cell r="D159">
            <v>1.0699999999999999E-2</v>
          </cell>
          <cell r="E159">
            <v>0.05</v>
          </cell>
          <cell r="F159" t="str">
            <v>Municipal Assessment Rider A-72</v>
          </cell>
          <cell r="G159" t="str">
            <v>Franchise Fee</v>
          </cell>
        </row>
        <row r="160">
          <cell r="A160">
            <v>6.0800000000000007E-2</v>
          </cell>
          <cell r="B160" t="str">
            <v>Barons, Village Of</v>
          </cell>
          <cell r="C160" t="str">
            <v>FORTIS</v>
          </cell>
          <cell r="D160">
            <v>1.0800000000000001E-2</v>
          </cell>
          <cell r="E160">
            <v>0.05</v>
          </cell>
          <cell r="F160" t="str">
            <v>Municipal Assessment Rider A-14</v>
          </cell>
          <cell r="G160" t="str">
            <v>Franchise Fee</v>
          </cell>
        </row>
        <row r="161">
          <cell r="A161">
            <v>6.2700000000000006E-2</v>
          </cell>
          <cell r="B161" t="str">
            <v>Beaumont, Town Of</v>
          </cell>
          <cell r="C161" t="str">
            <v>FORTIS</v>
          </cell>
          <cell r="D161">
            <v>1.2699999999999999E-2</v>
          </cell>
          <cell r="E161">
            <v>0.05</v>
          </cell>
          <cell r="F161" t="str">
            <v>Municipal Assessment Rider A-20</v>
          </cell>
          <cell r="G161" t="str">
            <v>Franchise Fee</v>
          </cell>
        </row>
        <row r="162">
          <cell r="A162">
            <v>6.5299999999999997E-2</v>
          </cell>
          <cell r="B162" t="str">
            <v>Bawlf, Village Of</v>
          </cell>
          <cell r="C162" t="str">
            <v>FORTIS</v>
          </cell>
          <cell r="D162">
            <v>5.3E-3</v>
          </cell>
          <cell r="E162">
            <v>0.06</v>
          </cell>
          <cell r="F162" t="str">
            <v>Municipal Assessment Rider A-19</v>
          </cell>
          <cell r="G162" t="str">
            <v>Franchise Fee</v>
          </cell>
        </row>
        <row r="163">
          <cell r="A163">
            <v>6.6100000000000006E-2</v>
          </cell>
          <cell r="B163" t="str">
            <v>Granum, Town Of</v>
          </cell>
          <cell r="C163" t="str">
            <v>FORTIS</v>
          </cell>
          <cell r="D163">
            <v>1.11E-2</v>
          </cell>
          <cell r="E163">
            <v>5.5E-2</v>
          </cell>
          <cell r="F163" t="str">
            <v>Municipal Assessment Rider A-96</v>
          </cell>
          <cell r="G163" t="str">
            <v>Franchise Fee</v>
          </cell>
        </row>
        <row r="164">
          <cell r="A164">
            <v>6.7000000000000004E-2</v>
          </cell>
          <cell r="B164" t="str">
            <v>Hill Spring, Village Of</v>
          </cell>
          <cell r="C164" t="str">
            <v>FORTIS</v>
          </cell>
          <cell r="D164">
            <v>1.7000000000000001E-2</v>
          </cell>
          <cell r="E164">
            <v>0.05</v>
          </cell>
          <cell r="F164" t="str">
            <v>Municipal Assessment Rider A-103</v>
          </cell>
          <cell r="G164" t="str">
            <v>Franchise Fee</v>
          </cell>
        </row>
        <row r="165">
          <cell r="A165">
            <v>6.8699999999999997E-2</v>
          </cell>
          <cell r="B165" t="str">
            <v>Sedgewick, Town Of</v>
          </cell>
          <cell r="C165" t="str">
            <v>FORTIS</v>
          </cell>
          <cell r="D165">
            <v>8.6999999999999994E-3</v>
          </cell>
          <cell r="E165">
            <v>0.06</v>
          </cell>
          <cell r="F165" t="str">
            <v>Municipal Assessment Rider A-190</v>
          </cell>
          <cell r="G165" t="str">
            <v>Franchise Fee</v>
          </cell>
        </row>
        <row r="166">
          <cell r="A166">
            <v>6.93E-2</v>
          </cell>
          <cell r="B166" t="str">
            <v>Silver Sands, S.V. Of</v>
          </cell>
          <cell r="C166" t="str">
            <v>FORTIS</v>
          </cell>
          <cell r="D166">
            <v>3.9300000000000002E-2</v>
          </cell>
          <cell r="E166">
            <v>0.03</v>
          </cell>
          <cell r="F166" t="str">
            <v>Municipal Assessment Rider A-193</v>
          </cell>
          <cell r="G166" t="str">
            <v>Franchise Fee</v>
          </cell>
        </row>
        <row r="167">
          <cell r="A167">
            <v>6.9499999999999992E-2</v>
          </cell>
          <cell r="B167" t="str">
            <v>Athabasca, Town Of</v>
          </cell>
          <cell r="C167" t="str">
            <v>FORTIS</v>
          </cell>
          <cell r="D167">
            <v>9.4999999999999998E-3</v>
          </cell>
          <cell r="E167">
            <v>0.06</v>
          </cell>
          <cell r="F167" t="str">
            <v>Municipal Assessment Rider A-11</v>
          </cell>
          <cell r="G167" t="str">
            <v>Franchise Fee</v>
          </cell>
        </row>
        <row r="168">
          <cell r="A168">
            <v>7.0000000000000007E-2</v>
          </cell>
          <cell r="B168" t="str">
            <v>Lacombe, City Of</v>
          </cell>
          <cell r="C168" t="str">
            <v>FORTIS</v>
          </cell>
          <cell r="D168">
            <v>8.0000000000000002E-3</v>
          </cell>
          <cell r="E168">
            <v>6.2E-2</v>
          </cell>
          <cell r="F168" t="str">
            <v>Municipal Assessment Rider A-127</v>
          </cell>
          <cell r="G168" t="str">
            <v>Franchise Fee</v>
          </cell>
        </row>
        <row r="169">
          <cell r="A169">
            <v>7.1199999999999999E-2</v>
          </cell>
          <cell r="B169" t="str">
            <v>Hardisty, Town Of</v>
          </cell>
          <cell r="C169" t="str">
            <v>FORTIS</v>
          </cell>
          <cell r="D169">
            <v>1.12E-2</v>
          </cell>
          <cell r="E169">
            <v>0.06</v>
          </cell>
          <cell r="F169" t="str">
            <v>Municipal Assessment Rider A-100</v>
          </cell>
          <cell r="G169" t="str">
            <v>Franchise Fee</v>
          </cell>
        </row>
        <row r="170">
          <cell r="A170">
            <v>7.6399999999999996E-2</v>
          </cell>
          <cell r="B170" t="str">
            <v>Lougheed, Village Of</v>
          </cell>
          <cell r="C170" t="str">
            <v>FORTIS</v>
          </cell>
          <cell r="D170">
            <v>2.64E-2</v>
          </cell>
          <cell r="E170">
            <v>0.05</v>
          </cell>
          <cell r="F170" t="str">
            <v>Municipal Assessment Rider A-140</v>
          </cell>
          <cell r="G170" t="str">
            <v>Franchise Fee</v>
          </cell>
        </row>
        <row r="171">
          <cell r="A171">
            <v>7.690000000000001E-2</v>
          </cell>
          <cell r="B171" t="str">
            <v>Bow Island, Town Of</v>
          </cell>
          <cell r="C171" t="str">
            <v>FORTIS</v>
          </cell>
          <cell r="D171">
            <v>6.8999999999999999E-3</v>
          </cell>
          <cell r="E171">
            <v>7.0000000000000007E-2</v>
          </cell>
          <cell r="F171" t="str">
            <v>Municipal Assessment Rider A-34</v>
          </cell>
          <cell r="G171" t="str">
            <v>Franchise Fee</v>
          </cell>
        </row>
        <row r="172">
          <cell r="A172">
            <v>7.8400000000000011E-2</v>
          </cell>
          <cell r="B172" t="str">
            <v>Foremost, Village Of</v>
          </cell>
          <cell r="C172" t="str">
            <v>FORTIS</v>
          </cell>
          <cell r="D172">
            <v>8.3999999999999995E-3</v>
          </cell>
          <cell r="E172">
            <v>7.0000000000000007E-2</v>
          </cell>
          <cell r="F172" t="str">
            <v>Municipal Assessment Rider A-87</v>
          </cell>
          <cell r="G172" t="str">
            <v>Franchise Fee</v>
          </cell>
        </row>
        <row r="173">
          <cell r="A173">
            <v>7.8500000000000014E-2</v>
          </cell>
          <cell r="B173" t="str">
            <v>Sundre, Town Of</v>
          </cell>
          <cell r="C173" t="str">
            <v>FORTIS</v>
          </cell>
          <cell r="D173">
            <v>8.5000000000000006E-3</v>
          </cell>
          <cell r="E173">
            <v>7.0000000000000007E-2</v>
          </cell>
          <cell r="F173" t="str">
            <v>Municipal Assessment Rider A-212</v>
          </cell>
          <cell r="G173" t="str">
            <v>Franchise Fee</v>
          </cell>
        </row>
        <row r="174">
          <cell r="A174">
            <v>8.0800000000000011E-2</v>
          </cell>
          <cell r="B174" t="str">
            <v>Hay Lakes, Village Of</v>
          </cell>
          <cell r="C174" t="str">
            <v>FORTIS</v>
          </cell>
          <cell r="D174">
            <v>1.0800000000000001E-2</v>
          </cell>
          <cell r="E174">
            <v>7.0000000000000007E-2</v>
          </cell>
          <cell r="F174" t="str">
            <v>Municipal Assessment Rider A-101</v>
          </cell>
          <cell r="G174" t="str">
            <v>Franchise Fee</v>
          </cell>
        </row>
        <row r="175">
          <cell r="A175">
            <v>8.09E-2</v>
          </cell>
          <cell r="B175" t="str">
            <v>Bittern Lk, Village Of</v>
          </cell>
          <cell r="C175" t="str">
            <v>FORTIS</v>
          </cell>
          <cell r="D175">
            <v>1.09E-2</v>
          </cell>
          <cell r="E175">
            <v>7.0000000000000007E-2</v>
          </cell>
          <cell r="F175" t="str">
            <v>Municipal Assessment Rider A-29</v>
          </cell>
          <cell r="G175" t="str">
            <v>Franchise Fee</v>
          </cell>
        </row>
        <row r="176">
          <cell r="A176">
            <v>8.2100000000000006E-2</v>
          </cell>
          <cell r="B176" t="str">
            <v>Killam, Town Of</v>
          </cell>
          <cell r="C176" t="str">
            <v>FORTIS</v>
          </cell>
          <cell r="D176">
            <v>1.21E-2</v>
          </cell>
          <cell r="E176">
            <v>7.0000000000000007E-2</v>
          </cell>
          <cell r="F176" t="str">
            <v>Municipal Assessment Rider A-122</v>
          </cell>
          <cell r="G176" t="str">
            <v>Franchise Fee</v>
          </cell>
        </row>
        <row r="177">
          <cell r="A177">
            <v>8.2800000000000012E-2</v>
          </cell>
          <cell r="B177" t="str">
            <v>Caroline, Village Of</v>
          </cell>
          <cell r="C177" t="str">
            <v>FORTIS</v>
          </cell>
          <cell r="D177">
            <v>1.2800000000000001E-2</v>
          </cell>
          <cell r="E177">
            <v>7.0000000000000007E-2</v>
          </cell>
          <cell r="F177" t="str">
            <v>Municipal Assessment Rider A-51</v>
          </cell>
          <cell r="G177" t="str">
            <v>Franchise Fee</v>
          </cell>
        </row>
        <row r="178">
          <cell r="A178">
            <v>8.3799999999999999E-2</v>
          </cell>
          <cell r="B178" t="str">
            <v>Innisfail, Town Of</v>
          </cell>
          <cell r="C178" t="str">
            <v>FORTIS</v>
          </cell>
          <cell r="D178">
            <v>3.8E-3</v>
          </cell>
          <cell r="E178">
            <v>0.08</v>
          </cell>
          <cell r="F178" t="str">
            <v>Municipal Assessment Rider A-112</v>
          </cell>
          <cell r="G178" t="str">
            <v>Franchise Fee</v>
          </cell>
        </row>
        <row r="179">
          <cell r="A179">
            <v>8.4099999999999994E-2</v>
          </cell>
          <cell r="B179" t="str">
            <v>Onoway, Town Of</v>
          </cell>
          <cell r="C179" t="str">
            <v>FORTIS</v>
          </cell>
          <cell r="D179">
            <v>9.1000000000000004E-3</v>
          </cell>
          <cell r="E179">
            <v>7.4999999999999997E-2</v>
          </cell>
          <cell r="F179" t="str">
            <v>Municipal Assessment Rider A-160</v>
          </cell>
          <cell r="G179" t="str">
            <v>Franchise Fee</v>
          </cell>
        </row>
        <row r="180">
          <cell r="A180">
            <v>8.4400000000000003E-2</v>
          </cell>
          <cell r="B180" t="str">
            <v>Legal, Town Of</v>
          </cell>
          <cell r="C180" t="str">
            <v>FORTIS</v>
          </cell>
          <cell r="D180">
            <v>1.44E-2</v>
          </cell>
          <cell r="E180">
            <v>7.0000000000000007E-2</v>
          </cell>
          <cell r="F180" t="str">
            <v>Municipal Assessment Rider A-134</v>
          </cell>
          <cell r="G180" t="str">
            <v>Franchise Fee</v>
          </cell>
        </row>
        <row r="181">
          <cell r="A181">
            <v>8.5100000000000009E-2</v>
          </cell>
          <cell r="B181" t="str">
            <v>Nanton, Town Of</v>
          </cell>
          <cell r="C181" t="str">
            <v>FORTIS</v>
          </cell>
          <cell r="D181">
            <v>1.5100000000000001E-2</v>
          </cell>
          <cell r="E181">
            <v>7.0000000000000007E-2</v>
          </cell>
          <cell r="F181" t="str">
            <v>Municipal Assessment Rider A-152</v>
          </cell>
          <cell r="G181" t="str">
            <v>Franchise Fee</v>
          </cell>
        </row>
        <row r="182">
          <cell r="A182">
            <v>8.7300000000000003E-2</v>
          </cell>
          <cell r="B182" t="str">
            <v>Black Diamond, Town Of</v>
          </cell>
          <cell r="C182" t="str">
            <v>FORTIS</v>
          </cell>
          <cell r="D182">
            <v>-1.2699999999999999E-2</v>
          </cell>
          <cell r="E182">
            <v>0.1</v>
          </cell>
          <cell r="F182" t="str">
            <v>Municipal Assessment Rider A-30</v>
          </cell>
          <cell r="G182" t="str">
            <v>Franchise Fee</v>
          </cell>
        </row>
        <row r="183">
          <cell r="A183">
            <v>9.06E-2</v>
          </cell>
          <cell r="B183" t="str">
            <v>Stirling, Village Of</v>
          </cell>
          <cell r="C183" t="str">
            <v>FORTIS</v>
          </cell>
          <cell r="D183">
            <v>1.06E-2</v>
          </cell>
          <cell r="E183">
            <v>0.08</v>
          </cell>
          <cell r="F183" t="str">
            <v>Municipal Assessment Rider A-203</v>
          </cell>
          <cell r="G183" t="str">
            <v>Franchise Fee</v>
          </cell>
        </row>
        <row r="184">
          <cell r="A184">
            <v>9.1499999999999998E-2</v>
          </cell>
          <cell r="B184" t="str">
            <v>Magrath, Town Of</v>
          </cell>
          <cell r="C184" t="str">
            <v>FORTIS</v>
          </cell>
          <cell r="D184">
            <v>1.15E-2</v>
          </cell>
          <cell r="E184">
            <v>0.08</v>
          </cell>
          <cell r="F184" t="str">
            <v>Municipal Assessment Rider A-141</v>
          </cell>
          <cell r="G184" t="str">
            <v>Franchise Fee</v>
          </cell>
        </row>
        <row r="185">
          <cell r="A185">
            <v>9.2499999999999999E-2</v>
          </cell>
          <cell r="B185" t="str">
            <v>Olds, Town Of</v>
          </cell>
          <cell r="C185" t="str">
            <v>FORTIS</v>
          </cell>
          <cell r="D185">
            <v>6.6E-3</v>
          </cell>
          <cell r="E185">
            <v>8.5900000000000004E-2</v>
          </cell>
          <cell r="F185" t="str">
            <v>Municipal Assessment Rider A-159</v>
          </cell>
          <cell r="G185" t="str">
            <v>Franchise Fee</v>
          </cell>
        </row>
        <row r="186">
          <cell r="A186">
            <v>9.69E-2</v>
          </cell>
          <cell r="B186" t="str">
            <v>Viking, Town Of</v>
          </cell>
          <cell r="C186" t="str">
            <v>FORTIS</v>
          </cell>
          <cell r="D186">
            <v>1.6899999999999998E-2</v>
          </cell>
          <cell r="E186">
            <v>0.08</v>
          </cell>
          <cell r="F186" t="str">
            <v>Municipal Assessment Rider A-227</v>
          </cell>
          <cell r="G186" t="str">
            <v>Franchise Fee</v>
          </cell>
        </row>
        <row r="187">
          <cell r="A187">
            <v>9.8799999999999999E-2</v>
          </cell>
          <cell r="B187" t="str">
            <v>Ponoka, Town Of</v>
          </cell>
          <cell r="C187" t="str">
            <v>FORTIS</v>
          </cell>
          <cell r="D187">
            <v>9.8799999999999999E-2</v>
          </cell>
          <cell r="F187" t="str">
            <v>Municipal Assessment Rider A-172</v>
          </cell>
          <cell r="G187" t="str">
            <v>Franchise Fee</v>
          </cell>
        </row>
        <row r="188">
          <cell r="A188">
            <v>0.10009999999999999</v>
          </cell>
          <cell r="B188" t="str">
            <v>Clive, Village Of</v>
          </cell>
          <cell r="C188" t="str">
            <v>FORTIS</v>
          </cell>
          <cell r="D188">
            <v>1.01E-2</v>
          </cell>
          <cell r="E188">
            <v>0.09</v>
          </cell>
          <cell r="F188" t="str">
            <v>Municipal Assessment Rider A-60</v>
          </cell>
          <cell r="G188" t="str">
            <v>Franchise Fee</v>
          </cell>
        </row>
        <row r="189">
          <cell r="A189">
            <v>0.1019</v>
          </cell>
          <cell r="B189" t="str">
            <v>Wabamun, Village Of</v>
          </cell>
          <cell r="C189" t="str">
            <v>FORTIS</v>
          </cell>
          <cell r="D189">
            <v>2.1899999999999999E-2</v>
          </cell>
          <cell r="E189">
            <v>0.08</v>
          </cell>
          <cell r="F189" t="str">
            <v>Municipal Assessment Rider A-230</v>
          </cell>
          <cell r="G189" t="str">
            <v>Franchise Fee</v>
          </cell>
        </row>
        <row r="190">
          <cell r="A190">
            <v>0.1023</v>
          </cell>
          <cell r="B190" t="str">
            <v>Mayerthorpe, Town Of</v>
          </cell>
          <cell r="C190" t="str">
            <v>FORTIS</v>
          </cell>
          <cell r="D190">
            <v>2.23E-2</v>
          </cell>
          <cell r="E190">
            <v>0.08</v>
          </cell>
          <cell r="F190" t="str">
            <v>Municipal Assessment Rider A-143</v>
          </cell>
          <cell r="G190" t="str">
            <v>Franchise Fee</v>
          </cell>
        </row>
        <row r="191">
          <cell r="A191">
            <v>0.1047</v>
          </cell>
          <cell r="B191" t="str">
            <v>Picture Butte, Town Of</v>
          </cell>
          <cell r="C191" t="str">
            <v>FORTIS</v>
          </cell>
          <cell r="D191">
            <v>4.7000000000000002E-3</v>
          </cell>
          <cell r="E191">
            <v>0.1</v>
          </cell>
          <cell r="F191" t="str">
            <v>Municipal Assessment Rider A-167</v>
          </cell>
          <cell r="G191" t="str">
            <v>Franchise Fee</v>
          </cell>
        </row>
        <row r="192">
          <cell r="A192">
            <v>0.10490000000000001</v>
          </cell>
          <cell r="B192" t="str">
            <v>Drayton Valley, Town Of</v>
          </cell>
          <cell r="C192" t="str">
            <v>FORTIS</v>
          </cell>
          <cell r="D192">
            <v>4.8999999999999998E-3</v>
          </cell>
          <cell r="E192">
            <v>0.1</v>
          </cell>
          <cell r="F192" t="str">
            <v>Municipal Assessment Rider A-76</v>
          </cell>
          <cell r="G192" t="str">
            <v>Franchise Fee</v>
          </cell>
        </row>
        <row r="193">
          <cell r="A193">
            <v>0.1052</v>
          </cell>
          <cell r="B193" t="str">
            <v>Edberg, Village Of</v>
          </cell>
          <cell r="C193" t="str">
            <v>FORTIS</v>
          </cell>
          <cell r="D193">
            <v>2.52E-2</v>
          </cell>
          <cell r="E193">
            <v>0.08</v>
          </cell>
          <cell r="F193" t="str">
            <v>Municipal Assessment Rider A-79</v>
          </cell>
          <cell r="G193" t="str">
            <v>Franchise Fee</v>
          </cell>
        </row>
        <row r="194">
          <cell r="A194">
            <v>0.1061</v>
          </cell>
          <cell r="B194" t="str">
            <v>Strathmore, Town Of</v>
          </cell>
          <cell r="C194" t="str">
            <v>FORTIS</v>
          </cell>
          <cell r="D194">
            <v>6.1000000000000004E-3</v>
          </cell>
          <cell r="E194">
            <v>0.1</v>
          </cell>
          <cell r="F194" t="str">
            <v>Municipal Assessment Rider A-207</v>
          </cell>
          <cell r="G194" t="str">
            <v>Franchise Fee</v>
          </cell>
        </row>
        <row r="195">
          <cell r="A195">
            <v>0.1061</v>
          </cell>
          <cell r="B195" t="str">
            <v>Turner Valley, Town Of</v>
          </cell>
          <cell r="C195" t="str">
            <v>FORTIS</v>
          </cell>
          <cell r="D195">
            <v>6.1000000000000004E-3</v>
          </cell>
          <cell r="E195">
            <v>0.1</v>
          </cell>
          <cell r="F195" t="str">
            <v>Municipal Assessment Rider A-223</v>
          </cell>
          <cell r="G195" t="str">
            <v>Franchise Fee</v>
          </cell>
        </row>
        <row r="196">
          <cell r="A196">
            <v>0.10650000000000001</v>
          </cell>
          <cell r="B196" t="str">
            <v>Camrose, City Of</v>
          </cell>
          <cell r="C196" t="str">
            <v>FORTIS</v>
          </cell>
          <cell r="D196">
            <v>6.4999999999999997E-3</v>
          </cell>
          <cell r="E196">
            <v>0.1</v>
          </cell>
          <cell r="F196" t="str">
            <v>Municipal Assessment Rider A-46</v>
          </cell>
          <cell r="G196" t="str">
            <v>Franchise Fee</v>
          </cell>
          <cell r="H196">
            <v>1</v>
          </cell>
        </row>
        <row r="197">
          <cell r="A197">
            <v>0.1072</v>
          </cell>
          <cell r="B197" t="str">
            <v>Okotoks, Town Of</v>
          </cell>
          <cell r="C197" t="str">
            <v>FORTIS</v>
          </cell>
          <cell r="D197">
            <v>7.1999999999999998E-3</v>
          </cell>
          <cell r="E197">
            <v>0.1</v>
          </cell>
          <cell r="F197" t="str">
            <v>Municipal Assessment Rider A-158</v>
          </cell>
          <cell r="G197" t="str">
            <v>Franchise Fee</v>
          </cell>
        </row>
        <row r="198">
          <cell r="A198">
            <v>0.10730000000000001</v>
          </cell>
          <cell r="B198" t="str">
            <v>Canmore, Town Of</v>
          </cell>
          <cell r="C198" t="str">
            <v>FORTIS</v>
          </cell>
          <cell r="D198">
            <v>7.3000000000000001E-3</v>
          </cell>
          <cell r="E198">
            <v>0.1</v>
          </cell>
          <cell r="F198" t="str">
            <v>Municipal Assessment Rider A-47</v>
          </cell>
          <cell r="G198" t="str">
            <v>Franchise Fee</v>
          </cell>
          <cell r="H198">
            <v>1</v>
          </cell>
        </row>
        <row r="199">
          <cell r="A199">
            <v>0.10750000000000001</v>
          </cell>
          <cell r="B199" t="str">
            <v>Rocky Mtn House, Town</v>
          </cell>
          <cell r="C199" t="str">
            <v>FORTIS</v>
          </cell>
          <cell r="D199">
            <v>7.4999999999999997E-3</v>
          </cell>
          <cell r="E199">
            <v>0.1</v>
          </cell>
          <cell r="F199" t="str">
            <v>Municipal Assessment Rider A-182</v>
          </cell>
          <cell r="G199" t="str">
            <v>Franchise Fee</v>
          </cell>
        </row>
        <row r="200">
          <cell r="A200">
            <v>0.10970000000000001</v>
          </cell>
          <cell r="B200" t="str">
            <v>Eckville, Town Of</v>
          </cell>
          <cell r="C200" t="str">
            <v>FORTIS</v>
          </cell>
          <cell r="D200">
            <v>9.7000000000000003E-3</v>
          </cell>
          <cell r="E200">
            <v>0.1</v>
          </cell>
          <cell r="F200" t="str">
            <v>Municipal Assessment Rider A-78</v>
          </cell>
          <cell r="G200" t="str">
            <v>Franchise Fee</v>
          </cell>
        </row>
        <row r="201">
          <cell r="A201">
            <v>0.10980000000000001</v>
          </cell>
          <cell r="B201" t="str">
            <v>Gibbons, Town Of</v>
          </cell>
          <cell r="C201" t="str">
            <v>FORTIS</v>
          </cell>
          <cell r="D201">
            <v>9.7999999999999997E-3</v>
          </cell>
          <cell r="E201">
            <v>0.1</v>
          </cell>
          <cell r="F201" t="str">
            <v>Municipal Assessment Rider A-92</v>
          </cell>
          <cell r="G201" t="str">
            <v>Franchise Fee</v>
          </cell>
        </row>
        <row r="202">
          <cell r="A202">
            <v>0.1109</v>
          </cell>
          <cell r="B202" t="str">
            <v>Carstairs, Town Of</v>
          </cell>
          <cell r="C202" t="str">
            <v>FORTIS</v>
          </cell>
          <cell r="D202">
            <v>1.09E-2</v>
          </cell>
          <cell r="E202">
            <v>0.1</v>
          </cell>
          <cell r="F202" t="str">
            <v>Municipal Assessment Rider A-52</v>
          </cell>
          <cell r="G202" t="str">
            <v>Franchise Fee</v>
          </cell>
        </row>
        <row r="203">
          <cell r="A203">
            <v>0.1109</v>
          </cell>
          <cell r="B203" t="str">
            <v>Strome, Village Of</v>
          </cell>
          <cell r="C203" t="str">
            <v>FORTIS</v>
          </cell>
          <cell r="D203">
            <v>3.09E-2</v>
          </cell>
          <cell r="E203">
            <v>0.08</v>
          </cell>
          <cell r="F203" t="str">
            <v>Municipal Assessment Rider A-208</v>
          </cell>
          <cell r="G203" t="str">
            <v>Franchise Fee</v>
          </cell>
        </row>
        <row r="204">
          <cell r="A204">
            <v>0.1111</v>
          </cell>
          <cell r="B204" t="str">
            <v>Calgary</v>
          </cell>
          <cell r="C204" t="str">
            <v>ENMAX</v>
          </cell>
          <cell r="D204">
            <v>0.1111</v>
          </cell>
          <cell r="F204" t="str">
            <v>Local Access Fee</v>
          </cell>
          <cell r="H204">
            <v>0</v>
          </cell>
        </row>
        <row r="205">
          <cell r="A205">
            <v>0.1114</v>
          </cell>
          <cell r="B205" t="str">
            <v>Bentley, Town Of</v>
          </cell>
          <cell r="C205" t="str">
            <v>FORTIS</v>
          </cell>
          <cell r="D205">
            <v>1.14E-2</v>
          </cell>
          <cell r="E205">
            <v>0.1</v>
          </cell>
          <cell r="F205" t="str">
            <v>Municipal Assessment Rider A-23</v>
          </cell>
          <cell r="G205" t="str">
            <v>Franchise Fee</v>
          </cell>
        </row>
        <row r="206">
          <cell r="A206">
            <v>0.1114</v>
          </cell>
          <cell r="B206" t="str">
            <v>Hussar, Village Of</v>
          </cell>
          <cell r="C206" t="str">
            <v>FORTIS</v>
          </cell>
          <cell r="D206">
            <v>1.14E-2</v>
          </cell>
          <cell r="E206">
            <v>0.1</v>
          </cell>
          <cell r="F206" t="str">
            <v>Municipal Assessment Rider A-107</v>
          </cell>
          <cell r="G206" t="str">
            <v>Franchise Fee</v>
          </cell>
        </row>
        <row r="207">
          <cell r="A207">
            <v>0.11259999999999999</v>
          </cell>
          <cell r="B207" t="str">
            <v>Hinton, Town Of</v>
          </cell>
          <cell r="C207" t="str">
            <v>FORTIS</v>
          </cell>
          <cell r="D207">
            <v>5.5999999999999999E-3</v>
          </cell>
          <cell r="E207">
            <v>0.107</v>
          </cell>
          <cell r="F207" t="str">
            <v>Municipal Assessment Rider A-104</v>
          </cell>
          <cell r="G207" t="str">
            <v>Franchise Fee</v>
          </cell>
        </row>
        <row r="208">
          <cell r="A208">
            <v>0.114</v>
          </cell>
          <cell r="B208" t="str">
            <v>Warburg, Village Of</v>
          </cell>
          <cell r="C208" t="str">
            <v>FORTIS</v>
          </cell>
          <cell r="D208">
            <v>1.4E-2</v>
          </cell>
          <cell r="E208">
            <v>0.1</v>
          </cell>
          <cell r="F208" t="str">
            <v>Municipal Assessment Rider A-234</v>
          </cell>
          <cell r="G208" t="str">
            <v>Franchise Fee</v>
          </cell>
        </row>
        <row r="209">
          <cell r="A209">
            <v>0.1163</v>
          </cell>
          <cell r="B209" t="str">
            <v>Cremona, Village Of</v>
          </cell>
          <cell r="C209" t="str">
            <v>FORTIS</v>
          </cell>
          <cell r="D209">
            <v>1.6299999999999999E-2</v>
          </cell>
          <cell r="E209">
            <v>0.1</v>
          </cell>
          <cell r="F209" t="str">
            <v>Municipal Assessment Rider A-67</v>
          </cell>
          <cell r="G209" t="str">
            <v>Franchise Fee</v>
          </cell>
        </row>
        <row r="210">
          <cell r="A210">
            <v>0.1201</v>
          </cell>
          <cell r="B210" t="str">
            <v>Coaldale, Town Of</v>
          </cell>
          <cell r="C210" t="str">
            <v>FORTIS</v>
          </cell>
          <cell r="D210">
            <v>1.01E-2</v>
          </cell>
          <cell r="E210">
            <v>0.11</v>
          </cell>
          <cell r="F210" t="str">
            <v>Municipal Assessment Rider A-62</v>
          </cell>
          <cell r="G210" t="str">
            <v>Franchise Fee</v>
          </cell>
        </row>
        <row r="211">
          <cell r="A211">
            <v>0.1207</v>
          </cell>
          <cell r="B211" t="str">
            <v>Ferintosh, Village Of</v>
          </cell>
          <cell r="C211" t="str">
            <v>FORTIS</v>
          </cell>
          <cell r="D211">
            <v>1.0699999999999999E-2</v>
          </cell>
          <cell r="E211">
            <v>0.11</v>
          </cell>
          <cell r="F211" t="str">
            <v>Municipal Assessment Rider A-84</v>
          </cell>
          <cell r="G211" t="str">
            <v>Franchise Fee</v>
          </cell>
        </row>
        <row r="212">
          <cell r="A212">
            <v>0.1242</v>
          </cell>
          <cell r="B212" t="str">
            <v>Chestermere , City Of</v>
          </cell>
          <cell r="C212" t="str">
            <v>FORTIS</v>
          </cell>
          <cell r="D212">
            <v>9.1999999999999998E-3</v>
          </cell>
          <cell r="E212">
            <v>0.115</v>
          </cell>
          <cell r="F212" t="str">
            <v>Municipal Assessment Rider A-56</v>
          </cell>
          <cell r="G212" t="str">
            <v>Franchise Fee</v>
          </cell>
        </row>
        <row r="213">
          <cell r="A213">
            <v>0.12720000000000001</v>
          </cell>
          <cell r="B213" t="str">
            <v>Chauvin, Village Of</v>
          </cell>
          <cell r="C213" t="str">
            <v>FORTIS</v>
          </cell>
          <cell r="D213">
            <v>1.72E-2</v>
          </cell>
          <cell r="E213">
            <v>0.11</v>
          </cell>
          <cell r="F213" t="str">
            <v>Municipal Assessment Rider A-55</v>
          </cell>
          <cell r="G213" t="str">
            <v>Franchise Fee</v>
          </cell>
        </row>
        <row r="214">
          <cell r="A214">
            <v>0.128</v>
          </cell>
          <cell r="B214" t="str">
            <v>Barrhead, Town Of</v>
          </cell>
          <cell r="C214" t="str">
            <v>FORTIS</v>
          </cell>
          <cell r="D214">
            <v>8.0000000000000002E-3</v>
          </cell>
          <cell r="E214">
            <v>0.12</v>
          </cell>
          <cell r="F214" t="str">
            <v>Municipal Assessment Rider A-16</v>
          </cell>
          <cell r="G214" t="str">
            <v>Franchise Fee</v>
          </cell>
        </row>
        <row r="215">
          <cell r="A215">
            <v>0.12909999999999999</v>
          </cell>
          <cell r="B215" t="str">
            <v>Raymond, Town Of</v>
          </cell>
          <cell r="C215" t="str">
            <v>FORTIS</v>
          </cell>
          <cell r="D215">
            <v>9.1000000000000004E-3</v>
          </cell>
          <cell r="E215">
            <v>0.12</v>
          </cell>
          <cell r="F215" t="str">
            <v>Municipal Assessment Rider A-177</v>
          </cell>
          <cell r="G215" t="str">
            <v>Franchise Fee</v>
          </cell>
        </row>
        <row r="216">
          <cell r="A216">
            <v>0.13009999999999999</v>
          </cell>
          <cell r="B216" t="str">
            <v>Sylvan Lake, Town Of</v>
          </cell>
          <cell r="C216" t="str">
            <v>FORTIS</v>
          </cell>
          <cell r="D216">
            <v>1.01E-2</v>
          </cell>
          <cell r="E216">
            <v>0.12</v>
          </cell>
          <cell r="F216" t="str">
            <v>Municipal Assessment Rider A-216</v>
          </cell>
          <cell r="G216" t="str">
            <v>Franchise Fee</v>
          </cell>
        </row>
        <row r="217">
          <cell r="A217">
            <v>0.1305</v>
          </cell>
          <cell r="B217" t="str">
            <v>Arrowwood, Village Of</v>
          </cell>
          <cell r="C217" t="str">
            <v>FORTIS</v>
          </cell>
          <cell r="D217">
            <v>1.0500000000000001E-2</v>
          </cell>
          <cell r="E217">
            <v>0.12</v>
          </cell>
          <cell r="F217" t="str">
            <v>Municipal Assessment Rider A-9</v>
          </cell>
          <cell r="G217" t="str">
            <v>Franchise Fee</v>
          </cell>
        </row>
        <row r="218">
          <cell r="A218">
            <v>0.13189999999999999</v>
          </cell>
          <cell r="B218" t="str">
            <v>Rosemary, Village Of</v>
          </cell>
          <cell r="C218" t="str">
            <v>FORTIS</v>
          </cell>
          <cell r="D218">
            <v>1.1900000000000001E-2</v>
          </cell>
          <cell r="E218">
            <v>0.12</v>
          </cell>
          <cell r="F218" t="str">
            <v>Municipal Assessment Rider A-185</v>
          </cell>
          <cell r="G218" t="str">
            <v>Franchise Fee</v>
          </cell>
        </row>
        <row r="219">
          <cell r="A219">
            <v>0.1326</v>
          </cell>
          <cell r="B219" t="str">
            <v>Bassano, Town Of</v>
          </cell>
          <cell r="C219" t="str">
            <v>FORTIS</v>
          </cell>
          <cell r="D219">
            <v>8.6E-3</v>
          </cell>
          <cell r="E219">
            <v>0.124</v>
          </cell>
          <cell r="F219" t="str">
            <v>Municipal Assessment Rider A-18</v>
          </cell>
          <cell r="G219" t="str">
            <v>Franchise Fee</v>
          </cell>
        </row>
        <row r="220">
          <cell r="A220">
            <v>0.1326</v>
          </cell>
          <cell r="B220" t="str">
            <v>Westlock, Town Of</v>
          </cell>
          <cell r="C220" t="str">
            <v>FORTIS</v>
          </cell>
          <cell r="D220">
            <v>1.26E-2</v>
          </cell>
          <cell r="E220">
            <v>0.12</v>
          </cell>
          <cell r="F220" t="str">
            <v>Municipal Assessment Rider A-240</v>
          </cell>
          <cell r="G220" t="str">
            <v>Franchise Fee</v>
          </cell>
        </row>
        <row r="221">
          <cell r="A221">
            <v>0.13450000000000001</v>
          </cell>
          <cell r="B221" t="str">
            <v>Wetaskiwin, City Of</v>
          </cell>
          <cell r="C221" t="str">
            <v>FORTIS</v>
          </cell>
          <cell r="D221">
            <v>1.4500000000000001E-2</v>
          </cell>
          <cell r="E221">
            <v>0.12</v>
          </cell>
          <cell r="F221" t="str">
            <v>Municipal Assessment Rider A-242</v>
          </cell>
          <cell r="G221" t="str">
            <v>Franchise Fee</v>
          </cell>
        </row>
        <row r="222">
          <cell r="A222">
            <v>0.1368</v>
          </cell>
          <cell r="B222" t="str">
            <v>Devon, Town Of</v>
          </cell>
          <cell r="C222" t="str">
            <v>FORTIS</v>
          </cell>
          <cell r="D222">
            <v>6.7999999999999996E-3</v>
          </cell>
          <cell r="E222">
            <v>0.13</v>
          </cell>
          <cell r="F222" t="str">
            <v>Municipal Assessment Rider A-74</v>
          </cell>
          <cell r="G222" t="str">
            <v>Franchise Fee</v>
          </cell>
        </row>
        <row r="223">
          <cell r="A223">
            <v>0.1376</v>
          </cell>
          <cell r="B223" t="str">
            <v>Airdrie, City Of</v>
          </cell>
          <cell r="C223" t="str">
            <v>FORTIS</v>
          </cell>
          <cell r="D223">
            <v>7.6E-3</v>
          </cell>
          <cell r="E223">
            <v>0.13</v>
          </cell>
          <cell r="F223" t="str">
            <v>Municipal Assessment Rider A-2</v>
          </cell>
          <cell r="G223" t="str">
            <v>Franchise Fee</v>
          </cell>
        </row>
        <row r="224">
          <cell r="A224">
            <v>0.13799999999999998</v>
          </cell>
          <cell r="B224" t="str">
            <v>Brooks, City Of</v>
          </cell>
          <cell r="C224" t="str">
            <v>FORTIS</v>
          </cell>
          <cell r="D224">
            <v>1.17E-2</v>
          </cell>
          <cell r="E224">
            <v>0.1263</v>
          </cell>
          <cell r="F224" t="str">
            <v>Municipal Assessment Rider A-39</v>
          </cell>
          <cell r="G224" t="str">
            <v>Franchise Fee</v>
          </cell>
        </row>
        <row r="225">
          <cell r="A225">
            <v>0.13800000000000001</v>
          </cell>
          <cell r="B225" t="str">
            <v>Pincher Creek, Town Of</v>
          </cell>
          <cell r="C225" t="str">
            <v>FORTIS</v>
          </cell>
          <cell r="D225">
            <v>8.0000000000000002E-3</v>
          </cell>
          <cell r="E225">
            <v>0.13</v>
          </cell>
          <cell r="F225" t="str">
            <v>Municipal Assessment Rider A-169</v>
          </cell>
          <cell r="G225" t="str">
            <v>Franchise Fee</v>
          </cell>
        </row>
        <row r="226">
          <cell r="A226">
            <v>0.14000000000000001</v>
          </cell>
          <cell r="B226" t="str">
            <v>Wood Buffalo</v>
          </cell>
          <cell r="C226" t="str">
            <v>ATCO</v>
          </cell>
          <cell r="D226">
            <v>0.14000000000000001</v>
          </cell>
          <cell r="E226">
            <v>0</v>
          </cell>
          <cell r="F226" t="str">
            <v>Municipal Assessment Rider (A-1)</v>
          </cell>
          <cell r="G226" t="str">
            <v>Municipal Franchise Fee</v>
          </cell>
          <cell r="H226">
            <v>1</v>
          </cell>
        </row>
        <row r="227">
          <cell r="A227">
            <v>0.1401</v>
          </cell>
          <cell r="B227" t="str">
            <v>Milk River, Town Of</v>
          </cell>
          <cell r="C227" t="str">
            <v>FORTIS</v>
          </cell>
          <cell r="D227">
            <v>2.01E-2</v>
          </cell>
          <cell r="E227">
            <v>0.12</v>
          </cell>
          <cell r="F227" t="str">
            <v>Municipal Assessment Rider A-145</v>
          </cell>
          <cell r="G227" t="str">
            <v>Franchise Fee</v>
          </cell>
        </row>
        <row r="228">
          <cell r="A228">
            <v>0.14119999999999999</v>
          </cell>
          <cell r="B228" t="str">
            <v>Millet, Town Of</v>
          </cell>
          <cell r="C228" t="str">
            <v>FORTIS</v>
          </cell>
          <cell r="D228">
            <v>1.12E-2</v>
          </cell>
          <cell r="E228">
            <v>0.13</v>
          </cell>
          <cell r="F228" t="str">
            <v>Municipal Assessment Rider A-146</v>
          </cell>
          <cell r="G228" t="str">
            <v>Franchise Fee</v>
          </cell>
        </row>
        <row r="229">
          <cell r="A229">
            <v>0.14670000000000002</v>
          </cell>
          <cell r="B229" t="str">
            <v>Rimbey, Town Of</v>
          </cell>
          <cell r="C229" t="str">
            <v>FORTIS</v>
          </cell>
          <cell r="D229">
            <v>6.7000000000000002E-3</v>
          </cell>
          <cell r="E229">
            <v>0.14000000000000001</v>
          </cell>
          <cell r="F229" t="str">
            <v>Municipal Assessment Rider A-181</v>
          </cell>
          <cell r="G229" t="str">
            <v>Franchise Fee</v>
          </cell>
        </row>
        <row r="230">
          <cell r="A230">
            <v>0.1477</v>
          </cell>
          <cell r="B230" t="str">
            <v>Bowden, Town Of</v>
          </cell>
          <cell r="C230" t="str">
            <v>FORTIS</v>
          </cell>
          <cell r="D230">
            <v>2.2200000000000001E-2</v>
          </cell>
          <cell r="E230">
            <v>0.1255</v>
          </cell>
          <cell r="F230" t="str">
            <v>Municipal Assessment Rider A-35</v>
          </cell>
          <cell r="G230" t="str">
            <v>Franchise Fee</v>
          </cell>
        </row>
        <row r="231">
          <cell r="A231">
            <v>0.15110000000000001</v>
          </cell>
          <cell r="B231" t="str">
            <v>Duchess, Village Of</v>
          </cell>
          <cell r="C231" t="str">
            <v>FORTIS</v>
          </cell>
          <cell r="D231">
            <v>1.11E-2</v>
          </cell>
          <cell r="E231">
            <v>0.14000000000000001</v>
          </cell>
          <cell r="F231" t="str">
            <v>Municipal Assessment Rider A-77</v>
          </cell>
          <cell r="G231" t="str">
            <v>Franchise Fee</v>
          </cell>
        </row>
        <row r="232">
          <cell r="A232">
            <v>0.15460000000000002</v>
          </cell>
          <cell r="B232" t="str">
            <v>Clyde, Village Of</v>
          </cell>
          <cell r="C232" t="str">
            <v>FORTIS</v>
          </cell>
          <cell r="D232">
            <v>2.46E-2</v>
          </cell>
          <cell r="E232">
            <v>0.13</v>
          </cell>
          <cell r="F232" t="str">
            <v>Municipal Assessment Rider A-61</v>
          </cell>
          <cell r="G232" t="str">
            <v>Franchise Fee</v>
          </cell>
        </row>
        <row r="233">
          <cell r="A233">
            <v>0.155</v>
          </cell>
          <cell r="B233" t="str">
            <v>Cochrane, Town Of</v>
          </cell>
          <cell r="C233" t="str">
            <v>FORTIS</v>
          </cell>
          <cell r="D233">
            <v>5.0000000000000001E-3</v>
          </cell>
          <cell r="E233">
            <v>0.15</v>
          </cell>
          <cell r="F233" t="str">
            <v>Municipal Assessment Rider A-64</v>
          </cell>
          <cell r="G233" t="str">
            <v>Franchise Fee</v>
          </cell>
        </row>
        <row r="234">
          <cell r="A234">
            <v>0.15959999999999999</v>
          </cell>
          <cell r="B234" t="str">
            <v>Longview, Village Of</v>
          </cell>
          <cell r="C234" t="str">
            <v>FORTIS</v>
          </cell>
          <cell r="D234">
            <v>9.5999999999999992E-3</v>
          </cell>
          <cell r="E234">
            <v>0.15</v>
          </cell>
          <cell r="F234" t="str">
            <v>Municipal Assessment Rider A-139</v>
          </cell>
          <cell r="G234" t="str">
            <v>Franchise Fee</v>
          </cell>
        </row>
        <row r="235">
          <cell r="A235">
            <v>0.1646</v>
          </cell>
          <cell r="B235" t="str">
            <v>Leduc, City Of</v>
          </cell>
          <cell r="C235" t="str">
            <v>FORTIS</v>
          </cell>
          <cell r="D235">
            <v>4.5999999999999999E-3</v>
          </cell>
          <cell r="E235">
            <v>0.16</v>
          </cell>
          <cell r="F235" t="str">
            <v>Municipal Assessment Rider A-133</v>
          </cell>
          <cell r="G235" t="str">
            <v>Franchise Fee</v>
          </cell>
        </row>
        <row r="236">
          <cell r="A236">
            <v>0.17050000000000001</v>
          </cell>
          <cell r="B236" t="str">
            <v>Crowsnest Pass, Muni Of</v>
          </cell>
          <cell r="C236" t="str">
            <v>FORTIS</v>
          </cell>
          <cell r="D236">
            <v>1.0500000000000001E-2</v>
          </cell>
          <cell r="E236">
            <v>0.16</v>
          </cell>
          <cell r="F236" t="str">
            <v>Municipal Assessment Rider A-69</v>
          </cell>
          <cell r="G236" t="str">
            <v>Franchise Fee</v>
          </cell>
        </row>
        <row r="237">
          <cell r="A237">
            <v>0.1719</v>
          </cell>
          <cell r="B237" t="str">
            <v>Edgerton, Village Of</v>
          </cell>
          <cell r="C237" t="str">
            <v>FORTIS</v>
          </cell>
          <cell r="D237">
            <v>1.1900000000000001E-2</v>
          </cell>
          <cell r="E237">
            <v>0.16</v>
          </cell>
          <cell r="F237" t="str">
            <v>Municipal Assessment Rider A-80</v>
          </cell>
          <cell r="G237" t="str">
            <v>Franchise Fee</v>
          </cell>
        </row>
        <row r="238">
          <cell r="A238">
            <v>0.1736</v>
          </cell>
          <cell r="B238" t="str">
            <v>Champion, Village Of</v>
          </cell>
          <cell r="C238" t="str">
            <v>FORTIS</v>
          </cell>
          <cell r="D238">
            <v>2.3599999999999999E-2</v>
          </cell>
          <cell r="E238">
            <v>0.15</v>
          </cell>
          <cell r="F238" t="str">
            <v>Municipal Assessment Rider A-54</v>
          </cell>
          <cell r="G238" t="str">
            <v>Franchise Fee</v>
          </cell>
        </row>
        <row r="239">
          <cell r="A239">
            <v>0.17810000000000001</v>
          </cell>
          <cell r="B239" t="str">
            <v>Didsbury, Town Of</v>
          </cell>
          <cell r="C239" t="str">
            <v>FORTIS</v>
          </cell>
          <cell r="D239">
            <v>8.0999999999999996E-3</v>
          </cell>
          <cell r="E239">
            <v>0.17</v>
          </cell>
          <cell r="F239" t="str">
            <v>Municipal Assessment Rider A-75</v>
          </cell>
          <cell r="G239" t="str">
            <v>Franchise Fee</v>
          </cell>
        </row>
        <row r="240">
          <cell r="A240">
            <v>0.18579999999999999</v>
          </cell>
          <cell r="B240" t="str">
            <v>Alix, Village Of</v>
          </cell>
          <cell r="C240" t="str">
            <v>FORTIS</v>
          </cell>
          <cell r="D240">
            <v>5.7999999999999996E-3</v>
          </cell>
          <cell r="E240">
            <v>0.18</v>
          </cell>
          <cell r="F240" t="str">
            <v>Municipal Assessment Rider A-6</v>
          </cell>
          <cell r="G240" t="str">
            <v>Franchise Fee</v>
          </cell>
        </row>
        <row r="241">
          <cell r="A241">
            <v>0.20180000000000001</v>
          </cell>
          <cell r="B241" t="str">
            <v>Penhold, Town Of</v>
          </cell>
          <cell r="C241" t="str">
            <v>FORTIS</v>
          </cell>
          <cell r="D241">
            <v>1.18E-2</v>
          </cell>
          <cell r="E241">
            <v>0.19</v>
          </cell>
          <cell r="F241" t="str">
            <v>Municipal Assessment Rider A-166</v>
          </cell>
          <cell r="G241" t="str">
            <v>Franchise Fee</v>
          </cell>
        </row>
        <row r="242">
          <cell r="A242">
            <v>0.20670000000000002</v>
          </cell>
          <cell r="B242" t="str">
            <v>Spruce Grove, City Of</v>
          </cell>
          <cell r="C242" t="str">
            <v>FORTIS</v>
          </cell>
          <cell r="D242">
            <v>6.7000000000000002E-3</v>
          </cell>
          <cell r="E242">
            <v>0.2</v>
          </cell>
          <cell r="F242" t="str">
            <v>Municipal Assessment Rider A-198</v>
          </cell>
          <cell r="G242" t="str">
            <v>Franchise Fee</v>
          </cell>
        </row>
        <row r="243">
          <cell r="A243">
            <v>0.2069</v>
          </cell>
          <cell r="B243" t="str">
            <v>Morinville, Town Of</v>
          </cell>
          <cell r="C243" t="str">
            <v>FORTIS</v>
          </cell>
          <cell r="D243">
            <v>6.8999999999999999E-3</v>
          </cell>
          <cell r="E243">
            <v>0.2</v>
          </cell>
          <cell r="F243" t="str">
            <v>Municipal Assessment Rider A-149</v>
          </cell>
          <cell r="G243" t="str">
            <v>Franchise Fee</v>
          </cell>
        </row>
        <row r="244">
          <cell r="A244">
            <v>0.20730000000000001</v>
          </cell>
          <cell r="B244" t="str">
            <v>Taber, Town Of</v>
          </cell>
          <cell r="C244" t="str">
            <v>FORTIS</v>
          </cell>
          <cell r="D244">
            <v>7.3000000000000001E-3</v>
          </cell>
          <cell r="E244">
            <v>0.2</v>
          </cell>
          <cell r="F244" t="str">
            <v>Municipal Assessment Rider A-218</v>
          </cell>
          <cell r="G244" t="str">
            <v>Franchise Fee</v>
          </cell>
        </row>
        <row r="245">
          <cell r="A245">
            <v>0.20830000000000001</v>
          </cell>
          <cell r="B245" t="str">
            <v>Irma, Village Of</v>
          </cell>
          <cell r="C245" t="str">
            <v>FORTIS</v>
          </cell>
          <cell r="D245">
            <v>8.3000000000000001E-3</v>
          </cell>
          <cell r="E245">
            <v>0.2</v>
          </cell>
          <cell r="F245" t="str">
            <v>Municipal Assessment Rider A-113</v>
          </cell>
          <cell r="G245" t="str">
            <v>Franchise Fee</v>
          </cell>
        </row>
        <row r="246">
          <cell r="A246">
            <v>0.2087</v>
          </cell>
          <cell r="B246" t="str">
            <v>Provost, Town Of</v>
          </cell>
          <cell r="C246" t="str">
            <v>FORTIS</v>
          </cell>
          <cell r="D246">
            <v>8.6999999999999994E-3</v>
          </cell>
          <cell r="E246">
            <v>0.2</v>
          </cell>
          <cell r="F246" t="str">
            <v>Municipal Assessment Rider A-175</v>
          </cell>
          <cell r="G246" t="str">
            <v>Franchise Fee</v>
          </cell>
        </row>
        <row r="247">
          <cell r="A247">
            <v>0.2099</v>
          </cell>
          <cell r="B247" t="str">
            <v>High River, Town Of</v>
          </cell>
          <cell r="C247" t="str">
            <v>FORTIS</v>
          </cell>
          <cell r="D247">
            <v>9.9000000000000008E-3</v>
          </cell>
          <cell r="E247">
            <v>0.2</v>
          </cell>
          <cell r="F247" t="str">
            <v>Municipal Assessment Rider A-102</v>
          </cell>
          <cell r="G247" t="str">
            <v>Franchise Fee</v>
          </cell>
        </row>
        <row r="248">
          <cell r="A248">
            <v>0.21060000000000001</v>
          </cell>
          <cell r="B248" t="str">
            <v>Stony Plain, Town Of</v>
          </cell>
          <cell r="C248" t="str">
            <v>FORTIS</v>
          </cell>
          <cell r="D248">
            <v>1.06E-2</v>
          </cell>
          <cell r="E248">
            <v>0.2</v>
          </cell>
          <cell r="F248" t="str">
            <v>Municipal Assessment Rider A-205</v>
          </cell>
          <cell r="G248" t="str">
            <v>Franchise Fee</v>
          </cell>
        </row>
        <row r="249">
          <cell r="A249">
            <v>0.21150000000000002</v>
          </cell>
          <cell r="B249" t="str">
            <v>Calmar, Town Of</v>
          </cell>
          <cell r="C249" t="str">
            <v>FORTIS</v>
          </cell>
          <cell r="D249">
            <v>1.15E-2</v>
          </cell>
          <cell r="E249">
            <v>0.2</v>
          </cell>
          <cell r="F249" t="str">
            <v>Municipal Assessment Rider A-44</v>
          </cell>
          <cell r="G249" t="str">
            <v>Franchise Fee</v>
          </cell>
        </row>
        <row r="250">
          <cell r="A250">
            <v>0.2132</v>
          </cell>
          <cell r="B250" t="str">
            <v>Bon Accord, Town Of</v>
          </cell>
          <cell r="C250" t="str">
            <v>FORTIS</v>
          </cell>
          <cell r="D250">
            <v>1.32E-2</v>
          </cell>
          <cell r="E250">
            <v>0.2</v>
          </cell>
          <cell r="F250" t="str">
            <v>Municipal Assessment Rider A-32</v>
          </cell>
          <cell r="G250" t="str">
            <v>Franchise Fee</v>
          </cell>
        </row>
        <row r="251">
          <cell r="A251">
            <v>0.2137</v>
          </cell>
          <cell r="B251" t="str">
            <v>Blackfalds, Town Of</v>
          </cell>
          <cell r="C251" t="str">
            <v>FORTIS</v>
          </cell>
          <cell r="D251">
            <v>1.37E-2</v>
          </cell>
          <cell r="E251">
            <v>0.2</v>
          </cell>
          <cell r="F251" t="str">
            <v>Municipal Assessment Rider A-31</v>
          </cell>
          <cell r="G251" t="str">
            <v>Franchise Fee</v>
          </cell>
        </row>
        <row r="252">
          <cell r="A252">
            <v>0.21380000000000002</v>
          </cell>
          <cell r="B252" t="str">
            <v>Vulcan, Town Of</v>
          </cell>
          <cell r="C252" t="str">
            <v>FORTIS</v>
          </cell>
          <cell r="D252">
            <v>1.38E-2</v>
          </cell>
          <cell r="E252">
            <v>0.2</v>
          </cell>
          <cell r="F252" t="str">
            <v>Municipal Assessment Rider A-229</v>
          </cell>
          <cell r="G252" t="str">
            <v>Franchise Fee</v>
          </cell>
        </row>
        <row r="253">
          <cell r="A253">
            <v>0.21430000000000002</v>
          </cell>
          <cell r="B253" t="str">
            <v>Breton, Village Of</v>
          </cell>
          <cell r="C253" t="str">
            <v>FORTIS</v>
          </cell>
          <cell r="D253">
            <v>1.43E-2</v>
          </cell>
          <cell r="E253">
            <v>0.2</v>
          </cell>
          <cell r="F253" t="str">
            <v>Municipal Assessment Rider A-38</v>
          </cell>
          <cell r="G253" t="str">
            <v>Franchise Fee</v>
          </cell>
        </row>
        <row r="254">
          <cell r="A254">
            <v>0.219</v>
          </cell>
          <cell r="B254" t="str">
            <v>Thorsby, Village</v>
          </cell>
          <cell r="C254" t="str">
            <v>FORTIS</v>
          </cell>
          <cell r="D254">
            <v>1.9E-2</v>
          </cell>
          <cell r="E254">
            <v>0.2</v>
          </cell>
          <cell r="F254" t="str">
            <v>Municipal Assessment Rider A-220</v>
          </cell>
          <cell r="G254" t="str">
            <v>Franchise Fee</v>
          </cell>
        </row>
        <row r="255">
          <cell r="A255">
            <v>0.28110000000000002</v>
          </cell>
          <cell r="B255" t="str">
            <v>Milo, Village Of</v>
          </cell>
          <cell r="C255" t="str">
            <v>FORTIS</v>
          </cell>
          <cell r="D255">
            <v>8.1100000000000005E-2</v>
          </cell>
          <cell r="E255">
            <v>0.2</v>
          </cell>
          <cell r="F255" t="str">
            <v>Municipal Assessment Rider A-147</v>
          </cell>
          <cell r="G255" t="str">
            <v>Franchise Fee</v>
          </cell>
        </row>
        <row r="256">
          <cell r="A256">
            <v>0.28999999999999998</v>
          </cell>
          <cell r="B256" t="str">
            <v>Lesser Slave River</v>
          </cell>
          <cell r="C256" t="str">
            <v>ATCO</v>
          </cell>
          <cell r="D256">
            <v>0.28999999999999998</v>
          </cell>
          <cell r="E256">
            <v>0</v>
          </cell>
          <cell r="F256" t="str">
            <v>Municipal Assessment Rider (A-1)</v>
          </cell>
          <cell r="G256" t="str">
            <v>Municipal Franchise Fee</v>
          </cell>
        </row>
        <row r="257">
          <cell r="A257">
            <v>0.28999999999999998</v>
          </cell>
          <cell r="B257" t="str">
            <v>M.D. Of Greenview</v>
          </cell>
          <cell r="C257" t="str">
            <v>ATCO</v>
          </cell>
          <cell r="D257">
            <v>0.28999999999999998</v>
          </cell>
          <cell r="E257">
            <v>0</v>
          </cell>
          <cell r="F257" t="str">
            <v>Municipal Assessment Rider (A-1)</v>
          </cell>
          <cell r="G257" t="str">
            <v>Municipal Franchise Fee</v>
          </cell>
        </row>
        <row r="258">
          <cell r="A258">
            <v>0.32</v>
          </cell>
          <cell r="B258" t="str">
            <v>Pelican Narrows S.V.</v>
          </cell>
          <cell r="C258" t="str">
            <v>ATCO</v>
          </cell>
          <cell r="D258">
            <v>0.32</v>
          </cell>
          <cell r="E258">
            <v>0</v>
          </cell>
          <cell r="F258" t="str">
            <v>Municipal Assessment Rider (A-1)</v>
          </cell>
          <cell r="G258" t="str">
            <v>Municipal Franchise Fee</v>
          </cell>
        </row>
        <row r="259">
          <cell r="A259">
            <v>0.33</v>
          </cell>
          <cell r="B259" t="str">
            <v>St. Paul, County Of</v>
          </cell>
          <cell r="C259" t="str">
            <v>ATCO</v>
          </cell>
          <cell r="D259">
            <v>0.33</v>
          </cell>
          <cell r="E259">
            <v>0</v>
          </cell>
          <cell r="F259" t="str">
            <v>Municipal Assessment Rider (A-1)</v>
          </cell>
          <cell r="G259" t="str">
            <v>Municipal Franchise Fee</v>
          </cell>
        </row>
        <row r="260">
          <cell r="A260">
            <v>0.33</v>
          </cell>
          <cell r="B260" t="str">
            <v>Wood Buffalo Park</v>
          </cell>
          <cell r="C260" t="str">
            <v>ATCO</v>
          </cell>
          <cell r="D260">
            <v>0.33</v>
          </cell>
          <cell r="E260">
            <v>0</v>
          </cell>
          <cell r="F260" t="str">
            <v>Municipal Assessment Rider (A-1)</v>
          </cell>
          <cell r="G260" t="str">
            <v>Municipal Franchise Fee</v>
          </cell>
          <cell r="H260">
            <v>1</v>
          </cell>
        </row>
        <row r="261">
          <cell r="A261">
            <v>0.39</v>
          </cell>
          <cell r="B261" t="str">
            <v>Minburn &amp; Lavoy</v>
          </cell>
          <cell r="C261" t="str">
            <v>ATCO</v>
          </cell>
          <cell r="D261">
            <v>0.39</v>
          </cell>
          <cell r="E261">
            <v>0</v>
          </cell>
          <cell r="F261" t="str">
            <v>Municipal Assessment Rider (A-1)</v>
          </cell>
          <cell r="G261" t="str">
            <v>Municipal Franchise Fee</v>
          </cell>
        </row>
        <row r="262">
          <cell r="A262">
            <v>0.4</v>
          </cell>
          <cell r="B262" t="str">
            <v>Bonnyville &amp; Annexed Area</v>
          </cell>
          <cell r="C262" t="str">
            <v>ATCO</v>
          </cell>
          <cell r="D262">
            <v>0.4</v>
          </cell>
          <cell r="E262">
            <v>0</v>
          </cell>
          <cell r="F262" t="str">
            <v>Municipal Assessment Rider (A-1)</v>
          </cell>
          <cell r="G262" t="str">
            <v>Municipal Franchise Fee</v>
          </cell>
        </row>
        <row r="263">
          <cell r="A263">
            <v>0.42</v>
          </cell>
          <cell r="B263" t="str">
            <v>Wheatland</v>
          </cell>
          <cell r="C263" t="str">
            <v>ATCO</v>
          </cell>
          <cell r="D263">
            <v>0.42</v>
          </cell>
          <cell r="E263">
            <v>0</v>
          </cell>
          <cell r="F263" t="str">
            <v>Municipal Assessment Rider (A-1)</v>
          </cell>
          <cell r="G263" t="str">
            <v>Municipal Franchise Fee</v>
          </cell>
          <cell r="H263">
            <v>1</v>
          </cell>
        </row>
        <row r="264">
          <cell r="A264">
            <v>0.44</v>
          </cell>
          <cell r="B264" t="str">
            <v>Rochon Sands S.V.</v>
          </cell>
          <cell r="C264" t="str">
            <v>ATCO</v>
          </cell>
          <cell r="D264">
            <v>0.44</v>
          </cell>
          <cell r="E264">
            <v>0</v>
          </cell>
          <cell r="F264" t="str">
            <v>Municipal Assessment Rider (A-1)</v>
          </cell>
          <cell r="G264" t="str">
            <v>Municipal Franchise Fee</v>
          </cell>
        </row>
        <row r="265">
          <cell r="A265">
            <v>0.51</v>
          </cell>
          <cell r="B265" t="str">
            <v>Special Areas</v>
          </cell>
          <cell r="C265" t="str">
            <v>ATCO</v>
          </cell>
          <cell r="D265">
            <v>0.51</v>
          </cell>
          <cell r="E265">
            <v>0</v>
          </cell>
          <cell r="F265" t="str">
            <v>Municipal Assessment Rider (A-1)</v>
          </cell>
          <cell r="G265" t="str">
            <v>Municipal Franchise Fee</v>
          </cell>
          <cell r="H265">
            <v>1</v>
          </cell>
        </row>
        <row r="266">
          <cell r="A266">
            <v>0.53</v>
          </cell>
          <cell r="B266" t="str">
            <v>Grande Prairie, County Of</v>
          </cell>
          <cell r="C266" t="str">
            <v>ATCO</v>
          </cell>
          <cell r="D266">
            <v>0.53</v>
          </cell>
          <cell r="E266">
            <v>0</v>
          </cell>
          <cell r="F266" t="str">
            <v>Municipal Assessment Rider (A-1)</v>
          </cell>
          <cell r="G266" t="str">
            <v>Municipal Franchise Fee</v>
          </cell>
        </row>
        <row r="267">
          <cell r="A267">
            <v>0.56000000000000005</v>
          </cell>
          <cell r="B267" t="str">
            <v>Ft. Mcmurray Band</v>
          </cell>
          <cell r="C267" t="str">
            <v>ATCO</v>
          </cell>
          <cell r="D267">
            <v>0.56000000000000005</v>
          </cell>
          <cell r="E267">
            <v>0</v>
          </cell>
          <cell r="F267" t="str">
            <v>Municipal Assessment Rider (A-1)</v>
          </cell>
          <cell r="G267" t="str">
            <v>Municipal Franchise Fee</v>
          </cell>
        </row>
        <row r="268">
          <cell r="A268">
            <v>0.56999999999999995</v>
          </cell>
          <cell r="B268" t="str">
            <v>Saddle Hills</v>
          </cell>
          <cell r="C268" t="str">
            <v>ATCO</v>
          </cell>
          <cell r="D268">
            <v>0.56999999999999995</v>
          </cell>
          <cell r="E268">
            <v>0</v>
          </cell>
          <cell r="F268" t="str">
            <v>Municipal Assessment Rider (A-1)</v>
          </cell>
          <cell r="G268" t="str">
            <v>Municipal Franchise Fee</v>
          </cell>
        </row>
        <row r="269">
          <cell r="A269">
            <v>0.57999999999999996</v>
          </cell>
          <cell r="B269" t="str">
            <v>Vermillion River</v>
          </cell>
          <cell r="C269" t="str">
            <v>ATCO</v>
          </cell>
          <cell r="D269">
            <v>0.57999999999999996</v>
          </cell>
          <cell r="E269">
            <v>0</v>
          </cell>
          <cell r="F269" t="str">
            <v>Municipal Assessment Rider (A-1)</v>
          </cell>
          <cell r="G269" t="str">
            <v>Municipal Franchise Fee</v>
          </cell>
          <cell r="H269">
            <v>1</v>
          </cell>
        </row>
        <row r="270">
          <cell r="A270">
            <v>0.61</v>
          </cell>
          <cell r="B270" t="str">
            <v>Horseshoe Bay S.V.</v>
          </cell>
          <cell r="C270" t="str">
            <v>ATCO</v>
          </cell>
          <cell r="D270">
            <v>0.61</v>
          </cell>
          <cell r="E270">
            <v>0</v>
          </cell>
          <cell r="F270" t="str">
            <v>Municipal Assessment Rider (A-1)</v>
          </cell>
          <cell r="G270" t="str">
            <v>Municipal Franchise Fee</v>
          </cell>
        </row>
        <row r="271">
          <cell r="A271">
            <v>0.62</v>
          </cell>
          <cell r="B271" t="str">
            <v>Northern Sunrise County</v>
          </cell>
          <cell r="C271" t="str">
            <v>ATCO</v>
          </cell>
          <cell r="D271">
            <v>0.62</v>
          </cell>
          <cell r="E271">
            <v>0</v>
          </cell>
          <cell r="F271" t="str">
            <v>Municipal Assessment Rider (A-1)</v>
          </cell>
          <cell r="G271" t="str">
            <v>Municipal Franchise Fee</v>
          </cell>
        </row>
        <row r="272">
          <cell r="A272">
            <v>0.72</v>
          </cell>
          <cell r="B272" t="str">
            <v>Bonnyville Beach S.V.</v>
          </cell>
          <cell r="C272" t="str">
            <v>ATCO</v>
          </cell>
          <cell r="D272">
            <v>0.72</v>
          </cell>
          <cell r="E272">
            <v>0</v>
          </cell>
          <cell r="F272" t="str">
            <v>Municipal Assessment Rider (A-1)</v>
          </cell>
          <cell r="G272" t="str">
            <v>Municipal Franchise Fee</v>
          </cell>
        </row>
        <row r="273">
          <cell r="A273">
            <v>0.72</v>
          </cell>
          <cell r="B273" t="str">
            <v>Camrose</v>
          </cell>
          <cell r="C273" t="str">
            <v>ATCO</v>
          </cell>
          <cell r="D273">
            <v>0.72</v>
          </cell>
          <cell r="E273">
            <v>0</v>
          </cell>
          <cell r="F273" t="str">
            <v>Municipal Assessment Rider (A-1)</v>
          </cell>
          <cell r="G273" t="str">
            <v>Municipal Franchise Fee</v>
          </cell>
          <cell r="H273">
            <v>1</v>
          </cell>
        </row>
        <row r="274">
          <cell r="A274">
            <v>0.72</v>
          </cell>
          <cell r="B274" t="str">
            <v>Spirit River</v>
          </cell>
          <cell r="C274" t="str">
            <v>ATCO</v>
          </cell>
          <cell r="D274">
            <v>0.72</v>
          </cell>
          <cell r="E274">
            <v>0</v>
          </cell>
          <cell r="F274" t="str">
            <v>Municipal Assessment Rider (A-1)</v>
          </cell>
          <cell r="G274" t="str">
            <v>Municipal Franchise Fee</v>
          </cell>
        </row>
        <row r="275">
          <cell r="A275">
            <v>0.73</v>
          </cell>
          <cell r="B275" t="str">
            <v>Smoky River</v>
          </cell>
          <cell r="C275" t="str">
            <v>ATCO</v>
          </cell>
          <cell r="D275">
            <v>0.73</v>
          </cell>
          <cell r="E275">
            <v>0</v>
          </cell>
          <cell r="F275" t="str">
            <v>Municipal Assessment Rider (A-1)</v>
          </cell>
          <cell r="G275" t="str">
            <v>Municipal Franchise Fee</v>
          </cell>
        </row>
        <row r="276">
          <cell r="A276">
            <v>0.74</v>
          </cell>
          <cell r="B276" t="str">
            <v>Peace</v>
          </cell>
          <cell r="C276" t="str">
            <v>ATCO</v>
          </cell>
          <cell r="D276">
            <v>0.74</v>
          </cell>
          <cell r="E276">
            <v>0</v>
          </cell>
          <cell r="F276" t="str">
            <v>Municipal Assessment Rider (A-1)</v>
          </cell>
          <cell r="G276" t="str">
            <v>Municipal Franchise Fee</v>
          </cell>
        </row>
        <row r="277">
          <cell r="A277">
            <v>0.74</v>
          </cell>
          <cell r="B277" t="str">
            <v>Smoky Lake &amp; Warspite</v>
          </cell>
          <cell r="C277" t="str">
            <v>ATCO</v>
          </cell>
          <cell r="D277">
            <v>0.74</v>
          </cell>
          <cell r="E277">
            <v>0</v>
          </cell>
          <cell r="F277" t="str">
            <v>Municipal Assessment Rider (A-1)</v>
          </cell>
          <cell r="G277" t="str">
            <v>Municipal Franchise Fee</v>
          </cell>
        </row>
        <row r="278">
          <cell r="A278">
            <v>0.75</v>
          </cell>
          <cell r="B278" t="str">
            <v>Fairview</v>
          </cell>
          <cell r="C278" t="str">
            <v>ATCO</v>
          </cell>
          <cell r="D278">
            <v>0.75</v>
          </cell>
          <cell r="E278">
            <v>0</v>
          </cell>
          <cell r="F278" t="str">
            <v>Municipal Assessment Rider (A-1)</v>
          </cell>
          <cell r="G278" t="str">
            <v>Municipal Franchise Fee</v>
          </cell>
          <cell r="H278">
            <v>1</v>
          </cell>
        </row>
        <row r="279">
          <cell r="A279">
            <v>0.75</v>
          </cell>
          <cell r="B279" t="str">
            <v>Upper Hay Lake I.R. 212</v>
          </cell>
          <cell r="C279" t="str">
            <v>ATCO</v>
          </cell>
          <cell r="D279">
            <v>0.75</v>
          </cell>
          <cell r="E279">
            <v>0</v>
          </cell>
          <cell r="F279" t="str">
            <v>Municipal Assessment Rider (A-1)</v>
          </cell>
          <cell r="G279" t="str">
            <v>Municipal Franchise Fee</v>
          </cell>
        </row>
        <row r="280">
          <cell r="A280">
            <v>0.76</v>
          </cell>
          <cell r="B280" t="str">
            <v>Edmonton</v>
          </cell>
          <cell r="C280" t="str">
            <v>EPCOR</v>
          </cell>
          <cell r="D280">
            <v>0.76</v>
          </cell>
          <cell r="F280" t="str">
            <v>Local Access Fee</v>
          </cell>
        </row>
        <row r="281">
          <cell r="A281">
            <v>0.79</v>
          </cell>
          <cell r="B281" t="str">
            <v>Mackenzie</v>
          </cell>
          <cell r="C281" t="str">
            <v>ATCO</v>
          </cell>
          <cell r="D281">
            <v>0.79</v>
          </cell>
          <cell r="E281">
            <v>0</v>
          </cell>
          <cell r="F281" t="str">
            <v>Municipal Assessment Rider (A-1)</v>
          </cell>
          <cell r="G281" t="str">
            <v>Municipal Franchise Fee</v>
          </cell>
        </row>
        <row r="282">
          <cell r="A282">
            <v>0.85</v>
          </cell>
          <cell r="B282" t="str">
            <v>White Sands S.V.</v>
          </cell>
          <cell r="C282" t="str">
            <v>ATCO</v>
          </cell>
          <cell r="D282">
            <v>0.85</v>
          </cell>
          <cell r="E282">
            <v>0</v>
          </cell>
          <cell r="F282" t="str">
            <v>Municipal Assessment Rider (A-1)</v>
          </cell>
          <cell r="G282" t="str">
            <v>Municipal Franchise Fee</v>
          </cell>
        </row>
        <row r="283">
          <cell r="A283">
            <v>0.86</v>
          </cell>
          <cell r="B283" t="str">
            <v>Flagstaff</v>
          </cell>
          <cell r="C283" t="str">
            <v>ATCO</v>
          </cell>
          <cell r="D283">
            <v>0.86</v>
          </cell>
          <cell r="E283">
            <v>0</v>
          </cell>
          <cell r="F283" t="str">
            <v>Municipal Assessment Rider (A-1)</v>
          </cell>
          <cell r="G283" t="str">
            <v>Municipal Franchise Fee</v>
          </cell>
          <cell r="H283">
            <v>1</v>
          </cell>
        </row>
        <row r="284">
          <cell r="A284">
            <v>0.86</v>
          </cell>
          <cell r="B284" t="str">
            <v>Northern Light</v>
          </cell>
          <cell r="C284" t="str">
            <v>ATCO</v>
          </cell>
          <cell r="D284">
            <v>0.86</v>
          </cell>
          <cell r="E284">
            <v>0</v>
          </cell>
          <cell r="F284" t="str">
            <v>Municipal Assessment Rider (A-1)</v>
          </cell>
          <cell r="G284" t="str">
            <v>Municipal Franchise Fee</v>
          </cell>
        </row>
        <row r="285">
          <cell r="A285">
            <v>0.87</v>
          </cell>
          <cell r="B285" t="str">
            <v>Sturgeon Lake I.R. 154</v>
          </cell>
          <cell r="C285" t="str">
            <v>ATCO</v>
          </cell>
          <cell r="D285">
            <v>0.87</v>
          </cell>
          <cell r="E285">
            <v>0</v>
          </cell>
          <cell r="F285" t="str">
            <v>Municipal Assessment Rider (A-1)</v>
          </cell>
          <cell r="G285" t="str">
            <v>Municipal Franchise Fee</v>
          </cell>
          <cell r="H285">
            <v>1</v>
          </cell>
        </row>
        <row r="286">
          <cell r="A286">
            <v>0.87</v>
          </cell>
          <cell r="B286" t="str">
            <v>Sucker Creek First Nation 150A</v>
          </cell>
          <cell r="C286" t="str">
            <v>ATCO</v>
          </cell>
          <cell r="D286">
            <v>0.87</v>
          </cell>
          <cell r="E286">
            <v>0</v>
          </cell>
          <cell r="F286" t="str">
            <v>Municipal Assessment Rider (A-1)</v>
          </cell>
          <cell r="G286" t="str">
            <v>Municipal Franchise Fee</v>
          </cell>
        </row>
        <row r="287">
          <cell r="A287">
            <v>0.88</v>
          </cell>
          <cell r="B287" t="str">
            <v>Clear Hills</v>
          </cell>
          <cell r="C287" t="str">
            <v>ATCO</v>
          </cell>
          <cell r="D287">
            <v>0.88</v>
          </cell>
          <cell r="E287">
            <v>0</v>
          </cell>
          <cell r="F287" t="str">
            <v>Municipal Assessment Rider (A-1)</v>
          </cell>
          <cell r="G287" t="str">
            <v>Municipal Franchise Fee</v>
          </cell>
        </row>
        <row r="288">
          <cell r="A288">
            <v>0.88</v>
          </cell>
          <cell r="B288" t="str">
            <v>Paintearth</v>
          </cell>
          <cell r="C288" t="str">
            <v>ATCO</v>
          </cell>
          <cell r="D288">
            <v>0.88</v>
          </cell>
          <cell r="E288">
            <v>0</v>
          </cell>
          <cell r="F288" t="str">
            <v>Municipal Assessment Rider (A-1)</v>
          </cell>
          <cell r="G288" t="str">
            <v>Municipal Franchise Fee</v>
          </cell>
        </row>
        <row r="289">
          <cell r="A289">
            <v>0.91</v>
          </cell>
          <cell r="B289" t="str">
            <v>Allison Bay</v>
          </cell>
          <cell r="C289" t="str">
            <v>ATCO</v>
          </cell>
          <cell r="D289">
            <v>0.91</v>
          </cell>
          <cell r="E289">
            <v>0</v>
          </cell>
          <cell r="F289" t="str">
            <v>Municipal Assessment Rider (A-1)</v>
          </cell>
          <cell r="G289" t="str">
            <v>Municipal Franchise Fee</v>
          </cell>
        </row>
        <row r="290">
          <cell r="A290">
            <v>0.97</v>
          </cell>
          <cell r="B290" t="str">
            <v>Red Deer</v>
          </cell>
          <cell r="C290" t="str">
            <v>ATCO</v>
          </cell>
          <cell r="D290">
            <v>0.97</v>
          </cell>
          <cell r="E290">
            <v>0</v>
          </cell>
          <cell r="F290" t="str">
            <v>Municipal Assessment Rider (A-1)</v>
          </cell>
          <cell r="G290" t="str">
            <v>Municipal Franchise Fee</v>
          </cell>
          <cell r="H290">
            <v>1</v>
          </cell>
        </row>
        <row r="291">
          <cell r="A291">
            <v>0.97</v>
          </cell>
          <cell r="B291" t="str">
            <v>Whitefish I.R. 155</v>
          </cell>
          <cell r="C291" t="str">
            <v>ATCO</v>
          </cell>
          <cell r="D291">
            <v>0.97</v>
          </cell>
          <cell r="E291">
            <v>0</v>
          </cell>
          <cell r="F291" t="str">
            <v>Municipal Assessment Rider (A-1)</v>
          </cell>
          <cell r="G291" t="str">
            <v>Municipal Franchise Fee</v>
          </cell>
        </row>
        <row r="292">
          <cell r="A292">
            <v>1</v>
          </cell>
          <cell r="B292" t="str">
            <v>Opportunity</v>
          </cell>
          <cell r="C292" t="str">
            <v>ATCO</v>
          </cell>
          <cell r="D292">
            <v>1</v>
          </cell>
          <cell r="E292">
            <v>0</v>
          </cell>
          <cell r="F292" t="str">
            <v>Municipal Assessment Rider (A-1)</v>
          </cell>
          <cell r="G292" t="str">
            <v>Municipal Franchise Fee</v>
          </cell>
          <cell r="H292">
            <v>1</v>
          </cell>
        </row>
        <row r="293">
          <cell r="A293">
            <v>1.03</v>
          </cell>
          <cell r="B293" t="str">
            <v>Hay Lake I.R. 209</v>
          </cell>
          <cell r="C293" t="str">
            <v>ATCO</v>
          </cell>
          <cell r="D293">
            <v>1.03</v>
          </cell>
          <cell r="E293">
            <v>0</v>
          </cell>
          <cell r="F293" t="str">
            <v>Municipal Assessment Rider (A-1)</v>
          </cell>
          <cell r="G293" t="str">
            <v>Municipal Franchise Fee</v>
          </cell>
        </row>
        <row r="294">
          <cell r="A294">
            <v>1.07</v>
          </cell>
          <cell r="B294" t="str">
            <v>Big Lake &amp; Kinuso</v>
          </cell>
          <cell r="C294" t="str">
            <v>ATCO</v>
          </cell>
          <cell r="D294">
            <v>1.07</v>
          </cell>
          <cell r="E294">
            <v>0</v>
          </cell>
          <cell r="F294" t="str">
            <v>Municipal Assessment Rider (A-1)</v>
          </cell>
          <cell r="G294" t="str">
            <v>Municipal Franchise Fee</v>
          </cell>
        </row>
        <row r="295">
          <cell r="A295">
            <v>1.1399999999999999</v>
          </cell>
          <cell r="B295" t="str">
            <v>Doghead I.R.</v>
          </cell>
          <cell r="C295" t="str">
            <v>ATCO</v>
          </cell>
          <cell r="D295">
            <v>1.1399999999999999</v>
          </cell>
          <cell r="E295">
            <v>0</v>
          </cell>
          <cell r="F295" t="str">
            <v>Municipal Assessment Rider (A-1)</v>
          </cell>
          <cell r="G295" t="str">
            <v>Municipal Franchise Fee</v>
          </cell>
        </row>
        <row r="296">
          <cell r="A296">
            <v>1.2</v>
          </cell>
          <cell r="B296" t="str">
            <v>Birch Hills &amp; Wanham</v>
          </cell>
          <cell r="C296" t="str">
            <v>ATCO</v>
          </cell>
          <cell r="D296">
            <v>1.2</v>
          </cell>
          <cell r="E296">
            <v>0</v>
          </cell>
          <cell r="F296" t="str">
            <v>Municipal Assessment Rider (A-1)</v>
          </cell>
          <cell r="G296" t="str">
            <v>Municipal Franchise Fee</v>
          </cell>
        </row>
        <row r="297">
          <cell r="A297">
            <v>1.25</v>
          </cell>
          <cell r="B297" t="str">
            <v>Bushe River I.R. 207</v>
          </cell>
          <cell r="C297" t="str">
            <v>ATCO</v>
          </cell>
          <cell r="D297">
            <v>1.25</v>
          </cell>
          <cell r="E297">
            <v>0</v>
          </cell>
          <cell r="F297" t="str">
            <v>Municipal Assessment Rider (A-1)</v>
          </cell>
          <cell r="G297" t="str">
            <v>Municipal Franchise Fee</v>
          </cell>
        </row>
        <row r="298">
          <cell r="A298">
            <v>1.27</v>
          </cell>
          <cell r="B298" t="str">
            <v>Lamont</v>
          </cell>
          <cell r="C298" t="str">
            <v>ATCO</v>
          </cell>
          <cell r="D298">
            <v>1.27</v>
          </cell>
          <cell r="E298">
            <v>0</v>
          </cell>
          <cell r="F298" t="str">
            <v>Municipal Assessment Rider (A-1)</v>
          </cell>
          <cell r="G298" t="str">
            <v>Municipal Franchise Fee</v>
          </cell>
        </row>
        <row r="299">
          <cell r="A299">
            <v>1.29</v>
          </cell>
          <cell r="B299" t="str">
            <v>Stettler, County Of</v>
          </cell>
          <cell r="C299" t="str">
            <v>ATCO</v>
          </cell>
          <cell r="D299">
            <v>1.29</v>
          </cell>
          <cell r="E299">
            <v>0</v>
          </cell>
          <cell r="F299" t="str">
            <v>Municipal Assessment Rider (A-1)</v>
          </cell>
          <cell r="G299" t="str">
            <v>Municipal Franchise Fee</v>
          </cell>
          <cell r="H299">
            <v>1</v>
          </cell>
        </row>
        <row r="300">
          <cell r="A300">
            <v>1.34</v>
          </cell>
          <cell r="B300" t="str">
            <v>Starland</v>
          </cell>
          <cell r="C300" t="str">
            <v>ATCO</v>
          </cell>
          <cell r="D300">
            <v>1.34</v>
          </cell>
          <cell r="E300">
            <v>0</v>
          </cell>
          <cell r="F300" t="str">
            <v>Municipal Assessment Rider (A-1)</v>
          </cell>
          <cell r="G300" t="str">
            <v>Municipal Franchise Fee</v>
          </cell>
        </row>
        <row r="301">
          <cell r="A301">
            <v>1.35</v>
          </cell>
          <cell r="B301" t="str">
            <v>Bigstone</v>
          </cell>
          <cell r="C301" t="str">
            <v>ATCO</v>
          </cell>
          <cell r="D301">
            <v>1.35</v>
          </cell>
          <cell r="E301">
            <v>0</v>
          </cell>
          <cell r="F301" t="str">
            <v>Municipal Assessment Rider (A-1)</v>
          </cell>
          <cell r="G301" t="str">
            <v>Municipal Franchise Fee</v>
          </cell>
        </row>
        <row r="302">
          <cell r="A302">
            <v>1.36</v>
          </cell>
          <cell r="B302" t="str">
            <v>Kneehill &amp; Torrington</v>
          </cell>
          <cell r="C302" t="str">
            <v>ATCO</v>
          </cell>
          <cell r="D302">
            <v>1.36</v>
          </cell>
          <cell r="E302">
            <v>0</v>
          </cell>
          <cell r="F302" t="str">
            <v>Municipal Assessment Rider (A-1)</v>
          </cell>
          <cell r="G302" t="str">
            <v>Municipal Franchise Fee</v>
          </cell>
        </row>
        <row r="303">
          <cell r="A303">
            <v>1.8</v>
          </cell>
          <cell r="B303" t="str">
            <v>Acadia</v>
          </cell>
          <cell r="C303" t="str">
            <v>ATCO</v>
          </cell>
          <cell r="D303">
            <v>1.8</v>
          </cell>
          <cell r="E303">
            <v>0</v>
          </cell>
          <cell r="F303" t="str">
            <v>Municipal Assessment Rider (A-1)</v>
          </cell>
          <cell r="G303" t="str">
            <v>Municipal Franchise Fee</v>
          </cell>
        </row>
        <row r="304">
          <cell r="A304">
            <v>1.89</v>
          </cell>
          <cell r="B304" t="str">
            <v>Fishing Lake</v>
          </cell>
          <cell r="C304" t="str">
            <v>ATCO</v>
          </cell>
          <cell r="D304">
            <v>1.89</v>
          </cell>
          <cell r="E304">
            <v>0</v>
          </cell>
          <cell r="F304" t="str">
            <v>Municipal Assessment Rider (A-1)</v>
          </cell>
          <cell r="G304" t="str">
            <v>Municipal Franchise Fee</v>
          </cell>
        </row>
        <row r="305">
          <cell r="A305">
            <v>1.97</v>
          </cell>
          <cell r="B305" t="str">
            <v>Paddle Prairie</v>
          </cell>
          <cell r="C305" t="str">
            <v>ATCO</v>
          </cell>
          <cell r="D305">
            <v>1.97</v>
          </cell>
          <cell r="E305">
            <v>0</v>
          </cell>
          <cell r="F305" t="str">
            <v>Municipal Assessment Rider (A-1)</v>
          </cell>
          <cell r="G305" t="str">
            <v>Municipal Franchise Fee</v>
          </cell>
        </row>
        <row r="306">
          <cell r="A306">
            <v>2.02</v>
          </cell>
          <cell r="B306" t="str">
            <v>Elizabeth</v>
          </cell>
          <cell r="C306" t="str">
            <v>ATCO</v>
          </cell>
          <cell r="D306">
            <v>2.02</v>
          </cell>
          <cell r="E306">
            <v>0</v>
          </cell>
          <cell r="F306" t="str">
            <v>Municipal Assessment Rider (A-1)</v>
          </cell>
          <cell r="G306" t="str">
            <v>Municipal Franchise Fee</v>
          </cell>
        </row>
        <row r="307">
          <cell r="A307">
            <v>2.06</v>
          </cell>
          <cell r="B307" t="str">
            <v>Ft. Mackay Settlement #467</v>
          </cell>
          <cell r="C307" t="str">
            <v>ATCO</v>
          </cell>
          <cell r="D307">
            <v>2.06</v>
          </cell>
          <cell r="E307">
            <v>0</v>
          </cell>
          <cell r="F307" t="str">
            <v>Municipal Assessment Rider (A-1)</v>
          </cell>
          <cell r="G307" t="str">
            <v>Municipal Franchise Fee</v>
          </cell>
        </row>
        <row r="308">
          <cell r="A308">
            <v>2.12</v>
          </cell>
          <cell r="B308" t="str">
            <v>Waskatenau</v>
          </cell>
          <cell r="C308" t="str">
            <v>ATCO</v>
          </cell>
          <cell r="D308">
            <v>2.12</v>
          </cell>
          <cell r="E308">
            <v>0</v>
          </cell>
          <cell r="F308" t="str">
            <v>Municipal Assessment Rider (A-1)</v>
          </cell>
          <cell r="G308" t="str">
            <v>Municipal Franchise Fee</v>
          </cell>
        </row>
        <row r="309">
          <cell r="A309">
            <v>2.15</v>
          </cell>
          <cell r="B309" t="str">
            <v>Elnora</v>
          </cell>
          <cell r="C309" t="str">
            <v>ATCO</v>
          </cell>
          <cell r="D309">
            <v>1.1499999999999999</v>
          </cell>
          <cell r="E309">
            <v>1</v>
          </cell>
          <cell r="F309" t="str">
            <v>Municipal Assessment Rider (A-1)</v>
          </cell>
          <cell r="G309" t="str">
            <v>Municipal Franchise Fee</v>
          </cell>
        </row>
        <row r="310">
          <cell r="A310">
            <v>2.2200000000000002</v>
          </cell>
          <cell r="B310" t="str">
            <v>East Prairie</v>
          </cell>
          <cell r="C310" t="str">
            <v>ATCO</v>
          </cell>
          <cell r="D310">
            <v>2.2200000000000002</v>
          </cell>
          <cell r="E310">
            <v>0</v>
          </cell>
          <cell r="F310" t="str">
            <v>Municipal Assessment Rider (A-1)</v>
          </cell>
          <cell r="G310" t="str">
            <v>Municipal Franchise Fee</v>
          </cell>
        </row>
        <row r="311">
          <cell r="A311">
            <v>2.2200000000000002</v>
          </cell>
          <cell r="B311" t="str">
            <v>Loon River Cree</v>
          </cell>
          <cell r="C311" t="str">
            <v>ATCO</v>
          </cell>
          <cell r="D311">
            <v>2.2200000000000002</v>
          </cell>
          <cell r="E311">
            <v>0</v>
          </cell>
          <cell r="F311" t="str">
            <v>Municipal Assessment Rider (A-1)</v>
          </cell>
          <cell r="G311" t="str">
            <v>Municipal Franchise Fee</v>
          </cell>
        </row>
        <row r="312">
          <cell r="A312">
            <v>2.54</v>
          </cell>
          <cell r="B312" t="str">
            <v>Halkirk</v>
          </cell>
          <cell r="C312" t="str">
            <v>ATCO</v>
          </cell>
          <cell r="D312">
            <v>1.54</v>
          </cell>
          <cell r="E312">
            <v>1</v>
          </cell>
          <cell r="F312" t="str">
            <v>Municipal Assessment Rider (A-1)</v>
          </cell>
          <cell r="G312" t="str">
            <v>Municipal Franchise Fee</v>
          </cell>
        </row>
        <row r="313">
          <cell r="A313">
            <v>2.71</v>
          </cell>
          <cell r="B313" t="str">
            <v>Rosalind</v>
          </cell>
          <cell r="C313" t="str">
            <v>ATCO</v>
          </cell>
          <cell r="D313">
            <v>2.21</v>
          </cell>
          <cell r="E313">
            <v>0.5</v>
          </cell>
          <cell r="F313" t="str">
            <v>Municipal Assessment Rider (A-1)</v>
          </cell>
          <cell r="G313" t="str">
            <v>Municipal Franchise Fee</v>
          </cell>
        </row>
        <row r="314">
          <cell r="A314">
            <v>2.73</v>
          </cell>
          <cell r="B314" t="str">
            <v>Peavine</v>
          </cell>
          <cell r="C314" t="str">
            <v>ATCO</v>
          </cell>
          <cell r="D314">
            <v>2.73</v>
          </cell>
          <cell r="E314">
            <v>0</v>
          </cell>
          <cell r="F314" t="str">
            <v>Municipal Assessment Rider (A-1)</v>
          </cell>
          <cell r="G314" t="str">
            <v>Municipal Franchise Fee</v>
          </cell>
        </row>
        <row r="315">
          <cell r="A315">
            <v>2.74</v>
          </cell>
          <cell r="B315" t="str">
            <v>Two Hills County</v>
          </cell>
          <cell r="C315" t="str">
            <v>ATCO</v>
          </cell>
          <cell r="D315">
            <v>2.74</v>
          </cell>
          <cell r="E315">
            <v>0</v>
          </cell>
          <cell r="F315" t="str">
            <v>Municipal Assessment Rider (A-1)</v>
          </cell>
          <cell r="G315" t="str">
            <v>Municipal Franchise Fee</v>
          </cell>
        </row>
        <row r="316">
          <cell r="A316">
            <v>2.77</v>
          </cell>
          <cell r="B316" t="str">
            <v>Youngstown</v>
          </cell>
          <cell r="C316" t="str">
            <v>ATCO</v>
          </cell>
          <cell r="D316">
            <v>1.52</v>
          </cell>
          <cell r="E316">
            <v>1.25</v>
          </cell>
          <cell r="F316" t="str">
            <v>Municipal Assessment Rider (A-1)</v>
          </cell>
          <cell r="G316" t="str">
            <v>Municipal Franchise Fee</v>
          </cell>
        </row>
        <row r="317">
          <cell r="A317">
            <v>2.97</v>
          </cell>
          <cell r="B317" t="str">
            <v>Thorhild &amp; Radway</v>
          </cell>
          <cell r="C317" t="str">
            <v>ATCO</v>
          </cell>
          <cell r="D317">
            <v>2.97</v>
          </cell>
          <cell r="E317">
            <v>0</v>
          </cell>
          <cell r="F317" t="str">
            <v>Municipal Assessment Rider (A-1)</v>
          </cell>
          <cell r="G317" t="str">
            <v>Municipal Franchise Fee</v>
          </cell>
        </row>
        <row r="318">
          <cell r="A318">
            <v>3.2800000000000002</v>
          </cell>
          <cell r="B318" t="str">
            <v>Big Valley</v>
          </cell>
          <cell r="C318" t="str">
            <v>ATCO</v>
          </cell>
          <cell r="D318">
            <v>1.28</v>
          </cell>
          <cell r="E318">
            <v>2</v>
          </cell>
          <cell r="F318" t="str">
            <v>Municipal Assessment Rider (A-1)</v>
          </cell>
          <cell r="G318" t="str">
            <v>Municipal Franchise Fee</v>
          </cell>
        </row>
        <row r="319">
          <cell r="A319">
            <v>3.4</v>
          </cell>
          <cell r="B319" t="str">
            <v>Delburne</v>
          </cell>
          <cell r="C319" t="str">
            <v>ATCO</v>
          </cell>
          <cell r="D319">
            <v>1.9</v>
          </cell>
          <cell r="E319">
            <v>1.5</v>
          </cell>
          <cell r="F319" t="str">
            <v>Municipal Assessment Rider (A-1)</v>
          </cell>
          <cell r="G319" t="str">
            <v>Municipal Franchise Fee</v>
          </cell>
        </row>
        <row r="320">
          <cell r="A320">
            <v>3.49</v>
          </cell>
          <cell r="B320" t="str">
            <v>Gift Lake Metis Sett</v>
          </cell>
          <cell r="C320" t="str">
            <v>ATCO</v>
          </cell>
          <cell r="D320">
            <v>3.49</v>
          </cell>
          <cell r="E320">
            <v>0</v>
          </cell>
          <cell r="F320" t="str">
            <v>Municipal Assessment Rider (A-1)</v>
          </cell>
          <cell r="G320" t="str">
            <v>Municipal Franchise Fee</v>
          </cell>
        </row>
        <row r="321">
          <cell r="A321">
            <v>3.63</v>
          </cell>
          <cell r="B321" t="str">
            <v>Nampa</v>
          </cell>
          <cell r="C321" t="str">
            <v>ATCO</v>
          </cell>
          <cell r="D321">
            <v>1.63</v>
          </cell>
          <cell r="E321">
            <v>2</v>
          </cell>
          <cell r="F321" t="str">
            <v>Municipal Assessment Rider (A-1)</v>
          </cell>
          <cell r="G321" t="str">
            <v>Municipal Franchise Fee</v>
          </cell>
        </row>
        <row r="322">
          <cell r="A322">
            <v>3.65</v>
          </cell>
          <cell r="B322" t="str">
            <v>Cereal</v>
          </cell>
          <cell r="C322" t="str">
            <v>ATCO</v>
          </cell>
          <cell r="D322">
            <v>2.65</v>
          </cell>
          <cell r="E322">
            <v>1</v>
          </cell>
          <cell r="F322" t="str">
            <v>Municipal Assessment Rider (A-1)</v>
          </cell>
          <cell r="G322" t="str">
            <v>Municipal Franchise Fee</v>
          </cell>
        </row>
        <row r="323">
          <cell r="A323">
            <v>3.7</v>
          </cell>
          <cell r="B323" t="str">
            <v>Glendon</v>
          </cell>
          <cell r="C323" t="str">
            <v>ATCO</v>
          </cell>
          <cell r="D323">
            <v>2.2000000000000002</v>
          </cell>
          <cell r="E323">
            <v>1.5</v>
          </cell>
          <cell r="F323" t="str">
            <v>Municipal Assessment Rider (A-1)</v>
          </cell>
          <cell r="G323" t="str">
            <v>Municipal Franchise Fee</v>
          </cell>
        </row>
        <row r="324">
          <cell r="A324">
            <v>3.84</v>
          </cell>
          <cell r="B324" t="str">
            <v>Myrnam</v>
          </cell>
          <cell r="C324" t="str">
            <v>ATCO</v>
          </cell>
          <cell r="D324">
            <v>1.84</v>
          </cell>
          <cell r="E324">
            <v>2</v>
          </cell>
          <cell r="F324" t="str">
            <v>Municipal Assessment Rider (A-1)</v>
          </cell>
          <cell r="G324" t="str">
            <v>Municipal Franchise Fee</v>
          </cell>
        </row>
        <row r="325">
          <cell r="A325">
            <v>3.9</v>
          </cell>
          <cell r="B325" t="str">
            <v>Donnelly</v>
          </cell>
          <cell r="C325" t="str">
            <v>ATCO</v>
          </cell>
          <cell r="D325">
            <v>1.65</v>
          </cell>
          <cell r="E325">
            <v>2.25</v>
          </cell>
          <cell r="F325" t="str">
            <v>Municipal Assessment Rider (A-1)</v>
          </cell>
          <cell r="G325" t="str">
            <v>Municipal Franchise Fee</v>
          </cell>
        </row>
        <row r="326">
          <cell r="A326">
            <v>3.92</v>
          </cell>
          <cell r="B326" t="str">
            <v>Botha</v>
          </cell>
          <cell r="C326" t="str">
            <v>ATCO</v>
          </cell>
          <cell r="D326">
            <v>0.92</v>
          </cell>
          <cell r="E326">
            <v>3</v>
          </cell>
          <cell r="F326" t="str">
            <v>Municipal Assessment Rider (A-1)</v>
          </cell>
          <cell r="G326" t="str">
            <v>Municipal Franchise Fee</v>
          </cell>
        </row>
        <row r="327">
          <cell r="A327">
            <v>4.1100000000000003</v>
          </cell>
          <cell r="B327" t="str">
            <v>Donalda</v>
          </cell>
          <cell r="C327" t="str">
            <v>ATCO</v>
          </cell>
          <cell r="D327">
            <v>1.1100000000000001</v>
          </cell>
          <cell r="E327">
            <v>3</v>
          </cell>
          <cell r="F327" t="str">
            <v>Municipal Assessment Rider (A-1)</v>
          </cell>
          <cell r="G327" t="str">
            <v>Municipal Franchise Fee</v>
          </cell>
        </row>
        <row r="328">
          <cell r="A328">
            <v>4.13</v>
          </cell>
          <cell r="B328" t="str">
            <v>Munson</v>
          </cell>
          <cell r="C328" t="str">
            <v>ATCO</v>
          </cell>
          <cell r="D328">
            <v>3.13</v>
          </cell>
          <cell r="E328">
            <v>1</v>
          </cell>
          <cell r="F328" t="str">
            <v>Municipal Assessment Rider (A-1)</v>
          </cell>
          <cell r="G328" t="str">
            <v>Municipal Franchise Fee</v>
          </cell>
        </row>
        <row r="329">
          <cell r="A329">
            <v>4.1500000000000004</v>
          </cell>
          <cell r="B329" t="str">
            <v>Minburn</v>
          </cell>
          <cell r="C329" t="str">
            <v>ATCO</v>
          </cell>
          <cell r="D329">
            <v>3.15</v>
          </cell>
          <cell r="E329">
            <v>1</v>
          </cell>
          <cell r="F329" t="str">
            <v>Municipal Assessment Rider (A-1)</v>
          </cell>
          <cell r="G329" t="str">
            <v>Municipal Franchise Fee</v>
          </cell>
          <cell r="H329">
            <v>1</v>
          </cell>
        </row>
        <row r="330">
          <cell r="A330">
            <v>4.5999999999999996</v>
          </cell>
          <cell r="B330" t="str">
            <v>Andrew</v>
          </cell>
          <cell r="C330" t="str">
            <v>ATCO</v>
          </cell>
          <cell r="D330">
            <v>1.6</v>
          </cell>
          <cell r="E330">
            <v>3</v>
          </cell>
          <cell r="F330" t="str">
            <v>Municipal Assessment Rider (A-1)</v>
          </cell>
          <cell r="G330" t="str">
            <v>Municipal Franchise Fee</v>
          </cell>
        </row>
        <row r="331">
          <cell r="A331">
            <v>4.88</v>
          </cell>
          <cell r="B331" t="str">
            <v>Morrin</v>
          </cell>
          <cell r="C331" t="str">
            <v>ATCO</v>
          </cell>
          <cell r="D331">
            <v>1.38</v>
          </cell>
          <cell r="E331">
            <v>3.5</v>
          </cell>
          <cell r="F331" t="str">
            <v>Municipal Assessment Rider (A-1)</v>
          </cell>
          <cell r="G331" t="str">
            <v>Municipal Franchise Fee</v>
          </cell>
        </row>
        <row r="332">
          <cell r="A332">
            <v>4.91</v>
          </cell>
          <cell r="B332" t="str">
            <v>Berwyn</v>
          </cell>
          <cell r="C332" t="str">
            <v>ATCO</v>
          </cell>
          <cell r="D332">
            <v>3.16</v>
          </cell>
          <cell r="E332">
            <v>1.75</v>
          </cell>
          <cell r="F332" t="str">
            <v>Municipal Assessment Rider (A-1)</v>
          </cell>
          <cell r="G332" t="str">
            <v>Municipal Franchise Fee</v>
          </cell>
        </row>
        <row r="333">
          <cell r="A333">
            <v>5.0299999999999994</v>
          </cell>
          <cell r="B333" t="str">
            <v>Willingdon</v>
          </cell>
          <cell r="C333" t="str">
            <v>ATCO</v>
          </cell>
          <cell r="D333">
            <v>3.03</v>
          </cell>
          <cell r="E333">
            <v>2</v>
          </cell>
          <cell r="F333" t="str">
            <v>Municipal Assessment Rider (A-1)</v>
          </cell>
          <cell r="G333" t="str">
            <v>Municipal Franchise Fee</v>
          </cell>
        </row>
        <row r="334">
          <cell r="A334">
            <v>5.2799999999999994</v>
          </cell>
          <cell r="B334" t="str">
            <v>Mclennan</v>
          </cell>
          <cell r="C334" t="str">
            <v>ATCO</v>
          </cell>
          <cell r="D334">
            <v>2.5299999999999998</v>
          </cell>
          <cell r="E334">
            <v>2.75</v>
          </cell>
          <cell r="F334" t="str">
            <v>Municipal Assessment Rider (A-1)</v>
          </cell>
          <cell r="G334" t="str">
            <v>Municipal Franchise Fee</v>
          </cell>
        </row>
        <row r="335">
          <cell r="A335">
            <v>5.37</v>
          </cell>
          <cell r="B335" t="str">
            <v>Cold Lake</v>
          </cell>
          <cell r="C335" t="str">
            <v>ATCO</v>
          </cell>
          <cell r="D335">
            <v>1.1200000000000001</v>
          </cell>
          <cell r="E335">
            <v>4.25</v>
          </cell>
          <cell r="F335" t="str">
            <v>Municipal Assessment Rider (A-1)</v>
          </cell>
          <cell r="G335" t="str">
            <v>Municipal Franchise Fee</v>
          </cell>
        </row>
        <row r="336">
          <cell r="A336">
            <v>5.45</v>
          </cell>
          <cell r="B336" t="str">
            <v>Elk Point</v>
          </cell>
          <cell r="C336" t="str">
            <v>ATCO</v>
          </cell>
          <cell r="D336">
            <v>1.85</v>
          </cell>
          <cell r="E336">
            <v>3.6</v>
          </cell>
          <cell r="F336" t="str">
            <v>Municipal Assessment Rider (A-1)</v>
          </cell>
          <cell r="G336" t="str">
            <v>Municipal Franchise Fee</v>
          </cell>
        </row>
        <row r="337">
          <cell r="A337">
            <v>5.5</v>
          </cell>
          <cell r="B337" t="str">
            <v>Vermilion</v>
          </cell>
          <cell r="C337" t="str">
            <v>ATCO</v>
          </cell>
          <cell r="D337">
            <v>1</v>
          </cell>
          <cell r="E337">
            <v>4.5</v>
          </cell>
          <cell r="F337" t="str">
            <v>Municipal Assessment Rider (A-1)</v>
          </cell>
          <cell r="G337" t="str">
            <v>Municipal Franchise Fee</v>
          </cell>
        </row>
        <row r="338">
          <cell r="A338">
            <v>5.54</v>
          </cell>
          <cell r="B338" t="str">
            <v>Empress</v>
          </cell>
          <cell r="C338" t="str">
            <v>ATCO</v>
          </cell>
          <cell r="D338">
            <v>3.54</v>
          </cell>
          <cell r="E338">
            <v>2</v>
          </cell>
          <cell r="F338" t="str">
            <v>Municipal Assessment Rider (A-1)</v>
          </cell>
          <cell r="G338" t="str">
            <v>Municipal Franchise Fee</v>
          </cell>
        </row>
        <row r="339">
          <cell r="A339">
            <v>5.57</v>
          </cell>
          <cell r="B339" t="str">
            <v>Coronation</v>
          </cell>
          <cell r="C339" t="str">
            <v>ATCO</v>
          </cell>
          <cell r="D339">
            <v>1.82</v>
          </cell>
          <cell r="E339">
            <v>3.75</v>
          </cell>
          <cell r="F339" t="str">
            <v>Municipal Assessment Rider (A-1)</v>
          </cell>
          <cell r="G339" t="str">
            <v>Municipal Franchise Fee</v>
          </cell>
        </row>
        <row r="340">
          <cell r="A340">
            <v>5.7799999999999994</v>
          </cell>
          <cell r="B340" t="str">
            <v>Innisfree</v>
          </cell>
          <cell r="C340" t="str">
            <v>ATCO</v>
          </cell>
          <cell r="D340">
            <v>2.2799999999999998</v>
          </cell>
          <cell r="E340">
            <v>3.5</v>
          </cell>
          <cell r="F340" t="str">
            <v>Municipal Assessment Rider (A-1)</v>
          </cell>
          <cell r="G340" t="str">
            <v>Municipal Franchise Fee</v>
          </cell>
        </row>
        <row r="341">
          <cell r="A341">
            <v>6</v>
          </cell>
          <cell r="B341" t="str">
            <v>Derwent</v>
          </cell>
          <cell r="C341" t="str">
            <v>ATCO</v>
          </cell>
          <cell r="D341">
            <v>0</v>
          </cell>
          <cell r="E341">
            <v>6</v>
          </cell>
          <cell r="F341" t="str">
            <v>Municipal Assessment Rider (A-1)</v>
          </cell>
          <cell r="G341" t="str">
            <v>Municipal Franchise Fee</v>
          </cell>
        </row>
        <row r="342">
          <cell r="A342">
            <v>6</v>
          </cell>
          <cell r="B342" t="str">
            <v>Girouxville</v>
          </cell>
          <cell r="C342" t="str">
            <v>ATCO</v>
          </cell>
          <cell r="D342">
            <v>2</v>
          </cell>
          <cell r="E342">
            <v>4</v>
          </cell>
          <cell r="F342" t="str">
            <v>Municipal Assessment Rider (A-1)</v>
          </cell>
          <cell r="G342" t="str">
            <v>Municipal Franchise Fee</v>
          </cell>
        </row>
        <row r="343">
          <cell r="A343">
            <v>6.32</v>
          </cell>
          <cell r="B343" t="str">
            <v>Two Hills, Town Of</v>
          </cell>
          <cell r="C343" t="str">
            <v>ATCO</v>
          </cell>
          <cell r="D343">
            <v>2.0699999999999998</v>
          </cell>
          <cell r="E343">
            <v>4.25</v>
          </cell>
          <cell r="F343" t="str">
            <v>Municipal Assessment Rider (A-1)</v>
          </cell>
          <cell r="G343" t="str">
            <v>Municipal Franchise Fee</v>
          </cell>
        </row>
        <row r="344">
          <cell r="A344">
            <v>6.53</v>
          </cell>
          <cell r="B344" t="str">
            <v>Jasper Sch Dist 3063</v>
          </cell>
          <cell r="C344" t="str">
            <v>ATCO</v>
          </cell>
          <cell r="D344">
            <v>0.53</v>
          </cell>
          <cell r="E344">
            <v>6</v>
          </cell>
          <cell r="F344" t="str">
            <v>Municipal Assessment Rider (A-1)</v>
          </cell>
          <cell r="G344" t="str">
            <v>Municipal Franchise Fee</v>
          </cell>
        </row>
        <row r="345">
          <cell r="A345">
            <v>6.55</v>
          </cell>
          <cell r="B345" t="str">
            <v>Jasper (Park &amp; Outside Town)</v>
          </cell>
          <cell r="C345" t="str">
            <v>ATCO</v>
          </cell>
          <cell r="D345">
            <v>0.55000000000000004</v>
          </cell>
          <cell r="E345">
            <v>6</v>
          </cell>
          <cell r="F345" t="str">
            <v>Municipal Assessment Rider (A-1)</v>
          </cell>
          <cell r="G345" t="str">
            <v>Municipal Franchise Fee</v>
          </cell>
        </row>
        <row r="346">
          <cell r="A346">
            <v>6.5600000000000005</v>
          </cell>
          <cell r="B346" t="str">
            <v>Hanna</v>
          </cell>
          <cell r="C346" t="str">
            <v>ATCO</v>
          </cell>
          <cell r="D346">
            <v>1.56</v>
          </cell>
          <cell r="E346">
            <v>5</v>
          </cell>
          <cell r="F346" t="str">
            <v>Municipal Assessment Rider (A-1)</v>
          </cell>
          <cell r="G346" t="str">
            <v>Municipal Franchise Fee</v>
          </cell>
        </row>
        <row r="347">
          <cell r="A347">
            <v>6.6</v>
          </cell>
          <cell r="B347" t="str">
            <v>Valleyview</v>
          </cell>
          <cell r="C347" t="str">
            <v>ATCO</v>
          </cell>
          <cell r="D347">
            <v>1.35</v>
          </cell>
          <cell r="E347">
            <v>5.25</v>
          </cell>
          <cell r="F347" t="str">
            <v>Municipal Assessment Rider (A-1)</v>
          </cell>
          <cell r="G347" t="str">
            <v>Municipal Franchise Fee</v>
          </cell>
        </row>
        <row r="348">
          <cell r="A348">
            <v>6.67</v>
          </cell>
          <cell r="B348" t="str">
            <v>Fox Creek</v>
          </cell>
          <cell r="C348" t="str">
            <v>ATCO</v>
          </cell>
          <cell r="D348">
            <v>1.17</v>
          </cell>
          <cell r="E348">
            <v>5.5</v>
          </cell>
          <cell r="F348" t="str">
            <v>Municipal Assessment Rider (A-1)</v>
          </cell>
          <cell r="G348" t="str">
            <v>Municipal Franchise Fee</v>
          </cell>
        </row>
        <row r="349">
          <cell r="A349">
            <v>6.72</v>
          </cell>
          <cell r="B349" t="str">
            <v>Carbon</v>
          </cell>
          <cell r="C349" t="str">
            <v>ATCO</v>
          </cell>
          <cell r="D349">
            <v>1.72</v>
          </cell>
          <cell r="E349">
            <v>5</v>
          </cell>
          <cell r="F349" t="str">
            <v>Municipal Assessment Rider (A-1)</v>
          </cell>
          <cell r="G349" t="str">
            <v>Municipal Franchise Fee</v>
          </cell>
        </row>
        <row r="350">
          <cell r="A350">
            <v>6.76</v>
          </cell>
          <cell r="B350" t="str">
            <v>Veteran</v>
          </cell>
          <cell r="C350" t="str">
            <v>ATCO</v>
          </cell>
          <cell r="D350">
            <v>2.76</v>
          </cell>
          <cell r="E350">
            <v>4</v>
          </cell>
          <cell r="F350" t="str">
            <v>Municipal Assessment Rider (A-1)</v>
          </cell>
          <cell r="G350" t="str">
            <v>Municipal Franchise Fee</v>
          </cell>
        </row>
        <row r="351">
          <cell r="A351">
            <v>6.77</v>
          </cell>
          <cell r="B351" t="str">
            <v>Castor</v>
          </cell>
          <cell r="C351" t="str">
            <v>ATCO</v>
          </cell>
          <cell r="D351">
            <v>1.77</v>
          </cell>
          <cell r="E351">
            <v>5</v>
          </cell>
          <cell r="F351" t="str">
            <v>Municipal Assessment Rider (A-1)</v>
          </cell>
          <cell r="G351" t="str">
            <v>Municipal Franchise Fee</v>
          </cell>
        </row>
        <row r="352">
          <cell r="A352">
            <v>6.84</v>
          </cell>
          <cell r="B352" t="str">
            <v>Wembley</v>
          </cell>
          <cell r="C352" t="str">
            <v>ATCO</v>
          </cell>
          <cell r="D352">
            <v>0.84</v>
          </cell>
          <cell r="E352">
            <v>6</v>
          </cell>
          <cell r="F352" t="str">
            <v>Municipal Assessment Rider (A-1)</v>
          </cell>
          <cell r="G352" t="str">
            <v>Municipal Franchise Fee</v>
          </cell>
        </row>
        <row r="353">
          <cell r="A353">
            <v>6.88</v>
          </cell>
          <cell r="B353" t="str">
            <v>Spirit River, Town Of</v>
          </cell>
          <cell r="C353" t="str">
            <v>ATCO</v>
          </cell>
          <cell r="D353">
            <v>1.38</v>
          </cell>
          <cell r="E353">
            <v>5.5</v>
          </cell>
          <cell r="F353" t="str">
            <v>Municipal Assessment Rider (A-1)</v>
          </cell>
          <cell r="G353" t="str">
            <v>Municipal Franchise Fee</v>
          </cell>
        </row>
        <row r="354">
          <cell r="A354">
            <v>6.89</v>
          </cell>
          <cell r="B354" t="str">
            <v>Mundare</v>
          </cell>
          <cell r="C354" t="str">
            <v>ATCO</v>
          </cell>
          <cell r="D354">
            <v>1.89</v>
          </cell>
          <cell r="E354">
            <v>5</v>
          </cell>
          <cell r="F354" t="str">
            <v>Municipal Assessment Rider (A-1)</v>
          </cell>
          <cell r="G354" t="str">
            <v>Municipal Franchise Fee</v>
          </cell>
        </row>
        <row r="355">
          <cell r="A355">
            <v>7.02</v>
          </cell>
          <cell r="B355" t="str">
            <v>Grimshaw</v>
          </cell>
          <cell r="C355" t="str">
            <v>ATCO</v>
          </cell>
          <cell r="D355">
            <v>1.02</v>
          </cell>
          <cell r="E355">
            <v>6</v>
          </cell>
          <cell r="F355" t="str">
            <v>Municipal Assessment Rider (A-1)</v>
          </cell>
          <cell r="G355" t="str">
            <v>Municipal Franchise Fee</v>
          </cell>
        </row>
        <row r="356">
          <cell r="A356">
            <v>7.0699999999999994</v>
          </cell>
          <cell r="B356" t="str">
            <v>Stettler, Town Of</v>
          </cell>
          <cell r="C356" t="str">
            <v>ATCO</v>
          </cell>
          <cell r="D356">
            <v>0.97</v>
          </cell>
          <cell r="E356">
            <v>6.1</v>
          </cell>
          <cell r="F356" t="str">
            <v>Municipal Assessment Rider (A-1)</v>
          </cell>
          <cell r="G356" t="str">
            <v>Municipal Franchise Fee</v>
          </cell>
          <cell r="H356">
            <v>1</v>
          </cell>
        </row>
        <row r="357">
          <cell r="A357">
            <v>7.13</v>
          </cell>
          <cell r="B357" t="str">
            <v>Oyen</v>
          </cell>
          <cell r="C357" t="str">
            <v>ATCO</v>
          </cell>
          <cell r="D357">
            <v>1.1299999999999999</v>
          </cell>
          <cell r="E357">
            <v>6</v>
          </cell>
          <cell r="F357" t="str">
            <v>Municipal Assessment Rider (A-1)</v>
          </cell>
          <cell r="G357" t="str">
            <v>Municipal Franchise Fee</v>
          </cell>
        </row>
        <row r="358">
          <cell r="A358">
            <v>7.13</v>
          </cell>
          <cell r="B358" t="str">
            <v>Trochu</v>
          </cell>
          <cell r="C358" t="str">
            <v>ATCO</v>
          </cell>
          <cell r="D358">
            <v>2.13</v>
          </cell>
          <cell r="E358">
            <v>5</v>
          </cell>
          <cell r="F358" t="str">
            <v>Municipal Assessment Rider (A-1)</v>
          </cell>
          <cell r="G358" t="str">
            <v>Municipal Franchise Fee</v>
          </cell>
        </row>
        <row r="359">
          <cell r="A359">
            <v>7.26</v>
          </cell>
          <cell r="B359" t="str">
            <v>Three Hills</v>
          </cell>
          <cell r="C359" t="str">
            <v>ATCO</v>
          </cell>
          <cell r="D359">
            <v>1.26</v>
          </cell>
          <cell r="E359">
            <v>6</v>
          </cell>
          <cell r="F359" t="str">
            <v>Municipal Assessment Rider (A-1)</v>
          </cell>
          <cell r="G359" t="str">
            <v>Municipal Franchise Fee</v>
          </cell>
        </row>
        <row r="360">
          <cell r="A360">
            <v>7.29</v>
          </cell>
          <cell r="B360" t="str">
            <v>Paradise Valley</v>
          </cell>
          <cell r="C360" t="str">
            <v>ATCO</v>
          </cell>
          <cell r="D360">
            <v>1.29</v>
          </cell>
          <cell r="E360">
            <v>6</v>
          </cell>
          <cell r="F360" t="str">
            <v>Municipal Assessment Rider (A-1)</v>
          </cell>
          <cell r="G360" t="str">
            <v>Municipal Franchise Fee</v>
          </cell>
        </row>
        <row r="361">
          <cell r="A361">
            <v>7.33</v>
          </cell>
          <cell r="B361" t="str">
            <v>Delia</v>
          </cell>
          <cell r="C361" t="str">
            <v>ATCO</v>
          </cell>
          <cell r="D361">
            <v>2.33</v>
          </cell>
          <cell r="E361">
            <v>5</v>
          </cell>
          <cell r="F361" t="str">
            <v>Municipal Assessment Rider (A-1)</v>
          </cell>
          <cell r="G361" t="str">
            <v>Municipal Franchise Fee</v>
          </cell>
        </row>
        <row r="362">
          <cell r="A362">
            <v>7.36</v>
          </cell>
          <cell r="B362" t="str">
            <v>Manning</v>
          </cell>
          <cell r="C362" t="str">
            <v>ATCO</v>
          </cell>
          <cell r="D362">
            <v>1.36</v>
          </cell>
          <cell r="E362">
            <v>6</v>
          </cell>
          <cell r="F362" t="str">
            <v>Municipal Assessment Rider (A-1)</v>
          </cell>
          <cell r="G362" t="str">
            <v>Municipal Franchise Fee</v>
          </cell>
        </row>
        <row r="363">
          <cell r="A363">
            <v>7.37</v>
          </cell>
          <cell r="B363" t="str">
            <v>High Prairie</v>
          </cell>
          <cell r="C363" t="str">
            <v>ATCO</v>
          </cell>
          <cell r="D363">
            <v>1.1200000000000001</v>
          </cell>
          <cell r="E363">
            <v>6.25</v>
          </cell>
          <cell r="F363" t="str">
            <v>Municipal Assessment Rider (A-1)</v>
          </cell>
          <cell r="G363" t="str">
            <v>Municipal Franchise Fee</v>
          </cell>
        </row>
        <row r="364">
          <cell r="A364">
            <v>7.38</v>
          </cell>
          <cell r="B364" t="str">
            <v>Dewberry</v>
          </cell>
          <cell r="C364" t="str">
            <v>ATCO</v>
          </cell>
          <cell r="D364">
            <v>1.38</v>
          </cell>
          <cell r="E364">
            <v>6</v>
          </cell>
          <cell r="F364" t="str">
            <v>Municipal Assessment Rider (A-1)</v>
          </cell>
          <cell r="G364" t="str">
            <v>Municipal Franchise Fee</v>
          </cell>
        </row>
        <row r="365">
          <cell r="A365">
            <v>7.38</v>
          </cell>
          <cell r="B365" t="str">
            <v>Galahad</v>
          </cell>
          <cell r="C365" t="str">
            <v>ATCO</v>
          </cell>
          <cell r="D365">
            <v>4.38</v>
          </cell>
          <cell r="E365">
            <v>3</v>
          </cell>
          <cell r="F365" t="str">
            <v>Municipal Assessment Rider (A-1)</v>
          </cell>
          <cell r="G365" t="str">
            <v>Municipal Franchise Fee</v>
          </cell>
        </row>
        <row r="366">
          <cell r="A366">
            <v>7.43</v>
          </cell>
          <cell r="B366" t="str">
            <v>Sexsmith</v>
          </cell>
          <cell r="C366" t="str">
            <v>ATCO</v>
          </cell>
          <cell r="D366">
            <v>1.93</v>
          </cell>
          <cell r="E366">
            <v>5.5</v>
          </cell>
          <cell r="F366" t="str">
            <v>Municipal Assessment Rider (A-1)</v>
          </cell>
          <cell r="G366" t="str">
            <v>Municipal Franchise Fee</v>
          </cell>
        </row>
        <row r="367">
          <cell r="A367">
            <v>7.47</v>
          </cell>
          <cell r="B367" t="str">
            <v>Bonnyville, Town Of</v>
          </cell>
          <cell r="C367" t="str">
            <v>ATCO</v>
          </cell>
          <cell r="D367">
            <v>0.67</v>
          </cell>
          <cell r="E367">
            <v>6.8</v>
          </cell>
          <cell r="F367" t="str">
            <v>Municipal Assessment Rider (A-1)</v>
          </cell>
          <cell r="G367" t="str">
            <v>Municipal Franchise Fee</v>
          </cell>
        </row>
        <row r="368">
          <cell r="A368">
            <v>7.55</v>
          </cell>
          <cell r="B368" t="str">
            <v>Hines Creek</v>
          </cell>
          <cell r="C368" t="str">
            <v>ATCO</v>
          </cell>
          <cell r="D368">
            <v>5.3</v>
          </cell>
          <cell r="E368">
            <v>2.25</v>
          </cell>
          <cell r="F368" t="str">
            <v>Municipal Assessment Rider (A-1)</v>
          </cell>
          <cell r="G368" t="str">
            <v>Municipal Franchise Fee</v>
          </cell>
        </row>
        <row r="369">
          <cell r="A369">
            <v>7.6</v>
          </cell>
          <cell r="B369" t="str">
            <v>Alliance</v>
          </cell>
          <cell r="C369" t="str">
            <v>ATCO</v>
          </cell>
          <cell r="D369">
            <v>1.6</v>
          </cell>
          <cell r="E369">
            <v>6</v>
          </cell>
          <cell r="F369" t="str">
            <v>Municipal Assessment Rider (A-1)</v>
          </cell>
          <cell r="G369" t="str">
            <v>Municipal Franchise Fee</v>
          </cell>
        </row>
        <row r="370">
          <cell r="A370">
            <v>7.65</v>
          </cell>
          <cell r="B370" t="str">
            <v>Hythe</v>
          </cell>
          <cell r="C370" t="str">
            <v>ATCO</v>
          </cell>
          <cell r="D370">
            <v>1.65</v>
          </cell>
          <cell r="E370">
            <v>6</v>
          </cell>
          <cell r="F370" t="str">
            <v>Municipal Assessment Rider (A-1)</v>
          </cell>
          <cell r="G370" t="str">
            <v>Municipal Franchise Fee</v>
          </cell>
        </row>
        <row r="371">
          <cell r="A371">
            <v>7.71</v>
          </cell>
          <cell r="B371" t="str">
            <v>Beaverlodge</v>
          </cell>
          <cell r="C371" t="str">
            <v>ATCO</v>
          </cell>
          <cell r="D371">
            <v>1.21</v>
          </cell>
          <cell r="E371">
            <v>6.5</v>
          </cell>
          <cell r="F371" t="str">
            <v>Municipal Assessment Rider (A-1)</v>
          </cell>
          <cell r="G371" t="str">
            <v>Municipal Franchise Fee</v>
          </cell>
        </row>
        <row r="372">
          <cell r="A372">
            <v>7.71</v>
          </cell>
          <cell r="B372" t="str">
            <v>Smoky Lake</v>
          </cell>
          <cell r="C372" t="str">
            <v>ATCO</v>
          </cell>
          <cell r="D372">
            <v>1.71</v>
          </cell>
          <cell r="E372">
            <v>6</v>
          </cell>
          <cell r="F372" t="str">
            <v>Municipal Assessment Rider (A-1)</v>
          </cell>
          <cell r="G372" t="str">
            <v>Municipal Franchise Fee</v>
          </cell>
        </row>
        <row r="373">
          <cell r="A373">
            <v>7.97</v>
          </cell>
          <cell r="B373" t="str">
            <v>Falher</v>
          </cell>
          <cell r="C373" t="str">
            <v>ATCO</v>
          </cell>
          <cell r="D373">
            <v>1.47</v>
          </cell>
          <cell r="E373">
            <v>6.5</v>
          </cell>
          <cell r="F373" t="str">
            <v>Municipal Assessment Rider (A-1)</v>
          </cell>
          <cell r="G373" t="str">
            <v>Municipal Franchise Fee</v>
          </cell>
        </row>
        <row r="374">
          <cell r="A374">
            <v>7.97</v>
          </cell>
          <cell r="B374" t="str">
            <v>Kitscoty</v>
          </cell>
          <cell r="C374" t="str">
            <v>ATCO</v>
          </cell>
          <cell r="D374">
            <v>1.97</v>
          </cell>
          <cell r="E374">
            <v>6</v>
          </cell>
          <cell r="F374" t="str">
            <v>Municipal Assessment Rider (A-1)</v>
          </cell>
          <cell r="G374" t="str">
            <v>Municipal Franchise Fee</v>
          </cell>
        </row>
        <row r="375">
          <cell r="A375">
            <v>7.9700000000000006</v>
          </cell>
          <cell r="B375" t="str">
            <v>Grande Cache</v>
          </cell>
          <cell r="C375" t="str">
            <v>ATCO</v>
          </cell>
          <cell r="D375">
            <v>2.4700000000000002</v>
          </cell>
          <cell r="E375">
            <v>5.5</v>
          </cell>
          <cell r="F375" t="str">
            <v>Municipal Assessment Rider (A-1)</v>
          </cell>
          <cell r="G375" t="str">
            <v>Municipal Franchise Fee</v>
          </cell>
        </row>
        <row r="376">
          <cell r="A376">
            <v>8.1</v>
          </cell>
          <cell r="B376" t="str">
            <v>Swan Hills Town</v>
          </cell>
          <cell r="C376" t="str">
            <v>ATCO</v>
          </cell>
          <cell r="D376">
            <v>2.1</v>
          </cell>
          <cell r="E376">
            <v>6</v>
          </cell>
          <cell r="F376" t="str">
            <v>Municipal Assessment Rider (A-1)</v>
          </cell>
          <cell r="G376" t="str">
            <v>Municipal Franchise Fee</v>
          </cell>
        </row>
        <row r="377">
          <cell r="A377">
            <v>8.17</v>
          </cell>
          <cell r="B377" t="str">
            <v>Rycroft</v>
          </cell>
          <cell r="C377" t="str">
            <v>ATCO</v>
          </cell>
          <cell r="D377">
            <v>2.17</v>
          </cell>
          <cell r="E377">
            <v>6</v>
          </cell>
          <cell r="F377" t="str">
            <v>Municipal Assessment Rider (A-1)</v>
          </cell>
          <cell r="G377" t="str">
            <v>Municipal Franchise Fee</v>
          </cell>
        </row>
        <row r="378">
          <cell r="A378">
            <v>8.2799999999999994</v>
          </cell>
          <cell r="B378" t="str">
            <v>Linden</v>
          </cell>
          <cell r="C378" t="str">
            <v>ATCO</v>
          </cell>
          <cell r="D378">
            <v>2.2799999999999998</v>
          </cell>
          <cell r="E378">
            <v>6</v>
          </cell>
          <cell r="F378" t="str">
            <v>Municipal Assessment Rider (A-1)</v>
          </cell>
          <cell r="G378" t="str">
            <v>Municipal Franchise Fee</v>
          </cell>
        </row>
        <row r="379">
          <cell r="A379">
            <v>8.35</v>
          </cell>
          <cell r="B379" t="str">
            <v>St. Paul, Town Of</v>
          </cell>
          <cell r="C379" t="str">
            <v>ATCO</v>
          </cell>
          <cell r="D379">
            <v>1.35</v>
          </cell>
          <cell r="E379">
            <v>7</v>
          </cell>
          <cell r="F379" t="str">
            <v>Municipal Assessment Rider (A-1)</v>
          </cell>
          <cell r="G379" t="str">
            <v>Municipal Franchise Fee</v>
          </cell>
        </row>
        <row r="380">
          <cell r="A380">
            <v>8.5</v>
          </cell>
          <cell r="B380" t="str">
            <v>Consort</v>
          </cell>
          <cell r="C380" t="str">
            <v>ATCO</v>
          </cell>
          <cell r="D380">
            <v>2.5</v>
          </cell>
          <cell r="E380">
            <v>6</v>
          </cell>
          <cell r="F380" t="str">
            <v>Municipal Assessment Rider (A-1)</v>
          </cell>
          <cell r="G380" t="str">
            <v>Municipal Franchise Fee</v>
          </cell>
        </row>
        <row r="381">
          <cell r="A381">
            <v>8.51</v>
          </cell>
          <cell r="B381" t="str">
            <v>Marwayne</v>
          </cell>
          <cell r="C381" t="str">
            <v>ATCO</v>
          </cell>
          <cell r="D381">
            <v>2.5099999999999998</v>
          </cell>
          <cell r="E381">
            <v>6</v>
          </cell>
          <cell r="F381" t="str">
            <v>Municipal Assessment Rider (A-1)</v>
          </cell>
          <cell r="G381" t="str">
            <v>Municipal Franchise Fee</v>
          </cell>
        </row>
        <row r="382">
          <cell r="A382">
            <v>8.57</v>
          </cell>
          <cell r="B382" t="str">
            <v>Peace River</v>
          </cell>
          <cell r="C382" t="str">
            <v>ATCO</v>
          </cell>
          <cell r="D382">
            <v>1.57</v>
          </cell>
          <cell r="E382">
            <v>7</v>
          </cell>
          <cell r="F382" t="str">
            <v>Municipal Assessment Rider (A-1)</v>
          </cell>
          <cell r="G382" t="str">
            <v>Municipal Franchise Fee</v>
          </cell>
        </row>
        <row r="383">
          <cell r="A383">
            <v>8.629999999999999</v>
          </cell>
          <cell r="B383" t="str">
            <v>Gadsby</v>
          </cell>
          <cell r="C383" t="str">
            <v>ATCO</v>
          </cell>
          <cell r="D383">
            <v>3.63</v>
          </cell>
          <cell r="E383">
            <v>5</v>
          </cell>
          <cell r="F383" t="str">
            <v>Municipal Assessment Rider (A-1)</v>
          </cell>
          <cell r="G383" t="str">
            <v>Municipal Franchise Fee</v>
          </cell>
        </row>
        <row r="384">
          <cell r="A384">
            <v>8.98</v>
          </cell>
          <cell r="B384" t="str">
            <v>Fairview</v>
          </cell>
          <cell r="C384" t="str">
            <v>ATCO</v>
          </cell>
          <cell r="D384">
            <v>1.48</v>
          </cell>
          <cell r="E384">
            <v>7.5</v>
          </cell>
          <cell r="F384" t="str">
            <v>Municipal Assessment Rider (A-1)</v>
          </cell>
          <cell r="G384" t="str">
            <v>Municipal Franchise Fee</v>
          </cell>
          <cell r="H384">
            <v>1</v>
          </cell>
        </row>
        <row r="385">
          <cell r="A385">
            <v>9.1999999999999993</v>
          </cell>
          <cell r="B385" t="str">
            <v>Grande Prairie, City Of</v>
          </cell>
          <cell r="C385" t="str">
            <v>ATCO</v>
          </cell>
          <cell r="D385">
            <v>1.45</v>
          </cell>
          <cell r="E385">
            <v>7.75</v>
          </cell>
          <cell r="F385" t="str">
            <v>Municipal Assessment Rider (A-1)</v>
          </cell>
          <cell r="G385" t="str">
            <v>Municipal Franchise Fee</v>
          </cell>
        </row>
        <row r="386">
          <cell r="A386">
            <v>9.49</v>
          </cell>
          <cell r="B386" t="str">
            <v>Mannville</v>
          </cell>
          <cell r="C386" t="str">
            <v>ATCO</v>
          </cell>
          <cell r="D386">
            <v>2.4900000000000002</v>
          </cell>
          <cell r="E386">
            <v>7</v>
          </cell>
          <cell r="F386" t="str">
            <v>Municipal Assessment Rider (A-1)</v>
          </cell>
          <cell r="G386" t="str">
            <v>Municipal Franchise Fee</v>
          </cell>
        </row>
        <row r="387">
          <cell r="A387">
            <v>9.56</v>
          </cell>
          <cell r="B387" t="str">
            <v>Vegreville</v>
          </cell>
          <cell r="C387" t="str">
            <v>ATCO</v>
          </cell>
          <cell r="D387">
            <v>1.56</v>
          </cell>
          <cell r="E387">
            <v>8</v>
          </cell>
          <cell r="F387" t="str">
            <v>Municipal Assessment Rider (A-1)</v>
          </cell>
          <cell r="G387" t="str">
            <v>Municipal Franchise Fee</v>
          </cell>
        </row>
        <row r="388">
          <cell r="A388">
            <v>10.199999999999999</v>
          </cell>
          <cell r="B388" t="str">
            <v>Drumheller &amp; M.D. Badlands</v>
          </cell>
          <cell r="C388" t="str">
            <v>ATCO</v>
          </cell>
          <cell r="D388">
            <v>1.2</v>
          </cell>
          <cell r="E388">
            <v>9</v>
          </cell>
          <cell r="F388" t="str">
            <v>Municipal Assessment Rider (A-1)</v>
          </cell>
          <cell r="G388" t="str">
            <v>Municipal Franchise Fee</v>
          </cell>
        </row>
        <row r="389">
          <cell r="A389">
            <v>10.52</v>
          </cell>
          <cell r="B389" t="str">
            <v>Slave Lake</v>
          </cell>
          <cell r="C389" t="str">
            <v>ATCO</v>
          </cell>
          <cell r="D389">
            <v>1.1200000000000001</v>
          </cell>
          <cell r="E389">
            <v>9.4</v>
          </cell>
          <cell r="F389" t="str">
            <v>Municipal Assessment Rider (A-1)</v>
          </cell>
          <cell r="G389" t="str">
            <v>Municipal Franchise Fee</v>
          </cell>
        </row>
        <row r="390">
          <cell r="A390">
            <v>10.58</v>
          </cell>
          <cell r="B390" t="str">
            <v>Fort Mcmurray</v>
          </cell>
          <cell r="C390" t="str">
            <v>ATCO</v>
          </cell>
          <cell r="D390">
            <v>0.57999999999999996</v>
          </cell>
          <cell r="E390">
            <v>10</v>
          </cell>
          <cell r="F390" t="str">
            <v>Municipal Assessment Rider (A-1)</v>
          </cell>
          <cell r="G390" t="str">
            <v>Municipal Franchise Fee</v>
          </cell>
        </row>
        <row r="391">
          <cell r="A391">
            <v>11.02</v>
          </cell>
          <cell r="B391" t="str">
            <v>Forestburg</v>
          </cell>
          <cell r="C391" t="str">
            <v>ATCO</v>
          </cell>
          <cell r="D391">
            <v>2.02</v>
          </cell>
          <cell r="E391">
            <v>9</v>
          </cell>
          <cell r="F391" t="str">
            <v>Municipal Assessment Rider (A-1)</v>
          </cell>
          <cell r="G391" t="str">
            <v>Municipal Franchise Fee</v>
          </cell>
        </row>
        <row r="392">
          <cell r="A392">
            <v>11.1</v>
          </cell>
          <cell r="B392" t="str">
            <v>Lloydminster</v>
          </cell>
          <cell r="C392" t="str">
            <v>ATCO</v>
          </cell>
          <cell r="D392">
            <v>0.1</v>
          </cell>
          <cell r="E392">
            <v>11</v>
          </cell>
          <cell r="F392" t="str">
            <v>Municipal Assessment Rider (A-1)</v>
          </cell>
          <cell r="G392" t="str">
            <v>Municipal Franchise Fee</v>
          </cell>
        </row>
        <row r="393">
          <cell r="A393">
            <v>11.32</v>
          </cell>
          <cell r="B393" t="str">
            <v>High Level</v>
          </cell>
          <cell r="C393" t="str">
            <v>ATCO</v>
          </cell>
          <cell r="D393">
            <v>0.82</v>
          </cell>
          <cell r="E393">
            <v>10.5</v>
          </cell>
          <cell r="F393" t="str">
            <v>Municipal Assessment Rider (A-1)</v>
          </cell>
          <cell r="G393" t="str">
            <v>Municipal Franchise Fee</v>
          </cell>
        </row>
        <row r="394">
          <cell r="A394">
            <v>11.46</v>
          </cell>
          <cell r="B394" t="str">
            <v>Heisler</v>
          </cell>
          <cell r="C394" t="str">
            <v>ATCO</v>
          </cell>
          <cell r="D394">
            <v>4.46</v>
          </cell>
          <cell r="E394">
            <v>7</v>
          </cell>
          <cell r="F394" t="str">
            <v>Municipal Assessment Rider (A-1)</v>
          </cell>
          <cell r="G394" t="str">
            <v>Municipal Franchise Fee</v>
          </cell>
        </row>
        <row r="395">
          <cell r="A395">
            <v>14.43</v>
          </cell>
          <cell r="B395" t="str">
            <v>Rainbow Lake</v>
          </cell>
          <cell r="C395" t="str">
            <v>ATCO</v>
          </cell>
          <cell r="D395">
            <v>1.43</v>
          </cell>
          <cell r="E395">
            <v>13</v>
          </cell>
          <cell r="F395" t="str">
            <v>Municipal Assessment Rider (A-1)</v>
          </cell>
          <cell r="G395" t="str">
            <v>Municipal Franchise Fee</v>
          </cell>
        </row>
        <row r="396">
          <cell r="A396">
            <v>23.61</v>
          </cell>
          <cell r="B396" t="str">
            <v>Vilna</v>
          </cell>
          <cell r="C396" t="str">
            <v>ATCO</v>
          </cell>
          <cell r="D396">
            <v>3.61</v>
          </cell>
          <cell r="E396">
            <v>20</v>
          </cell>
          <cell r="F396" t="str">
            <v>Municipal Assessment Rider (A-1)</v>
          </cell>
          <cell r="G396" t="str">
            <v>Municipal Franchise Fee</v>
          </cell>
        </row>
      </sheetData>
      <sheetData sheetId="1"/>
      <sheetData sheetId="2"/>
      <sheetData sheetId="3"/>
      <sheetData sheetId="4"/>
      <sheetData sheetId="5"/>
      <sheetData sheetId="6"/>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hyperlink" Target="http://www.auc.ab.ca/regulatory_documents/ProceedingDocuments/2015/20820-D01-2015.pdf" TargetMode="External"/><Relationship Id="rId7" Type="http://schemas.openxmlformats.org/officeDocument/2006/relationships/printerSettings" Target="../printerSettings/printerSettings16.bin"/><Relationship Id="rId2" Type="http://schemas.openxmlformats.org/officeDocument/2006/relationships/hyperlink" Target="http://www.auc.ab.ca/regulatory_documents/ProceedingDocuments/2015/20820-D01-2015.pdf" TargetMode="External"/><Relationship Id="rId1" Type="http://schemas.openxmlformats.org/officeDocument/2006/relationships/hyperlink" Target="http://albertamsa.ca/uploads/pdf/Archive/0000-2016/2016-04-08-Retail-statistics.xlsx" TargetMode="External"/><Relationship Id="rId6" Type="http://schemas.openxmlformats.org/officeDocument/2006/relationships/hyperlink" Target="http://albertamsa.ca/uploads/pdf/Archive/0000-2016/2016-04-08-Retail-statistics.xlsx" TargetMode="External"/><Relationship Id="rId5" Type="http://schemas.openxmlformats.org/officeDocument/2006/relationships/hyperlink" Target="http://albertamsa.ca/uploads/pdf/Archive/0000-2016/2016-04-08-Retail-statistics.xlsx" TargetMode="External"/><Relationship Id="rId4" Type="http://schemas.openxmlformats.org/officeDocument/2006/relationships/hyperlink" Target="http://www.altagasutilities.com/sites/default/files/pdf/20823-D01-2015AltaGas2016AnnualPBRRateAd.pdf,%20Page%2021" TargetMode="Externa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17.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0"/>
  </sheetPr>
  <dimension ref="A1:AA46"/>
  <sheetViews>
    <sheetView showGridLines="0" tabSelected="1" zoomScale="90" zoomScaleNormal="90" workbookViewId="0">
      <selection sqref="A1:H2"/>
    </sheetView>
  </sheetViews>
  <sheetFormatPr defaultColWidth="9.1796875" defaultRowHeight="14" x14ac:dyDescent="0.3"/>
  <cols>
    <col min="1" max="8" width="12.7265625" style="47" customWidth="1"/>
    <col min="9" max="9" width="9.1796875" style="47"/>
    <col min="10" max="11" width="6.7265625" style="47" customWidth="1"/>
    <col min="12" max="12" width="9.81640625" style="47" customWidth="1"/>
    <col min="13" max="14" width="9.1796875" style="47"/>
    <col min="15" max="15" width="5.26953125" style="47" customWidth="1"/>
    <col min="16" max="17" width="9.1796875" style="47" customWidth="1"/>
    <col min="18" max="25" width="9.1796875" style="47"/>
    <col min="26" max="26" width="28.1796875" style="47" customWidth="1"/>
    <col min="27" max="16384" width="9.1796875" style="47"/>
  </cols>
  <sheetData>
    <row r="1" spans="1:27" ht="14.25" customHeight="1" thickTop="1" x14ac:dyDescent="0.3">
      <c r="A1" s="1637" t="s">
        <v>676</v>
      </c>
      <c r="B1" s="1638"/>
      <c r="C1" s="1638"/>
      <c r="D1" s="1638"/>
      <c r="E1" s="1638"/>
      <c r="F1" s="1638"/>
      <c r="G1" s="1638"/>
      <c r="H1" s="1639"/>
      <c r="J1" s="1643" t="s">
        <v>400</v>
      </c>
      <c r="K1" s="1644"/>
      <c r="L1" s="1644"/>
      <c r="M1" s="1644"/>
      <c r="N1" s="1644"/>
      <c r="O1" s="1644"/>
      <c r="P1" s="1644"/>
      <c r="Q1" s="1644"/>
      <c r="R1" s="1644"/>
      <c r="S1" s="1644"/>
      <c r="T1" s="1644"/>
      <c r="U1" s="1644"/>
      <c r="V1" s="1644"/>
      <c r="W1" s="1644"/>
      <c r="X1" s="1644"/>
      <c r="Y1" s="1644"/>
      <c r="Z1" s="1645"/>
    </row>
    <row r="2" spans="1:27" ht="19.5" customHeight="1" x14ac:dyDescent="0.3">
      <c r="A2" s="1640"/>
      <c r="B2" s="1641"/>
      <c r="C2" s="1641"/>
      <c r="D2" s="1641"/>
      <c r="E2" s="1641"/>
      <c r="F2" s="1641"/>
      <c r="G2" s="1641"/>
      <c r="H2" s="1642"/>
      <c r="J2" s="1646"/>
      <c r="K2" s="1647"/>
      <c r="L2" s="1647"/>
      <c r="M2" s="1647"/>
      <c r="N2" s="1647"/>
      <c r="O2" s="1647"/>
      <c r="P2" s="1647"/>
      <c r="Q2" s="1647"/>
      <c r="R2" s="1647"/>
      <c r="S2" s="1647"/>
      <c r="T2" s="1647"/>
      <c r="U2" s="1647"/>
      <c r="V2" s="1647"/>
      <c r="W2" s="1647"/>
      <c r="X2" s="1647"/>
      <c r="Y2" s="1647"/>
      <c r="Z2" s="1648"/>
    </row>
    <row r="3" spans="1:27" ht="20.25" customHeight="1" thickBot="1" x14ac:dyDescent="0.35">
      <c r="A3" s="1649" t="s">
        <v>677</v>
      </c>
      <c r="B3" s="1650"/>
      <c r="C3" s="1650"/>
      <c r="D3" s="1650"/>
      <c r="E3" s="1650"/>
      <c r="F3" s="1650"/>
      <c r="G3" s="1650"/>
      <c r="H3" s="1651"/>
      <c r="J3" s="1664" t="s">
        <v>490</v>
      </c>
      <c r="K3" s="1665"/>
      <c r="L3" s="1665"/>
      <c r="M3" s="1665"/>
      <c r="N3" s="1665"/>
      <c r="O3" s="1666"/>
      <c r="P3" s="1679" t="s">
        <v>634</v>
      </c>
      <c r="Q3" s="1665"/>
      <c r="R3" s="1665"/>
      <c r="S3" s="1665"/>
      <c r="T3" s="1665"/>
      <c r="U3" s="1665"/>
      <c r="V3" s="1665"/>
      <c r="W3" s="1665"/>
      <c r="X3" s="1665"/>
      <c r="Y3" s="1665"/>
      <c r="Z3" s="1680"/>
      <c r="AA3" s="136"/>
    </row>
    <row r="4" spans="1:27" ht="16" customHeight="1" x14ac:dyDescent="0.35">
      <c r="A4" s="1649"/>
      <c r="B4" s="1650"/>
      <c r="C4" s="1650"/>
      <c r="D4" s="1650"/>
      <c r="E4" s="1650"/>
      <c r="F4" s="1650"/>
      <c r="G4" s="1650"/>
      <c r="H4" s="1651"/>
      <c r="J4" s="1673" t="s">
        <v>624</v>
      </c>
      <c r="K4" s="1674"/>
      <c r="L4" s="1674"/>
      <c r="M4" s="1674"/>
      <c r="N4" s="1674"/>
      <c r="O4" s="1675"/>
      <c r="P4" s="1667" t="s">
        <v>638</v>
      </c>
      <c r="Q4" s="1668"/>
      <c r="R4" s="1668"/>
      <c r="S4" s="1668"/>
      <c r="T4" s="1668"/>
      <c r="U4" s="1668"/>
      <c r="V4" s="1668"/>
      <c r="W4" s="1668"/>
      <c r="X4" s="1668"/>
      <c r="Y4" s="1668"/>
      <c r="Z4" s="1669"/>
    </row>
    <row r="5" spans="1:27" ht="16" customHeight="1" x14ac:dyDescent="0.35">
      <c r="A5" s="1649"/>
      <c r="B5" s="1650"/>
      <c r="C5" s="1650"/>
      <c r="D5" s="1650"/>
      <c r="E5" s="1650"/>
      <c r="F5" s="1650"/>
      <c r="G5" s="1650"/>
      <c r="H5" s="1651"/>
      <c r="J5" s="1636"/>
      <c r="K5" s="1630" t="s">
        <v>363</v>
      </c>
      <c r="L5" s="1630"/>
      <c r="M5" s="1630"/>
      <c r="N5" s="1630"/>
      <c r="O5" s="1631"/>
      <c r="P5" s="1655" t="s">
        <v>655</v>
      </c>
      <c r="Q5" s="1656"/>
      <c r="R5" s="1656"/>
      <c r="S5" s="1656"/>
      <c r="T5" s="1656"/>
      <c r="U5" s="1656"/>
      <c r="V5" s="1656"/>
      <c r="W5" s="1656"/>
      <c r="X5" s="1656"/>
      <c r="Y5" s="1656"/>
      <c r="Z5" s="1657"/>
    </row>
    <row r="6" spans="1:27" ht="16" customHeight="1" x14ac:dyDescent="0.35">
      <c r="A6" s="1649"/>
      <c r="B6" s="1650"/>
      <c r="C6" s="1650"/>
      <c r="D6" s="1650"/>
      <c r="E6" s="1650"/>
      <c r="F6" s="1650"/>
      <c r="G6" s="1650"/>
      <c r="H6" s="1651"/>
      <c r="J6" s="1636"/>
      <c r="K6" s="1630" t="s">
        <v>362</v>
      </c>
      <c r="L6" s="1630"/>
      <c r="M6" s="1630"/>
      <c r="N6" s="1630"/>
      <c r="O6" s="1631"/>
      <c r="P6" s="1655" t="s">
        <v>656</v>
      </c>
      <c r="Q6" s="1656"/>
      <c r="R6" s="1656"/>
      <c r="S6" s="1656"/>
      <c r="T6" s="1656"/>
      <c r="U6" s="1656"/>
      <c r="V6" s="1656"/>
      <c r="W6" s="1656"/>
      <c r="X6" s="1656"/>
      <c r="Y6" s="1656"/>
      <c r="Z6" s="1657"/>
    </row>
    <row r="7" spans="1:27" ht="16" customHeight="1" x14ac:dyDescent="0.35">
      <c r="A7" s="1649"/>
      <c r="B7" s="1650"/>
      <c r="C7" s="1650"/>
      <c r="D7" s="1650"/>
      <c r="E7" s="1650"/>
      <c r="F7" s="1650"/>
      <c r="G7" s="1650"/>
      <c r="H7" s="1651"/>
      <c r="J7" s="1661" t="s">
        <v>477</v>
      </c>
      <c r="K7" s="1662"/>
      <c r="L7" s="1662"/>
      <c r="M7" s="1662"/>
      <c r="N7" s="1662"/>
      <c r="O7" s="1663"/>
      <c r="P7" s="1670" t="s">
        <v>654</v>
      </c>
      <c r="Q7" s="1671"/>
      <c r="R7" s="1671"/>
      <c r="S7" s="1671"/>
      <c r="T7" s="1671"/>
      <c r="U7" s="1671"/>
      <c r="V7" s="1671"/>
      <c r="W7" s="1671"/>
      <c r="X7" s="1671"/>
      <c r="Y7" s="1671"/>
      <c r="Z7" s="1672"/>
    </row>
    <row r="8" spans="1:27" ht="16" customHeight="1" x14ac:dyDescent="0.35">
      <c r="A8" s="1649"/>
      <c r="B8" s="1650"/>
      <c r="C8" s="1650"/>
      <c r="D8" s="1650"/>
      <c r="E8" s="1650"/>
      <c r="F8" s="1650"/>
      <c r="G8" s="1650"/>
      <c r="H8" s="1651"/>
      <c r="J8" s="1636"/>
      <c r="K8" s="1630" t="s">
        <v>639</v>
      </c>
      <c r="L8" s="1630"/>
      <c r="M8" s="1630"/>
      <c r="N8" s="1630"/>
      <c r="O8" s="1631"/>
      <c r="P8" s="1681" t="s">
        <v>644</v>
      </c>
      <c r="Q8" s="1682"/>
      <c r="R8" s="1682"/>
      <c r="S8" s="1682"/>
      <c r="T8" s="1682"/>
      <c r="U8" s="1682"/>
      <c r="V8" s="1682"/>
      <c r="W8" s="1682"/>
      <c r="X8" s="1682"/>
      <c r="Y8" s="1682"/>
      <c r="Z8" s="1683"/>
    </row>
    <row r="9" spans="1:27" ht="16" customHeight="1" x14ac:dyDescent="0.3">
      <c r="A9" s="1649"/>
      <c r="B9" s="1650"/>
      <c r="C9" s="1650"/>
      <c r="D9" s="1650"/>
      <c r="E9" s="1650"/>
      <c r="F9" s="1650"/>
      <c r="G9" s="1650"/>
      <c r="H9" s="1651"/>
      <c r="J9" s="1636"/>
      <c r="K9" s="1635"/>
      <c r="L9" s="1630" t="s">
        <v>54</v>
      </c>
      <c r="M9" s="1630"/>
      <c r="N9" s="1630"/>
      <c r="O9" s="1631"/>
      <c r="P9" s="1684" t="s">
        <v>646</v>
      </c>
      <c r="Q9" s="1685"/>
      <c r="R9" s="1685"/>
      <c r="S9" s="1685"/>
      <c r="T9" s="1685"/>
      <c r="U9" s="1685"/>
      <c r="V9" s="1685"/>
      <c r="W9" s="1685"/>
      <c r="X9" s="1685"/>
      <c r="Y9" s="1685"/>
      <c r="Z9" s="1686"/>
    </row>
    <row r="10" spans="1:27" ht="16" customHeight="1" x14ac:dyDescent="0.3">
      <c r="A10" s="1649"/>
      <c r="B10" s="1650"/>
      <c r="C10" s="1650"/>
      <c r="D10" s="1650"/>
      <c r="E10" s="1650"/>
      <c r="F10" s="1650"/>
      <c r="G10" s="1650"/>
      <c r="H10" s="1651"/>
      <c r="J10" s="1636"/>
      <c r="K10" s="1635"/>
      <c r="L10" s="1630" t="s">
        <v>55</v>
      </c>
      <c r="M10" s="1630"/>
      <c r="N10" s="1630"/>
      <c r="O10" s="1631"/>
      <c r="P10" s="1684" t="s">
        <v>647</v>
      </c>
      <c r="Q10" s="1685"/>
      <c r="R10" s="1685"/>
      <c r="S10" s="1685"/>
      <c r="T10" s="1685"/>
      <c r="U10" s="1685"/>
      <c r="V10" s="1685"/>
      <c r="W10" s="1685"/>
      <c r="X10" s="1685"/>
      <c r="Y10" s="1685"/>
      <c r="Z10" s="1686"/>
    </row>
    <row r="11" spans="1:27" ht="16" customHeight="1" x14ac:dyDescent="0.3">
      <c r="A11" s="1649"/>
      <c r="B11" s="1650"/>
      <c r="C11" s="1650"/>
      <c r="D11" s="1650"/>
      <c r="E11" s="1650"/>
      <c r="F11" s="1650"/>
      <c r="G11" s="1650"/>
      <c r="H11" s="1651"/>
      <c r="J11" s="1636"/>
      <c r="K11" s="1635"/>
      <c r="L11" s="1630" t="s">
        <v>56</v>
      </c>
      <c r="M11" s="1630"/>
      <c r="N11" s="1630"/>
      <c r="O11" s="1631"/>
      <c r="P11" s="1684" t="s">
        <v>648</v>
      </c>
      <c r="Q11" s="1685"/>
      <c r="R11" s="1685"/>
      <c r="S11" s="1685"/>
      <c r="T11" s="1685"/>
      <c r="U11" s="1685"/>
      <c r="V11" s="1685"/>
      <c r="W11" s="1685"/>
      <c r="X11" s="1685"/>
      <c r="Y11" s="1685"/>
      <c r="Z11" s="1686"/>
    </row>
    <row r="12" spans="1:27" ht="16" customHeight="1" x14ac:dyDescent="0.3">
      <c r="A12" s="1649"/>
      <c r="B12" s="1650"/>
      <c r="C12" s="1650"/>
      <c r="D12" s="1650"/>
      <c r="E12" s="1650"/>
      <c r="F12" s="1650"/>
      <c r="G12" s="1650"/>
      <c r="H12" s="1651"/>
      <c r="J12" s="1636"/>
      <c r="K12" s="1635"/>
      <c r="L12" s="1630" t="s">
        <v>57</v>
      </c>
      <c r="M12" s="1630"/>
      <c r="N12" s="1630"/>
      <c r="O12" s="1631"/>
      <c r="P12" s="1684" t="s">
        <v>649</v>
      </c>
      <c r="Q12" s="1685"/>
      <c r="R12" s="1685"/>
      <c r="S12" s="1685"/>
      <c r="T12" s="1685"/>
      <c r="U12" s="1685"/>
      <c r="V12" s="1685"/>
      <c r="W12" s="1685"/>
      <c r="X12" s="1685"/>
      <c r="Y12" s="1685"/>
      <c r="Z12" s="1686"/>
    </row>
    <row r="13" spans="1:27" ht="16" customHeight="1" x14ac:dyDescent="0.35">
      <c r="A13" s="1649"/>
      <c r="B13" s="1650"/>
      <c r="C13" s="1650"/>
      <c r="D13" s="1650"/>
      <c r="E13" s="1650"/>
      <c r="F13" s="1650"/>
      <c r="G13" s="1650"/>
      <c r="H13" s="1651"/>
      <c r="J13" s="1636"/>
      <c r="K13" s="1630" t="s">
        <v>640</v>
      </c>
      <c r="L13" s="1630"/>
      <c r="M13" s="1630"/>
      <c r="N13" s="1630"/>
      <c r="O13" s="1631"/>
      <c r="P13" s="1655" t="s">
        <v>645</v>
      </c>
      <c r="Q13" s="1656"/>
      <c r="R13" s="1656"/>
      <c r="S13" s="1656"/>
      <c r="T13" s="1656"/>
      <c r="U13" s="1656"/>
      <c r="V13" s="1656"/>
      <c r="W13" s="1656"/>
      <c r="X13" s="1656"/>
      <c r="Y13" s="1656"/>
      <c r="Z13" s="1657"/>
    </row>
    <row r="14" spans="1:27" ht="16" customHeight="1" x14ac:dyDescent="0.3">
      <c r="A14" s="1649"/>
      <c r="B14" s="1650"/>
      <c r="C14" s="1650"/>
      <c r="D14" s="1650"/>
      <c r="E14" s="1650"/>
      <c r="F14" s="1650"/>
      <c r="G14" s="1650"/>
      <c r="H14" s="1651"/>
      <c r="J14" s="1636"/>
      <c r="K14" s="1635"/>
      <c r="L14" s="1630" t="s">
        <v>99</v>
      </c>
      <c r="M14" s="1630"/>
      <c r="N14" s="1630"/>
      <c r="O14" s="1631"/>
      <c r="P14" s="1676" t="s">
        <v>650</v>
      </c>
      <c r="Q14" s="1677"/>
      <c r="R14" s="1677"/>
      <c r="S14" s="1677"/>
      <c r="T14" s="1677"/>
      <c r="U14" s="1677"/>
      <c r="V14" s="1677"/>
      <c r="W14" s="1677"/>
      <c r="X14" s="1677"/>
      <c r="Y14" s="1677"/>
      <c r="Z14" s="1678"/>
    </row>
    <row r="15" spans="1:27" ht="16" customHeight="1" x14ac:dyDescent="0.3">
      <c r="A15" s="1649"/>
      <c r="B15" s="1650"/>
      <c r="C15" s="1650"/>
      <c r="D15" s="1650"/>
      <c r="E15" s="1650"/>
      <c r="F15" s="1650"/>
      <c r="G15" s="1650"/>
      <c r="H15" s="1651"/>
      <c r="J15" s="1636"/>
      <c r="K15" s="1635"/>
      <c r="L15" s="1630" t="s">
        <v>100</v>
      </c>
      <c r="M15" s="1630"/>
      <c r="N15" s="1630"/>
      <c r="O15" s="1631"/>
      <c r="P15" s="1676" t="s">
        <v>651</v>
      </c>
      <c r="Q15" s="1677"/>
      <c r="R15" s="1677"/>
      <c r="S15" s="1677"/>
      <c r="T15" s="1677"/>
      <c r="U15" s="1677"/>
      <c r="V15" s="1677"/>
      <c r="W15" s="1677"/>
      <c r="X15" s="1677"/>
      <c r="Y15" s="1677"/>
      <c r="Z15" s="1678"/>
    </row>
    <row r="16" spans="1:27" ht="16" customHeight="1" x14ac:dyDescent="0.3">
      <c r="A16" s="1649"/>
      <c r="B16" s="1650"/>
      <c r="C16" s="1650"/>
      <c r="D16" s="1650"/>
      <c r="E16" s="1650"/>
      <c r="F16" s="1650"/>
      <c r="G16" s="1650"/>
      <c r="H16" s="1651"/>
      <c r="J16" s="1636"/>
      <c r="K16" s="1635"/>
      <c r="L16" s="1630" t="s">
        <v>101</v>
      </c>
      <c r="M16" s="1630"/>
      <c r="N16" s="1630"/>
      <c r="O16" s="1631"/>
      <c r="P16" s="1676" t="s">
        <v>652</v>
      </c>
      <c r="Q16" s="1677"/>
      <c r="R16" s="1677"/>
      <c r="S16" s="1677"/>
      <c r="T16" s="1677"/>
      <c r="U16" s="1677"/>
      <c r="V16" s="1677"/>
      <c r="W16" s="1677"/>
      <c r="X16" s="1677"/>
      <c r="Y16" s="1677"/>
      <c r="Z16" s="1678"/>
    </row>
    <row r="17" spans="1:26" ht="16" customHeight="1" x14ac:dyDescent="0.35">
      <c r="A17" s="1649"/>
      <c r="B17" s="1650"/>
      <c r="C17" s="1650"/>
      <c r="D17" s="1650"/>
      <c r="E17" s="1650"/>
      <c r="F17" s="1650"/>
      <c r="G17" s="1650"/>
      <c r="H17" s="1651"/>
      <c r="J17" s="1632" t="s">
        <v>364</v>
      </c>
      <c r="K17" s="1633"/>
      <c r="L17" s="1633"/>
      <c r="M17" s="1633"/>
      <c r="N17" s="1633"/>
      <c r="O17" s="1634"/>
      <c r="P17" s="1655"/>
      <c r="Q17" s="1656"/>
      <c r="R17" s="1656"/>
      <c r="S17" s="1656"/>
      <c r="T17" s="1656"/>
      <c r="U17" s="1656"/>
      <c r="V17" s="1656"/>
      <c r="W17" s="1656"/>
      <c r="X17" s="1656"/>
      <c r="Y17" s="1656"/>
      <c r="Z17" s="1657"/>
    </row>
    <row r="18" spans="1:26" ht="16" customHeight="1" x14ac:dyDescent="0.35">
      <c r="A18" s="1649"/>
      <c r="B18" s="1650"/>
      <c r="C18" s="1650"/>
      <c r="D18" s="1650"/>
      <c r="E18" s="1650"/>
      <c r="F18" s="1650"/>
      <c r="G18" s="1650"/>
      <c r="H18" s="1651"/>
      <c r="J18" s="1626"/>
      <c r="K18" s="1630" t="s">
        <v>641</v>
      </c>
      <c r="L18" s="1630"/>
      <c r="M18" s="1630"/>
      <c r="N18" s="1630"/>
      <c r="O18" s="1631"/>
      <c r="P18" s="1655" t="s">
        <v>635</v>
      </c>
      <c r="Q18" s="1656"/>
      <c r="R18" s="1656"/>
      <c r="S18" s="1656"/>
      <c r="T18" s="1656"/>
      <c r="U18" s="1656"/>
      <c r="V18" s="1656"/>
      <c r="W18" s="1656"/>
      <c r="X18" s="1656"/>
      <c r="Y18" s="1656"/>
      <c r="Z18" s="1657"/>
    </row>
    <row r="19" spans="1:26" ht="16" customHeight="1" x14ac:dyDescent="0.35">
      <c r="A19" s="1649"/>
      <c r="B19" s="1650"/>
      <c r="C19" s="1650"/>
      <c r="D19" s="1650"/>
      <c r="E19" s="1650"/>
      <c r="F19" s="1650"/>
      <c r="G19" s="1650"/>
      <c r="H19" s="1651"/>
      <c r="J19" s="1626"/>
      <c r="K19" s="1630" t="s">
        <v>642</v>
      </c>
      <c r="L19" s="1630"/>
      <c r="M19" s="1630"/>
      <c r="N19" s="1630"/>
      <c r="O19" s="1631"/>
      <c r="P19" s="1655" t="s">
        <v>636</v>
      </c>
      <c r="Q19" s="1656"/>
      <c r="R19" s="1656"/>
      <c r="S19" s="1656"/>
      <c r="T19" s="1656"/>
      <c r="U19" s="1656"/>
      <c r="V19" s="1656"/>
      <c r="W19" s="1656"/>
      <c r="X19" s="1656"/>
      <c r="Y19" s="1656"/>
      <c r="Z19" s="1657"/>
    </row>
    <row r="20" spans="1:26" ht="15.75" customHeight="1" thickBot="1" x14ac:dyDescent="0.4">
      <c r="A20" s="1649"/>
      <c r="B20" s="1650"/>
      <c r="C20" s="1650"/>
      <c r="D20" s="1650"/>
      <c r="E20" s="1650"/>
      <c r="F20" s="1650"/>
      <c r="G20" s="1650"/>
      <c r="H20" s="1651"/>
      <c r="J20" s="1627"/>
      <c r="K20" s="1628" t="s">
        <v>643</v>
      </c>
      <c r="L20" s="1628"/>
      <c r="M20" s="1628"/>
      <c r="N20" s="1628"/>
      <c r="O20" s="1629"/>
      <c r="P20" s="1658" t="s">
        <v>637</v>
      </c>
      <c r="Q20" s="1659"/>
      <c r="R20" s="1659"/>
      <c r="S20" s="1659"/>
      <c r="T20" s="1659"/>
      <c r="U20" s="1659"/>
      <c r="V20" s="1659"/>
      <c r="W20" s="1659"/>
      <c r="X20" s="1659"/>
      <c r="Y20" s="1659"/>
      <c r="Z20" s="1660"/>
    </row>
    <row r="21" spans="1:26" ht="15" customHeight="1" thickTop="1" x14ac:dyDescent="0.3">
      <c r="A21" s="1649"/>
      <c r="B21" s="1650"/>
      <c r="C21" s="1650"/>
      <c r="D21" s="1650"/>
      <c r="E21" s="1650"/>
      <c r="F21" s="1650"/>
      <c r="G21" s="1650"/>
      <c r="H21" s="1651"/>
    </row>
    <row r="22" spans="1:26" ht="15" customHeight="1" x14ac:dyDescent="0.3">
      <c r="A22" s="1649"/>
      <c r="B22" s="1650"/>
      <c r="C22" s="1650"/>
      <c r="D22" s="1650"/>
      <c r="E22" s="1650"/>
      <c r="F22" s="1650"/>
      <c r="G22" s="1650"/>
      <c r="H22" s="1651"/>
    </row>
    <row r="23" spans="1:26" ht="15" customHeight="1" x14ac:dyDescent="0.3">
      <c r="A23" s="1649"/>
      <c r="B23" s="1650"/>
      <c r="C23" s="1650"/>
      <c r="D23" s="1650"/>
      <c r="E23" s="1650"/>
      <c r="F23" s="1650"/>
      <c r="G23" s="1650"/>
      <c r="H23" s="1651"/>
    </row>
    <row r="24" spans="1:26" ht="15" customHeight="1" x14ac:dyDescent="0.3">
      <c r="A24" s="1649"/>
      <c r="B24" s="1650"/>
      <c r="C24" s="1650"/>
      <c r="D24" s="1650"/>
      <c r="E24" s="1650"/>
      <c r="F24" s="1650"/>
      <c r="G24" s="1650"/>
      <c r="H24" s="1651"/>
    </row>
    <row r="25" spans="1:26" ht="15" customHeight="1" x14ac:dyDescent="0.3">
      <c r="A25" s="1649"/>
      <c r="B25" s="1650"/>
      <c r="C25" s="1650"/>
      <c r="D25" s="1650"/>
      <c r="E25" s="1650"/>
      <c r="F25" s="1650"/>
      <c r="G25" s="1650"/>
      <c r="H25" s="1651"/>
    </row>
    <row r="26" spans="1:26" ht="15" customHeight="1" x14ac:dyDescent="0.3">
      <c r="A26" s="1649"/>
      <c r="B26" s="1650"/>
      <c r="C26" s="1650"/>
      <c r="D26" s="1650"/>
      <c r="E26" s="1650"/>
      <c r="F26" s="1650"/>
      <c r="G26" s="1650"/>
      <c r="H26" s="1651"/>
    </row>
    <row r="27" spans="1:26" ht="15" customHeight="1" x14ac:dyDescent="0.3">
      <c r="A27" s="1649"/>
      <c r="B27" s="1650"/>
      <c r="C27" s="1650"/>
      <c r="D27" s="1650"/>
      <c r="E27" s="1650"/>
      <c r="F27" s="1650"/>
      <c r="G27" s="1650"/>
      <c r="H27" s="1651"/>
    </row>
    <row r="28" spans="1:26" ht="15" customHeight="1" x14ac:dyDescent="0.3">
      <c r="A28" s="1649"/>
      <c r="B28" s="1650"/>
      <c r="C28" s="1650"/>
      <c r="D28" s="1650"/>
      <c r="E28" s="1650"/>
      <c r="F28" s="1650"/>
      <c r="G28" s="1650"/>
      <c r="H28" s="1651"/>
    </row>
    <row r="29" spans="1:26" ht="15" customHeight="1" x14ac:dyDescent="0.3">
      <c r="A29" s="1649"/>
      <c r="B29" s="1650"/>
      <c r="C29" s="1650"/>
      <c r="D29" s="1650"/>
      <c r="E29" s="1650"/>
      <c r="F29" s="1650"/>
      <c r="G29" s="1650"/>
      <c r="H29" s="1651"/>
    </row>
    <row r="30" spans="1:26" ht="15" customHeight="1" x14ac:dyDescent="0.3">
      <c r="A30" s="1649"/>
      <c r="B30" s="1650"/>
      <c r="C30" s="1650"/>
      <c r="D30" s="1650"/>
      <c r="E30" s="1650"/>
      <c r="F30" s="1650"/>
      <c r="G30" s="1650"/>
      <c r="H30" s="1651"/>
    </row>
    <row r="31" spans="1:26" ht="15" customHeight="1" x14ac:dyDescent="0.3">
      <c r="A31" s="1649"/>
      <c r="B31" s="1650"/>
      <c r="C31" s="1650"/>
      <c r="D31" s="1650"/>
      <c r="E31" s="1650"/>
      <c r="F31" s="1650"/>
      <c r="G31" s="1650"/>
      <c r="H31" s="1651"/>
    </row>
    <row r="32" spans="1:26" ht="15" customHeight="1" x14ac:dyDescent="0.3">
      <c r="A32" s="1649"/>
      <c r="B32" s="1650"/>
      <c r="C32" s="1650"/>
      <c r="D32" s="1650"/>
      <c r="E32" s="1650"/>
      <c r="F32" s="1650"/>
      <c r="G32" s="1650"/>
      <c r="H32" s="1651"/>
    </row>
    <row r="33" spans="1:8" ht="15" customHeight="1" x14ac:dyDescent="0.3">
      <c r="A33" s="1649"/>
      <c r="B33" s="1650"/>
      <c r="C33" s="1650"/>
      <c r="D33" s="1650"/>
      <c r="E33" s="1650"/>
      <c r="F33" s="1650"/>
      <c r="G33" s="1650"/>
      <c r="H33" s="1651"/>
    </row>
    <row r="34" spans="1:8" ht="15" customHeight="1" x14ac:dyDescent="0.3">
      <c r="A34" s="1649"/>
      <c r="B34" s="1650"/>
      <c r="C34" s="1650"/>
      <c r="D34" s="1650"/>
      <c r="E34" s="1650"/>
      <c r="F34" s="1650"/>
      <c r="G34" s="1650"/>
      <c r="H34" s="1651"/>
    </row>
    <row r="35" spans="1:8" ht="15" customHeight="1" x14ac:dyDescent="0.3">
      <c r="A35" s="1649"/>
      <c r="B35" s="1650"/>
      <c r="C35" s="1650"/>
      <c r="D35" s="1650"/>
      <c r="E35" s="1650"/>
      <c r="F35" s="1650"/>
      <c r="G35" s="1650"/>
      <c r="H35" s="1651"/>
    </row>
    <row r="36" spans="1:8" ht="15" customHeight="1" thickBot="1" x14ac:dyDescent="0.35">
      <c r="A36" s="1652"/>
      <c r="B36" s="1653"/>
      <c r="C36" s="1653"/>
      <c r="D36" s="1653"/>
      <c r="E36" s="1653"/>
      <c r="F36" s="1653"/>
      <c r="G36" s="1653"/>
      <c r="H36" s="1654"/>
    </row>
    <row r="37" spans="1:8" ht="15" customHeight="1" x14ac:dyDescent="0.3">
      <c r="A37" s="138"/>
      <c r="B37" s="138"/>
      <c r="C37" s="138"/>
      <c r="D37" s="138"/>
      <c r="E37" s="138"/>
      <c r="F37" s="138"/>
      <c r="G37" s="138"/>
      <c r="H37" s="138"/>
    </row>
    <row r="38" spans="1:8" ht="15" customHeight="1" x14ac:dyDescent="0.3">
      <c r="A38" s="138"/>
      <c r="B38" s="138"/>
      <c r="C38" s="138"/>
      <c r="D38" s="138"/>
      <c r="E38" s="138"/>
      <c r="F38" s="138"/>
      <c r="G38" s="138"/>
      <c r="H38" s="138"/>
    </row>
    <row r="39" spans="1:8" ht="15" customHeight="1" x14ac:dyDescent="0.3">
      <c r="A39" s="138"/>
      <c r="B39" s="138"/>
      <c r="C39" s="138"/>
      <c r="D39" s="138"/>
      <c r="E39" s="138"/>
      <c r="F39" s="138"/>
      <c r="G39" s="138"/>
      <c r="H39" s="138"/>
    </row>
    <row r="40" spans="1:8" ht="15" customHeight="1" x14ac:dyDescent="0.3">
      <c r="A40" s="138"/>
      <c r="B40" s="138"/>
      <c r="C40" s="138"/>
      <c r="D40" s="138"/>
      <c r="E40" s="138"/>
      <c r="F40" s="138"/>
      <c r="G40" s="138"/>
      <c r="H40" s="138"/>
    </row>
    <row r="41" spans="1:8" ht="15" customHeight="1" x14ac:dyDescent="0.3">
      <c r="A41" s="138"/>
      <c r="B41" s="138"/>
      <c r="C41" s="138"/>
      <c r="D41" s="138"/>
      <c r="E41" s="138"/>
      <c r="F41" s="138"/>
      <c r="G41" s="138"/>
      <c r="H41" s="138"/>
    </row>
    <row r="42" spans="1:8" ht="15" customHeight="1" x14ac:dyDescent="0.3">
      <c r="A42" s="138"/>
      <c r="B42" s="138"/>
      <c r="C42" s="138"/>
      <c r="D42" s="138"/>
      <c r="E42" s="138"/>
      <c r="F42" s="138"/>
      <c r="G42" s="138"/>
      <c r="H42" s="138"/>
    </row>
    <row r="43" spans="1:8" ht="15" customHeight="1" x14ac:dyDescent="0.3">
      <c r="A43" s="138"/>
      <c r="B43" s="138"/>
      <c r="C43" s="138"/>
      <c r="D43" s="138"/>
      <c r="E43" s="138"/>
      <c r="F43" s="138"/>
      <c r="G43" s="138"/>
      <c r="H43" s="138"/>
    </row>
    <row r="44" spans="1:8" ht="15" customHeight="1" x14ac:dyDescent="0.3">
      <c r="A44" s="138"/>
      <c r="B44" s="138"/>
      <c r="C44" s="138"/>
      <c r="D44" s="138"/>
      <c r="E44" s="138"/>
      <c r="F44" s="138"/>
      <c r="G44" s="138"/>
      <c r="H44" s="138"/>
    </row>
    <row r="45" spans="1:8" ht="15" customHeight="1" x14ac:dyDescent="0.3">
      <c r="A45" s="138"/>
      <c r="B45" s="138"/>
      <c r="C45" s="138"/>
      <c r="D45" s="138"/>
      <c r="E45" s="138"/>
      <c r="F45" s="138"/>
      <c r="G45" s="138"/>
      <c r="H45" s="138"/>
    </row>
    <row r="46" spans="1:8" ht="15" customHeight="1" x14ac:dyDescent="0.3">
      <c r="A46" s="138"/>
      <c r="B46" s="138"/>
      <c r="C46" s="138"/>
      <c r="D46" s="138"/>
      <c r="E46" s="138"/>
      <c r="F46" s="138"/>
      <c r="G46" s="138"/>
      <c r="H46" s="138"/>
    </row>
  </sheetData>
  <sheetProtection sheet="1" objects="1" scenarios="1"/>
  <mergeCells count="44">
    <mergeCell ref="P13:Z13"/>
    <mergeCell ref="P14:Z14"/>
    <mergeCell ref="P15:Z15"/>
    <mergeCell ref="P16:Z16"/>
    <mergeCell ref="P3:Z3"/>
    <mergeCell ref="P8:Z8"/>
    <mergeCell ref="P9:Z9"/>
    <mergeCell ref="P10:Z10"/>
    <mergeCell ref="P11:Z11"/>
    <mergeCell ref="P12:Z12"/>
    <mergeCell ref="J3:O3"/>
    <mergeCell ref="P4:Z4"/>
    <mergeCell ref="P5:Z5"/>
    <mergeCell ref="P6:Z6"/>
    <mergeCell ref="P7:Z7"/>
    <mergeCell ref="J4:O4"/>
    <mergeCell ref="K5:O5"/>
    <mergeCell ref="K6:O6"/>
    <mergeCell ref="J5:J6"/>
    <mergeCell ref="A1:H2"/>
    <mergeCell ref="J1:Z2"/>
    <mergeCell ref="A3:H36"/>
    <mergeCell ref="P17:Z17"/>
    <mergeCell ref="P18:Z18"/>
    <mergeCell ref="P19:Z19"/>
    <mergeCell ref="P20:Z20"/>
    <mergeCell ref="J7:O7"/>
    <mergeCell ref="K8:O8"/>
    <mergeCell ref="L12:O12"/>
    <mergeCell ref="K13:O13"/>
    <mergeCell ref="L16:O16"/>
    <mergeCell ref="K19:O19"/>
    <mergeCell ref="K18:O18"/>
    <mergeCell ref="L9:O9"/>
    <mergeCell ref="L10:O10"/>
    <mergeCell ref="J18:J20"/>
    <mergeCell ref="K20:O20"/>
    <mergeCell ref="L11:O11"/>
    <mergeCell ref="L14:O14"/>
    <mergeCell ref="L15:O15"/>
    <mergeCell ref="J17:O17"/>
    <mergeCell ref="K14:K16"/>
    <mergeCell ref="K9:K12"/>
    <mergeCell ref="J8:J16"/>
  </mergeCells>
  <hyperlinks>
    <hyperlink ref="J4" location="'My Regulated Bill Menu'!A1" display="My Regulated Bill Menu"/>
    <hyperlink ref="K5" location="'My Electricity Bill'!A1" display="My Electricity Bill"/>
    <hyperlink ref="K6" location="'My NG Bill'!A1" display="My Natural Gas Bill"/>
    <hyperlink ref="J7" location="'Interjurisdictional Menu'!A1" display="Interjurisdictional Menu"/>
    <hyperlink ref="K8" location="'Elec. Analysis'!A1" display="Analysis of Electricity - Regulated Rate Option"/>
    <hyperlink ref="L9" location="ENMAX!A1" display="ENMAX Zone"/>
    <hyperlink ref="L10" location="EPCOR!A1" display="EPCOR Zone"/>
    <hyperlink ref="L11" location="FORTIS!A1" display="FORTIS Zone"/>
    <hyperlink ref="L12" location="ATCO!A1" display="ATCO Zone"/>
    <hyperlink ref="K13" location="'NG Analysis'!A1" display="Analysis of Natural Gas - Default Rate Tariff"/>
    <hyperlink ref="L14" location="'ATCO-N'!A1" display="ATCO-North Zone"/>
    <hyperlink ref="L15" location="'ATCO-S'!A1" display="ATCO South Zone"/>
    <hyperlink ref="L16" location="AltaGas!A1" display="AltaGas Zone"/>
    <hyperlink ref="K19" location="'NG Appendix'!A1" display="Natural Gas Sources Appendix"/>
    <hyperlink ref="J4:O4" location="'Personalized Bill Menu'!A1" display="Personalized Bill Menu"/>
    <hyperlink ref="K20" location="'NG Appendix'!A1" display="Natural Gas Sources Appendix"/>
    <hyperlink ref="K5:O5" location="'Electricity Bill'!A1" display="Electricity Bill"/>
    <hyperlink ref="K6:O6" location="'Natural Gas Bill'!A1" display="Natural Gas Bill"/>
    <hyperlink ref="J7:O7" location="'Service Zone Menu'!A1" display="Service Zone Menu"/>
    <hyperlink ref="K18:O18" location="'Elec. Appendix'!A1" display="Elec. Appendix"/>
    <hyperlink ref="K20:O20" location="'Misc. Data &amp; Mechanisms'!A1" display="Misc. Data &amp; Mechanisms"/>
  </hyperlink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BD96"/>
  <sheetViews>
    <sheetView zoomScale="80" zoomScaleNormal="80" workbookViewId="0">
      <selection sqref="A1:D1"/>
    </sheetView>
  </sheetViews>
  <sheetFormatPr defaultColWidth="9.1796875" defaultRowHeight="14.5" x14ac:dyDescent="0.35"/>
  <cols>
    <col min="1" max="1" width="8.54296875" style="121" bestFit="1" customWidth="1"/>
    <col min="2" max="2" width="10.1796875" style="122" bestFit="1" customWidth="1"/>
    <col min="3" max="3" width="14.81640625" style="123" bestFit="1" customWidth="1"/>
    <col min="4" max="4" width="11.453125" style="124" bestFit="1" customWidth="1"/>
    <col min="5" max="5" width="15" style="124" bestFit="1" customWidth="1"/>
    <col min="6" max="6" width="17.1796875" style="123" bestFit="1" customWidth="1"/>
    <col min="7" max="7" width="14.26953125" style="124" bestFit="1" customWidth="1"/>
    <col min="8" max="8" width="15.26953125" style="124" bestFit="1" customWidth="1"/>
    <col min="9" max="9" width="14.7265625" style="124" customWidth="1"/>
    <col min="10" max="10" width="16.7265625" style="124" bestFit="1" customWidth="1"/>
    <col min="11" max="11" width="11.453125" style="124" bestFit="1" customWidth="1"/>
    <col min="12" max="12" width="16.26953125" style="124" bestFit="1" customWidth="1"/>
    <col min="13" max="13" width="13.453125" style="124" customWidth="1"/>
    <col min="14" max="14" width="13.1796875" style="125" customWidth="1"/>
    <col min="15" max="15" width="16.26953125" style="123" bestFit="1" customWidth="1"/>
    <col min="16" max="16" width="15.26953125" style="125" bestFit="1" customWidth="1"/>
    <col min="17" max="17" width="15.26953125" style="123" bestFit="1" customWidth="1"/>
    <col min="18" max="18" width="14.1796875" style="125" bestFit="1" customWidth="1"/>
    <col min="19" max="19" width="17" style="125" bestFit="1" customWidth="1"/>
    <col min="20" max="20" width="19.81640625" style="125" bestFit="1" customWidth="1"/>
    <col min="21" max="22" width="12.81640625" style="123" bestFit="1" customWidth="1"/>
    <col min="23" max="23" width="8.81640625" style="123" bestFit="1" customWidth="1"/>
    <col min="24" max="24" width="16" style="126" bestFit="1" customWidth="1"/>
    <col min="25" max="25" width="13.81640625" style="126" bestFit="1" customWidth="1"/>
    <col min="26" max="26" width="12.7265625" style="123" bestFit="1" customWidth="1"/>
    <col min="27" max="27" width="14.26953125" style="123" bestFit="1" customWidth="1"/>
    <col min="28" max="28" width="17.7265625" style="125" bestFit="1" customWidth="1"/>
    <col min="29" max="29" width="16.453125" style="125" customWidth="1"/>
    <col min="30" max="30" width="15.1796875" style="125" customWidth="1"/>
    <col min="31" max="34" width="13.54296875" style="401" customWidth="1"/>
    <col min="35" max="35" width="16.453125" style="123" bestFit="1" customWidth="1"/>
    <col min="36" max="37" width="15.26953125" style="123" bestFit="1" customWidth="1"/>
    <col min="38" max="38" width="12.81640625" style="123" bestFit="1" customWidth="1"/>
    <col min="39" max="41" width="12.81640625" style="123" customWidth="1"/>
    <col min="42" max="42" width="16.26953125" style="402" bestFit="1" customWidth="1"/>
    <col min="43" max="43" width="16.26953125" style="123" bestFit="1" customWidth="1"/>
    <col min="44" max="44" width="8" style="195" bestFit="1" customWidth="1"/>
    <col min="45" max="46" width="15.26953125" style="360" bestFit="1" customWidth="1"/>
    <col min="47" max="49" width="15.26953125" style="361" bestFit="1" customWidth="1"/>
    <col min="50" max="50" width="15.26953125" style="177" bestFit="1" customWidth="1"/>
    <col min="51" max="51" width="14.81640625" style="108" bestFit="1" customWidth="1"/>
    <col min="52" max="52" width="14.7265625" style="108" customWidth="1"/>
    <col min="53" max="53" width="16.7265625" style="108" customWidth="1"/>
    <col min="54" max="16384" width="9.1796875" style="108"/>
  </cols>
  <sheetData>
    <row r="1" spans="1:56" ht="15.75" x14ac:dyDescent="0.25">
      <c r="A1" s="2008" t="s">
        <v>0</v>
      </c>
      <c r="B1" s="2009"/>
      <c r="C1" s="2009"/>
      <c r="D1" s="2009"/>
      <c r="E1" s="362"/>
      <c r="F1" s="2012" t="s">
        <v>459</v>
      </c>
      <c r="G1" s="2013"/>
      <c r="H1" s="2013"/>
      <c r="I1" s="2014" t="str">
        <f>'Service Zone Menu'!$F$6</f>
        <v>Detached Home Consumption</v>
      </c>
      <c r="J1" s="2014"/>
      <c r="K1" s="2015"/>
      <c r="L1" s="1185"/>
      <c r="M1" s="363"/>
      <c r="N1" s="2016" t="s">
        <v>479</v>
      </c>
      <c r="O1" s="2016"/>
      <c r="P1" s="364"/>
      <c r="Q1" s="365"/>
      <c r="R1" s="364"/>
      <c r="S1" s="364"/>
      <c r="T1" s="364"/>
      <c r="U1" s="365"/>
      <c r="V1" s="365"/>
      <c r="W1" s="365"/>
      <c r="X1" s="366"/>
      <c r="Y1" s="366"/>
      <c r="Z1" s="365"/>
      <c r="AA1" s="365"/>
      <c r="AB1" s="367"/>
      <c r="AC1" s="367"/>
      <c r="AD1" s="367"/>
      <c r="AE1" s="367"/>
      <c r="AF1" s="367"/>
      <c r="AG1" s="367"/>
      <c r="AH1" s="367"/>
      <c r="AI1" s="365"/>
      <c r="AJ1" s="365"/>
      <c r="AK1" s="365"/>
      <c r="AL1" s="365"/>
      <c r="AM1" s="365"/>
      <c r="AN1" s="365"/>
      <c r="AO1" s="365"/>
      <c r="AP1" s="367"/>
      <c r="AQ1" s="365"/>
      <c r="AR1" s="368"/>
      <c r="AS1" s="367"/>
      <c r="AT1" s="367"/>
      <c r="AU1" s="369"/>
      <c r="AV1" s="369"/>
      <c r="AW1" s="369"/>
      <c r="AX1" s="370"/>
      <c r="AY1" s="370"/>
      <c r="AZ1" s="370"/>
      <c r="BA1" s="371"/>
    </row>
    <row r="2" spans="1:56" ht="38.25" customHeight="1" thickBot="1" x14ac:dyDescent="0.3">
      <c r="A2" s="2010" t="str">
        <f>"ATCO Service Zone ("&amp; 'Service Zone Menu'!$K$6&amp;")"</f>
        <v>ATCO Service Zone (Grande Prairie)</v>
      </c>
      <c r="B2" s="2011"/>
      <c r="C2" s="2011"/>
      <c r="D2" s="2011"/>
      <c r="E2" s="1175"/>
      <c r="F2" s="2017" t="s">
        <v>561</v>
      </c>
      <c r="G2" s="2018"/>
      <c r="H2" s="2018"/>
      <c r="I2" s="2019" t="str">
        <f>'Service Zone Menu'!$O$6</f>
        <v>RRO (Capped)</v>
      </c>
      <c r="J2" s="2019"/>
      <c r="K2" s="2020"/>
      <c r="L2" s="1176"/>
      <c r="M2" s="1176"/>
      <c r="N2" s="2016" t="s">
        <v>365</v>
      </c>
      <c r="O2" s="2016"/>
      <c r="P2" s="1177"/>
      <c r="Q2" s="1178"/>
      <c r="R2" s="1177"/>
      <c r="S2" s="1177"/>
      <c r="T2" s="1177"/>
      <c r="U2" s="1178"/>
      <c r="V2" s="1178"/>
      <c r="W2" s="1178"/>
      <c r="X2" s="1179"/>
      <c r="Y2" s="1179"/>
      <c r="Z2" s="1178"/>
      <c r="AA2" s="1178"/>
      <c r="AB2" s="1180"/>
      <c r="AC2" s="1180"/>
      <c r="AD2" s="1180"/>
      <c r="AE2" s="1180"/>
      <c r="AF2" s="1180"/>
      <c r="AG2" s="1180"/>
      <c r="AH2" s="1180"/>
      <c r="AI2" s="1178"/>
      <c r="AJ2" s="1178"/>
      <c r="AK2" s="1178"/>
      <c r="AL2" s="1178"/>
      <c r="AM2" s="1178"/>
      <c r="AN2" s="1178"/>
      <c r="AO2" s="1178"/>
      <c r="AP2" s="1180"/>
      <c r="AQ2" s="1178"/>
      <c r="AR2" s="1181"/>
      <c r="AS2" s="1180"/>
      <c r="AT2" s="1180"/>
      <c r="AU2" s="1182"/>
      <c r="AV2" s="1182"/>
      <c r="AW2" s="1182"/>
      <c r="AX2" s="1183"/>
      <c r="AY2" s="1183"/>
      <c r="AZ2" s="1183"/>
      <c r="BA2" s="1184"/>
    </row>
    <row r="3" spans="1:56" s="335" customFormat="1" ht="12.75" customHeight="1" x14ac:dyDescent="0.25">
      <c r="A3" s="1115"/>
      <c r="B3" s="1115"/>
      <c r="C3" s="1115"/>
      <c r="D3" s="1115"/>
      <c r="E3" s="1115"/>
      <c r="F3" s="372"/>
      <c r="G3" s="373"/>
      <c r="H3" s="373"/>
      <c r="I3" s="373"/>
      <c r="J3" s="373"/>
      <c r="K3" s="374"/>
      <c r="L3" s="375"/>
      <c r="M3" s="375"/>
      <c r="N3" s="1116"/>
      <c r="O3" s="1116"/>
      <c r="P3" s="376"/>
      <c r="Q3" s="377"/>
      <c r="R3" s="376"/>
      <c r="S3" s="376"/>
      <c r="T3" s="376"/>
      <c r="U3" s="377"/>
      <c r="V3" s="377"/>
      <c r="W3" s="377"/>
      <c r="X3" s="378"/>
      <c r="Y3" s="378"/>
      <c r="Z3" s="377"/>
      <c r="AA3" s="377"/>
      <c r="AB3" s="379"/>
      <c r="AC3" s="379"/>
      <c r="AD3" s="379"/>
      <c r="AE3" s="379"/>
      <c r="AF3" s="379"/>
      <c r="AG3" s="379"/>
      <c r="AH3" s="379"/>
      <c r="AI3" s="377"/>
      <c r="AJ3" s="377"/>
      <c r="AK3" s="377"/>
      <c r="AL3" s="377"/>
      <c r="AM3" s="377"/>
      <c r="AN3" s="377"/>
      <c r="AO3" s="377"/>
      <c r="AP3" s="379"/>
      <c r="AQ3" s="377"/>
      <c r="AR3" s="380"/>
      <c r="AS3" s="379"/>
      <c r="AT3" s="379"/>
      <c r="AU3" s="381"/>
      <c r="AV3" s="381"/>
      <c r="AW3" s="381"/>
      <c r="AX3" s="382"/>
      <c r="AY3" s="382"/>
      <c r="AZ3" s="382"/>
      <c r="BA3" s="383"/>
    </row>
    <row r="4" spans="1:56" s="317" customFormat="1" ht="24" customHeight="1" x14ac:dyDescent="0.2">
      <c r="A4" s="1755" t="s">
        <v>3</v>
      </c>
      <c r="B4" s="1755"/>
      <c r="C4" s="1755"/>
      <c r="D4" s="1755"/>
      <c r="E4" s="1755"/>
      <c r="F4" s="1986"/>
      <c r="G4" s="1969" t="s">
        <v>4</v>
      </c>
      <c r="H4" s="1951"/>
      <c r="I4" s="1951"/>
      <c r="J4" s="1951"/>
      <c r="K4" s="1951"/>
      <c r="L4" s="1951"/>
      <c r="M4" s="1970"/>
      <c r="N4" s="1951" t="s">
        <v>5</v>
      </c>
      <c r="O4" s="1952"/>
      <c r="P4" s="1951" t="s">
        <v>6</v>
      </c>
      <c r="Q4" s="1952"/>
      <c r="R4" s="1951" t="s">
        <v>7</v>
      </c>
      <c r="S4" s="1951"/>
      <c r="T4" s="1951"/>
      <c r="U4" s="1951"/>
      <c r="V4" s="1951"/>
      <c r="W4" s="1952"/>
      <c r="X4" s="1951" t="s">
        <v>8</v>
      </c>
      <c r="Y4" s="1951"/>
      <c r="Z4" s="1951"/>
      <c r="AA4" s="1952"/>
      <c r="AB4" s="1747" t="s">
        <v>9</v>
      </c>
      <c r="AC4" s="1748"/>
      <c r="AD4" s="1748"/>
      <c r="AE4" s="1748"/>
      <c r="AF4" s="1748"/>
      <c r="AG4" s="1748"/>
      <c r="AH4" s="1748"/>
      <c r="AI4" s="1748"/>
      <c r="AJ4" s="1748"/>
      <c r="AK4" s="1748"/>
      <c r="AL4" s="1748"/>
      <c r="AM4" s="1748"/>
      <c r="AN4" s="1748"/>
      <c r="AO4" s="1726"/>
      <c r="AP4" s="1951" t="s">
        <v>10</v>
      </c>
      <c r="AQ4" s="1952"/>
      <c r="AR4" s="158" t="s">
        <v>11</v>
      </c>
      <c r="AS4" s="1976" t="s">
        <v>12</v>
      </c>
      <c r="AT4" s="1951"/>
      <c r="AU4" s="1951"/>
      <c r="AV4" s="1951"/>
      <c r="AW4" s="1951"/>
      <c r="AX4" s="1951"/>
      <c r="AY4" s="1952"/>
      <c r="AZ4" s="1747" t="s">
        <v>558</v>
      </c>
      <c r="BA4" s="1726"/>
      <c r="BB4" s="316"/>
      <c r="BC4" s="316"/>
      <c r="BD4" s="316"/>
    </row>
    <row r="5" spans="1:56" s="322" customFormat="1" ht="58" x14ac:dyDescent="0.35">
      <c r="A5" s="50" t="s">
        <v>13</v>
      </c>
      <c r="B5" s="50" t="s">
        <v>14</v>
      </c>
      <c r="C5" s="50" t="s">
        <v>12</v>
      </c>
      <c r="D5" s="50" t="s">
        <v>541</v>
      </c>
      <c r="E5" s="50" t="s">
        <v>545</v>
      </c>
      <c r="F5" s="51" t="s">
        <v>626</v>
      </c>
      <c r="G5" s="266" t="s">
        <v>15</v>
      </c>
      <c r="H5" s="50" t="s">
        <v>16</v>
      </c>
      <c r="I5" s="50" t="s">
        <v>17</v>
      </c>
      <c r="J5" s="50" t="s">
        <v>18</v>
      </c>
      <c r="K5" s="50" t="s">
        <v>19</v>
      </c>
      <c r="L5" s="50" t="s">
        <v>20</v>
      </c>
      <c r="M5" s="267" t="s">
        <v>21</v>
      </c>
      <c r="N5" s="52" t="str">
        <f>IF($I$2&lt;&gt;"Custom", "RRO Energy Rate", "Custom Energy Rate")</f>
        <v>RRO Energy Rate</v>
      </c>
      <c r="O5" s="1731" t="s">
        <v>23</v>
      </c>
      <c r="P5" s="53" t="s">
        <v>268</v>
      </c>
      <c r="Q5" s="1731" t="s">
        <v>24</v>
      </c>
      <c r="R5" s="53" t="s">
        <v>417</v>
      </c>
      <c r="S5" s="52" t="s">
        <v>418</v>
      </c>
      <c r="T5" s="52" t="s">
        <v>419</v>
      </c>
      <c r="U5" s="1729" t="s">
        <v>105</v>
      </c>
      <c r="V5" s="1729" t="s">
        <v>104</v>
      </c>
      <c r="W5" s="1731" t="s">
        <v>416</v>
      </c>
      <c r="X5" s="53" t="s">
        <v>292</v>
      </c>
      <c r="Y5" s="52" t="s">
        <v>293</v>
      </c>
      <c r="Z5" s="1729" t="s">
        <v>294</v>
      </c>
      <c r="AA5" s="1731" t="s">
        <v>295</v>
      </c>
      <c r="AB5" s="318" t="s">
        <v>48</v>
      </c>
      <c r="AC5" s="90" t="s">
        <v>49</v>
      </c>
      <c r="AD5" s="90" t="s">
        <v>50</v>
      </c>
      <c r="AE5" s="90" t="s">
        <v>51</v>
      </c>
      <c r="AF5" s="90" t="s">
        <v>562</v>
      </c>
      <c r="AG5" s="90" t="s">
        <v>563</v>
      </c>
      <c r="AH5" s="90" t="s">
        <v>669</v>
      </c>
      <c r="AI5" s="2007" t="s">
        <v>428</v>
      </c>
      <c r="AJ5" s="2007" t="s">
        <v>429</v>
      </c>
      <c r="AK5" s="2007" t="s">
        <v>430</v>
      </c>
      <c r="AL5" s="1729" t="s">
        <v>431</v>
      </c>
      <c r="AM5" s="1729" t="s">
        <v>564</v>
      </c>
      <c r="AN5" s="1729" t="s">
        <v>565</v>
      </c>
      <c r="AO5" s="1731" t="s">
        <v>670</v>
      </c>
      <c r="AP5" s="162" t="str">
        <f>IF($I$2&lt;&gt;"Custom", "RRO Provider (DERS) Administration Rate", "Custom Administration Rate")</f>
        <v>RRO Provider (DERS) Administration Rate</v>
      </c>
      <c r="AQ5" s="1972" t="s">
        <v>274</v>
      </c>
      <c r="AR5" s="320" t="s">
        <v>30</v>
      </c>
      <c r="AS5" s="53" t="s">
        <v>47</v>
      </c>
      <c r="AT5" s="52" t="s">
        <v>31</v>
      </c>
      <c r="AU5" s="166" t="s">
        <v>337</v>
      </c>
      <c r="AV5" s="166" t="s">
        <v>338</v>
      </c>
      <c r="AW5" s="166" t="s">
        <v>336</v>
      </c>
      <c r="AX5" s="166" t="s">
        <v>605</v>
      </c>
      <c r="AY5" s="167" t="s">
        <v>374</v>
      </c>
      <c r="AZ5" s="1150" t="s">
        <v>559</v>
      </c>
      <c r="BA5" s="1151" t="s">
        <v>560</v>
      </c>
      <c r="BB5" s="321"/>
      <c r="BC5" s="321"/>
      <c r="BD5" s="321"/>
    </row>
    <row r="6" spans="1:56" s="322" customFormat="1" x14ac:dyDescent="0.35">
      <c r="A6" s="384"/>
      <c r="B6" s="56"/>
      <c r="C6" s="57" t="s">
        <v>32</v>
      </c>
      <c r="D6" s="58" t="s">
        <v>33</v>
      </c>
      <c r="E6" s="58" t="s">
        <v>33</v>
      </c>
      <c r="F6" s="59" t="s">
        <v>34</v>
      </c>
      <c r="G6" s="269"/>
      <c r="H6" s="56"/>
      <c r="I6" s="56"/>
      <c r="J6" s="56"/>
      <c r="K6" s="56"/>
      <c r="L6" s="56"/>
      <c r="M6" s="270"/>
      <c r="N6" s="57" t="s">
        <v>33</v>
      </c>
      <c r="O6" s="1732"/>
      <c r="P6" s="60" t="s">
        <v>33</v>
      </c>
      <c r="Q6" s="1732"/>
      <c r="R6" s="60" t="s">
        <v>33</v>
      </c>
      <c r="S6" s="57" t="s">
        <v>52</v>
      </c>
      <c r="T6" s="57" t="s">
        <v>52</v>
      </c>
      <c r="U6" s="1730"/>
      <c r="V6" s="1730"/>
      <c r="W6" s="1732"/>
      <c r="X6" s="60" t="s">
        <v>36</v>
      </c>
      <c r="Y6" s="57" t="s">
        <v>36</v>
      </c>
      <c r="Z6" s="1730"/>
      <c r="AA6" s="1732"/>
      <c r="AB6" s="60" t="s">
        <v>33</v>
      </c>
      <c r="AC6" s="57" t="s">
        <v>33</v>
      </c>
      <c r="AD6" s="57" t="s">
        <v>33</v>
      </c>
      <c r="AE6" s="57" t="s">
        <v>36</v>
      </c>
      <c r="AF6" s="57" t="s">
        <v>34</v>
      </c>
      <c r="AG6" s="57" t="s">
        <v>35</v>
      </c>
      <c r="AH6" s="57" t="s">
        <v>35</v>
      </c>
      <c r="AI6" s="1730"/>
      <c r="AJ6" s="1730"/>
      <c r="AK6" s="1730"/>
      <c r="AL6" s="1730"/>
      <c r="AM6" s="1730"/>
      <c r="AN6" s="1730"/>
      <c r="AO6" s="1732"/>
      <c r="AP6" s="57" t="str">
        <f>IF($I$2&lt;&gt;"Custom", "$/day", $BA$6)</f>
        <v>$/day</v>
      </c>
      <c r="AQ6" s="1973"/>
      <c r="AR6" s="271" t="s">
        <v>36</v>
      </c>
      <c r="AS6" s="60" t="s">
        <v>32</v>
      </c>
      <c r="AT6" s="57" t="s">
        <v>32</v>
      </c>
      <c r="AU6" s="57" t="s">
        <v>32</v>
      </c>
      <c r="AV6" s="57" t="s">
        <v>32</v>
      </c>
      <c r="AW6" s="57" t="s">
        <v>32</v>
      </c>
      <c r="AX6" s="57" t="s">
        <v>32</v>
      </c>
      <c r="AY6" s="175" t="s">
        <v>32</v>
      </c>
      <c r="AZ6" s="172" t="s">
        <v>33</v>
      </c>
      <c r="BA6" s="1152" t="str">
        <f>'Electricity Bill'!$AP$6</f>
        <v>$/day</v>
      </c>
      <c r="BB6" s="321"/>
      <c r="BC6" s="321"/>
      <c r="BD6" s="321"/>
    </row>
    <row r="7" spans="1:56" ht="15" x14ac:dyDescent="0.25">
      <c r="A7" s="206">
        <v>40909</v>
      </c>
      <c r="B7" s="226">
        <f t="shared" ref="B7:B70" si="0">DAY(DATE(YEAR($A7),MONTH($A7)+1,1)-1)</f>
        <v>31</v>
      </c>
      <c r="C7" s="1581">
        <f>IFERROR(VLOOKUP($A7,$A$5:$AY$96,MATCH($I$1,$A$5:$AY$5,0),FALSE),0)</f>
        <v>881.25647294504017</v>
      </c>
      <c r="D7" s="178">
        <f>IFERROR(($F7*100)/$C7, "")</f>
        <v>30.971942748936414</v>
      </c>
      <c r="E7" s="178">
        <f>(1+$AR7)*($N7+((1+$AE7)*(1+$X7+$Y7)*($P7+$R7))+$AB7+$AC7+$AD7)</f>
        <v>25.614489599999999</v>
      </c>
      <c r="F7" s="86">
        <f>SUM($G7:$M7)</f>
        <v>272.94225027183415</v>
      </c>
      <c r="G7" s="115">
        <f>SUM($O7)</f>
        <v>133.89810849926943</v>
      </c>
      <c r="H7" s="66">
        <f>SUM($Q7)</f>
        <v>24.322678653283109</v>
      </c>
      <c r="I7" s="66">
        <f t="shared" ref="I7:I57" si="1">SUM($U7:$W7)</f>
        <v>85.123383198346374</v>
      </c>
      <c r="J7" s="66">
        <f>SUM($Z7:$AA7)</f>
        <v>10.550600362497082</v>
      </c>
      <c r="K7" s="66">
        <f>SUM($AI7:$AO7)</f>
        <v>-2.7847704545063272</v>
      </c>
      <c r="L7" s="66">
        <f>SUM($AQ7)</f>
        <v>8.8349999999999991</v>
      </c>
      <c r="M7" s="68">
        <f>SUM($AR7)*SUM($G7:$L7)</f>
        <v>12.997250012944484</v>
      </c>
      <c r="N7" s="273">
        <f>IF($I$2="RRO (Capped)",VLOOKUP(A7,'Misc. Data &amp; Mechanisms'!$A$1278:$E$1368,5,FALSE),IF($I$2="RRO (Uncapped)",VLOOKUP(A7,'Misc. Data &amp; Mechanisms'!$G$1278:$K$1368,5,FALSE),AZ7))</f>
        <v>15.194000000000001</v>
      </c>
      <c r="O7" s="333">
        <f>($N7/100)*$C7</f>
        <v>133.89810849926943</v>
      </c>
      <c r="P7" s="385">
        <v>2.76</v>
      </c>
      <c r="Q7" s="333">
        <f t="shared" ref="Q7:Q38" si="2">($P7/100)*$C7</f>
        <v>24.322678653283109</v>
      </c>
      <c r="R7" s="385">
        <v>5.92</v>
      </c>
      <c r="S7" s="385">
        <v>82.51</v>
      </c>
      <c r="T7" s="385">
        <v>23.79</v>
      </c>
      <c r="U7" s="338">
        <f t="shared" ref="U7:U38" si="3">($R7/100)*$C7</f>
        <v>52.170383198346379</v>
      </c>
      <c r="V7" s="338">
        <f t="shared" ref="V7:V38" si="4">($S7/100)*$B7</f>
        <v>25.578100000000003</v>
      </c>
      <c r="W7" s="333">
        <f t="shared" ref="W7:W38" si="5">($T7/100)*$B7</f>
        <v>7.3749000000000002</v>
      </c>
      <c r="X7" s="205">
        <f>VLOOKUP($A7,'Misc. Data &amp; Mechanisms'!$A$63:$DY$152,HLOOKUP('Service Zone Menu'!$K$6&amp;"_ATCO_Elec_Y_1",'Misc. Data &amp; Mechanisms'!$A$55:$DY$62,8,FALSE), FALSE)</f>
        <v>7.7499999999999999E-2</v>
      </c>
      <c r="Y7" s="420">
        <f>VLOOKUP($A7,'Misc. Data &amp; Mechanisms'!$A$63:$DY$152,HLOOKUP('Service Zone Menu'!$K$6&amp;"_ATCO_Elec_Y_2",'Misc. Data &amp; Mechanisms'!$A$55:$DY$62,8,FALSE), FALSE)</f>
        <v>1.89E-2</v>
      </c>
      <c r="Z7" s="338">
        <f t="shared" ref="Z7:Z38" si="6">$X7*($H7+$I7)</f>
        <v>8.4820697935012852</v>
      </c>
      <c r="AA7" s="333">
        <f t="shared" ref="AA7:AA38" si="7">$Y7*($H7+$I7)</f>
        <v>2.0685305689957971</v>
      </c>
      <c r="AB7" s="278">
        <v>-0.57899999999999996</v>
      </c>
      <c r="AC7" s="386">
        <v>-0.161</v>
      </c>
      <c r="AD7" s="386">
        <v>0.42399999999999999</v>
      </c>
      <c r="AE7" s="205"/>
      <c r="AF7" s="386"/>
      <c r="AG7" s="1186"/>
      <c r="AH7" s="1186"/>
      <c r="AI7" s="338">
        <f t="shared" ref="AI7:AI38" si="8">($AB7/100)*$C7</f>
        <v>-5.1024749783517827</v>
      </c>
      <c r="AJ7" s="338">
        <f t="shared" ref="AJ7:AJ38" si="9">($AC7/100)*$C7</f>
        <v>-1.4188229214415147</v>
      </c>
      <c r="AK7" s="338">
        <f t="shared" ref="AK7:AK38" si="10">($AD7/100)*$C7</f>
        <v>3.7365274452869701</v>
      </c>
      <c r="AL7" s="338">
        <f t="shared" ref="AL7:AL38" si="11">$AE7*($H7+$I7+$J7)</f>
        <v>0</v>
      </c>
      <c r="AM7" s="338">
        <f>AF7</f>
        <v>0</v>
      </c>
      <c r="AN7" s="338">
        <f>AG7*B7</f>
        <v>0</v>
      </c>
      <c r="AO7" s="333">
        <f>AH7*B7</f>
        <v>0</v>
      </c>
      <c r="AP7" s="188">
        <f>IF(OR($I$2="RRO (Capped)",$I$2="RRO (Uncapped)"),VLOOKUP(A7,'Misc. Data &amp; Mechanisms'!$A$1483:$H$1574,5,FALSE),BA7)</f>
        <v>0.28499999999999998</v>
      </c>
      <c r="AQ7" s="333">
        <f>IF($AP$6="$/day", $AP7*$B7, $AP7)</f>
        <v>8.8349999999999991</v>
      </c>
      <c r="AR7" s="388">
        <f>5%</f>
        <v>0.05</v>
      </c>
      <c r="AS7" s="341">
        <f>'Misc. Data &amp; Mechanisms'!AK280</f>
        <v>782.05410530486711</v>
      </c>
      <c r="AT7" s="196">
        <f>'Misc. Data &amp; Mechanisms'!AP280</f>
        <v>672.08273643058499</v>
      </c>
      <c r="AU7" s="1087">
        <f>'Misc. Data &amp; Mechanisms'!T280</f>
        <v>881.25647294504017</v>
      </c>
      <c r="AV7" s="1087">
        <f>'Misc. Data &amp; Mechanisms'!U280</f>
        <v>668.79228979933123</v>
      </c>
      <c r="AW7" s="1087">
        <f>'Misc. Data &amp; Mechanisms'!V280</f>
        <v>494.95079729691128</v>
      </c>
      <c r="AX7" s="1463">
        <f>'Misc. Data &amp; Mechanisms'!$B$259</f>
        <v>611.34673880086393</v>
      </c>
      <c r="AY7" s="1254">
        <f>IFERROR(IF('Personalized Bill Menu'!$B$30="Yes", IF('Personalized Bill Menu'!$B$34="Natural Gas",0,VLOOKUP($A7, 'Personalized Bill Menu'!$H$4:$L$93, 2, FALSE)), 0), 0)</f>
        <v>0</v>
      </c>
      <c r="AZ7" s="1343">
        <f>IFERROR(IF('Personalized Bill Menu'!$C$36="Custom", IF('Personalized Bill Menu'!$B$34="Natural Gas",0,VLOOKUP($A7, 'Personalized Bill Menu'!$H$4:$L$93, 3, FALSE)), 0), 0)</f>
        <v>0</v>
      </c>
      <c r="BA7" s="1344">
        <f>IFERROR(IF('Personalized Bill Menu'!$C$36="Custom", IF('Personalized Bill Menu'!$B$34="Natural Gas",0,VLOOKUP($A7, 'Personalized Bill Menu'!$H$4:$L$93, 4, FALSE)), 0), 0)</f>
        <v>0</v>
      </c>
      <c r="BB7" s="335"/>
      <c r="BC7" s="335"/>
      <c r="BD7" s="335"/>
    </row>
    <row r="8" spans="1:56" ht="15" x14ac:dyDescent="0.25">
      <c r="A8" s="206">
        <v>40940</v>
      </c>
      <c r="B8" s="226">
        <f t="shared" si="0"/>
        <v>29</v>
      </c>
      <c r="C8" s="1581">
        <f t="shared" ref="C8:C71" si="12">IFERROR(VLOOKUP($A8,$A$5:$AY$96,MATCH($I$1,$A$5:$AY$5,0),FALSE),0)</f>
        <v>766.9569089326983</v>
      </c>
      <c r="D8" s="178">
        <f t="shared" ref="D8:D71" si="13">IFERROR(($F8*100)/$C8, "")</f>
        <v>30.08066064750486</v>
      </c>
      <c r="E8" s="178">
        <f t="shared" ref="E8:E71" si="14">(1+$AR8)*($N8+((1+$AE8)*(1+$X8+$Y8)*($P8+$R8))+$AB8+$AC8+$AD8)</f>
        <v>24.321939599999997</v>
      </c>
      <c r="F8" s="86">
        <f t="shared" ref="F8:F71" si="15">SUM($G8:$M8)</f>
        <v>230.70570508863787</v>
      </c>
      <c r="G8" s="115">
        <f t="shared" ref="G8:G71" si="16">SUM($O8)</f>
        <v>107.09019319427267</v>
      </c>
      <c r="H8" s="66">
        <f t="shared" ref="H8:H71" si="17">SUM($Q8)</f>
        <v>21.168010686542473</v>
      </c>
      <c r="I8" s="66">
        <f t="shared" si="1"/>
        <v>76.230849008815738</v>
      </c>
      <c r="J8" s="66">
        <f t="shared" ref="J8:J71" si="18">SUM($Z8:$AA8)</f>
        <v>9.3892500746325318</v>
      </c>
      <c r="K8" s="66">
        <f t="shared" ref="K8:K71" si="19">SUM($AI8:$AO8)</f>
        <v>-2.4235838322273269</v>
      </c>
      <c r="L8" s="66">
        <f t="shared" ref="L8:L71" si="20">SUM($AQ8)</f>
        <v>8.2649999999999988</v>
      </c>
      <c r="M8" s="68">
        <f t="shared" ref="M8:M38" si="21">SUM($AR8)*SUM($G8:$L8)</f>
        <v>10.985985956601803</v>
      </c>
      <c r="N8" s="273">
        <f>IF($I$2="RRO (Capped)",VLOOKUP(A8,'Misc. Data &amp; Mechanisms'!$A$1278:$E$1368,5,FALSE),IF($I$2="RRO (Uncapped)",VLOOKUP(A8,'Misc. Data &amp; Mechanisms'!$G$1278:$K$1368,5,FALSE),AZ8))</f>
        <v>13.962999999999999</v>
      </c>
      <c r="O8" s="333">
        <f t="shared" ref="O8:O71" si="22">($N8/100)*$C8</f>
        <v>107.09019319427267</v>
      </c>
      <c r="P8" s="385">
        <v>2.76</v>
      </c>
      <c r="Q8" s="333">
        <f t="shared" si="2"/>
        <v>21.168010686542473</v>
      </c>
      <c r="R8" s="385">
        <v>5.92</v>
      </c>
      <c r="S8" s="385">
        <v>82.51</v>
      </c>
      <c r="T8" s="385">
        <v>23.79</v>
      </c>
      <c r="U8" s="338">
        <f t="shared" si="3"/>
        <v>45.40384900881574</v>
      </c>
      <c r="V8" s="338">
        <f t="shared" si="4"/>
        <v>23.927900000000001</v>
      </c>
      <c r="W8" s="333">
        <f t="shared" si="5"/>
        <v>6.8990999999999998</v>
      </c>
      <c r="X8" s="205">
        <f>VLOOKUP($A8,'Misc. Data &amp; Mechanisms'!$A$63:$DY$152,HLOOKUP('Service Zone Menu'!$K$6&amp;"_ATCO_Elec_Y_1",'Misc. Data &amp; Mechanisms'!$A$55:$DY$62,8,FALSE), FALSE)</f>
        <v>7.7499999999999999E-2</v>
      </c>
      <c r="Y8" s="205">
        <f>VLOOKUP($A8,'Misc. Data &amp; Mechanisms'!$A$63:$DY$152,HLOOKUP('Service Zone Menu'!$K$6&amp;"_ATCO_Elec_Y_2",'Misc. Data &amp; Mechanisms'!$A$55:$DY$62,8,FALSE), FALSE)</f>
        <v>1.89E-2</v>
      </c>
      <c r="Z8" s="338">
        <f t="shared" si="6"/>
        <v>7.5484116263902612</v>
      </c>
      <c r="AA8" s="333">
        <f t="shared" si="7"/>
        <v>1.8408384482422702</v>
      </c>
      <c r="AB8" s="278">
        <v>-0.57899999999999996</v>
      </c>
      <c r="AC8" s="386">
        <v>-0.161</v>
      </c>
      <c r="AD8" s="386">
        <v>0.42399999999999999</v>
      </c>
      <c r="AE8" s="205"/>
      <c r="AF8" s="386"/>
      <c r="AG8" s="1186"/>
      <c r="AH8" s="1186"/>
      <c r="AI8" s="338">
        <f t="shared" si="8"/>
        <v>-4.4406805027203236</v>
      </c>
      <c r="AJ8" s="338">
        <f t="shared" si="9"/>
        <v>-1.2348006233816444</v>
      </c>
      <c r="AK8" s="338">
        <f t="shared" si="10"/>
        <v>3.2518972938746407</v>
      </c>
      <c r="AL8" s="338">
        <f t="shared" si="11"/>
        <v>0</v>
      </c>
      <c r="AM8" s="338">
        <f t="shared" ref="AM8:AM71" si="23">AF8</f>
        <v>0</v>
      </c>
      <c r="AN8" s="338">
        <f t="shared" ref="AN8:AN71" si="24">AG8*B8</f>
        <v>0</v>
      </c>
      <c r="AO8" s="333">
        <f t="shared" ref="AO8:AO71" si="25">AH8*B8</f>
        <v>0</v>
      </c>
      <c r="AP8" s="200">
        <f>IF(OR($I$2="RRO (Capped)",$I$2="RRO (Uncapped)"),VLOOKUP(A8,'Misc. Data &amp; Mechanisms'!$A$1483:$H$1574,5,FALSE),BA8)</f>
        <v>0.28499999999999998</v>
      </c>
      <c r="AQ8" s="333">
        <f t="shared" ref="AQ8:AQ71" si="26">IF($AP$6="$/day", $AP8*$B8, $AP8)</f>
        <v>8.2649999999999988</v>
      </c>
      <c r="AR8" s="388">
        <f>5%</f>
        <v>0.05</v>
      </c>
      <c r="AS8" s="341">
        <f>'Misc. Data &amp; Mechanisms'!AK281</f>
        <v>680.62115585748961</v>
      </c>
      <c r="AT8" s="196">
        <f>'Misc. Data &amp; Mechanisms'!AP281</f>
        <v>583.35082458599743</v>
      </c>
      <c r="AU8" s="1087">
        <f>'Misc. Data &amp; Mechanisms'!T281</f>
        <v>766.9569089326983</v>
      </c>
      <c r="AV8" s="1087">
        <f>'Misc. Data &amp; Mechanisms'!U281</f>
        <v>582.04947486894173</v>
      </c>
      <c r="AW8" s="1087">
        <f>'Misc. Data &amp; Mechanisms'!V281</f>
        <v>430.75534219910099</v>
      </c>
      <c r="AX8" s="1463">
        <f>'Misc. Data &amp; Mechanisms'!$B$259</f>
        <v>611.34673880086393</v>
      </c>
      <c r="AY8" s="197">
        <f>IFERROR(IF('Personalized Bill Menu'!$B$30="Yes", IF('Personalized Bill Menu'!$B$34="Natural Gas",0,VLOOKUP($A8, 'Personalized Bill Menu'!$H$4:$L$93, 2, FALSE)), 0), 0)</f>
        <v>0</v>
      </c>
      <c r="AZ8" s="1343">
        <f>IFERROR(IF('Personalized Bill Menu'!$C$36="Custom", IF('Personalized Bill Menu'!$B$34="Natural Gas",0,VLOOKUP($A8, 'Personalized Bill Menu'!$H$4:$L$93, 3, FALSE)), 0), 0)</f>
        <v>0</v>
      </c>
      <c r="BA8" s="1344">
        <f>IFERROR(IF('Personalized Bill Menu'!$C$36="Custom", IF('Personalized Bill Menu'!$B$34="Natural Gas",0,VLOOKUP($A8, 'Personalized Bill Menu'!$H$4:$L$93, 4, FALSE)), 0), 0)</f>
        <v>0</v>
      </c>
      <c r="BB8" s="335"/>
      <c r="BC8" s="335"/>
      <c r="BD8" s="335"/>
    </row>
    <row r="9" spans="1:56" ht="15" x14ac:dyDescent="0.25">
      <c r="A9" s="206">
        <v>40969</v>
      </c>
      <c r="B9" s="226">
        <f t="shared" si="0"/>
        <v>31</v>
      </c>
      <c r="C9" s="1581">
        <f t="shared" si="12"/>
        <v>758.25229265991311</v>
      </c>
      <c r="D9" s="178">
        <f t="shared" si="13"/>
        <v>24.82073228467549</v>
      </c>
      <c r="E9" s="178">
        <f t="shared" si="14"/>
        <v>18.594189599999996</v>
      </c>
      <c r="F9" s="86">
        <f t="shared" si="15"/>
        <v>188.20377160353112</v>
      </c>
      <c r="G9" s="115">
        <f t="shared" si="16"/>
        <v>64.512105059505402</v>
      </c>
      <c r="H9" s="66">
        <f t="shared" si="17"/>
        <v>20.9277632774136</v>
      </c>
      <c r="I9" s="66">
        <f t="shared" si="1"/>
        <v>77.841535725466855</v>
      </c>
      <c r="J9" s="66">
        <f t="shared" si="18"/>
        <v>9.5213604238776757</v>
      </c>
      <c r="K9" s="66">
        <f t="shared" si="19"/>
        <v>-2.3960772448053258</v>
      </c>
      <c r="L9" s="66">
        <f t="shared" si="20"/>
        <v>8.8349999999999991</v>
      </c>
      <c r="M9" s="68">
        <f t="shared" si="21"/>
        <v>8.9620843620729111</v>
      </c>
      <c r="N9" s="273">
        <f>IF($I$2="RRO (Capped)",VLOOKUP(A9,'Misc. Data &amp; Mechanisms'!$A$1278:$E$1368,5,FALSE),IF($I$2="RRO (Uncapped)",VLOOKUP(A9,'Misc. Data &amp; Mechanisms'!$G$1278:$K$1368,5,FALSE),AZ9))</f>
        <v>8.5079999999999991</v>
      </c>
      <c r="O9" s="333">
        <f t="shared" si="22"/>
        <v>64.512105059505402</v>
      </c>
      <c r="P9" s="385">
        <v>2.76</v>
      </c>
      <c r="Q9" s="333">
        <f t="shared" si="2"/>
        <v>20.9277632774136</v>
      </c>
      <c r="R9" s="385">
        <v>5.92</v>
      </c>
      <c r="S9" s="385">
        <v>82.51</v>
      </c>
      <c r="T9" s="385">
        <v>23.79</v>
      </c>
      <c r="U9" s="338">
        <f t="shared" si="3"/>
        <v>44.888535725466859</v>
      </c>
      <c r="V9" s="338">
        <f t="shared" si="4"/>
        <v>25.578100000000003</v>
      </c>
      <c r="W9" s="333">
        <f t="shared" si="5"/>
        <v>7.3749000000000002</v>
      </c>
      <c r="X9" s="205">
        <f>VLOOKUP($A9,'Misc. Data &amp; Mechanisms'!$A$63:$DY$152,HLOOKUP('Service Zone Menu'!$K$6&amp;"_ATCO_Elec_Y_1",'Misc. Data &amp; Mechanisms'!$A$55:$DY$62,8,FALSE), FALSE)</f>
        <v>7.7499999999999999E-2</v>
      </c>
      <c r="Y9" s="205">
        <f>VLOOKUP($A9,'Misc. Data &amp; Mechanisms'!$A$63:$DY$152,HLOOKUP('Service Zone Menu'!$K$6&amp;"_ATCO_Elec_Y_2",'Misc. Data &amp; Mechanisms'!$A$55:$DY$62,8,FALSE), FALSE)</f>
        <v>1.89E-2</v>
      </c>
      <c r="Z9" s="338">
        <f t="shared" si="6"/>
        <v>7.6546206727232358</v>
      </c>
      <c r="AA9" s="333">
        <f t="shared" si="7"/>
        <v>1.8667397511544406</v>
      </c>
      <c r="AB9" s="278">
        <v>-0.57899999999999996</v>
      </c>
      <c r="AC9" s="386">
        <v>-0.161</v>
      </c>
      <c r="AD9" s="386">
        <v>0.42399999999999999</v>
      </c>
      <c r="AE9" s="205"/>
      <c r="AF9" s="386"/>
      <c r="AG9" s="1186"/>
      <c r="AH9" s="1186"/>
      <c r="AI9" s="338">
        <f t="shared" si="8"/>
        <v>-4.3902807745008969</v>
      </c>
      <c r="AJ9" s="338">
        <f t="shared" si="9"/>
        <v>-1.2207861911824602</v>
      </c>
      <c r="AK9" s="338">
        <f t="shared" si="10"/>
        <v>3.2149897208780316</v>
      </c>
      <c r="AL9" s="338">
        <f t="shared" si="11"/>
        <v>0</v>
      </c>
      <c r="AM9" s="338">
        <f t="shared" si="23"/>
        <v>0</v>
      </c>
      <c r="AN9" s="338">
        <f t="shared" si="24"/>
        <v>0</v>
      </c>
      <c r="AO9" s="333">
        <f t="shared" si="25"/>
        <v>0</v>
      </c>
      <c r="AP9" s="200">
        <f>IF(OR($I$2="RRO (Capped)",$I$2="RRO (Uncapped)"),VLOOKUP(A9,'Misc. Data &amp; Mechanisms'!$A$1483:$H$1574,5,FALSE),BA9)</f>
        <v>0.28499999999999998</v>
      </c>
      <c r="AQ9" s="333">
        <f t="shared" si="26"/>
        <v>8.8349999999999991</v>
      </c>
      <c r="AR9" s="388">
        <f>5%</f>
        <v>0.05</v>
      </c>
      <c r="AS9" s="341">
        <f>'Misc. Data &amp; Mechanisms'!AK282</f>
        <v>672.89641158584129</v>
      </c>
      <c r="AT9" s="196">
        <f>'Misc. Data &amp; Mechanisms'!AP282</f>
        <v>568.16792301245562</v>
      </c>
      <c r="AU9" s="1087">
        <f>'Misc. Data &amp; Mechanisms'!T282</f>
        <v>758.25229265991311</v>
      </c>
      <c r="AV9" s="1087">
        <f>'Misc. Data &amp; Mechanisms'!U282</f>
        <v>575.44347488184883</v>
      </c>
      <c r="AW9" s="1087">
        <f>'Misc. Data &amp; Mechanisms'!V282</f>
        <v>425.8664626315209</v>
      </c>
      <c r="AX9" s="1463">
        <f>'Misc. Data &amp; Mechanisms'!$B$259</f>
        <v>611.34673880086393</v>
      </c>
      <c r="AY9" s="197">
        <f>IFERROR(IF('Personalized Bill Menu'!$B$30="Yes", IF('Personalized Bill Menu'!$B$34="Natural Gas",0,VLOOKUP($A9, 'Personalized Bill Menu'!$H$4:$L$93, 2, FALSE)), 0), 0)</f>
        <v>0</v>
      </c>
      <c r="AZ9" s="1343">
        <f>IFERROR(IF('Personalized Bill Menu'!$C$36="Custom", IF('Personalized Bill Menu'!$B$34="Natural Gas",0,VLOOKUP($A9, 'Personalized Bill Menu'!$H$4:$L$93, 3, FALSE)), 0), 0)</f>
        <v>0</v>
      </c>
      <c r="BA9" s="1344">
        <f>IFERROR(IF('Personalized Bill Menu'!$C$36="Custom", IF('Personalized Bill Menu'!$B$34="Natural Gas",0,VLOOKUP($A9, 'Personalized Bill Menu'!$H$4:$L$93, 4, FALSE)), 0), 0)</f>
        <v>0</v>
      </c>
      <c r="BB9" s="335"/>
      <c r="BC9" s="335"/>
      <c r="BD9" s="335"/>
    </row>
    <row r="10" spans="1:56" ht="15" x14ac:dyDescent="0.25">
      <c r="A10" s="206">
        <v>41000</v>
      </c>
      <c r="B10" s="226">
        <f t="shared" si="0"/>
        <v>30</v>
      </c>
      <c r="C10" s="1581">
        <f t="shared" si="12"/>
        <v>629.20397884750048</v>
      </c>
      <c r="D10" s="178">
        <f t="shared" si="13"/>
        <v>24.593895343412544</v>
      </c>
      <c r="E10" s="178">
        <f t="shared" si="14"/>
        <v>17.332354199999994</v>
      </c>
      <c r="F10" s="86">
        <f t="shared" si="15"/>
        <v>154.74576805434188</v>
      </c>
      <c r="G10" s="115">
        <f t="shared" si="16"/>
        <v>46.454129758310962</v>
      </c>
      <c r="H10" s="66">
        <f t="shared" si="17"/>
        <v>17.366029816191013</v>
      </c>
      <c r="I10" s="66">
        <f t="shared" si="1"/>
        <v>68.698432762578776</v>
      </c>
      <c r="J10" s="66">
        <f t="shared" si="18"/>
        <v>8.2966141925934078</v>
      </c>
      <c r="K10" s="66">
        <f t="shared" si="19"/>
        <v>-1.988284573158102</v>
      </c>
      <c r="L10" s="66">
        <f t="shared" si="20"/>
        <v>8.5499999999999989</v>
      </c>
      <c r="M10" s="68">
        <f t="shared" si="21"/>
        <v>7.3688460978258039</v>
      </c>
      <c r="N10" s="273">
        <f>IF($I$2="RRO (Capped)",VLOOKUP(A10,'Misc. Data &amp; Mechanisms'!$A$1278:$E$1368,5,FALSE),IF($I$2="RRO (Uncapped)",VLOOKUP(A10,'Misc. Data &amp; Mechanisms'!$G$1278:$K$1368,5,FALSE),AZ10))</f>
        <v>7.383</v>
      </c>
      <c r="O10" s="333">
        <f t="shared" si="22"/>
        <v>46.454129758310962</v>
      </c>
      <c r="P10" s="385">
        <v>2.76</v>
      </c>
      <c r="Q10" s="333">
        <f t="shared" si="2"/>
        <v>17.366029816191013</v>
      </c>
      <c r="R10" s="385">
        <v>5.85</v>
      </c>
      <c r="S10" s="385">
        <v>82.51</v>
      </c>
      <c r="T10" s="385">
        <v>23.79</v>
      </c>
      <c r="U10" s="338">
        <f t="shared" si="3"/>
        <v>36.808432762578775</v>
      </c>
      <c r="V10" s="338">
        <f t="shared" si="4"/>
        <v>24.753</v>
      </c>
      <c r="W10" s="333">
        <f t="shared" si="5"/>
        <v>7.1370000000000005</v>
      </c>
      <c r="X10" s="205">
        <f>VLOOKUP($A10,'Misc. Data &amp; Mechanisms'!$A$63:$DY$152,HLOOKUP('Service Zone Menu'!$K$6&amp;"_ATCO_Elec_Y_1",'Misc. Data &amp; Mechanisms'!$A$55:$DY$62,8,FALSE), FALSE)</f>
        <v>7.7499999999999999E-2</v>
      </c>
      <c r="Y10" s="205">
        <f>VLOOKUP($A10,'Misc. Data &amp; Mechanisms'!$A$63:$DY$152,HLOOKUP('Service Zone Menu'!$K$6&amp;"_ATCO_Elec_Y_2",'Misc. Data &amp; Mechanisms'!$A$55:$DY$62,8,FALSE), FALSE)</f>
        <v>1.89E-2</v>
      </c>
      <c r="Z10" s="338">
        <f t="shared" si="6"/>
        <v>6.6699958498546588</v>
      </c>
      <c r="AA10" s="333">
        <f t="shared" si="7"/>
        <v>1.6266183427387491</v>
      </c>
      <c r="AB10" s="278">
        <v>-0.57899999999999996</v>
      </c>
      <c r="AC10" s="386">
        <v>-0.161</v>
      </c>
      <c r="AD10" s="386">
        <v>0.42399999999999999</v>
      </c>
      <c r="AE10" s="205"/>
      <c r="AF10" s="386"/>
      <c r="AG10" s="1186"/>
      <c r="AH10" s="1186"/>
      <c r="AI10" s="338">
        <f t="shared" si="8"/>
        <v>-3.6430910375270278</v>
      </c>
      <c r="AJ10" s="338">
        <f t="shared" si="9"/>
        <v>-1.0130184059444758</v>
      </c>
      <c r="AK10" s="338">
        <f t="shared" si="10"/>
        <v>2.6678248703134018</v>
      </c>
      <c r="AL10" s="338">
        <f t="shared" si="11"/>
        <v>0</v>
      </c>
      <c r="AM10" s="338">
        <f t="shared" si="23"/>
        <v>0</v>
      </c>
      <c r="AN10" s="338">
        <f t="shared" si="24"/>
        <v>0</v>
      </c>
      <c r="AO10" s="333">
        <f t="shared" si="25"/>
        <v>0</v>
      </c>
      <c r="AP10" s="200">
        <f>IF(OR($I$2="RRO (Capped)",$I$2="RRO (Uncapped)"),VLOOKUP(A10,'Misc. Data &amp; Mechanisms'!$A$1483:$H$1574,5,FALSE),BA10)</f>
        <v>0.28499999999999998</v>
      </c>
      <c r="AQ10" s="333">
        <f t="shared" si="26"/>
        <v>8.5499999999999989</v>
      </c>
      <c r="AR10" s="388">
        <f>5%</f>
        <v>0.05</v>
      </c>
      <c r="AS10" s="341">
        <f>'Misc. Data &amp; Mechanisms'!AK283</f>
        <v>558.37496783133724</v>
      </c>
      <c r="AT10" s="196">
        <f>'Misc. Data &amp; Mechanisms'!AP283</f>
        <v>506.34972670588797</v>
      </c>
      <c r="AU10" s="1087">
        <f>'Misc. Data &amp; Mechanisms'!T283</f>
        <v>629.20397884750048</v>
      </c>
      <c r="AV10" s="1087">
        <f>'Misc. Data &amp; Mechanisms'!U283</f>
        <v>477.50772071834024</v>
      </c>
      <c r="AW10" s="1087">
        <f>'Misc. Data &amp; Mechanisms'!V283</f>
        <v>353.38748769948768</v>
      </c>
      <c r="AX10" s="1463">
        <f>'Misc. Data &amp; Mechanisms'!$B$259</f>
        <v>611.34673880086393</v>
      </c>
      <c r="AY10" s="197">
        <f>IFERROR(IF('Personalized Bill Menu'!$B$30="Yes", IF('Personalized Bill Menu'!$B$34="Natural Gas",0,VLOOKUP($A10, 'Personalized Bill Menu'!$H$4:$L$93, 2, FALSE)), 0), 0)</f>
        <v>0</v>
      </c>
      <c r="AZ10" s="1343">
        <f>IFERROR(IF('Personalized Bill Menu'!$C$36="Custom", IF('Personalized Bill Menu'!$B$34="Natural Gas",0,VLOOKUP($A10, 'Personalized Bill Menu'!$H$4:$L$93, 3, FALSE)), 0), 0)</f>
        <v>0</v>
      </c>
      <c r="BA10" s="1344">
        <f>IFERROR(IF('Personalized Bill Menu'!$C$36="Custom", IF('Personalized Bill Menu'!$B$34="Natural Gas",0,VLOOKUP($A10, 'Personalized Bill Menu'!$H$4:$L$93, 4, FALSE)), 0), 0)</f>
        <v>0</v>
      </c>
      <c r="BB10" s="335"/>
      <c r="BC10" s="335"/>
      <c r="BD10" s="335"/>
    </row>
    <row r="11" spans="1:56" ht="15" x14ac:dyDescent="0.25">
      <c r="A11" s="206">
        <v>41030</v>
      </c>
      <c r="B11" s="226">
        <f t="shared" si="0"/>
        <v>31</v>
      </c>
      <c r="C11" s="1581">
        <f t="shared" si="12"/>
        <v>614.17466214171714</v>
      </c>
      <c r="D11" s="178">
        <f t="shared" si="13"/>
        <v>23.886615276953531</v>
      </c>
      <c r="E11" s="178">
        <f t="shared" si="14"/>
        <v>16.1994042</v>
      </c>
      <c r="F11" s="86">
        <f t="shared" si="15"/>
        <v>146.70553867432113</v>
      </c>
      <c r="G11" s="115">
        <f t="shared" si="16"/>
        <v>38.717570701413848</v>
      </c>
      <c r="H11" s="66">
        <f t="shared" si="17"/>
        <v>16.951220675111394</v>
      </c>
      <c r="I11" s="66">
        <f t="shared" si="1"/>
        <v>68.882217735290453</v>
      </c>
      <c r="J11" s="66">
        <f t="shared" si="18"/>
        <v>8.2743434627627366</v>
      </c>
      <c r="K11" s="66">
        <f t="shared" si="19"/>
        <v>-1.9407919323678269</v>
      </c>
      <c r="L11" s="66">
        <f>SUM($AQ11)</f>
        <v>8.8349999999999991</v>
      </c>
      <c r="M11" s="68">
        <f t="shared" si="21"/>
        <v>6.9859780321105305</v>
      </c>
      <c r="N11" s="273">
        <f>IF($I$2="RRO (Capped)",VLOOKUP(A11,'Misc. Data &amp; Mechanisms'!$A$1278:$E$1368,5,FALSE),IF($I$2="RRO (Uncapped)",VLOOKUP(A11,'Misc. Data &amp; Mechanisms'!$G$1278:$K$1368,5,FALSE),AZ11))</f>
        <v>6.3040000000000003</v>
      </c>
      <c r="O11" s="333">
        <f t="shared" si="22"/>
        <v>38.717570701413848</v>
      </c>
      <c r="P11" s="385">
        <v>2.76</v>
      </c>
      <c r="Q11" s="333">
        <f t="shared" si="2"/>
        <v>16.951220675111394</v>
      </c>
      <c r="R11" s="385">
        <v>5.85</v>
      </c>
      <c r="S11" s="385">
        <v>82.51</v>
      </c>
      <c r="T11" s="385">
        <v>23.79</v>
      </c>
      <c r="U11" s="338">
        <f t="shared" si="3"/>
        <v>35.92921773529045</v>
      </c>
      <c r="V11" s="338">
        <f t="shared" si="4"/>
        <v>25.578100000000003</v>
      </c>
      <c r="W11" s="333">
        <f t="shared" si="5"/>
        <v>7.3749000000000002</v>
      </c>
      <c r="X11" s="205">
        <f>VLOOKUP($A11,'Misc. Data &amp; Mechanisms'!$A$63:$DY$152,HLOOKUP('Service Zone Menu'!$K$6&amp;"_ATCO_Elec_Y_1",'Misc. Data &amp; Mechanisms'!$A$55:$DY$62,8,FALSE), FALSE)</f>
        <v>7.7499999999999999E-2</v>
      </c>
      <c r="Y11" s="205">
        <f>VLOOKUP($A11,'Misc. Data &amp; Mechanisms'!$A$63:$DY$152,HLOOKUP('Service Zone Menu'!$K$6&amp;"_ATCO_Elec_Y_2",'Misc. Data &amp; Mechanisms'!$A$55:$DY$62,8,FALSE), FALSE)</f>
        <v>1.89E-2</v>
      </c>
      <c r="Z11" s="338">
        <f t="shared" si="6"/>
        <v>6.6520914768061425</v>
      </c>
      <c r="AA11" s="333">
        <f t="shared" si="7"/>
        <v>1.6222519859565947</v>
      </c>
      <c r="AB11" s="278">
        <v>-0.57899999999999996</v>
      </c>
      <c r="AC11" s="386">
        <v>-0.161</v>
      </c>
      <c r="AD11" s="386">
        <v>0.42399999999999999</v>
      </c>
      <c r="AE11" s="205"/>
      <c r="AF11" s="386"/>
      <c r="AG11" s="1186"/>
      <c r="AH11" s="1186"/>
      <c r="AI11" s="338">
        <f t="shared" si="8"/>
        <v>-3.5560712938005423</v>
      </c>
      <c r="AJ11" s="338">
        <f t="shared" si="9"/>
        <v>-0.9888212060481647</v>
      </c>
      <c r="AK11" s="338">
        <f t="shared" si="10"/>
        <v>2.6041005674808804</v>
      </c>
      <c r="AL11" s="338">
        <f t="shared" si="11"/>
        <v>0</v>
      </c>
      <c r="AM11" s="338">
        <f t="shared" si="23"/>
        <v>0</v>
      </c>
      <c r="AN11" s="338">
        <f t="shared" si="24"/>
        <v>0</v>
      </c>
      <c r="AO11" s="333">
        <f t="shared" si="25"/>
        <v>0</v>
      </c>
      <c r="AP11" s="200">
        <f>IF(OR($I$2="RRO (Capped)",$I$2="RRO (Uncapped)"),VLOOKUP(A11,'Misc. Data &amp; Mechanisms'!$A$1483:$H$1574,5,FALSE),BA11)</f>
        <v>0.28499999999999998</v>
      </c>
      <c r="AQ11" s="333">
        <f t="shared" si="26"/>
        <v>8.8349999999999991</v>
      </c>
      <c r="AR11" s="388">
        <f>5%</f>
        <v>0.05</v>
      </c>
      <c r="AS11" s="341">
        <f>'Misc. Data &amp; Mechanisms'!AK284</f>
        <v>545.03748982064474</v>
      </c>
      <c r="AT11" s="196">
        <f>'Misc. Data &amp; Mechanisms'!AP284</f>
        <v>487.31009480207774</v>
      </c>
      <c r="AU11" s="1087">
        <f>'Misc. Data &amp; Mechanisms'!T284</f>
        <v>614.17466214171714</v>
      </c>
      <c r="AV11" s="1087">
        <f>'Misc. Data &amp; Mechanisms'!U284</f>
        <v>466.10185711067845</v>
      </c>
      <c r="AW11" s="1087">
        <f>'Misc. Data &amp; Mechanisms'!V284</f>
        <v>344.94638965966743</v>
      </c>
      <c r="AX11" s="1463">
        <f>'Misc. Data &amp; Mechanisms'!$B$259</f>
        <v>611.34673880086393</v>
      </c>
      <c r="AY11" s="197">
        <f>IFERROR(IF('Personalized Bill Menu'!$B$30="Yes", IF('Personalized Bill Menu'!$B$34="Natural Gas",0,VLOOKUP($A11, 'Personalized Bill Menu'!$H$4:$L$93, 2, FALSE)), 0), 0)</f>
        <v>0</v>
      </c>
      <c r="AZ11" s="1343">
        <f>IFERROR(IF('Personalized Bill Menu'!$C$36="Custom", IF('Personalized Bill Menu'!$B$34="Natural Gas",0,VLOOKUP($A11, 'Personalized Bill Menu'!$H$4:$L$93, 3, FALSE)), 0), 0)</f>
        <v>0</v>
      </c>
      <c r="BA11" s="1344">
        <f>IFERROR(IF('Personalized Bill Menu'!$C$36="Custom", IF('Personalized Bill Menu'!$B$34="Natural Gas",0,VLOOKUP($A11, 'Personalized Bill Menu'!$H$4:$L$93, 4, FALSE)), 0), 0)</f>
        <v>0</v>
      </c>
      <c r="BB11" s="335"/>
      <c r="BC11" s="335"/>
      <c r="BD11" s="335"/>
    </row>
    <row r="12" spans="1:56" ht="15" x14ac:dyDescent="0.25">
      <c r="A12" s="206">
        <v>41061</v>
      </c>
      <c r="B12" s="226">
        <f t="shared" si="0"/>
        <v>30</v>
      </c>
      <c r="C12" s="1581">
        <f t="shared" si="12"/>
        <v>543.57567101276732</v>
      </c>
      <c r="D12" s="178">
        <f t="shared" si="13"/>
        <v>26.010790321685228</v>
      </c>
      <c r="E12" s="178">
        <f t="shared" si="14"/>
        <v>17.605354199999997</v>
      </c>
      <c r="F12" s="86">
        <f t="shared" si="15"/>
        <v>141.38832802682441</v>
      </c>
      <c r="G12" s="115">
        <f t="shared" si="16"/>
        <v>41.545488535505804</v>
      </c>
      <c r="H12" s="66">
        <f t="shared" si="17"/>
        <v>15.002688519952377</v>
      </c>
      <c r="I12" s="66">
        <f t="shared" si="1"/>
        <v>63.689176754246887</v>
      </c>
      <c r="J12" s="66">
        <f t="shared" si="18"/>
        <v>7.5858958124328089</v>
      </c>
      <c r="K12" s="66">
        <f t="shared" si="19"/>
        <v>-1.7176991204003453</v>
      </c>
      <c r="L12" s="66">
        <f t="shared" si="20"/>
        <v>8.5499999999999989</v>
      </c>
      <c r="M12" s="68">
        <f t="shared" si="21"/>
        <v>6.7327775250868775</v>
      </c>
      <c r="N12" s="273">
        <f>IF($I$2="RRO (Capped)",VLOOKUP(A12,'Misc. Data &amp; Mechanisms'!$A$1278:$E$1368,5,FALSE),IF($I$2="RRO (Uncapped)",VLOOKUP(A12,'Misc. Data &amp; Mechanisms'!$G$1278:$K$1368,5,FALSE),AZ12))</f>
        <v>7.6429999999999998</v>
      </c>
      <c r="O12" s="333">
        <f t="shared" si="22"/>
        <v>41.545488535505804</v>
      </c>
      <c r="P12" s="385">
        <v>2.76</v>
      </c>
      <c r="Q12" s="333">
        <f t="shared" si="2"/>
        <v>15.002688519952377</v>
      </c>
      <c r="R12" s="385">
        <v>5.85</v>
      </c>
      <c r="S12" s="385">
        <v>82.51</v>
      </c>
      <c r="T12" s="385">
        <v>23.79</v>
      </c>
      <c r="U12" s="338">
        <f t="shared" si="3"/>
        <v>31.799176754246886</v>
      </c>
      <c r="V12" s="338">
        <f t="shared" si="4"/>
        <v>24.753</v>
      </c>
      <c r="W12" s="333">
        <f t="shared" si="5"/>
        <v>7.1370000000000005</v>
      </c>
      <c r="X12" s="205">
        <f>VLOOKUP($A12,'Misc. Data &amp; Mechanisms'!$A$63:$DY$152,HLOOKUP('Service Zone Menu'!$K$6&amp;"_ATCO_Elec_Y_1",'Misc. Data &amp; Mechanisms'!$A$55:$DY$62,8,FALSE), FALSE)</f>
        <v>7.7499999999999999E-2</v>
      </c>
      <c r="Y12" s="205">
        <f>VLOOKUP($A12,'Misc. Data &amp; Mechanisms'!$A$63:$DY$152,HLOOKUP('Service Zone Menu'!$K$6&amp;"_ATCO_Elec_Y_2",'Misc. Data &amp; Mechanisms'!$A$55:$DY$62,8,FALSE), FALSE)</f>
        <v>1.89E-2</v>
      </c>
      <c r="Z12" s="338">
        <f t="shared" si="6"/>
        <v>6.0986195587504426</v>
      </c>
      <c r="AA12" s="333">
        <f t="shared" si="7"/>
        <v>1.487276253682366</v>
      </c>
      <c r="AB12" s="278">
        <v>-0.57899999999999996</v>
      </c>
      <c r="AC12" s="386">
        <v>-0.161</v>
      </c>
      <c r="AD12" s="386">
        <v>0.42399999999999999</v>
      </c>
      <c r="AE12" s="205"/>
      <c r="AF12" s="386"/>
      <c r="AG12" s="1186"/>
      <c r="AH12" s="1186"/>
      <c r="AI12" s="338">
        <f t="shared" si="8"/>
        <v>-3.1473031351639227</v>
      </c>
      <c r="AJ12" s="338">
        <f t="shared" si="9"/>
        <v>-0.87515683033055547</v>
      </c>
      <c r="AK12" s="338">
        <f t="shared" si="10"/>
        <v>2.3047608450941333</v>
      </c>
      <c r="AL12" s="338">
        <f t="shared" si="11"/>
        <v>0</v>
      </c>
      <c r="AM12" s="338">
        <f t="shared" si="23"/>
        <v>0</v>
      </c>
      <c r="AN12" s="338">
        <f t="shared" si="24"/>
        <v>0</v>
      </c>
      <c r="AO12" s="333">
        <f t="shared" si="25"/>
        <v>0</v>
      </c>
      <c r="AP12" s="200">
        <f>IF(OR($I$2="RRO (Capped)",$I$2="RRO (Uncapped)"),VLOOKUP(A12,'Misc. Data &amp; Mechanisms'!$A$1483:$H$1574,5,FALSE),BA12)</f>
        <v>0.28499999999999998</v>
      </c>
      <c r="AQ12" s="333">
        <f t="shared" si="26"/>
        <v>8.5499999999999989</v>
      </c>
      <c r="AR12" s="388">
        <f>5%</f>
        <v>0.05</v>
      </c>
      <c r="AS12" s="341">
        <f>'Misc. Data &amp; Mechanisms'!AK285</f>
        <v>482.3857731662805</v>
      </c>
      <c r="AT12" s="196">
        <f>'Misc. Data &amp; Mechanisms'!AP285</f>
        <v>466.44653969695224</v>
      </c>
      <c r="AU12" s="1087">
        <f>'Misc. Data &amp; Mechanisms'!T285</f>
        <v>543.57567101276732</v>
      </c>
      <c r="AV12" s="1087">
        <f>'Misc. Data &amp; Mechanisms'!U285</f>
        <v>412.523741789876</v>
      </c>
      <c r="AW12" s="1087">
        <f>'Misc. Data &amp; Mechanisms'!V285</f>
        <v>305.29501912180757</v>
      </c>
      <c r="AX12" s="1463">
        <f>'Misc. Data &amp; Mechanisms'!$B$259</f>
        <v>611.34673880086393</v>
      </c>
      <c r="AY12" s="197">
        <f>IFERROR(IF('Personalized Bill Menu'!$B$30="Yes", IF('Personalized Bill Menu'!$B$34="Natural Gas",0,VLOOKUP($A12, 'Personalized Bill Menu'!$H$4:$L$93, 2, FALSE)), 0), 0)</f>
        <v>0</v>
      </c>
      <c r="AZ12" s="1343">
        <f>IFERROR(IF('Personalized Bill Menu'!$C$36="Custom", IF('Personalized Bill Menu'!$B$34="Natural Gas",0,VLOOKUP($A12, 'Personalized Bill Menu'!$H$4:$L$93, 3, FALSE)), 0), 0)</f>
        <v>0</v>
      </c>
      <c r="BA12" s="1344">
        <f>IFERROR(IF('Personalized Bill Menu'!$C$36="Custom", IF('Personalized Bill Menu'!$B$34="Natural Gas",0,VLOOKUP($A12, 'Personalized Bill Menu'!$H$4:$L$93, 4, FALSE)), 0), 0)</f>
        <v>0</v>
      </c>
      <c r="BB12" s="335"/>
      <c r="BC12" s="335"/>
      <c r="BD12" s="335"/>
    </row>
    <row r="13" spans="1:56" ht="15" x14ac:dyDescent="0.25">
      <c r="A13" s="206">
        <v>41091</v>
      </c>
      <c r="B13" s="226">
        <f t="shared" si="0"/>
        <v>31</v>
      </c>
      <c r="C13" s="1581">
        <f t="shared" si="12"/>
        <v>585.9536502057806</v>
      </c>
      <c r="D13" s="178">
        <f t="shared" si="13"/>
        <v>27.046141862774451</v>
      </c>
      <c r="E13" s="178">
        <f t="shared" si="14"/>
        <v>18.976885199999998</v>
      </c>
      <c r="F13" s="86">
        <f t="shared" si="15"/>
        <v>158.4778554847606</v>
      </c>
      <c r="G13" s="115">
        <f t="shared" si="16"/>
        <v>52.337380036380331</v>
      </c>
      <c r="H13" s="66">
        <f t="shared" si="17"/>
        <v>16.172320745679546</v>
      </c>
      <c r="I13" s="66">
        <f t="shared" si="1"/>
        <v>67.231288537038168</v>
      </c>
      <c r="J13" s="66">
        <f t="shared" si="18"/>
        <v>8.2069151534194233</v>
      </c>
      <c r="K13" s="66">
        <f t="shared" si="19"/>
        <v>-1.8516135346502671</v>
      </c>
      <c r="L13" s="66">
        <f t="shared" si="20"/>
        <v>8.8349999999999991</v>
      </c>
      <c r="M13" s="68">
        <f t="shared" si="21"/>
        <v>7.5465645468933618</v>
      </c>
      <c r="N13" s="273">
        <f>IF($I$2="RRO (Capped)",VLOOKUP(A13,'Misc. Data &amp; Mechanisms'!$A$1278:$E$1368,5,FALSE),IF($I$2="RRO (Uncapped)",VLOOKUP(A13,'Misc. Data &amp; Mechanisms'!$G$1278:$K$1368,5,FALSE),AZ13))</f>
        <v>8.9320000000000004</v>
      </c>
      <c r="O13" s="333">
        <f t="shared" si="22"/>
        <v>52.337380036380331</v>
      </c>
      <c r="P13" s="385">
        <v>2.76</v>
      </c>
      <c r="Q13" s="333">
        <f t="shared" si="2"/>
        <v>16.172320745679546</v>
      </c>
      <c r="R13" s="385">
        <v>5.85</v>
      </c>
      <c r="S13" s="385">
        <v>82.51</v>
      </c>
      <c r="T13" s="385">
        <v>23.79</v>
      </c>
      <c r="U13" s="338">
        <f t="shared" si="3"/>
        <v>34.278288537038165</v>
      </c>
      <c r="V13" s="338">
        <f t="shared" si="4"/>
        <v>25.578100000000003</v>
      </c>
      <c r="W13" s="333">
        <f t="shared" si="5"/>
        <v>7.3749000000000002</v>
      </c>
      <c r="X13" s="205">
        <f>VLOOKUP($A13,'Misc. Data &amp; Mechanisms'!$A$63:$DY$152,HLOOKUP('Service Zone Menu'!$K$6&amp;"_ATCO_Elec_Y_1",'Misc. Data &amp; Mechanisms'!$A$55:$DY$62,8,FALSE), FALSE)</f>
        <v>7.7499999999999999E-2</v>
      </c>
      <c r="Y13" s="205">
        <f>VLOOKUP($A13,'Misc. Data &amp; Mechanisms'!$A$63:$DY$152,HLOOKUP('Service Zone Menu'!$K$6&amp;"_ATCO_Elec_Y_2",'Misc. Data &amp; Mechanisms'!$A$55:$DY$62,8,FALSE), FALSE)</f>
        <v>2.0899999999999998E-2</v>
      </c>
      <c r="Z13" s="338">
        <f t="shared" si="6"/>
        <v>6.4637797194106223</v>
      </c>
      <c r="AA13" s="333">
        <f t="shared" si="7"/>
        <v>1.7431354340088001</v>
      </c>
      <c r="AB13" s="278">
        <v>-0.57899999999999996</v>
      </c>
      <c r="AC13" s="386">
        <v>-0.161</v>
      </c>
      <c r="AD13" s="386">
        <v>0.42399999999999999</v>
      </c>
      <c r="AE13" s="205"/>
      <c r="AF13" s="386"/>
      <c r="AG13" s="1186"/>
      <c r="AH13" s="1186"/>
      <c r="AI13" s="338">
        <f t="shared" si="8"/>
        <v>-3.3926716346914696</v>
      </c>
      <c r="AJ13" s="338">
        <f t="shared" si="9"/>
        <v>-0.94338537683130685</v>
      </c>
      <c r="AK13" s="338">
        <f t="shared" si="10"/>
        <v>2.4844434768725097</v>
      </c>
      <c r="AL13" s="338">
        <f t="shared" si="11"/>
        <v>0</v>
      </c>
      <c r="AM13" s="338">
        <f t="shared" si="23"/>
        <v>0</v>
      </c>
      <c r="AN13" s="338">
        <f t="shared" si="24"/>
        <v>0</v>
      </c>
      <c r="AO13" s="333">
        <f t="shared" si="25"/>
        <v>0</v>
      </c>
      <c r="AP13" s="200">
        <f>IF(OR($I$2="RRO (Capped)",$I$2="RRO (Uncapped)"),VLOOKUP(A13,'Misc. Data &amp; Mechanisms'!$A$1483:$H$1574,5,FALSE),BA13)</f>
        <v>0.28499999999999998</v>
      </c>
      <c r="AQ13" s="333">
        <f t="shared" si="26"/>
        <v>8.8349999999999991</v>
      </c>
      <c r="AR13" s="388">
        <f>5%</f>
        <v>0.05</v>
      </c>
      <c r="AS13" s="341">
        <f>'Misc. Data &amp; Mechanisms'!AK286</f>
        <v>519.99329562982007</v>
      </c>
      <c r="AT13" s="196">
        <f>'Misc. Data &amp; Mechanisms'!AP286</f>
        <v>525.04940993829064</v>
      </c>
      <c r="AU13" s="1087">
        <f>'Misc. Data &amp; Mechanisms'!T286</f>
        <v>585.9536502057806</v>
      </c>
      <c r="AV13" s="1087">
        <f>'Misc. Data &amp; Mechanisms'!U286</f>
        <v>444.68471491368001</v>
      </c>
      <c r="AW13" s="1087">
        <f>'Misc. Data &amp; Mechanisms'!V286</f>
        <v>329.09627929220744</v>
      </c>
      <c r="AX13" s="1463">
        <f>'Misc. Data &amp; Mechanisms'!$B$259</f>
        <v>611.34673880086393</v>
      </c>
      <c r="AY13" s="197">
        <f>IFERROR(IF('Personalized Bill Menu'!$B$30="Yes", IF('Personalized Bill Menu'!$B$34="Natural Gas",0,VLOOKUP($A13, 'Personalized Bill Menu'!$H$4:$L$93, 2, FALSE)), 0), 0)</f>
        <v>0</v>
      </c>
      <c r="AZ13" s="1343">
        <f>IFERROR(IF('Personalized Bill Menu'!$C$36="Custom", IF('Personalized Bill Menu'!$B$34="Natural Gas",0,VLOOKUP($A13, 'Personalized Bill Menu'!$H$4:$L$93, 3, FALSE)), 0), 0)</f>
        <v>0</v>
      </c>
      <c r="BA13" s="1344">
        <f>IFERROR(IF('Personalized Bill Menu'!$C$36="Custom", IF('Personalized Bill Menu'!$B$34="Natural Gas",0,VLOOKUP($A13, 'Personalized Bill Menu'!$H$4:$L$93, 4, FALSE)), 0), 0)</f>
        <v>0</v>
      </c>
      <c r="BB13" s="335"/>
      <c r="BC13" s="335"/>
      <c r="BD13" s="335"/>
    </row>
    <row r="14" spans="1:56" ht="15" x14ac:dyDescent="0.25">
      <c r="A14" s="206">
        <v>41122</v>
      </c>
      <c r="B14" s="226">
        <f t="shared" si="0"/>
        <v>31</v>
      </c>
      <c r="C14" s="1581">
        <f t="shared" si="12"/>
        <v>569.0306266258799</v>
      </c>
      <c r="D14" s="178">
        <f t="shared" si="13"/>
        <v>29.69167230387324</v>
      </c>
      <c r="E14" s="178">
        <f t="shared" si="14"/>
        <v>21.382435199999996</v>
      </c>
      <c r="F14" s="86">
        <f t="shared" si="15"/>
        <v>168.95470896643272</v>
      </c>
      <c r="G14" s="115">
        <f t="shared" si="16"/>
        <v>63.862307226222505</v>
      </c>
      <c r="H14" s="66">
        <f t="shared" si="17"/>
        <v>15.705245294874285</v>
      </c>
      <c r="I14" s="66">
        <f t="shared" si="1"/>
        <v>66.241291657613971</v>
      </c>
      <c r="J14" s="66">
        <f t="shared" si="18"/>
        <v>8.0635392361248446</v>
      </c>
      <c r="K14" s="66">
        <f t="shared" si="19"/>
        <v>-1.7981367801377806</v>
      </c>
      <c r="L14" s="66">
        <f t="shared" si="20"/>
        <v>8.8349999999999991</v>
      </c>
      <c r="M14" s="68">
        <f t="shared" si="21"/>
        <v>8.0454623317348926</v>
      </c>
      <c r="N14" s="273">
        <f>IF($I$2="RRO (Capped)",VLOOKUP(A14,'Misc. Data &amp; Mechanisms'!$A$1278:$E$1368,5,FALSE),IF($I$2="RRO (Uncapped)",VLOOKUP(A14,'Misc. Data &amp; Mechanisms'!$G$1278:$K$1368,5,FALSE),AZ14))</f>
        <v>11.223000000000001</v>
      </c>
      <c r="O14" s="333">
        <f t="shared" si="22"/>
        <v>63.862307226222505</v>
      </c>
      <c r="P14" s="385">
        <v>2.76</v>
      </c>
      <c r="Q14" s="333">
        <f t="shared" si="2"/>
        <v>15.705245294874285</v>
      </c>
      <c r="R14" s="385">
        <v>5.85</v>
      </c>
      <c r="S14" s="385">
        <v>82.51</v>
      </c>
      <c r="T14" s="385">
        <v>23.79</v>
      </c>
      <c r="U14" s="338">
        <f t="shared" si="3"/>
        <v>33.288291657613975</v>
      </c>
      <c r="V14" s="338">
        <f t="shared" si="4"/>
        <v>25.578100000000003</v>
      </c>
      <c r="W14" s="333">
        <f t="shared" si="5"/>
        <v>7.3749000000000002</v>
      </c>
      <c r="X14" s="205">
        <f>VLOOKUP($A14,'Misc. Data &amp; Mechanisms'!$A$63:$DY$152,HLOOKUP('Service Zone Menu'!$K$6&amp;"_ATCO_Elec_Y_1",'Misc. Data &amp; Mechanisms'!$A$55:$DY$62,8,FALSE), FALSE)</f>
        <v>7.7499999999999999E-2</v>
      </c>
      <c r="Y14" s="205">
        <f>VLOOKUP($A14,'Misc. Data &amp; Mechanisms'!$A$63:$DY$152,HLOOKUP('Service Zone Menu'!$K$6&amp;"_ATCO_Elec_Y_2",'Misc. Data &amp; Mechanisms'!$A$55:$DY$62,8,FALSE), FALSE)</f>
        <v>2.0899999999999998E-2</v>
      </c>
      <c r="Z14" s="338">
        <f t="shared" si="6"/>
        <v>6.3508566138178404</v>
      </c>
      <c r="AA14" s="333">
        <f t="shared" si="7"/>
        <v>1.7126826223070044</v>
      </c>
      <c r="AB14" s="278">
        <v>-0.57899999999999996</v>
      </c>
      <c r="AC14" s="386">
        <v>-0.161</v>
      </c>
      <c r="AD14" s="386">
        <v>0.42399999999999999</v>
      </c>
      <c r="AE14" s="205"/>
      <c r="AF14" s="386"/>
      <c r="AG14" s="1186"/>
      <c r="AH14" s="1186"/>
      <c r="AI14" s="338">
        <f t="shared" si="8"/>
        <v>-3.2946873281638447</v>
      </c>
      <c r="AJ14" s="338">
        <f t="shared" si="9"/>
        <v>-0.9161393088676667</v>
      </c>
      <c r="AK14" s="338">
        <f t="shared" si="10"/>
        <v>2.4126898568937305</v>
      </c>
      <c r="AL14" s="338">
        <f t="shared" si="11"/>
        <v>0</v>
      </c>
      <c r="AM14" s="338">
        <f t="shared" si="23"/>
        <v>0</v>
      </c>
      <c r="AN14" s="338">
        <f t="shared" si="24"/>
        <v>0</v>
      </c>
      <c r="AO14" s="333">
        <f t="shared" si="25"/>
        <v>0</v>
      </c>
      <c r="AP14" s="200">
        <f>IF(OR($I$2="RRO (Capped)",$I$2="RRO (Uncapped)"),VLOOKUP(A14,'Misc. Data &amp; Mechanisms'!$A$1483:$H$1574,5,FALSE),BA14)</f>
        <v>0.28499999999999998</v>
      </c>
      <c r="AQ14" s="333">
        <f t="shared" si="26"/>
        <v>8.8349999999999991</v>
      </c>
      <c r="AR14" s="388">
        <f>5%</f>
        <v>0.05</v>
      </c>
      <c r="AS14" s="341">
        <f>'Misc. Data &amp; Mechanisms'!AK287</f>
        <v>504.97528388052331</v>
      </c>
      <c r="AT14" s="196">
        <f>'Misc. Data &amp; Mechanisms'!AP287</f>
        <v>510.98777443754619</v>
      </c>
      <c r="AU14" s="1087">
        <f>'Misc. Data &amp; Mechanisms'!T287</f>
        <v>569.0306266258799</v>
      </c>
      <c r="AV14" s="1087">
        <f>'Misc. Data &amp; Mechanisms'!U287</f>
        <v>431.84170264903622</v>
      </c>
      <c r="AW14" s="1087">
        <f>'Misc. Data &amp; Mechanisms'!V287</f>
        <v>319.59159561532658</v>
      </c>
      <c r="AX14" s="1463">
        <f>'Misc. Data &amp; Mechanisms'!$B$259</f>
        <v>611.34673880086393</v>
      </c>
      <c r="AY14" s="197">
        <f>IFERROR(IF('Personalized Bill Menu'!$B$30="Yes", IF('Personalized Bill Menu'!$B$34="Natural Gas",0,VLOOKUP($A14, 'Personalized Bill Menu'!$H$4:$L$93, 2, FALSE)), 0), 0)</f>
        <v>0</v>
      </c>
      <c r="AZ14" s="1343">
        <f>IFERROR(IF('Personalized Bill Menu'!$C$36="Custom", IF('Personalized Bill Menu'!$B$34="Natural Gas",0,VLOOKUP($A14, 'Personalized Bill Menu'!$H$4:$L$93, 3, FALSE)), 0), 0)</f>
        <v>0</v>
      </c>
      <c r="BA14" s="1344">
        <f>IFERROR(IF('Personalized Bill Menu'!$C$36="Custom", IF('Personalized Bill Menu'!$B$34="Natural Gas",0,VLOOKUP($A14, 'Personalized Bill Menu'!$H$4:$L$93, 4, FALSE)), 0), 0)</f>
        <v>0</v>
      </c>
      <c r="BB14" s="335"/>
      <c r="BC14" s="335"/>
      <c r="BD14" s="335"/>
    </row>
    <row r="15" spans="1:56" ht="15" x14ac:dyDescent="0.25">
      <c r="A15" s="206">
        <v>41153</v>
      </c>
      <c r="B15" s="226">
        <f t="shared" si="0"/>
        <v>30</v>
      </c>
      <c r="C15" s="1581">
        <f t="shared" si="12"/>
        <v>564.42908639881182</v>
      </c>
      <c r="D15" s="178">
        <f t="shared" si="13"/>
        <v>29.053438714766486</v>
      </c>
      <c r="E15" s="178">
        <f t="shared" si="14"/>
        <v>20.946685199999994</v>
      </c>
      <c r="F15" s="86">
        <f>SUM($G15:$M15)</f>
        <v>163.98605870519518</v>
      </c>
      <c r="G15" s="115">
        <f t="shared" si="16"/>
        <v>61.003495657983578</v>
      </c>
      <c r="H15" s="66">
        <f t="shared" si="17"/>
        <v>15.578242784607205</v>
      </c>
      <c r="I15" s="66">
        <f t="shared" si="1"/>
        <v>64.909101554330491</v>
      </c>
      <c r="J15" s="66">
        <f t="shared" si="18"/>
        <v>7.9199546829514693</v>
      </c>
      <c r="K15" s="66">
        <f t="shared" si="19"/>
        <v>-1.7835959130202452</v>
      </c>
      <c r="L15" s="66">
        <f t="shared" si="20"/>
        <v>8.5499999999999989</v>
      </c>
      <c r="M15" s="68">
        <f t="shared" si="21"/>
        <v>7.8088599383426276</v>
      </c>
      <c r="N15" s="273">
        <f>IF($I$2="RRO (Capped)",VLOOKUP(A15,'Misc. Data &amp; Mechanisms'!$A$1278:$E$1368,5,FALSE),IF($I$2="RRO (Uncapped)",VLOOKUP(A15,'Misc. Data &amp; Mechanisms'!$G$1278:$K$1368,5,FALSE),AZ15))</f>
        <v>10.808</v>
      </c>
      <c r="O15" s="333">
        <f t="shared" si="22"/>
        <v>61.003495657983578</v>
      </c>
      <c r="P15" s="385">
        <v>2.76</v>
      </c>
      <c r="Q15" s="333">
        <f t="shared" si="2"/>
        <v>15.578242784607205</v>
      </c>
      <c r="R15" s="385">
        <v>5.85</v>
      </c>
      <c r="S15" s="385">
        <v>82.51</v>
      </c>
      <c r="T15" s="385">
        <v>23.79</v>
      </c>
      <c r="U15" s="338">
        <f t="shared" si="3"/>
        <v>33.01910155433049</v>
      </c>
      <c r="V15" s="338">
        <f t="shared" si="4"/>
        <v>24.753</v>
      </c>
      <c r="W15" s="333">
        <f t="shared" si="5"/>
        <v>7.1370000000000005</v>
      </c>
      <c r="X15" s="205">
        <f>VLOOKUP($A15,'Misc. Data &amp; Mechanisms'!$A$63:$DY$152,HLOOKUP('Service Zone Menu'!$K$6&amp;"_ATCO_Elec_Y_1",'Misc. Data &amp; Mechanisms'!$A$55:$DY$62,8,FALSE), FALSE)</f>
        <v>7.7499999999999999E-2</v>
      </c>
      <c r="Y15" s="205">
        <f>VLOOKUP($A15,'Misc. Data &amp; Mechanisms'!$A$63:$DY$152,HLOOKUP('Service Zone Menu'!$K$6&amp;"_ATCO_Elec_Y_2",'Misc. Data &amp; Mechanisms'!$A$55:$DY$62,8,FALSE), FALSE)</f>
        <v>2.0899999999999998E-2</v>
      </c>
      <c r="Z15" s="338">
        <f t="shared" si="6"/>
        <v>6.2377691862676716</v>
      </c>
      <c r="AA15" s="333">
        <f t="shared" si="7"/>
        <v>1.6821854966837979</v>
      </c>
      <c r="AB15" s="278">
        <v>-0.57899999999999996</v>
      </c>
      <c r="AC15" s="386">
        <v>-0.161</v>
      </c>
      <c r="AD15" s="386">
        <v>0.42399999999999999</v>
      </c>
      <c r="AE15" s="205"/>
      <c r="AF15" s="386"/>
      <c r="AG15" s="1186"/>
      <c r="AH15" s="1186"/>
      <c r="AI15" s="338">
        <f t="shared" si="8"/>
        <v>-3.2680444102491206</v>
      </c>
      <c r="AJ15" s="338">
        <f t="shared" si="9"/>
        <v>-0.90873082910208713</v>
      </c>
      <c r="AK15" s="338">
        <f t="shared" si="10"/>
        <v>2.3931793263309622</v>
      </c>
      <c r="AL15" s="338">
        <f t="shared" si="11"/>
        <v>0</v>
      </c>
      <c r="AM15" s="338">
        <f t="shared" si="23"/>
        <v>0</v>
      </c>
      <c r="AN15" s="338">
        <f t="shared" si="24"/>
        <v>0</v>
      </c>
      <c r="AO15" s="333">
        <f t="shared" si="25"/>
        <v>0</v>
      </c>
      <c r="AP15" s="200">
        <f>IF(OR($I$2="RRO (Capped)",$I$2="RRO (Uncapped)"),VLOOKUP(A15,'Misc. Data &amp; Mechanisms'!$A$1483:$H$1574,5,FALSE),BA15)</f>
        <v>0.28499999999999998</v>
      </c>
      <c r="AQ15" s="333">
        <f>IF($AP$6="$/day", $AP15*$B15, $AP15)</f>
        <v>8.5499999999999989</v>
      </c>
      <c r="AR15" s="388">
        <f>5%</f>
        <v>0.05</v>
      </c>
      <c r="AS15" s="341">
        <f>'Misc. Data &amp; Mechanisms'!AK288</f>
        <v>500.89173551998999</v>
      </c>
      <c r="AT15" s="196">
        <f>'Misc. Data &amp; Mechanisms'!AP288</f>
        <v>477.09322011784911</v>
      </c>
      <c r="AU15" s="1087">
        <f>'Misc. Data &amp; Mechanisms'!T288</f>
        <v>564.42908639881182</v>
      </c>
      <c r="AV15" s="1087">
        <f>'Misc. Data &amp; Mechanisms'!U288</f>
        <v>428.3495585121766</v>
      </c>
      <c r="AW15" s="1087">
        <f>'Misc. Data &amp; Mechanisms'!V288</f>
        <v>317.00717657943579</v>
      </c>
      <c r="AX15" s="1463">
        <f>'Misc. Data &amp; Mechanisms'!$B$259</f>
        <v>611.34673880086393</v>
      </c>
      <c r="AY15" s="197">
        <f>IFERROR(IF('Personalized Bill Menu'!$B$30="Yes", IF('Personalized Bill Menu'!$B$34="Natural Gas",0,VLOOKUP($A15, 'Personalized Bill Menu'!$H$4:$L$93, 2, FALSE)), 0), 0)</f>
        <v>0</v>
      </c>
      <c r="AZ15" s="1343">
        <f>IFERROR(IF('Personalized Bill Menu'!$C$36="Custom", IF('Personalized Bill Menu'!$B$34="Natural Gas",0,VLOOKUP($A15, 'Personalized Bill Menu'!$H$4:$L$93, 3, FALSE)), 0), 0)</f>
        <v>0</v>
      </c>
      <c r="BA15" s="1344">
        <f>IFERROR(IF('Personalized Bill Menu'!$C$36="Custom", IF('Personalized Bill Menu'!$B$34="Natural Gas",0,VLOOKUP($A15, 'Personalized Bill Menu'!$H$4:$L$93, 4, FALSE)), 0), 0)</f>
        <v>0</v>
      </c>
      <c r="BB15" s="335"/>
      <c r="BC15" s="335"/>
      <c r="BD15" s="335"/>
    </row>
    <row r="16" spans="1:56" ht="15" x14ac:dyDescent="0.25">
      <c r="A16" s="206">
        <v>41183</v>
      </c>
      <c r="B16" s="226">
        <f t="shared" si="0"/>
        <v>31</v>
      </c>
      <c r="C16" s="1581">
        <f t="shared" si="12"/>
        <v>650.12777713927949</v>
      </c>
      <c r="D16" s="178">
        <f t="shared" si="13"/>
        <v>27.379425363180342</v>
      </c>
      <c r="E16" s="178">
        <f t="shared" si="14"/>
        <v>20.106685199999998</v>
      </c>
      <c r="F16" s="86">
        <f>SUM($G16:$M16)</f>
        <v>178.00124950715247</v>
      </c>
      <c r="G16" s="115">
        <f t="shared" si="16"/>
        <v>65.06478793609908</v>
      </c>
      <c r="H16" s="66">
        <f t="shared" si="17"/>
        <v>17.943526649044113</v>
      </c>
      <c r="I16" s="66">
        <f t="shared" si="1"/>
        <v>70.985474962647842</v>
      </c>
      <c r="J16" s="66">
        <f t="shared" si="18"/>
        <v>8.7506137585904895</v>
      </c>
      <c r="K16" s="66">
        <f t="shared" si="19"/>
        <v>-2.0544037757601235</v>
      </c>
      <c r="L16" s="66">
        <f t="shared" si="20"/>
        <v>8.8349999999999991</v>
      </c>
      <c r="M16" s="68">
        <f t="shared" si="21"/>
        <v>8.4762499765310704</v>
      </c>
      <c r="N16" s="273">
        <f>IF($I$2="RRO (Capped)",VLOOKUP(A16,'Misc. Data &amp; Mechanisms'!$A$1278:$E$1368,5,FALSE),IF($I$2="RRO (Uncapped)",VLOOKUP(A16,'Misc. Data &amp; Mechanisms'!$G$1278:$K$1368,5,FALSE),AZ16))</f>
        <v>10.007999999999999</v>
      </c>
      <c r="O16" s="333">
        <f t="shared" si="22"/>
        <v>65.06478793609908</v>
      </c>
      <c r="P16" s="385">
        <v>2.76</v>
      </c>
      <c r="Q16" s="333">
        <f t="shared" si="2"/>
        <v>17.943526649044113</v>
      </c>
      <c r="R16" s="385">
        <v>5.85</v>
      </c>
      <c r="S16" s="385">
        <v>82.51</v>
      </c>
      <c r="T16" s="385">
        <v>23.79</v>
      </c>
      <c r="U16" s="338">
        <f t="shared" si="3"/>
        <v>38.032474962647846</v>
      </c>
      <c r="V16" s="338">
        <f t="shared" si="4"/>
        <v>25.578100000000003</v>
      </c>
      <c r="W16" s="333">
        <f t="shared" si="5"/>
        <v>7.3749000000000002</v>
      </c>
      <c r="X16" s="205">
        <f>VLOOKUP($A16,'Misc. Data &amp; Mechanisms'!$A$63:$DY$152,HLOOKUP('Service Zone Menu'!$K$6&amp;"_ATCO_Elec_Y_1",'Misc. Data &amp; Mechanisms'!$A$55:$DY$62,8,FALSE), FALSE)</f>
        <v>7.7499999999999999E-2</v>
      </c>
      <c r="Y16" s="205">
        <f>VLOOKUP($A16,'Misc. Data &amp; Mechanisms'!$A$63:$DY$152,HLOOKUP('Service Zone Menu'!$K$6&amp;"_ATCO_Elec_Y_2",'Misc. Data &amp; Mechanisms'!$A$55:$DY$62,8,FALSE), FALSE)</f>
        <v>2.0899999999999998E-2</v>
      </c>
      <c r="Z16" s="338">
        <f t="shared" si="6"/>
        <v>6.8919976249061268</v>
      </c>
      <c r="AA16" s="333">
        <f t="shared" si="7"/>
        <v>1.8586161336843618</v>
      </c>
      <c r="AB16" s="278">
        <v>-0.57899999999999996</v>
      </c>
      <c r="AC16" s="386">
        <v>-0.161</v>
      </c>
      <c r="AD16" s="386">
        <v>0.42399999999999999</v>
      </c>
      <c r="AE16" s="205"/>
      <c r="AF16" s="386"/>
      <c r="AG16" s="1186"/>
      <c r="AH16" s="1186"/>
      <c r="AI16" s="338">
        <f t="shared" si="8"/>
        <v>-3.7642398296364283</v>
      </c>
      <c r="AJ16" s="338">
        <f t="shared" si="9"/>
        <v>-1.0467057211942401</v>
      </c>
      <c r="AK16" s="338">
        <f t="shared" si="10"/>
        <v>2.756541775070545</v>
      </c>
      <c r="AL16" s="338">
        <f t="shared" si="11"/>
        <v>0</v>
      </c>
      <c r="AM16" s="338">
        <f t="shared" si="23"/>
        <v>0</v>
      </c>
      <c r="AN16" s="338">
        <f t="shared" si="24"/>
        <v>0</v>
      </c>
      <c r="AO16" s="333">
        <f t="shared" si="25"/>
        <v>0</v>
      </c>
      <c r="AP16" s="200">
        <f>IF(OR($I$2="RRO (Capped)",$I$2="RRO (Uncapped)"),VLOOKUP(A16,'Misc. Data &amp; Mechanisms'!$A$1483:$H$1574,5,FALSE),BA16)</f>
        <v>0.28499999999999998</v>
      </c>
      <c r="AQ16" s="333">
        <f t="shared" si="26"/>
        <v>8.8349999999999991</v>
      </c>
      <c r="AR16" s="388">
        <f>5%</f>
        <v>0.05</v>
      </c>
      <c r="AS16" s="341">
        <f>'Misc. Data &amp; Mechanisms'!AK289</f>
        <v>576.94339014087438</v>
      </c>
      <c r="AT16" s="196">
        <f>'Misc. Data &amp; Mechanisms'!AP289</f>
        <v>561.42480335661935</v>
      </c>
      <c r="AU16" s="1087">
        <f>'Misc. Data &amp; Mechanisms'!T289</f>
        <v>650.12777713927949</v>
      </c>
      <c r="AV16" s="1087">
        <f>'Misc. Data &amp; Mechanisms'!U289</f>
        <v>493.38695156710008</v>
      </c>
      <c r="AW16" s="1087">
        <f>'Misc. Data &amp; Mechanisms'!V289</f>
        <v>365.13917516498401</v>
      </c>
      <c r="AX16" s="1463">
        <f>'Misc. Data &amp; Mechanisms'!$B$259</f>
        <v>611.34673880086393</v>
      </c>
      <c r="AY16" s="197">
        <f>IFERROR(IF('Personalized Bill Menu'!$B$30="Yes", IF('Personalized Bill Menu'!$B$34="Natural Gas",0,VLOOKUP($A16, 'Personalized Bill Menu'!$H$4:$L$93, 2, FALSE)), 0), 0)</f>
        <v>0</v>
      </c>
      <c r="AZ16" s="1343">
        <f>IFERROR(IF('Personalized Bill Menu'!$C$36="Custom", IF('Personalized Bill Menu'!$B$34="Natural Gas",0,VLOOKUP($A16, 'Personalized Bill Menu'!$H$4:$L$93, 3, FALSE)), 0), 0)</f>
        <v>0</v>
      </c>
      <c r="BA16" s="1344">
        <f>IFERROR(IF('Personalized Bill Menu'!$C$36="Custom", IF('Personalized Bill Menu'!$B$34="Natural Gas",0,VLOOKUP($A16, 'Personalized Bill Menu'!$H$4:$L$93, 4, FALSE)), 0), 0)</f>
        <v>0</v>
      </c>
      <c r="BB16" s="335"/>
      <c r="BC16" s="335"/>
      <c r="BD16" s="335"/>
    </row>
    <row r="17" spans="1:56" ht="15" x14ac:dyDescent="0.25">
      <c r="A17" s="206">
        <v>41214</v>
      </c>
      <c r="B17" s="226">
        <f t="shared" si="0"/>
        <v>30</v>
      </c>
      <c r="C17" s="1581">
        <f t="shared" si="12"/>
        <v>719.01518907625973</v>
      </c>
      <c r="D17" s="178">
        <f t="shared" si="13"/>
        <v>23.839211096193548</v>
      </c>
      <c r="E17" s="178">
        <f t="shared" si="14"/>
        <v>17.475385199999998</v>
      </c>
      <c r="F17" s="86">
        <f t="shared" si="15"/>
        <v>171.40754873758473</v>
      </c>
      <c r="G17" s="115">
        <f t="shared" si="16"/>
        <v>53.94051948450101</v>
      </c>
      <c r="H17" s="66">
        <f t="shared" si="17"/>
        <v>19.844819218504767</v>
      </c>
      <c r="I17" s="66">
        <f t="shared" si="1"/>
        <v>73.952388560961197</v>
      </c>
      <c r="J17" s="66">
        <f t="shared" si="18"/>
        <v>9.2296452454994515</v>
      </c>
      <c r="K17" s="66">
        <f t="shared" si="19"/>
        <v>-2.2720879974809813</v>
      </c>
      <c r="L17" s="66">
        <f t="shared" si="20"/>
        <v>8.5499999999999989</v>
      </c>
      <c r="M17" s="68">
        <f t="shared" si="21"/>
        <v>8.162264225599273</v>
      </c>
      <c r="N17" s="273">
        <f>IF($I$2="RRO (Capped)",VLOOKUP(A17,'Misc. Data &amp; Mechanisms'!$A$1278:$E$1368,5,FALSE),IF($I$2="RRO (Uncapped)",VLOOKUP(A17,'Misc. Data &amp; Mechanisms'!$G$1278:$K$1368,5,FALSE),AZ17))</f>
        <v>7.5019999999999998</v>
      </c>
      <c r="O17" s="333">
        <f t="shared" si="22"/>
        <v>53.94051948450101</v>
      </c>
      <c r="P17" s="385">
        <v>2.76</v>
      </c>
      <c r="Q17" s="333">
        <f t="shared" si="2"/>
        <v>19.844819218504767</v>
      </c>
      <c r="R17" s="385">
        <v>5.85</v>
      </c>
      <c r="S17" s="385">
        <v>82.51</v>
      </c>
      <c r="T17" s="385">
        <v>23.79</v>
      </c>
      <c r="U17" s="338">
        <f t="shared" si="3"/>
        <v>42.062388560961189</v>
      </c>
      <c r="V17" s="338">
        <f t="shared" si="4"/>
        <v>24.753</v>
      </c>
      <c r="W17" s="333">
        <f t="shared" si="5"/>
        <v>7.1370000000000005</v>
      </c>
      <c r="X17" s="205">
        <f>VLOOKUP($A17,'Misc. Data &amp; Mechanisms'!$A$63:$DY$152,HLOOKUP('Service Zone Menu'!$K$6&amp;"_ATCO_Elec_Y_1",'Misc. Data &amp; Mechanisms'!$A$55:$DY$62,8,FALSE), FALSE)</f>
        <v>7.7499999999999999E-2</v>
      </c>
      <c r="Y17" s="205">
        <f>VLOOKUP($A17,'Misc. Data &amp; Mechanisms'!$A$63:$DY$152,HLOOKUP('Service Zone Menu'!$K$6&amp;"_ATCO_Elec_Y_2",'Misc. Data &amp; Mechanisms'!$A$55:$DY$62,8,FALSE), FALSE)</f>
        <v>2.0899999999999998E-2</v>
      </c>
      <c r="Z17" s="338">
        <f t="shared" si="6"/>
        <v>7.2692836029086125</v>
      </c>
      <c r="AA17" s="333">
        <f t="shared" si="7"/>
        <v>1.9603616425908386</v>
      </c>
      <c r="AB17" s="278">
        <v>-0.57899999999999996</v>
      </c>
      <c r="AC17" s="386">
        <v>-0.161</v>
      </c>
      <c r="AD17" s="386">
        <v>0.42399999999999999</v>
      </c>
      <c r="AE17" s="205"/>
      <c r="AF17" s="386"/>
      <c r="AG17" s="1186"/>
      <c r="AH17" s="1186"/>
      <c r="AI17" s="338">
        <f t="shared" si="8"/>
        <v>-4.1630979447515442</v>
      </c>
      <c r="AJ17" s="338">
        <f t="shared" si="9"/>
        <v>-1.1576144544127782</v>
      </c>
      <c r="AK17" s="338">
        <f t="shared" si="10"/>
        <v>3.048624401683341</v>
      </c>
      <c r="AL17" s="338">
        <f t="shared" si="11"/>
        <v>0</v>
      </c>
      <c r="AM17" s="338">
        <f t="shared" si="23"/>
        <v>0</v>
      </c>
      <c r="AN17" s="338">
        <f t="shared" si="24"/>
        <v>0</v>
      </c>
      <c r="AO17" s="333">
        <f t="shared" si="25"/>
        <v>0</v>
      </c>
      <c r="AP17" s="200">
        <f>IF(OR($I$2="RRO (Capped)",$I$2="RRO (Uncapped)"),VLOOKUP(A17,'Misc. Data &amp; Mechanisms'!$A$1483:$H$1574,5,FALSE),BA17)</f>
        <v>0.28499999999999998</v>
      </c>
      <c r="AQ17" s="333">
        <f t="shared" si="26"/>
        <v>8.5499999999999989</v>
      </c>
      <c r="AR17" s="388">
        <f>5%</f>
        <v>0.05</v>
      </c>
      <c r="AS17" s="341">
        <f>'Misc. Data &amp; Mechanisms'!AK290</f>
        <v>638.07619876479782</v>
      </c>
      <c r="AT17" s="196">
        <f>'Misc. Data &amp; Mechanisms'!AP290</f>
        <v>607.35645018924583</v>
      </c>
      <c r="AU17" s="1087">
        <f>'Misc. Data &amp; Mechanisms'!T290</f>
        <v>719.01518907625973</v>
      </c>
      <c r="AV17" s="1087">
        <f>'Misc. Data &amp; Mechanisms'!U290</f>
        <v>545.66613632442557</v>
      </c>
      <c r="AW17" s="1087">
        <f>'Misc. Data &amp; Mechanisms'!V290</f>
        <v>403.82925065229966</v>
      </c>
      <c r="AX17" s="1463">
        <f>'Misc. Data &amp; Mechanisms'!$B$259</f>
        <v>611.34673880086393</v>
      </c>
      <c r="AY17" s="197">
        <f>IFERROR(IF('Personalized Bill Menu'!$B$30="Yes", IF('Personalized Bill Menu'!$B$34="Natural Gas",0,VLOOKUP($A17, 'Personalized Bill Menu'!$H$4:$L$93, 2, FALSE)), 0), 0)</f>
        <v>0</v>
      </c>
      <c r="AZ17" s="1343">
        <f>IFERROR(IF('Personalized Bill Menu'!$C$36="Custom", IF('Personalized Bill Menu'!$B$34="Natural Gas",0,VLOOKUP($A17, 'Personalized Bill Menu'!$H$4:$L$93, 3, FALSE)), 0), 0)</f>
        <v>0</v>
      </c>
      <c r="BA17" s="1344">
        <f>IFERROR(IF('Personalized Bill Menu'!$C$36="Custom", IF('Personalized Bill Menu'!$B$34="Natural Gas",0,VLOOKUP($A17, 'Personalized Bill Menu'!$H$4:$L$93, 4, FALSE)), 0), 0)</f>
        <v>0</v>
      </c>
      <c r="BB17" s="335"/>
      <c r="BC17" s="335"/>
      <c r="BD17" s="335"/>
    </row>
    <row r="18" spans="1:56" ht="15" x14ac:dyDescent="0.25">
      <c r="A18" s="229">
        <v>41244</v>
      </c>
      <c r="B18" s="231">
        <f t="shared" si="0"/>
        <v>31</v>
      </c>
      <c r="C18" s="231">
        <f t="shared" si="12"/>
        <v>931.05297925566788</v>
      </c>
      <c r="D18" s="208">
        <f t="shared" si="13"/>
        <v>23.74023251357605</v>
      </c>
      <c r="E18" s="208">
        <f t="shared" si="14"/>
        <v>18.661885199999997</v>
      </c>
      <c r="F18" s="342">
        <f t="shared" si="15"/>
        <v>221.03414209987255</v>
      </c>
      <c r="G18" s="343">
        <f t="shared" si="16"/>
        <v>80.36849316934925</v>
      </c>
      <c r="H18" s="344">
        <f t="shared" si="17"/>
        <v>25.697062227456431</v>
      </c>
      <c r="I18" s="344">
        <f t="shared" si="1"/>
        <v>87.419599286456574</v>
      </c>
      <c r="J18" s="344">
        <f t="shared" si="18"/>
        <v>11.130679492969039</v>
      </c>
      <c r="K18" s="344">
        <f t="shared" si="19"/>
        <v>-2.9421274144479108</v>
      </c>
      <c r="L18" s="344">
        <f t="shared" si="20"/>
        <v>8.8349999999999991</v>
      </c>
      <c r="M18" s="345">
        <f t="shared" si="21"/>
        <v>10.525435338089169</v>
      </c>
      <c r="N18" s="1243">
        <f>IF($I$2="RRO (Capped)",VLOOKUP(A18,'Misc. Data &amp; Mechanisms'!$A$1278:$E$1368,5,FALSE),IF($I$2="RRO (Uncapped)",VLOOKUP(A18,'Misc. Data &amp; Mechanisms'!$G$1278:$K$1368,5,FALSE),AZ18))</f>
        <v>8.6319999999999997</v>
      </c>
      <c r="O18" s="346">
        <f t="shared" si="22"/>
        <v>80.36849316934925</v>
      </c>
      <c r="P18" s="398">
        <v>2.76</v>
      </c>
      <c r="Q18" s="346">
        <f t="shared" si="2"/>
        <v>25.697062227456431</v>
      </c>
      <c r="R18" s="398">
        <v>5.85</v>
      </c>
      <c r="S18" s="398">
        <v>82.51</v>
      </c>
      <c r="T18" s="398">
        <v>23.79</v>
      </c>
      <c r="U18" s="349">
        <f t="shared" si="3"/>
        <v>54.466599286456571</v>
      </c>
      <c r="V18" s="349">
        <f t="shared" si="4"/>
        <v>25.578100000000003</v>
      </c>
      <c r="W18" s="346">
        <f t="shared" si="5"/>
        <v>7.3749000000000002</v>
      </c>
      <c r="X18" s="246">
        <f>VLOOKUP($A18,'Misc. Data &amp; Mechanisms'!$A$63:$DY$152,HLOOKUP('Service Zone Menu'!$K$6&amp;"_ATCO_Elec_Y_1",'Misc. Data &amp; Mechanisms'!$A$55:$DY$62,8,FALSE), FALSE)</f>
        <v>7.7499999999999999E-2</v>
      </c>
      <c r="Y18" s="246">
        <f>VLOOKUP($A18,'Misc. Data &amp; Mechanisms'!$A$63:$DY$152,HLOOKUP('Service Zone Menu'!$K$6&amp;"_ATCO_Elec_Y_2",'Misc. Data &amp; Mechanisms'!$A$55:$DY$62,8,FALSE), FALSE)</f>
        <v>2.0899999999999998E-2</v>
      </c>
      <c r="Z18" s="349">
        <f t="shared" si="6"/>
        <v>8.7665412673282574</v>
      </c>
      <c r="AA18" s="346">
        <f t="shared" si="7"/>
        <v>2.3641382256407817</v>
      </c>
      <c r="AB18" s="283">
        <v>-0.57899999999999996</v>
      </c>
      <c r="AC18" s="399">
        <v>-0.161</v>
      </c>
      <c r="AD18" s="399">
        <v>0.42399999999999999</v>
      </c>
      <c r="AE18" s="246"/>
      <c r="AF18" s="399"/>
      <c r="AG18" s="1187"/>
      <c r="AH18" s="1187"/>
      <c r="AI18" s="349">
        <f t="shared" si="8"/>
        <v>-5.3907967498903169</v>
      </c>
      <c r="AJ18" s="349">
        <f t="shared" si="9"/>
        <v>-1.4989952966016253</v>
      </c>
      <c r="AK18" s="349">
        <f t="shared" si="10"/>
        <v>3.9476646320440318</v>
      </c>
      <c r="AL18" s="349">
        <f t="shared" si="11"/>
        <v>0</v>
      </c>
      <c r="AM18" s="349">
        <f t="shared" si="23"/>
        <v>0</v>
      </c>
      <c r="AN18" s="349">
        <f t="shared" si="24"/>
        <v>0</v>
      </c>
      <c r="AO18" s="346">
        <f t="shared" si="25"/>
        <v>0</v>
      </c>
      <c r="AP18" s="239">
        <f>IF(OR($I$2="RRO (Capped)",$I$2="RRO (Uncapped)"),VLOOKUP(A18,'Misc. Data &amp; Mechanisms'!$A$1483:$H$1574,5,FALSE),BA18)</f>
        <v>0.28499999999999998</v>
      </c>
      <c r="AQ18" s="346">
        <f t="shared" si="26"/>
        <v>8.8349999999999991</v>
      </c>
      <c r="AR18" s="396">
        <f>5%</f>
        <v>0.05</v>
      </c>
      <c r="AS18" s="352">
        <f>'Misc. Data &amp; Mechanisms'!AK291</f>
        <v>826.24505695816049</v>
      </c>
      <c r="AT18" s="1089">
        <f>'Misc. Data &amp; Mechanisms'!AP291</f>
        <v>714.27882923412301</v>
      </c>
      <c r="AU18" s="1089">
        <f>'Misc. Data &amp; Mechanisms'!T291</f>
        <v>931.05297925566788</v>
      </c>
      <c r="AV18" s="1089">
        <f>'Misc. Data &amp; Mechanisms'!U291</f>
        <v>706.5832399959246</v>
      </c>
      <c r="AW18" s="1089">
        <f>'Misc. Data &amp; Mechanisms'!V291</f>
        <v>522.91861513168931</v>
      </c>
      <c r="AX18" s="1464">
        <f>'Misc. Data &amp; Mechanisms'!$B$259</f>
        <v>611.34673880086393</v>
      </c>
      <c r="AY18" s="243">
        <f>IFERROR(IF('Personalized Bill Menu'!$B$30="Yes", IF('Personalized Bill Menu'!$B$34="Natural Gas",0,VLOOKUP($A18, 'Personalized Bill Menu'!$H$4:$L$93, 2, FALSE)), 0), 0)</f>
        <v>0</v>
      </c>
      <c r="AZ18" s="1345">
        <f>IFERROR(IF('Personalized Bill Menu'!$C$36="Custom", IF('Personalized Bill Menu'!$B$34="Natural Gas",0,VLOOKUP($A18, 'Personalized Bill Menu'!$H$4:$L$93, 3, FALSE)), 0), 0)</f>
        <v>0</v>
      </c>
      <c r="BA18" s="1346">
        <f>IFERROR(IF('Personalized Bill Menu'!$C$36="Custom", IF('Personalized Bill Menu'!$B$34="Natural Gas",0,VLOOKUP($A18, 'Personalized Bill Menu'!$H$4:$L$93, 4, FALSE)), 0), 0)</f>
        <v>0</v>
      </c>
      <c r="BB18" s="335"/>
      <c r="BC18" s="335"/>
      <c r="BD18" s="335"/>
    </row>
    <row r="19" spans="1:56" ht="15" x14ac:dyDescent="0.25">
      <c r="A19" s="206">
        <v>41275</v>
      </c>
      <c r="B19" s="226">
        <f t="shared" si="0"/>
        <v>31</v>
      </c>
      <c r="C19" s="212">
        <f t="shared" si="12"/>
        <v>857.03506620502674</v>
      </c>
      <c r="D19" s="181">
        <f>IFERROR(($F19*100)/$C19, "")</f>
        <v>25.032474450731755</v>
      </c>
      <c r="E19" s="178">
        <f t="shared" si="14"/>
        <v>19.515535199999995</v>
      </c>
      <c r="F19" s="86">
        <f t="shared" si="15"/>
        <v>214.53708398158531</v>
      </c>
      <c r="G19" s="115">
        <f t="shared" si="16"/>
        <v>80.946962003064783</v>
      </c>
      <c r="H19" s="66">
        <f t="shared" si="17"/>
        <v>23.654167827258739</v>
      </c>
      <c r="I19" s="66">
        <f t="shared" si="1"/>
        <v>83.089551372994066</v>
      </c>
      <c r="J19" s="66">
        <f>SUM($Z19:$AA19)</f>
        <v>10.503581969304875</v>
      </c>
      <c r="K19" s="66">
        <f t="shared" si="19"/>
        <v>-2.7082308092078851</v>
      </c>
      <c r="L19" s="66">
        <f t="shared" si="20"/>
        <v>8.8349999999999991</v>
      </c>
      <c r="M19" s="68">
        <f t="shared" si="21"/>
        <v>10.216051618170731</v>
      </c>
      <c r="N19" s="273">
        <f>IF($I$2="RRO (Capped)",VLOOKUP(A19,'Misc. Data &amp; Mechanisms'!$A$1278:$E$1368,5,FALSE),IF($I$2="RRO (Uncapped)",VLOOKUP(A19,'Misc. Data &amp; Mechanisms'!$G$1278:$K$1368,5,FALSE),AZ19))</f>
        <v>9.4450000000000003</v>
      </c>
      <c r="O19" s="333">
        <f t="shared" si="22"/>
        <v>80.946962003064783</v>
      </c>
      <c r="P19" s="390">
        <v>2.76</v>
      </c>
      <c r="Q19" s="333">
        <f t="shared" si="2"/>
        <v>23.654167827258739</v>
      </c>
      <c r="R19" s="390">
        <v>5.85</v>
      </c>
      <c r="S19" s="390">
        <v>82.51</v>
      </c>
      <c r="T19" s="390">
        <v>23.79</v>
      </c>
      <c r="U19" s="338">
        <f t="shared" si="3"/>
        <v>50.136551372994063</v>
      </c>
      <c r="V19" s="338">
        <f t="shared" si="4"/>
        <v>25.578100000000003</v>
      </c>
      <c r="W19" s="333">
        <f t="shared" si="5"/>
        <v>7.3749000000000002</v>
      </c>
      <c r="X19" s="205">
        <f>VLOOKUP($A19,'Misc. Data &amp; Mechanisms'!$A$63:$DY$152,HLOOKUP('Service Zone Menu'!$K$6&amp;"_ATCO_Elec_Y_1",'Misc. Data &amp; Mechanisms'!$A$55:$DY$62,8,FALSE), FALSE)</f>
        <v>7.7499999999999999E-2</v>
      </c>
      <c r="Y19" s="205">
        <f>VLOOKUP($A19,'Misc. Data &amp; Mechanisms'!$A$63:$DY$152,HLOOKUP('Service Zone Menu'!$K$6&amp;"_ATCO_Elec_Y_2",'Misc. Data &amp; Mechanisms'!$A$55:$DY$62,8,FALSE), FALSE)</f>
        <v>2.0899999999999998E-2</v>
      </c>
      <c r="Z19" s="338">
        <f t="shared" si="6"/>
        <v>8.2726382380195922</v>
      </c>
      <c r="AA19" s="333">
        <f t="shared" si="7"/>
        <v>2.2309437312852833</v>
      </c>
      <c r="AB19" s="291">
        <v>-0.57899999999999996</v>
      </c>
      <c r="AC19" s="291">
        <v>-0.161</v>
      </c>
      <c r="AD19" s="291">
        <v>0.42399999999999999</v>
      </c>
      <c r="AE19" s="392"/>
      <c r="AF19" s="291"/>
      <c r="AG19" s="290"/>
      <c r="AH19" s="290"/>
      <c r="AI19" s="338">
        <f t="shared" si="8"/>
        <v>-4.962233033327105</v>
      </c>
      <c r="AJ19" s="338">
        <f t="shared" si="9"/>
        <v>-1.3798264565900931</v>
      </c>
      <c r="AK19" s="338">
        <f t="shared" si="10"/>
        <v>3.6338286807093132</v>
      </c>
      <c r="AL19" s="338">
        <f t="shared" si="11"/>
        <v>0</v>
      </c>
      <c r="AM19" s="338">
        <f t="shared" si="23"/>
        <v>0</v>
      </c>
      <c r="AN19" s="338">
        <f t="shared" si="24"/>
        <v>0</v>
      </c>
      <c r="AO19" s="333">
        <f t="shared" si="25"/>
        <v>0</v>
      </c>
      <c r="AP19" s="200">
        <f>IF(OR($I$2="RRO (Capped)",$I$2="RRO (Uncapped)"),VLOOKUP(A19,'Misc. Data &amp; Mechanisms'!$A$1483:$H$1574,5,FALSE),BA19)</f>
        <v>0.28499999999999998</v>
      </c>
      <c r="AQ19" s="333">
        <f t="shared" si="26"/>
        <v>8.8349999999999991</v>
      </c>
      <c r="AR19" s="388">
        <f>5%</f>
        <v>0.05</v>
      </c>
      <c r="AS19" s="341">
        <f>'Misc. Data &amp; Mechanisms'!AK292</f>
        <v>760.55928380984494</v>
      </c>
      <c r="AT19" s="1239">
        <f>'Misc. Data &amp; Mechanisms'!AP292</f>
        <v>663.94521568698838</v>
      </c>
      <c r="AU19" s="1087">
        <f>'Misc. Data &amp; Mechanisms'!T292</f>
        <v>857.03506620502674</v>
      </c>
      <c r="AV19" s="1087">
        <f>'Misc. Data &amp; Mechanisms'!U292</f>
        <v>650.41047863182928</v>
      </c>
      <c r="AW19" s="1087">
        <f>'Misc. Data &amp; Mechanisms'!V292</f>
        <v>481.34703386858854</v>
      </c>
      <c r="AX19" s="1463">
        <f>'Misc. Data &amp; Mechanisms'!$B$259</f>
        <v>611.34673880086393</v>
      </c>
      <c r="AY19" s="197">
        <f>IFERROR(IF('Personalized Bill Menu'!$B$30="Yes", IF('Personalized Bill Menu'!$B$34="Natural Gas",0,VLOOKUP($A19, 'Personalized Bill Menu'!$H$4:$L$93, 2, FALSE)), 0), 0)</f>
        <v>0</v>
      </c>
      <c r="AZ19" s="1343">
        <f>IFERROR(IF('Personalized Bill Menu'!$C$36="Custom", IF('Personalized Bill Menu'!$B$34="Natural Gas",0,VLOOKUP($A19, 'Personalized Bill Menu'!$H$4:$L$93, 3, FALSE)), 0), 0)</f>
        <v>0</v>
      </c>
      <c r="BA19" s="1344">
        <f>IFERROR(IF('Personalized Bill Menu'!$C$36="Custom", IF('Personalized Bill Menu'!$B$34="Natural Gas",0,VLOOKUP($A19, 'Personalized Bill Menu'!$H$4:$L$93, 4, FALSE)), 0), 0)</f>
        <v>0</v>
      </c>
      <c r="BB19" s="335"/>
      <c r="BC19" s="335"/>
      <c r="BD19" s="335"/>
    </row>
    <row r="20" spans="1:56" ht="15" x14ac:dyDescent="0.25">
      <c r="A20" s="206">
        <v>41306</v>
      </c>
      <c r="B20" s="226">
        <f t="shared" si="0"/>
        <v>28</v>
      </c>
      <c r="C20" s="1581">
        <f t="shared" si="12"/>
        <v>731.27293914090023</v>
      </c>
      <c r="D20" s="181">
        <f>IFERROR(($F20*100)/$C20, "")</f>
        <v>23.582095706907513</v>
      </c>
      <c r="E20" s="178">
        <f t="shared" si="14"/>
        <v>17.742085199999995</v>
      </c>
      <c r="F20" s="86">
        <f t="shared" si="15"/>
        <v>172.44948438692265</v>
      </c>
      <c r="G20" s="115">
        <f t="shared" si="16"/>
        <v>56.717529159768226</v>
      </c>
      <c r="H20" s="66">
        <f t="shared" si="17"/>
        <v>20.183133120288847</v>
      </c>
      <c r="I20" s="66">
        <f t="shared" si="1"/>
        <v>72.543466939742657</v>
      </c>
      <c r="J20" s="66">
        <f t="shared" si="18"/>
        <v>9.1242974459071</v>
      </c>
      <c r="K20" s="66">
        <f t="shared" si="19"/>
        <v>-2.3108224876852455</v>
      </c>
      <c r="L20" s="66">
        <f t="shared" si="20"/>
        <v>7.9799999999999995</v>
      </c>
      <c r="M20" s="68">
        <f t="shared" si="21"/>
        <v>8.2118802089010785</v>
      </c>
      <c r="N20" s="273">
        <f>IF($I$2="RRO (Capped)",VLOOKUP(A20,'Misc. Data &amp; Mechanisms'!$A$1278:$E$1368,5,FALSE),IF($I$2="RRO (Uncapped)",VLOOKUP(A20,'Misc. Data &amp; Mechanisms'!$G$1278:$K$1368,5,FALSE),AZ20))</f>
        <v>7.7560000000000002</v>
      </c>
      <c r="O20" s="333">
        <f t="shared" si="22"/>
        <v>56.717529159768226</v>
      </c>
      <c r="P20" s="390">
        <v>2.76</v>
      </c>
      <c r="Q20" s="333">
        <f t="shared" si="2"/>
        <v>20.183133120288847</v>
      </c>
      <c r="R20" s="390">
        <v>5.85</v>
      </c>
      <c r="S20" s="390">
        <v>82.51</v>
      </c>
      <c r="T20" s="390">
        <v>23.79</v>
      </c>
      <c r="U20" s="338">
        <f t="shared" si="3"/>
        <v>42.779466939742662</v>
      </c>
      <c r="V20" s="338">
        <f t="shared" si="4"/>
        <v>23.102800000000002</v>
      </c>
      <c r="W20" s="333">
        <f t="shared" si="5"/>
        <v>6.6612</v>
      </c>
      <c r="X20" s="205">
        <f>VLOOKUP($A20,'Misc. Data &amp; Mechanisms'!$A$63:$DY$152,HLOOKUP('Service Zone Menu'!$K$6&amp;"_ATCO_Elec_Y_1",'Misc. Data &amp; Mechanisms'!$A$55:$DY$62,8,FALSE), FALSE)</f>
        <v>7.7499999999999999E-2</v>
      </c>
      <c r="Y20" s="205">
        <f>VLOOKUP($A20,'Misc. Data &amp; Mechanisms'!$A$63:$DY$152,HLOOKUP('Service Zone Menu'!$K$6&amp;"_ATCO_Elec_Y_2",'Misc. Data &amp; Mechanisms'!$A$55:$DY$62,8,FALSE), FALSE)</f>
        <v>2.0899999999999998E-2</v>
      </c>
      <c r="Z20" s="338">
        <f t="shared" si="6"/>
        <v>7.1863115046524415</v>
      </c>
      <c r="AA20" s="333">
        <f t="shared" si="7"/>
        <v>1.9379859412546583</v>
      </c>
      <c r="AB20" s="291">
        <v>-0.57899999999999996</v>
      </c>
      <c r="AC20" s="291">
        <v>-0.161</v>
      </c>
      <c r="AD20" s="291">
        <v>0.42399999999999999</v>
      </c>
      <c r="AE20" s="392"/>
      <c r="AF20" s="291"/>
      <c r="AG20" s="290"/>
      <c r="AH20" s="290"/>
      <c r="AI20" s="338">
        <f t="shared" si="8"/>
        <v>-4.2340703176258128</v>
      </c>
      <c r="AJ20" s="338">
        <f t="shared" si="9"/>
        <v>-1.1773494320168494</v>
      </c>
      <c r="AK20" s="338">
        <f t="shared" si="10"/>
        <v>3.1005972619574167</v>
      </c>
      <c r="AL20" s="338">
        <f t="shared" si="11"/>
        <v>0</v>
      </c>
      <c r="AM20" s="338">
        <f t="shared" si="23"/>
        <v>0</v>
      </c>
      <c r="AN20" s="338">
        <f t="shared" si="24"/>
        <v>0</v>
      </c>
      <c r="AO20" s="333">
        <f t="shared" si="25"/>
        <v>0</v>
      </c>
      <c r="AP20" s="200">
        <f>IF(OR($I$2="RRO (Capped)",$I$2="RRO (Uncapped)"),VLOOKUP(A20,'Misc. Data &amp; Mechanisms'!$A$1483:$H$1574,5,FALSE),BA20)</f>
        <v>0.28499999999999998</v>
      </c>
      <c r="AQ20" s="333">
        <f t="shared" si="26"/>
        <v>7.9799999999999995</v>
      </c>
      <c r="AR20" s="388">
        <f>5%</f>
        <v>0.05</v>
      </c>
      <c r="AS20" s="341">
        <f>'Misc. Data &amp; Mechanisms'!AK293</f>
        <v>648.95410327291142</v>
      </c>
      <c r="AT20" s="196">
        <f>'Misc. Data &amp; Mechanisms'!AP293</f>
        <v>549.528043350958</v>
      </c>
      <c r="AU20" s="1087">
        <f>'Misc. Data &amp; Mechanisms'!T293</f>
        <v>731.27293914090023</v>
      </c>
      <c r="AV20" s="1087">
        <f>'Misc. Data &amp; Mechanisms'!U293</f>
        <v>554.96863677145507</v>
      </c>
      <c r="AW20" s="1087">
        <f>'Misc. Data &amp; Mechanisms'!V293</f>
        <v>410.713719991044</v>
      </c>
      <c r="AX20" s="1463">
        <f>'Misc. Data &amp; Mechanisms'!$B$259</f>
        <v>611.34673880086393</v>
      </c>
      <c r="AY20" s="197">
        <f>IFERROR(IF('Personalized Bill Menu'!$B$30="Yes", IF('Personalized Bill Menu'!$B$34="Natural Gas",0,VLOOKUP($A20, 'Personalized Bill Menu'!$H$4:$L$93, 2, FALSE)), 0), 0)</f>
        <v>0</v>
      </c>
      <c r="AZ20" s="1343">
        <f>IFERROR(IF('Personalized Bill Menu'!$C$36="Custom", IF('Personalized Bill Menu'!$B$34="Natural Gas",0,VLOOKUP($A20, 'Personalized Bill Menu'!$H$4:$L$93, 3, FALSE)), 0), 0)</f>
        <v>0</v>
      </c>
      <c r="BA20" s="1344">
        <f>IFERROR(IF('Personalized Bill Menu'!$C$36="Custom", IF('Personalized Bill Menu'!$B$34="Natural Gas",0,VLOOKUP($A20, 'Personalized Bill Menu'!$H$4:$L$93, 4, FALSE)), 0), 0)</f>
        <v>0</v>
      </c>
      <c r="BB20" s="335"/>
      <c r="BC20" s="335"/>
      <c r="BD20" s="335"/>
    </row>
    <row r="21" spans="1:56" ht="15" x14ac:dyDescent="0.25">
      <c r="A21" s="206">
        <v>41334</v>
      </c>
      <c r="B21" s="226">
        <f t="shared" si="0"/>
        <v>31</v>
      </c>
      <c r="C21" s="1581">
        <f t="shared" si="12"/>
        <v>674.10123903761769</v>
      </c>
      <c r="D21" s="181">
        <f t="shared" si="13"/>
        <v>24.309299936905557</v>
      </c>
      <c r="E21" s="178">
        <f t="shared" si="14"/>
        <v>17.293151399999999</v>
      </c>
      <c r="F21" s="86">
        <f t="shared" si="15"/>
        <v>163.86929207605115</v>
      </c>
      <c r="G21" s="115">
        <f t="shared" si="16"/>
        <v>49.377915759505491</v>
      </c>
      <c r="H21" s="66">
        <f t="shared" si="17"/>
        <v>18.605194197438248</v>
      </c>
      <c r="I21" s="66">
        <f t="shared" si="1"/>
        <v>72.387922483700635</v>
      </c>
      <c r="J21" s="66">
        <f t="shared" si="18"/>
        <v>8.9901199280965223</v>
      </c>
      <c r="K21" s="66">
        <f t="shared" si="19"/>
        <v>-2.1301599153588722</v>
      </c>
      <c r="L21" s="66">
        <f t="shared" si="20"/>
        <v>8.8349999999999991</v>
      </c>
      <c r="M21" s="68">
        <f t="shared" si="21"/>
        <v>7.8032996226691029</v>
      </c>
      <c r="N21" s="273">
        <f>IF($I$2="RRO (Capped)",VLOOKUP(A21,'Misc. Data &amp; Mechanisms'!$A$1278:$E$1368,5,FALSE),IF($I$2="RRO (Uncapped)",VLOOKUP(A21,'Misc. Data &amp; Mechanisms'!$G$1278:$K$1368,5,FALSE),AZ21))</f>
        <v>7.3250000000000002</v>
      </c>
      <c r="O21" s="333">
        <f t="shared" si="22"/>
        <v>49.377915759505491</v>
      </c>
      <c r="P21" s="390">
        <v>2.76</v>
      </c>
      <c r="Q21" s="333">
        <f t="shared" si="2"/>
        <v>18.605194197438248</v>
      </c>
      <c r="R21" s="390">
        <v>5.85</v>
      </c>
      <c r="S21" s="390">
        <v>82.51</v>
      </c>
      <c r="T21" s="390">
        <v>23.79</v>
      </c>
      <c r="U21" s="338">
        <f t="shared" si="3"/>
        <v>39.434922483700632</v>
      </c>
      <c r="V21" s="338">
        <f t="shared" si="4"/>
        <v>25.578100000000003</v>
      </c>
      <c r="W21" s="333">
        <f t="shared" si="5"/>
        <v>7.3749000000000002</v>
      </c>
      <c r="X21" s="205">
        <f>VLOOKUP($A21,'Misc. Data &amp; Mechanisms'!$A$63:$DY$152,HLOOKUP('Service Zone Menu'!$K$6&amp;"_ATCO_Elec_Y_1",'Misc. Data &amp; Mechanisms'!$A$55:$DY$62,8,FALSE), FALSE)</f>
        <v>7.7499999999999999E-2</v>
      </c>
      <c r="Y21" s="205">
        <f>VLOOKUP($A21,'Misc. Data &amp; Mechanisms'!$A$63:$DY$152,HLOOKUP('Service Zone Menu'!$K$6&amp;"_ATCO_Elec_Y_2",'Misc. Data &amp; Mechanisms'!$A$55:$DY$62,8,FALSE), FALSE)</f>
        <v>2.1299999999999999E-2</v>
      </c>
      <c r="Z21" s="338">
        <f t="shared" si="6"/>
        <v>7.0519665427882634</v>
      </c>
      <c r="AA21" s="333">
        <f t="shared" si="7"/>
        <v>1.9381533853082582</v>
      </c>
      <c r="AB21" s="291">
        <v>-0.57899999999999996</v>
      </c>
      <c r="AC21" s="291">
        <v>-0.161</v>
      </c>
      <c r="AD21" s="291">
        <v>0.42399999999999999</v>
      </c>
      <c r="AE21" s="392"/>
      <c r="AF21" s="291"/>
      <c r="AG21" s="290"/>
      <c r="AH21" s="290"/>
      <c r="AI21" s="338">
        <f t="shared" si="8"/>
        <v>-3.9030461740278066</v>
      </c>
      <c r="AJ21" s="338">
        <f t="shared" si="9"/>
        <v>-1.0853029948505646</v>
      </c>
      <c r="AK21" s="338">
        <f t="shared" si="10"/>
        <v>2.858189253519499</v>
      </c>
      <c r="AL21" s="338">
        <f t="shared" si="11"/>
        <v>0</v>
      </c>
      <c r="AM21" s="338">
        <f t="shared" si="23"/>
        <v>0</v>
      </c>
      <c r="AN21" s="338">
        <f t="shared" si="24"/>
        <v>0</v>
      </c>
      <c r="AO21" s="333">
        <f t="shared" si="25"/>
        <v>0</v>
      </c>
      <c r="AP21" s="200">
        <f>IF(OR($I$2="RRO (Capped)",$I$2="RRO (Uncapped)"),VLOOKUP(A21,'Misc. Data &amp; Mechanisms'!$A$1483:$H$1574,5,FALSE),BA21)</f>
        <v>0.28499999999999998</v>
      </c>
      <c r="AQ21" s="333">
        <f t="shared" si="26"/>
        <v>8.8349999999999991</v>
      </c>
      <c r="AR21" s="388">
        <f>5%</f>
        <v>0.05</v>
      </c>
      <c r="AS21" s="341">
        <f>'Misc. Data &amp; Mechanisms'!AK294</f>
        <v>598.21817775555155</v>
      </c>
      <c r="AT21" s="196">
        <f>'Misc. Data &amp; Mechanisms'!AP294</f>
        <v>578.69697125062407</v>
      </c>
      <c r="AU21" s="1087">
        <f>'Misc. Data &amp; Mechanisms'!T294</f>
        <v>674.10123903761769</v>
      </c>
      <c r="AV21" s="1087">
        <f>'Misc. Data &amp; Mechanisms'!U294</f>
        <v>511.58059549441856</v>
      </c>
      <c r="AW21" s="1087">
        <f>'Misc. Data &amp; Mechanisms'!V294</f>
        <v>378.60368231452713</v>
      </c>
      <c r="AX21" s="1463">
        <f>'Misc. Data &amp; Mechanisms'!$B$259</f>
        <v>611.34673880086393</v>
      </c>
      <c r="AY21" s="197">
        <f>IFERROR(IF('Personalized Bill Menu'!$B$30="Yes", IF('Personalized Bill Menu'!$B$34="Natural Gas",0,VLOOKUP($A21, 'Personalized Bill Menu'!$H$4:$L$93, 2, FALSE)), 0), 0)</f>
        <v>0</v>
      </c>
      <c r="AZ21" s="1343">
        <f>IFERROR(IF('Personalized Bill Menu'!$C$36="Custom", IF('Personalized Bill Menu'!$B$34="Natural Gas",0,VLOOKUP($A21, 'Personalized Bill Menu'!$H$4:$L$93, 3, FALSE)), 0), 0)</f>
        <v>0</v>
      </c>
      <c r="BA21" s="1344">
        <f>IFERROR(IF('Personalized Bill Menu'!$C$36="Custom", IF('Personalized Bill Menu'!$B$34="Natural Gas",0,VLOOKUP($A21, 'Personalized Bill Menu'!$H$4:$L$93, 4, FALSE)), 0), 0)</f>
        <v>0</v>
      </c>
      <c r="BB21" s="335"/>
      <c r="BC21" s="335"/>
      <c r="BD21" s="335"/>
    </row>
    <row r="22" spans="1:56" ht="15" x14ac:dyDescent="0.25">
      <c r="A22" s="206">
        <v>41365</v>
      </c>
      <c r="B22" s="226">
        <f t="shared" si="0"/>
        <v>30</v>
      </c>
      <c r="C22" s="1581">
        <f t="shared" si="12"/>
        <v>614.57162555083846</v>
      </c>
      <c r="D22" s="181">
        <f t="shared" si="13"/>
        <v>27.079174763708817</v>
      </c>
      <c r="E22" s="178">
        <f t="shared" si="14"/>
        <v>19.321348200000003</v>
      </c>
      <c r="F22" s="86">
        <f>SUM($G22:$M22)</f>
        <v>166.4209245310777</v>
      </c>
      <c r="G22" s="115">
        <f t="shared" si="16"/>
        <v>52.170985293010681</v>
      </c>
      <c r="H22" s="66">
        <f t="shared" si="17"/>
        <v>17.085091190313307</v>
      </c>
      <c r="I22" s="66">
        <f t="shared" si="1"/>
        <v>71.339154971376573</v>
      </c>
      <c r="J22" s="66">
        <f t="shared" si="18"/>
        <v>8.7363155207749603</v>
      </c>
      <c r="K22" s="66">
        <f t="shared" si="19"/>
        <v>0.61457162555083755</v>
      </c>
      <c r="L22" s="66">
        <f t="shared" si="20"/>
        <v>8.5499999999999989</v>
      </c>
      <c r="M22" s="68">
        <f t="shared" si="21"/>
        <v>7.9248059300513196</v>
      </c>
      <c r="N22" s="273">
        <f>IF($I$2="RRO (Capped)",VLOOKUP(A22,'Misc. Data &amp; Mechanisms'!$A$1278:$E$1368,5,FALSE),IF($I$2="RRO (Uncapped)",VLOOKUP(A22,'Misc. Data &amp; Mechanisms'!$G$1278:$K$1368,5,FALSE),AZ22))</f>
        <v>8.4890000000000008</v>
      </c>
      <c r="O22" s="333">
        <f t="shared" si="22"/>
        <v>52.170985293010681</v>
      </c>
      <c r="P22" s="390">
        <v>2.78</v>
      </c>
      <c r="Q22" s="333">
        <f t="shared" si="2"/>
        <v>17.085091190313307</v>
      </c>
      <c r="R22" s="390">
        <v>6.15</v>
      </c>
      <c r="S22" s="390">
        <v>86.79</v>
      </c>
      <c r="T22" s="390">
        <v>25.02</v>
      </c>
      <c r="U22" s="338">
        <f t="shared" si="3"/>
        <v>37.796154971376566</v>
      </c>
      <c r="V22" s="338">
        <f t="shared" si="4"/>
        <v>26.037000000000003</v>
      </c>
      <c r="W22" s="333">
        <f t="shared" si="5"/>
        <v>7.5059999999999993</v>
      </c>
      <c r="X22" s="205">
        <f>VLOOKUP($A22,'Misc. Data &amp; Mechanisms'!$A$63:$DY$152,HLOOKUP('Service Zone Menu'!$K$6&amp;"_ATCO_Elec_Y_1",'Misc. Data &amp; Mechanisms'!$A$55:$DY$62,8,FALSE), FALSE)</f>
        <v>7.7499999999999999E-2</v>
      </c>
      <c r="Y22" s="205">
        <f>VLOOKUP($A22,'Misc. Data &amp; Mechanisms'!$A$63:$DY$152,HLOOKUP('Service Zone Menu'!$K$6&amp;"_ATCO_Elec_Y_2",'Misc. Data &amp; Mechanisms'!$A$55:$DY$62,8,FALSE), FALSE)</f>
        <v>2.1299999999999999E-2</v>
      </c>
      <c r="Z22" s="338">
        <f t="shared" si="6"/>
        <v>6.8528790775309654</v>
      </c>
      <c r="AA22" s="333">
        <f t="shared" si="7"/>
        <v>1.8834364432439943</v>
      </c>
      <c r="AB22" s="291">
        <v>-0.57899999999999996</v>
      </c>
      <c r="AC22" s="291">
        <v>-0.161</v>
      </c>
      <c r="AD22" s="291">
        <v>0.84</v>
      </c>
      <c r="AE22" s="392"/>
      <c r="AF22" s="291"/>
      <c r="AG22" s="290"/>
      <c r="AH22" s="290"/>
      <c r="AI22" s="338">
        <f t="shared" si="8"/>
        <v>-3.5583697119393549</v>
      </c>
      <c r="AJ22" s="338">
        <f t="shared" si="9"/>
        <v>-0.98946031713685001</v>
      </c>
      <c r="AK22" s="338">
        <f t="shared" si="10"/>
        <v>5.1624016546270424</v>
      </c>
      <c r="AL22" s="338">
        <f t="shared" si="11"/>
        <v>0</v>
      </c>
      <c r="AM22" s="338">
        <f t="shared" si="23"/>
        <v>0</v>
      </c>
      <c r="AN22" s="338">
        <f t="shared" si="24"/>
        <v>0</v>
      </c>
      <c r="AO22" s="333">
        <f t="shared" si="25"/>
        <v>0</v>
      </c>
      <c r="AP22" s="200">
        <f>IF(OR($I$2="RRO (Capped)",$I$2="RRO (Uncapped)"),VLOOKUP(A22,'Misc. Data &amp; Mechanisms'!$A$1483:$H$1574,5,FALSE),BA22)</f>
        <v>0.28499999999999998</v>
      </c>
      <c r="AQ22" s="333">
        <f t="shared" si="26"/>
        <v>8.5499999999999989</v>
      </c>
      <c r="AR22" s="388">
        <f>5%</f>
        <v>0.05</v>
      </c>
      <c r="AS22" s="341">
        <f>'Misc. Data &amp; Mechanisms'!AK295</f>
        <v>545.3897673621891</v>
      </c>
      <c r="AT22" s="196">
        <f>'Misc. Data &amp; Mechanisms'!AP295</f>
        <v>522.8281415740812</v>
      </c>
      <c r="AU22" s="1087">
        <f>'Misc. Data &amp; Mechanisms'!T295</f>
        <v>614.57162555083846</v>
      </c>
      <c r="AV22" s="1087">
        <f>'Misc. Data &amp; Mechanisms'!U295</f>
        <v>466.40311568352683</v>
      </c>
      <c r="AW22" s="1087">
        <f>'Misc. Data &amp; Mechanisms'!V295</f>
        <v>345.1693410499542</v>
      </c>
      <c r="AX22" s="1463">
        <f>'Misc. Data &amp; Mechanisms'!$B$259</f>
        <v>611.34673880086393</v>
      </c>
      <c r="AY22" s="197">
        <f>IFERROR(IF('Personalized Bill Menu'!$B$30="Yes", IF('Personalized Bill Menu'!$B$34="Natural Gas",0,VLOOKUP($A22, 'Personalized Bill Menu'!$H$4:$L$93, 2, FALSE)), 0), 0)</f>
        <v>0</v>
      </c>
      <c r="AZ22" s="1343">
        <f>IFERROR(IF('Personalized Bill Menu'!$C$36="Custom", IF('Personalized Bill Menu'!$B$34="Natural Gas",0,VLOOKUP($A22, 'Personalized Bill Menu'!$H$4:$L$93, 3, FALSE)), 0), 0)</f>
        <v>0</v>
      </c>
      <c r="BA22" s="1344">
        <f>IFERROR(IF('Personalized Bill Menu'!$C$36="Custom", IF('Personalized Bill Menu'!$B$34="Natural Gas",0,VLOOKUP($A22, 'Personalized Bill Menu'!$H$4:$L$93, 4, FALSE)), 0), 0)</f>
        <v>0</v>
      </c>
      <c r="BB22" s="335"/>
      <c r="BC22" s="335"/>
      <c r="BD22" s="335"/>
    </row>
    <row r="23" spans="1:56" ht="15" x14ac:dyDescent="0.25">
      <c r="A23" s="206">
        <v>41395</v>
      </c>
      <c r="B23" s="226">
        <f t="shared" si="0"/>
        <v>31</v>
      </c>
      <c r="C23" s="1581">
        <f t="shared" si="12"/>
        <v>613.43039189014598</v>
      </c>
      <c r="D23" s="181">
        <f t="shared" si="13"/>
        <v>26.130482833127004</v>
      </c>
      <c r="E23" s="178">
        <f t="shared" si="14"/>
        <v>18.099148200000002</v>
      </c>
      <c r="F23" s="86">
        <f t="shared" si="15"/>
        <v>160.29232324603831</v>
      </c>
      <c r="G23" s="115">
        <f t="shared" si="16"/>
        <v>44.33261442190085</v>
      </c>
      <c r="H23" s="66">
        <f t="shared" si="17"/>
        <v>17.053364894546057</v>
      </c>
      <c r="I23" s="66">
        <f t="shared" si="1"/>
        <v>72.387069101243981</v>
      </c>
      <c r="J23" s="66">
        <f t="shared" si="18"/>
        <v>8.8367148787840559</v>
      </c>
      <c r="K23" s="66">
        <f t="shared" si="19"/>
        <v>1.2145921759424887</v>
      </c>
      <c r="L23" s="66">
        <f t="shared" si="20"/>
        <v>8.8349999999999991</v>
      </c>
      <c r="M23" s="68">
        <f t="shared" si="21"/>
        <v>7.632967773620873</v>
      </c>
      <c r="N23" s="273">
        <f>IF($I$2="RRO (Capped)",VLOOKUP(A23,'Misc. Data &amp; Mechanisms'!$A$1278:$E$1368,5,FALSE),IF($I$2="RRO (Uncapped)",VLOOKUP(A23,'Misc. Data &amp; Mechanisms'!$G$1278:$K$1368,5,FALSE),AZ23))</f>
        <v>7.2270000000000003</v>
      </c>
      <c r="O23" s="333">
        <f t="shared" si="22"/>
        <v>44.33261442190085</v>
      </c>
      <c r="P23" s="390">
        <v>2.78</v>
      </c>
      <c r="Q23" s="333">
        <f t="shared" si="2"/>
        <v>17.053364894546057</v>
      </c>
      <c r="R23" s="390">
        <v>6.15</v>
      </c>
      <c r="S23" s="390">
        <v>86.79</v>
      </c>
      <c r="T23" s="390">
        <v>25.02</v>
      </c>
      <c r="U23" s="338">
        <f t="shared" si="3"/>
        <v>37.725969101243983</v>
      </c>
      <c r="V23" s="338">
        <f t="shared" si="4"/>
        <v>26.904900000000005</v>
      </c>
      <c r="W23" s="333">
        <f t="shared" si="5"/>
        <v>7.7561999999999998</v>
      </c>
      <c r="X23" s="205">
        <f>VLOOKUP($A23,'Misc. Data &amp; Mechanisms'!$A$63:$DY$152,HLOOKUP('Service Zone Menu'!$K$6&amp;"_ATCO_Elec_Y_1",'Misc. Data &amp; Mechanisms'!$A$55:$DY$62,8,FALSE), FALSE)</f>
        <v>7.7499999999999999E-2</v>
      </c>
      <c r="Y23" s="205">
        <f>VLOOKUP($A23,'Misc. Data &amp; Mechanisms'!$A$63:$DY$152,HLOOKUP('Service Zone Menu'!$K$6&amp;"_ATCO_Elec_Y_2",'Misc. Data &amp; Mechanisms'!$A$55:$DY$62,8,FALSE), FALSE)</f>
        <v>2.1299999999999999E-2</v>
      </c>
      <c r="Z23" s="338">
        <f t="shared" si="6"/>
        <v>6.9316336346737284</v>
      </c>
      <c r="AA23" s="333">
        <f t="shared" si="7"/>
        <v>1.905081244110328</v>
      </c>
      <c r="AB23" s="291">
        <v>-0.57899999999999996</v>
      </c>
      <c r="AC23" s="291">
        <v>-6.3E-2</v>
      </c>
      <c r="AD23" s="291">
        <v>0.84</v>
      </c>
      <c r="AE23" s="392"/>
      <c r="AF23" s="291"/>
      <c r="AG23" s="290"/>
      <c r="AH23" s="290"/>
      <c r="AI23" s="338">
        <f t="shared" si="8"/>
        <v>-3.551761969043945</v>
      </c>
      <c r="AJ23" s="338">
        <f t="shared" si="9"/>
        <v>-0.38646114689079197</v>
      </c>
      <c r="AK23" s="338">
        <f t="shared" si="10"/>
        <v>5.1528152918772259</v>
      </c>
      <c r="AL23" s="338">
        <f t="shared" si="11"/>
        <v>0</v>
      </c>
      <c r="AM23" s="338">
        <f t="shared" si="23"/>
        <v>0</v>
      </c>
      <c r="AN23" s="338">
        <f t="shared" si="24"/>
        <v>0</v>
      </c>
      <c r="AO23" s="333">
        <f t="shared" si="25"/>
        <v>0</v>
      </c>
      <c r="AP23" s="200">
        <f>IF(OR($I$2="RRO (Capped)",$I$2="RRO (Uncapped)"),VLOOKUP(A23,'Misc. Data &amp; Mechanisms'!$A$1483:$H$1574,5,FALSE),BA23)</f>
        <v>0.28499999999999998</v>
      </c>
      <c r="AQ23" s="333">
        <f t="shared" si="26"/>
        <v>8.8349999999999991</v>
      </c>
      <c r="AR23" s="388">
        <f>5%</f>
        <v>0.05</v>
      </c>
      <c r="AS23" s="341">
        <f>'Misc. Data &amp; Mechanisms'!AK296</f>
        <v>544.37700150246837</v>
      </c>
      <c r="AT23" s="196">
        <f>'Misc. Data &amp; Mechanisms'!AP296</f>
        <v>484.40845953707566</v>
      </c>
      <c r="AU23" s="1087">
        <f>'Misc. Data &amp; Mechanisms'!T296</f>
        <v>613.43039189014598</v>
      </c>
      <c r="AV23" s="1087">
        <f>'Misc. Data &amp; Mechanisms'!U296</f>
        <v>465.53702471391392</v>
      </c>
      <c r="AW23" s="1087">
        <f>'Misc. Data &amp; Mechanisms'!V296</f>
        <v>344.52837610092621</v>
      </c>
      <c r="AX23" s="1463">
        <f>'Misc. Data &amp; Mechanisms'!$B$259</f>
        <v>611.34673880086393</v>
      </c>
      <c r="AY23" s="197">
        <f>IFERROR(IF('Personalized Bill Menu'!$B$30="Yes", IF('Personalized Bill Menu'!$B$34="Natural Gas",0,VLOOKUP($A23, 'Personalized Bill Menu'!$H$4:$L$93, 2, FALSE)), 0), 0)</f>
        <v>0</v>
      </c>
      <c r="AZ23" s="1343">
        <f>IFERROR(IF('Personalized Bill Menu'!$C$36="Custom", IF('Personalized Bill Menu'!$B$34="Natural Gas",0,VLOOKUP($A23, 'Personalized Bill Menu'!$H$4:$L$93, 3, FALSE)), 0), 0)</f>
        <v>0</v>
      </c>
      <c r="BA23" s="1344">
        <f>IFERROR(IF('Personalized Bill Menu'!$C$36="Custom", IF('Personalized Bill Menu'!$B$34="Natural Gas",0,VLOOKUP($A23, 'Personalized Bill Menu'!$H$4:$L$93, 4, FALSE)), 0), 0)</f>
        <v>0</v>
      </c>
      <c r="BB23" s="335"/>
      <c r="BC23" s="335"/>
      <c r="BD23" s="335"/>
    </row>
    <row r="24" spans="1:56" ht="15" x14ac:dyDescent="0.25">
      <c r="A24" s="206">
        <v>41426</v>
      </c>
      <c r="B24" s="226">
        <f t="shared" si="0"/>
        <v>30</v>
      </c>
      <c r="C24" s="1581">
        <f t="shared" si="12"/>
        <v>493.82383121563601</v>
      </c>
      <c r="D24" s="181">
        <f t="shared" si="13"/>
        <v>28.352386956255149</v>
      </c>
      <c r="E24" s="178">
        <f t="shared" si="14"/>
        <v>18.6976482</v>
      </c>
      <c r="F24" s="86">
        <f t="shared" si="15"/>
        <v>140.01084350846142</v>
      </c>
      <c r="G24" s="115">
        <f t="shared" si="16"/>
        <v>38.503444119883142</v>
      </c>
      <c r="H24" s="66">
        <f t="shared" si="17"/>
        <v>13.72830250779468</v>
      </c>
      <c r="I24" s="66">
        <f t="shared" si="1"/>
        <v>63.913165619761621</v>
      </c>
      <c r="J24" s="66">
        <f t="shared" si="18"/>
        <v>7.6709770510025619</v>
      </c>
      <c r="K24" s="66">
        <f t="shared" si="19"/>
        <v>0.97777118580695932</v>
      </c>
      <c r="L24" s="66">
        <f t="shared" si="20"/>
        <v>8.5499999999999989</v>
      </c>
      <c r="M24" s="68">
        <f t="shared" si="21"/>
        <v>6.6671830242124486</v>
      </c>
      <c r="N24" s="273">
        <f>IF($I$2="RRO (Capped)",VLOOKUP(A24,'Misc. Data &amp; Mechanisms'!$A$1278:$E$1368,5,FALSE),IF($I$2="RRO (Uncapped)",VLOOKUP(A24,'Misc. Data &amp; Mechanisms'!$G$1278:$K$1368,5,FALSE),AZ24))</f>
        <v>7.7969999999999997</v>
      </c>
      <c r="O24" s="333">
        <f t="shared" si="22"/>
        <v>38.503444119883142</v>
      </c>
      <c r="P24" s="390">
        <v>2.78</v>
      </c>
      <c r="Q24" s="333">
        <f t="shared" si="2"/>
        <v>13.72830250779468</v>
      </c>
      <c r="R24" s="390">
        <v>6.15</v>
      </c>
      <c r="S24" s="390">
        <v>86.79</v>
      </c>
      <c r="T24" s="390">
        <v>25.02</v>
      </c>
      <c r="U24" s="338">
        <f t="shared" si="3"/>
        <v>30.370165619761618</v>
      </c>
      <c r="V24" s="338">
        <f t="shared" si="4"/>
        <v>26.037000000000003</v>
      </c>
      <c r="W24" s="333">
        <f t="shared" si="5"/>
        <v>7.5059999999999993</v>
      </c>
      <c r="X24" s="205">
        <f>VLOOKUP($A24,'Misc. Data &amp; Mechanisms'!$A$63:$DY$152,HLOOKUP('Service Zone Menu'!$K$6&amp;"_ATCO_Elec_Y_1",'Misc. Data &amp; Mechanisms'!$A$55:$DY$62,8,FALSE), FALSE)</f>
        <v>7.7499999999999999E-2</v>
      </c>
      <c r="Y24" s="205">
        <f>VLOOKUP($A24,'Misc. Data &amp; Mechanisms'!$A$63:$DY$152,HLOOKUP('Service Zone Menu'!$K$6&amp;"_ATCO_Elec_Y_2",'Misc. Data &amp; Mechanisms'!$A$55:$DY$62,8,FALSE), FALSE)</f>
        <v>2.1299999999999999E-2</v>
      </c>
      <c r="Z24" s="338">
        <f t="shared" si="6"/>
        <v>6.0172137798856129</v>
      </c>
      <c r="AA24" s="333">
        <f t="shared" si="7"/>
        <v>1.653763271116949</v>
      </c>
      <c r="AB24" s="291">
        <v>-0.57899999999999996</v>
      </c>
      <c r="AC24" s="291">
        <v>-6.3E-2</v>
      </c>
      <c r="AD24" s="291">
        <v>0.84</v>
      </c>
      <c r="AE24" s="392"/>
      <c r="AF24" s="291"/>
      <c r="AG24" s="290"/>
      <c r="AH24" s="290"/>
      <c r="AI24" s="338">
        <f t="shared" si="8"/>
        <v>-2.8592399827385324</v>
      </c>
      <c r="AJ24" s="338">
        <f t="shared" si="9"/>
        <v>-0.3111090136658507</v>
      </c>
      <c r="AK24" s="338">
        <f t="shared" si="10"/>
        <v>4.1481201822113425</v>
      </c>
      <c r="AL24" s="338">
        <f t="shared" si="11"/>
        <v>0</v>
      </c>
      <c r="AM24" s="338">
        <f t="shared" si="23"/>
        <v>0</v>
      </c>
      <c r="AN24" s="338">
        <f t="shared" si="24"/>
        <v>0</v>
      </c>
      <c r="AO24" s="333">
        <f t="shared" si="25"/>
        <v>0</v>
      </c>
      <c r="AP24" s="200">
        <f>IF(OR($I$2="RRO (Capped)",$I$2="RRO (Uncapped)"),VLOOKUP(A24,'Misc. Data &amp; Mechanisms'!$A$1483:$H$1574,5,FALSE),BA24)</f>
        <v>0.28499999999999998</v>
      </c>
      <c r="AQ24" s="333">
        <f t="shared" si="26"/>
        <v>8.5499999999999989</v>
      </c>
      <c r="AR24" s="388">
        <f>5%</f>
        <v>0.05</v>
      </c>
      <c r="AS24" s="341">
        <f>'Misc. Data &amp; Mechanisms'!AK297</f>
        <v>438.23445995119653</v>
      </c>
      <c r="AT24" s="196">
        <f>'Misc. Data &amp; Mechanisms'!AP297</f>
        <v>470.95388128869058</v>
      </c>
      <c r="AU24" s="1087">
        <f>'Misc. Data &amp; Mechanisms'!T297</f>
        <v>493.82383121563601</v>
      </c>
      <c r="AV24" s="1087">
        <f>'Misc. Data &amp; Mechanisms'!U297</f>
        <v>374.76668935262478</v>
      </c>
      <c r="AW24" s="1087">
        <f>'Misc. Data &amp; Mechanisms'!V297</f>
        <v>277.35228788457096</v>
      </c>
      <c r="AX24" s="1463">
        <f>'Misc. Data &amp; Mechanisms'!$B$259</f>
        <v>611.34673880086393</v>
      </c>
      <c r="AY24" s="197">
        <f>IFERROR(IF('Personalized Bill Menu'!$B$30="Yes", IF('Personalized Bill Menu'!$B$34="Natural Gas",0,VLOOKUP($A24, 'Personalized Bill Menu'!$H$4:$L$93, 2, FALSE)), 0), 0)</f>
        <v>0</v>
      </c>
      <c r="AZ24" s="1343">
        <f>IFERROR(IF('Personalized Bill Menu'!$C$36="Custom", IF('Personalized Bill Menu'!$B$34="Natural Gas",0,VLOOKUP($A24, 'Personalized Bill Menu'!$H$4:$L$93, 3, FALSE)), 0), 0)</f>
        <v>0</v>
      </c>
      <c r="BA24" s="1344">
        <f>IFERROR(IF('Personalized Bill Menu'!$C$36="Custom", IF('Personalized Bill Menu'!$B$34="Natural Gas",0,VLOOKUP($A24, 'Personalized Bill Menu'!$H$4:$L$93, 4, FALSE)), 0), 0)</f>
        <v>0</v>
      </c>
      <c r="BB24" s="335"/>
      <c r="BC24" s="335"/>
      <c r="BD24" s="335"/>
    </row>
    <row r="25" spans="1:56" ht="15" x14ac:dyDescent="0.25">
      <c r="A25" s="206">
        <v>41456</v>
      </c>
      <c r="B25" s="226">
        <f t="shared" si="0"/>
        <v>31</v>
      </c>
      <c r="C25" s="1581">
        <f t="shared" si="12"/>
        <v>571.41991929675805</v>
      </c>
      <c r="D25" s="181">
        <f>IFERROR(($F25*100)/$C25, "")</f>
        <v>30.704642059519653</v>
      </c>
      <c r="E25" s="178">
        <f t="shared" si="14"/>
        <v>22.082848200000001</v>
      </c>
      <c r="F25" s="86">
        <f t="shared" si="15"/>
        <v>175.45244087686564</v>
      </c>
      <c r="G25" s="115">
        <f t="shared" si="16"/>
        <v>64.650449669235215</v>
      </c>
      <c r="H25" s="66">
        <f t="shared" si="17"/>
        <v>15.885473756449873</v>
      </c>
      <c r="I25" s="66">
        <f t="shared" si="1"/>
        <v>69.803425036750639</v>
      </c>
      <c r="J25" s="66">
        <f t="shared" si="18"/>
        <v>8.4660632007682093</v>
      </c>
      <c r="K25" s="66">
        <f t="shared" si="19"/>
        <v>-0.54284892333192047</v>
      </c>
      <c r="L25" s="66">
        <f t="shared" si="20"/>
        <v>8.8349999999999991</v>
      </c>
      <c r="M25" s="68">
        <f t="shared" si="21"/>
        <v>8.3548781369936034</v>
      </c>
      <c r="N25" s="273">
        <f>IF($I$2="RRO (Capped)",VLOOKUP(A25,'Misc. Data &amp; Mechanisms'!$A$1278:$E$1368,5,FALSE),IF($I$2="RRO (Uncapped)",VLOOKUP(A25,'Misc. Data &amp; Mechanisms'!$G$1278:$K$1368,5,FALSE),AZ25))</f>
        <v>11.314</v>
      </c>
      <c r="O25" s="333">
        <f t="shared" si="22"/>
        <v>64.650449669235215</v>
      </c>
      <c r="P25" s="390">
        <v>2.78</v>
      </c>
      <c r="Q25" s="333">
        <f t="shared" si="2"/>
        <v>15.885473756449873</v>
      </c>
      <c r="R25" s="390">
        <v>6.15</v>
      </c>
      <c r="S25" s="390">
        <v>86.79</v>
      </c>
      <c r="T25" s="390">
        <v>25.02</v>
      </c>
      <c r="U25" s="338">
        <f t="shared" si="3"/>
        <v>35.142325036750627</v>
      </c>
      <c r="V25" s="338">
        <f t="shared" si="4"/>
        <v>26.904900000000005</v>
      </c>
      <c r="W25" s="333">
        <f t="shared" si="5"/>
        <v>7.7561999999999998</v>
      </c>
      <c r="X25" s="205">
        <f>VLOOKUP($A25,'Misc. Data &amp; Mechanisms'!$A$63:$DY$152,HLOOKUP('Service Zone Menu'!$K$6&amp;"_ATCO_Elec_Y_1",'Misc. Data &amp; Mechanisms'!$A$55:$DY$62,8,FALSE), FALSE)</f>
        <v>7.7499999999999999E-2</v>
      </c>
      <c r="Y25" s="205">
        <f>VLOOKUP($A25,'Misc. Data &amp; Mechanisms'!$A$63:$DY$152,HLOOKUP('Service Zone Menu'!$K$6&amp;"_ATCO_Elec_Y_2",'Misc. Data &amp; Mechanisms'!$A$55:$DY$62,8,FALSE), FALSE)</f>
        <v>2.1299999999999999E-2</v>
      </c>
      <c r="Z25" s="338">
        <f t="shared" si="6"/>
        <v>6.6408896564730391</v>
      </c>
      <c r="AA25" s="333">
        <f t="shared" si="7"/>
        <v>1.8251735442951709</v>
      </c>
      <c r="AB25" s="291">
        <v>-0.57899999999999996</v>
      </c>
      <c r="AC25" s="291">
        <v>-6.3E-2</v>
      </c>
      <c r="AD25" s="291">
        <v>0.54700000000000004</v>
      </c>
      <c r="AE25" s="392"/>
      <c r="AF25" s="291"/>
      <c r="AG25" s="290"/>
      <c r="AH25" s="290"/>
      <c r="AI25" s="338">
        <f t="shared" si="8"/>
        <v>-3.3085213327282292</v>
      </c>
      <c r="AJ25" s="338">
        <f t="shared" si="9"/>
        <v>-0.35999454915695761</v>
      </c>
      <c r="AK25" s="338">
        <f t="shared" si="10"/>
        <v>3.1256669585532664</v>
      </c>
      <c r="AL25" s="338">
        <f t="shared" si="11"/>
        <v>0</v>
      </c>
      <c r="AM25" s="338">
        <f t="shared" si="23"/>
        <v>0</v>
      </c>
      <c r="AN25" s="338">
        <f t="shared" si="24"/>
        <v>0</v>
      </c>
      <c r="AO25" s="333">
        <f t="shared" si="25"/>
        <v>0</v>
      </c>
      <c r="AP25" s="200">
        <f>IF(OR($I$2="RRO (Capped)",$I$2="RRO (Uncapped)"),VLOOKUP(A25,'Misc. Data &amp; Mechanisms'!$A$1483:$H$1574,5,FALSE),BA25)</f>
        <v>0.28499999999999998</v>
      </c>
      <c r="AQ25" s="333">
        <f t="shared" si="26"/>
        <v>8.8349999999999991</v>
      </c>
      <c r="AR25" s="388">
        <f>5%</f>
        <v>0.05</v>
      </c>
      <c r="AS25" s="341">
        <f>'Misc. Data &amp; Mechanisms'!AK298</f>
        <v>507.09561570150913</v>
      </c>
      <c r="AT25" s="196">
        <f>'Misc. Data &amp; Mechanisms'!AP298</f>
        <v>503.85754984348307</v>
      </c>
      <c r="AU25" s="1087">
        <f>'Misc. Data &amp; Mechanisms'!T298</f>
        <v>571.41991929675805</v>
      </c>
      <c r="AV25" s="1087">
        <f>'Misc. Data &amp; Mechanisms'!U298</f>
        <v>433.65495516452387</v>
      </c>
      <c r="AW25" s="1087">
        <f>'Misc. Data &amp; Mechanisms'!V298</f>
        <v>320.93352313442301</v>
      </c>
      <c r="AX25" s="1463">
        <f>'Misc. Data &amp; Mechanisms'!$B$259</f>
        <v>611.34673880086393</v>
      </c>
      <c r="AY25" s="197">
        <f>IFERROR(IF('Personalized Bill Menu'!$B$30="Yes", IF('Personalized Bill Menu'!$B$34="Natural Gas",0,VLOOKUP($A25, 'Personalized Bill Menu'!$H$4:$L$93, 2, FALSE)), 0), 0)</f>
        <v>0</v>
      </c>
      <c r="AZ25" s="1343">
        <f>IFERROR(IF('Personalized Bill Menu'!$C$36="Custom", IF('Personalized Bill Menu'!$B$34="Natural Gas",0,VLOOKUP($A25, 'Personalized Bill Menu'!$H$4:$L$93, 3, FALSE)), 0), 0)</f>
        <v>0</v>
      </c>
      <c r="BA25" s="1344">
        <f>IFERROR(IF('Personalized Bill Menu'!$C$36="Custom", IF('Personalized Bill Menu'!$B$34="Natural Gas",0,VLOOKUP($A25, 'Personalized Bill Menu'!$H$4:$L$93, 4, FALSE)), 0), 0)</f>
        <v>0</v>
      </c>
      <c r="BB25" s="335"/>
      <c r="BC25" s="335"/>
      <c r="BD25" s="335"/>
    </row>
    <row r="26" spans="1:56" x14ac:dyDescent="0.35">
      <c r="A26" s="206">
        <v>41487</v>
      </c>
      <c r="B26" s="226">
        <f t="shared" si="0"/>
        <v>31</v>
      </c>
      <c r="C26" s="1581">
        <f t="shared" si="12"/>
        <v>535.21165011865264</v>
      </c>
      <c r="D26" s="181">
        <f>IFERROR(($F26*100)/$C26, "")</f>
        <v>31.107325761947301</v>
      </c>
      <c r="E26" s="178">
        <f t="shared" si="14"/>
        <v>21.902248200000002</v>
      </c>
      <c r="F26" s="86">
        <f t="shared" si="15"/>
        <v>166.49003151830289</v>
      </c>
      <c r="G26" s="115">
        <f t="shared" si="16"/>
        <v>59.633282056220274</v>
      </c>
      <c r="H26" s="66">
        <f t="shared" si="17"/>
        <v>14.878883873298543</v>
      </c>
      <c r="I26" s="66">
        <f t="shared" si="1"/>
        <v>67.57661648229714</v>
      </c>
      <c r="J26" s="66">
        <f t="shared" si="18"/>
        <v>8.1466034351328531</v>
      </c>
      <c r="K26" s="66">
        <f t="shared" si="19"/>
        <v>-0.50845106761271985</v>
      </c>
      <c r="L26" s="66">
        <f t="shared" si="20"/>
        <v>8.8349999999999991</v>
      </c>
      <c r="M26" s="68">
        <f t="shared" si="21"/>
        <v>7.9280967389668042</v>
      </c>
      <c r="N26" s="273">
        <f>IF($I$2="RRO (Capped)",VLOOKUP(A26,'Misc. Data &amp; Mechanisms'!$A$1278:$E$1368,5,FALSE),IF($I$2="RRO (Uncapped)",VLOOKUP(A26,'Misc. Data &amp; Mechanisms'!$G$1278:$K$1368,5,FALSE),AZ26))</f>
        <v>11.141999999999999</v>
      </c>
      <c r="O26" s="333">
        <f t="shared" si="22"/>
        <v>59.633282056220274</v>
      </c>
      <c r="P26" s="390">
        <v>2.78</v>
      </c>
      <c r="Q26" s="333">
        <f t="shared" si="2"/>
        <v>14.878883873298543</v>
      </c>
      <c r="R26" s="390">
        <v>6.15</v>
      </c>
      <c r="S26" s="390">
        <v>86.79</v>
      </c>
      <c r="T26" s="390">
        <v>25.02</v>
      </c>
      <c r="U26" s="338">
        <f t="shared" si="3"/>
        <v>32.915516482297143</v>
      </c>
      <c r="V26" s="338">
        <f t="shared" si="4"/>
        <v>26.904900000000005</v>
      </c>
      <c r="W26" s="333">
        <f t="shared" si="5"/>
        <v>7.7561999999999998</v>
      </c>
      <c r="X26" s="205">
        <f>VLOOKUP($A26,'Misc. Data &amp; Mechanisms'!$A$63:$DY$152,HLOOKUP('Service Zone Menu'!$K$6&amp;"_ATCO_Elec_Y_1",'Misc. Data &amp; Mechanisms'!$A$55:$DY$62,8,FALSE), FALSE)</f>
        <v>7.7499999999999999E-2</v>
      </c>
      <c r="Y26" s="205">
        <f>VLOOKUP($A26,'Misc. Data &amp; Mechanisms'!$A$63:$DY$152,HLOOKUP('Service Zone Menu'!$K$6&amp;"_ATCO_Elec_Y_2",'Misc. Data &amp; Mechanisms'!$A$55:$DY$62,8,FALSE), FALSE)</f>
        <v>2.1299999999999999E-2</v>
      </c>
      <c r="Z26" s="338">
        <f t="shared" si="6"/>
        <v>6.3903012775586658</v>
      </c>
      <c r="AA26" s="333">
        <f t="shared" si="7"/>
        <v>1.7563021575741882</v>
      </c>
      <c r="AB26" s="291">
        <v>-0.57899999999999996</v>
      </c>
      <c r="AC26" s="291">
        <v>-6.3E-2</v>
      </c>
      <c r="AD26" s="291">
        <v>0.54700000000000004</v>
      </c>
      <c r="AE26" s="392"/>
      <c r="AF26" s="291"/>
      <c r="AG26" s="290"/>
      <c r="AH26" s="290"/>
      <c r="AI26" s="338">
        <f t="shared" si="8"/>
        <v>-3.0988754541869987</v>
      </c>
      <c r="AJ26" s="338">
        <f t="shared" si="9"/>
        <v>-0.33718333957475116</v>
      </c>
      <c r="AK26" s="338">
        <f t="shared" si="10"/>
        <v>2.9276077261490299</v>
      </c>
      <c r="AL26" s="338">
        <f t="shared" si="11"/>
        <v>0</v>
      </c>
      <c r="AM26" s="338">
        <f t="shared" si="23"/>
        <v>0</v>
      </c>
      <c r="AN26" s="338">
        <f t="shared" si="24"/>
        <v>0</v>
      </c>
      <c r="AO26" s="333">
        <f t="shared" si="25"/>
        <v>0</v>
      </c>
      <c r="AP26" s="200">
        <f>IF(OR($I$2="RRO (Capped)",$I$2="RRO (Uncapped)"),VLOOKUP(A26,'Misc. Data &amp; Mechanisms'!$A$1483:$H$1574,5,FALSE),BA26)</f>
        <v>0.28499999999999998</v>
      </c>
      <c r="AQ26" s="333">
        <f t="shared" si="26"/>
        <v>8.8349999999999991</v>
      </c>
      <c r="AR26" s="388">
        <f>5%</f>
        <v>0.05</v>
      </c>
      <c r="AS26" s="341">
        <f>'Misc. Data &amp; Mechanisms'!AK299</f>
        <v>474.96328371183307</v>
      </c>
      <c r="AT26" s="196">
        <f>'Misc. Data &amp; Mechanisms'!AP299</f>
        <v>503.25925664322148</v>
      </c>
      <c r="AU26" s="1087">
        <f>'Misc. Data &amp; Mechanisms'!T299</f>
        <v>535.21165011865264</v>
      </c>
      <c r="AV26" s="1087">
        <f>'Misc. Data &amp; Mechanisms'!U299</f>
        <v>406.17622224541162</v>
      </c>
      <c r="AW26" s="1087">
        <f>'Misc. Data &amp; Mechanisms'!V299</f>
        <v>300.59743228160482</v>
      </c>
      <c r="AX26" s="1463">
        <f>'Misc. Data &amp; Mechanisms'!$B$259</f>
        <v>611.34673880086393</v>
      </c>
      <c r="AY26" s="197">
        <f>IFERROR(IF('Personalized Bill Menu'!$B$30="Yes", IF('Personalized Bill Menu'!$B$34="Natural Gas",0,VLOOKUP($A26, 'Personalized Bill Menu'!$H$4:$L$93, 2, FALSE)), 0), 0)</f>
        <v>0</v>
      </c>
      <c r="AZ26" s="1343">
        <f>IFERROR(IF('Personalized Bill Menu'!$C$36="Custom", IF('Personalized Bill Menu'!$B$34="Natural Gas",0,VLOOKUP($A26, 'Personalized Bill Menu'!$H$4:$L$93, 3, FALSE)), 0), 0)</f>
        <v>0</v>
      </c>
      <c r="BA26" s="1344">
        <f>IFERROR(IF('Personalized Bill Menu'!$C$36="Custom", IF('Personalized Bill Menu'!$B$34="Natural Gas",0,VLOOKUP($A26, 'Personalized Bill Menu'!$H$4:$L$93, 4, FALSE)), 0), 0)</f>
        <v>0</v>
      </c>
      <c r="BB26" s="335"/>
      <c r="BC26" s="335"/>
      <c r="BD26" s="335"/>
    </row>
    <row r="27" spans="1:56" x14ac:dyDescent="0.35">
      <c r="A27" s="206">
        <v>41518</v>
      </c>
      <c r="B27" s="226">
        <f t="shared" si="0"/>
        <v>30</v>
      </c>
      <c r="C27" s="1581">
        <f t="shared" si="12"/>
        <v>549.0357943672268</v>
      </c>
      <c r="D27" s="181">
        <f>IFERROR(($F27*100)/$C27, "")</f>
        <v>31.100590184282471</v>
      </c>
      <c r="E27" s="178">
        <f t="shared" si="14"/>
        <v>22.416748200000001</v>
      </c>
      <c r="F27" s="86">
        <f t="shared" si="15"/>
        <v>170.75337237117103</v>
      </c>
      <c r="G27" s="115">
        <f t="shared" si="16"/>
        <v>63.863843600795818</v>
      </c>
      <c r="H27" s="66">
        <f t="shared" si="17"/>
        <v>15.263195083408904</v>
      </c>
      <c r="I27" s="66">
        <f t="shared" si="1"/>
        <v>67.308701353584453</v>
      </c>
      <c r="J27" s="66">
        <f t="shared" si="18"/>
        <v>8.1581033679749435</v>
      </c>
      <c r="K27" s="66">
        <f t="shared" si="19"/>
        <v>-0.52158400464886556</v>
      </c>
      <c r="L27" s="66">
        <f t="shared" si="20"/>
        <v>8.5499999999999989</v>
      </c>
      <c r="M27" s="68">
        <f t="shared" si="21"/>
        <v>8.1311129700557636</v>
      </c>
      <c r="N27" s="273">
        <f>IF($I$2="RRO (Capped)",VLOOKUP(A27,'Misc. Data &amp; Mechanisms'!$A$1278:$E$1368,5,FALSE),IF($I$2="RRO (Uncapped)",VLOOKUP(A27,'Misc. Data &amp; Mechanisms'!$G$1278:$K$1368,5,FALSE),AZ27))</f>
        <v>11.632</v>
      </c>
      <c r="O27" s="333">
        <f t="shared" si="22"/>
        <v>63.863843600795818</v>
      </c>
      <c r="P27" s="390">
        <v>2.78</v>
      </c>
      <c r="Q27" s="333">
        <f t="shared" si="2"/>
        <v>15.263195083408904</v>
      </c>
      <c r="R27" s="390">
        <v>6.15</v>
      </c>
      <c r="S27" s="390">
        <v>86.79</v>
      </c>
      <c r="T27" s="390">
        <v>25.02</v>
      </c>
      <c r="U27" s="338">
        <f t="shared" si="3"/>
        <v>33.765701353584454</v>
      </c>
      <c r="V27" s="338">
        <f t="shared" si="4"/>
        <v>26.037000000000003</v>
      </c>
      <c r="W27" s="333">
        <f t="shared" si="5"/>
        <v>7.5059999999999993</v>
      </c>
      <c r="X27" s="205">
        <f>VLOOKUP($A27,'Misc. Data &amp; Mechanisms'!$A$63:$DY$152,HLOOKUP('Service Zone Menu'!$K$6&amp;"_ATCO_Elec_Y_1",'Misc. Data &amp; Mechanisms'!$A$55:$DY$62,8,FALSE), FALSE)</f>
        <v>7.7499999999999999E-2</v>
      </c>
      <c r="Y27" s="205">
        <f>VLOOKUP($A27,'Misc. Data &amp; Mechanisms'!$A$63:$DY$152,HLOOKUP('Service Zone Menu'!$K$6&amp;"_ATCO_Elec_Y_2",'Misc. Data &amp; Mechanisms'!$A$55:$DY$62,8,FALSE), FALSE)</f>
        <v>2.1299999999999999E-2</v>
      </c>
      <c r="Z27" s="338">
        <f t="shared" si="6"/>
        <v>6.3993219738669849</v>
      </c>
      <c r="AA27" s="333">
        <f t="shared" si="7"/>
        <v>1.7587813941079584</v>
      </c>
      <c r="AB27" s="291">
        <v>-0.57899999999999996</v>
      </c>
      <c r="AC27" s="291">
        <v>-6.3E-2</v>
      </c>
      <c r="AD27" s="291">
        <v>0.54700000000000004</v>
      </c>
      <c r="AE27" s="392"/>
      <c r="AF27" s="291"/>
      <c r="AG27" s="290"/>
      <c r="AH27" s="290"/>
      <c r="AI27" s="338">
        <f t="shared" si="8"/>
        <v>-3.178917249386243</v>
      </c>
      <c r="AJ27" s="338">
        <f t="shared" si="9"/>
        <v>-0.34589255045135292</v>
      </c>
      <c r="AK27" s="338">
        <f t="shared" si="10"/>
        <v>3.0032257951887305</v>
      </c>
      <c r="AL27" s="338">
        <f t="shared" si="11"/>
        <v>0</v>
      </c>
      <c r="AM27" s="338">
        <f t="shared" si="23"/>
        <v>0</v>
      </c>
      <c r="AN27" s="338">
        <f t="shared" si="24"/>
        <v>0</v>
      </c>
      <c r="AO27" s="333">
        <f t="shared" si="25"/>
        <v>0</v>
      </c>
      <c r="AP27" s="200">
        <f>IF(OR($I$2="RRO (Capped)",$I$2="RRO (Uncapped)"),VLOOKUP(A27,'Misc. Data &amp; Mechanisms'!$A$1483:$H$1574,5,FALSE),BA27)</f>
        <v>0.28499999999999998</v>
      </c>
      <c r="AQ27" s="333">
        <f t="shared" si="26"/>
        <v>8.5499999999999989</v>
      </c>
      <c r="AR27" s="388">
        <f>5%</f>
        <v>0.05</v>
      </c>
      <c r="AS27" s="341">
        <f>'Misc. Data &amp; Mechanisms'!AK300</f>
        <v>487.23125460774537</v>
      </c>
      <c r="AT27" s="196">
        <f>'Misc. Data &amp; Mechanisms'!AP300</f>
        <v>488.30890756761858</v>
      </c>
      <c r="AU27" s="1087">
        <f>'Misc. Data &amp; Mechanisms'!T300</f>
        <v>549.0357943672268</v>
      </c>
      <c r="AV27" s="1087">
        <f>'Misc. Data &amp; Mechanisms'!U300</f>
        <v>416.66747124086351</v>
      </c>
      <c r="AW27" s="1087">
        <f>'Misc. Data &amp; Mechanisms'!V300</f>
        <v>308.36165464801007</v>
      </c>
      <c r="AX27" s="1463">
        <f>'Misc. Data &amp; Mechanisms'!$B$259</f>
        <v>611.34673880086393</v>
      </c>
      <c r="AY27" s="197">
        <f>IFERROR(IF('Personalized Bill Menu'!$B$30="Yes", IF('Personalized Bill Menu'!$B$34="Natural Gas",0,VLOOKUP($A27, 'Personalized Bill Menu'!$H$4:$L$93, 2, FALSE)), 0), 0)</f>
        <v>0</v>
      </c>
      <c r="AZ27" s="1343">
        <f>IFERROR(IF('Personalized Bill Menu'!$C$36="Custom", IF('Personalized Bill Menu'!$B$34="Natural Gas",0,VLOOKUP($A27, 'Personalized Bill Menu'!$H$4:$L$93, 3, FALSE)), 0), 0)</f>
        <v>0</v>
      </c>
      <c r="BA27" s="1344">
        <f>IFERROR(IF('Personalized Bill Menu'!$C$36="Custom", IF('Personalized Bill Menu'!$B$34="Natural Gas",0,VLOOKUP($A27, 'Personalized Bill Menu'!$H$4:$L$93, 4, FALSE)), 0), 0)</f>
        <v>0</v>
      </c>
      <c r="BB27" s="335"/>
      <c r="BC27" s="335"/>
      <c r="BD27" s="335"/>
    </row>
    <row r="28" spans="1:56" x14ac:dyDescent="0.35">
      <c r="A28" s="206">
        <v>41548</v>
      </c>
      <c r="B28" s="226">
        <f t="shared" si="0"/>
        <v>31</v>
      </c>
      <c r="C28" s="1581">
        <f t="shared" si="12"/>
        <v>632.65554656536801</v>
      </c>
      <c r="D28" s="181">
        <f t="shared" si="13"/>
        <v>27.181076408728959</v>
      </c>
      <c r="E28" s="178">
        <f t="shared" si="14"/>
        <v>19.393798199999999</v>
      </c>
      <c r="F28" s="86">
        <f t="shared" si="15"/>
        <v>171.9625875159945</v>
      </c>
      <c r="G28" s="115">
        <f t="shared" si="16"/>
        <v>51.801836152772339</v>
      </c>
      <c r="H28" s="66">
        <f t="shared" si="17"/>
        <v>17.587824194517228</v>
      </c>
      <c r="I28" s="66">
        <f t="shared" si="1"/>
        <v>73.569416113770131</v>
      </c>
      <c r="J28" s="66">
        <f t="shared" si="18"/>
        <v>9.0063353424587902</v>
      </c>
      <c r="K28" s="66">
        <f t="shared" si="19"/>
        <v>2.9734810688572306</v>
      </c>
      <c r="L28" s="66">
        <f t="shared" si="20"/>
        <v>8.8349999999999991</v>
      </c>
      <c r="M28" s="68">
        <f t="shared" si="21"/>
        <v>8.1886946436187866</v>
      </c>
      <c r="N28" s="273">
        <f>IF($I$2="RRO (Capped)",VLOOKUP(A28,'Misc. Data &amp; Mechanisms'!$A$1278:$E$1368,5,FALSE),IF($I$2="RRO (Uncapped)",VLOOKUP(A28,'Misc. Data &amp; Mechanisms'!$G$1278:$K$1368,5,FALSE),AZ28))</f>
        <v>8.1880000000000006</v>
      </c>
      <c r="O28" s="333">
        <f t="shared" si="22"/>
        <v>51.801836152772339</v>
      </c>
      <c r="P28" s="390">
        <v>2.78</v>
      </c>
      <c r="Q28" s="333">
        <f t="shared" si="2"/>
        <v>17.587824194517228</v>
      </c>
      <c r="R28" s="390">
        <v>6.15</v>
      </c>
      <c r="S28" s="390">
        <v>86.79</v>
      </c>
      <c r="T28" s="390">
        <v>25.02</v>
      </c>
      <c r="U28" s="338">
        <f t="shared" si="3"/>
        <v>38.908316113770134</v>
      </c>
      <c r="V28" s="338">
        <f t="shared" si="4"/>
        <v>26.904900000000005</v>
      </c>
      <c r="W28" s="333">
        <f t="shared" si="5"/>
        <v>7.7561999999999998</v>
      </c>
      <c r="X28" s="205">
        <f>VLOOKUP($A28,'Misc. Data &amp; Mechanisms'!$A$63:$DY$152,HLOOKUP('Service Zone Menu'!$K$6&amp;"_ATCO_Elec_Y_1",'Misc. Data &amp; Mechanisms'!$A$55:$DY$62,8,FALSE), FALSE)</f>
        <v>7.7499999999999999E-2</v>
      </c>
      <c r="Y28" s="205">
        <f>VLOOKUP($A28,'Misc. Data &amp; Mechanisms'!$A$63:$DY$152,HLOOKUP('Service Zone Menu'!$K$6&amp;"_ATCO_Elec_Y_2",'Misc. Data &amp; Mechanisms'!$A$55:$DY$62,8,FALSE), FALSE)</f>
        <v>2.1299999999999999E-2</v>
      </c>
      <c r="Z28" s="338">
        <f t="shared" si="6"/>
        <v>7.0646861238922698</v>
      </c>
      <c r="AA28" s="333">
        <f t="shared" si="7"/>
        <v>1.9416492185665206</v>
      </c>
      <c r="AB28" s="291">
        <v>-0.57899999999999996</v>
      </c>
      <c r="AC28" s="291">
        <v>-6.3E-2</v>
      </c>
      <c r="AD28" s="291">
        <v>1.1120000000000001</v>
      </c>
      <c r="AE28" s="392"/>
      <c r="AF28" s="291"/>
      <c r="AG28" s="290"/>
      <c r="AH28" s="290"/>
      <c r="AI28" s="338">
        <f t="shared" si="8"/>
        <v>-3.6630756146134806</v>
      </c>
      <c r="AJ28" s="338">
        <f t="shared" si="9"/>
        <v>-0.39857299433618187</v>
      </c>
      <c r="AK28" s="338">
        <f t="shared" si="10"/>
        <v>7.0351296778068928</v>
      </c>
      <c r="AL28" s="338">
        <f t="shared" si="11"/>
        <v>0</v>
      </c>
      <c r="AM28" s="338">
        <f t="shared" si="23"/>
        <v>0</v>
      </c>
      <c r="AN28" s="338">
        <f t="shared" si="24"/>
        <v>0</v>
      </c>
      <c r="AO28" s="333">
        <f t="shared" si="25"/>
        <v>0</v>
      </c>
      <c r="AP28" s="200">
        <f>IF(OR($I$2="RRO (Capped)",$I$2="RRO (Uncapped)"),VLOOKUP(A28,'Misc. Data &amp; Mechanisms'!$A$1483:$H$1574,5,FALSE),BA28)</f>
        <v>0.28499999999999998</v>
      </c>
      <c r="AQ28" s="333">
        <f t="shared" si="26"/>
        <v>8.8349999999999991</v>
      </c>
      <c r="AR28" s="388">
        <f>5%</f>
        <v>0.05</v>
      </c>
      <c r="AS28" s="341">
        <f>'Misc. Data &amp; Mechanisms'!AK301</f>
        <v>561.43799520913944</v>
      </c>
      <c r="AT28" s="196">
        <f>'Misc. Data &amp; Mechanisms'!AP301</f>
        <v>536.24747166657312</v>
      </c>
      <c r="AU28" s="1087">
        <f>'Misc. Data &amp; Mechanisms'!T301</f>
        <v>632.65554656536801</v>
      </c>
      <c r="AV28" s="1087">
        <f>'Misc. Data &amp; Mechanisms'!U301</f>
        <v>480.12714190649422</v>
      </c>
      <c r="AW28" s="1087">
        <f>'Misc. Data &amp; Mechanisms'!V301</f>
        <v>355.32603368051599</v>
      </c>
      <c r="AX28" s="1463">
        <f>'Misc. Data &amp; Mechanisms'!$B$259</f>
        <v>611.34673880086393</v>
      </c>
      <c r="AY28" s="197">
        <f>IFERROR(IF('Personalized Bill Menu'!$B$30="Yes", IF('Personalized Bill Menu'!$B$34="Natural Gas",0,VLOOKUP($A28, 'Personalized Bill Menu'!$H$4:$L$93, 2, FALSE)), 0), 0)</f>
        <v>0</v>
      </c>
      <c r="AZ28" s="1343">
        <f>IFERROR(IF('Personalized Bill Menu'!$C$36="Custom", IF('Personalized Bill Menu'!$B$34="Natural Gas",0,VLOOKUP($A28, 'Personalized Bill Menu'!$H$4:$L$93, 3, FALSE)), 0), 0)</f>
        <v>0</v>
      </c>
      <c r="BA28" s="1344">
        <f>IFERROR(IF('Personalized Bill Menu'!$C$36="Custom", IF('Personalized Bill Menu'!$B$34="Natural Gas",0,VLOOKUP($A28, 'Personalized Bill Menu'!$H$4:$L$93, 4, FALSE)), 0), 0)</f>
        <v>0</v>
      </c>
      <c r="BB28" s="335"/>
      <c r="BC28" s="335"/>
      <c r="BD28" s="335"/>
    </row>
    <row r="29" spans="1:56" x14ac:dyDescent="0.35">
      <c r="A29" s="206">
        <v>41579</v>
      </c>
      <c r="B29" s="226">
        <f t="shared" si="0"/>
        <v>30</v>
      </c>
      <c r="C29" s="1581">
        <f t="shared" si="12"/>
        <v>704.54869689285124</v>
      </c>
      <c r="D29" s="181">
        <f t="shared" si="13"/>
        <v>26.012832012696464</v>
      </c>
      <c r="E29" s="178">
        <f t="shared" si="14"/>
        <v>19.245748200000001</v>
      </c>
      <c r="F29" s="86">
        <f t="shared" si="15"/>
        <v>183.2730689703794</v>
      </c>
      <c r="G29" s="115">
        <f t="shared" si="16"/>
        <v>56.695033638967736</v>
      </c>
      <c r="H29" s="66">
        <f t="shared" si="17"/>
        <v>19.586453773621262</v>
      </c>
      <c r="I29" s="66">
        <f t="shared" si="1"/>
        <v>76.872744858910352</v>
      </c>
      <c r="J29" s="66">
        <f t="shared" si="18"/>
        <v>9.5301688248941225</v>
      </c>
      <c r="K29" s="66">
        <f t="shared" si="19"/>
        <v>3.3113788753964011</v>
      </c>
      <c r="L29" s="66">
        <f t="shared" si="20"/>
        <v>8.5499999999999989</v>
      </c>
      <c r="M29" s="68">
        <f t="shared" si="21"/>
        <v>8.7272889985894953</v>
      </c>
      <c r="N29" s="273">
        <f>IF($I$2="RRO (Capped)",VLOOKUP(A29,'Misc. Data &amp; Mechanisms'!$A$1278:$E$1368,5,FALSE),IF($I$2="RRO (Uncapped)",VLOOKUP(A29,'Misc. Data &amp; Mechanisms'!$G$1278:$K$1368,5,FALSE),AZ29))</f>
        <v>8.0470000000000006</v>
      </c>
      <c r="O29" s="333">
        <f t="shared" si="22"/>
        <v>56.695033638967736</v>
      </c>
      <c r="P29" s="390">
        <v>2.78</v>
      </c>
      <c r="Q29" s="333">
        <f t="shared" si="2"/>
        <v>19.586453773621262</v>
      </c>
      <c r="R29" s="390">
        <v>6.15</v>
      </c>
      <c r="S29" s="390">
        <v>86.79</v>
      </c>
      <c r="T29" s="390">
        <v>25.02</v>
      </c>
      <c r="U29" s="338">
        <f t="shared" si="3"/>
        <v>43.329744858910352</v>
      </c>
      <c r="V29" s="338">
        <f t="shared" si="4"/>
        <v>26.037000000000003</v>
      </c>
      <c r="W29" s="333">
        <f t="shared" si="5"/>
        <v>7.5059999999999993</v>
      </c>
      <c r="X29" s="205">
        <f>VLOOKUP($A29,'Misc. Data &amp; Mechanisms'!$A$63:$DY$152,HLOOKUP('Service Zone Menu'!$K$6&amp;"_ATCO_Elec_Y_1",'Misc. Data &amp; Mechanisms'!$A$55:$DY$62,8,FALSE), FALSE)</f>
        <v>7.7499999999999999E-2</v>
      </c>
      <c r="Y29" s="205">
        <f>VLOOKUP($A29,'Misc. Data &amp; Mechanisms'!$A$63:$DY$152,HLOOKUP('Service Zone Menu'!$K$6&amp;"_ATCO_Elec_Y_2",'Misc. Data &amp; Mechanisms'!$A$55:$DY$62,8,FALSE), FALSE)</f>
        <v>2.1299999999999999E-2</v>
      </c>
      <c r="Z29" s="338">
        <f t="shared" si="6"/>
        <v>7.4755878940211993</v>
      </c>
      <c r="AA29" s="333">
        <f t="shared" si="7"/>
        <v>2.0545809308729233</v>
      </c>
      <c r="AB29" s="291">
        <v>-0.57899999999999996</v>
      </c>
      <c r="AC29" s="291">
        <v>-6.3E-2</v>
      </c>
      <c r="AD29" s="291">
        <v>1.1120000000000001</v>
      </c>
      <c r="AE29" s="392"/>
      <c r="AF29" s="291"/>
      <c r="AG29" s="290"/>
      <c r="AH29" s="290"/>
      <c r="AI29" s="338">
        <f t="shared" si="8"/>
        <v>-4.0793369550096088</v>
      </c>
      <c r="AJ29" s="338">
        <f t="shared" si="9"/>
        <v>-0.4438656790424963</v>
      </c>
      <c r="AK29" s="338">
        <f t="shared" si="10"/>
        <v>7.8345815094485065</v>
      </c>
      <c r="AL29" s="338">
        <f t="shared" si="11"/>
        <v>0</v>
      </c>
      <c r="AM29" s="338">
        <f t="shared" si="23"/>
        <v>0</v>
      </c>
      <c r="AN29" s="338">
        <f t="shared" si="24"/>
        <v>0</v>
      </c>
      <c r="AO29" s="333">
        <f t="shared" si="25"/>
        <v>0</v>
      </c>
      <c r="AP29" s="200">
        <f>IF(OR($I$2="RRO (Capped)",$I$2="RRO (Uncapped)"),VLOOKUP(A29,'Misc. Data &amp; Mechanisms'!$A$1483:$H$1574,5,FALSE),BA29)</f>
        <v>0.28499999999999998</v>
      </c>
      <c r="AQ29" s="333">
        <f t="shared" si="26"/>
        <v>8.5499999999999989</v>
      </c>
      <c r="AR29" s="388">
        <f>5%</f>
        <v>0.05</v>
      </c>
      <c r="AS29" s="341">
        <f>'Misc. Data &amp; Mechanisms'!AK302</f>
        <v>625.23818855014724</v>
      </c>
      <c r="AT29" s="196">
        <f>'Misc. Data &amp; Mechanisms'!AP302</f>
        <v>604.45600582601537</v>
      </c>
      <c r="AU29" s="1087">
        <f>'Misc. Data &amp; Mechanisms'!T302</f>
        <v>704.54869689285124</v>
      </c>
      <c r="AV29" s="1087">
        <f>'Misc. Data &amp; Mechanisms'!U302</f>
        <v>534.68740455934358</v>
      </c>
      <c r="AW29" s="1087">
        <f>'Misc. Data &amp; Mechanisms'!V302</f>
        <v>395.70425859823945</v>
      </c>
      <c r="AX29" s="1463">
        <f>'Misc. Data &amp; Mechanisms'!$B$259</f>
        <v>611.34673880086393</v>
      </c>
      <c r="AY29" s="197">
        <f>IFERROR(IF('Personalized Bill Menu'!$B$30="Yes", IF('Personalized Bill Menu'!$B$34="Natural Gas",0,VLOOKUP($A29, 'Personalized Bill Menu'!$H$4:$L$93, 2, FALSE)), 0), 0)</f>
        <v>0</v>
      </c>
      <c r="AZ29" s="1343">
        <f>IFERROR(IF('Personalized Bill Menu'!$C$36="Custom", IF('Personalized Bill Menu'!$B$34="Natural Gas",0,VLOOKUP($A29, 'Personalized Bill Menu'!$H$4:$L$93, 3, FALSE)), 0), 0)</f>
        <v>0</v>
      </c>
      <c r="BA29" s="1344">
        <f>IFERROR(IF('Personalized Bill Menu'!$C$36="Custom", IF('Personalized Bill Menu'!$B$34="Natural Gas",0,VLOOKUP($A29, 'Personalized Bill Menu'!$H$4:$L$93, 4, FALSE)), 0), 0)</f>
        <v>0</v>
      </c>
      <c r="BB29" s="335"/>
      <c r="BC29" s="335"/>
      <c r="BD29" s="335"/>
    </row>
    <row r="30" spans="1:56" x14ac:dyDescent="0.35">
      <c r="A30" s="229">
        <v>41609</v>
      </c>
      <c r="B30" s="231">
        <f t="shared" si="0"/>
        <v>31</v>
      </c>
      <c r="C30" s="231">
        <f t="shared" si="12"/>
        <v>941.04867851826066</v>
      </c>
      <c r="D30" s="208">
        <f>IFERROR(($F30*100)/$C30, "")</f>
        <v>24.223790341483415</v>
      </c>
      <c r="E30" s="208">
        <f t="shared" si="14"/>
        <v>18.988498199999999</v>
      </c>
      <c r="F30" s="342">
        <f t="shared" si="15"/>
        <v>227.95765889556372</v>
      </c>
      <c r="G30" s="343">
        <f t="shared" si="16"/>
        <v>73.420617897994688</v>
      </c>
      <c r="H30" s="344">
        <f t="shared" si="17"/>
        <v>26.161153262807645</v>
      </c>
      <c r="I30" s="344">
        <f t="shared" si="1"/>
        <v>92.535593728873039</v>
      </c>
      <c r="J30" s="344">
        <f t="shared" si="18"/>
        <v>11.727238602778051</v>
      </c>
      <c r="K30" s="344">
        <f t="shared" si="19"/>
        <v>4.4229287890358258</v>
      </c>
      <c r="L30" s="344">
        <f t="shared" si="20"/>
        <v>8.8349999999999991</v>
      </c>
      <c r="M30" s="345">
        <f t="shared" si="21"/>
        <v>10.855126614074464</v>
      </c>
      <c r="N30" s="1243">
        <f>IF($I$2="RRO (Capped)",VLOOKUP(A30,'Misc. Data &amp; Mechanisms'!$A$1278:$E$1368,5,FALSE),IF($I$2="RRO (Uncapped)",VLOOKUP(A30,'Misc. Data &amp; Mechanisms'!$G$1278:$K$1368,5,FALSE),AZ30))</f>
        <v>7.8019999999999996</v>
      </c>
      <c r="O30" s="346">
        <f t="shared" si="22"/>
        <v>73.420617897994688</v>
      </c>
      <c r="P30" s="393">
        <v>2.78</v>
      </c>
      <c r="Q30" s="346">
        <f t="shared" si="2"/>
        <v>26.161153262807645</v>
      </c>
      <c r="R30" s="393">
        <v>6.15</v>
      </c>
      <c r="S30" s="393">
        <v>86.79</v>
      </c>
      <c r="T30" s="393">
        <v>25.02</v>
      </c>
      <c r="U30" s="349">
        <f t="shared" si="3"/>
        <v>57.874493728873034</v>
      </c>
      <c r="V30" s="349">
        <f t="shared" si="4"/>
        <v>26.904900000000005</v>
      </c>
      <c r="W30" s="346">
        <f t="shared" si="5"/>
        <v>7.7561999999999998</v>
      </c>
      <c r="X30" s="246">
        <f>VLOOKUP($A30,'Misc. Data &amp; Mechanisms'!$A$63:$DY$152,HLOOKUP('Service Zone Menu'!$K$6&amp;"_ATCO_Elec_Y_1",'Misc. Data &amp; Mechanisms'!$A$55:$DY$62,8,FALSE), FALSE)</f>
        <v>7.7499999999999999E-2</v>
      </c>
      <c r="Y30" s="246">
        <f>VLOOKUP($A30,'Misc. Data &amp; Mechanisms'!$A$63:$DY$152,HLOOKUP('Service Zone Menu'!$K$6&amp;"_ATCO_Elec_Y_2",'Misc. Data &amp; Mechanisms'!$A$55:$DY$62,8,FALSE), FALSE)</f>
        <v>2.1299999999999999E-2</v>
      </c>
      <c r="Z30" s="349">
        <f t="shared" si="6"/>
        <v>9.1989978918552531</v>
      </c>
      <c r="AA30" s="346">
        <f t="shared" si="7"/>
        <v>2.5282407109227987</v>
      </c>
      <c r="AB30" s="293">
        <v>-0.57899999999999996</v>
      </c>
      <c r="AC30" s="293">
        <v>-6.3E-2</v>
      </c>
      <c r="AD30" s="293">
        <v>1.1120000000000001</v>
      </c>
      <c r="AE30" s="395"/>
      <c r="AF30" s="293"/>
      <c r="AG30" s="292"/>
      <c r="AH30" s="292"/>
      <c r="AI30" s="349">
        <f t="shared" si="8"/>
        <v>-5.4486718486207293</v>
      </c>
      <c r="AJ30" s="349">
        <f t="shared" si="9"/>
        <v>-0.59286066746650423</v>
      </c>
      <c r="AK30" s="349">
        <f t="shared" si="10"/>
        <v>10.464461305123059</v>
      </c>
      <c r="AL30" s="349">
        <f t="shared" si="11"/>
        <v>0</v>
      </c>
      <c r="AM30" s="349">
        <f t="shared" si="23"/>
        <v>0</v>
      </c>
      <c r="AN30" s="349">
        <f t="shared" si="24"/>
        <v>0</v>
      </c>
      <c r="AO30" s="346">
        <f t="shared" si="25"/>
        <v>0</v>
      </c>
      <c r="AP30" s="239">
        <f>IF(OR($I$2="RRO (Capped)",$I$2="RRO (Uncapped)"),VLOOKUP(A30,'Misc. Data &amp; Mechanisms'!$A$1483:$H$1574,5,FALSE),BA30)</f>
        <v>0.28499999999999998</v>
      </c>
      <c r="AQ30" s="346">
        <f t="shared" si="26"/>
        <v>8.8349999999999991</v>
      </c>
      <c r="AR30" s="396">
        <f>5%</f>
        <v>0.05</v>
      </c>
      <c r="AS30" s="352">
        <f>'Misc. Data &amp; Mechanisms'!AK303</f>
        <v>835.11554799419173</v>
      </c>
      <c r="AT30" s="1089">
        <f>'Misc. Data &amp; Mechanisms'!AP303</f>
        <v>729.71069821545666</v>
      </c>
      <c r="AU30" s="1089">
        <f>'Misc. Data &amp; Mechanisms'!T303</f>
        <v>941.04867851826066</v>
      </c>
      <c r="AV30" s="1089">
        <f>'Misc. Data &amp; Mechanisms'!U303</f>
        <v>714.16905275669149</v>
      </c>
      <c r="AW30" s="1089">
        <f>'Misc. Data &amp; Mechanisms'!V303</f>
        <v>528.53262135059049</v>
      </c>
      <c r="AX30" s="1464">
        <f>'Misc. Data &amp; Mechanisms'!$B$259</f>
        <v>611.34673880086393</v>
      </c>
      <c r="AY30" s="243">
        <f>IFERROR(IF('Personalized Bill Menu'!$B$30="Yes", IF('Personalized Bill Menu'!$B$34="Natural Gas",0,VLOOKUP($A30, 'Personalized Bill Menu'!$H$4:$L$93, 2, FALSE)), 0), 0)</f>
        <v>0</v>
      </c>
      <c r="AZ30" s="1345">
        <f>IFERROR(IF('Personalized Bill Menu'!$C$36="Custom", IF('Personalized Bill Menu'!$B$34="Natural Gas",0,VLOOKUP($A30, 'Personalized Bill Menu'!$H$4:$L$93, 3, FALSE)), 0), 0)</f>
        <v>0</v>
      </c>
      <c r="BA30" s="1346">
        <f>IFERROR(IF('Personalized Bill Menu'!$C$36="Custom", IF('Personalized Bill Menu'!$B$34="Natural Gas",0,VLOOKUP($A30, 'Personalized Bill Menu'!$H$4:$L$93, 4, FALSE)), 0), 0)</f>
        <v>0</v>
      </c>
      <c r="BB30" s="335"/>
      <c r="BC30" s="335"/>
      <c r="BD30" s="335"/>
    </row>
    <row r="31" spans="1:56" x14ac:dyDescent="0.35">
      <c r="A31" s="206">
        <v>41640</v>
      </c>
      <c r="B31" s="226">
        <f t="shared" si="0"/>
        <v>31</v>
      </c>
      <c r="C31" s="212">
        <f t="shared" si="12"/>
        <v>864.12722053522555</v>
      </c>
      <c r="D31" s="181">
        <f>IFERROR(($F31*100)/$C31, "")</f>
        <v>25.96750583616992</v>
      </c>
      <c r="E31" s="178">
        <f t="shared" si="14"/>
        <v>19.884988200000002</v>
      </c>
      <c r="F31" s="86">
        <f>SUM($G31:$M31)</f>
        <v>224.39228642441762</v>
      </c>
      <c r="G31" s="115">
        <f t="shared" si="16"/>
        <v>68.603060038291559</v>
      </c>
      <c r="H31" s="66">
        <f t="shared" si="17"/>
        <v>28.256960111501876</v>
      </c>
      <c r="I31" s="66">
        <f t="shared" si="1"/>
        <v>95.067072887646034</v>
      </c>
      <c r="J31" s="66">
        <f t="shared" si="18"/>
        <v>12.184414460315812</v>
      </c>
      <c r="K31" s="66">
        <f t="shared" si="19"/>
        <v>0.76043195407099962</v>
      </c>
      <c r="L31" s="66">
        <f t="shared" si="20"/>
        <v>8.8349999999999991</v>
      </c>
      <c r="M31" s="68">
        <f t="shared" si="21"/>
        <v>10.685346972591317</v>
      </c>
      <c r="N31" s="273">
        <f>IF($I$2="RRO (Capped)",VLOOKUP(A31,'Misc. Data &amp; Mechanisms'!$A$1278:$E$1368,5,FALSE),IF($I$2="RRO (Uncapped)",VLOOKUP(A31,'Misc. Data &amp; Mechanisms'!$G$1278:$K$1368,5,FALSE),AZ31))</f>
        <v>7.9390000000000001</v>
      </c>
      <c r="O31" s="333">
        <f t="shared" si="22"/>
        <v>68.603060038291559</v>
      </c>
      <c r="P31" s="390">
        <v>3.27</v>
      </c>
      <c r="Q31" s="333">
        <f t="shared" si="2"/>
        <v>28.256960111501876</v>
      </c>
      <c r="R31" s="390">
        <v>6.66</v>
      </c>
      <c r="S31" s="390">
        <v>93.94</v>
      </c>
      <c r="T31" s="390">
        <v>27.08</v>
      </c>
      <c r="U31" s="338">
        <f t="shared" si="3"/>
        <v>57.55087288764603</v>
      </c>
      <c r="V31" s="338">
        <f t="shared" si="4"/>
        <v>29.121400000000001</v>
      </c>
      <c r="W31" s="333">
        <f t="shared" si="5"/>
        <v>8.3948</v>
      </c>
      <c r="X31" s="205">
        <f>VLOOKUP($A31,'Misc. Data &amp; Mechanisms'!$A$63:$DY$152,HLOOKUP('Service Zone Menu'!$K$6&amp;"_ATCO_Elec_Y_1",'Misc. Data &amp; Mechanisms'!$A$55:$DY$62,8,FALSE), FALSE)</f>
        <v>7.7499999999999999E-2</v>
      </c>
      <c r="Y31" s="205">
        <f>VLOOKUP($A31,'Misc. Data &amp; Mechanisms'!$A$63:$DY$152,HLOOKUP('Service Zone Menu'!$K$6&amp;"_ATCO_Elec_Y_2",'Misc. Data &amp; Mechanisms'!$A$55:$DY$62,8,FALSE), FALSE)</f>
        <v>2.1299999999999999E-2</v>
      </c>
      <c r="Z31" s="338">
        <f t="shared" si="6"/>
        <v>9.5576125574339628</v>
      </c>
      <c r="AA31" s="333">
        <f t="shared" si="7"/>
        <v>2.6268019028818501</v>
      </c>
      <c r="AB31" s="291">
        <v>-0.57899999999999996</v>
      </c>
      <c r="AC31" s="291"/>
      <c r="AD31" s="291">
        <v>0.66700000000000004</v>
      </c>
      <c r="AE31" s="392"/>
      <c r="AF31" s="291"/>
      <c r="AG31" s="290"/>
      <c r="AH31" s="290"/>
      <c r="AI31" s="338">
        <f t="shared" si="8"/>
        <v>-5.0032966068989557</v>
      </c>
      <c r="AJ31" s="338">
        <f t="shared" si="9"/>
        <v>0</v>
      </c>
      <c r="AK31" s="338">
        <f t="shared" si="10"/>
        <v>5.7637285609699553</v>
      </c>
      <c r="AL31" s="338">
        <f t="shared" si="11"/>
        <v>0</v>
      </c>
      <c r="AM31" s="338">
        <f t="shared" si="23"/>
        <v>0</v>
      </c>
      <c r="AN31" s="338">
        <f t="shared" si="24"/>
        <v>0</v>
      </c>
      <c r="AO31" s="333">
        <f t="shared" si="25"/>
        <v>0</v>
      </c>
      <c r="AP31" s="200">
        <f>IF(OR($I$2="RRO (Capped)",$I$2="RRO (Uncapped)"),VLOOKUP(A31,'Misc. Data &amp; Mechanisms'!$A$1483:$H$1574,5,FALSE),BA31)</f>
        <v>0.28499999999999998</v>
      </c>
      <c r="AQ31" s="333">
        <f t="shared" si="26"/>
        <v>8.8349999999999991</v>
      </c>
      <c r="AR31" s="388">
        <f>5%</f>
        <v>0.05</v>
      </c>
      <c r="AS31" s="359">
        <f>'Misc. Data &amp; Mechanisms'!AK304</f>
        <v>766.853079747425</v>
      </c>
      <c r="AT31" s="1239">
        <f>'Misc. Data &amp; Mechanisms'!AP304</f>
        <v>655.9684214757076</v>
      </c>
      <c r="AU31" s="1087">
        <f>'Misc. Data &amp; Mechanisms'!T304</f>
        <v>864.12722053522555</v>
      </c>
      <c r="AV31" s="1087">
        <f>'Misc. Data &amp; Mechanisms'!U304</f>
        <v>655.79276889547157</v>
      </c>
      <c r="AW31" s="1087">
        <f>'Misc. Data &amp; Mechanisms'!V304</f>
        <v>485.33028681259674</v>
      </c>
      <c r="AX31" s="1463">
        <f>'Misc. Data &amp; Mechanisms'!$B$259</f>
        <v>611.34673880086393</v>
      </c>
      <c r="AY31" s="197">
        <f>IFERROR(IF('Personalized Bill Menu'!$B$30="Yes", IF('Personalized Bill Menu'!$B$34="Natural Gas",0,VLOOKUP($A31, 'Personalized Bill Menu'!$H$4:$L$93, 2, FALSE)), 0), 0)</f>
        <v>0</v>
      </c>
      <c r="AZ31" s="1343">
        <f>IFERROR(IF('Personalized Bill Menu'!$C$36="Custom", IF('Personalized Bill Menu'!$B$34="Natural Gas",0,VLOOKUP($A31, 'Personalized Bill Menu'!$H$4:$L$93, 3, FALSE)), 0), 0)</f>
        <v>0</v>
      </c>
      <c r="BA31" s="1344">
        <f>IFERROR(IF('Personalized Bill Menu'!$C$36="Custom", IF('Personalized Bill Menu'!$B$34="Natural Gas",0,VLOOKUP($A31, 'Personalized Bill Menu'!$H$4:$L$93, 4, FALSE)), 0), 0)</f>
        <v>0</v>
      </c>
      <c r="BB31" s="335"/>
      <c r="BC31" s="335"/>
      <c r="BD31" s="335"/>
    </row>
    <row r="32" spans="1:56" x14ac:dyDescent="0.35">
      <c r="A32" s="206">
        <v>41671</v>
      </c>
      <c r="B32" s="226">
        <f t="shared" si="0"/>
        <v>28</v>
      </c>
      <c r="C32" s="1581">
        <f t="shared" si="12"/>
        <v>731.37184038750581</v>
      </c>
      <c r="D32" s="181">
        <f>IFERROR(($F32*100)/$C32, "")</f>
        <v>25.725101136320678</v>
      </c>
      <c r="E32" s="178">
        <f t="shared" si="14"/>
        <v>19.233988199999999</v>
      </c>
      <c r="F32" s="86">
        <f t="shared" si="15"/>
        <v>188.14614562225572</v>
      </c>
      <c r="G32" s="115">
        <f t="shared" si="16"/>
        <v>53.529104997961554</v>
      </c>
      <c r="H32" s="66">
        <f t="shared" si="17"/>
        <v>23.91585918067144</v>
      </c>
      <c r="I32" s="66">
        <f t="shared" si="1"/>
        <v>82.5949645698079</v>
      </c>
      <c r="J32" s="66">
        <f t="shared" si="18"/>
        <v>10.52326938654736</v>
      </c>
      <c r="K32" s="66">
        <f t="shared" si="19"/>
        <v>0.64360721954100608</v>
      </c>
      <c r="L32" s="66">
        <f t="shared" si="20"/>
        <v>7.9799999999999995</v>
      </c>
      <c r="M32" s="68">
        <f t="shared" si="21"/>
        <v>8.9593402677264624</v>
      </c>
      <c r="N32" s="273">
        <f>IF($I$2="RRO (Capped)",VLOOKUP(A32,'Misc. Data &amp; Mechanisms'!$A$1278:$E$1368,5,FALSE),IF($I$2="RRO (Uncapped)",VLOOKUP(A32,'Misc. Data &amp; Mechanisms'!$G$1278:$K$1368,5,FALSE),AZ32))</f>
        <v>7.319</v>
      </c>
      <c r="O32" s="333">
        <f t="shared" si="22"/>
        <v>53.529104997961554</v>
      </c>
      <c r="P32" s="390">
        <v>3.27</v>
      </c>
      <c r="Q32" s="333">
        <f t="shared" si="2"/>
        <v>23.91585918067144</v>
      </c>
      <c r="R32" s="390">
        <v>6.66</v>
      </c>
      <c r="S32" s="390">
        <v>93.94</v>
      </c>
      <c r="T32" s="390">
        <v>27.08</v>
      </c>
      <c r="U32" s="338">
        <f t="shared" si="3"/>
        <v>48.709364569807889</v>
      </c>
      <c r="V32" s="338">
        <f t="shared" si="4"/>
        <v>26.3032</v>
      </c>
      <c r="W32" s="333">
        <f t="shared" si="5"/>
        <v>7.5823999999999998</v>
      </c>
      <c r="X32" s="205">
        <f>VLOOKUP($A32,'Misc. Data &amp; Mechanisms'!$A$63:$DY$152,HLOOKUP('Service Zone Menu'!$K$6&amp;"_ATCO_Elec_Y_1",'Misc. Data &amp; Mechanisms'!$A$55:$DY$62,8,FALSE), FALSE)</f>
        <v>7.7499999999999999E-2</v>
      </c>
      <c r="Y32" s="205">
        <f>VLOOKUP($A32,'Misc. Data &amp; Mechanisms'!$A$63:$DY$152,HLOOKUP('Service Zone Menu'!$K$6&amp;"_ATCO_Elec_Y_2",'Misc. Data &amp; Mechanisms'!$A$55:$DY$62,8,FALSE), FALSE)</f>
        <v>2.1299999999999999E-2</v>
      </c>
      <c r="Z32" s="338">
        <f t="shared" si="6"/>
        <v>8.2545888406621497</v>
      </c>
      <c r="AA32" s="333">
        <f t="shared" si="7"/>
        <v>2.2686805458852102</v>
      </c>
      <c r="AB32" s="291">
        <v>-0.57899999999999996</v>
      </c>
      <c r="AC32" s="291"/>
      <c r="AD32" s="291">
        <v>0.66700000000000004</v>
      </c>
      <c r="AE32" s="392"/>
      <c r="AF32" s="291"/>
      <c r="AG32" s="290"/>
      <c r="AH32" s="290"/>
      <c r="AI32" s="338">
        <f t="shared" si="8"/>
        <v>-4.2346429558436585</v>
      </c>
      <c r="AJ32" s="338">
        <f t="shared" si="9"/>
        <v>0</v>
      </c>
      <c r="AK32" s="338">
        <f t="shared" si="10"/>
        <v>4.8782501753846645</v>
      </c>
      <c r="AL32" s="338">
        <f t="shared" si="11"/>
        <v>0</v>
      </c>
      <c r="AM32" s="338">
        <f t="shared" si="23"/>
        <v>0</v>
      </c>
      <c r="AN32" s="338">
        <f t="shared" si="24"/>
        <v>0</v>
      </c>
      <c r="AO32" s="333">
        <f t="shared" si="25"/>
        <v>0</v>
      </c>
      <c r="AP32" s="200">
        <f>IF(OR($I$2="RRO (Capped)",$I$2="RRO (Uncapped)"),VLOOKUP(A32,'Misc. Data &amp; Mechanisms'!$A$1483:$H$1574,5,FALSE),BA32)</f>
        <v>0.28499999999999998</v>
      </c>
      <c r="AQ32" s="333">
        <f t="shared" si="26"/>
        <v>7.9799999999999995</v>
      </c>
      <c r="AR32" s="388">
        <f>5%</f>
        <v>0.05</v>
      </c>
      <c r="AS32" s="341">
        <f>'Misc. Data &amp; Mechanisms'!AK305</f>
        <v>649.04187128177398</v>
      </c>
      <c r="AT32" s="196">
        <f>'Misc. Data &amp; Mechanisms'!AP305</f>
        <v>611.81416366048006</v>
      </c>
      <c r="AU32" s="1087">
        <f>'Misc. Data &amp; Mechanisms'!T305</f>
        <v>731.37184038750581</v>
      </c>
      <c r="AV32" s="1087">
        <f>'Misc. Data &amp; Mechanisms'!U305</f>
        <v>555.04369368531843</v>
      </c>
      <c r="AW32" s="1087">
        <f>'Misc. Data &amp; Mechanisms'!V305</f>
        <v>410.76926710174774</v>
      </c>
      <c r="AX32" s="1463">
        <f>'Misc. Data &amp; Mechanisms'!$B$259</f>
        <v>611.34673880086393</v>
      </c>
      <c r="AY32" s="197">
        <f>IFERROR(IF('Personalized Bill Menu'!$B$30="Yes", IF('Personalized Bill Menu'!$B$34="Natural Gas",0,VLOOKUP($A32, 'Personalized Bill Menu'!$H$4:$L$93, 2, FALSE)), 0), 0)</f>
        <v>0</v>
      </c>
      <c r="AZ32" s="1343">
        <f>IFERROR(IF('Personalized Bill Menu'!$C$36="Custom", IF('Personalized Bill Menu'!$B$34="Natural Gas",0,VLOOKUP($A32, 'Personalized Bill Menu'!$H$4:$L$93, 3, FALSE)), 0), 0)</f>
        <v>0</v>
      </c>
      <c r="BA32" s="1344">
        <f>IFERROR(IF('Personalized Bill Menu'!$C$36="Custom", IF('Personalized Bill Menu'!$B$34="Natural Gas",0,VLOOKUP($A32, 'Personalized Bill Menu'!$H$4:$L$93, 4, FALSE)), 0), 0)</f>
        <v>0</v>
      </c>
      <c r="BB32" s="335"/>
      <c r="BC32" s="335"/>
      <c r="BD32" s="335"/>
    </row>
    <row r="33" spans="1:56" x14ac:dyDescent="0.35">
      <c r="A33" s="206">
        <v>41699</v>
      </c>
      <c r="B33" s="226">
        <f t="shared" si="0"/>
        <v>31</v>
      </c>
      <c r="C33" s="1581">
        <f t="shared" si="12"/>
        <v>753.64986313354518</v>
      </c>
      <c r="D33" s="181">
        <f t="shared" si="13"/>
        <v>26.212366684996184</v>
      </c>
      <c r="E33" s="178">
        <f t="shared" si="14"/>
        <v>19.268007150000003</v>
      </c>
      <c r="F33" s="86">
        <f t="shared" si="15"/>
        <v>197.54946564553671</v>
      </c>
      <c r="G33" s="115">
        <f t="shared" si="16"/>
        <v>55.830381860933031</v>
      </c>
      <c r="H33" s="66">
        <f t="shared" si="17"/>
        <v>24.644350524466926</v>
      </c>
      <c r="I33" s="66">
        <f t="shared" si="1"/>
        <v>87.709280884694124</v>
      </c>
      <c r="J33" s="66">
        <f t="shared" si="18"/>
        <v>10.460123084192894</v>
      </c>
      <c r="K33" s="66">
        <f t="shared" si="19"/>
        <v>0.66321187955752059</v>
      </c>
      <c r="L33" s="66">
        <f t="shared" si="20"/>
        <v>8.8349999999999991</v>
      </c>
      <c r="M33" s="68">
        <f t="shared" si="21"/>
        <v>9.4071174116922247</v>
      </c>
      <c r="N33" s="273">
        <f>IF($I$2="RRO (Capped)",VLOOKUP(A33,'Misc. Data &amp; Mechanisms'!$A$1278:$E$1368,5,FALSE),IF($I$2="RRO (Uncapped)",VLOOKUP(A33,'Misc. Data &amp; Mechanisms'!$G$1278:$K$1368,5,FALSE),AZ33))</f>
        <v>7.4080000000000004</v>
      </c>
      <c r="O33" s="333">
        <f t="shared" si="22"/>
        <v>55.830381860933031</v>
      </c>
      <c r="P33" s="390">
        <v>3.27</v>
      </c>
      <c r="Q33" s="333">
        <f t="shared" si="2"/>
        <v>24.644350524466926</v>
      </c>
      <c r="R33" s="390">
        <v>6.66</v>
      </c>
      <c r="S33" s="390">
        <v>93.94</v>
      </c>
      <c r="T33" s="390">
        <v>27.08</v>
      </c>
      <c r="U33" s="338">
        <f t="shared" si="3"/>
        <v>50.193080884694112</v>
      </c>
      <c r="V33" s="338">
        <f t="shared" si="4"/>
        <v>29.121400000000001</v>
      </c>
      <c r="W33" s="333">
        <f t="shared" si="5"/>
        <v>8.3948</v>
      </c>
      <c r="X33" s="205">
        <f>VLOOKUP($A33,'Misc. Data &amp; Mechanisms'!$A$63:$DY$152,HLOOKUP('Service Zone Menu'!$K$6&amp;"_ATCO_Elec_Y_1",'Misc. Data &amp; Mechanisms'!$A$55:$DY$62,8,FALSE), FALSE)</f>
        <v>7.7499999999999999E-2</v>
      </c>
      <c r="Y33" s="205">
        <f>VLOOKUP($A33,'Misc. Data &amp; Mechanisms'!$A$63:$DY$152,HLOOKUP('Service Zone Menu'!$K$6&amp;"_ATCO_Elec_Y_2",'Misc. Data &amp; Mechanisms'!$A$55:$DY$62,8,FALSE), FALSE)</f>
        <v>1.5599999999999999E-2</v>
      </c>
      <c r="Z33" s="338">
        <f t="shared" si="6"/>
        <v>8.7074064342099824</v>
      </c>
      <c r="AA33" s="333">
        <f t="shared" si="7"/>
        <v>1.7527166499829123</v>
      </c>
      <c r="AB33" s="291">
        <v>-0.57899999999999996</v>
      </c>
      <c r="AC33" s="291"/>
      <c r="AD33" s="291">
        <v>0.66700000000000004</v>
      </c>
      <c r="AE33" s="392"/>
      <c r="AF33" s="291"/>
      <c r="AG33" s="290"/>
      <c r="AH33" s="290"/>
      <c r="AI33" s="338">
        <f t="shared" si="8"/>
        <v>-4.3636327075432266</v>
      </c>
      <c r="AJ33" s="338">
        <f t="shared" si="9"/>
        <v>0</v>
      </c>
      <c r="AK33" s="338">
        <f t="shared" si="10"/>
        <v>5.0268445871007472</v>
      </c>
      <c r="AL33" s="338">
        <f t="shared" si="11"/>
        <v>0</v>
      </c>
      <c r="AM33" s="338">
        <f t="shared" si="23"/>
        <v>0</v>
      </c>
      <c r="AN33" s="338">
        <f t="shared" si="24"/>
        <v>0</v>
      </c>
      <c r="AO33" s="333">
        <f t="shared" si="25"/>
        <v>0</v>
      </c>
      <c r="AP33" s="200">
        <f>IF(OR($I$2="RRO (Capped)",$I$2="RRO (Uncapped)"),VLOOKUP(A33,'Misc. Data &amp; Mechanisms'!$A$1483:$H$1574,5,FALSE),BA33)</f>
        <v>0.28499999999999998</v>
      </c>
      <c r="AQ33" s="333">
        <f t="shared" si="26"/>
        <v>8.8349999999999991</v>
      </c>
      <c r="AR33" s="388">
        <f>5%</f>
        <v>0.05</v>
      </c>
      <c r="AS33" s="341">
        <f>'Misc. Data &amp; Mechanisms'!AK306</f>
        <v>668.81207403375072</v>
      </c>
      <c r="AT33" s="196">
        <f>'Misc. Data &amp; Mechanisms'!AP306</f>
        <v>613.30378147298279</v>
      </c>
      <c r="AU33" s="1087">
        <f>'Misc. Data &amp; Mechanisms'!T306</f>
        <v>753.64986313354518</v>
      </c>
      <c r="AV33" s="1087">
        <f>'Misc. Data &amp; Mechanisms'!U306</f>
        <v>571.95065584893644</v>
      </c>
      <c r="AW33" s="1087">
        <f>'Misc. Data &amp; Mechanisms'!V306</f>
        <v>423.28154412764212</v>
      </c>
      <c r="AX33" s="1463">
        <f>'Misc. Data &amp; Mechanisms'!$B$259</f>
        <v>611.34673880086393</v>
      </c>
      <c r="AY33" s="197">
        <f>IFERROR(IF('Personalized Bill Menu'!$B$30="Yes", IF('Personalized Bill Menu'!$B$34="Natural Gas",0,VLOOKUP($A33, 'Personalized Bill Menu'!$H$4:$L$93, 2, FALSE)), 0), 0)</f>
        <v>0</v>
      </c>
      <c r="AZ33" s="1343">
        <f>IFERROR(IF('Personalized Bill Menu'!$C$36="Custom", IF('Personalized Bill Menu'!$B$34="Natural Gas",0,VLOOKUP($A33, 'Personalized Bill Menu'!$H$4:$L$93, 3, FALSE)), 0), 0)</f>
        <v>0</v>
      </c>
      <c r="BA33" s="1344">
        <f>IFERROR(IF('Personalized Bill Menu'!$C$36="Custom", IF('Personalized Bill Menu'!$B$34="Natural Gas",0,VLOOKUP($A33, 'Personalized Bill Menu'!$H$4:$L$93, 4, FALSE)), 0), 0)</f>
        <v>0</v>
      </c>
      <c r="BB33" s="335"/>
      <c r="BC33" s="335"/>
      <c r="BD33" s="335"/>
    </row>
    <row r="34" spans="1:56" x14ac:dyDescent="0.35">
      <c r="A34" s="206">
        <v>41730</v>
      </c>
      <c r="B34" s="226">
        <f t="shared" si="0"/>
        <v>30</v>
      </c>
      <c r="C34" s="1581">
        <f t="shared" si="12"/>
        <v>624.20417469404197</v>
      </c>
      <c r="D34" s="181">
        <f t="shared" si="13"/>
        <v>26.590301750376621</v>
      </c>
      <c r="E34" s="178">
        <f t="shared" si="14"/>
        <v>18.47630715</v>
      </c>
      <c r="F34" s="86">
        <f t="shared" si="15"/>
        <v>165.9777735895938</v>
      </c>
      <c r="G34" s="115">
        <f t="shared" si="16"/>
        <v>44.418369071228028</v>
      </c>
      <c r="H34" s="66">
        <f t="shared" si="17"/>
        <v>20.411476512495174</v>
      </c>
      <c r="I34" s="66">
        <f t="shared" si="1"/>
        <v>77.877998034623204</v>
      </c>
      <c r="J34" s="66">
        <f t="shared" si="18"/>
        <v>9.1507500803367208</v>
      </c>
      <c r="K34" s="66">
        <f t="shared" si="19"/>
        <v>-2.3345236133557172</v>
      </c>
      <c r="L34" s="66">
        <f t="shared" si="20"/>
        <v>8.5499999999999989</v>
      </c>
      <c r="M34" s="68">
        <f t="shared" si="21"/>
        <v>7.9037035042663719</v>
      </c>
      <c r="N34" s="273">
        <f>IF($I$2="RRO (Capped)",VLOOKUP(A34,'Misc. Data &amp; Mechanisms'!$A$1278:$E$1368,5,FALSE),IF($I$2="RRO (Uncapped)",VLOOKUP(A34,'Misc. Data &amp; Mechanisms'!$G$1278:$K$1368,5,FALSE),AZ34))</f>
        <v>7.1159999999999997</v>
      </c>
      <c r="O34" s="333">
        <f t="shared" si="22"/>
        <v>44.418369071228028</v>
      </c>
      <c r="P34" s="390">
        <v>3.27</v>
      </c>
      <c r="Q34" s="333">
        <f t="shared" si="2"/>
        <v>20.411476512495174</v>
      </c>
      <c r="R34" s="390">
        <v>6.66</v>
      </c>
      <c r="S34" s="390">
        <v>93.94</v>
      </c>
      <c r="T34" s="390">
        <v>27.08</v>
      </c>
      <c r="U34" s="338">
        <f t="shared" si="3"/>
        <v>41.571998034623199</v>
      </c>
      <c r="V34" s="338">
        <f t="shared" si="4"/>
        <v>28.182000000000002</v>
      </c>
      <c r="W34" s="333">
        <f t="shared" si="5"/>
        <v>8.1239999999999988</v>
      </c>
      <c r="X34" s="205">
        <f>VLOOKUP($A34,'Misc. Data &amp; Mechanisms'!$A$63:$DY$152,HLOOKUP('Service Zone Menu'!$K$6&amp;"_ATCO_Elec_Y_1",'Misc. Data &amp; Mechanisms'!$A$55:$DY$62,8,FALSE), FALSE)</f>
        <v>7.7499999999999999E-2</v>
      </c>
      <c r="Y34" s="205">
        <f>VLOOKUP($A34,'Misc. Data &amp; Mechanisms'!$A$63:$DY$152,HLOOKUP('Service Zone Menu'!$K$6&amp;"_ATCO_Elec_Y_2",'Misc. Data &amp; Mechanisms'!$A$55:$DY$62,8,FALSE), FALSE)</f>
        <v>1.5599999999999999E-2</v>
      </c>
      <c r="Z34" s="338">
        <f t="shared" si="6"/>
        <v>7.6174342774016743</v>
      </c>
      <c r="AA34" s="333">
        <f t="shared" si="7"/>
        <v>1.5333158029350467</v>
      </c>
      <c r="AB34" s="291">
        <v>-0.57899999999999996</v>
      </c>
      <c r="AC34" s="291"/>
      <c r="AD34" s="291">
        <v>0.20499999999999999</v>
      </c>
      <c r="AE34" s="392"/>
      <c r="AF34" s="291"/>
      <c r="AG34" s="290"/>
      <c r="AH34" s="290"/>
      <c r="AI34" s="338">
        <f t="shared" si="8"/>
        <v>-3.6141421714785031</v>
      </c>
      <c r="AJ34" s="338">
        <f t="shared" si="9"/>
        <v>0</v>
      </c>
      <c r="AK34" s="338">
        <f t="shared" si="10"/>
        <v>1.2796185581227859</v>
      </c>
      <c r="AL34" s="338">
        <f t="shared" si="11"/>
        <v>0</v>
      </c>
      <c r="AM34" s="338">
        <f t="shared" si="23"/>
        <v>0</v>
      </c>
      <c r="AN34" s="338">
        <f t="shared" si="24"/>
        <v>0</v>
      </c>
      <c r="AO34" s="333">
        <f t="shared" si="25"/>
        <v>0</v>
      </c>
      <c r="AP34" s="200">
        <f>IF(OR($I$2="RRO (Capped)",$I$2="RRO (Uncapped)"),VLOOKUP(A34,'Misc. Data &amp; Mechanisms'!$A$1483:$H$1574,5,FALSE),BA34)</f>
        <v>0.28499999999999998</v>
      </c>
      <c r="AQ34" s="333">
        <f t="shared" si="26"/>
        <v>8.5499999999999989</v>
      </c>
      <c r="AR34" s="388">
        <f>5%</f>
        <v>0.05</v>
      </c>
      <c r="AS34" s="341">
        <f>'Misc. Data &amp; Mechanisms'!AK307</f>
        <v>553.93798781022542</v>
      </c>
      <c r="AT34" s="196">
        <f>'Misc. Data &amp; Mechanisms'!AP307</f>
        <v>509.04239495359315</v>
      </c>
      <c r="AU34" s="1087">
        <f>'Misc. Data &amp; Mechanisms'!T307</f>
        <v>624.20417469404197</v>
      </c>
      <c r="AV34" s="1087">
        <f>'Misc. Data &amp; Mechanisms'!U307</f>
        <v>473.7133310361117</v>
      </c>
      <c r="AW34" s="1087">
        <f>'Misc. Data &amp; Mechanisms'!V307</f>
        <v>350.57938684796966</v>
      </c>
      <c r="AX34" s="1463">
        <f>'Misc. Data &amp; Mechanisms'!$B$259</f>
        <v>611.34673880086393</v>
      </c>
      <c r="AY34" s="197">
        <f>IFERROR(IF('Personalized Bill Menu'!$B$30="Yes", IF('Personalized Bill Menu'!$B$34="Natural Gas",0,VLOOKUP($A34, 'Personalized Bill Menu'!$H$4:$L$93, 2, FALSE)), 0), 0)</f>
        <v>0</v>
      </c>
      <c r="AZ34" s="1343">
        <f>IFERROR(IF('Personalized Bill Menu'!$C$36="Custom", IF('Personalized Bill Menu'!$B$34="Natural Gas",0,VLOOKUP($A34, 'Personalized Bill Menu'!$H$4:$L$93, 3, FALSE)), 0), 0)</f>
        <v>0</v>
      </c>
      <c r="BA34" s="1344">
        <f>IFERROR(IF('Personalized Bill Menu'!$C$36="Custom", IF('Personalized Bill Menu'!$B$34="Natural Gas",0,VLOOKUP($A34, 'Personalized Bill Menu'!$H$4:$L$93, 4, FALSE)), 0), 0)</f>
        <v>0</v>
      </c>
      <c r="BB34" s="335"/>
      <c r="BC34" s="335"/>
      <c r="BD34" s="335"/>
    </row>
    <row r="35" spans="1:56" x14ac:dyDescent="0.35">
      <c r="A35" s="206">
        <v>41760</v>
      </c>
      <c r="B35" s="226">
        <f t="shared" si="0"/>
        <v>31</v>
      </c>
      <c r="C35" s="1581">
        <f t="shared" si="12"/>
        <v>603.30787377178171</v>
      </c>
      <c r="D35" s="181">
        <f t="shared" si="13"/>
        <v>31.464574229689006</v>
      </c>
      <c r="E35" s="178">
        <f t="shared" si="14"/>
        <v>22.789707149999998</v>
      </c>
      <c r="F35" s="86">
        <f t="shared" si="15"/>
        <v>189.82825377648072</v>
      </c>
      <c r="G35" s="115">
        <f t="shared" si="16"/>
        <v>67.715275752144777</v>
      </c>
      <c r="H35" s="66">
        <f t="shared" si="17"/>
        <v>19.728167472337262</v>
      </c>
      <c r="I35" s="66">
        <f t="shared" si="1"/>
        <v>77.696504393200669</v>
      </c>
      <c r="J35" s="66">
        <f t="shared" si="18"/>
        <v>9.070236950681581</v>
      </c>
      <c r="K35" s="66">
        <f t="shared" si="19"/>
        <v>-2.2563714479064636</v>
      </c>
      <c r="L35" s="66">
        <f t="shared" si="20"/>
        <v>8.8349999999999991</v>
      </c>
      <c r="M35" s="68">
        <f t="shared" si="21"/>
        <v>9.0394406560228919</v>
      </c>
      <c r="N35" s="273">
        <f>IF($I$2="RRO (Capped)",VLOOKUP(A35,'Misc. Data &amp; Mechanisms'!$A$1278:$E$1368,5,FALSE),IF($I$2="RRO (Uncapped)",VLOOKUP(A35,'Misc. Data &amp; Mechanisms'!$G$1278:$K$1368,5,FALSE),AZ35))</f>
        <v>11.224</v>
      </c>
      <c r="O35" s="333">
        <f t="shared" si="22"/>
        <v>67.715275752144777</v>
      </c>
      <c r="P35" s="390">
        <v>3.27</v>
      </c>
      <c r="Q35" s="333">
        <f t="shared" si="2"/>
        <v>19.728167472337262</v>
      </c>
      <c r="R35" s="390">
        <v>6.66</v>
      </c>
      <c r="S35" s="390">
        <v>93.94</v>
      </c>
      <c r="T35" s="390">
        <v>27.08</v>
      </c>
      <c r="U35" s="338">
        <f t="shared" si="3"/>
        <v>40.180304393200664</v>
      </c>
      <c r="V35" s="338">
        <f t="shared" si="4"/>
        <v>29.121400000000001</v>
      </c>
      <c r="W35" s="333">
        <f t="shared" si="5"/>
        <v>8.3948</v>
      </c>
      <c r="X35" s="205">
        <f>VLOOKUP($A35,'Misc. Data &amp; Mechanisms'!$A$63:$DY$152,HLOOKUP('Service Zone Menu'!$K$6&amp;"_ATCO_Elec_Y_1",'Misc. Data &amp; Mechanisms'!$A$55:$DY$62,8,FALSE), FALSE)</f>
        <v>7.7499999999999999E-2</v>
      </c>
      <c r="Y35" s="205">
        <f>VLOOKUP($A35,'Misc. Data &amp; Mechanisms'!$A$63:$DY$152,HLOOKUP('Service Zone Menu'!$K$6&amp;"_ATCO_Elec_Y_2",'Misc. Data &amp; Mechanisms'!$A$55:$DY$62,8,FALSE), FALSE)</f>
        <v>1.5599999999999999E-2</v>
      </c>
      <c r="Z35" s="338">
        <f t="shared" si="6"/>
        <v>7.5504120695791892</v>
      </c>
      <c r="AA35" s="333">
        <f t="shared" si="7"/>
        <v>1.5198248811023916</v>
      </c>
      <c r="AB35" s="291">
        <v>-0.57899999999999996</v>
      </c>
      <c r="AC35" s="291"/>
      <c r="AD35" s="291">
        <v>0.20499999999999999</v>
      </c>
      <c r="AE35" s="392"/>
      <c r="AF35" s="291"/>
      <c r="AG35" s="290"/>
      <c r="AH35" s="290"/>
      <c r="AI35" s="338">
        <f t="shared" si="8"/>
        <v>-3.4931525891386159</v>
      </c>
      <c r="AJ35" s="338">
        <f t="shared" si="9"/>
        <v>0</v>
      </c>
      <c r="AK35" s="338">
        <f t="shared" si="10"/>
        <v>1.2367811412321523</v>
      </c>
      <c r="AL35" s="338">
        <f t="shared" si="11"/>
        <v>0</v>
      </c>
      <c r="AM35" s="338">
        <f t="shared" si="23"/>
        <v>0</v>
      </c>
      <c r="AN35" s="338">
        <f t="shared" si="24"/>
        <v>0</v>
      </c>
      <c r="AO35" s="333">
        <f t="shared" si="25"/>
        <v>0</v>
      </c>
      <c r="AP35" s="200">
        <f>IF(OR($I$2="RRO (Capped)",$I$2="RRO (Uncapped)"),VLOOKUP(A35,'Misc. Data &amp; Mechanisms'!$A$1483:$H$1574,5,FALSE),BA35)</f>
        <v>0.28499999999999998</v>
      </c>
      <c r="AQ35" s="333">
        <f t="shared" si="26"/>
        <v>8.8349999999999991</v>
      </c>
      <c r="AR35" s="388">
        <f>5%</f>
        <v>0.05</v>
      </c>
      <c r="AS35" s="341">
        <f>'Misc. Data &amp; Mechanisms'!AK308</f>
        <v>535.39396751233573</v>
      </c>
      <c r="AT35" s="196">
        <f>'Misc. Data &amp; Mechanisms'!AP308</f>
        <v>492.03298077902224</v>
      </c>
      <c r="AU35" s="1087">
        <f>'Misc. Data &amp; Mechanisms'!T308</f>
        <v>603.30787377178171</v>
      </c>
      <c r="AV35" s="1087">
        <f>'Misc. Data &amp; Mechanisms'!U308</f>
        <v>457.85496815177362</v>
      </c>
      <c r="AW35" s="1087">
        <f>'Misc. Data &amp; Mechanisms'!V308</f>
        <v>338.84314306474363</v>
      </c>
      <c r="AX35" s="1463">
        <f>'Misc. Data &amp; Mechanisms'!$B$259</f>
        <v>611.34673880086393</v>
      </c>
      <c r="AY35" s="197">
        <f>IFERROR(IF('Personalized Bill Menu'!$B$30="Yes", IF('Personalized Bill Menu'!$B$34="Natural Gas",0,VLOOKUP($A35, 'Personalized Bill Menu'!$H$4:$L$93, 2, FALSE)), 0), 0)</f>
        <v>0</v>
      </c>
      <c r="AZ35" s="1343">
        <f>IFERROR(IF('Personalized Bill Menu'!$C$36="Custom", IF('Personalized Bill Menu'!$B$34="Natural Gas",0,VLOOKUP($A35, 'Personalized Bill Menu'!$H$4:$L$93, 3, FALSE)), 0), 0)</f>
        <v>0</v>
      </c>
      <c r="BA35" s="1344">
        <f>IFERROR(IF('Personalized Bill Menu'!$C$36="Custom", IF('Personalized Bill Menu'!$B$34="Natural Gas",0,VLOOKUP($A35, 'Personalized Bill Menu'!$H$4:$L$93, 4, FALSE)), 0), 0)</f>
        <v>0</v>
      </c>
      <c r="BB35" s="335"/>
      <c r="BC35" s="335"/>
      <c r="BD35" s="335"/>
    </row>
    <row r="36" spans="1:56" x14ac:dyDescent="0.35">
      <c r="A36" s="206">
        <v>41791</v>
      </c>
      <c r="B36" s="226">
        <f t="shared" si="0"/>
        <v>30</v>
      </c>
      <c r="C36" s="1581">
        <f t="shared" si="12"/>
        <v>535.87105815571431</v>
      </c>
      <c r="D36" s="181">
        <f t="shared" si="13"/>
        <v>26.26041460858767</v>
      </c>
      <c r="E36" s="178">
        <f t="shared" si="14"/>
        <v>16.80890715</v>
      </c>
      <c r="F36" s="86">
        <f t="shared" si="15"/>
        <v>140.72196163911653</v>
      </c>
      <c r="G36" s="115">
        <f t="shared" si="16"/>
        <v>29.622952094847886</v>
      </c>
      <c r="H36" s="66">
        <f t="shared" si="17"/>
        <v>17.522983601691859</v>
      </c>
      <c r="I36" s="66">
        <f t="shared" si="1"/>
        <v>71.995012473170576</v>
      </c>
      <c r="J36" s="66">
        <f t="shared" si="18"/>
        <v>8.3341254345696925</v>
      </c>
      <c r="K36" s="66">
        <f t="shared" si="19"/>
        <v>-2.0041577575023721</v>
      </c>
      <c r="L36" s="66">
        <f t="shared" si="20"/>
        <v>8.5499999999999989</v>
      </c>
      <c r="M36" s="68">
        <f t="shared" si="21"/>
        <v>6.7010457923388831</v>
      </c>
      <c r="N36" s="273">
        <f>IF($I$2="RRO (Capped)",VLOOKUP(A36,'Misc. Data &amp; Mechanisms'!$A$1278:$E$1368,5,FALSE),IF($I$2="RRO (Uncapped)",VLOOKUP(A36,'Misc. Data &amp; Mechanisms'!$G$1278:$K$1368,5,FALSE),AZ36))</f>
        <v>5.5279999999999996</v>
      </c>
      <c r="O36" s="333">
        <f t="shared" si="22"/>
        <v>29.622952094847886</v>
      </c>
      <c r="P36" s="390">
        <v>3.27</v>
      </c>
      <c r="Q36" s="333">
        <f t="shared" si="2"/>
        <v>17.522983601691859</v>
      </c>
      <c r="R36" s="390">
        <v>6.66</v>
      </c>
      <c r="S36" s="390">
        <v>93.94</v>
      </c>
      <c r="T36" s="390">
        <v>27.08</v>
      </c>
      <c r="U36" s="338">
        <f t="shared" si="3"/>
        <v>35.689012473170578</v>
      </c>
      <c r="V36" s="338">
        <f t="shared" si="4"/>
        <v>28.182000000000002</v>
      </c>
      <c r="W36" s="333">
        <f t="shared" si="5"/>
        <v>8.1239999999999988</v>
      </c>
      <c r="X36" s="205">
        <f>VLOOKUP($A36,'Misc. Data &amp; Mechanisms'!$A$63:$DY$152,HLOOKUP('Service Zone Menu'!$K$6&amp;"_ATCO_Elec_Y_1",'Misc. Data &amp; Mechanisms'!$A$55:$DY$62,8,FALSE), FALSE)</f>
        <v>7.7499999999999999E-2</v>
      </c>
      <c r="Y36" s="205">
        <f>VLOOKUP($A36,'Misc. Data &amp; Mechanisms'!$A$63:$DY$152,HLOOKUP('Service Zone Menu'!$K$6&amp;"_ATCO_Elec_Y_2",'Misc. Data &amp; Mechanisms'!$A$55:$DY$62,8,FALSE), FALSE)</f>
        <v>1.5599999999999999E-2</v>
      </c>
      <c r="Z36" s="338">
        <f t="shared" si="6"/>
        <v>6.937644695801839</v>
      </c>
      <c r="AA36" s="333">
        <f t="shared" si="7"/>
        <v>1.3964807387678539</v>
      </c>
      <c r="AB36" s="291">
        <v>-0.57899999999999996</v>
      </c>
      <c r="AC36" s="291"/>
      <c r="AD36" s="291">
        <v>0.20499999999999999</v>
      </c>
      <c r="AE36" s="392"/>
      <c r="AF36" s="291"/>
      <c r="AG36" s="290"/>
      <c r="AH36" s="290"/>
      <c r="AI36" s="338">
        <f t="shared" si="8"/>
        <v>-3.102693426721586</v>
      </c>
      <c r="AJ36" s="338">
        <f t="shared" si="9"/>
        <v>0</v>
      </c>
      <c r="AK36" s="338">
        <f t="shared" si="10"/>
        <v>1.0985356692192141</v>
      </c>
      <c r="AL36" s="338">
        <f t="shared" si="11"/>
        <v>0</v>
      </c>
      <c r="AM36" s="338">
        <f t="shared" si="23"/>
        <v>0</v>
      </c>
      <c r="AN36" s="338">
        <f t="shared" si="24"/>
        <v>0</v>
      </c>
      <c r="AO36" s="333">
        <f t="shared" si="25"/>
        <v>0</v>
      </c>
      <c r="AP36" s="200">
        <f>IF(OR($I$2="RRO (Capped)",$I$2="RRO (Uncapped)"),VLOOKUP(A36,'Misc. Data &amp; Mechanisms'!$A$1483:$H$1574,5,FALSE),BA36)</f>
        <v>0.28499999999999998</v>
      </c>
      <c r="AQ36" s="333">
        <f t="shared" si="26"/>
        <v>8.5499999999999989</v>
      </c>
      <c r="AR36" s="388">
        <f>5%</f>
        <v>0.05</v>
      </c>
      <c r="AS36" s="341">
        <f>'Misc. Data &amp; Mechanisms'!AK309</f>
        <v>475.54846269012955</v>
      </c>
      <c r="AT36" s="196">
        <f>'Misc. Data &amp; Mechanisms'!AP309</f>
        <v>464.49515867832861</v>
      </c>
      <c r="AU36" s="1087">
        <f>'Misc. Data &amp; Mechanisms'!T309</f>
        <v>535.87105815571431</v>
      </c>
      <c r="AV36" s="1087">
        <f>'Misc. Data &amp; Mechanisms'!U309</f>
        <v>406.67665205734227</v>
      </c>
      <c r="AW36" s="1087">
        <f>'Misc. Data &amp; Mechanisms'!V309</f>
        <v>300.96778364208564</v>
      </c>
      <c r="AX36" s="1463">
        <f>'Misc. Data &amp; Mechanisms'!$B$259</f>
        <v>611.34673880086393</v>
      </c>
      <c r="AY36" s="197">
        <f>IFERROR(IF('Personalized Bill Menu'!$B$30="Yes", IF('Personalized Bill Menu'!$B$34="Natural Gas",0,VLOOKUP($A36, 'Personalized Bill Menu'!$H$4:$L$93, 2, FALSE)), 0), 0)</f>
        <v>0</v>
      </c>
      <c r="AZ36" s="1343">
        <f>IFERROR(IF('Personalized Bill Menu'!$C$36="Custom", IF('Personalized Bill Menu'!$B$34="Natural Gas",0,VLOOKUP($A36, 'Personalized Bill Menu'!$H$4:$L$93, 3, FALSE)), 0), 0)</f>
        <v>0</v>
      </c>
      <c r="BA36" s="1344">
        <f>IFERROR(IF('Personalized Bill Menu'!$C$36="Custom", IF('Personalized Bill Menu'!$B$34="Natural Gas",0,VLOOKUP($A36, 'Personalized Bill Menu'!$H$4:$L$93, 4, FALSE)), 0), 0)</f>
        <v>0</v>
      </c>
      <c r="BB36" s="335"/>
      <c r="BC36" s="335"/>
      <c r="BD36" s="335"/>
    </row>
    <row r="37" spans="1:56" x14ac:dyDescent="0.35">
      <c r="A37" s="206">
        <v>41821</v>
      </c>
      <c r="B37" s="226">
        <f t="shared" si="0"/>
        <v>31</v>
      </c>
      <c r="C37" s="1581">
        <f t="shared" si="12"/>
        <v>580.01514777373916</v>
      </c>
      <c r="D37" s="181">
        <f t="shared" si="13"/>
        <v>28.018246686395017</v>
      </c>
      <c r="E37" s="178">
        <f t="shared" si="14"/>
        <v>18.995007149999999</v>
      </c>
      <c r="F37" s="86">
        <f t="shared" si="15"/>
        <v>162.51007492170484</v>
      </c>
      <c r="G37" s="115">
        <f t="shared" si="16"/>
        <v>45.403585767728302</v>
      </c>
      <c r="H37" s="66">
        <f t="shared" si="17"/>
        <v>18.966495332201269</v>
      </c>
      <c r="I37" s="66">
        <f t="shared" si="1"/>
        <v>76.145208841731034</v>
      </c>
      <c r="J37" s="66">
        <f t="shared" si="18"/>
        <v>8.8548996585930979</v>
      </c>
      <c r="K37" s="66">
        <f t="shared" si="19"/>
        <v>-3.4336896748205361</v>
      </c>
      <c r="L37" s="66">
        <f t="shared" si="20"/>
        <v>8.8349999999999991</v>
      </c>
      <c r="M37" s="68">
        <f t="shared" si="21"/>
        <v>7.7385749962716588</v>
      </c>
      <c r="N37" s="273">
        <f>IF($I$2="RRO (Capped)",VLOOKUP(A37,'Misc. Data &amp; Mechanisms'!$A$1278:$E$1368,5,FALSE),IF($I$2="RRO (Uncapped)",VLOOKUP(A37,'Misc. Data &amp; Mechanisms'!$G$1278:$K$1368,5,FALSE),AZ37))</f>
        <v>7.8280000000000003</v>
      </c>
      <c r="O37" s="333">
        <f t="shared" si="22"/>
        <v>45.403585767728302</v>
      </c>
      <c r="P37" s="390">
        <v>3.27</v>
      </c>
      <c r="Q37" s="333">
        <f t="shared" si="2"/>
        <v>18.966495332201269</v>
      </c>
      <c r="R37" s="390">
        <v>6.66</v>
      </c>
      <c r="S37" s="390">
        <v>93.94</v>
      </c>
      <c r="T37" s="390">
        <v>27.08</v>
      </c>
      <c r="U37" s="338">
        <f t="shared" si="3"/>
        <v>38.629008841731029</v>
      </c>
      <c r="V37" s="338">
        <f t="shared" si="4"/>
        <v>29.121400000000001</v>
      </c>
      <c r="W37" s="333">
        <f t="shared" si="5"/>
        <v>8.3948</v>
      </c>
      <c r="X37" s="205">
        <f>VLOOKUP($A37,'Misc. Data &amp; Mechanisms'!$A$63:$DY$152,HLOOKUP('Service Zone Menu'!$K$6&amp;"_ATCO_Elec_Y_1",'Misc. Data &amp; Mechanisms'!$A$55:$DY$62,8,FALSE), FALSE)</f>
        <v>7.7499999999999999E-2</v>
      </c>
      <c r="Y37" s="205">
        <f>VLOOKUP($A37,'Misc. Data &amp; Mechanisms'!$A$63:$DY$152,HLOOKUP('Service Zone Menu'!$K$6&amp;"_ATCO_Elec_Y_2",'Misc. Data &amp; Mechanisms'!$A$55:$DY$62,8,FALSE), FALSE)</f>
        <v>1.5599999999999999E-2</v>
      </c>
      <c r="Z37" s="338">
        <f t="shared" si="6"/>
        <v>7.371157073479754</v>
      </c>
      <c r="AA37" s="333">
        <f t="shared" si="7"/>
        <v>1.4837425851133439</v>
      </c>
      <c r="AB37" s="291">
        <v>-0.57899999999999996</v>
      </c>
      <c r="AC37" s="291"/>
      <c r="AD37" s="291">
        <v>-1.2999999999999999E-2</v>
      </c>
      <c r="AE37" s="392"/>
      <c r="AF37" s="291"/>
      <c r="AG37" s="290"/>
      <c r="AH37" s="290"/>
      <c r="AI37" s="338">
        <f t="shared" si="8"/>
        <v>-3.3582877056099498</v>
      </c>
      <c r="AJ37" s="338">
        <f t="shared" si="9"/>
        <v>0</v>
      </c>
      <c r="AK37" s="338">
        <f t="shared" si="10"/>
        <v>-7.5401969210586089E-2</v>
      </c>
      <c r="AL37" s="338">
        <f t="shared" si="11"/>
        <v>0</v>
      </c>
      <c r="AM37" s="338">
        <f t="shared" si="23"/>
        <v>0</v>
      </c>
      <c r="AN37" s="338">
        <f t="shared" si="24"/>
        <v>0</v>
      </c>
      <c r="AO37" s="333">
        <f t="shared" si="25"/>
        <v>0</v>
      </c>
      <c r="AP37" s="200">
        <f>IF(OR($I$2="RRO (Capped)",$I$2="RRO (Uncapped)"),VLOOKUP(A37,'Misc. Data &amp; Mechanisms'!$A$1483:$H$1574,5,FALSE),BA37)</f>
        <v>0.28499999999999998</v>
      </c>
      <c r="AQ37" s="333">
        <f t="shared" si="26"/>
        <v>8.8349999999999991</v>
      </c>
      <c r="AR37" s="388">
        <f>5%</f>
        <v>0.05</v>
      </c>
      <c r="AS37" s="341">
        <f>'Misc. Data &amp; Mechanisms'!AK310</f>
        <v>514.72328587792504</v>
      </c>
      <c r="AT37" s="196">
        <f>'Misc. Data &amp; Mechanisms'!AP310</f>
        <v>522.65731259745132</v>
      </c>
      <c r="AU37" s="1087">
        <f>'Misc. Data &amp; Mechanisms'!T310</f>
        <v>580.01514777373916</v>
      </c>
      <c r="AV37" s="1087">
        <f>'Misc. Data &amp; Mechanisms'!U310</f>
        <v>440.17793991521529</v>
      </c>
      <c r="AW37" s="1087">
        <f>'Misc. Data &amp; Mechanisms'!V310</f>
        <v>325.76096590305752</v>
      </c>
      <c r="AX37" s="1463">
        <f>'Misc. Data &amp; Mechanisms'!$B$259</f>
        <v>611.34673880086393</v>
      </c>
      <c r="AY37" s="197">
        <f>IFERROR(IF('Personalized Bill Menu'!$B$30="Yes", IF('Personalized Bill Menu'!$B$34="Natural Gas",0,VLOOKUP($A37, 'Personalized Bill Menu'!$H$4:$L$93, 2, FALSE)), 0), 0)</f>
        <v>0</v>
      </c>
      <c r="AZ37" s="1343">
        <f>IFERROR(IF('Personalized Bill Menu'!$C$36="Custom", IF('Personalized Bill Menu'!$B$34="Natural Gas",0,VLOOKUP($A37, 'Personalized Bill Menu'!$H$4:$L$93, 3, FALSE)), 0), 0)</f>
        <v>0</v>
      </c>
      <c r="BA37" s="1344">
        <f>IFERROR(IF('Personalized Bill Menu'!$C$36="Custom", IF('Personalized Bill Menu'!$B$34="Natural Gas",0,VLOOKUP($A37, 'Personalized Bill Menu'!$H$4:$L$93, 4, FALSE)), 0), 0)</f>
        <v>0</v>
      </c>
      <c r="BB37" s="335"/>
      <c r="BC37" s="335"/>
      <c r="BD37" s="335"/>
    </row>
    <row r="38" spans="1:56" x14ac:dyDescent="0.35">
      <c r="A38" s="206">
        <v>41852</v>
      </c>
      <c r="B38" s="226">
        <f t="shared" si="0"/>
        <v>31</v>
      </c>
      <c r="C38" s="1581">
        <f t="shared" si="12"/>
        <v>530.14564437862271</v>
      </c>
      <c r="D38" s="181">
        <f t="shared" si="13"/>
        <v>29.861390747926212</v>
      </c>
      <c r="E38" s="178">
        <f t="shared" si="14"/>
        <v>19.98935715</v>
      </c>
      <c r="F38" s="86">
        <f t="shared" si="15"/>
        <v>158.30886240101182</v>
      </c>
      <c r="G38" s="115">
        <f t="shared" si="16"/>
        <v>46.52028029422415</v>
      </c>
      <c r="H38" s="66">
        <f t="shared" si="17"/>
        <v>17.335762571180961</v>
      </c>
      <c r="I38" s="66">
        <f t="shared" si="1"/>
        <v>72.823899915616281</v>
      </c>
      <c r="J38" s="66">
        <f t="shared" si="18"/>
        <v>8.3938645775208229</v>
      </c>
      <c r="K38" s="66">
        <f t="shared" si="19"/>
        <v>-3.1384622147214465</v>
      </c>
      <c r="L38" s="66">
        <f t="shared" si="20"/>
        <v>8.8349999999999991</v>
      </c>
      <c r="M38" s="68">
        <f t="shared" si="21"/>
        <v>7.5385172571910388</v>
      </c>
      <c r="N38" s="273">
        <f>IF($I$2="RRO (Capped)",VLOOKUP(A38,'Misc. Data &amp; Mechanisms'!$A$1278:$E$1368,5,FALSE),IF($I$2="RRO (Uncapped)",VLOOKUP(A38,'Misc. Data &amp; Mechanisms'!$G$1278:$K$1368,5,FALSE),AZ38))</f>
        <v>8.7750000000000004</v>
      </c>
      <c r="O38" s="333">
        <f t="shared" si="22"/>
        <v>46.52028029422415</v>
      </c>
      <c r="P38" s="390">
        <v>3.27</v>
      </c>
      <c r="Q38" s="333">
        <f t="shared" si="2"/>
        <v>17.335762571180961</v>
      </c>
      <c r="R38" s="390">
        <v>6.66</v>
      </c>
      <c r="S38" s="390">
        <v>93.94</v>
      </c>
      <c r="T38" s="390">
        <v>27.08</v>
      </c>
      <c r="U38" s="338">
        <f t="shared" si="3"/>
        <v>35.307699915616276</v>
      </c>
      <c r="V38" s="338">
        <f t="shared" si="4"/>
        <v>29.121400000000001</v>
      </c>
      <c r="W38" s="333">
        <f t="shared" si="5"/>
        <v>8.3948</v>
      </c>
      <c r="X38" s="205">
        <f>VLOOKUP($A38,'Misc. Data &amp; Mechanisms'!$A$63:$DY$152,HLOOKUP('Service Zone Menu'!$K$6&amp;"_ATCO_Elec_Y_1",'Misc. Data &amp; Mechanisms'!$A$55:$DY$62,8,FALSE), FALSE)</f>
        <v>7.7499999999999999E-2</v>
      </c>
      <c r="Y38" s="205">
        <f>VLOOKUP($A38,'Misc. Data &amp; Mechanisms'!$A$63:$DY$152,HLOOKUP('Service Zone Menu'!$K$6&amp;"_ATCO_Elec_Y_2",'Misc. Data &amp; Mechanisms'!$A$55:$DY$62,8,FALSE), FALSE)</f>
        <v>1.5599999999999999E-2</v>
      </c>
      <c r="Z38" s="338">
        <f t="shared" si="6"/>
        <v>6.9873738427267869</v>
      </c>
      <c r="AA38" s="333">
        <f t="shared" si="7"/>
        <v>1.406490734794037</v>
      </c>
      <c r="AB38" s="291">
        <v>-0.57899999999999996</v>
      </c>
      <c r="AC38" s="291"/>
      <c r="AD38" s="291">
        <v>-1.2999999999999999E-2</v>
      </c>
      <c r="AE38" s="392"/>
      <c r="AF38" s="291"/>
      <c r="AG38" s="290"/>
      <c r="AH38" s="290"/>
      <c r="AI38" s="338">
        <f t="shared" si="8"/>
        <v>-3.0695432809522254</v>
      </c>
      <c r="AJ38" s="338">
        <f t="shared" si="9"/>
        <v>0</v>
      </c>
      <c r="AK38" s="338">
        <f t="shared" si="10"/>
        <v>-6.8918933769220952E-2</v>
      </c>
      <c r="AL38" s="338">
        <f t="shared" si="11"/>
        <v>0</v>
      </c>
      <c r="AM38" s="338">
        <f t="shared" si="23"/>
        <v>0</v>
      </c>
      <c r="AN38" s="338">
        <f t="shared" si="24"/>
        <v>0</v>
      </c>
      <c r="AO38" s="333">
        <f t="shared" si="25"/>
        <v>0</v>
      </c>
      <c r="AP38" s="200">
        <f>IF(OR($I$2="RRO (Capped)",$I$2="RRO (Uncapped)"),VLOOKUP(A38,'Misc. Data &amp; Mechanisms'!$A$1483:$H$1574,5,FALSE),BA38)</f>
        <v>0.28499999999999998</v>
      </c>
      <c r="AQ38" s="333">
        <f t="shared" si="26"/>
        <v>8.8349999999999991</v>
      </c>
      <c r="AR38" s="388">
        <f>5%</f>
        <v>0.05</v>
      </c>
      <c r="AS38" s="341">
        <f>'Misc. Data &amp; Mechanisms'!AK311</f>
        <v>470.46755436615427</v>
      </c>
      <c r="AT38" s="196">
        <f>'Misc. Data &amp; Mechanisms'!AP311</f>
        <v>505.4999402366127</v>
      </c>
      <c r="AU38" s="1087">
        <f>'Misc. Data &amp; Mechanisms'!T311</f>
        <v>530.14564437862271</v>
      </c>
      <c r="AV38" s="1087">
        <f>'Misc. Data &amp; Mechanisms'!U311</f>
        <v>402.3315916718754</v>
      </c>
      <c r="AW38" s="1087">
        <f>'Misc. Data &amp; Mechanisms'!V311</f>
        <v>297.75214982738459</v>
      </c>
      <c r="AX38" s="1463">
        <f>'Misc. Data &amp; Mechanisms'!$B$259</f>
        <v>611.34673880086393</v>
      </c>
      <c r="AY38" s="197">
        <f>IFERROR(IF('Personalized Bill Menu'!$B$30="Yes", IF('Personalized Bill Menu'!$B$34="Natural Gas",0,VLOOKUP($A38, 'Personalized Bill Menu'!$H$4:$L$93, 2, FALSE)), 0), 0)</f>
        <v>0</v>
      </c>
      <c r="AZ38" s="1343">
        <f>IFERROR(IF('Personalized Bill Menu'!$C$36="Custom", IF('Personalized Bill Menu'!$B$34="Natural Gas",0,VLOOKUP($A38, 'Personalized Bill Menu'!$H$4:$L$93, 3, FALSE)), 0), 0)</f>
        <v>0</v>
      </c>
      <c r="BA38" s="1344">
        <f>IFERROR(IF('Personalized Bill Menu'!$C$36="Custom", IF('Personalized Bill Menu'!$B$34="Natural Gas",0,VLOOKUP($A38, 'Personalized Bill Menu'!$H$4:$L$93, 4, FALSE)), 0), 0)</f>
        <v>0</v>
      </c>
      <c r="BB38" s="335"/>
      <c r="BC38" s="335"/>
      <c r="BD38" s="335"/>
    </row>
    <row r="39" spans="1:56" x14ac:dyDescent="0.35">
      <c r="A39" s="206">
        <v>41883</v>
      </c>
      <c r="B39" s="226">
        <f t="shared" si="0"/>
        <v>30</v>
      </c>
      <c r="C39" s="1581">
        <f t="shared" si="12"/>
        <v>564.59943077701405</v>
      </c>
      <c r="D39" s="181">
        <f t="shared" si="13"/>
        <v>29.26339590179829</v>
      </c>
      <c r="E39" s="178">
        <f t="shared" si="14"/>
        <v>20.292807150000002</v>
      </c>
      <c r="F39" s="86">
        <f t="shared" si="15"/>
        <v>165.2209666875772</v>
      </c>
      <c r="G39" s="115">
        <f t="shared" si="16"/>
        <v>51.175292405628554</v>
      </c>
      <c r="H39" s="66">
        <f t="shared" si="17"/>
        <v>18.462401386408359</v>
      </c>
      <c r="I39" s="66">
        <f t="shared" si="1"/>
        <v>73.908322089749134</v>
      </c>
      <c r="J39" s="66">
        <f t="shared" si="18"/>
        <v>8.5997143556302635</v>
      </c>
      <c r="K39" s="66">
        <f t="shared" si="19"/>
        <v>-3.3424286301999233</v>
      </c>
      <c r="L39" s="66">
        <f t="shared" si="20"/>
        <v>8.5499999999999989</v>
      </c>
      <c r="M39" s="68">
        <f t="shared" ref="M39:M92" si="27">SUM($AR39)*SUM($G39:$L39)</f>
        <v>7.8676650803608199</v>
      </c>
      <c r="N39" s="273">
        <f>IF($I$2="RRO (Capped)",VLOOKUP(A39,'Misc. Data &amp; Mechanisms'!$A$1278:$E$1368,5,FALSE),IF($I$2="RRO (Uncapped)",VLOOKUP(A39,'Misc. Data &amp; Mechanisms'!$G$1278:$K$1368,5,FALSE),AZ39))</f>
        <v>9.0640000000000001</v>
      </c>
      <c r="O39" s="333">
        <f t="shared" si="22"/>
        <v>51.175292405628554</v>
      </c>
      <c r="P39" s="390">
        <v>3.27</v>
      </c>
      <c r="Q39" s="333">
        <f t="shared" ref="Q39:Q96" si="28">($P39/100)*$C39</f>
        <v>18.462401386408359</v>
      </c>
      <c r="R39" s="390">
        <v>6.66</v>
      </c>
      <c r="S39" s="390">
        <v>93.94</v>
      </c>
      <c r="T39" s="390">
        <v>27.08</v>
      </c>
      <c r="U39" s="338">
        <f t="shared" ref="U39:U96" si="29">($R39/100)*$C39</f>
        <v>37.602322089749137</v>
      </c>
      <c r="V39" s="338">
        <f t="shared" ref="V39:V96" si="30">($S39/100)*$B39</f>
        <v>28.182000000000002</v>
      </c>
      <c r="W39" s="333">
        <f t="shared" ref="W39:W96" si="31">($T39/100)*$B39</f>
        <v>8.1239999999999988</v>
      </c>
      <c r="X39" s="205">
        <f>VLOOKUP($A39,'Misc. Data &amp; Mechanisms'!$A$63:$DY$152,HLOOKUP('Service Zone Menu'!$K$6&amp;"_ATCO_Elec_Y_1",'Misc. Data &amp; Mechanisms'!$A$55:$DY$62,8,FALSE), FALSE)</f>
        <v>7.7499999999999999E-2</v>
      </c>
      <c r="Y39" s="205">
        <f>VLOOKUP($A39,'Misc. Data &amp; Mechanisms'!$A$63:$DY$152,HLOOKUP('Service Zone Menu'!$K$6&amp;"_ATCO_Elec_Y_2",'Misc. Data &amp; Mechanisms'!$A$55:$DY$62,8,FALSE), FALSE)</f>
        <v>1.5599999999999999E-2</v>
      </c>
      <c r="Z39" s="338">
        <f t="shared" ref="Z39:Z92" si="32">$X39*($H39+$I39)</f>
        <v>7.1587310694022062</v>
      </c>
      <c r="AA39" s="333">
        <f t="shared" ref="AA39:AA92" si="33">$Y39*($H39+$I39)</f>
        <v>1.4409832862280569</v>
      </c>
      <c r="AB39" s="291">
        <v>-0.57899999999999996</v>
      </c>
      <c r="AC39" s="291"/>
      <c r="AD39" s="291">
        <v>-1.2999999999999999E-2</v>
      </c>
      <c r="AE39" s="392"/>
      <c r="AF39" s="291"/>
      <c r="AG39" s="290"/>
      <c r="AH39" s="290"/>
      <c r="AI39" s="338">
        <f t="shared" ref="AI39:AI96" si="34">($AB39/100)*$C39</f>
        <v>-3.2690307041989115</v>
      </c>
      <c r="AJ39" s="338">
        <f t="shared" ref="AJ39:AJ96" si="35">($AC39/100)*$C39</f>
        <v>0</v>
      </c>
      <c r="AK39" s="338">
        <f t="shared" ref="AK39:AK96" si="36">($AD39/100)*$C39</f>
        <v>-7.3397926001011818E-2</v>
      </c>
      <c r="AL39" s="338">
        <f t="shared" ref="AL39:AL96" si="37">$AE39*($H39+$I39+$J39)</f>
        <v>0</v>
      </c>
      <c r="AM39" s="338">
        <f t="shared" si="23"/>
        <v>0</v>
      </c>
      <c r="AN39" s="338">
        <f t="shared" si="24"/>
        <v>0</v>
      </c>
      <c r="AO39" s="333">
        <f t="shared" si="25"/>
        <v>0</v>
      </c>
      <c r="AP39" s="200">
        <f>IF(OR($I$2="RRO (Capped)",$I$2="RRO (Uncapped)"),VLOOKUP(A39,'Misc. Data &amp; Mechanisms'!$A$1483:$H$1574,5,FALSE),BA39)</f>
        <v>0.28499999999999998</v>
      </c>
      <c r="AQ39" s="333">
        <f t="shared" si="26"/>
        <v>8.5499999999999989</v>
      </c>
      <c r="AR39" s="388">
        <f>5%</f>
        <v>0.05</v>
      </c>
      <c r="AS39" s="341">
        <f>'Misc. Data &amp; Mechanisms'!AK312</f>
        <v>501.04290436172738</v>
      </c>
      <c r="AT39" s="196">
        <f>'Misc. Data &amp; Mechanisms'!AP312</f>
        <v>485.30515957339674</v>
      </c>
      <c r="AU39" s="1087">
        <f>'Misc. Data &amp; Mechanisms'!T312</f>
        <v>564.59943077701405</v>
      </c>
      <c r="AV39" s="1087">
        <f>'Misc. Data &amp; Mechanisms'!U312</f>
        <v>428.4788341660298</v>
      </c>
      <c r="AW39" s="1087">
        <f>'Misc. Data &amp; Mechanisms'!V312</f>
        <v>317.102849165561</v>
      </c>
      <c r="AX39" s="1463">
        <f>'Misc. Data &amp; Mechanisms'!$B$259</f>
        <v>611.34673880086393</v>
      </c>
      <c r="AY39" s="197">
        <f>IFERROR(IF('Personalized Bill Menu'!$B$30="Yes", IF('Personalized Bill Menu'!$B$34="Natural Gas",0,VLOOKUP($A39, 'Personalized Bill Menu'!$H$4:$L$93, 2, FALSE)), 0), 0)</f>
        <v>0</v>
      </c>
      <c r="AZ39" s="1343">
        <f>IFERROR(IF('Personalized Bill Menu'!$C$36="Custom", IF('Personalized Bill Menu'!$B$34="Natural Gas",0,VLOOKUP($A39, 'Personalized Bill Menu'!$H$4:$L$93, 3, FALSE)), 0), 0)</f>
        <v>0</v>
      </c>
      <c r="BA39" s="1344">
        <f>IFERROR(IF('Personalized Bill Menu'!$C$36="Custom", IF('Personalized Bill Menu'!$B$34="Natural Gas",0,VLOOKUP($A39, 'Personalized Bill Menu'!$H$4:$L$93, 4, FALSE)), 0), 0)</f>
        <v>0</v>
      </c>
      <c r="BB39" s="335"/>
      <c r="BC39" s="335"/>
      <c r="BD39" s="335"/>
    </row>
    <row r="40" spans="1:56" x14ac:dyDescent="0.35">
      <c r="A40" s="206">
        <v>41913</v>
      </c>
      <c r="B40" s="226">
        <f t="shared" si="0"/>
        <v>31</v>
      </c>
      <c r="C40" s="1581">
        <f t="shared" si="12"/>
        <v>651.27747613967369</v>
      </c>
      <c r="D40" s="181">
        <f t="shared" si="13"/>
        <v>27.68718009350679</v>
      </c>
      <c r="E40" s="178">
        <f t="shared" si="14"/>
        <v>19.651257150000003</v>
      </c>
      <c r="F40" s="86">
        <f t="shared" si="15"/>
        <v>180.32036772723717</v>
      </c>
      <c r="G40" s="115">
        <f t="shared" si="16"/>
        <v>56.23129728989943</v>
      </c>
      <c r="H40" s="66">
        <f t="shared" si="17"/>
        <v>21.296773469767331</v>
      </c>
      <c r="I40" s="66">
        <f t="shared" si="1"/>
        <v>80.891279910902284</v>
      </c>
      <c r="J40" s="66">
        <f t="shared" si="18"/>
        <v>9.5137077697403409</v>
      </c>
      <c r="K40" s="66">
        <f t="shared" si="19"/>
        <v>-5.0343748905596772</v>
      </c>
      <c r="L40" s="66">
        <f t="shared" si="20"/>
        <v>8.8349999999999991</v>
      </c>
      <c r="M40" s="68">
        <f t="shared" si="27"/>
        <v>8.5866841774874842</v>
      </c>
      <c r="N40" s="273">
        <f>IF($I$2="RRO (Capped)",VLOOKUP(A40,'Misc. Data &amp; Mechanisms'!$A$1278:$E$1368,5,FALSE),IF($I$2="RRO (Uncapped)",VLOOKUP(A40,'Misc. Data &amp; Mechanisms'!$G$1278:$K$1368,5,FALSE),AZ40))</f>
        <v>8.6340000000000003</v>
      </c>
      <c r="O40" s="333">
        <f t="shared" si="22"/>
        <v>56.23129728989943</v>
      </c>
      <c r="P40" s="390">
        <v>3.27</v>
      </c>
      <c r="Q40" s="333">
        <f t="shared" si="28"/>
        <v>21.296773469767331</v>
      </c>
      <c r="R40" s="390">
        <v>6.66</v>
      </c>
      <c r="S40" s="390">
        <v>93.94</v>
      </c>
      <c r="T40" s="390">
        <v>27.08</v>
      </c>
      <c r="U40" s="338">
        <f t="shared" si="29"/>
        <v>43.375079910902272</v>
      </c>
      <c r="V40" s="338">
        <f t="shared" si="30"/>
        <v>29.121400000000001</v>
      </c>
      <c r="W40" s="333">
        <f t="shared" si="31"/>
        <v>8.3948</v>
      </c>
      <c r="X40" s="205">
        <f>VLOOKUP($A40,'Misc. Data &amp; Mechanisms'!$A$63:$DY$152,HLOOKUP('Service Zone Menu'!$K$6&amp;"_ATCO_Elec_Y_1",'Misc. Data &amp; Mechanisms'!$A$55:$DY$62,8,FALSE), FALSE)</f>
        <v>7.7499999999999999E-2</v>
      </c>
      <c r="Y40" s="205">
        <f>VLOOKUP($A40,'Misc. Data &amp; Mechanisms'!$A$63:$DY$152,HLOOKUP('Service Zone Menu'!$K$6&amp;"_ATCO_Elec_Y_2",'Misc. Data &amp; Mechanisms'!$A$55:$DY$62,8,FALSE), FALSE)</f>
        <v>1.5599999999999999E-2</v>
      </c>
      <c r="Z40" s="338">
        <f t="shared" si="32"/>
        <v>7.9195741370018951</v>
      </c>
      <c r="AA40" s="333">
        <f t="shared" si="33"/>
        <v>1.5941336327384459</v>
      </c>
      <c r="AB40" s="291">
        <v>-0.57899999999999996</v>
      </c>
      <c r="AC40" s="291">
        <v>-7.4999999999999997E-2</v>
      </c>
      <c r="AD40" s="291">
        <v>-0.11899999999999999</v>
      </c>
      <c r="AE40" s="392"/>
      <c r="AF40" s="291"/>
      <c r="AG40" s="290"/>
      <c r="AH40" s="290"/>
      <c r="AI40" s="338">
        <f t="shared" si="34"/>
        <v>-3.7708965868487105</v>
      </c>
      <c r="AJ40" s="338">
        <f t="shared" si="35"/>
        <v>-0.48845810710475529</v>
      </c>
      <c r="AK40" s="338">
        <f t="shared" si="36"/>
        <v>-0.77502019660621158</v>
      </c>
      <c r="AL40" s="338">
        <f t="shared" si="37"/>
        <v>0</v>
      </c>
      <c r="AM40" s="338">
        <f t="shared" si="23"/>
        <v>0</v>
      </c>
      <c r="AN40" s="338">
        <f t="shared" si="24"/>
        <v>0</v>
      </c>
      <c r="AO40" s="333">
        <f t="shared" si="25"/>
        <v>0</v>
      </c>
      <c r="AP40" s="200">
        <f>IF(OR($I$2="RRO (Capped)",$I$2="RRO (Uncapped)"),VLOOKUP(A40,'Misc. Data &amp; Mechanisms'!$A$1483:$H$1574,5,FALSE),BA40)</f>
        <v>0.28499999999999998</v>
      </c>
      <c r="AQ40" s="333">
        <f t="shared" si="26"/>
        <v>8.8349999999999991</v>
      </c>
      <c r="AR40" s="388">
        <f>5%</f>
        <v>0.05</v>
      </c>
      <c r="AS40" s="341">
        <f>'Misc. Data &amp; Mechanisms'!AK313</f>
        <v>577.9636684034765</v>
      </c>
      <c r="AT40" s="196">
        <f>'Misc. Data &amp; Mechanisms'!AP313</f>
        <v>524.29412952604048</v>
      </c>
      <c r="AU40" s="1087">
        <f>'Misc. Data &amp; Mechanisms'!T313</f>
        <v>651.27747613967369</v>
      </c>
      <c r="AV40" s="1087">
        <f>'Misc. Data &amp; Mechanisms'!U313</f>
        <v>494.25946694787689</v>
      </c>
      <c r="AW40" s="1087">
        <f>'Misc. Data &amp; Mechanisms'!V313</f>
        <v>365.78489460576714</v>
      </c>
      <c r="AX40" s="1463">
        <f>'Misc. Data &amp; Mechanisms'!$B$259</f>
        <v>611.34673880086393</v>
      </c>
      <c r="AY40" s="197">
        <f>IFERROR(IF('Personalized Bill Menu'!$B$30="Yes", IF('Personalized Bill Menu'!$B$34="Natural Gas",0,VLOOKUP($A40, 'Personalized Bill Menu'!$H$4:$L$93, 2, FALSE)), 0), 0)</f>
        <v>0</v>
      </c>
      <c r="AZ40" s="1343">
        <f>IFERROR(IF('Personalized Bill Menu'!$C$36="Custom", IF('Personalized Bill Menu'!$B$34="Natural Gas",0,VLOOKUP($A40, 'Personalized Bill Menu'!$H$4:$L$93, 3, FALSE)), 0), 0)</f>
        <v>0</v>
      </c>
      <c r="BA40" s="1344">
        <f>IFERROR(IF('Personalized Bill Menu'!$C$36="Custom", IF('Personalized Bill Menu'!$B$34="Natural Gas",0,VLOOKUP($A40, 'Personalized Bill Menu'!$H$4:$L$93, 4, FALSE)), 0), 0)</f>
        <v>0</v>
      </c>
      <c r="BB40" s="335"/>
      <c r="BC40" s="335"/>
      <c r="BD40" s="335"/>
    </row>
    <row r="41" spans="1:56" x14ac:dyDescent="0.35">
      <c r="A41" s="206">
        <v>41944</v>
      </c>
      <c r="B41" s="226">
        <f t="shared" si="0"/>
        <v>30</v>
      </c>
      <c r="C41" s="1581">
        <f t="shared" si="12"/>
        <v>700.86257451637744</v>
      </c>
      <c r="D41" s="181">
        <f t="shared" si="13"/>
        <v>25.251055888475587</v>
      </c>
      <c r="E41" s="178">
        <f t="shared" si="14"/>
        <v>17.658536700000003</v>
      </c>
      <c r="F41" s="86">
        <f t="shared" si="15"/>
        <v>176.97520039253934</v>
      </c>
      <c r="G41" s="115">
        <f t="shared" si="16"/>
        <v>44.070238685589814</v>
      </c>
      <c r="H41" s="66">
        <f t="shared" si="17"/>
        <v>22.918206186685541</v>
      </c>
      <c r="I41" s="66">
        <f t="shared" si="1"/>
        <v>88.091984018307883</v>
      </c>
      <c r="J41" s="66">
        <f t="shared" si="18"/>
        <v>10.335048708084887</v>
      </c>
      <c r="K41" s="66">
        <f t="shared" si="19"/>
        <v>-5.417667701011597</v>
      </c>
      <c r="L41" s="66">
        <f t="shared" si="20"/>
        <v>8.5499999999999989</v>
      </c>
      <c r="M41" s="68">
        <f t="shared" si="27"/>
        <v>8.4273904948828271</v>
      </c>
      <c r="N41" s="273">
        <f>IF($I$2="RRO (Capped)",VLOOKUP(A41,'Misc. Data &amp; Mechanisms'!$A$1278:$E$1368,5,FALSE),IF($I$2="RRO (Uncapped)",VLOOKUP(A41,'Misc. Data &amp; Mechanisms'!$G$1278:$K$1368,5,FALSE),AZ41))</f>
        <v>6.2880000000000003</v>
      </c>
      <c r="O41" s="333">
        <f t="shared" si="22"/>
        <v>44.070238685589814</v>
      </c>
      <c r="P41" s="390">
        <v>3.27</v>
      </c>
      <c r="Q41" s="333">
        <f t="shared" si="28"/>
        <v>22.918206186685541</v>
      </c>
      <c r="R41" s="390">
        <v>7.07</v>
      </c>
      <c r="S41" s="390">
        <v>99.72</v>
      </c>
      <c r="T41" s="390">
        <v>28.75</v>
      </c>
      <c r="U41" s="338">
        <f t="shared" si="29"/>
        <v>49.550984018307886</v>
      </c>
      <c r="V41" s="338">
        <f t="shared" si="30"/>
        <v>29.916</v>
      </c>
      <c r="W41" s="333">
        <f t="shared" si="31"/>
        <v>8.625</v>
      </c>
      <c r="X41" s="205">
        <f>VLOOKUP($A41,'Misc. Data &amp; Mechanisms'!$A$63:$DY$152,HLOOKUP('Service Zone Menu'!$K$6&amp;"_ATCO_Elec_Y_1",'Misc. Data &amp; Mechanisms'!$A$55:$DY$62,8,FALSE), FALSE)</f>
        <v>7.7499999999999999E-2</v>
      </c>
      <c r="Y41" s="205">
        <f>VLOOKUP($A41,'Misc. Data &amp; Mechanisms'!$A$63:$DY$152,HLOOKUP('Service Zone Menu'!$K$6&amp;"_ATCO_Elec_Y_2",'Misc. Data &amp; Mechanisms'!$A$55:$DY$62,8,FALSE), FALSE)</f>
        <v>1.5599999999999999E-2</v>
      </c>
      <c r="Z41" s="338">
        <f t="shared" si="32"/>
        <v>8.6032897408869893</v>
      </c>
      <c r="AA41" s="333">
        <f t="shared" si="33"/>
        <v>1.7317589671978972</v>
      </c>
      <c r="AB41" s="291">
        <v>-0.57899999999999996</v>
      </c>
      <c r="AC41" s="291">
        <v>-7.4999999999999997E-2</v>
      </c>
      <c r="AD41" s="291">
        <v>-0.11899999999999999</v>
      </c>
      <c r="AE41" s="392"/>
      <c r="AF41" s="291"/>
      <c r="AG41" s="290"/>
      <c r="AH41" s="290"/>
      <c r="AI41" s="338">
        <f t="shared" si="34"/>
        <v>-4.0579943064498254</v>
      </c>
      <c r="AJ41" s="338">
        <f t="shared" si="35"/>
        <v>-0.52564693088728309</v>
      </c>
      <c r="AK41" s="338">
        <f t="shared" si="36"/>
        <v>-0.83402646367448907</v>
      </c>
      <c r="AL41" s="338">
        <f t="shared" si="37"/>
        <v>0</v>
      </c>
      <c r="AM41" s="338">
        <f t="shared" si="23"/>
        <v>0</v>
      </c>
      <c r="AN41" s="338">
        <f t="shared" si="24"/>
        <v>0</v>
      </c>
      <c r="AO41" s="333">
        <f t="shared" si="25"/>
        <v>0</v>
      </c>
      <c r="AP41" s="200">
        <f>IF(OR($I$2="RRO (Capped)",$I$2="RRO (Uncapped)"),VLOOKUP(A41,'Misc. Data &amp; Mechanisms'!$A$1483:$H$1574,5,FALSE),BA41)</f>
        <v>0.28499999999999998</v>
      </c>
      <c r="AQ41" s="333">
        <f t="shared" si="26"/>
        <v>8.5499999999999989</v>
      </c>
      <c r="AR41" s="388">
        <f>5%</f>
        <v>0.05</v>
      </c>
      <c r="AS41" s="341">
        <f>'Misc. Data &amp; Mechanisms'!AK314</f>
        <v>621.96701015239466</v>
      </c>
      <c r="AT41" s="196">
        <f>'Misc. Data &amp; Mechanisms'!AP314</f>
        <v>616.45033272241665</v>
      </c>
      <c r="AU41" s="1087">
        <f>'Misc. Data &amp; Mechanisms'!T314</f>
        <v>700.86257451637744</v>
      </c>
      <c r="AV41" s="1087">
        <f>'Misc. Data &amp; Mechanisms'!U314</f>
        <v>531.88997804353721</v>
      </c>
      <c r="AW41" s="1087">
        <f>'Misc. Data &amp; Mechanisms'!V314</f>
        <v>393.6339768298995</v>
      </c>
      <c r="AX41" s="1463">
        <f>'Misc. Data &amp; Mechanisms'!$B$259</f>
        <v>611.34673880086393</v>
      </c>
      <c r="AY41" s="197">
        <f>IFERROR(IF('Personalized Bill Menu'!$B$30="Yes", IF('Personalized Bill Menu'!$B$34="Natural Gas",0,VLOOKUP($A41, 'Personalized Bill Menu'!$H$4:$L$93, 2, FALSE)), 0), 0)</f>
        <v>0</v>
      </c>
      <c r="AZ41" s="1343">
        <f>IFERROR(IF('Personalized Bill Menu'!$C$36="Custom", IF('Personalized Bill Menu'!$B$34="Natural Gas",0,VLOOKUP($A41, 'Personalized Bill Menu'!$H$4:$L$93, 3, FALSE)), 0), 0)</f>
        <v>0</v>
      </c>
      <c r="BA41" s="1344">
        <f>IFERROR(IF('Personalized Bill Menu'!$C$36="Custom", IF('Personalized Bill Menu'!$B$34="Natural Gas",0,VLOOKUP($A41, 'Personalized Bill Menu'!$H$4:$L$93, 4, FALSE)), 0), 0)</f>
        <v>0</v>
      </c>
      <c r="BB41" s="335"/>
      <c r="BC41" s="335"/>
      <c r="BD41" s="335"/>
    </row>
    <row r="42" spans="1:56" x14ac:dyDescent="0.35">
      <c r="A42" s="229">
        <v>41974</v>
      </c>
      <c r="B42" s="231">
        <f t="shared" si="0"/>
        <v>31</v>
      </c>
      <c r="C42" s="231">
        <f t="shared" si="12"/>
        <v>969.18953379045718</v>
      </c>
      <c r="D42" s="208">
        <f>IFERROR(($F42*100)/$C42, "")</f>
        <v>24.367329281832642</v>
      </c>
      <c r="E42" s="208">
        <f t="shared" si="14"/>
        <v>18.693836699999999</v>
      </c>
      <c r="F42" s="342">
        <f t="shared" si="15"/>
        <v>236.16560506377934</v>
      </c>
      <c r="G42" s="343">
        <f t="shared" si="16"/>
        <v>70.498846687917847</v>
      </c>
      <c r="H42" s="344">
        <f t="shared" si="17"/>
        <v>31.692497754947951</v>
      </c>
      <c r="I42" s="344">
        <f t="shared" si="1"/>
        <v>108.34740003898531</v>
      </c>
      <c r="J42" s="344">
        <f t="shared" si="18"/>
        <v>13.037714484615186</v>
      </c>
      <c r="K42" s="344">
        <f t="shared" si="19"/>
        <v>-7.4918350962002345</v>
      </c>
      <c r="L42" s="344">
        <f t="shared" si="20"/>
        <v>8.8349999999999991</v>
      </c>
      <c r="M42" s="345">
        <f t="shared" si="27"/>
        <v>11.245981193513302</v>
      </c>
      <c r="N42" s="1243">
        <f>IF($I$2="RRO (Capped)",VLOOKUP(A42,'Misc. Data &amp; Mechanisms'!$A$1278:$E$1368,5,FALSE),IF($I$2="RRO (Uncapped)",VLOOKUP(A42,'Misc. Data &amp; Mechanisms'!$G$1278:$K$1368,5,FALSE),AZ42))</f>
        <v>7.274</v>
      </c>
      <c r="O42" s="346">
        <f t="shared" si="22"/>
        <v>70.498846687917847</v>
      </c>
      <c r="P42" s="393">
        <v>3.27</v>
      </c>
      <c r="Q42" s="346">
        <f t="shared" si="28"/>
        <v>31.692497754947951</v>
      </c>
      <c r="R42" s="393">
        <v>7.07</v>
      </c>
      <c r="S42" s="393">
        <v>99.72</v>
      </c>
      <c r="T42" s="393">
        <v>28.75</v>
      </c>
      <c r="U42" s="349">
        <f t="shared" si="29"/>
        <v>68.521700038985315</v>
      </c>
      <c r="V42" s="349">
        <f t="shared" si="30"/>
        <v>30.9132</v>
      </c>
      <c r="W42" s="346">
        <f t="shared" si="31"/>
        <v>8.9124999999999996</v>
      </c>
      <c r="X42" s="246">
        <f>VLOOKUP($A42,'Misc. Data &amp; Mechanisms'!$A$63:$DY$152,HLOOKUP('Service Zone Menu'!$K$6&amp;"_ATCO_Elec_Y_1",'Misc. Data &amp; Mechanisms'!$A$55:$DY$62,8,FALSE), FALSE)</f>
        <v>7.7499999999999999E-2</v>
      </c>
      <c r="Y42" s="246">
        <f>VLOOKUP($A42,'Misc. Data &amp; Mechanisms'!$A$63:$DY$152,HLOOKUP('Service Zone Menu'!$K$6&amp;"_ATCO_Elec_Y_2",'Misc. Data &amp; Mechanisms'!$A$55:$DY$62,8,FALSE), FALSE)</f>
        <v>1.5599999999999999E-2</v>
      </c>
      <c r="Z42" s="349">
        <f t="shared" si="32"/>
        <v>10.853092079029828</v>
      </c>
      <c r="AA42" s="346">
        <f t="shared" si="33"/>
        <v>2.1846224055853591</v>
      </c>
      <c r="AB42" s="293">
        <v>-0.57899999999999996</v>
      </c>
      <c r="AC42" s="293">
        <v>-7.4999999999999997E-2</v>
      </c>
      <c r="AD42" s="293">
        <v>-0.11899999999999999</v>
      </c>
      <c r="AE42" s="395"/>
      <c r="AF42" s="293"/>
      <c r="AG42" s="292"/>
      <c r="AH42" s="292"/>
      <c r="AI42" s="349">
        <f t="shared" si="34"/>
        <v>-5.6116074006467471</v>
      </c>
      <c r="AJ42" s="349">
        <f t="shared" si="35"/>
        <v>-0.72689215034284294</v>
      </c>
      <c r="AK42" s="349">
        <f t="shared" si="36"/>
        <v>-1.153335545210644</v>
      </c>
      <c r="AL42" s="349">
        <f t="shared" si="37"/>
        <v>0</v>
      </c>
      <c r="AM42" s="349">
        <f t="shared" si="23"/>
        <v>0</v>
      </c>
      <c r="AN42" s="349">
        <f t="shared" si="24"/>
        <v>0</v>
      </c>
      <c r="AO42" s="346">
        <f t="shared" si="25"/>
        <v>0</v>
      </c>
      <c r="AP42" s="239">
        <f>IF(OR($I$2="RRO (Capped)",$I$2="RRO (Uncapped)"),VLOOKUP(A42,'Misc. Data &amp; Mechanisms'!$A$1483:$H$1574,5,FALSE),BA42)</f>
        <v>0.28499999999999998</v>
      </c>
      <c r="AQ42" s="346">
        <f t="shared" si="26"/>
        <v>8.8349999999999991</v>
      </c>
      <c r="AR42" s="396">
        <f>5%</f>
        <v>0.05</v>
      </c>
      <c r="AS42" s="352">
        <f>'Misc. Data &amp; Mechanisms'!AK315</f>
        <v>860.08860869565217</v>
      </c>
      <c r="AT42" s="1089">
        <f>'Misc. Data &amp; Mechanisms'!AP315</f>
        <v>680.46767316344483</v>
      </c>
      <c r="AU42" s="1089">
        <f>'Misc. Data &amp; Mechanisms'!T315</f>
        <v>969.18953379045718</v>
      </c>
      <c r="AV42" s="1089">
        <f>'Misc. Data &amp; Mechanisms'!U315</f>
        <v>735.52536344739053</v>
      </c>
      <c r="AW42" s="1089">
        <f>'Misc. Data &amp; Mechanisms'!V315</f>
        <v>544.33771235553263</v>
      </c>
      <c r="AX42" s="1464">
        <f>'Misc. Data &amp; Mechanisms'!$B$259</f>
        <v>611.34673880086393</v>
      </c>
      <c r="AY42" s="243">
        <f>IFERROR(IF('Personalized Bill Menu'!$B$30="Yes", IF('Personalized Bill Menu'!$B$34="Natural Gas",0,VLOOKUP($A42, 'Personalized Bill Menu'!$H$4:$L$93, 2, FALSE)), 0), 0)</f>
        <v>0</v>
      </c>
      <c r="AZ42" s="1345">
        <f>IFERROR(IF('Personalized Bill Menu'!$C$36="Custom", IF('Personalized Bill Menu'!$B$34="Natural Gas",0,VLOOKUP($A42, 'Personalized Bill Menu'!$H$4:$L$93, 3, FALSE)), 0), 0)</f>
        <v>0</v>
      </c>
      <c r="BA42" s="1346">
        <f>IFERROR(IF('Personalized Bill Menu'!$C$36="Custom", IF('Personalized Bill Menu'!$B$34="Natural Gas",0,VLOOKUP($A42, 'Personalized Bill Menu'!$H$4:$L$93, 4, FALSE)), 0), 0)</f>
        <v>0</v>
      </c>
      <c r="BB42" s="335"/>
      <c r="BC42" s="335"/>
      <c r="BD42" s="335"/>
    </row>
    <row r="43" spans="1:56" x14ac:dyDescent="0.35">
      <c r="A43" s="206">
        <v>42005</v>
      </c>
      <c r="B43" s="226">
        <f t="shared" si="0"/>
        <v>31</v>
      </c>
      <c r="C43" s="212">
        <f t="shared" si="12"/>
        <v>853.56270106255579</v>
      </c>
      <c r="D43" s="181">
        <f t="shared" si="13"/>
        <v>25.906602305845123</v>
      </c>
      <c r="E43" s="178">
        <f t="shared" si="14"/>
        <v>19.494986700000002</v>
      </c>
      <c r="F43" s="86">
        <f t="shared" si="15"/>
        <v>221.129094395306</v>
      </c>
      <c r="G43" s="115">
        <f t="shared" si="16"/>
        <v>63.359959299873523</v>
      </c>
      <c r="H43" s="66">
        <f t="shared" si="17"/>
        <v>28.252925405170593</v>
      </c>
      <c r="I43" s="66">
        <f t="shared" si="1"/>
        <v>99.604857884697665</v>
      </c>
      <c r="J43" s="66">
        <f t="shared" si="18"/>
        <v>11.903559624286734</v>
      </c>
      <c r="K43" s="66">
        <f t="shared" si="19"/>
        <v>-1.3571646946894651</v>
      </c>
      <c r="L43" s="66">
        <f t="shared" si="20"/>
        <v>8.8349999999999991</v>
      </c>
      <c r="M43" s="68">
        <f t="shared" si="27"/>
        <v>10.529956875966953</v>
      </c>
      <c r="N43" s="273">
        <f>IF($I$2="RRO (Capped)",VLOOKUP(A43,'Misc. Data &amp; Mechanisms'!$A$1278:$E$1368,5,FALSE),IF($I$2="RRO (Uncapped)",VLOOKUP(A43,'Misc. Data &amp; Mechanisms'!$G$1278:$K$1368,5,FALSE),AZ43))</f>
        <v>7.423</v>
      </c>
      <c r="O43" s="333">
        <f t="shared" si="22"/>
        <v>63.359959299873523</v>
      </c>
      <c r="P43" s="390">
        <v>3.31</v>
      </c>
      <c r="Q43" s="333">
        <f t="shared" si="28"/>
        <v>28.252925405170593</v>
      </c>
      <c r="R43" s="390">
        <v>7.03</v>
      </c>
      <c r="S43" s="390">
        <v>99.15</v>
      </c>
      <c r="T43" s="390">
        <v>28.59</v>
      </c>
      <c r="U43" s="338">
        <f t="shared" si="29"/>
        <v>60.00545788469767</v>
      </c>
      <c r="V43" s="338">
        <f t="shared" si="30"/>
        <v>30.736500000000003</v>
      </c>
      <c r="W43" s="333">
        <f t="shared" si="31"/>
        <v>8.8628999999999998</v>
      </c>
      <c r="X43" s="205">
        <f>VLOOKUP($A43,'Misc. Data &amp; Mechanisms'!$A$63:$DY$152,HLOOKUP('Service Zone Menu'!$K$6&amp;"_ATCO_Elec_Y_1",'Misc. Data &amp; Mechanisms'!$A$55:$DY$62,8,FALSE), FALSE)</f>
        <v>7.7499999999999999E-2</v>
      </c>
      <c r="Y43" s="205">
        <f>VLOOKUP($A43,'Misc. Data &amp; Mechanisms'!$A$63:$DY$152,HLOOKUP('Service Zone Menu'!$K$6&amp;"_ATCO_Elec_Y_2",'Misc. Data &amp; Mechanisms'!$A$55:$DY$62,8,FALSE), FALSE)</f>
        <v>1.5599999999999999E-2</v>
      </c>
      <c r="Z43" s="338">
        <f t="shared" si="32"/>
        <v>9.9089782049647894</v>
      </c>
      <c r="AA43" s="333">
        <f t="shared" si="33"/>
        <v>1.9945814193219447</v>
      </c>
      <c r="AB43" s="291">
        <v>-0.57899999999999996</v>
      </c>
      <c r="AC43" s="291">
        <v>-7.4999999999999997E-2</v>
      </c>
      <c r="AD43" s="291">
        <v>0.495</v>
      </c>
      <c r="AE43" s="392"/>
      <c r="AF43" s="291"/>
      <c r="AG43" s="290"/>
      <c r="AH43" s="290"/>
      <c r="AI43" s="338">
        <f t="shared" si="34"/>
        <v>-4.9421280391521982</v>
      </c>
      <c r="AJ43" s="338">
        <f t="shared" si="35"/>
        <v>-0.6401720257969169</v>
      </c>
      <c r="AK43" s="338">
        <f t="shared" si="36"/>
        <v>4.2251353702596504</v>
      </c>
      <c r="AL43" s="338">
        <f t="shared" si="37"/>
        <v>0</v>
      </c>
      <c r="AM43" s="338">
        <f t="shared" si="23"/>
        <v>0</v>
      </c>
      <c r="AN43" s="338">
        <f t="shared" si="24"/>
        <v>0</v>
      </c>
      <c r="AO43" s="333">
        <f t="shared" si="25"/>
        <v>0</v>
      </c>
      <c r="AP43" s="200">
        <f>IF(OR($I$2="RRO (Capped)",$I$2="RRO (Uncapped)"),VLOOKUP(A43,'Misc. Data &amp; Mechanisms'!$A$1483:$H$1574,5,FALSE),BA43)</f>
        <v>0.28499999999999998</v>
      </c>
      <c r="AQ43" s="333">
        <f t="shared" si="26"/>
        <v>8.8349999999999991</v>
      </c>
      <c r="AR43" s="388">
        <f>5%</f>
        <v>0.05</v>
      </c>
      <c r="AS43" s="359">
        <f>'Misc. Data &amp; Mechanisms'!AK316</f>
        <v>757.47780015763203</v>
      </c>
      <c r="AT43" s="1239">
        <f>'Misc. Data &amp; Mechanisms'!AP316</f>
        <v>657.08300980223214</v>
      </c>
      <c r="AU43" s="1087">
        <f>'Misc. Data &amp; Mechanisms'!T316</f>
        <v>853.56270106255579</v>
      </c>
      <c r="AV43" s="1087">
        <f>'Misc. Data &amp; Mechanisms'!U316</f>
        <v>647.77527411878691</v>
      </c>
      <c r="AW43" s="1087">
        <f>'Misc. Data &amp; Mechanisms'!V316</f>
        <v>479.39680717688719</v>
      </c>
      <c r="AX43" s="1463">
        <f>'Misc. Data &amp; Mechanisms'!$B$259</f>
        <v>611.34673880086393</v>
      </c>
      <c r="AY43" s="197">
        <f>IFERROR(IF('Personalized Bill Menu'!$B$30="Yes", IF('Personalized Bill Menu'!$B$34="Natural Gas",0,VLOOKUP($A43, 'Personalized Bill Menu'!$H$4:$L$93, 2, FALSE)), 0), 0)</f>
        <v>0</v>
      </c>
      <c r="AZ43" s="1343">
        <f>IFERROR(IF('Personalized Bill Menu'!$C$36="Custom", IF('Personalized Bill Menu'!$B$34="Natural Gas",0,VLOOKUP($A43, 'Personalized Bill Menu'!$H$4:$L$93, 3, FALSE)), 0), 0)</f>
        <v>0</v>
      </c>
      <c r="BA43" s="1344">
        <f>IFERROR(IF('Personalized Bill Menu'!$C$36="Custom", IF('Personalized Bill Menu'!$B$34="Natural Gas",0,VLOOKUP($A43, 'Personalized Bill Menu'!$H$4:$L$93, 4, FALSE)), 0), 0)</f>
        <v>0</v>
      </c>
      <c r="BB43" s="335"/>
      <c r="BC43" s="335"/>
      <c r="BD43" s="335"/>
    </row>
    <row r="44" spans="1:56" x14ac:dyDescent="0.35">
      <c r="A44" s="206">
        <v>42036</v>
      </c>
      <c r="B44" s="226">
        <f t="shared" si="0"/>
        <v>28</v>
      </c>
      <c r="C44" s="1581">
        <f t="shared" si="12"/>
        <v>715.97819239297553</v>
      </c>
      <c r="D44" s="181">
        <f t="shared" si="13"/>
        <v>24.771465502872399</v>
      </c>
      <c r="E44" s="178">
        <f t="shared" si="14"/>
        <v>17.867486700000001</v>
      </c>
      <c r="F44" s="86">
        <f t="shared" si="15"/>
        <v>177.35829093671532</v>
      </c>
      <c r="G44" s="115">
        <f t="shared" si="16"/>
        <v>42.049399239239456</v>
      </c>
      <c r="H44" s="66">
        <f t="shared" si="17"/>
        <v>23.698878168207489</v>
      </c>
      <c r="I44" s="66">
        <f t="shared" si="1"/>
        <v>86.100466925226186</v>
      </c>
      <c r="J44" s="66">
        <f t="shared" si="18"/>
        <v>10.222319028198674</v>
      </c>
      <c r="K44" s="66">
        <f t="shared" si="19"/>
        <v>-1.1384053259048317</v>
      </c>
      <c r="L44" s="66">
        <f t="shared" si="20"/>
        <v>7.9799999999999995</v>
      </c>
      <c r="M44" s="68">
        <f t="shared" si="27"/>
        <v>8.4456329017483487</v>
      </c>
      <c r="N44" s="273">
        <f>IF($I$2="RRO (Capped)",VLOOKUP(A44,'Misc. Data &amp; Mechanisms'!$A$1278:$E$1368,5,FALSE),IF($I$2="RRO (Uncapped)",VLOOKUP(A44,'Misc. Data &amp; Mechanisms'!$G$1278:$K$1368,5,FALSE),AZ44))</f>
        <v>5.8730000000000002</v>
      </c>
      <c r="O44" s="333">
        <f t="shared" si="22"/>
        <v>42.049399239239456</v>
      </c>
      <c r="P44" s="390">
        <v>3.31</v>
      </c>
      <c r="Q44" s="333">
        <f t="shared" si="28"/>
        <v>23.698878168207489</v>
      </c>
      <c r="R44" s="390">
        <v>7.03</v>
      </c>
      <c r="S44" s="390">
        <v>99.15</v>
      </c>
      <c r="T44" s="390">
        <v>28.59</v>
      </c>
      <c r="U44" s="338">
        <f t="shared" si="29"/>
        <v>50.333266925226184</v>
      </c>
      <c r="V44" s="338">
        <f t="shared" si="30"/>
        <v>27.762</v>
      </c>
      <c r="W44" s="333">
        <f t="shared" si="31"/>
        <v>8.0052000000000003</v>
      </c>
      <c r="X44" s="205">
        <f>VLOOKUP($A44,'Misc. Data &amp; Mechanisms'!$A$63:$DY$152,HLOOKUP('Service Zone Menu'!$K$6&amp;"_ATCO_Elec_Y_1",'Misc. Data &amp; Mechanisms'!$A$55:$DY$62,8,FALSE), FALSE)</f>
        <v>7.7499999999999999E-2</v>
      </c>
      <c r="Y44" s="205">
        <f>VLOOKUP($A44,'Misc. Data &amp; Mechanisms'!$A$63:$DY$152,HLOOKUP('Service Zone Menu'!$K$6&amp;"_ATCO_Elec_Y_2",'Misc. Data &amp; Mechanisms'!$A$55:$DY$62,8,FALSE), FALSE)</f>
        <v>1.5599999999999999E-2</v>
      </c>
      <c r="Z44" s="338">
        <f t="shared" si="32"/>
        <v>8.5094492447411092</v>
      </c>
      <c r="AA44" s="333">
        <f t="shared" si="33"/>
        <v>1.7128697834575652</v>
      </c>
      <c r="AB44" s="291">
        <v>-0.57899999999999996</v>
      </c>
      <c r="AC44" s="291">
        <v>-7.4999999999999997E-2</v>
      </c>
      <c r="AD44" s="291">
        <v>0.495</v>
      </c>
      <c r="AE44" s="392"/>
      <c r="AF44" s="291"/>
      <c r="AG44" s="290"/>
      <c r="AH44" s="290"/>
      <c r="AI44" s="338">
        <f t="shared" si="34"/>
        <v>-4.1455137339553287</v>
      </c>
      <c r="AJ44" s="338">
        <f t="shared" si="35"/>
        <v>-0.53698364429473167</v>
      </c>
      <c r="AK44" s="338">
        <f t="shared" si="36"/>
        <v>3.5440920523452286</v>
      </c>
      <c r="AL44" s="338">
        <f t="shared" si="37"/>
        <v>0</v>
      </c>
      <c r="AM44" s="338">
        <f t="shared" si="23"/>
        <v>0</v>
      </c>
      <c r="AN44" s="338">
        <f t="shared" si="24"/>
        <v>0</v>
      </c>
      <c r="AO44" s="333">
        <f t="shared" si="25"/>
        <v>0</v>
      </c>
      <c r="AP44" s="200">
        <f>IF(OR($I$2="RRO (Capped)",$I$2="RRO (Uncapped)"),VLOOKUP(A44,'Misc. Data &amp; Mechanisms'!$A$1483:$H$1574,5,FALSE),BA44)</f>
        <v>0.28499999999999998</v>
      </c>
      <c r="AQ44" s="333">
        <f t="shared" si="26"/>
        <v>7.9799999999999995</v>
      </c>
      <c r="AR44" s="388">
        <f>5%</f>
        <v>0.05</v>
      </c>
      <c r="AS44" s="341">
        <f>'Misc. Data &amp; Mechanisms'!AK317</f>
        <v>635.38107447706079</v>
      </c>
      <c r="AT44" s="196">
        <f>'Misc. Data &amp; Mechanisms'!AP317</f>
        <v>567.16869330123086</v>
      </c>
      <c r="AU44" s="1087">
        <f>'Misc. Data &amp; Mechanisms'!T317</f>
        <v>715.97819239297553</v>
      </c>
      <c r="AV44" s="1087">
        <f>'Misc. Data &amp; Mechanisms'!U317</f>
        <v>543.36133627099866</v>
      </c>
      <c r="AW44" s="1087">
        <f>'Misc. Data &amp; Mechanisms'!V317</f>
        <v>402.12354524652125</v>
      </c>
      <c r="AX44" s="1463">
        <f>'Misc. Data &amp; Mechanisms'!$B$259</f>
        <v>611.34673880086393</v>
      </c>
      <c r="AY44" s="197">
        <f>IFERROR(IF('Personalized Bill Menu'!$B$30="Yes", IF('Personalized Bill Menu'!$B$34="Natural Gas",0,VLOOKUP($A44, 'Personalized Bill Menu'!$H$4:$L$93, 2, FALSE)), 0), 0)</f>
        <v>0</v>
      </c>
      <c r="AZ44" s="1343">
        <f>IFERROR(IF('Personalized Bill Menu'!$C$36="Custom", IF('Personalized Bill Menu'!$B$34="Natural Gas",0,VLOOKUP($A44, 'Personalized Bill Menu'!$H$4:$L$93, 3, FALSE)), 0), 0)</f>
        <v>0</v>
      </c>
      <c r="BA44" s="1344">
        <f>IFERROR(IF('Personalized Bill Menu'!$C$36="Custom", IF('Personalized Bill Menu'!$B$34="Natural Gas",0,VLOOKUP($A44, 'Personalized Bill Menu'!$H$4:$L$93, 4, FALSE)), 0), 0)</f>
        <v>0</v>
      </c>
      <c r="BB44" s="335"/>
      <c r="BC44" s="335"/>
      <c r="BD44" s="335"/>
    </row>
    <row r="45" spans="1:56" x14ac:dyDescent="0.35">
      <c r="A45" s="206">
        <v>42064</v>
      </c>
      <c r="B45" s="226">
        <f t="shared" si="0"/>
        <v>31</v>
      </c>
      <c r="C45" s="1581">
        <f t="shared" si="12"/>
        <v>757.78115187967319</v>
      </c>
      <c r="D45" s="181">
        <f t="shared" si="13"/>
        <v>24.06261369437027</v>
      </c>
      <c r="E45" s="178">
        <f t="shared" si="14"/>
        <v>16.840586700000003</v>
      </c>
      <c r="F45" s="86">
        <f t="shared" si="15"/>
        <v>182.34195122555502</v>
      </c>
      <c r="G45" s="115">
        <f t="shared" si="16"/>
        <v>37.093387384509995</v>
      </c>
      <c r="H45" s="66">
        <f>SUM($Q45)</f>
        <v>25.082556127217181</v>
      </c>
      <c r="I45" s="66">
        <f t="shared" si="1"/>
        <v>92.871414977141029</v>
      </c>
      <c r="J45" s="66">
        <f t="shared" si="18"/>
        <v>10.981514709815748</v>
      </c>
      <c r="K45" s="66">
        <f t="shared" si="19"/>
        <v>-1.2048720314886805</v>
      </c>
      <c r="L45" s="66">
        <f t="shared" si="20"/>
        <v>8.8349999999999991</v>
      </c>
      <c r="M45" s="68">
        <f t="shared" si="27"/>
        <v>8.6829500583597632</v>
      </c>
      <c r="N45" s="273">
        <f>IF($I$2="RRO (Capped)",VLOOKUP(A45,'Misc. Data &amp; Mechanisms'!$A$1278:$E$1368,5,FALSE),IF($I$2="RRO (Uncapped)",VLOOKUP(A45,'Misc. Data &amp; Mechanisms'!$G$1278:$K$1368,5,FALSE),AZ45))</f>
        <v>4.8949999999999996</v>
      </c>
      <c r="O45" s="333">
        <f t="shared" si="22"/>
        <v>37.093387384509995</v>
      </c>
      <c r="P45" s="390">
        <v>3.31</v>
      </c>
      <c r="Q45" s="333">
        <f t="shared" si="28"/>
        <v>25.082556127217181</v>
      </c>
      <c r="R45" s="390">
        <v>7.03</v>
      </c>
      <c r="S45" s="390">
        <v>99.15</v>
      </c>
      <c r="T45" s="390">
        <v>28.59</v>
      </c>
      <c r="U45" s="338">
        <f t="shared" si="29"/>
        <v>53.272014977141026</v>
      </c>
      <c r="V45" s="338">
        <f t="shared" si="30"/>
        <v>30.736500000000003</v>
      </c>
      <c r="W45" s="333">
        <f t="shared" si="31"/>
        <v>8.8628999999999998</v>
      </c>
      <c r="X45" s="205">
        <f>VLOOKUP($A45,'Misc. Data &amp; Mechanisms'!$A$63:$DY$152,HLOOKUP('Service Zone Menu'!$K$6&amp;"_ATCO_Elec_Y_1",'Misc. Data &amp; Mechanisms'!$A$55:$DY$62,8,FALSE), FALSE)</f>
        <v>7.7499999999999999E-2</v>
      </c>
      <c r="Y45" s="205">
        <f>VLOOKUP($A45,'Misc. Data &amp; Mechanisms'!$A$63:$DY$152,HLOOKUP('Service Zone Menu'!$K$6&amp;"_ATCO_Elec_Y_2",'Misc. Data &amp; Mechanisms'!$A$55:$DY$62,8,FALSE), FALSE)</f>
        <v>1.5599999999999999E-2</v>
      </c>
      <c r="Z45" s="338">
        <f t="shared" si="32"/>
        <v>9.1414327605877599</v>
      </c>
      <c r="AA45" s="333">
        <f t="shared" si="33"/>
        <v>1.8400819492279878</v>
      </c>
      <c r="AB45" s="291">
        <v>-0.57899999999999996</v>
      </c>
      <c r="AC45" s="291">
        <v>-7.4999999999999997E-2</v>
      </c>
      <c r="AD45" s="291">
        <v>0.495</v>
      </c>
      <c r="AE45" s="392"/>
      <c r="AF45" s="291"/>
      <c r="AG45" s="290"/>
      <c r="AH45" s="290"/>
      <c r="AI45" s="338">
        <f t="shared" si="34"/>
        <v>-4.3875528693833079</v>
      </c>
      <c r="AJ45" s="338">
        <f t="shared" si="35"/>
        <v>-0.56833586390975488</v>
      </c>
      <c r="AK45" s="338">
        <f t="shared" si="36"/>
        <v>3.7510167018043821</v>
      </c>
      <c r="AL45" s="338">
        <f t="shared" si="37"/>
        <v>0</v>
      </c>
      <c r="AM45" s="338">
        <f t="shared" si="23"/>
        <v>0</v>
      </c>
      <c r="AN45" s="338">
        <f t="shared" si="24"/>
        <v>0</v>
      </c>
      <c r="AO45" s="333">
        <f t="shared" si="25"/>
        <v>0</v>
      </c>
      <c r="AP45" s="200">
        <f>IF(OR($I$2="RRO (Capped)",$I$2="RRO (Uncapped)"),VLOOKUP(A45,'Misc. Data &amp; Mechanisms'!$A$1483:$H$1574,5,FALSE),BA45)</f>
        <v>0.28499999999999998</v>
      </c>
      <c r="AQ45" s="333">
        <f t="shared" si="26"/>
        <v>8.8349999999999991</v>
      </c>
      <c r="AR45" s="388">
        <f>5%</f>
        <v>0.05</v>
      </c>
      <c r="AS45" s="341">
        <f>'Misc. Data &amp; Mechanisms'!AK318</f>
        <v>672.47830676315357</v>
      </c>
      <c r="AT45" s="196">
        <f>'Misc. Data &amp; Mechanisms'!AP318</f>
        <v>559.20686936723871</v>
      </c>
      <c r="AU45" s="1087">
        <f>'Misc. Data &amp; Mechanisms'!T318</f>
        <v>757.78115187967319</v>
      </c>
      <c r="AV45" s="1087">
        <f>'Misc. Data &amp; Mechanisms'!U318</f>
        <v>575.08592253368681</v>
      </c>
      <c r="AW45" s="1087">
        <f>'Misc. Data &amp; Mechanisms'!V318</f>
        <v>425.60185010159591</v>
      </c>
      <c r="AX45" s="1463">
        <f>'Misc. Data &amp; Mechanisms'!$B$259</f>
        <v>611.34673880086393</v>
      </c>
      <c r="AY45" s="197">
        <f>IFERROR(IF('Personalized Bill Menu'!$B$30="Yes", IF('Personalized Bill Menu'!$B$34="Natural Gas",0,VLOOKUP($A45, 'Personalized Bill Menu'!$H$4:$L$93, 2, FALSE)), 0), 0)</f>
        <v>0</v>
      </c>
      <c r="AZ45" s="1343">
        <f>IFERROR(IF('Personalized Bill Menu'!$C$36="Custom", IF('Personalized Bill Menu'!$B$34="Natural Gas",0,VLOOKUP($A45, 'Personalized Bill Menu'!$H$4:$L$93, 3, FALSE)), 0), 0)</f>
        <v>0</v>
      </c>
      <c r="BA45" s="1344">
        <f>IFERROR(IF('Personalized Bill Menu'!$C$36="Custom", IF('Personalized Bill Menu'!$B$34="Natural Gas",0,VLOOKUP($A45, 'Personalized Bill Menu'!$H$4:$L$93, 4, FALSE)), 0), 0)</f>
        <v>0</v>
      </c>
      <c r="BB45" s="335"/>
      <c r="BC45" s="335"/>
      <c r="BD45" s="335"/>
    </row>
    <row r="46" spans="1:56" x14ac:dyDescent="0.35">
      <c r="A46" s="206">
        <v>42095</v>
      </c>
      <c r="B46" s="226">
        <f t="shared" si="0"/>
        <v>30</v>
      </c>
      <c r="C46" s="1581">
        <f t="shared" si="12"/>
        <v>614.96350701495874</v>
      </c>
      <c r="D46" s="181">
        <f t="shared" si="13"/>
        <v>25.29880652184125</v>
      </c>
      <c r="E46" s="178">
        <f t="shared" si="14"/>
        <v>16.7121444</v>
      </c>
      <c r="F46" s="86">
        <f t="shared" si="15"/>
        <v>155.57842781964405</v>
      </c>
      <c r="G46" s="115">
        <f t="shared" si="16"/>
        <v>31.836660758164413</v>
      </c>
      <c r="H46" s="66">
        <f t="shared" si="17"/>
        <v>20.355292082195131</v>
      </c>
      <c r="I46" s="66">
        <f t="shared" si="1"/>
        <v>81.553934543151598</v>
      </c>
      <c r="J46" s="66">
        <f t="shared" si="18"/>
        <v>9.090303014980929</v>
      </c>
      <c r="K46" s="66">
        <f t="shared" si="19"/>
        <v>-3.216259141688234</v>
      </c>
      <c r="L46" s="66">
        <f t="shared" si="20"/>
        <v>8.5499999999999989</v>
      </c>
      <c r="M46" s="68">
        <f t="shared" si="27"/>
        <v>7.4084965628401935</v>
      </c>
      <c r="N46" s="273">
        <f>IF($I$2="RRO (Capped)",VLOOKUP(A46,'Misc. Data &amp; Mechanisms'!$A$1278:$E$1368,5,FALSE),IF($I$2="RRO (Uncapped)",VLOOKUP(A46,'Misc. Data &amp; Mechanisms'!$G$1278:$K$1368,5,FALSE),AZ46))</f>
        <v>5.1769999999999996</v>
      </c>
      <c r="O46" s="333">
        <f t="shared" si="22"/>
        <v>31.836660758164413</v>
      </c>
      <c r="P46" s="390">
        <v>3.31</v>
      </c>
      <c r="Q46" s="333">
        <f t="shared" si="28"/>
        <v>20.355292082195131</v>
      </c>
      <c r="R46" s="390">
        <v>7.03</v>
      </c>
      <c r="S46" s="390">
        <v>99.15</v>
      </c>
      <c r="T46" s="390">
        <v>28.59</v>
      </c>
      <c r="U46" s="338">
        <f t="shared" si="29"/>
        <v>43.231934543151603</v>
      </c>
      <c r="V46" s="338">
        <f t="shared" si="30"/>
        <v>29.745000000000001</v>
      </c>
      <c r="W46" s="333">
        <f t="shared" si="31"/>
        <v>8.577</v>
      </c>
      <c r="X46" s="205">
        <f>VLOOKUP($A46,'Misc. Data &amp; Mechanisms'!$A$63:$DY$152,HLOOKUP('Service Zone Menu'!$K$6&amp;"_ATCO_Elec_Y_1",'Misc. Data &amp; Mechanisms'!$A$55:$DY$62,8,FALSE), FALSE)</f>
        <v>7.7499999999999999E-2</v>
      </c>
      <c r="Y46" s="205">
        <f>VLOOKUP($A46,'Misc. Data &amp; Mechanisms'!$A$63:$DY$152,HLOOKUP('Service Zone Menu'!$K$6&amp;"_ATCO_Elec_Y_2",'Misc. Data &amp; Mechanisms'!$A$55:$DY$62,8,FALSE), FALSE)</f>
        <v>1.17E-2</v>
      </c>
      <c r="Z46" s="338">
        <f t="shared" si="32"/>
        <v>7.8979650634643717</v>
      </c>
      <c r="AA46" s="333">
        <f t="shared" si="33"/>
        <v>1.1923379515165569</v>
      </c>
      <c r="AB46" s="291">
        <v>-0.57899999999999996</v>
      </c>
      <c r="AC46" s="291">
        <v>-7.4999999999999997E-2</v>
      </c>
      <c r="AD46" s="291">
        <v>0.13100000000000001</v>
      </c>
      <c r="AE46" s="392"/>
      <c r="AF46" s="291"/>
      <c r="AG46" s="290"/>
      <c r="AH46" s="290"/>
      <c r="AI46" s="338">
        <f t="shared" si="34"/>
        <v>-3.5606387056166109</v>
      </c>
      <c r="AJ46" s="338">
        <f t="shared" si="35"/>
        <v>-0.46122263026121907</v>
      </c>
      <c r="AK46" s="338">
        <f t="shared" si="36"/>
        <v>0.80560219418959589</v>
      </c>
      <c r="AL46" s="338">
        <f t="shared" si="37"/>
        <v>0</v>
      </c>
      <c r="AM46" s="338">
        <f t="shared" si="23"/>
        <v>0</v>
      </c>
      <c r="AN46" s="338">
        <f t="shared" si="24"/>
        <v>0</v>
      </c>
      <c r="AO46" s="333">
        <f t="shared" si="25"/>
        <v>0</v>
      </c>
      <c r="AP46" s="200">
        <f>IF(OR($I$2="RRO (Capped)",$I$2="RRO (Uncapped)"),VLOOKUP(A46,'Misc. Data &amp; Mechanisms'!$A$1483:$H$1574,5,FALSE),BA46)</f>
        <v>0.28499999999999998</v>
      </c>
      <c r="AQ46" s="333">
        <f t="shared" si="26"/>
        <v>8.5499999999999989</v>
      </c>
      <c r="AR46" s="388">
        <f>5%</f>
        <v>0.05</v>
      </c>
      <c r="AS46" s="341">
        <f>'Misc. Data &amp; Mechanisms'!AK319</f>
        <v>545.73753502939724</v>
      </c>
      <c r="AT46" s="196">
        <f>'Misc. Data &amp; Mechanisms'!AP319</f>
        <v>492.41607298078463</v>
      </c>
      <c r="AU46" s="1087">
        <f>'Misc. Data &amp; Mechanisms'!T319</f>
        <v>614.96350701495874</v>
      </c>
      <c r="AV46" s="1087">
        <f>'Misc. Data &amp; Mechanisms'!U319</f>
        <v>466.70051752937434</v>
      </c>
      <c r="AW46" s="1087">
        <f>'Misc. Data &amp; Mechanisms'!V319</f>
        <v>345.38943820562559</v>
      </c>
      <c r="AX46" s="1463">
        <f>'Misc. Data &amp; Mechanisms'!$B$259</f>
        <v>611.34673880086393</v>
      </c>
      <c r="AY46" s="197">
        <f>IFERROR(IF('Personalized Bill Menu'!$B$30="Yes", IF('Personalized Bill Menu'!$B$34="Natural Gas",0,VLOOKUP($A46, 'Personalized Bill Menu'!$H$4:$L$93, 2, FALSE)), 0), 0)</f>
        <v>0</v>
      </c>
      <c r="AZ46" s="1343">
        <f>IFERROR(IF('Personalized Bill Menu'!$C$36="Custom", IF('Personalized Bill Menu'!$B$34="Natural Gas",0,VLOOKUP($A46, 'Personalized Bill Menu'!$H$4:$L$93, 3, FALSE)), 0), 0)</f>
        <v>0</v>
      </c>
      <c r="BA46" s="1344">
        <f>IFERROR(IF('Personalized Bill Menu'!$C$36="Custom", IF('Personalized Bill Menu'!$B$34="Natural Gas",0,VLOOKUP($A46, 'Personalized Bill Menu'!$H$4:$L$93, 4, FALSE)), 0), 0)</f>
        <v>0</v>
      </c>
      <c r="BB46" s="335"/>
      <c r="BC46" s="335"/>
      <c r="BD46" s="335"/>
    </row>
    <row r="47" spans="1:56" x14ac:dyDescent="0.35">
      <c r="A47" s="206">
        <v>42125</v>
      </c>
      <c r="B47" s="226">
        <f t="shared" si="0"/>
        <v>31</v>
      </c>
      <c r="C47" s="1581">
        <f t="shared" si="12"/>
        <v>572.77241353785314</v>
      </c>
      <c r="D47" s="181">
        <f>IFERROR(($F47*100)/$C47, "")</f>
        <v>25.567665737361985</v>
      </c>
      <c r="E47" s="178">
        <f t="shared" si="14"/>
        <v>16.041194400000002</v>
      </c>
      <c r="F47" s="86">
        <f t="shared" si="15"/>
        <v>146.44453612917897</v>
      </c>
      <c r="G47" s="115">
        <f t="shared" si="16"/>
        <v>25.992412126347777</v>
      </c>
      <c r="H47" s="66">
        <f t="shared" si="17"/>
        <v>18.958766888102936</v>
      </c>
      <c r="I47" s="66">
        <f t="shared" si="1"/>
        <v>79.865300671711083</v>
      </c>
      <c r="J47" s="66">
        <f t="shared" si="18"/>
        <v>8.8151068263354109</v>
      </c>
      <c r="K47" s="66">
        <f t="shared" si="19"/>
        <v>-2.9955997228029725</v>
      </c>
      <c r="L47" s="66">
        <f t="shared" si="20"/>
        <v>8.8349999999999991</v>
      </c>
      <c r="M47" s="68">
        <f t="shared" si="27"/>
        <v>6.9735493394847126</v>
      </c>
      <c r="N47" s="273">
        <f>IF($I$2="RRO (Capped)",VLOOKUP(A47,'Misc. Data &amp; Mechanisms'!$A$1278:$E$1368,5,FALSE),IF($I$2="RRO (Uncapped)",VLOOKUP(A47,'Misc. Data &amp; Mechanisms'!$G$1278:$K$1368,5,FALSE),AZ47))</f>
        <v>4.5380000000000003</v>
      </c>
      <c r="O47" s="333">
        <f t="shared" si="22"/>
        <v>25.992412126347777</v>
      </c>
      <c r="P47" s="390">
        <v>3.31</v>
      </c>
      <c r="Q47" s="333">
        <f t="shared" si="28"/>
        <v>18.958766888102936</v>
      </c>
      <c r="R47" s="390">
        <v>7.03</v>
      </c>
      <c r="S47" s="390">
        <v>99.15</v>
      </c>
      <c r="T47" s="390">
        <v>28.59</v>
      </c>
      <c r="U47" s="338">
        <f t="shared" si="29"/>
        <v>40.26590067171108</v>
      </c>
      <c r="V47" s="338">
        <f t="shared" si="30"/>
        <v>30.736500000000003</v>
      </c>
      <c r="W47" s="333">
        <f t="shared" si="31"/>
        <v>8.8628999999999998</v>
      </c>
      <c r="X47" s="205">
        <f>VLOOKUP($A47,'Misc. Data &amp; Mechanisms'!$A$63:$DY$152,HLOOKUP('Service Zone Menu'!$K$6&amp;"_ATCO_Elec_Y_1",'Misc. Data &amp; Mechanisms'!$A$55:$DY$62,8,FALSE), FALSE)</f>
        <v>7.7499999999999999E-2</v>
      </c>
      <c r="Y47" s="205">
        <f>VLOOKUP($A47,'Misc. Data &amp; Mechanisms'!$A$63:$DY$152,HLOOKUP('Service Zone Menu'!$K$6&amp;"_ATCO_Elec_Y_2",'Misc. Data &amp; Mechanisms'!$A$55:$DY$62,8,FALSE), FALSE)</f>
        <v>1.17E-2</v>
      </c>
      <c r="Z47" s="338">
        <f t="shared" si="32"/>
        <v>7.6588652358855862</v>
      </c>
      <c r="AA47" s="333">
        <f t="shared" si="33"/>
        <v>1.156241590449824</v>
      </c>
      <c r="AB47" s="291">
        <v>-0.57899999999999996</v>
      </c>
      <c r="AC47" s="291">
        <v>-7.4999999999999997E-2</v>
      </c>
      <c r="AD47" s="291">
        <v>0.13100000000000001</v>
      </c>
      <c r="AE47" s="392"/>
      <c r="AF47" s="291"/>
      <c r="AG47" s="290"/>
      <c r="AH47" s="290"/>
      <c r="AI47" s="338">
        <f t="shared" si="34"/>
        <v>-3.3163522743841698</v>
      </c>
      <c r="AJ47" s="338">
        <f t="shared" si="35"/>
        <v>-0.42957931015338985</v>
      </c>
      <c r="AK47" s="338">
        <f t="shared" si="36"/>
        <v>0.75033186173458755</v>
      </c>
      <c r="AL47" s="338">
        <f t="shared" si="37"/>
        <v>0</v>
      </c>
      <c r="AM47" s="338">
        <f t="shared" si="23"/>
        <v>0</v>
      </c>
      <c r="AN47" s="338">
        <f t="shared" si="24"/>
        <v>0</v>
      </c>
      <c r="AO47" s="333">
        <f t="shared" si="25"/>
        <v>0</v>
      </c>
      <c r="AP47" s="200">
        <f>IF(OR($I$2="RRO (Capped)",$I$2="RRO (Uncapped)"),VLOOKUP(A47,'Misc. Data &amp; Mechanisms'!$A$1483:$H$1574,5,FALSE),BA47)</f>
        <v>0.28499999999999998</v>
      </c>
      <c r="AQ47" s="333">
        <f t="shared" si="26"/>
        <v>8.8349999999999991</v>
      </c>
      <c r="AR47" s="388">
        <f>5%</f>
        <v>0.05</v>
      </c>
      <c r="AS47" s="341">
        <f>'Misc. Data &amp; Mechanisms'!AK320</f>
        <v>508.29586069955707</v>
      </c>
      <c r="AT47" s="196">
        <f>'Misc. Data &amp; Mechanisms'!AP320</f>
        <v>481.77695362669192</v>
      </c>
      <c r="AU47" s="1087">
        <f>'Misc. Data &amp; Mechanisms'!T320</f>
        <v>572.77241353785314</v>
      </c>
      <c r="AV47" s="1087">
        <f>'Misc. Data &amp; Mechanisms'!U320</f>
        <v>434.68137340735342</v>
      </c>
      <c r="AW47" s="1087">
        <f>'Misc. Data &amp; Mechanisms'!V320</f>
        <v>321.69314093414528</v>
      </c>
      <c r="AX47" s="1463">
        <f>'Misc. Data &amp; Mechanisms'!$B$259</f>
        <v>611.34673880086393</v>
      </c>
      <c r="AY47" s="197">
        <f>IFERROR(IF('Personalized Bill Menu'!$B$30="Yes", IF('Personalized Bill Menu'!$B$34="Natural Gas",0,VLOOKUP($A47, 'Personalized Bill Menu'!$H$4:$L$93, 2, FALSE)), 0), 0)</f>
        <v>0</v>
      </c>
      <c r="AZ47" s="1343">
        <f>IFERROR(IF('Personalized Bill Menu'!$C$36="Custom", IF('Personalized Bill Menu'!$B$34="Natural Gas",0,VLOOKUP($A47, 'Personalized Bill Menu'!$H$4:$L$93, 3, FALSE)), 0), 0)</f>
        <v>0</v>
      </c>
      <c r="BA47" s="1344">
        <f>IFERROR(IF('Personalized Bill Menu'!$C$36="Custom", IF('Personalized Bill Menu'!$B$34="Natural Gas",0,VLOOKUP($A47, 'Personalized Bill Menu'!$H$4:$L$93, 4, FALSE)), 0), 0)</f>
        <v>0</v>
      </c>
      <c r="BB47" s="335"/>
      <c r="BC47" s="335"/>
      <c r="BD47" s="335"/>
    </row>
    <row r="48" spans="1:56" x14ac:dyDescent="0.35">
      <c r="A48" s="206">
        <v>42156</v>
      </c>
      <c r="B48" s="226">
        <f t="shared" si="0"/>
        <v>30</v>
      </c>
      <c r="C48" s="1581">
        <f t="shared" si="12"/>
        <v>524.64780078809144</v>
      </c>
      <c r="D48" s="181">
        <f t="shared" si="13"/>
        <v>25.363660918944714</v>
      </c>
      <c r="E48" s="178">
        <f t="shared" si="14"/>
        <v>15.2988444</v>
      </c>
      <c r="F48" s="86">
        <f t="shared" si="15"/>
        <v>133.06988921059207</v>
      </c>
      <c r="G48" s="115">
        <f t="shared" si="16"/>
        <v>20.099257248191783</v>
      </c>
      <c r="H48" s="66">
        <f t="shared" si="17"/>
        <v>17.365842206085826</v>
      </c>
      <c r="I48" s="66">
        <f t="shared" si="1"/>
        <v>75.204740395402823</v>
      </c>
      <c r="J48" s="66">
        <f t="shared" si="18"/>
        <v>8.2572959680527873</v>
      </c>
      <c r="K48" s="66">
        <f t="shared" si="19"/>
        <v>-2.7439079981217187</v>
      </c>
      <c r="L48" s="66">
        <f t="shared" si="20"/>
        <v>8.5499999999999989</v>
      </c>
      <c r="M48" s="68">
        <f t="shared" si="27"/>
        <v>6.3366613909805753</v>
      </c>
      <c r="N48" s="273">
        <f>IF($I$2="RRO (Capped)",VLOOKUP(A48,'Misc. Data &amp; Mechanisms'!$A$1278:$E$1368,5,FALSE),IF($I$2="RRO (Uncapped)",VLOOKUP(A48,'Misc. Data &amp; Mechanisms'!$G$1278:$K$1368,5,FALSE),AZ48))</f>
        <v>3.831</v>
      </c>
      <c r="O48" s="333">
        <f>($N48/100)*$C48</f>
        <v>20.099257248191783</v>
      </c>
      <c r="P48" s="390">
        <v>3.31</v>
      </c>
      <c r="Q48" s="333">
        <f t="shared" si="28"/>
        <v>17.365842206085826</v>
      </c>
      <c r="R48" s="390">
        <v>7.03</v>
      </c>
      <c r="S48" s="390">
        <v>99.15</v>
      </c>
      <c r="T48" s="390">
        <v>28.59</v>
      </c>
      <c r="U48" s="338">
        <f t="shared" si="29"/>
        <v>36.882740395402827</v>
      </c>
      <c r="V48" s="338">
        <f t="shared" si="30"/>
        <v>29.745000000000001</v>
      </c>
      <c r="W48" s="333">
        <f t="shared" si="31"/>
        <v>8.577</v>
      </c>
      <c r="X48" s="205">
        <f>VLOOKUP($A48,'Misc. Data &amp; Mechanisms'!$A$63:$DY$152,HLOOKUP('Service Zone Menu'!$K$6&amp;"_ATCO_Elec_Y_1",'Misc. Data &amp; Mechanisms'!$A$55:$DY$62,8,FALSE), FALSE)</f>
        <v>7.7499999999999999E-2</v>
      </c>
      <c r="Y48" s="205">
        <f>VLOOKUP($A48,'Misc. Data &amp; Mechanisms'!$A$63:$DY$152,HLOOKUP('Service Zone Menu'!$K$6&amp;"_ATCO_Elec_Y_2",'Misc. Data &amp; Mechanisms'!$A$55:$DY$62,8,FALSE), FALSE)</f>
        <v>1.17E-2</v>
      </c>
      <c r="Z48" s="338">
        <f t="shared" si="32"/>
        <v>7.174220151615371</v>
      </c>
      <c r="AA48" s="333">
        <f t="shared" si="33"/>
        <v>1.0830758164374172</v>
      </c>
      <c r="AB48" s="291">
        <v>-0.57899999999999996</v>
      </c>
      <c r="AC48" s="291">
        <v>-7.4999999999999997E-2</v>
      </c>
      <c r="AD48" s="291">
        <v>0.13100000000000001</v>
      </c>
      <c r="AE48" s="392"/>
      <c r="AF48" s="291"/>
      <c r="AG48" s="290"/>
      <c r="AH48" s="290"/>
      <c r="AI48" s="338">
        <f t="shared" si="34"/>
        <v>-3.0377107665630496</v>
      </c>
      <c r="AJ48" s="338">
        <f t="shared" si="35"/>
        <v>-0.39348585059106861</v>
      </c>
      <c r="AK48" s="338">
        <f t="shared" si="36"/>
        <v>0.68728861903239979</v>
      </c>
      <c r="AL48" s="338">
        <f t="shared" si="37"/>
        <v>0</v>
      </c>
      <c r="AM48" s="338">
        <f t="shared" si="23"/>
        <v>0</v>
      </c>
      <c r="AN48" s="338">
        <f t="shared" si="24"/>
        <v>0</v>
      </c>
      <c r="AO48" s="333">
        <f t="shared" si="25"/>
        <v>0</v>
      </c>
      <c r="AP48" s="200">
        <f>IF(OR($I$2="RRO (Capped)",$I$2="RRO (Uncapped)"),VLOOKUP(A48,'Misc. Data &amp; Mechanisms'!$A$1483:$H$1574,5,FALSE),BA48)</f>
        <v>0.28499999999999998</v>
      </c>
      <c r="AQ48" s="333">
        <f t="shared" si="26"/>
        <v>8.5499999999999989</v>
      </c>
      <c r="AR48" s="388">
        <f>5%</f>
        <v>0.05</v>
      </c>
      <c r="AS48" s="341">
        <f>'Misc. Data &amp; Mechanisms'!AK321</f>
        <v>465.58859882676364</v>
      </c>
      <c r="AT48" s="196">
        <f>'Misc. Data &amp; Mechanisms'!AP321</f>
        <v>484.9944390307773</v>
      </c>
      <c r="AU48" s="1087">
        <f>'Misc. Data &amp; Mechanisms'!T321</f>
        <v>524.64780078809144</v>
      </c>
      <c r="AV48" s="1087">
        <f>'Misc. Data &amp; Mechanisms'!U321</f>
        <v>398.15923604470794</v>
      </c>
      <c r="AW48" s="1087">
        <f>'Misc. Data &amp; Mechanisms'!V321</f>
        <v>294.66432902596296</v>
      </c>
      <c r="AX48" s="1463">
        <f>'Misc. Data &amp; Mechanisms'!$B$259</f>
        <v>611.34673880086393</v>
      </c>
      <c r="AY48" s="197">
        <f>IFERROR(IF('Personalized Bill Menu'!$B$30="Yes", IF('Personalized Bill Menu'!$B$34="Natural Gas",0,VLOOKUP($A48, 'Personalized Bill Menu'!$H$4:$L$93, 2, FALSE)), 0), 0)</f>
        <v>0</v>
      </c>
      <c r="AZ48" s="1343">
        <f>IFERROR(IF('Personalized Bill Menu'!$C$36="Custom", IF('Personalized Bill Menu'!$B$34="Natural Gas",0,VLOOKUP($A48, 'Personalized Bill Menu'!$H$4:$L$93, 3, FALSE)), 0), 0)</f>
        <v>0</v>
      </c>
      <c r="BA48" s="1344">
        <f>IFERROR(IF('Personalized Bill Menu'!$C$36="Custom", IF('Personalized Bill Menu'!$B$34="Natural Gas",0,VLOOKUP($A48, 'Personalized Bill Menu'!$H$4:$L$93, 4, FALSE)), 0), 0)</f>
        <v>0</v>
      </c>
      <c r="BB48" s="335"/>
      <c r="BC48" s="335"/>
      <c r="BD48" s="335"/>
    </row>
    <row r="49" spans="1:56" x14ac:dyDescent="0.35">
      <c r="A49" s="206">
        <v>42186</v>
      </c>
      <c r="B49" s="226">
        <f t="shared" si="0"/>
        <v>31</v>
      </c>
      <c r="C49" s="1581">
        <f t="shared" si="12"/>
        <v>567.99782330803487</v>
      </c>
      <c r="D49" s="181">
        <f t="shared" si="13"/>
        <v>29.803645264264219</v>
      </c>
      <c r="E49" s="178">
        <f t="shared" si="14"/>
        <v>20.197094400000001</v>
      </c>
      <c r="F49" s="86">
        <f t="shared" si="15"/>
        <v>169.28405636746899</v>
      </c>
      <c r="G49" s="115">
        <f t="shared" si="16"/>
        <v>49.040932064415728</v>
      </c>
      <c r="H49" s="66">
        <f t="shared" si="17"/>
        <v>18.800727951495954</v>
      </c>
      <c r="I49" s="66">
        <f t="shared" si="1"/>
        <v>79.529646978554851</v>
      </c>
      <c r="J49" s="66">
        <f t="shared" si="18"/>
        <v>8.7710694437605312</v>
      </c>
      <c r="K49" s="66">
        <f t="shared" si="19"/>
        <v>-3.7544656120661104</v>
      </c>
      <c r="L49" s="66">
        <f t="shared" si="20"/>
        <v>8.8349999999999991</v>
      </c>
      <c r="M49" s="68">
        <f t="shared" si="27"/>
        <v>8.0611455413080488</v>
      </c>
      <c r="N49" s="273">
        <f>IF($I$2="RRO (Capped)",VLOOKUP(A49,'Misc. Data &amp; Mechanisms'!$A$1278:$E$1368,5,FALSE),IF($I$2="RRO (Uncapped)",VLOOKUP(A49,'Misc. Data &amp; Mechanisms'!$G$1278:$K$1368,5,FALSE),AZ49))</f>
        <v>8.6340000000000003</v>
      </c>
      <c r="O49" s="333">
        <f t="shared" si="22"/>
        <v>49.040932064415728</v>
      </c>
      <c r="P49" s="390">
        <v>3.31</v>
      </c>
      <c r="Q49" s="333">
        <f t="shared" si="28"/>
        <v>18.800727951495954</v>
      </c>
      <c r="R49" s="390">
        <v>7.03</v>
      </c>
      <c r="S49" s="390">
        <v>99.15</v>
      </c>
      <c r="T49" s="390">
        <v>28.59</v>
      </c>
      <c r="U49" s="338">
        <f t="shared" si="29"/>
        <v>39.930246978554855</v>
      </c>
      <c r="V49" s="338">
        <f t="shared" si="30"/>
        <v>30.736500000000003</v>
      </c>
      <c r="W49" s="333">
        <f t="shared" si="31"/>
        <v>8.8628999999999998</v>
      </c>
      <c r="X49" s="205">
        <f>VLOOKUP($A49,'Misc. Data &amp; Mechanisms'!$A$63:$DY$152,HLOOKUP('Service Zone Menu'!$K$6&amp;"_ATCO_Elec_Y_1",'Misc. Data &amp; Mechanisms'!$A$55:$DY$62,8,FALSE), FALSE)</f>
        <v>7.7499999999999999E-2</v>
      </c>
      <c r="Y49" s="205">
        <f>VLOOKUP($A49,'Misc. Data &amp; Mechanisms'!$A$63:$DY$152,HLOOKUP('Service Zone Menu'!$K$6&amp;"_ATCO_Elec_Y_2",'Misc. Data &amp; Mechanisms'!$A$55:$DY$62,8,FALSE), FALSE)</f>
        <v>1.17E-2</v>
      </c>
      <c r="Z49" s="338">
        <f t="shared" si="32"/>
        <v>7.6206040570789373</v>
      </c>
      <c r="AA49" s="333">
        <f t="shared" si="33"/>
        <v>1.1504653866815946</v>
      </c>
      <c r="AB49" s="291">
        <v>-0.57899999999999996</v>
      </c>
      <c r="AC49" s="291">
        <v>-7.4999999999999997E-2</v>
      </c>
      <c r="AD49" s="291">
        <v>-7.0000000000000001E-3</v>
      </c>
      <c r="AE49" s="392"/>
      <c r="AF49" s="291"/>
      <c r="AG49" s="290"/>
      <c r="AH49" s="290"/>
      <c r="AI49" s="338">
        <f t="shared" si="34"/>
        <v>-3.2887073969535221</v>
      </c>
      <c r="AJ49" s="338">
        <f t="shared" si="35"/>
        <v>-0.42599836748102615</v>
      </c>
      <c r="AK49" s="338">
        <f t="shared" si="36"/>
        <v>-3.9759847631562442E-2</v>
      </c>
      <c r="AL49" s="338">
        <f t="shared" si="37"/>
        <v>0</v>
      </c>
      <c r="AM49" s="338">
        <f t="shared" si="23"/>
        <v>0</v>
      </c>
      <c r="AN49" s="338">
        <f t="shared" si="24"/>
        <v>0</v>
      </c>
      <c r="AO49" s="333">
        <f t="shared" si="25"/>
        <v>0</v>
      </c>
      <c r="AP49" s="200">
        <f>IF(OR($I$2="RRO (Capped)",$I$2="RRO (Uncapped)"),VLOOKUP(A49,'Misc. Data &amp; Mechanisms'!$A$1483:$H$1574,5,FALSE),BA49)</f>
        <v>0.28499999999999998</v>
      </c>
      <c r="AQ49" s="333">
        <f t="shared" si="26"/>
        <v>8.8349999999999991</v>
      </c>
      <c r="AR49" s="388">
        <f>5%</f>
        <v>0.05</v>
      </c>
      <c r="AS49" s="341">
        <f>'Misc. Data &amp; Mechanisms'!AK322</f>
        <v>504.05874244282597</v>
      </c>
      <c r="AT49" s="196">
        <f>'Misc. Data &amp; Mechanisms'!AP322</f>
        <v>518.09941730132016</v>
      </c>
      <c r="AU49" s="1087">
        <f>'Misc. Data &amp; Mechanisms'!T322</f>
        <v>567.99782330803487</v>
      </c>
      <c r="AV49" s="1087">
        <f>'Misc. Data &amp; Mechanisms'!U322</f>
        <v>431.0579002974398</v>
      </c>
      <c r="AW49" s="1087">
        <f>'Misc. Data &amp; Mechanisms'!V322</f>
        <v>319.01152971928849</v>
      </c>
      <c r="AX49" s="1463">
        <f>'Misc. Data &amp; Mechanisms'!$B$259</f>
        <v>611.34673880086393</v>
      </c>
      <c r="AY49" s="197">
        <f>IFERROR(IF('Personalized Bill Menu'!$B$30="Yes", IF('Personalized Bill Menu'!$B$34="Natural Gas",0,VLOOKUP($A49, 'Personalized Bill Menu'!$H$4:$L$93, 2, FALSE)), 0), 0)</f>
        <v>0</v>
      </c>
      <c r="AZ49" s="1343">
        <f>IFERROR(IF('Personalized Bill Menu'!$C$36="Custom", IF('Personalized Bill Menu'!$B$34="Natural Gas",0,VLOOKUP($A49, 'Personalized Bill Menu'!$H$4:$L$93, 3, FALSE)), 0), 0)</f>
        <v>0</v>
      </c>
      <c r="BA49" s="1344">
        <f>IFERROR(IF('Personalized Bill Menu'!$C$36="Custom", IF('Personalized Bill Menu'!$B$34="Natural Gas",0,VLOOKUP($A49, 'Personalized Bill Menu'!$H$4:$L$93, 4, FALSE)), 0), 0)</f>
        <v>0</v>
      </c>
      <c r="BB49" s="335"/>
      <c r="BC49" s="335"/>
      <c r="BD49" s="335"/>
    </row>
    <row r="50" spans="1:56" x14ac:dyDescent="0.35">
      <c r="A50" s="206">
        <v>42217</v>
      </c>
      <c r="B50" s="226">
        <f t="shared" si="0"/>
        <v>31</v>
      </c>
      <c r="C50" s="1581">
        <f t="shared" si="12"/>
        <v>553.40859295109271</v>
      </c>
      <c r="D50" s="181">
        <f t="shared" si="13"/>
        <v>29.202197897634189</v>
      </c>
      <c r="E50" s="178">
        <f t="shared" si="14"/>
        <v>19.3423944</v>
      </c>
      <c r="F50" s="86">
        <f t="shared" si="15"/>
        <v>161.60747249609094</v>
      </c>
      <c r="G50" s="115">
        <f t="shared" si="16"/>
        <v>43.276551968775451</v>
      </c>
      <c r="H50" s="66">
        <f t="shared" si="17"/>
        <v>18.317824426681167</v>
      </c>
      <c r="I50" s="66">
        <f t="shared" si="1"/>
        <v>78.504024084461818</v>
      </c>
      <c r="J50" s="66">
        <f t="shared" si="18"/>
        <v>8.6365088871939548</v>
      </c>
      <c r="K50" s="66">
        <f t="shared" si="19"/>
        <v>-3.6580307994067227</v>
      </c>
      <c r="L50" s="66">
        <f t="shared" si="20"/>
        <v>8.8349999999999991</v>
      </c>
      <c r="M50" s="68">
        <f t="shared" si="27"/>
        <v>7.695593928385283</v>
      </c>
      <c r="N50" s="273">
        <f>IF($I$2="RRO (Capped)",VLOOKUP(A50,'Misc. Data &amp; Mechanisms'!$A$1278:$E$1368,5,FALSE),IF($I$2="RRO (Uncapped)",VLOOKUP(A50,'Misc. Data &amp; Mechanisms'!$G$1278:$K$1368,5,FALSE),AZ50))</f>
        <v>7.82</v>
      </c>
      <c r="O50" s="333">
        <f t="shared" si="22"/>
        <v>43.276551968775451</v>
      </c>
      <c r="P50" s="390">
        <v>3.31</v>
      </c>
      <c r="Q50" s="333">
        <f t="shared" si="28"/>
        <v>18.317824426681167</v>
      </c>
      <c r="R50" s="390">
        <v>7.03</v>
      </c>
      <c r="S50" s="390">
        <v>99.15</v>
      </c>
      <c r="T50" s="390">
        <v>28.59</v>
      </c>
      <c r="U50" s="338">
        <f t="shared" si="29"/>
        <v>38.904624084461815</v>
      </c>
      <c r="V50" s="338">
        <f t="shared" si="30"/>
        <v>30.736500000000003</v>
      </c>
      <c r="W50" s="333">
        <f t="shared" si="31"/>
        <v>8.8628999999999998</v>
      </c>
      <c r="X50" s="205">
        <f>VLOOKUP($A50,'Misc. Data &amp; Mechanisms'!$A$63:$DY$152,HLOOKUP('Service Zone Menu'!$K$6&amp;"_ATCO_Elec_Y_1",'Misc. Data &amp; Mechanisms'!$A$55:$DY$62,8,FALSE), FALSE)</f>
        <v>7.7499999999999999E-2</v>
      </c>
      <c r="Y50" s="205">
        <f>VLOOKUP($A50,'Misc. Data &amp; Mechanisms'!$A$63:$DY$152,HLOOKUP('Service Zone Menu'!$K$6&amp;"_ATCO_Elec_Y_2",'Misc. Data &amp; Mechanisms'!$A$55:$DY$62,8,FALSE), FALSE)</f>
        <v>1.17E-2</v>
      </c>
      <c r="Z50" s="338">
        <f t="shared" si="32"/>
        <v>7.5036932596135815</v>
      </c>
      <c r="AA50" s="333">
        <f t="shared" si="33"/>
        <v>1.1328156275803729</v>
      </c>
      <c r="AB50" s="291">
        <v>-0.57899999999999996</v>
      </c>
      <c r="AC50" s="291">
        <v>-7.4999999999999997E-2</v>
      </c>
      <c r="AD50" s="291">
        <v>-7.0000000000000001E-3</v>
      </c>
      <c r="AE50" s="392"/>
      <c r="AF50" s="291"/>
      <c r="AG50" s="290"/>
      <c r="AH50" s="290"/>
      <c r="AI50" s="338">
        <f t="shared" si="34"/>
        <v>-3.2042357531868269</v>
      </c>
      <c r="AJ50" s="338">
        <f t="shared" si="35"/>
        <v>-0.41505644471331954</v>
      </c>
      <c r="AK50" s="338">
        <f t="shared" si="36"/>
        <v>-3.8738601506576494E-2</v>
      </c>
      <c r="AL50" s="338">
        <f t="shared" si="37"/>
        <v>0</v>
      </c>
      <c r="AM50" s="338">
        <f t="shared" si="23"/>
        <v>0</v>
      </c>
      <c r="AN50" s="338">
        <f t="shared" si="24"/>
        <v>0</v>
      </c>
      <c r="AO50" s="333">
        <f t="shared" si="25"/>
        <v>0</v>
      </c>
      <c r="AP50" s="200">
        <f>IF(OR($I$2="RRO (Capped)",$I$2="RRO (Uncapped)"),VLOOKUP(A50,'Misc. Data &amp; Mechanisms'!$A$1483:$H$1574,5,FALSE),BA50)</f>
        <v>0.28499999999999998</v>
      </c>
      <c r="AQ50" s="333">
        <f t="shared" si="26"/>
        <v>8.8349999999999991</v>
      </c>
      <c r="AR50" s="388">
        <f>5%</f>
        <v>0.05</v>
      </c>
      <c r="AS50" s="341">
        <f>'Misc. Data &amp; Mechanisms'!AK323</f>
        <v>491.11181059703108</v>
      </c>
      <c r="AT50" s="196">
        <f>'Misc. Data &amp; Mechanisms'!AP323</f>
        <v>506.42799050230519</v>
      </c>
      <c r="AU50" s="1087">
        <f>'Misc. Data &amp; Mechanisms'!T323</f>
        <v>553.40859295109271</v>
      </c>
      <c r="AV50" s="1087">
        <f>'Misc. Data &amp; Mechanisms'!U323</f>
        <v>419.9860215920022</v>
      </c>
      <c r="AW50" s="1087">
        <f>'Misc. Data &amp; Mechanisms'!V323</f>
        <v>310.81760273117186</v>
      </c>
      <c r="AX50" s="1463">
        <f>'Misc. Data &amp; Mechanisms'!$B$259</f>
        <v>611.34673880086393</v>
      </c>
      <c r="AY50" s="197">
        <f>IFERROR(IF('Personalized Bill Menu'!$B$30="Yes", IF('Personalized Bill Menu'!$B$34="Natural Gas",0,VLOOKUP($A50, 'Personalized Bill Menu'!$H$4:$L$93, 2, FALSE)), 0), 0)</f>
        <v>0</v>
      </c>
      <c r="AZ50" s="1343">
        <f>IFERROR(IF('Personalized Bill Menu'!$C$36="Custom", IF('Personalized Bill Menu'!$B$34="Natural Gas",0,VLOOKUP($A50, 'Personalized Bill Menu'!$H$4:$L$93, 3, FALSE)), 0), 0)</f>
        <v>0</v>
      </c>
      <c r="BA50" s="1344">
        <f>IFERROR(IF('Personalized Bill Menu'!$C$36="Custom", IF('Personalized Bill Menu'!$B$34="Natural Gas",0,VLOOKUP($A50, 'Personalized Bill Menu'!$H$4:$L$93, 4, FALSE)), 0), 0)</f>
        <v>0</v>
      </c>
      <c r="BB50" s="335"/>
      <c r="BC50" s="335"/>
      <c r="BD50" s="335"/>
    </row>
    <row r="51" spans="1:56" x14ac:dyDescent="0.35">
      <c r="A51" s="206">
        <v>42248</v>
      </c>
      <c r="B51" s="226">
        <f t="shared" si="0"/>
        <v>30</v>
      </c>
      <c r="C51" s="1581">
        <f t="shared" si="12"/>
        <v>607.9846427465385</v>
      </c>
      <c r="D51" s="181">
        <f t="shared" si="13"/>
        <v>24.631426119909367</v>
      </c>
      <c r="E51" s="178">
        <f t="shared" si="14"/>
        <v>16.438287599999999</v>
      </c>
      <c r="F51" s="86">
        <f t="shared" si="15"/>
        <v>149.75528809850854</v>
      </c>
      <c r="G51" s="115">
        <f t="shared" si="16"/>
        <v>33.907303525974449</v>
      </c>
      <c r="H51" s="66">
        <f t="shared" si="17"/>
        <v>20.124291674910424</v>
      </c>
      <c r="I51" s="66">
        <f t="shared" si="1"/>
        <v>75.528994099898284</v>
      </c>
      <c r="J51" s="66">
        <f t="shared" si="18"/>
        <v>8.5322730911129359</v>
      </c>
      <c r="K51" s="66">
        <f t="shared" si="19"/>
        <v>-4.0187784885546201</v>
      </c>
      <c r="L51" s="66">
        <f t="shared" si="20"/>
        <v>8.5499999999999989</v>
      </c>
      <c r="M51" s="68">
        <f t="shared" si="27"/>
        <v>7.1312041951670739</v>
      </c>
      <c r="N51" s="273">
        <f>IF($I$2="RRO (Capped)",VLOOKUP(A51,'Misc. Data &amp; Mechanisms'!$A$1278:$E$1368,5,FALSE),IF($I$2="RRO (Uncapped)",VLOOKUP(A51,'Misc. Data &amp; Mechanisms'!$G$1278:$K$1368,5,FALSE),AZ51))</f>
        <v>5.577</v>
      </c>
      <c r="O51" s="333">
        <f t="shared" si="22"/>
        <v>33.907303525974449</v>
      </c>
      <c r="P51" s="390">
        <v>3.31</v>
      </c>
      <c r="Q51" s="333">
        <f t="shared" si="28"/>
        <v>20.124291674910424</v>
      </c>
      <c r="R51" s="390">
        <v>6.55</v>
      </c>
      <c r="S51" s="390">
        <v>92.39</v>
      </c>
      <c r="T51" s="390">
        <v>26.63</v>
      </c>
      <c r="U51" s="338">
        <f t="shared" si="29"/>
        <v>39.822994099898274</v>
      </c>
      <c r="V51" s="338">
        <f t="shared" si="30"/>
        <v>27.717000000000002</v>
      </c>
      <c r="W51" s="333">
        <f t="shared" si="31"/>
        <v>7.988999999999999</v>
      </c>
      <c r="X51" s="205">
        <f>VLOOKUP($A51,'Misc. Data &amp; Mechanisms'!$A$63:$DY$152,HLOOKUP('Service Zone Menu'!$K$6&amp;"_ATCO_Elec_Y_1",'Misc. Data &amp; Mechanisms'!$A$55:$DY$62,8,FALSE), FALSE)</f>
        <v>7.7499999999999999E-2</v>
      </c>
      <c r="Y51" s="205">
        <f>VLOOKUP($A51,'Misc. Data &amp; Mechanisms'!$A$63:$DY$152,HLOOKUP('Service Zone Menu'!$K$6&amp;"_ATCO_Elec_Y_2",'Misc. Data &amp; Mechanisms'!$A$55:$DY$62,8,FALSE), FALSE)</f>
        <v>1.17E-2</v>
      </c>
      <c r="Z51" s="338">
        <f t="shared" si="32"/>
        <v>7.4131296475476747</v>
      </c>
      <c r="AA51" s="333">
        <f t="shared" si="33"/>
        <v>1.1191434435652619</v>
      </c>
      <c r="AB51" s="291">
        <v>-0.57899999999999996</v>
      </c>
      <c r="AC51" s="291">
        <v>-7.4999999999999997E-2</v>
      </c>
      <c r="AD51" s="291">
        <v>-7.0000000000000001E-3</v>
      </c>
      <c r="AE51" s="392"/>
      <c r="AF51" s="291"/>
      <c r="AG51" s="290"/>
      <c r="AH51" s="290"/>
      <c r="AI51" s="338">
        <f t="shared" si="34"/>
        <v>-3.520231081502458</v>
      </c>
      <c r="AJ51" s="338">
        <f t="shared" si="35"/>
        <v>-0.45598848205990389</v>
      </c>
      <c r="AK51" s="338">
        <f t="shared" si="36"/>
        <v>-4.2558924992257698E-2</v>
      </c>
      <c r="AL51" s="338">
        <f t="shared" si="37"/>
        <v>0</v>
      </c>
      <c r="AM51" s="338">
        <f t="shared" si="23"/>
        <v>0</v>
      </c>
      <c r="AN51" s="338">
        <f t="shared" si="24"/>
        <v>0</v>
      </c>
      <c r="AO51" s="333">
        <f t="shared" si="25"/>
        <v>0</v>
      </c>
      <c r="AP51" s="200">
        <f>IF(OR($I$2="RRO (Capped)",$I$2="RRO (Uncapped)"),VLOOKUP(A51,'Misc. Data &amp; Mechanisms'!$A$1483:$H$1574,5,FALSE),BA51)</f>
        <v>0.28499999999999998</v>
      </c>
      <c r="AQ51" s="333">
        <f t="shared" si="26"/>
        <v>8.5499999999999989</v>
      </c>
      <c r="AR51" s="388">
        <f>5%</f>
        <v>0.05</v>
      </c>
      <c r="AS51" s="341">
        <f>'Misc. Data &amp; Mechanisms'!AK324</f>
        <v>539.54427617792567</v>
      </c>
      <c r="AT51" s="196">
        <f>'Misc. Data &amp; Mechanisms'!AP324</f>
        <v>481.77548643325929</v>
      </c>
      <c r="AU51" s="1087">
        <f>'Misc. Data &amp; Mechanisms'!T324</f>
        <v>607.9846427465385</v>
      </c>
      <c r="AV51" s="1087">
        <f>'Misc. Data &amp; Mechanisms'!U324</f>
        <v>461.40420396168201</v>
      </c>
      <c r="AW51" s="1087">
        <f>'Misc. Data &amp; Mechanisms'!V324</f>
        <v>341.46981373769057</v>
      </c>
      <c r="AX51" s="1463">
        <f>'Misc. Data &amp; Mechanisms'!$B$259</f>
        <v>611.34673880086393</v>
      </c>
      <c r="AY51" s="197">
        <f>IFERROR(IF('Personalized Bill Menu'!$B$30="Yes", IF('Personalized Bill Menu'!$B$34="Natural Gas",0,VLOOKUP($A51, 'Personalized Bill Menu'!$H$4:$L$93, 2, FALSE)), 0), 0)</f>
        <v>0</v>
      </c>
      <c r="AZ51" s="1343">
        <f>IFERROR(IF('Personalized Bill Menu'!$C$36="Custom", IF('Personalized Bill Menu'!$B$34="Natural Gas",0,VLOOKUP($A51, 'Personalized Bill Menu'!$H$4:$L$93, 3, FALSE)), 0), 0)</f>
        <v>0</v>
      </c>
      <c r="BA51" s="1344">
        <f>IFERROR(IF('Personalized Bill Menu'!$C$36="Custom", IF('Personalized Bill Menu'!$B$34="Natural Gas",0,VLOOKUP($A51, 'Personalized Bill Menu'!$H$4:$L$93, 4, FALSE)), 0), 0)</f>
        <v>0</v>
      </c>
      <c r="BB51" s="335"/>
      <c r="BC51" s="335"/>
      <c r="BD51" s="335"/>
    </row>
    <row r="52" spans="1:56" x14ac:dyDescent="0.35">
      <c r="A52" s="206">
        <v>42278</v>
      </c>
      <c r="B52" s="226">
        <f t="shared" si="0"/>
        <v>31</v>
      </c>
      <c r="C52" s="1581">
        <f t="shared" si="12"/>
        <v>610.11701210018646</v>
      </c>
      <c r="D52" s="181">
        <f t="shared" si="13"/>
        <v>25.281291073210745</v>
      </c>
      <c r="E52" s="178">
        <f t="shared" si="14"/>
        <v>16.844637599999999</v>
      </c>
      <c r="F52" s="86">
        <f t="shared" si="15"/>
        <v>154.24545771622456</v>
      </c>
      <c r="G52" s="115">
        <f t="shared" si="16"/>
        <v>34.056731615432412</v>
      </c>
      <c r="H52" s="66">
        <f t="shared" si="17"/>
        <v>20.194873100516169</v>
      </c>
      <c r="I52" s="66">
        <f t="shared" si="1"/>
        <v>76.858864292562231</v>
      </c>
      <c r="J52" s="66">
        <f t="shared" si="18"/>
        <v>8.657193375462592</v>
      </c>
      <c r="K52" s="66">
        <f t="shared" si="19"/>
        <v>-1.7022264637595199</v>
      </c>
      <c r="L52" s="66">
        <f t="shared" si="20"/>
        <v>8.8349999999999991</v>
      </c>
      <c r="M52" s="68">
        <f t="shared" si="27"/>
        <v>7.3450217960106947</v>
      </c>
      <c r="N52" s="273">
        <f>IF($I$2="RRO (Capped)",VLOOKUP(A52,'Misc. Data &amp; Mechanisms'!$A$1278:$E$1368,5,FALSE),IF($I$2="RRO (Uncapped)",VLOOKUP(A52,'Misc. Data &amp; Mechanisms'!$G$1278:$K$1368,5,FALSE),AZ52))</f>
        <v>5.5819999999999999</v>
      </c>
      <c r="O52" s="333">
        <f t="shared" si="22"/>
        <v>34.056731615432412</v>
      </c>
      <c r="P52" s="390">
        <v>3.31</v>
      </c>
      <c r="Q52" s="333">
        <f t="shared" si="28"/>
        <v>20.194873100516169</v>
      </c>
      <c r="R52" s="390">
        <v>6.55</v>
      </c>
      <c r="S52" s="390">
        <v>92.39</v>
      </c>
      <c r="T52" s="390">
        <v>26.63</v>
      </c>
      <c r="U52" s="338">
        <f t="shared" si="29"/>
        <v>39.962664292562216</v>
      </c>
      <c r="V52" s="338">
        <f t="shared" si="30"/>
        <v>28.640900000000002</v>
      </c>
      <c r="W52" s="333">
        <f t="shared" si="31"/>
        <v>8.2553000000000001</v>
      </c>
      <c r="X52" s="205">
        <f>VLOOKUP($A52,'Misc. Data &amp; Mechanisms'!$A$63:$DY$152,HLOOKUP('Service Zone Menu'!$K$6&amp;"_ATCO_Elec_Y_1",'Misc. Data &amp; Mechanisms'!$A$55:$DY$62,8,FALSE), FALSE)</f>
        <v>7.7499999999999999E-2</v>
      </c>
      <c r="Y52" s="205">
        <f>VLOOKUP($A52,'Misc. Data &amp; Mechanisms'!$A$63:$DY$152,HLOOKUP('Service Zone Menu'!$K$6&amp;"_ATCO_Elec_Y_2",'Misc. Data &amp; Mechanisms'!$A$55:$DY$62,8,FALSE), FALSE)</f>
        <v>1.17E-2</v>
      </c>
      <c r="Z52" s="338">
        <f t="shared" si="32"/>
        <v>7.5216646479635756</v>
      </c>
      <c r="AA52" s="333">
        <f t="shared" si="33"/>
        <v>1.1355287274990171</v>
      </c>
      <c r="AB52" s="291">
        <v>-0.57899999999999996</v>
      </c>
      <c r="AC52" s="291"/>
      <c r="AD52" s="291">
        <v>0.3</v>
      </c>
      <c r="AE52" s="392"/>
      <c r="AF52" s="291"/>
      <c r="AG52" s="290"/>
      <c r="AH52" s="290"/>
      <c r="AI52" s="338">
        <f t="shared" si="34"/>
        <v>-3.5325775000600794</v>
      </c>
      <c r="AJ52" s="338">
        <f t="shared" si="35"/>
        <v>0</v>
      </c>
      <c r="AK52" s="338">
        <f t="shared" si="36"/>
        <v>1.8303510363005595</v>
      </c>
      <c r="AL52" s="338">
        <f t="shared" si="37"/>
        <v>0</v>
      </c>
      <c r="AM52" s="338">
        <f t="shared" si="23"/>
        <v>0</v>
      </c>
      <c r="AN52" s="338">
        <f t="shared" si="24"/>
        <v>0</v>
      </c>
      <c r="AO52" s="333">
        <f t="shared" si="25"/>
        <v>0</v>
      </c>
      <c r="AP52" s="200">
        <f>IF(OR($I$2="RRO (Capped)",$I$2="RRO (Uncapped)"),VLOOKUP(A52,'Misc. Data &amp; Mechanisms'!$A$1483:$H$1574,5,FALSE),BA52)</f>
        <v>0.28499999999999998</v>
      </c>
      <c r="AQ52" s="333">
        <f t="shared" si="26"/>
        <v>8.8349999999999991</v>
      </c>
      <c r="AR52" s="388">
        <f>5%</f>
        <v>0.05</v>
      </c>
      <c r="AS52" s="341">
        <f>'Misc. Data &amp; Mechanisms'!AK325</f>
        <v>541.43660634314267</v>
      </c>
      <c r="AT52" s="196">
        <f>'Misc. Data &amp; Mechanisms'!AP325</f>
        <v>519.04049971955544</v>
      </c>
      <c r="AU52" s="1087">
        <f>'Misc. Data &amp; Mechanisms'!T325</f>
        <v>610.11701210018646</v>
      </c>
      <c r="AV52" s="1087">
        <f>'Misc. Data &amp; Mechanisms'!U325</f>
        <v>463.02247540309139</v>
      </c>
      <c r="AW52" s="1087">
        <f>'Misc. Data &amp; Mechanisms'!V325</f>
        <v>342.66744228751838</v>
      </c>
      <c r="AX52" s="1463">
        <f>'Misc. Data &amp; Mechanisms'!$B$259</f>
        <v>611.34673880086393</v>
      </c>
      <c r="AY52" s="197">
        <f>IFERROR(IF('Personalized Bill Menu'!$B$30="Yes", IF('Personalized Bill Menu'!$B$34="Natural Gas",0,VLOOKUP($A52, 'Personalized Bill Menu'!$H$4:$L$93, 2, FALSE)), 0), 0)</f>
        <v>0</v>
      </c>
      <c r="AZ52" s="1343">
        <f>IFERROR(IF('Personalized Bill Menu'!$C$36="Custom", IF('Personalized Bill Menu'!$B$34="Natural Gas",0,VLOOKUP($A52, 'Personalized Bill Menu'!$H$4:$L$93, 3, FALSE)), 0), 0)</f>
        <v>0</v>
      </c>
      <c r="BA52" s="1344">
        <f>IFERROR(IF('Personalized Bill Menu'!$C$36="Custom", IF('Personalized Bill Menu'!$B$34="Natural Gas",0,VLOOKUP($A52, 'Personalized Bill Menu'!$H$4:$L$93, 4, FALSE)), 0), 0)</f>
        <v>0</v>
      </c>
      <c r="BB52" s="335"/>
      <c r="BC52" s="335"/>
      <c r="BD52" s="335"/>
    </row>
    <row r="53" spans="1:56" x14ac:dyDescent="0.35">
      <c r="A53" s="206">
        <v>42309</v>
      </c>
      <c r="B53" s="226">
        <f t="shared" si="0"/>
        <v>30</v>
      </c>
      <c r="C53" s="1581">
        <f t="shared" si="12"/>
        <v>728.16557862515788</v>
      </c>
      <c r="D53" s="181">
        <f t="shared" si="13"/>
        <v>23.160530031917958</v>
      </c>
      <c r="E53" s="178">
        <f t="shared" si="14"/>
        <v>16.3196376</v>
      </c>
      <c r="F53" s="86">
        <f t="shared" si="15"/>
        <v>168.64700751956886</v>
      </c>
      <c r="G53" s="115">
        <f t="shared" si="16"/>
        <v>37.005374705730524</v>
      </c>
      <c r="H53" s="66">
        <f t="shared" si="17"/>
        <v>24.102280652492723</v>
      </c>
      <c r="I53" s="66">
        <f t="shared" si="1"/>
        <v>83.400845399947855</v>
      </c>
      <c r="J53" s="66">
        <f t="shared" si="18"/>
        <v>9.5892788438776986</v>
      </c>
      <c r="K53" s="66">
        <f t="shared" si="19"/>
        <v>-2.0315819643641904</v>
      </c>
      <c r="L53" s="66">
        <f t="shared" si="20"/>
        <v>8.5499999999999989</v>
      </c>
      <c r="M53" s="68">
        <f t="shared" si="27"/>
        <v>8.0308098818842311</v>
      </c>
      <c r="N53" s="273">
        <f>IF($I$2="RRO (Capped)",VLOOKUP(A53,'Misc. Data &amp; Mechanisms'!$A$1278:$E$1368,5,FALSE),IF($I$2="RRO (Uncapped)",VLOOKUP(A53,'Misc. Data &amp; Mechanisms'!$G$1278:$K$1368,5,FALSE),AZ53))</f>
        <v>5.0819999999999999</v>
      </c>
      <c r="O53" s="333">
        <f t="shared" si="22"/>
        <v>37.005374705730524</v>
      </c>
      <c r="P53" s="390">
        <v>3.31</v>
      </c>
      <c r="Q53" s="333">
        <f t="shared" si="28"/>
        <v>24.102280652492723</v>
      </c>
      <c r="R53" s="390">
        <v>6.55</v>
      </c>
      <c r="S53" s="390">
        <v>92.39</v>
      </c>
      <c r="T53" s="390">
        <v>26.63</v>
      </c>
      <c r="U53" s="338">
        <f t="shared" si="29"/>
        <v>47.694845399947845</v>
      </c>
      <c r="V53" s="338">
        <f t="shared" si="30"/>
        <v>27.717000000000002</v>
      </c>
      <c r="W53" s="333">
        <f t="shared" si="31"/>
        <v>7.988999999999999</v>
      </c>
      <c r="X53" s="205">
        <f>VLOOKUP($A53,'Misc. Data &amp; Mechanisms'!$A$63:$DY$152,HLOOKUP('Service Zone Menu'!$K$6&amp;"_ATCO_Elec_Y_1",'Misc. Data &amp; Mechanisms'!$A$55:$DY$62,8,FALSE), FALSE)</f>
        <v>7.7499999999999999E-2</v>
      </c>
      <c r="Y53" s="205">
        <f>VLOOKUP($A53,'Misc. Data &amp; Mechanisms'!$A$63:$DY$152,HLOOKUP('Service Zone Menu'!$K$6&amp;"_ATCO_Elec_Y_2",'Misc. Data &amp; Mechanisms'!$A$55:$DY$62,8,FALSE), FALSE)</f>
        <v>1.17E-2</v>
      </c>
      <c r="Z53" s="338">
        <f t="shared" si="32"/>
        <v>8.3314922690641442</v>
      </c>
      <c r="AA53" s="333">
        <f t="shared" si="33"/>
        <v>1.2577865748135548</v>
      </c>
      <c r="AB53" s="291">
        <v>-0.57899999999999996</v>
      </c>
      <c r="AC53" s="291"/>
      <c r="AD53" s="291">
        <v>0.3</v>
      </c>
      <c r="AE53" s="392"/>
      <c r="AF53" s="291"/>
      <c r="AG53" s="290"/>
      <c r="AH53" s="290"/>
      <c r="AI53" s="338">
        <f t="shared" si="34"/>
        <v>-4.216078700239664</v>
      </c>
      <c r="AJ53" s="338">
        <f t="shared" si="35"/>
        <v>0</v>
      </c>
      <c r="AK53" s="338">
        <f t="shared" si="36"/>
        <v>2.1844967358754737</v>
      </c>
      <c r="AL53" s="338">
        <f t="shared" si="37"/>
        <v>0</v>
      </c>
      <c r="AM53" s="338">
        <f t="shared" si="23"/>
        <v>0</v>
      </c>
      <c r="AN53" s="338">
        <f t="shared" si="24"/>
        <v>0</v>
      </c>
      <c r="AO53" s="333">
        <f t="shared" si="25"/>
        <v>0</v>
      </c>
      <c r="AP53" s="200">
        <f>IF(OR($I$2="RRO (Capped)",$I$2="RRO (Uncapped)"),VLOOKUP(A53,'Misc. Data &amp; Mechanisms'!$A$1483:$H$1574,5,FALSE),BA53)</f>
        <v>0.28499999999999998</v>
      </c>
      <c r="AQ53" s="333">
        <f t="shared" si="26"/>
        <v>8.5499999999999989</v>
      </c>
      <c r="AR53" s="388">
        <f>5%</f>
        <v>0.05</v>
      </c>
      <c r="AS53" s="341">
        <f>'Misc. Data &amp; Mechanisms'!AK326</f>
        <v>646.19653595555894</v>
      </c>
      <c r="AT53" s="196">
        <f>'Misc. Data &amp; Mechanisms'!AP326</f>
        <v>571.38836594633881</v>
      </c>
      <c r="AU53" s="1087">
        <f>'Misc. Data &amp; Mechanisms'!T326</f>
        <v>728.16557862515788</v>
      </c>
      <c r="AV53" s="1087">
        <f>'Misc. Data &amp; Mechanisms'!U326</f>
        <v>552.61043706642442</v>
      </c>
      <c r="AW53" s="1087">
        <f>'Misc. Data &amp; Mechanisms'!V326</f>
        <v>408.96849528975372</v>
      </c>
      <c r="AX53" s="1463">
        <f>'Misc. Data &amp; Mechanisms'!$B$259</f>
        <v>611.34673880086393</v>
      </c>
      <c r="AY53" s="197">
        <f>IFERROR(IF('Personalized Bill Menu'!$B$30="Yes", IF('Personalized Bill Menu'!$B$34="Natural Gas",0,VLOOKUP($A53, 'Personalized Bill Menu'!$H$4:$L$93, 2, FALSE)), 0), 0)</f>
        <v>0</v>
      </c>
      <c r="AZ53" s="1343">
        <f>IFERROR(IF('Personalized Bill Menu'!$C$36="Custom", IF('Personalized Bill Menu'!$B$34="Natural Gas",0,VLOOKUP($A53, 'Personalized Bill Menu'!$H$4:$L$93, 3, FALSE)), 0), 0)</f>
        <v>0</v>
      </c>
      <c r="BA53" s="1344">
        <f>IFERROR(IF('Personalized Bill Menu'!$C$36="Custom", IF('Personalized Bill Menu'!$B$34="Natural Gas",0,VLOOKUP($A53, 'Personalized Bill Menu'!$H$4:$L$93, 4, FALSE)), 0), 0)</f>
        <v>0</v>
      </c>
      <c r="BB53" s="335"/>
      <c r="BC53" s="335"/>
      <c r="BD53" s="335"/>
    </row>
    <row r="54" spans="1:56" x14ac:dyDescent="0.35">
      <c r="A54" s="229">
        <v>42339</v>
      </c>
      <c r="B54" s="231">
        <f t="shared" si="0"/>
        <v>31</v>
      </c>
      <c r="C54" s="231">
        <f t="shared" si="12"/>
        <v>933.26996292520346</v>
      </c>
      <c r="D54" s="208">
        <f t="shared" si="13"/>
        <v>21.967325444548614</v>
      </c>
      <c r="E54" s="208">
        <f t="shared" si="14"/>
        <v>16.451937600000001</v>
      </c>
      <c r="F54" s="342">
        <f t="shared" si="15"/>
        <v>205.01445003199763</v>
      </c>
      <c r="G54" s="343">
        <f t="shared" si="16"/>
        <v>48.604699669144594</v>
      </c>
      <c r="H54" s="344">
        <f t="shared" si="17"/>
        <v>30.891235772824231</v>
      </c>
      <c r="I54" s="344">
        <f t="shared" si="1"/>
        <v>98.025382571600829</v>
      </c>
      <c r="J54" s="344">
        <f t="shared" si="18"/>
        <v>11.499362356322713</v>
      </c>
      <c r="K54" s="344">
        <f t="shared" si="19"/>
        <v>-2.6038231965613177</v>
      </c>
      <c r="L54" s="344">
        <f t="shared" si="20"/>
        <v>8.8349999999999991</v>
      </c>
      <c r="M54" s="345">
        <f t="shared" si="27"/>
        <v>9.7625928586665545</v>
      </c>
      <c r="N54" s="1243">
        <f>IF($I$2="RRO (Capped)",VLOOKUP(A54,'Misc. Data &amp; Mechanisms'!$A$1278:$E$1368,5,FALSE),IF($I$2="RRO (Uncapped)",VLOOKUP(A54,'Misc. Data &amp; Mechanisms'!$G$1278:$K$1368,5,FALSE),AZ54))</f>
        <v>5.2080000000000002</v>
      </c>
      <c r="O54" s="346">
        <f t="shared" si="22"/>
        <v>48.604699669144594</v>
      </c>
      <c r="P54" s="393">
        <v>3.31</v>
      </c>
      <c r="Q54" s="346">
        <f t="shared" si="28"/>
        <v>30.891235772824231</v>
      </c>
      <c r="R54" s="393">
        <v>6.55</v>
      </c>
      <c r="S54" s="393">
        <v>92.39</v>
      </c>
      <c r="T54" s="393">
        <v>26.63</v>
      </c>
      <c r="U54" s="349">
        <f t="shared" si="29"/>
        <v>61.129182571600829</v>
      </c>
      <c r="V54" s="349">
        <f t="shared" si="30"/>
        <v>28.640900000000002</v>
      </c>
      <c r="W54" s="346">
        <f t="shared" si="31"/>
        <v>8.2553000000000001</v>
      </c>
      <c r="X54" s="246">
        <f>VLOOKUP($A54,'Misc. Data &amp; Mechanisms'!$A$63:$DY$152,HLOOKUP('Service Zone Menu'!$K$6&amp;"_ATCO_Elec_Y_1",'Misc. Data &amp; Mechanisms'!$A$55:$DY$62,8,FALSE), FALSE)</f>
        <v>7.7499999999999999E-2</v>
      </c>
      <c r="Y54" s="246">
        <f>VLOOKUP($A54,'Misc. Data &amp; Mechanisms'!$A$63:$DY$152,HLOOKUP('Service Zone Menu'!$K$6&amp;"_ATCO_Elec_Y_2",'Misc. Data &amp; Mechanisms'!$A$55:$DY$62,8,FALSE), FALSE)</f>
        <v>1.17E-2</v>
      </c>
      <c r="Z54" s="349">
        <f t="shared" si="32"/>
        <v>9.991037921692941</v>
      </c>
      <c r="AA54" s="346">
        <f t="shared" si="33"/>
        <v>1.5083244346297731</v>
      </c>
      <c r="AB54" s="293">
        <v>-0.57899999999999996</v>
      </c>
      <c r="AC54" s="293"/>
      <c r="AD54" s="293">
        <v>0.3</v>
      </c>
      <c r="AE54" s="395"/>
      <c r="AF54" s="293"/>
      <c r="AG54" s="292"/>
      <c r="AH54" s="292"/>
      <c r="AI54" s="349">
        <f t="shared" si="34"/>
        <v>-5.4036330853369279</v>
      </c>
      <c r="AJ54" s="349">
        <f t="shared" si="35"/>
        <v>0</v>
      </c>
      <c r="AK54" s="349">
        <f t="shared" si="36"/>
        <v>2.7998098887756102</v>
      </c>
      <c r="AL54" s="349">
        <f t="shared" si="37"/>
        <v>0</v>
      </c>
      <c r="AM54" s="349">
        <f t="shared" si="23"/>
        <v>0</v>
      </c>
      <c r="AN54" s="349">
        <f t="shared" si="24"/>
        <v>0</v>
      </c>
      <c r="AO54" s="346">
        <f t="shared" si="25"/>
        <v>0</v>
      </c>
      <c r="AP54" s="239">
        <f>IF(OR($I$2="RRO (Capped)",$I$2="RRO (Uncapped)"),VLOOKUP(A54,'Misc. Data &amp; Mechanisms'!$A$1483:$H$1574,5,FALSE),BA54)</f>
        <v>0.28499999999999998</v>
      </c>
      <c r="AQ54" s="346">
        <f t="shared" si="26"/>
        <v>8.8349999999999991</v>
      </c>
      <c r="AR54" s="396">
        <f>5%</f>
        <v>0.05</v>
      </c>
      <c r="AS54" s="352">
        <f>'Misc. Data &amp; Mechanisms'!AK327</f>
        <v>828.21247647039399</v>
      </c>
      <c r="AT54" s="1089">
        <f>'Misc. Data &amp; Mechanisms'!AP327</f>
        <v>670.95704577590584</v>
      </c>
      <c r="AU54" s="1089">
        <f>'Misc. Data &amp; Mechanisms'!T327</f>
        <v>933.26996292520346</v>
      </c>
      <c r="AV54" s="1089">
        <f>'Misc. Data &amp; Mechanisms'!U327</f>
        <v>708.26572589000421</v>
      </c>
      <c r="AW54" s="1089">
        <f>'Misc. Data &amp; Mechanisms'!V327</f>
        <v>524.16376664945778</v>
      </c>
      <c r="AX54" s="1464">
        <f>'Misc. Data &amp; Mechanisms'!$B$259</f>
        <v>611.34673880086393</v>
      </c>
      <c r="AY54" s="243">
        <f>IFERROR(IF('Personalized Bill Menu'!$B$30="Yes", IF('Personalized Bill Menu'!$B$34="Natural Gas",0,VLOOKUP($A54, 'Personalized Bill Menu'!$H$4:$L$93, 2, FALSE)), 0), 0)</f>
        <v>0</v>
      </c>
      <c r="AZ54" s="1345">
        <f>IFERROR(IF('Personalized Bill Menu'!$C$36="Custom", IF('Personalized Bill Menu'!$B$34="Natural Gas",0,VLOOKUP($A54, 'Personalized Bill Menu'!$H$4:$L$93, 3, FALSE)), 0), 0)</f>
        <v>0</v>
      </c>
      <c r="BA54" s="1346">
        <f>IFERROR(IF('Personalized Bill Menu'!$C$36="Custom", IF('Personalized Bill Menu'!$B$34="Natural Gas",0,VLOOKUP($A54, 'Personalized Bill Menu'!$H$4:$L$93, 4, FALSE)), 0), 0)</f>
        <v>0</v>
      </c>
      <c r="BB54" s="335"/>
      <c r="BC54" s="335"/>
      <c r="BD54" s="335"/>
    </row>
    <row r="55" spans="1:56" x14ac:dyDescent="0.35">
      <c r="A55" s="206">
        <v>42370</v>
      </c>
      <c r="B55" s="226">
        <f t="shared" si="0"/>
        <v>31</v>
      </c>
      <c r="C55" s="212">
        <f t="shared" si="12"/>
        <v>794.39394145009476</v>
      </c>
      <c r="D55" s="181">
        <f t="shared" si="13"/>
        <v>23.121597969080476</v>
      </c>
      <c r="E55" s="178">
        <f t="shared" si="14"/>
        <v>16.602289199999998</v>
      </c>
      <c r="F55" s="86">
        <f t="shared" si="15"/>
        <v>183.67657343282346</v>
      </c>
      <c r="G55" s="115">
        <f t="shared" si="16"/>
        <v>38.543994039158598</v>
      </c>
      <c r="H55" s="66">
        <f t="shared" si="17"/>
        <v>27.962666739043335</v>
      </c>
      <c r="I55" s="66">
        <f t="shared" si="1"/>
        <v>89.602100135706266</v>
      </c>
      <c r="J55" s="66">
        <f t="shared" si="18"/>
        <v>10.486777205227664</v>
      </c>
      <c r="K55" s="66">
        <f t="shared" si="19"/>
        <v>-0.50046818311356001</v>
      </c>
      <c r="L55" s="66">
        <f t="shared" si="20"/>
        <v>8.8349999999999991</v>
      </c>
      <c r="M55" s="68">
        <f t="shared" si="27"/>
        <v>8.7465034968011164</v>
      </c>
      <c r="N55" s="273">
        <f>IF($I$2="RRO (Capped)",VLOOKUP(A55,'Misc. Data &amp; Mechanisms'!$A$1278:$E$1368,5,FALSE),IF($I$2="RRO (Uncapped)",VLOOKUP(A55,'Misc. Data &amp; Mechanisms'!$G$1278:$K$1368,5,FALSE),AZ55))</f>
        <v>4.8520000000000003</v>
      </c>
      <c r="O55" s="333">
        <f t="shared" si="22"/>
        <v>38.543994039158598</v>
      </c>
      <c r="P55" s="390">
        <v>3.52</v>
      </c>
      <c r="Q55" s="333">
        <f t="shared" si="28"/>
        <v>27.962666739043335</v>
      </c>
      <c r="R55" s="390">
        <v>6.6</v>
      </c>
      <c r="S55" s="390">
        <v>93.08</v>
      </c>
      <c r="T55" s="390">
        <v>26.83</v>
      </c>
      <c r="U55" s="338">
        <f t="shared" si="29"/>
        <v>52.430000135706258</v>
      </c>
      <c r="V55" s="338">
        <f t="shared" si="30"/>
        <v>28.854799999999997</v>
      </c>
      <c r="W55" s="333">
        <f t="shared" si="31"/>
        <v>8.3172999999999995</v>
      </c>
      <c r="X55" s="205">
        <f>VLOOKUP($A55,'Misc. Data &amp; Mechanisms'!$A$63:$DY$152,HLOOKUP('Service Zone Menu'!$K$6&amp;"_ATCO_Elec_Y_1",'Misc. Data &amp; Mechanisms'!$A$55:$DY$62,8,FALSE), FALSE)</f>
        <v>7.7499999999999999E-2</v>
      </c>
      <c r="Y55" s="205">
        <f>VLOOKUP($A55,'Misc. Data &amp; Mechanisms'!$A$63:$DY$152,HLOOKUP('Service Zone Menu'!$K$6&amp;"_ATCO_Elec_Y_2",'Misc. Data &amp; Mechanisms'!$A$55:$DY$62,8,FALSE), FALSE)</f>
        <v>1.17E-2</v>
      </c>
      <c r="Z55" s="338">
        <f t="shared" si="32"/>
        <v>9.1112694327930939</v>
      </c>
      <c r="AA55" s="333">
        <f t="shared" si="33"/>
        <v>1.3755077724345706</v>
      </c>
      <c r="AB55" s="291">
        <v>-0.34200000000000003</v>
      </c>
      <c r="AC55" s="291">
        <v>0.20899999999999999</v>
      </c>
      <c r="AD55" s="291">
        <v>7.0000000000000007E-2</v>
      </c>
      <c r="AE55" s="392"/>
      <c r="AF55" s="291"/>
      <c r="AG55" s="290"/>
      <c r="AH55" s="290"/>
      <c r="AI55" s="338">
        <f t="shared" si="34"/>
        <v>-2.7168272797593245</v>
      </c>
      <c r="AJ55" s="338">
        <f t="shared" si="35"/>
        <v>1.660283337630698</v>
      </c>
      <c r="AK55" s="338">
        <f t="shared" si="36"/>
        <v>0.55607575901506645</v>
      </c>
      <c r="AL55" s="338">
        <f t="shared" si="37"/>
        <v>0</v>
      </c>
      <c r="AM55" s="338">
        <f t="shared" si="23"/>
        <v>0</v>
      </c>
      <c r="AN55" s="338">
        <f t="shared" si="24"/>
        <v>0</v>
      </c>
      <c r="AO55" s="333">
        <f t="shared" si="25"/>
        <v>0</v>
      </c>
      <c r="AP55" s="200">
        <f>IF(OR($I$2="RRO (Capped)",$I$2="RRO (Uncapped)"),VLOOKUP(A55,'Misc. Data &amp; Mechanisms'!$A$1483:$H$1574,5,FALSE),BA55)</f>
        <v>0.28499999999999998</v>
      </c>
      <c r="AQ55" s="333">
        <f t="shared" si="26"/>
        <v>8.8349999999999991</v>
      </c>
      <c r="AR55" s="388">
        <f>5%</f>
        <v>0.05</v>
      </c>
      <c r="AS55" s="359">
        <f>'Misc. Data &amp; Mechanisms'!AK328</f>
        <v>704.96962259374618</v>
      </c>
      <c r="AT55" s="1239">
        <f>'Misc. Data &amp; Mechanisms'!AP328</f>
        <v>642.78687153718272</v>
      </c>
      <c r="AU55" s="1087">
        <f>'Misc. Data &amp; Mechanisms'!T328</f>
        <v>794.39394145009476</v>
      </c>
      <c r="AV55" s="1087">
        <f>'Misc. Data &amp; Mechanisms'!U328</f>
        <v>602.87164907809813</v>
      </c>
      <c r="AW55" s="1087">
        <f>'Misc. Data &amp; Mechanisms'!V328</f>
        <v>446.1651366651368</v>
      </c>
      <c r="AX55" s="1463">
        <f>'Misc. Data &amp; Mechanisms'!$B$259</f>
        <v>611.34673880086393</v>
      </c>
      <c r="AY55" s="197">
        <f>IFERROR(IF('Personalized Bill Menu'!$B$30="Yes", IF('Personalized Bill Menu'!$B$34="Natural Gas",0,VLOOKUP($A55, 'Personalized Bill Menu'!$H$4:$L$93, 2, FALSE)), 0), 0)</f>
        <v>0</v>
      </c>
      <c r="AZ55" s="1343">
        <f>IFERROR(IF('Personalized Bill Menu'!$C$36="Custom", IF('Personalized Bill Menu'!$B$34="Natural Gas",0,VLOOKUP($A55, 'Personalized Bill Menu'!$H$4:$L$93, 3, FALSE)), 0), 0)</f>
        <v>0</v>
      </c>
      <c r="BA55" s="1344">
        <f>IFERROR(IF('Personalized Bill Menu'!$C$36="Custom", IF('Personalized Bill Menu'!$B$34="Natural Gas",0,VLOOKUP($A55, 'Personalized Bill Menu'!$H$4:$L$93, 4, FALSE)), 0), 0)</f>
        <v>0</v>
      </c>
      <c r="BB55" s="335"/>
      <c r="BC55" s="335"/>
      <c r="BD55" s="335"/>
    </row>
    <row r="56" spans="1:56" x14ac:dyDescent="0.35">
      <c r="A56" s="206">
        <v>42401</v>
      </c>
      <c r="B56" s="226">
        <f t="shared" si="0"/>
        <v>29</v>
      </c>
      <c r="C56" s="1581">
        <f t="shared" si="12"/>
        <v>737.32098319997363</v>
      </c>
      <c r="D56" s="181">
        <f t="shared" si="13"/>
        <v>22.762523102519179</v>
      </c>
      <c r="E56" s="178">
        <f t="shared" si="14"/>
        <v>16.191739200000001</v>
      </c>
      <c r="F56" s="86">
        <f t="shared" si="15"/>
        <v>167.83285914061554</v>
      </c>
      <c r="G56" s="115">
        <f t="shared" si="16"/>
        <v>32.891889060550824</v>
      </c>
      <c r="H56" s="66">
        <f t="shared" si="17"/>
        <v>25.953698608639073</v>
      </c>
      <c r="I56" s="66">
        <f t="shared" si="1"/>
        <v>83.437084891198253</v>
      </c>
      <c r="J56" s="66">
        <f t="shared" si="18"/>
        <v>9.7576578881854896</v>
      </c>
      <c r="K56" s="66">
        <f t="shared" si="19"/>
        <v>-0.46451221941598353</v>
      </c>
      <c r="L56" s="66">
        <f t="shared" si="20"/>
        <v>8.2649999999999988</v>
      </c>
      <c r="M56" s="68">
        <f t="shared" si="27"/>
        <v>7.9920409114578836</v>
      </c>
      <c r="N56" s="273">
        <f>IF($I$2="RRO (Capped)",VLOOKUP(A56,'Misc. Data &amp; Mechanisms'!$A$1278:$E$1368,5,FALSE),IF($I$2="RRO (Uncapped)",VLOOKUP(A56,'Misc. Data &amp; Mechanisms'!$G$1278:$K$1368,5,FALSE),AZ56))</f>
        <v>4.4610000000000003</v>
      </c>
      <c r="O56" s="333">
        <f t="shared" si="22"/>
        <v>32.891889060550824</v>
      </c>
      <c r="P56" s="390">
        <v>3.52</v>
      </c>
      <c r="Q56" s="333">
        <f t="shared" si="28"/>
        <v>25.953698608639073</v>
      </c>
      <c r="R56" s="390">
        <v>6.6</v>
      </c>
      <c r="S56" s="390">
        <v>93.08</v>
      </c>
      <c r="T56" s="390">
        <v>26.83</v>
      </c>
      <c r="U56" s="338">
        <f t="shared" si="29"/>
        <v>48.663184891198263</v>
      </c>
      <c r="V56" s="338">
        <f t="shared" si="30"/>
        <v>26.993199999999998</v>
      </c>
      <c r="W56" s="333">
        <f t="shared" si="31"/>
        <v>7.7806999999999995</v>
      </c>
      <c r="X56" s="205">
        <f>VLOOKUP($A56,'Misc. Data &amp; Mechanisms'!$A$63:$DY$152,HLOOKUP('Service Zone Menu'!$K$6&amp;"_ATCO_Elec_Y_1",'Misc. Data &amp; Mechanisms'!$A$55:$DY$62,8,FALSE), FALSE)</f>
        <v>7.7499999999999999E-2</v>
      </c>
      <c r="Y56" s="205">
        <f>VLOOKUP($A56,'Misc. Data &amp; Mechanisms'!$A$63:$DY$152,HLOOKUP('Service Zone Menu'!$K$6&amp;"_ATCO_Elec_Y_2",'Misc. Data &amp; Mechanisms'!$A$55:$DY$62,8,FALSE), FALSE)</f>
        <v>1.17E-2</v>
      </c>
      <c r="Z56" s="338">
        <f t="shared" si="32"/>
        <v>8.4777857212373924</v>
      </c>
      <c r="AA56" s="333">
        <f t="shared" si="33"/>
        <v>1.2798721669480968</v>
      </c>
      <c r="AB56" s="291">
        <v>-0.34200000000000003</v>
      </c>
      <c r="AC56" s="291">
        <v>0.20899999999999999</v>
      </c>
      <c r="AD56" s="291">
        <v>7.0000000000000007E-2</v>
      </c>
      <c r="AE56" s="392"/>
      <c r="AF56" s="291"/>
      <c r="AG56" s="290"/>
      <c r="AH56" s="290"/>
      <c r="AI56" s="338">
        <f t="shared" si="34"/>
        <v>-2.5216377625439099</v>
      </c>
      <c r="AJ56" s="338">
        <f t="shared" si="35"/>
        <v>1.5410008548879448</v>
      </c>
      <c r="AK56" s="338">
        <f t="shared" si="36"/>
        <v>0.51612468823998159</v>
      </c>
      <c r="AL56" s="338">
        <f t="shared" si="37"/>
        <v>0</v>
      </c>
      <c r="AM56" s="338">
        <f t="shared" si="23"/>
        <v>0</v>
      </c>
      <c r="AN56" s="338">
        <f t="shared" si="24"/>
        <v>0</v>
      </c>
      <c r="AO56" s="333">
        <f t="shared" si="25"/>
        <v>0</v>
      </c>
      <c r="AP56" s="200">
        <f>IF(OR($I$2="RRO (Capped)",$I$2="RRO (Uncapped)"),VLOOKUP(A56,'Misc. Data &amp; Mechanisms'!$A$1483:$H$1574,5,FALSE),BA56)</f>
        <v>0.28499999999999998</v>
      </c>
      <c r="AQ56" s="333">
        <f t="shared" si="26"/>
        <v>8.2649999999999988</v>
      </c>
      <c r="AR56" s="388">
        <f>5%</f>
        <v>0.05</v>
      </c>
      <c r="AS56" s="341">
        <f>'Misc. Data &amp; Mechanisms'!AK329</f>
        <v>654.32132363460289</v>
      </c>
      <c r="AT56" s="196">
        <f>'Misc. Data &amp; Mechanisms'!AP329</f>
        <v>547.71695659835859</v>
      </c>
      <c r="AU56" s="1087">
        <f>'Misc. Data &amp; Mechanisms'!T329</f>
        <v>737.32098319997363</v>
      </c>
      <c r="AV56" s="1087">
        <f>'Misc. Data &amp; Mechanisms'!U329</f>
        <v>559.55854375001877</v>
      </c>
      <c r="AW56" s="1087">
        <f>'Misc. Data &amp; Mechanisms'!V329</f>
        <v>414.11055657724387</v>
      </c>
      <c r="AX56" s="1463">
        <f>'Misc. Data &amp; Mechanisms'!$B$259</f>
        <v>611.34673880086393</v>
      </c>
      <c r="AY56" s="197">
        <f>IFERROR(IF('Personalized Bill Menu'!$B$30="Yes", IF('Personalized Bill Menu'!$B$34="Natural Gas",0,VLOOKUP($A56, 'Personalized Bill Menu'!$H$4:$L$93, 2, FALSE)), 0), 0)</f>
        <v>0</v>
      </c>
      <c r="AZ56" s="1343">
        <f>IFERROR(IF('Personalized Bill Menu'!$C$36="Custom", IF('Personalized Bill Menu'!$B$34="Natural Gas",0,VLOOKUP($A56, 'Personalized Bill Menu'!$H$4:$L$93, 3, FALSE)), 0), 0)</f>
        <v>0</v>
      </c>
      <c r="BA56" s="1344">
        <f>IFERROR(IF('Personalized Bill Menu'!$C$36="Custom", IF('Personalized Bill Menu'!$B$34="Natural Gas",0,VLOOKUP($A56, 'Personalized Bill Menu'!$H$4:$L$93, 4, FALSE)), 0), 0)</f>
        <v>0</v>
      </c>
      <c r="BB56" s="335"/>
      <c r="BC56" s="335"/>
      <c r="BD56" s="335"/>
    </row>
    <row r="57" spans="1:56" x14ac:dyDescent="0.35">
      <c r="A57" s="206">
        <v>42430</v>
      </c>
      <c r="B57" s="226">
        <f t="shared" si="0"/>
        <v>31</v>
      </c>
      <c r="C57" s="1581">
        <f t="shared" si="12"/>
        <v>723.10517812704529</v>
      </c>
      <c r="D57" s="181">
        <f t="shared" si="13"/>
        <v>23.147967000733161</v>
      </c>
      <c r="E57" s="178">
        <f t="shared" si="14"/>
        <v>15.985939199999997</v>
      </c>
      <c r="F57" s="86">
        <f t="shared" si="15"/>
        <v>167.38414801344118</v>
      </c>
      <c r="G57" s="115">
        <f t="shared" si="16"/>
        <v>30.840435847118478</v>
      </c>
      <c r="H57" s="66">
        <f t="shared" si="17"/>
        <v>25.453302270071998</v>
      </c>
      <c r="I57" s="66">
        <f t="shared" si="1"/>
        <v>84.897041756384994</v>
      </c>
      <c r="J57" s="66">
        <f t="shared" si="18"/>
        <v>9.8432506871599639</v>
      </c>
      <c r="K57" s="66">
        <f t="shared" si="19"/>
        <v>-0.45555626222003875</v>
      </c>
      <c r="L57" s="66">
        <f t="shared" si="20"/>
        <v>8.8349999999999991</v>
      </c>
      <c r="M57" s="68">
        <f t="shared" si="27"/>
        <v>7.9706737149257707</v>
      </c>
      <c r="N57" s="273">
        <f>IF($I$2="RRO (Capped)",VLOOKUP(A57,'Misc. Data &amp; Mechanisms'!$A$1278:$E$1368,5,FALSE),IF($I$2="RRO (Uncapped)",VLOOKUP(A57,'Misc. Data &amp; Mechanisms'!$G$1278:$K$1368,5,FALSE),AZ57))</f>
        <v>4.2649999999999997</v>
      </c>
      <c r="O57" s="333">
        <f t="shared" si="22"/>
        <v>30.840435847118478</v>
      </c>
      <c r="P57" s="390">
        <v>3.52</v>
      </c>
      <c r="Q57" s="333">
        <f t="shared" si="28"/>
        <v>25.453302270071998</v>
      </c>
      <c r="R57" s="390">
        <v>6.6</v>
      </c>
      <c r="S57" s="390">
        <v>93.08</v>
      </c>
      <c r="T57" s="390">
        <v>26.83</v>
      </c>
      <c r="U57" s="338">
        <f t="shared" si="29"/>
        <v>47.724941756384993</v>
      </c>
      <c r="V57" s="338">
        <f t="shared" si="30"/>
        <v>28.854799999999997</v>
      </c>
      <c r="W57" s="333">
        <f t="shared" si="31"/>
        <v>8.3172999999999995</v>
      </c>
      <c r="X57" s="205">
        <f>VLOOKUP($A57,'Misc. Data &amp; Mechanisms'!$A$63:$DY$152,HLOOKUP('Service Zone Menu'!$K$6&amp;"_ATCO_Elec_Y_1",'Misc. Data &amp; Mechanisms'!$A$55:$DY$62,8,FALSE), FALSE)</f>
        <v>7.7499999999999999E-2</v>
      </c>
      <c r="Y57" s="205">
        <f>VLOOKUP($A57,'Misc. Data &amp; Mechanisms'!$A$63:$DY$152,HLOOKUP('Service Zone Menu'!$K$6&amp;"_ATCO_Elec_Y_2",'Misc. Data &amp; Mechanisms'!$A$55:$DY$62,8,FALSE), FALSE)</f>
        <v>1.17E-2</v>
      </c>
      <c r="Z57" s="338">
        <f t="shared" si="32"/>
        <v>8.5521516620504165</v>
      </c>
      <c r="AA57" s="333">
        <f t="shared" si="33"/>
        <v>1.2910990251095469</v>
      </c>
      <c r="AB57" s="291">
        <v>-0.34200000000000003</v>
      </c>
      <c r="AC57" s="291">
        <v>0.20899999999999999</v>
      </c>
      <c r="AD57" s="291">
        <v>7.0000000000000007E-2</v>
      </c>
      <c r="AE57" s="392"/>
      <c r="AF57" s="291"/>
      <c r="AG57" s="290"/>
      <c r="AH57" s="290"/>
      <c r="AI57" s="338">
        <f t="shared" si="34"/>
        <v>-2.473019709194495</v>
      </c>
      <c r="AJ57" s="338">
        <f t="shared" si="35"/>
        <v>1.5112898222855244</v>
      </c>
      <c r="AK57" s="338">
        <f t="shared" si="36"/>
        <v>0.50617362468893179</v>
      </c>
      <c r="AL57" s="338">
        <f t="shared" si="37"/>
        <v>0</v>
      </c>
      <c r="AM57" s="338">
        <f t="shared" si="23"/>
        <v>0</v>
      </c>
      <c r="AN57" s="338">
        <f t="shared" si="24"/>
        <v>0</v>
      </c>
      <c r="AO57" s="333">
        <f t="shared" si="25"/>
        <v>0</v>
      </c>
      <c r="AP57" s="200">
        <f>IF(OR($I$2="RRO (Capped)",$I$2="RRO (Uncapped)"),VLOOKUP(A57,'Misc. Data &amp; Mechanisms'!$A$1483:$H$1574,5,FALSE),BA57)</f>
        <v>0.28499999999999998</v>
      </c>
      <c r="AQ57" s="333">
        <f t="shared" si="26"/>
        <v>8.8349999999999991</v>
      </c>
      <c r="AR57" s="388">
        <f>5%</f>
        <v>0.05</v>
      </c>
      <c r="AS57" s="341">
        <f>'Misc. Data &amp; Mechanisms'!AK330</f>
        <v>641.70578087399872</v>
      </c>
      <c r="AT57" s="196">
        <f>'Misc. Data &amp; Mechanisms'!AP330</f>
        <v>543.24771404193632</v>
      </c>
      <c r="AU57" s="1087">
        <f>'Misc. Data &amp; Mechanisms'!T330</f>
        <v>723.10517812704529</v>
      </c>
      <c r="AV57" s="1087">
        <f>'Misc. Data &amp; Mechanisms'!U330</f>
        <v>548.77006035392844</v>
      </c>
      <c r="AW57" s="1087">
        <f>'Misc. Data &amp; Mechanisms'!V330</f>
        <v>406.1263609757641</v>
      </c>
      <c r="AX57" s="1463">
        <f>'Misc. Data &amp; Mechanisms'!$B$259</f>
        <v>611.34673880086393</v>
      </c>
      <c r="AY57" s="197">
        <f>IFERROR(IF('Personalized Bill Menu'!$B$30="Yes", IF('Personalized Bill Menu'!$B$34="Natural Gas",0,VLOOKUP($A57, 'Personalized Bill Menu'!$H$4:$L$93, 2, FALSE)), 0), 0)</f>
        <v>0</v>
      </c>
      <c r="AZ57" s="1343">
        <f>IFERROR(IF('Personalized Bill Menu'!$C$36="Custom", IF('Personalized Bill Menu'!$B$34="Natural Gas",0,VLOOKUP($A57, 'Personalized Bill Menu'!$H$4:$L$93, 3, FALSE)), 0), 0)</f>
        <v>0</v>
      </c>
      <c r="BA57" s="1344">
        <f>IFERROR(IF('Personalized Bill Menu'!$C$36="Custom", IF('Personalized Bill Menu'!$B$34="Natural Gas",0,VLOOKUP($A57, 'Personalized Bill Menu'!$H$4:$L$93, 4, FALSE)), 0), 0)</f>
        <v>0</v>
      </c>
      <c r="BB57" s="335"/>
      <c r="BC57" s="335"/>
      <c r="BD57" s="335"/>
    </row>
    <row r="58" spans="1:56" x14ac:dyDescent="0.35">
      <c r="A58" s="206">
        <v>42461</v>
      </c>
      <c r="B58" s="226">
        <f t="shared" si="0"/>
        <v>30</v>
      </c>
      <c r="C58" s="1581">
        <f t="shared" si="12"/>
        <v>570.28744340305536</v>
      </c>
      <c r="D58" s="181">
        <f t="shared" si="13"/>
        <v>24.504832380122735</v>
      </c>
      <c r="E58" s="178">
        <f t="shared" si="14"/>
        <v>15.346489200000001</v>
      </c>
      <c r="F58" s="86">
        <f t="shared" si="15"/>
        <v>139.74798209080603</v>
      </c>
      <c r="G58" s="115">
        <f t="shared" si="16"/>
        <v>19.606482304197044</v>
      </c>
      <c r="H58" s="66">
        <f t="shared" si="17"/>
        <v>20.074118007787551</v>
      </c>
      <c r="I58" s="66">
        <f>SUM($U58:$W58)</f>
        <v>73.611971264601664</v>
      </c>
      <c r="J58" s="66">
        <f t="shared" si="18"/>
        <v>8.3567991630971168</v>
      </c>
      <c r="K58" s="66">
        <f t="shared" si="19"/>
        <v>0.88394553727473535</v>
      </c>
      <c r="L58" s="66">
        <f t="shared" si="20"/>
        <v>10.559999999999999</v>
      </c>
      <c r="M58" s="68">
        <f t="shared" si="27"/>
        <v>6.654665813847906</v>
      </c>
      <c r="N58" s="273">
        <f>IF($I$2="RRO (Capped)",VLOOKUP(A58,'Misc. Data &amp; Mechanisms'!$A$1278:$E$1368,5,FALSE),IF($I$2="RRO (Uncapped)",VLOOKUP(A58,'Misc. Data &amp; Mechanisms'!$G$1278:$K$1368,5,FALSE),AZ58))</f>
        <v>3.4380000000000002</v>
      </c>
      <c r="O58" s="333">
        <f t="shared" si="22"/>
        <v>19.606482304197044</v>
      </c>
      <c r="P58" s="390">
        <v>3.52</v>
      </c>
      <c r="Q58" s="333">
        <f t="shared" si="28"/>
        <v>20.074118007787551</v>
      </c>
      <c r="R58" s="390">
        <v>6.6</v>
      </c>
      <c r="S58" s="390">
        <v>93.08</v>
      </c>
      <c r="T58" s="390">
        <v>26.83</v>
      </c>
      <c r="U58" s="338">
        <f t="shared" si="29"/>
        <v>37.638971264601658</v>
      </c>
      <c r="V58" s="338">
        <f t="shared" si="30"/>
        <v>27.923999999999999</v>
      </c>
      <c r="W58" s="333">
        <f t="shared" si="31"/>
        <v>8.0489999999999995</v>
      </c>
      <c r="X58" s="205">
        <f>VLOOKUP($A58,'Misc. Data &amp; Mechanisms'!$A$63:$DY$152,HLOOKUP('Service Zone Menu'!$K$6&amp;"_ATCO_Elec_Y_1",'Misc. Data &amp; Mechanisms'!$A$55:$DY$62,8,FALSE), FALSE)</f>
        <v>7.7499999999999999E-2</v>
      </c>
      <c r="Y58" s="205">
        <f>VLOOKUP($A58,'Misc. Data &amp; Mechanisms'!$A$63:$DY$152,HLOOKUP('Service Zone Menu'!$K$6&amp;"_ATCO_Elec_Y_2",'Misc. Data &amp; Mechanisms'!$A$55:$DY$62,8,FALSE), FALSE)</f>
        <v>1.17E-2</v>
      </c>
      <c r="Z58" s="338">
        <f t="shared" si="32"/>
        <v>7.2606719186101634</v>
      </c>
      <c r="AA58" s="333">
        <f t="shared" si="33"/>
        <v>1.0961272444869539</v>
      </c>
      <c r="AB58" s="291">
        <v>-0.34200000000000003</v>
      </c>
      <c r="AC58" s="291">
        <v>0.20899999999999999</v>
      </c>
      <c r="AD58" s="291">
        <v>0.28799999999999998</v>
      </c>
      <c r="AE58" s="392"/>
      <c r="AF58" s="291"/>
      <c r="AG58" s="290"/>
      <c r="AH58" s="290"/>
      <c r="AI58" s="338">
        <f t="shared" si="34"/>
        <v>-1.9503830564384494</v>
      </c>
      <c r="AJ58" s="338">
        <f t="shared" si="35"/>
        <v>1.1919007567123856</v>
      </c>
      <c r="AK58" s="338">
        <f t="shared" si="36"/>
        <v>1.6424278370007992</v>
      </c>
      <c r="AL58" s="338">
        <f t="shared" si="37"/>
        <v>0</v>
      </c>
      <c r="AM58" s="338">
        <f t="shared" si="23"/>
        <v>0</v>
      </c>
      <c r="AN58" s="338">
        <f t="shared" si="24"/>
        <v>0</v>
      </c>
      <c r="AO58" s="333">
        <f t="shared" si="25"/>
        <v>0</v>
      </c>
      <c r="AP58" s="200">
        <f>IF(OR($I$2="RRO (Capped)",$I$2="RRO (Uncapped)"),VLOOKUP(A58,'Misc. Data &amp; Mechanisms'!$A$1483:$H$1574,5,FALSE),BA58)</f>
        <v>0.35199999999999998</v>
      </c>
      <c r="AQ58" s="333">
        <f t="shared" si="26"/>
        <v>10.559999999999999</v>
      </c>
      <c r="AR58" s="388">
        <f>5%</f>
        <v>0.05</v>
      </c>
      <c r="AS58" s="341">
        <f>'Misc. Data &amp; Mechanisms'!AK331</f>
        <v>506.09062175364147</v>
      </c>
      <c r="AT58" s="196">
        <f>'Misc. Data &amp; Mechanisms'!AP331</f>
        <v>470.8590031217114</v>
      </c>
      <c r="AU58" s="1087">
        <f>'Misc. Data &amp; Mechanisms'!T331</f>
        <v>570.28744340305536</v>
      </c>
      <c r="AV58" s="1087">
        <f>'Misc. Data &amp; Mechanisms'!U331</f>
        <v>432.79551053138448</v>
      </c>
      <c r="AW58" s="1087">
        <f>'Misc. Data &amp; Mechanisms'!V331</f>
        <v>320.29747691664664</v>
      </c>
      <c r="AX58" s="1463">
        <f>'Misc. Data &amp; Mechanisms'!$B$259</f>
        <v>611.34673880086393</v>
      </c>
      <c r="AY58" s="197">
        <f>IFERROR(IF('Personalized Bill Menu'!$B$30="Yes", IF('Personalized Bill Menu'!$B$34="Natural Gas",0,VLOOKUP($A58, 'Personalized Bill Menu'!$H$4:$L$93, 2, FALSE)), 0), 0)</f>
        <v>0</v>
      </c>
      <c r="AZ58" s="1343">
        <f>IFERROR(IF('Personalized Bill Menu'!$C$36="Custom", IF('Personalized Bill Menu'!$B$34="Natural Gas",0,VLOOKUP($A58, 'Personalized Bill Menu'!$H$4:$L$93, 3, FALSE)), 0), 0)</f>
        <v>0</v>
      </c>
      <c r="BA58" s="1344">
        <f>IFERROR(IF('Personalized Bill Menu'!$C$36="Custom", IF('Personalized Bill Menu'!$B$34="Natural Gas",0,VLOOKUP($A58, 'Personalized Bill Menu'!$H$4:$L$93, 4, FALSE)), 0), 0)</f>
        <v>0</v>
      </c>
      <c r="BB58" s="335"/>
      <c r="BC58" s="335"/>
      <c r="BD58" s="335"/>
    </row>
    <row r="59" spans="1:56" x14ac:dyDescent="0.35">
      <c r="A59" s="206">
        <v>42491</v>
      </c>
      <c r="B59" s="226">
        <f t="shared" si="0"/>
        <v>31</v>
      </c>
      <c r="C59" s="1581">
        <f t="shared" si="12"/>
        <v>581.08496960306672</v>
      </c>
      <c r="D59" s="181">
        <f t="shared" si="13"/>
        <v>24.46941064638008</v>
      </c>
      <c r="E59" s="178">
        <f t="shared" si="14"/>
        <v>15.181639199999999</v>
      </c>
      <c r="F59" s="86">
        <f t="shared" si="15"/>
        <v>142.18806741656726</v>
      </c>
      <c r="G59" s="115">
        <f t="shared" si="16"/>
        <v>19.065397852676618</v>
      </c>
      <c r="H59" s="66">
        <f t="shared" si="17"/>
        <v>20.454190930027949</v>
      </c>
      <c r="I59" s="66">
        <f t="shared" ref="I59:I96" si="38">SUM($U59:$W59)</f>
        <v>75.523707993802404</v>
      </c>
      <c r="J59" s="66">
        <f t="shared" si="18"/>
        <v>8.5612285840056686</v>
      </c>
      <c r="K59" s="66">
        <f t="shared" si="19"/>
        <v>0.90068170288475291</v>
      </c>
      <c r="L59" s="66">
        <f t="shared" si="20"/>
        <v>10.911999999999999</v>
      </c>
      <c r="M59" s="68">
        <f t="shared" si="27"/>
        <v>6.7708603531698701</v>
      </c>
      <c r="N59" s="273">
        <f>IF($I$2="RRO (Capped)",VLOOKUP(A59,'Misc. Data &amp; Mechanisms'!$A$1278:$E$1368,5,FALSE),IF($I$2="RRO (Uncapped)",VLOOKUP(A59,'Misc. Data &amp; Mechanisms'!$G$1278:$K$1368,5,FALSE),AZ59))</f>
        <v>3.2810000000000001</v>
      </c>
      <c r="O59" s="333">
        <f t="shared" si="22"/>
        <v>19.065397852676618</v>
      </c>
      <c r="P59" s="390">
        <v>3.52</v>
      </c>
      <c r="Q59" s="333">
        <f t="shared" si="28"/>
        <v>20.454190930027949</v>
      </c>
      <c r="R59" s="390">
        <v>6.6</v>
      </c>
      <c r="S59" s="390">
        <v>93.08</v>
      </c>
      <c r="T59" s="390">
        <v>26.83</v>
      </c>
      <c r="U59" s="338">
        <f t="shared" si="29"/>
        <v>38.351607993802403</v>
      </c>
      <c r="V59" s="338">
        <f t="shared" si="30"/>
        <v>28.854799999999997</v>
      </c>
      <c r="W59" s="333">
        <f t="shared" si="31"/>
        <v>8.3172999999999995</v>
      </c>
      <c r="X59" s="205">
        <f>VLOOKUP($A59,'Misc. Data &amp; Mechanisms'!$A$63:$DY$152,HLOOKUP('Service Zone Menu'!$K$6&amp;"_ATCO_Elec_Y_1",'Misc. Data &amp; Mechanisms'!$A$55:$DY$62,8,FALSE), FALSE)</f>
        <v>7.7499999999999999E-2</v>
      </c>
      <c r="Y59" s="205">
        <f>VLOOKUP($A59,'Misc. Data &amp; Mechanisms'!$A$63:$DY$152,HLOOKUP('Service Zone Menu'!$K$6&amp;"_ATCO_Elec_Y_2",'Misc. Data &amp; Mechanisms'!$A$55:$DY$62,8,FALSE), FALSE)</f>
        <v>1.17E-2</v>
      </c>
      <c r="Z59" s="338">
        <f t="shared" si="32"/>
        <v>7.4382871665968526</v>
      </c>
      <c r="AA59" s="333">
        <f t="shared" si="33"/>
        <v>1.1229414174088153</v>
      </c>
      <c r="AB59" s="291">
        <v>-0.34200000000000003</v>
      </c>
      <c r="AC59" s="291">
        <v>0.20899999999999999</v>
      </c>
      <c r="AD59" s="291">
        <v>0.28799999999999998</v>
      </c>
      <c r="AE59" s="392"/>
      <c r="AF59" s="291"/>
      <c r="AG59" s="290"/>
      <c r="AH59" s="290"/>
      <c r="AI59" s="338">
        <f t="shared" si="34"/>
        <v>-1.9873105960424884</v>
      </c>
      <c r="AJ59" s="338">
        <f t="shared" si="35"/>
        <v>1.2144675864704093</v>
      </c>
      <c r="AK59" s="338">
        <f t="shared" si="36"/>
        <v>1.673524712456832</v>
      </c>
      <c r="AL59" s="338">
        <f>$AE59*($H59+$I59+$J59)</f>
        <v>0</v>
      </c>
      <c r="AM59" s="338">
        <f t="shared" si="23"/>
        <v>0</v>
      </c>
      <c r="AN59" s="338">
        <f t="shared" si="24"/>
        <v>0</v>
      </c>
      <c r="AO59" s="333">
        <f t="shared" si="25"/>
        <v>0</v>
      </c>
      <c r="AP59" s="200">
        <f>IF(OR($I$2="RRO (Capped)",$I$2="RRO (Uncapped)"),VLOOKUP(A59,'Misc. Data &amp; Mechanisms'!$A$1483:$H$1574,5,FALSE),BA59)</f>
        <v>0.35199999999999998</v>
      </c>
      <c r="AQ59" s="333">
        <f t="shared" si="26"/>
        <v>10.911999999999999</v>
      </c>
      <c r="AR59" s="388">
        <f>5%</f>
        <v>0.05</v>
      </c>
      <c r="AS59" s="341">
        <f>'Misc. Data &amp; Mechanisms'!AK332</f>
        <v>515.67267868155966</v>
      </c>
      <c r="AT59" s="196">
        <f>'Misc. Data &amp; Mechanisms'!AP332</f>
        <v>487.07214643354223</v>
      </c>
      <c r="AU59" s="1087">
        <f>'Misc. Data &amp; Mechanisms'!T332</f>
        <v>581.08496960306672</v>
      </c>
      <c r="AV59" s="1087">
        <f>'Misc. Data &amp; Mechanisms'!U332</f>
        <v>440.98983589882408</v>
      </c>
      <c r="AW59" s="1087">
        <f>'Misc. Data &amp; Mechanisms'!V332</f>
        <v>326.3618229561942</v>
      </c>
      <c r="AX59" s="1463">
        <f>'Misc. Data &amp; Mechanisms'!$B$259</f>
        <v>611.34673880086393</v>
      </c>
      <c r="AY59" s="197">
        <f>IFERROR(IF('Personalized Bill Menu'!$B$30="Yes", IF('Personalized Bill Menu'!$B$34="Natural Gas",0,VLOOKUP($A59, 'Personalized Bill Menu'!$H$4:$L$93, 2, FALSE)), 0), 0)</f>
        <v>0</v>
      </c>
      <c r="AZ59" s="1343">
        <f>IFERROR(IF('Personalized Bill Menu'!$C$36="Custom", IF('Personalized Bill Menu'!$B$34="Natural Gas",0,VLOOKUP($A59, 'Personalized Bill Menu'!$H$4:$L$93, 3, FALSE)), 0), 0)</f>
        <v>0</v>
      </c>
      <c r="BA59" s="1344">
        <f>IFERROR(IF('Personalized Bill Menu'!$C$36="Custom", IF('Personalized Bill Menu'!$B$34="Natural Gas",0,VLOOKUP($A59, 'Personalized Bill Menu'!$H$4:$L$93, 4, FALSE)), 0), 0)</f>
        <v>0</v>
      </c>
      <c r="BB59" s="335"/>
      <c r="BC59" s="335"/>
      <c r="BD59" s="335"/>
    </row>
    <row r="60" spans="1:56" x14ac:dyDescent="0.35">
      <c r="A60" s="206">
        <v>42522</v>
      </c>
      <c r="B60" s="226">
        <f t="shared" si="0"/>
        <v>30</v>
      </c>
      <c r="C60" s="1581">
        <f t="shared" si="12"/>
        <v>504.03899445531056</v>
      </c>
      <c r="D60" s="181">
        <f t="shared" si="13"/>
        <v>25.856610737032788</v>
      </c>
      <c r="E60" s="178">
        <f t="shared" si="14"/>
        <v>15.4945392</v>
      </c>
      <c r="F60" s="86">
        <f t="shared" si="15"/>
        <v>130.32740075916394</v>
      </c>
      <c r="G60" s="115">
        <f t="shared" si="16"/>
        <v>18.039555611555567</v>
      </c>
      <c r="H60" s="66">
        <f t="shared" si="17"/>
        <v>17.742172604826933</v>
      </c>
      <c r="I60" s="66">
        <f t="shared" si="38"/>
        <v>69.239573634050487</v>
      </c>
      <c r="J60" s="66">
        <f t="shared" si="18"/>
        <v>7.7587717645078662</v>
      </c>
      <c r="K60" s="66">
        <f t="shared" si="19"/>
        <v>0.78126044140573092</v>
      </c>
      <c r="L60" s="66">
        <f t="shared" si="20"/>
        <v>10.559999999999999</v>
      </c>
      <c r="M60" s="68">
        <f t="shared" si="27"/>
        <v>6.2060667028173304</v>
      </c>
      <c r="N60" s="273">
        <f>IF($I$2="RRO (Capped)",VLOOKUP(A60,'Misc. Data &amp; Mechanisms'!$A$1278:$E$1368,5,FALSE),IF($I$2="RRO (Uncapped)",VLOOKUP(A60,'Misc. Data &amp; Mechanisms'!$G$1278:$K$1368,5,FALSE),AZ60))</f>
        <v>3.5790000000000002</v>
      </c>
      <c r="O60" s="333">
        <f t="shared" si="22"/>
        <v>18.039555611555567</v>
      </c>
      <c r="P60" s="390">
        <v>3.52</v>
      </c>
      <c r="Q60" s="333">
        <f t="shared" si="28"/>
        <v>17.742172604826933</v>
      </c>
      <c r="R60" s="390">
        <v>6.6</v>
      </c>
      <c r="S60" s="390">
        <v>93.08</v>
      </c>
      <c r="T60" s="390">
        <v>26.83</v>
      </c>
      <c r="U60" s="338">
        <f t="shared" si="29"/>
        <v>33.266573634050495</v>
      </c>
      <c r="V60" s="338">
        <f t="shared" si="30"/>
        <v>27.923999999999999</v>
      </c>
      <c r="W60" s="333">
        <f t="shared" si="31"/>
        <v>8.0489999999999995</v>
      </c>
      <c r="X60" s="205">
        <f>VLOOKUP($A60,'Misc. Data &amp; Mechanisms'!$A$63:$DY$152,HLOOKUP('Service Zone Menu'!$K$6&amp;"_ATCO_Elec_Y_1",'Misc. Data &amp; Mechanisms'!$A$55:$DY$62,8,FALSE), FALSE)</f>
        <v>7.7499999999999999E-2</v>
      </c>
      <c r="Y60" s="205">
        <f>VLOOKUP($A60,'Misc. Data &amp; Mechanisms'!$A$63:$DY$152,HLOOKUP('Service Zone Menu'!$K$6&amp;"_ATCO_Elec_Y_2",'Misc. Data &amp; Mechanisms'!$A$55:$DY$62,8,FALSE), FALSE)</f>
        <v>1.17E-2</v>
      </c>
      <c r="Z60" s="338">
        <f t="shared" si="32"/>
        <v>6.7410853335130003</v>
      </c>
      <c r="AA60" s="333">
        <f t="shared" si="33"/>
        <v>1.0176864309948659</v>
      </c>
      <c r="AB60" s="291">
        <v>-0.34200000000000003</v>
      </c>
      <c r="AC60" s="291">
        <v>0.20899999999999999</v>
      </c>
      <c r="AD60" s="291">
        <v>0.28799999999999998</v>
      </c>
      <c r="AE60" s="392"/>
      <c r="AF60" s="291"/>
      <c r="AG60" s="290"/>
      <c r="AH60" s="290"/>
      <c r="AI60" s="338">
        <f t="shared" si="34"/>
        <v>-1.7238133610371622</v>
      </c>
      <c r="AJ60" s="338">
        <f t="shared" si="35"/>
        <v>1.053441498411599</v>
      </c>
      <c r="AK60" s="338">
        <f t="shared" si="36"/>
        <v>1.4516323040312942</v>
      </c>
      <c r="AL60" s="338">
        <f t="shared" si="37"/>
        <v>0</v>
      </c>
      <c r="AM60" s="338">
        <f t="shared" si="23"/>
        <v>0</v>
      </c>
      <c r="AN60" s="338">
        <f t="shared" si="24"/>
        <v>0</v>
      </c>
      <c r="AO60" s="333">
        <f t="shared" si="25"/>
        <v>0</v>
      </c>
      <c r="AP60" s="200">
        <f>IF(OR($I$2="RRO (Capped)",$I$2="RRO (Uncapped)"),VLOOKUP(A60,'Misc. Data &amp; Mechanisms'!$A$1483:$H$1574,5,FALSE),BA60)</f>
        <v>0.35199999999999998</v>
      </c>
      <c r="AQ60" s="333">
        <f t="shared" si="26"/>
        <v>10.559999999999999</v>
      </c>
      <c r="AR60" s="388">
        <f>5%</f>
        <v>0.05</v>
      </c>
      <c r="AS60" s="341">
        <f>'Misc. Data &amp; Mechanisms'!AK333</f>
        <v>447.29971007213953</v>
      </c>
      <c r="AT60" s="196">
        <f>'Misc. Data &amp; Mechanisms'!AP333</f>
        <v>475.49696173552678</v>
      </c>
      <c r="AU60" s="1087">
        <f>'Misc. Data &amp; Mechanisms'!T333</f>
        <v>504.03899445531056</v>
      </c>
      <c r="AV60" s="1087">
        <f>'Misc. Data &amp; Mechanisms'!U333</f>
        <v>382.51905500720528</v>
      </c>
      <c r="AW60" s="1087">
        <f>'Misc. Data &amp; Mechanisms'!V333</f>
        <v>283.08955432767408</v>
      </c>
      <c r="AX60" s="1463">
        <f>'Misc. Data &amp; Mechanisms'!$B$259</f>
        <v>611.34673880086393</v>
      </c>
      <c r="AY60" s="197">
        <f>IFERROR(IF('Personalized Bill Menu'!$B$30="Yes", IF('Personalized Bill Menu'!$B$34="Natural Gas",0,VLOOKUP($A60, 'Personalized Bill Menu'!$H$4:$L$93, 2, FALSE)), 0), 0)</f>
        <v>0</v>
      </c>
      <c r="AZ60" s="1343">
        <f>IFERROR(IF('Personalized Bill Menu'!$C$36="Custom", IF('Personalized Bill Menu'!$B$34="Natural Gas",0,VLOOKUP($A60, 'Personalized Bill Menu'!$H$4:$L$93, 3, FALSE)), 0), 0)</f>
        <v>0</v>
      </c>
      <c r="BA60" s="1344">
        <f>IFERROR(IF('Personalized Bill Menu'!$C$36="Custom", IF('Personalized Bill Menu'!$B$34="Natural Gas",0,VLOOKUP($A60, 'Personalized Bill Menu'!$H$4:$L$93, 4, FALSE)), 0), 0)</f>
        <v>0</v>
      </c>
      <c r="BB60" s="335"/>
      <c r="BC60" s="335"/>
      <c r="BD60" s="335"/>
    </row>
    <row r="61" spans="1:56" x14ac:dyDescent="0.35">
      <c r="A61" s="206">
        <v>42552</v>
      </c>
      <c r="B61" s="226">
        <f t="shared" si="0"/>
        <v>31</v>
      </c>
      <c r="C61" s="1581">
        <f t="shared" si="12"/>
        <v>509.43619695590149</v>
      </c>
      <c r="D61" s="181">
        <f t="shared" si="13"/>
        <v>27.611073194540012</v>
      </c>
      <c r="E61" s="178">
        <f t="shared" si="14"/>
        <v>17.017039200000003</v>
      </c>
      <c r="F61" s="86">
        <f t="shared" si="15"/>
        <v>140.66080122097497</v>
      </c>
      <c r="G61" s="115">
        <f t="shared" si="16"/>
        <v>25.680678688546998</v>
      </c>
      <c r="H61" s="66">
        <f t="shared" si="17"/>
        <v>17.932154132847735</v>
      </c>
      <c r="I61" s="66">
        <f t="shared" si="38"/>
        <v>70.794888999089494</v>
      </c>
      <c r="J61" s="66">
        <f t="shared" si="18"/>
        <v>7.9144522473687999</v>
      </c>
      <c r="K61" s="66">
        <f t="shared" si="19"/>
        <v>0.72849376164693913</v>
      </c>
      <c r="L61" s="66">
        <f t="shared" si="20"/>
        <v>10.911999999999999</v>
      </c>
      <c r="M61" s="68">
        <f t="shared" si="27"/>
        <v>6.6981333914749985</v>
      </c>
      <c r="N61" s="273">
        <f>IF($I$2="RRO (Capped)",VLOOKUP(A61,'Misc. Data &amp; Mechanisms'!$A$1278:$E$1368,5,FALSE),IF($I$2="RRO (Uncapped)",VLOOKUP(A61,'Misc. Data &amp; Mechanisms'!$G$1278:$K$1368,5,FALSE),AZ61))</f>
        <v>5.0410000000000004</v>
      </c>
      <c r="O61" s="333">
        <f t="shared" si="22"/>
        <v>25.680678688546998</v>
      </c>
      <c r="P61" s="390">
        <v>3.52</v>
      </c>
      <c r="Q61" s="333">
        <f t="shared" si="28"/>
        <v>17.932154132847735</v>
      </c>
      <c r="R61" s="390">
        <v>6.6</v>
      </c>
      <c r="S61" s="390">
        <v>93.08</v>
      </c>
      <c r="T61" s="390">
        <v>26.83</v>
      </c>
      <c r="U61" s="338">
        <f t="shared" si="29"/>
        <v>33.622788999089501</v>
      </c>
      <c r="V61" s="338">
        <f t="shared" si="30"/>
        <v>28.854799999999997</v>
      </c>
      <c r="W61" s="333">
        <f t="shared" si="31"/>
        <v>8.3172999999999995</v>
      </c>
      <c r="X61" s="205">
        <f>VLOOKUP($A61,'Misc. Data &amp; Mechanisms'!$A$63:$DY$152,HLOOKUP('Service Zone Menu'!$K$6&amp;"_ATCO_Elec_Y_1",'Misc. Data &amp; Mechanisms'!$A$55:$DY$62,8,FALSE), FALSE)</f>
        <v>7.7499999999999999E-2</v>
      </c>
      <c r="Y61" s="205">
        <f>VLOOKUP($A61,'Misc. Data &amp; Mechanisms'!$A$63:$DY$152,HLOOKUP('Service Zone Menu'!$K$6&amp;"_ATCO_Elec_Y_2",'Misc. Data &amp; Mechanisms'!$A$55:$DY$62,8,FALSE), FALSE)</f>
        <v>1.17E-2</v>
      </c>
      <c r="Z61" s="338">
        <f t="shared" si="32"/>
        <v>6.8763458427251347</v>
      </c>
      <c r="AA61" s="333">
        <f t="shared" si="33"/>
        <v>1.0381064046436654</v>
      </c>
      <c r="AB61" s="291">
        <v>-0.34200000000000003</v>
      </c>
      <c r="AC61" s="291">
        <v>0.20899999999999999</v>
      </c>
      <c r="AD61" s="291">
        <v>0.27600000000000002</v>
      </c>
      <c r="AE61" s="392"/>
      <c r="AF61" s="291"/>
      <c r="AG61" s="290"/>
      <c r="AH61" s="290"/>
      <c r="AI61" s="338">
        <f t="shared" si="34"/>
        <v>-1.7422717935891832</v>
      </c>
      <c r="AJ61" s="338">
        <f t="shared" si="35"/>
        <v>1.0647216516378339</v>
      </c>
      <c r="AK61" s="338">
        <f t="shared" si="36"/>
        <v>1.4060439035982883</v>
      </c>
      <c r="AL61" s="338">
        <f t="shared" si="37"/>
        <v>0</v>
      </c>
      <c r="AM61" s="338">
        <f t="shared" si="23"/>
        <v>0</v>
      </c>
      <c r="AN61" s="338">
        <f t="shared" si="24"/>
        <v>0</v>
      </c>
      <c r="AO61" s="333">
        <f t="shared" si="25"/>
        <v>0</v>
      </c>
      <c r="AP61" s="200">
        <f>IF(OR($I$2="RRO (Capped)",$I$2="RRO (Uncapped)"),VLOOKUP(A61,'Misc. Data &amp; Mechanisms'!$A$1483:$H$1574,5,FALSE),BA61)</f>
        <v>0.35199999999999998</v>
      </c>
      <c r="AQ61" s="333">
        <f t="shared" si="26"/>
        <v>10.911999999999999</v>
      </c>
      <c r="AR61" s="388">
        <f>5%</f>
        <v>0.05</v>
      </c>
      <c r="AS61" s="341">
        <f>'Misc. Data &amp; Mechanisms'!AK334</f>
        <v>452.08935361216732</v>
      </c>
      <c r="AT61" s="196">
        <f>'Misc. Data &amp; Mechanisms'!AP334</f>
        <v>496.5462033098371</v>
      </c>
      <c r="AU61" s="1087">
        <f>'Misc. Data &amp; Mechanisms'!T334</f>
        <v>509.43619695590149</v>
      </c>
      <c r="AV61" s="1087">
        <f>'Misc. Data &amp; Mechanisms'!U334</f>
        <v>386.61503334007142</v>
      </c>
      <c r="AW61" s="1087">
        <f>'Misc. Data &amp; Mechanisms'!V334</f>
        <v>286.12085084900696</v>
      </c>
      <c r="AX61" s="1463">
        <f>'Misc. Data &amp; Mechanisms'!$B$259</f>
        <v>611.34673880086393</v>
      </c>
      <c r="AY61" s="197">
        <f>IFERROR(IF('Personalized Bill Menu'!$B$30="Yes", IF('Personalized Bill Menu'!$B$34="Natural Gas",0,VLOOKUP($A61, 'Personalized Bill Menu'!$H$4:$L$93, 2, FALSE)), 0), 0)</f>
        <v>0</v>
      </c>
      <c r="AZ61" s="1343">
        <f>IFERROR(IF('Personalized Bill Menu'!$C$36="Custom", IF('Personalized Bill Menu'!$B$34="Natural Gas",0,VLOOKUP($A61, 'Personalized Bill Menu'!$H$4:$L$93, 3, FALSE)), 0), 0)</f>
        <v>0</v>
      </c>
      <c r="BA61" s="1344">
        <f>IFERROR(IF('Personalized Bill Menu'!$C$36="Custom", IF('Personalized Bill Menu'!$B$34="Natural Gas",0,VLOOKUP($A61, 'Personalized Bill Menu'!$H$4:$L$93, 4, FALSE)), 0), 0)</f>
        <v>0</v>
      </c>
      <c r="BB61" s="335"/>
      <c r="BC61" s="335"/>
      <c r="BD61" s="335"/>
    </row>
    <row r="62" spans="1:56" x14ac:dyDescent="0.35">
      <c r="A62" s="206">
        <v>42583</v>
      </c>
      <c r="B62" s="226">
        <f t="shared" si="0"/>
        <v>31</v>
      </c>
      <c r="C62" s="1581">
        <f t="shared" si="12"/>
        <v>528.2673302771417</v>
      </c>
      <c r="D62" s="181">
        <f t="shared" si="13"/>
        <v>27.180927909422198</v>
      </c>
      <c r="E62" s="178">
        <f t="shared" si="14"/>
        <v>16.964539199999997</v>
      </c>
      <c r="F62" s="86">
        <f t="shared" si="15"/>
        <v>143.58796221165915</v>
      </c>
      <c r="G62" s="115">
        <f t="shared" si="16"/>
        <v>26.36582245413214</v>
      </c>
      <c r="H62" s="66">
        <f t="shared" si="17"/>
        <v>18.595010025755389</v>
      </c>
      <c r="I62" s="66">
        <f t="shared" si="38"/>
        <v>72.037743798291345</v>
      </c>
      <c r="J62" s="66">
        <f t="shared" si="18"/>
        <v>8.0844416411049682</v>
      </c>
      <c r="K62" s="66">
        <f t="shared" si="19"/>
        <v>0.75542228229631259</v>
      </c>
      <c r="L62" s="66">
        <f t="shared" si="20"/>
        <v>10.911999999999999</v>
      </c>
      <c r="M62" s="68">
        <f t="shared" si="27"/>
        <v>6.8375220100790077</v>
      </c>
      <c r="N62" s="273">
        <f>IF($I$2="RRO (Capped)",VLOOKUP(A62,'Misc. Data &amp; Mechanisms'!$A$1278:$E$1368,5,FALSE),IF($I$2="RRO (Uncapped)",VLOOKUP(A62,'Misc. Data &amp; Mechanisms'!$G$1278:$K$1368,5,FALSE),AZ62))</f>
        <v>4.9909999999999997</v>
      </c>
      <c r="O62" s="333">
        <f t="shared" si="22"/>
        <v>26.36582245413214</v>
      </c>
      <c r="P62" s="390">
        <v>3.52</v>
      </c>
      <c r="Q62" s="333">
        <f t="shared" si="28"/>
        <v>18.595010025755389</v>
      </c>
      <c r="R62" s="390">
        <v>6.6</v>
      </c>
      <c r="S62" s="390">
        <v>93.08</v>
      </c>
      <c r="T62" s="390">
        <v>26.83</v>
      </c>
      <c r="U62" s="338">
        <f t="shared" si="29"/>
        <v>34.865643798291352</v>
      </c>
      <c r="V62" s="338">
        <f t="shared" si="30"/>
        <v>28.854799999999997</v>
      </c>
      <c r="W62" s="333">
        <f t="shared" si="31"/>
        <v>8.3172999999999995</v>
      </c>
      <c r="X62" s="205">
        <f>VLOOKUP($A62,'Misc. Data &amp; Mechanisms'!$A$63:$DY$152,HLOOKUP('Service Zone Menu'!$K$6&amp;"_ATCO_Elec_Y_1",'Misc. Data &amp; Mechanisms'!$A$55:$DY$62,8,FALSE), FALSE)</f>
        <v>7.7499999999999999E-2</v>
      </c>
      <c r="Y62" s="205">
        <f>VLOOKUP($A62,'Misc. Data &amp; Mechanisms'!$A$63:$DY$152,HLOOKUP('Service Zone Menu'!$K$6&amp;"_ATCO_Elec_Y_2",'Misc. Data &amp; Mechanisms'!$A$55:$DY$62,8,FALSE), FALSE)</f>
        <v>1.17E-2</v>
      </c>
      <c r="Z62" s="338">
        <f t="shared" si="32"/>
        <v>7.0240384213636213</v>
      </c>
      <c r="AA62" s="333">
        <f t="shared" si="33"/>
        <v>1.0604032197413469</v>
      </c>
      <c r="AB62" s="291">
        <v>-0.34200000000000003</v>
      </c>
      <c r="AC62" s="291">
        <v>0.20899999999999999</v>
      </c>
      <c r="AD62" s="291">
        <v>0.27600000000000002</v>
      </c>
      <c r="AE62" s="392"/>
      <c r="AF62" s="291"/>
      <c r="AG62" s="290"/>
      <c r="AH62" s="290"/>
      <c r="AI62" s="338">
        <f t="shared" si="34"/>
        <v>-1.8066742695478248</v>
      </c>
      <c r="AJ62" s="338">
        <f t="shared" si="35"/>
        <v>1.1040787202792262</v>
      </c>
      <c r="AK62" s="338">
        <f t="shared" si="36"/>
        <v>1.4580178315649113</v>
      </c>
      <c r="AL62" s="338">
        <f t="shared" si="37"/>
        <v>0</v>
      </c>
      <c r="AM62" s="338">
        <f t="shared" si="23"/>
        <v>0</v>
      </c>
      <c r="AN62" s="338">
        <f t="shared" si="24"/>
        <v>0</v>
      </c>
      <c r="AO62" s="333">
        <f t="shared" si="25"/>
        <v>0</v>
      </c>
      <c r="AP62" s="200">
        <f>IF(OR($I$2="RRO (Capped)",$I$2="RRO (Uncapped)"),VLOOKUP(A62,'Misc. Data &amp; Mechanisms'!$A$1483:$H$1574,5,FALSE),BA62)</f>
        <v>0.35199999999999998</v>
      </c>
      <c r="AQ62" s="333">
        <f t="shared" si="26"/>
        <v>10.911999999999999</v>
      </c>
      <c r="AR62" s="388">
        <f>5%</f>
        <v>0.05</v>
      </c>
      <c r="AS62" s="341">
        <f>'Misc. Data &amp; Mechanisms'!AK335</f>
        <v>468.80068064753493</v>
      </c>
      <c r="AT62" s="196">
        <f>'Misc. Data &amp; Mechanisms'!AP335</f>
        <v>493.10472071796244</v>
      </c>
      <c r="AU62" s="1087">
        <f>'Misc. Data &amp; Mechanisms'!T335</f>
        <v>528.2673302771417</v>
      </c>
      <c r="AV62" s="1087">
        <f>'Misc. Data &amp; Mechanisms'!U335</f>
        <v>400.90612470799164</v>
      </c>
      <c r="AW62" s="1087">
        <f>'Misc. Data &amp; Mechanisms'!V335</f>
        <v>296.69720942054113</v>
      </c>
      <c r="AX62" s="1463">
        <f>'Misc. Data &amp; Mechanisms'!$B$259</f>
        <v>611.34673880086393</v>
      </c>
      <c r="AY62" s="197">
        <f>IFERROR(IF('Personalized Bill Menu'!$B$30="Yes", IF('Personalized Bill Menu'!$B$34="Natural Gas",0,VLOOKUP($A62, 'Personalized Bill Menu'!$H$4:$L$93, 2, FALSE)), 0), 0)</f>
        <v>0</v>
      </c>
      <c r="AZ62" s="1343">
        <f>IFERROR(IF('Personalized Bill Menu'!$C$36="Custom", IF('Personalized Bill Menu'!$B$34="Natural Gas",0,VLOOKUP($A62, 'Personalized Bill Menu'!$H$4:$L$93, 3, FALSE)), 0), 0)</f>
        <v>0</v>
      </c>
      <c r="BA62" s="1344">
        <f>IFERROR(IF('Personalized Bill Menu'!$C$36="Custom", IF('Personalized Bill Menu'!$B$34="Natural Gas",0,VLOOKUP($A62, 'Personalized Bill Menu'!$H$4:$L$93, 4, FALSE)), 0), 0)</f>
        <v>0</v>
      </c>
      <c r="BB62" s="335"/>
      <c r="BC62" s="335"/>
      <c r="BD62" s="335"/>
    </row>
    <row r="63" spans="1:56" x14ac:dyDescent="0.35">
      <c r="A63" s="206">
        <v>42614</v>
      </c>
      <c r="B63" s="226">
        <f t="shared" si="0"/>
        <v>30</v>
      </c>
      <c r="C63" s="1581">
        <f t="shared" si="12"/>
        <v>525.12140798768962</v>
      </c>
      <c r="D63" s="181">
        <f t="shared" si="13"/>
        <v>25.581297461106811</v>
      </c>
      <c r="E63" s="178">
        <f t="shared" si="14"/>
        <v>15.635239199999999</v>
      </c>
      <c r="F63" s="86">
        <f t="shared" si="15"/>
        <v>134.33286940928318</v>
      </c>
      <c r="G63" s="115">
        <f t="shared" si="16"/>
        <v>19.560772447541439</v>
      </c>
      <c r="H63" s="66">
        <f t="shared" si="17"/>
        <v>18.484273561166678</v>
      </c>
      <c r="I63" s="66">
        <f t="shared" si="38"/>
        <v>70.631012927187513</v>
      </c>
      <c r="J63" s="66">
        <f t="shared" si="18"/>
        <v>7.9490835547611933</v>
      </c>
      <c r="K63" s="66">
        <f t="shared" si="19"/>
        <v>0.750923613422396</v>
      </c>
      <c r="L63" s="66">
        <f t="shared" si="20"/>
        <v>10.559999999999999</v>
      </c>
      <c r="M63" s="68">
        <f t="shared" si="27"/>
        <v>6.396803305203961</v>
      </c>
      <c r="N63" s="273">
        <f>IF($I$2="RRO (Capped)",VLOOKUP(A63,'Misc. Data &amp; Mechanisms'!$A$1278:$E$1368,5,FALSE),IF($I$2="RRO (Uncapped)",VLOOKUP(A63,'Misc. Data &amp; Mechanisms'!$G$1278:$K$1368,5,FALSE),AZ63))</f>
        <v>3.7250000000000001</v>
      </c>
      <c r="O63" s="333">
        <f t="shared" si="22"/>
        <v>19.560772447541439</v>
      </c>
      <c r="P63" s="390">
        <v>3.52</v>
      </c>
      <c r="Q63" s="333">
        <f t="shared" si="28"/>
        <v>18.484273561166678</v>
      </c>
      <c r="R63" s="390">
        <v>6.6</v>
      </c>
      <c r="S63" s="390">
        <v>93.08</v>
      </c>
      <c r="T63" s="390">
        <v>26.83</v>
      </c>
      <c r="U63" s="338">
        <f t="shared" si="29"/>
        <v>34.658012927187514</v>
      </c>
      <c r="V63" s="338">
        <f t="shared" si="30"/>
        <v>27.923999999999999</v>
      </c>
      <c r="W63" s="333">
        <f t="shared" si="31"/>
        <v>8.0489999999999995</v>
      </c>
      <c r="X63" s="205">
        <f>VLOOKUP($A63,'Misc. Data &amp; Mechanisms'!$A$63:$DY$152,HLOOKUP('Service Zone Menu'!$K$6&amp;"_ATCO_Elec_Y_1",'Misc. Data &amp; Mechanisms'!$A$55:$DY$62,8,FALSE), FALSE)</f>
        <v>7.7499999999999999E-2</v>
      </c>
      <c r="Y63" s="205">
        <f>VLOOKUP($A63,'Misc. Data &amp; Mechanisms'!$A$63:$DY$152,HLOOKUP('Service Zone Menu'!$K$6&amp;"_ATCO_Elec_Y_2",'Misc. Data &amp; Mechanisms'!$A$55:$DY$62,8,FALSE), FALSE)</f>
        <v>1.17E-2</v>
      </c>
      <c r="Z63" s="338">
        <f t="shared" si="32"/>
        <v>6.9064347028474495</v>
      </c>
      <c r="AA63" s="333">
        <f t="shared" si="33"/>
        <v>1.042648851913744</v>
      </c>
      <c r="AB63" s="291">
        <v>-0.34200000000000003</v>
      </c>
      <c r="AC63" s="291">
        <v>0.20899999999999999</v>
      </c>
      <c r="AD63" s="291">
        <v>0.27600000000000002</v>
      </c>
      <c r="AE63" s="392"/>
      <c r="AF63" s="291"/>
      <c r="AG63" s="290"/>
      <c r="AH63" s="290"/>
      <c r="AI63" s="338">
        <f t="shared" si="34"/>
        <v>-1.7959152153178988</v>
      </c>
      <c r="AJ63" s="338">
        <f t="shared" si="35"/>
        <v>1.0975037426942713</v>
      </c>
      <c r="AK63" s="338">
        <f t="shared" si="36"/>
        <v>1.4493350860460235</v>
      </c>
      <c r="AL63" s="338">
        <f t="shared" si="37"/>
        <v>0</v>
      </c>
      <c r="AM63" s="338">
        <f t="shared" si="23"/>
        <v>0</v>
      </c>
      <c r="AN63" s="338">
        <f t="shared" si="24"/>
        <v>0</v>
      </c>
      <c r="AO63" s="333">
        <f t="shared" si="25"/>
        <v>0</v>
      </c>
      <c r="AP63" s="200">
        <f>IF(OR($I$2="RRO (Capped)",$I$2="RRO (Uncapped)"),VLOOKUP(A63,'Misc. Data &amp; Mechanisms'!$A$1483:$H$1574,5,FALSE),BA63)</f>
        <v>0.35199999999999998</v>
      </c>
      <c r="AQ63" s="333">
        <f t="shared" si="26"/>
        <v>10.559999999999999</v>
      </c>
      <c r="AR63" s="388">
        <f>5%</f>
        <v>0.05</v>
      </c>
      <c r="AS63" s="341">
        <f>'Misc. Data &amp; Mechanisms'!AK336</f>
        <v>466.0088924258676</v>
      </c>
      <c r="AT63" s="196">
        <f>'Misc. Data &amp; Mechanisms'!AP336</f>
        <v>464.23220536010018</v>
      </c>
      <c r="AU63" s="1087">
        <f>'Misc. Data &amp; Mechanisms'!T336</f>
        <v>525.12140798768962</v>
      </c>
      <c r="AV63" s="1087">
        <f>'Misc. Data &amp; Mechanisms'!U336</f>
        <v>398.51866017741952</v>
      </c>
      <c r="AW63" s="1087">
        <f>'Misc. Data &amp; Mechanisms'!V336</f>
        <v>294.93032680100714</v>
      </c>
      <c r="AX63" s="1463">
        <f>'Misc. Data &amp; Mechanisms'!$B$259</f>
        <v>611.34673880086393</v>
      </c>
      <c r="AY63" s="197">
        <f>IFERROR(IF('Personalized Bill Menu'!$B$30="Yes", IF('Personalized Bill Menu'!$B$34="Natural Gas",0,VLOOKUP($A63, 'Personalized Bill Menu'!$H$4:$L$93, 2, FALSE)), 0), 0)</f>
        <v>0</v>
      </c>
      <c r="AZ63" s="1343">
        <f>IFERROR(IF('Personalized Bill Menu'!$C$36="Custom", IF('Personalized Bill Menu'!$B$34="Natural Gas",0,VLOOKUP($A63, 'Personalized Bill Menu'!$H$4:$L$93, 3, FALSE)), 0), 0)</f>
        <v>0</v>
      </c>
      <c r="BA63" s="1344">
        <f>IFERROR(IF('Personalized Bill Menu'!$C$36="Custom", IF('Personalized Bill Menu'!$B$34="Natural Gas",0,VLOOKUP($A63, 'Personalized Bill Menu'!$H$4:$L$93, 4, FALSE)), 0), 0)</f>
        <v>0</v>
      </c>
      <c r="BB63" s="335"/>
      <c r="BC63" s="335"/>
      <c r="BD63" s="335"/>
    </row>
    <row r="64" spans="1:56" x14ac:dyDescent="0.35">
      <c r="A64" s="206">
        <v>42644</v>
      </c>
      <c r="B64" s="226">
        <f t="shared" si="0"/>
        <v>31</v>
      </c>
      <c r="C64" s="1581">
        <f t="shared" si="12"/>
        <v>605.933986342092</v>
      </c>
      <c r="D64" s="181">
        <f t="shared" si="13"/>
        <v>23.944674290206887</v>
      </c>
      <c r="E64" s="178">
        <f t="shared" si="14"/>
        <v>15.037789199999999</v>
      </c>
      <c r="F64" s="86">
        <f t="shared" si="15"/>
        <v>145.08891944328062</v>
      </c>
      <c r="G64" s="115">
        <f t="shared" si="16"/>
        <v>25.364396668279973</v>
      </c>
      <c r="H64" s="66">
        <f t="shared" si="17"/>
        <v>21.32887631924164</v>
      </c>
      <c r="I64" s="66">
        <f t="shared" si="38"/>
        <v>77.163743098578081</v>
      </c>
      <c r="J64" s="66">
        <f t="shared" si="18"/>
        <v>8.7855416520695204</v>
      </c>
      <c r="K64" s="66">
        <f t="shared" si="19"/>
        <v>-5.3746344588543558</v>
      </c>
      <c r="L64" s="66">
        <f t="shared" si="20"/>
        <v>10.911999999999999</v>
      </c>
      <c r="M64" s="68">
        <f t="shared" si="27"/>
        <v>6.9089961639657433</v>
      </c>
      <c r="N64" s="273">
        <f>IF($I$2="RRO (Capped)",VLOOKUP(A64,'Misc. Data &amp; Mechanisms'!$A$1278:$E$1368,5,FALSE),IF($I$2="RRO (Uncapped)",VLOOKUP(A64,'Misc. Data &amp; Mechanisms'!$G$1278:$K$1368,5,FALSE),AZ64))</f>
        <v>4.1859999999999999</v>
      </c>
      <c r="O64" s="333">
        <f t="shared" si="22"/>
        <v>25.364396668279973</v>
      </c>
      <c r="P64" s="390">
        <v>3.52</v>
      </c>
      <c r="Q64" s="333">
        <f t="shared" si="28"/>
        <v>21.32887631924164</v>
      </c>
      <c r="R64" s="390">
        <v>6.6</v>
      </c>
      <c r="S64" s="390">
        <v>93.08</v>
      </c>
      <c r="T64" s="390">
        <v>26.83</v>
      </c>
      <c r="U64" s="338">
        <f t="shared" si="29"/>
        <v>39.991643098578074</v>
      </c>
      <c r="V64" s="338">
        <f t="shared" si="30"/>
        <v>28.854799999999997</v>
      </c>
      <c r="W64" s="333">
        <f t="shared" si="31"/>
        <v>8.3172999999999995</v>
      </c>
      <c r="X64" s="205">
        <f>VLOOKUP($A64,'Misc. Data &amp; Mechanisms'!$A$63:$DY$152,HLOOKUP('Service Zone Menu'!$K$6&amp;"_ATCO_Elec_Y_1",'Misc. Data &amp; Mechanisms'!$A$55:$DY$62,8,FALSE), FALSE)</f>
        <v>7.7499999999999999E-2</v>
      </c>
      <c r="Y64" s="205">
        <f>VLOOKUP($A64,'Misc. Data &amp; Mechanisms'!$A$63:$DY$152,HLOOKUP('Service Zone Menu'!$K$6&amp;"_ATCO_Elec_Y_2",'Misc. Data &amp; Mechanisms'!$A$55:$DY$62,8,FALSE), FALSE)</f>
        <v>1.17E-2</v>
      </c>
      <c r="Z64" s="338">
        <f t="shared" si="32"/>
        <v>7.6331780048810289</v>
      </c>
      <c r="AA64" s="333">
        <f t="shared" si="33"/>
        <v>1.1523636471884908</v>
      </c>
      <c r="AB64" s="291">
        <v>-0.34200000000000003</v>
      </c>
      <c r="AC64" s="291">
        <v>0.20899999999999999</v>
      </c>
      <c r="AD64" s="291">
        <v>-0.754</v>
      </c>
      <c r="AE64" s="392"/>
      <c r="AF64" s="291"/>
      <c r="AG64" s="290"/>
      <c r="AH64" s="290"/>
      <c r="AI64" s="338">
        <f t="shared" si="34"/>
        <v>-2.0722942332899548</v>
      </c>
      <c r="AJ64" s="338">
        <f t="shared" si="35"/>
        <v>1.2664020314549722</v>
      </c>
      <c r="AK64" s="338">
        <f t="shared" si="36"/>
        <v>-4.5687422570193732</v>
      </c>
      <c r="AL64" s="338">
        <f t="shared" si="37"/>
        <v>0</v>
      </c>
      <c r="AM64" s="338">
        <f t="shared" si="23"/>
        <v>0</v>
      </c>
      <c r="AN64" s="338">
        <f t="shared" si="24"/>
        <v>0</v>
      </c>
      <c r="AO64" s="333">
        <f t="shared" si="25"/>
        <v>0</v>
      </c>
      <c r="AP64" s="200">
        <f>IF(OR($I$2="RRO (Capped)",$I$2="RRO (Uncapped)"),VLOOKUP(A64,'Misc. Data &amp; Mechanisms'!$A$1483:$H$1574,5,FALSE),BA64)</f>
        <v>0.35199999999999998</v>
      </c>
      <c r="AQ64" s="333">
        <f t="shared" si="26"/>
        <v>10.911999999999999</v>
      </c>
      <c r="AR64" s="388">
        <f>5%</f>
        <v>0.05</v>
      </c>
      <c r="AS64" s="341">
        <f>'Misc. Data &amp; Mechanisms'!AK337</f>
        <v>537.72446059766935</v>
      </c>
      <c r="AT64" s="196">
        <f>'Misc. Data &amp; Mechanisms'!AP337</f>
        <v>535.8640004402896</v>
      </c>
      <c r="AU64" s="1087">
        <f>'Misc. Data &amp; Mechanisms'!T337</f>
        <v>605.933986342092</v>
      </c>
      <c r="AV64" s="1087">
        <f>'Misc. Data &amp; Mechanisms'!U337</f>
        <v>459.8479451035335</v>
      </c>
      <c r="AW64" s="1087">
        <f>'Misc. Data &amp; Mechanisms'!V337</f>
        <v>340.31807862592348</v>
      </c>
      <c r="AX64" s="1463">
        <f>'Misc. Data &amp; Mechanisms'!$B$259</f>
        <v>611.34673880086393</v>
      </c>
      <c r="AY64" s="197">
        <f>IFERROR(IF('Personalized Bill Menu'!$B$30="Yes", IF('Personalized Bill Menu'!$B$34="Natural Gas",0,VLOOKUP($A64, 'Personalized Bill Menu'!$H$4:$L$93, 2, FALSE)), 0), 0)</f>
        <v>0</v>
      </c>
      <c r="AZ64" s="1343">
        <f>IFERROR(IF('Personalized Bill Menu'!$C$36="Custom", IF('Personalized Bill Menu'!$B$34="Natural Gas",0,VLOOKUP($A64, 'Personalized Bill Menu'!$H$4:$L$93, 3, FALSE)), 0), 0)</f>
        <v>0</v>
      </c>
      <c r="BA64" s="1344">
        <f>IFERROR(IF('Personalized Bill Menu'!$C$36="Custom", IF('Personalized Bill Menu'!$B$34="Natural Gas",0,VLOOKUP($A64, 'Personalized Bill Menu'!$H$4:$L$93, 4, FALSE)), 0), 0)</f>
        <v>0</v>
      </c>
      <c r="BB64" s="335"/>
      <c r="BC64" s="335"/>
      <c r="BD64" s="335"/>
    </row>
    <row r="65" spans="1:53" x14ac:dyDescent="0.35">
      <c r="A65" s="206">
        <v>42675</v>
      </c>
      <c r="B65" s="226">
        <f t="shared" si="0"/>
        <v>30</v>
      </c>
      <c r="C65" s="1581">
        <f t="shared" si="12"/>
        <v>697.92892037854949</v>
      </c>
      <c r="D65" s="181">
        <f t="shared" si="13"/>
        <v>22.208298993603563</v>
      </c>
      <c r="E65" s="178">
        <f t="shared" si="14"/>
        <v>14.7248892</v>
      </c>
      <c r="F65" s="86">
        <f t="shared" si="15"/>
        <v>154.99814140049762</v>
      </c>
      <c r="G65" s="115">
        <f t="shared" si="16"/>
        <v>27.135476424318004</v>
      </c>
      <c r="H65" s="66">
        <f t="shared" si="17"/>
        <v>24.567097997324943</v>
      </c>
      <c r="I65" s="66">
        <f t="shared" si="38"/>
        <v>82.036308744984268</v>
      </c>
      <c r="J65" s="66">
        <f t="shared" si="18"/>
        <v>9.5090238814139809</v>
      </c>
      <c r="K65" s="66">
        <f t="shared" si="19"/>
        <v>-6.1906295237577336</v>
      </c>
      <c r="L65" s="66">
        <f t="shared" si="20"/>
        <v>10.559999999999999</v>
      </c>
      <c r="M65" s="68">
        <f t="shared" si="27"/>
        <v>7.3808638762141729</v>
      </c>
      <c r="N65" s="273">
        <f>IF($I$2="RRO (Capped)",VLOOKUP(A65,'Misc. Data &amp; Mechanisms'!$A$1278:$E$1368,5,FALSE),IF($I$2="RRO (Uncapped)",VLOOKUP(A65,'Misc. Data &amp; Mechanisms'!$G$1278:$K$1368,5,FALSE),AZ65))</f>
        <v>3.8879999999999999</v>
      </c>
      <c r="O65" s="333">
        <f t="shared" si="22"/>
        <v>27.135476424318004</v>
      </c>
      <c r="P65" s="390">
        <v>3.52</v>
      </c>
      <c r="Q65" s="333">
        <f t="shared" si="28"/>
        <v>24.567097997324943</v>
      </c>
      <c r="R65" s="390">
        <v>6.6</v>
      </c>
      <c r="S65" s="390">
        <v>93.08</v>
      </c>
      <c r="T65" s="390">
        <v>26.83</v>
      </c>
      <c r="U65" s="338">
        <f t="shared" si="29"/>
        <v>46.063308744984269</v>
      </c>
      <c r="V65" s="338">
        <f t="shared" si="30"/>
        <v>27.923999999999999</v>
      </c>
      <c r="W65" s="333">
        <f t="shared" si="31"/>
        <v>8.0489999999999995</v>
      </c>
      <c r="X65" s="205">
        <f>VLOOKUP($A65,'Misc. Data &amp; Mechanisms'!$A$63:$DY$152,HLOOKUP('Service Zone Menu'!$K$6&amp;"_ATCO_Elec_Y_1",'Misc. Data &amp; Mechanisms'!$A$55:$DY$62,8,FALSE), FALSE)</f>
        <v>7.7499999999999999E-2</v>
      </c>
      <c r="Y65" s="205">
        <f>VLOOKUP($A65,'Misc. Data &amp; Mechanisms'!$A$63:$DY$152,HLOOKUP('Service Zone Menu'!$K$6&amp;"_ATCO_Elec_Y_2",'Misc. Data &amp; Mechanisms'!$A$55:$DY$62,8,FALSE), FALSE)</f>
        <v>1.17E-2</v>
      </c>
      <c r="Z65" s="338">
        <f t="shared" si="32"/>
        <v>8.261764022528963</v>
      </c>
      <c r="AA65" s="333">
        <f t="shared" si="33"/>
        <v>1.2472598588850177</v>
      </c>
      <c r="AB65" s="291">
        <v>-0.34200000000000003</v>
      </c>
      <c r="AC65" s="291">
        <v>0.20899999999999999</v>
      </c>
      <c r="AD65" s="291">
        <v>-0.754</v>
      </c>
      <c r="AE65" s="392"/>
      <c r="AF65" s="291"/>
      <c r="AG65" s="290"/>
      <c r="AH65" s="290"/>
      <c r="AI65" s="338">
        <f t="shared" si="34"/>
        <v>-2.3869169076946393</v>
      </c>
      <c r="AJ65" s="338">
        <f>($AC65/100)*$C65</f>
        <v>1.4586714435911683</v>
      </c>
      <c r="AK65" s="338">
        <f t="shared" si="36"/>
        <v>-5.2623840596542628</v>
      </c>
      <c r="AL65" s="338">
        <f t="shared" si="37"/>
        <v>0</v>
      </c>
      <c r="AM65" s="338">
        <f t="shared" si="23"/>
        <v>0</v>
      </c>
      <c r="AN65" s="338">
        <f t="shared" si="24"/>
        <v>0</v>
      </c>
      <c r="AO65" s="333">
        <f t="shared" si="25"/>
        <v>0</v>
      </c>
      <c r="AP65" s="200">
        <f>IF(OR($I$2="RRO (Capped)",$I$2="RRO (Uncapped)"),VLOOKUP(A65,'Misc. Data &amp; Mechanisms'!$A$1483:$H$1574,5,FALSE),BA65)</f>
        <v>0.35199999999999998</v>
      </c>
      <c r="AQ65" s="333">
        <f t="shared" si="26"/>
        <v>10.559999999999999</v>
      </c>
      <c r="AR65" s="388">
        <f>5%</f>
        <v>0.05</v>
      </c>
      <c r="AS65" s="341">
        <f>'Misc. Data &amp; Mechanisms'!AK338</f>
        <v>619.36359521875363</v>
      </c>
      <c r="AT65" s="196">
        <f>'Misc. Data &amp; Mechanisms'!AP338</f>
        <v>545.76078106645616</v>
      </c>
      <c r="AU65" s="1087">
        <f>'Misc. Data &amp; Mechanisms'!T338</f>
        <v>697.92892037854949</v>
      </c>
      <c r="AV65" s="1087">
        <f>'Misc. Data &amp; Mechanisms'!U338</f>
        <v>529.66360543970211</v>
      </c>
      <c r="AW65" s="1087">
        <f>'Misc. Data &amp; Mechanisms'!V338</f>
        <v>391.98631295554645</v>
      </c>
      <c r="AX65" s="1463">
        <f>'Misc. Data &amp; Mechanisms'!$B$259</f>
        <v>611.34673880086393</v>
      </c>
      <c r="AY65" s="197">
        <f>IFERROR(IF('Personalized Bill Menu'!$B$30="Yes", IF('Personalized Bill Menu'!$B$34="Natural Gas",0,VLOOKUP($A65, 'Personalized Bill Menu'!$H$4:$L$93, 2, FALSE)), 0), 0)</f>
        <v>0</v>
      </c>
      <c r="AZ65" s="1343">
        <f>IFERROR(IF('Personalized Bill Menu'!$C$36="Custom", IF('Personalized Bill Menu'!$B$34="Natural Gas",0,VLOOKUP($A65, 'Personalized Bill Menu'!$H$4:$L$93, 3, FALSE)), 0), 0)</f>
        <v>0</v>
      </c>
      <c r="BA65" s="1344">
        <f>IFERROR(IF('Personalized Bill Menu'!$C$36="Custom", IF('Personalized Bill Menu'!$B$34="Natural Gas",0,VLOOKUP($A65, 'Personalized Bill Menu'!$H$4:$L$93, 4, FALSE)), 0), 0)</f>
        <v>0</v>
      </c>
    </row>
    <row r="66" spans="1:53" x14ac:dyDescent="0.35">
      <c r="A66" s="229">
        <v>42705</v>
      </c>
      <c r="B66" s="231">
        <f t="shared" si="0"/>
        <v>31</v>
      </c>
      <c r="C66" s="231">
        <f t="shared" si="12"/>
        <v>868.75914640099325</v>
      </c>
      <c r="D66" s="208">
        <f t="shared" si="13"/>
        <v>21.239579926328556</v>
      </c>
      <c r="E66" s="208">
        <f t="shared" si="14"/>
        <v>15.0272892</v>
      </c>
      <c r="F66" s="342">
        <f t="shared" si="15"/>
        <v>184.52079326712868</v>
      </c>
      <c r="G66" s="343">
        <f t="shared" si="16"/>
        <v>36.279381953705474</v>
      </c>
      <c r="H66" s="344">
        <f t="shared" si="17"/>
        <v>30.580321953314964</v>
      </c>
      <c r="I66" s="344">
        <f t="shared" si="38"/>
        <v>94.510203662465557</v>
      </c>
      <c r="J66" s="344">
        <f t="shared" si="18"/>
        <v>11.158074884927624</v>
      </c>
      <c r="K66" s="344">
        <f t="shared" si="19"/>
        <v>-7.7058936285768107</v>
      </c>
      <c r="L66" s="344">
        <f t="shared" si="20"/>
        <v>10.911999999999999</v>
      </c>
      <c r="M66" s="345">
        <f t="shared" si="27"/>
        <v>8.7867044412918425</v>
      </c>
      <c r="N66" s="1243">
        <f>IF($I$2="RRO (Capped)",VLOOKUP(A66,'Misc. Data &amp; Mechanisms'!$A$1278:$E$1368,5,FALSE),IF($I$2="RRO (Uncapped)",VLOOKUP(A66,'Misc. Data &amp; Mechanisms'!$G$1278:$K$1368,5,FALSE),AZ66))</f>
        <v>4.1760000000000002</v>
      </c>
      <c r="O66" s="346">
        <f t="shared" si="22"/>
        <v>36.279381953705474</v>
      </c>
      <c r="P66" s="393">
        <v>3.52</v>
      </c>
      <c r="Q66" s="346">
        <f t="shared" si="28"/>
        <v>30.580321953314964</v>
      </c>
      <c r="R66" s="393">
        <v>6.6</v>
      </c>
      <c r="S66" s="393">
        <v>93.08</v>
      </c>
      <c r="T66" s="393">
        <v>26.83</v>
      </c>
      <c r="U66" s="349">
        <f t="shared" si="29"/>
        <v>57.338103662465556</v>
      </c>
      <c r="V66" s="349">
        <f t="shared" si="30"/>
        <v>28.854799999999997</v>
      </c>
      <c r="W66" s="346">
        <f t="shared" si="31"/>
        <v>8.3172999999999995</v>
      </c>
      <c r="X66" s="246">
        <f>VLOOKUP($A66,'Misc. Data &amp; Mechanisms'!$A$63:$DY$152,HLOOKUP('Service Zone Menu'!$K$6&amp;"_ATCO_Elec_Y_1",'Misc. Data &amp; Mechanisms'!$A$55:$DY$62,8,FALSE), FALSE)</f>
        <v>7.7499999999999999E-2</v>
      </c>
      <c r="Y66" s="246">
        <f>VLOOKUP($A66,'Misc. Data &amp; Mechanisms'!$A$63:$DY$152,HLOOKUP('Service Zone Menu'!$K$6&amp;"_ATCO_Elec_Y_2",'Misc. Data &amp; Mechanisms'!$A$55:$DY$62,8,FALSE), FALSE)</f>
        <v>1.17E-2</v>
      </c>
      <c r="Z66" s="349">
        <f t="shared" si="32"/>
        <v>9.6945157352229909</v>
      </c>
      <c r="AA66" s="346">
        <f t="shared" si="33"/>
        <v>1.4635591497046321</v>
      </c>
      <c r="AB66" s="293">
        <v>-0.34200000000000003</v>
      </c>
      <c r="AC66" s="293">
        <v>0.20899999999999999</v>
      </c>
      <c r="AD66" s="293">
        <v>-0.754</v>
      </c>
      <c r="AE66" s="395"/>
      <c r="AF66" s="293"/>
      <c r="AG66" s="292"/>
      <c r="AH66" s="292"/>
      <c r="AI66" s="349">
        <f t="shared" si="34"/>
        <v>-2.9711562806913974</v>
      </c>
      <c r="AJ66" s="349">
        <f t="shared" si="35"/>
        <v>1.8157066159780757</v>
      </c>
      <c r="AK66" s="349">
        <f t="shared" si="36"/>
        <v>-6.550443963863489</v>
      </c>
      <c r="AL66" s="349">
        <f t="shared" si="37"/>
        <v>0</v>
      </c>
      <c r="AM66" s="349">
        <f t="shared" si="23"/>
        <v>0</v>
      </c>
      <c r="AN66" s="349">
        <f t="shared" si="24"/>
        <v>0</v>
      </c>
      <c r="AO66" s="346">
        <f t="shared" si="25"/>
        <v>0</v>
      </c>
      <c r="AP66" s="239">
        <f>IF(OR($I$2="RRO (Capped)",$I$2="RRO (Uncapped)"),VLOOKUP(A66,'Misc. Data &amp; Mechanisms'!$A$1483:$H$1574,5,FALSE),BA66)</f>
        <v>0.35199999999999998</v>
      </c>
      <c r="AQ66" s="346">
        <f t="shared" si="26"/>
        <v>10.911999999999999</v>
      </c>
      <c r="AR66" s="396">
        <f>5%</f>
        <v>0.05</v>
      </c>
      <c r="AS66" s="352">
        <f>'Misc. Data &amp; Mechanisms'!AK339</f>
        <v>770.96359325853246</v>
      </c>
      <c r="AT66" s="1089">
        <f>'Misc. Data &amp; Mechanisms'!AP339</f>
        <v>706.39002250825104</v>
      </c>
      <c r="AU66" s="1089">
        <f>'Misc. Data &amp; Mechanisms'!T339</f>
        <v>868.75914640099325</v>
      </c>
      <c r="AV66" s="1089">
        <f>'Misc. Data &amp; Mechanisms'!U339</f>
        <v>659.30797292636532</v>
      </c>
      <c r="AW66" s="1089">
        <f>'Misc. Data &amp; Mechanisms'!V339</f>
        <v>487.93177170452662</v>
      </c>
      <c r="AX66" s="1464">
        <f>'Misc. Data &amp; Mechanisms'!$B$259</f>
        <v>611.34673880086393</v>
      </c>
      <c r="AY66" s="243">
        <f>IFERROR(IF('Personalized Bill Menu'!$B$30="Yes", IF('Personalized Bill Menu'!$B$34="Natural Gas",0,VLOOKUP($A66, 'Personalized Bill Menu'!$H$4:$L$93, 2, FALSE)), 0), 0)</f>
        <v>0</v>
      </c>
      <c r="AZ66" s="1345">
        <f>IFERROR(IF('Personalized Bill Menu'!$C$36="Custom", IF('Personalized Bill Menu'!$B$34="Natural Gas",0,VLOOKUP($A66, 'Personalized Bill Menu'!$H$4:$L$93, 3, FALSE)), 0), 0)</f>
        <v>0</v>
      </c>
      <c r="BA66" s="1346">
        <f>IFERROR(IF('Personalized Bill Menu'!$C$36="Custom", IF('Personalized Bill Menu'!$B$34="Natural Gas",0,VLOOKUP($A66, 'Personalized Bill Menu'!$H$4:$L$93, 4, FALSE)), 0), 0)</f>
        <v>0</v>
      </c>
    </row>
    <row r="67" spans="1:53" x14ac:dyDescent="0.35">
      <c r="A67" s="206">
        <v>42736</v>
      </c>
      <c r="B67" s="226">
        <f t="shared" si="0"/>
        <v>31</v>
      </c>
      <c r="C67" s="212">
        <f t="shared" si="12"/>
        <v>831.73057689655207</v>
      </c>
      <c r="D67" s="181">
        <f t="shared" si="13"/>
        <v>22.980742931814515</v>
      </c>
      <c r="E67" s="178">
        <f t="shared" si="14"/>
        <v>16.478741999999997</v>
      </c>
      <c r="F67" s="86">
        <f t="shared" si="15"/>
        <v>191.13786576189446</v>
      </c>
      <c r="G67" s="115">
        <f t="shared" si="16"/>
        <v>36.579510771910357</v>
      </c>
      <c r="H67" s="66">
        <f t="shared" si="17"/>
        <v>29.276916306758636</v>
      </c>
      <c r="I67" s="66">
        <f t="shared" si="38"/>
        <v>92.066318075172447</v>
      </c>
      <c r="J67" s="66">
        <f t="shared" si="18"/>
        <v>11.163577563137659</v>
      </c>
      <c r="K67" s="66">
        <f t="shared" si="19"/>
        <v>2.0377399133965524</v>
      </c>
      <c r="L67" s="66">
        <f t="shared" si="20"/>
        <v>10.911999999999999</v>
      </c>
      <c r="M67" s="68">
        <f t="shared" si="27"/>
        <v>9.1018031315187837</v>
      </c>
      <c r="N67" s="273">
        <f>IF($I$2="RRO (Capped)",VLOOKUP(A67,'Misc. Data &amp; Mechanisms'!$A$1278:$E$1368,5,FALSE),IF($I$2="RRO (Uncapped)",VLOOKUP(A67,'Misc. Data &amp; Mechanisms'!$G$1278:$K$1368,5,FALSE),AZ67))</f>
        <v>4.3979999999999997</v>
      </c>
      <c r="O67" s="333">
        <f t="shared" si="22"/>
        <v>36.579510771910357</v>
      </c>
      <c r="P67" s="390">
        <v>3.52</v>
      </c>
      <c r="Q67" s="333">
        <f t="shared" si="28"/>
        <v>29.276916306758636</v>
      </c>
      <c r="R67" s="390">
        <v>6.6</v>
      </c>
      <c r="S67" s="390">
        <v>93.08</v>
      </c>
      <c r="T67" s="390">
        <v>26.83</v>
      </c>
      <c r="U67" s="338">
        <f t="shared" si="29"/>
        <v>54.894218075172439</v>
      </c>
      <c r="V67" s="338">
        <f t="shared" si="30"/>
        <v>28.854799999999997</v>
      </c>
      <c r="W67" s="333">
        <f t="shared" si="31"/>
        <v>8.3172999999999995</v>
      </c>
      <c r="X67" s="205">
        <f>VLOOKUP($A67,'Misc. Data &amp; Mechanisms'!$A$63:$DY$152,HLOOKUP('Service Zone Menu'!$K$6&amp;"_ATCO_Elec_Y_1",'Misc. Data &amp; Mechanisms'!$A$55:$DY$62,8,FALSE), FALSE)</f>
        <v>7.7499999999999999E-2</v>
      </c>
      <c r="Y67" s="205">
        <f>VLOOKUP($A67,'Misc. Data &amp; Mechanisms'!$A$63:$DY$152,HLOOKUP('Service Zone Menu'!$K$6&amp;"_ATCO_Elec_Y_2",'Misc. Data &amp; Mechanisms'!$A$55:$DY$62,8,FALSE), FALSE)</f>
        <v>1.4500000000000001E-2</v>
      </c>
      <c r="Z67" s="338">
        <f t="shared" si="32"/>
        <v>9.4041006645996585</v>
      </c>
      <c r="AA67" s="333">
        <f t="shared" si="33"/>
        <v>1.7594768985380007</v>
      </c>
      <c r="AB67" s="291">
        <v>0.11600000000000001</v>
      </c>
      <c r="AC67" s="291">
        <v>0.17</v>
      </c>
      <c r="AD67" s="291">
        <v>-4.1000000000000002E-2</v>
      </c>
      <c r="AE67" s="392"/>
      <c r="AF67" s="291"/>
      <c r="AG67" s="290"/>
      <c r="AH67" s="290"/>
      <c r="AI67" s="338">
        <f t="shared" si="34"/>
        <v>0.96480746920000038</v>
      </c>
      <c r="AJ67" s="338">
        <f t="shared" si="35"/>
        <v>1.4139419807241387</v>
      </c>
      <c r="AK67" s="338">
        <f t="shared" si="36"/>
        <v>-0.34100953652758637</v>
      </c>
      <c r="AL67" s="338">
        <f t="shared" si="37"/>
        <v>0</v>
      </c>
      <c r="AM67" s="338">
        <f t="shared" si="23"/>
        <v>0</v>
      </c>
      <c r="AN67" s="338">
        <f t="shared" si="24"/>
        <v>0</v>
      </c>
      <c r="AO67" s="333">
        <f t="shared" si="25"/>
        <v>0</v>
      </c>
      <c r="AP67" s="200">
        <f>IF(OR($I$2="RRO (Capped)",$I$2="RRO (Uncapped)"),VLOOKUP(A67,'Misc. Data &amp; Mechanisms'!$A$1483:$H$1574,5,FALSE),BA67)</f>
        <v>0.35199999999999998</v>
      </c>
      <c r="AQ67" s="333">
        <f t="shared" si="26"/>
        <v>10.911999999999999</v>
      </c>
      <c r="AR67" s="388">
        <f>5%</f>
        <v>0.05</v>
      </c>
      <c r="AS67" s="359">
        <f>'Misc. Data &amp; Mechanisms'!AK340</f>
        <v>738.10330152332403</v>
      </c>
      <c r="AT67" s="1239">
        <f>'Misc. Data &amp; Mechanisms'!AP340</f>
        <v>644.60325971019017</v>
      </c>
      <c r="AU67" s="1087">
        <f>'Misc. Data &amp; Mechanisms'!T340</f>
        <v>831.73057689655207</v>
      </c>
      <c r="AV67" s="1087">
        <f>'Misc. Data &amp; Mechanisms'!U340</f>
        <v>631.20670780418175</v>
      </c>
      <c r="AW67" s="1087">
        <f>'Misc. Data &amp; Mechanisms'!V340</f>
        <v>467.13496559683381</v>
      </c>
      <c r="AX67" s="1463">
        <f>'Misc. Data &amp; Mechanisms'!$B$259</f>
        <v>611.34673880086393</v>
      </c>
      <c r="AY67" s="197">
        <f>IFERROR(IF('Personalized Bill Menu'!$B$30="Yes", IF('Personalized Bill Menu'!$B$34="Natural Gas",0,VLOOKUP($A67, 'Personalized Bill Menu'!$H$4:$L$93, 2, FALSE)), 0), 0)</f>
        <v>0</v>
      </c>
      <c r="AZ67" s="1343">
        <f>IFERROR(IF('Personalized Bill Menu'!$C$36="Custom", IF('Personalized Bill Menu'!$B$34="Natural Gas",0,VLOOKUP($A67, 'Personalized Bill Menu'!$H$4:$L$93, 3, FALSE)), 0), 0)</f>
        <v>0</v>
      </c>
      <c r="BA67" s="1344">
        <f>IFERROR(IF('Personalized Bill Menu'!$C$36="Custom", IF('Personalized Bill Menu'!$B$34="Natural Gas",0,VLOOKUP($A67, 'Personalized Bill Menu'!$H$4:$L$93, 4, FALSE)), 0), 0)</f>
        <v>0</v>
      </c>
    </row>
    <row r="68" spans="1:53" x14ac:dyDescent="0.35">
      <c r="A68" s="206">
        <v>42767</v>
      </c>
      <c r="B68" s="226">
        <f t="shared" si="0"/>
        <v>28</v>
      </c>
      <c r="C68" s="1581">
        <f t="shared" si="12"/>
        <v>703.712687206807</v>
      </c>
      <c r="D68" s="181">
        <f t="shared" si="13"/>
        <v>23.160162500293559</v>
      </c>
      <c r="E68" s="178">
        <f t="shared" si="14"/>
        <v>16.036691999999999</v>
      </c>
      <c r="F68" s="86">
        <f t="shared" si="15"/>
        <v>162.98100189227904</v>
      </c>
      <c r="G68" s="115">
        <f t="shared" si="16"/>
        <v>27.986653570214713</v>
      </c>
      <c r="H68" s="66">
        <f t="shared" si="17"/>
        <v>24.77068658967961</v>
      </c>
      <c r="I68" s="66">
        <f t="shared" si="38"/>
        <v>80.019837355649258</v>
      </c>
      <c r="J68" s="66">
        <f t="shared" si="18"/>
        <v>9.6407282029702568</v>
      </c>
      <c r="K68" s="66">
        <f t="shared" si="19"/>
        <v>2.946096083656677</v>
      </c>
      <c r="L68" s="66">
        <f t="shared" si="20"/>
        <v>9.8559999999999999</v>
      </c>
      <c r="M68" s="68">
        <f t="shared" si="27"/>
        <v>7.7610000901085261</v>
      </c>
      <c r="N68" s="273">
        <f>IF($I$2="RRO (Capped)",VLOOKUP(A68,'Misc. Data &amp; Mechanisms'!$A$1278:$E$1368,5,FALSE),IF($I$2="RRO (Uncapped)",VLOOKUP(A68,'Misc. Data &amp; Mechanisms'!$G$1278:$K$1368,5,FALSE),AZ68))</f>
        <v>3.9769999999999999</v>
      </c>
      <c r="O68" s="333">
        <f t="shared" si="22"/>
        <v>27.986653570214713</v>
      </c>
      <c r="P68" s="390">
        <v>3.52</v>
      </c>
      <c r="Q68" s="333">
        <f t="shared" si="28"/>
        <v>24.77068658967961</v>
      </c>
      <c r="R68" s="390">
        <v>6.6</v>
      </c>
      <c r="S68" s="390">
        <v>93.08</v>
      </c>
      <c r="T68" s="390">
        <v>26.83</v>
      </c>
      <c r="U68" s="338">
        <f t="shared" si="29"/>
        <v>46.445037355649262</v>
      </c>
      <c r="V68" s="338">
        <f t="shared" si="30"/>
        <v>26.0624</v>
      </c>
      <c r="W68" s="333">
        <f t="shared" si="31"/>
        <v>7.5123999999999995</v>
      </c>
      <c r="X68" s="205">
        <f>VLOOKUP($A68,'Misc. Data &amp; Mechanisms'!$A$63:$DY$152,HLOOKUP('Service Zone Menu'!$K$6&amp;"_ATCO_Elec_Y_1",'Misc. Data &amp; Mechanisms'!$A$55:$DY$62,8,FALSE), FALSE)</f>
        <v>7.7499999999999999E-2</v>
      </c>
      <c r="Y68" s="205">
        <f>VLOOKUP($A68,'Misc. Data &amp; Mechanisms'!$A$63:$DY$152,HLOOKUP('Service Zone Menu'!$K$6&amp;"_ATCO_Elec_Y_2",'Misc. Data &amp; Mechanisms'!$A$55:$DY$62,8,FALSE), FALSE)</f>
        <v>1.4500000000000001E-2</v>
      </c>
      <c r="Z68" s="338">
        <f t="shared" si="32"/>
        <v>8.1212656057629875</v>
      </c>
      <c r="AA68" s="333">
        <f t="shared" si="33"/>
        <v>1.5194625972072686</v>
      </c>
      <c r="AB68" s="291">
        <v>0.11600000000000001</v>
      </c>
      <c r="AC68" s="291">
        <v>0.17</v>
      </c>
      <c r="AD68" s="291">
        <v>-4.1000000000000002E-2</v>
      </c>
      <c r="AE68" s="392"/>
      <c r="AF68" s="291">
        <v>1.222</v>
      </c>
      <c r="AG68" s="290"/>
      <c r="AH68" s="290"/>
      <c r="AI68" s="338">
        <f t="shared" si="34"/>
        <v>0.81630671715989611</v>
      </c>
      <c r="AJ68" s="338">
        <f t="shared" si="35"/>
        <v>1.1963115682515719</v>
      </c>
      <c r="AK68" s="338">
        <f t="shared" si="36"/>
        <v>-0.28852220175479087</v>
      </c>
      <c r="AL68" s="338">
        <f t="shared" si="37"/>
        <v>0</v>
      </c>
      <c r="AM68" s="338">
        <f t="shared" si="23"/>
        <v>1.222</v>
      </c>
      <c r="AN68" s="338">
        <f t="shared" si="24"/>
        <v>0</v>
      </c>
      <c r="AO68" s="333">
        <f t="shared" si="25"/>
        <v>0</v>
      </c>
      <c r="AP68" s="200">
        <f>IF(OR($I$2="RRO (Capped)",$I$2="RRO (Uncapped)"),VLOOKUP(A68,'Misc. Data &amp; Mechanisms'!$A$1483:$H$1574,5,FALSE),BA68)</f>
        <v>0.35199999999999998</v>
      </c>
      <c r="AQ68" s="333">
        <f t="shared" si="26"/>
        <v>9.8559999999999999</v>
      </c>
      <c r="AR68" s="388">
        <f>5%</f>
        <v>0.05</v>
      </c>
      <c r="AS68" s="341">
        <f>'Misc. Data &amp; Mechanisms'!AK341</f>
        <v>624.49628783552259</v>
      </c>
      <c r="AT68" s="196">
        <f>'Misc. Data &amp; Mechanisms'!AP341</f>
        <v>549.65855056156363</v>
      </c>
      <c r="AU68" s="1087">
        <f>'Misc. Data &amp; Mechanisms'!T341</f>
        <v>703.712687206807</v>
      </c>
      <c r="AV68" s="1087">
        <f>'Misc. Data &amp; Mechanisms'!U341</f>
        <v>534.05295040281919</v>
      </c>
      <c r="AW68" s="1087">
        <f>'Misc. Data &amp; Mechanisms'!V341</f>
        <v>395.23472030449767</v>
      </c>
      <c r="AX68" s="1463">
        <f>'Misc. Data &amp; Mechanisms'!$B$259</f>
        <v>611.34673880086393</v>
      </c>
      <c r="AY68" s="197">
        <f>IFERROR(IF('Personalized Bill Menu'!$B$30="Yes", IF('Personalized Bill Menu'!$B$34="Natural Gas",0,VLOOKUP($A68, 'Personalized Bill Menu'!$H$4:$L$93, 2, FALSE)), 0), 0)</f>
        <v>0</v>
      </c>
      <c r="AZ68" s="1343">
        <f>IFERROR(IF('Personalized Bill Menu'!$C$36="Custom", IF('Personalized Bill Menu'!$B$34="Natural Gas",0,VLOOKUP($A68, 'Personalized Bill Menu'!$H$4:$L$93, 3, FALSE)), 0), 0)</f>
        <v>0</v>
      </c>
      <c r="BA68" s="1344">
        <f>IFERROR(IF('Personalized Bill Menu'!$C$36="Custom", IF('Personalized Bill Menu'!$B$34="Natural Gas",0,VLOOKUP($A68, 'Personalized Bill Menu'!$H$4:$L$93, 4, FALSE)), 0), 0)</f>
        <v>0</v>
      </c>
    </row>
    <row r="69" spans="1:53" x14ac:dyDescent="0.35">
      <c r="A69" s="206">
        <v>42795</v>
      </c>
      <c r="B69" s="226">
        <f t="shared" si="0"/>
        <v>31</v>
      </c>
      <c r="C69" s="1581">
        <f t="shared" si="12"/>
        <v>719.45287566822583</v>
      </c>
      <c r="D69" s="181">
        <f t="shared" si="13"/>
        <v>24.493978153496894</v>
      </c>
      <c r="E69" s="178">
        <f t="shared" si="14"/>
        <v>15.495941999999996</v>
      </c>
      <c r="F69" s="86">
        <f t="shared" si="15"/>
        <v>176.22263019088041</v>
      </c>
      <c r="G69" s="115">
        <f t="shared" si="16"/>
        <v>24.907458555633983</v>
      </c>
      <c r="H69" s="66">
        <f t="shared" si="17"/>
        <v>25.324741223521549</v>
      </c>
      <c r="I69" s="66">
        <f t="shared" si="38"/>
        <v>84.655989794102908</v>
      </c>
      <c r="J69" s="66">
        <f t="shared" si="18"/>
        <v>10.11822725362145</v>
      </c>
      <c r="K69" s="66">
        <f t="shared" si="19"/>
        <v>11.912659545387152</v>
      </c>
      <c r="L69" s="66">
        <f t="shared" si="20"/>
        <v>10.911999999999999</v>
      </c>
      <c r="M69" s="68">
        <f t="shared" si="27"/>
        <v>8.3915538186133531</v>
      </c>
      <c r="N69" s="273">
        <f>IF($I$2="RRO (Capped)",VLOOKUP(A69,'Misc. Data &amp; Mechanisms'!$A$1278:$E$1368,5,FALSE),IF($I$2="RRO (Uncapped)",VLOOKUP(A69,'Misc. Data &amp; Mechanisms'!$G$1278:$K$1368,5,FALSE),AZ69))</f>
        <v>3.4620000000000002</v>
      </c>
      <c r="O69" s="333">
        <f t="shared" si="22"/>
        <v>24.907458555633983</v>
      </c>
      <c r="P69" s="390">
        <v>3.52</v>
      </c>
      <c r="Q69" s="333">
        <f t="shared" si="28"/>
        <v>25.324741223521549</v>
      </c>
      <c r="R69" s="390">
        <v>6.6</v>
      </c>
      <c r="S69" s="390">
        <v>93.08</v>
      </c>
      <c r="T69" s="390">
        <v>26.83</v>
      </c>
      <c r="U69" s="338">
        <f t="shared" si="29"/>
        <v>47.483889794102907</v>
      </c>
      <c r="V69" s="338">
        <f t="shared" si="30"/>
        <v>28.854799999999997</v>
      </c>
      <c r="W69" s="333">
        <f t="shared" si="31"/>
        <v>8.3172999999999995</v>
      </c>
      <c r="X69" s="205">
        <f>VLOOKUP($A69,'Misc. Data &amp; Mechanisms'!$A$63:$DY$152,HLOOKUP('Service Zone Menu'!$K$6&amp;"_ATCO_Elec_Y_1",'Misc. Data &amp; Mechanisms'!$A$55:$DY$62,8,FALSE), FALSE)</f>
        <v>7.7499999999999999E-2</v>
      </c>
      <c r="Y69" s="205">
        <f>VLOOKUP($A69,'Misc. Data &amp; Mechanisms'!$A$63:$DY$152,HLOOKUP('Service Zone Menu'!$K$6&amp;"_ATCO_Elec_Y_2",'Misc. Data &amp; Mechanisms'!$A$55:$DY$62,8,FALSE), FALSE)</f>
        <v>1.4500000000000001E-2</v>
      </c>
      <c r="Z69" s="338">
        <f t="shared" si="32"/>
        <v>8.5235066538658959</v>
      </c>
      <c r="AA69" s="333">
        <f t="shared" si="33"/>
        <v>1.5947205997555549</v>
      </c>
      <c r="AB69" s="291">
        <v>0.11600000000000001</v>
      </c>
      <c r="AC69" s="291">
        <v>0.17</v>
      </c>
      <c r="AD69" s="291">
        <v>-4.1000000000000002E-2</v>
      </c>
      <c r="AE69" s="392"/>
      <c r="AF69" s="291">
        <v>1.222</v>
      </c>
      <c r="AG69" s="290">
        <v>0.28799999999999998</v>
      </c>
      <c r="AH69" s="290"/>
      <c r="AI69" s="338">
        <f t="shared" si="34"/>
        <v>0.83456533577514191</v>
      </c>
      <c r="AJ69" s="338">
        <f t="shared" si="35"/>
        <v>1.2230698886359841</v>
      </c>
      <c r="AK69" s="338">
        <f t="shared" si="36"/>
        <v>-0.29497567902397259</v>
      </c>
      <c r="AL69" s="338">
        <f t="shared" si="37"/>
        <v>0</v>
      </c>
      <c r="AM69" s="338">
        <f t="shared" si="23"/>
        <v>1.222</v>
      </c>
      <c r="AN69" s="338">
        <f t="shared" si="24"/>
        <v>8.927999999999999</v>
      </c>
      <c r="AO69" s="333">
        <f t="shared" si="25"/>
        <v>0</v>
      </c>
      <c r="AP69" s="200">
        <f>IF(OR($I$2="RRO (Capped)",$I$2="RRO (Uncapped)"),VLOOKUP(A69,'Misc. Data &amp; Mechanisms'!$A$1483:$H$1574,5,FALSE),BA69)</f>
        <v>0.35199999999999998</v>
      </c>
      <c r="AQ69" s="333">
        <f t="shared" si="26"/>
        <v>10.911999999999999</v>
      </c>
      <c r="AR69" s="388">
        <f>5%</f>
        <v>0.05</v>
      </c>
      <c r="AS69" s="341">
        <f>'Misc. Data &amp; Mechanisms'!AK342</f>
        <v>638.46461531161776</v>
      </c>
      <c r="AT69" s="196">
        <f>'Misc. Data &amp; Mechanisms'!AP342</f>
        <v>569.98826499833581</v>
      </c>
      <c r="AU69" s="1087">
        <f>'Misc. Data &amp; Mechanisms'!T342</f>
        <v>719.45287566822583</v>
      </c>
      <c r="AV69" s="1087">
        <f>'Misc. Data &amp; Mechanisms'!U342</f>
        <v>545.99830003276952</v>
      </c>
      <c r="AW69" s="1087">
        <f>'Misc. Data &amp; Mechanisms'!V342</f>
        <v>404.07507389934585</v>
      </c>
      <c r="AX69" s="1463">
        <f>'Misc. Data &amp; Mechanisms'!$B$259</f>
        <v>611.34673880086393</v>
      </c>
      <c r="AY69" s="197">
        <f>IFERROR(IF('Personalized Bill Menu'!$B$30="Yes", IF('Personalized Bill Menu'!$B$34="Natural Gas",0,VLOOKUP($A69, 'Personalized Bill Menu'!$H$4:$L$93, 2, FALSE)), 0), 0)</f>
        <v>0</v>
      </c>
      <c r="AZ69" s="1343">
        <f>IFERROR(IF('Personalized Bill Menu'!$C$36="Custom", IF('Personalized Bill Menu'!$B$34="Natural Gas",0,VLOOKUP($A69, 'Personalized Bill Menu'!$H$4:$L$93, 3, FALSE)), 0), 0)</f>
        <v>0</v>
      </c>
      <c r="BA69" s="1344">
        <f>IFERROR(IF('Personalized Bill Menu'!$C$36="Custom", IF('Personalized Bill Menu'!$B$34="Natural Gas",0,VLOOKUP($A69, 'Personalized Bill Menu'!$H$4:$L$93, 4, FALSE)), 0), 0)</f>
        <v>0</v>
      </c>
    </row>
    <row r="70" spans="1:53" x14ac:dyDescent="0.35">
      <c r="A70" s="206">
        <v>42826</v>
      </c>
      <c r="B70" s="226">
        <f t="shared" si="0"/>
        <v>30</v>
      </c>
      <c r="C70" s="1581">
        <f t="shared" si="12"/>
        <v>553.74680581619396</v>
      </c>
      <c r="D70" s="181">
        <f t="shared" si="13"/>
        <v>27.738448218620928</v>
      </c>
      <c r="E70" s="178">
        <f t="shared" si="14"/>
        <v>15.977052000000002</v>
      </c>
      <c r="F70" s="86">
        <f t="shared" si="15"/>
        <v>153.60077099359233</v>
      </c>
      <c r="G70" s="115">
        <f t="shared" si="16"/>
        <v>17.072014023313262</v>
      </c>
      <c r="H70" s="66">
        <f t="shared" si="17"/>
        <v>20.599381176362417</v>
      </c>
      <c r="I70" s="66">
        <f t="shared" si="38"/>
        <v>76.709527045970333</v>
      </c>
      <c r="J70" s="66">
        <f t="shared" si="18"/>
        <v>9.069190246321412</v>
      </c>
      <c r="K70" s="66">
        <f t="shared" si="19"/>
        <v>12.276336073358605</v>
      </c>
      <c r="L70" s="66">
        <f t="shared" si="20"/>
        <v>10.559999999999999</v>
      </c>
      <c r="M70" s="68">
        <f t="shared" si="27"/>
        <v>7.3143224282663013</v>
      </c>
      <c r="N70" s="273">
        <f>IF($I$2="RRO (Capped)",VLOOKUP(A70,'Misc. Data &amp; Mechanisms'!$A$1278:$E$1368,5,FALSE),IF($I$2="RRO (Uncapped)",VLOOKUP(A70,'Misc. Data &amp; Mechanisms'!$G$1278:$K$1368,5,FALSE),AZ70))</f>
        <v>3.0830000000000002</v>
      </c>
      <c r="O70" s="333">
        <f t="shared" si="22"/>
        <v>17.072014023313262</v>
      </c>
      <c r="P70" s="390">
        <v>3.72</v>
      </c>
      <c r="Q70" s="333">
        <f t="shared" si="28"/>
        <v>20.599381176362417</v>
      </c>
      <c r="R70" s="390">
        <v>6.98</v>
      </c>
      <c r="S70" s="390">
        <v>98.47</v>
      </c>
      <c r="T70" s="390">
        <v>28.39</v>
      </c>
      <c r="U70" s="338">
        <f t="shared" si="29"/>
        <v>38.65152704597034</v>
      </c>
      <c r="V70" s="338">
        <f t="shared" si="30"/>
        <v>29.541</v>
      </c>
      <c r="W70" s="333">
        <f t="shared" si="31"/>
        <v>8.5169999999999995</v>
      </c>
      <c r="X70" s="205">
        <f>VLOOKUP($A70,'Misc. Data &amp; Mechanisms'!$A$63:$DY$152,HLOOKUP('Service Zone Menu'!$K$6&amp;"_ATCO_Elec_Y_1",'Misc. Data &amp; Mechanisms'!$A$55:$DY$62,8,FALSE), FALSE)</f>
        <v>7.7499999999999999E-2</v>
      </c>
      <c r="Y70" s="205">
        <f>VLOOKUP($A70,'Misc. Data &amp; Mechanisms'!$A$63:$DY$152,HLOOKUP('Service Zone Menu'!$K$6&amp;"_ATCO_Elec_Y_2",'Misc. Data &amp; Mechanisms'!$A$55:$DY$62,8,FALSE), FALSE)</f>
        <v>1.5699999999999999E-2</v>
      </c>
      <c r="Z70" s="338">
        <f t="shared" si="32"/>
        <v>7.5414403872307876</v>
      </c>
      <c r="AA70" s="333">
        <f t="shared" si="33"/>
        <v>1.527749859090624</v>
      </c>
      <c r="AB70" s="291">
        <v>0.11600000000000001</v>
      </c>
      <c r="AC70" s="291">
        <v>0.17</v>
      </c>
      <c r="AD70" s="291">
        <v>0.15</v>
      </c>
      <c r="AE70" s="392"/>
      <c r="AF70" s="291">
        <v>1.222</v>
      </c>
      <c r="AG70" s="290">
        <v>0.28799999999999998</v>
      </c>
      <c r="AH70" s="290"/>
      <c r="AI70" s="338">
        <f t="shared" si="34"/>
        <v>0.64234629474678495</v>
      </c>
      <c r="AJ70" s="338">
        <f t="shared" si="35"/>
        <v>0.94136956988752984</v>
      </c>
      <c r="AK70" s="338">
        <f t="shared" si="36"/>
        <v>0.83062020872429099</v>
      </c>
      <c r="AL70" s="338">
        <f t="shared" si="37"/>
        <v>0</v>
      </c>
      <c r="AM70" s="338">
        <f t="shared" si="23"/>
        <v>1.222</v>
      </c>
      <c r="AN70" s="338">
        <f t="shared" si="24"/>
        <v>8.6399999999999988</v>
      </c>
      <c r="AO70" s="333">
        <f t="shared" si="25"/>
        <v>0</v>
      </c>
      <c r="AP70" s="200">
        <f>IF(OR($I$2="RRO (Capped)",$I$2="RRO (Uncapped)"),VLOOKUP(A70,'Misc. Data &amp; Mechanisms'!$A$1483:$H$1574,5,FALSE),BA70)</f>
        <v>0.35199999999999998</v>
      </c>
      <c r="AQ70" s="333">
        <f t="shared" si="26"/>
        <v>10.559999999999999</v>
      </c>
      <c r="AR70" s="388">
        <f>5%</f>
        <v>0.05</v>
      </c>
      <c r="AS70" s="341">
        <f>'Misc. Data &amp; Mechanisms'!AK343</f>
        <v>491.41195109839435</v>
      </c>
      <c r="AT70" s="196">
        <f>'Misc. Data &amp; Mechanisms'!AP343</f>
        <v>490.87849585577823</v>
      </c>
      <c r="AU70" s="1087">
        <f>'Misc. Data &amp; Mechanisms'!T343</f>
        <v>553.74680581619396</v>
      </c>
      <c r="AV70" s="1087">
        <f>'Misc. Data &amp; Mechanisms'!U343</f>
        <v>420.24269392682743</v>
      </c>
      <c r="AW70" s="1087">
        <f>'Misc. Data &amp; Mechanisms'!V343</f>
        <v>311.00755733845943</v>
      </c>
      <c r="AX70" s="1463">
        <f>'Misc. Data &amp; Mechanisms'!$B$259</f>
        <v>611.34673880086393</v>
      </c>
      <c r="AY70" s="197">
        <f>IFERROR(IF('Personalized Bill Menu'!$B$30="Yes", IF('Personalized Bill Menu'!$B$34="Natural Gas",0,VLOOKUP($A70, 'Personalized Bill Menu'!$H$4:$L$93, 2, FALSE)), 0), 0)</f>
        <v>0</v>
      </c>
      <c r="AZ70" s="1343">
        <f>IFERROR(IF('Personalized Bill Menu'!$C$36="Custom", IF('Personalized Bill Menu'!$B$34="Natural Gas",0,VLOOKUP($A70, 'Personalized Bill Menu'!$H$4:$L$93, 3, FALSE)), 0), 0)</f>
        <v>0</v>
      </c>
      <c r="BA70" s="1344">
        <f>IFERROR(IF('Personalized Bill Menu'!$C$36="Custom", IF('Personalized Bill Menu'!$B$34="Natural Gas",0,VLOOKUP($A70, 'Personalized Bill Menu'!$H$4:$L$93, 4, FALSE)), 0), 0)</f>
        <v>0</v>
      </c>
    </row>
    <row r="71" spans="1:53" x14ac:dyDescent="0.35">
      <c r="A71" s="206">
        <v>42856</v>
      </c>
      <c r="B71" s="226">
        <f t="shared" ref="B71:B96" si="39">DAY(DATE(YEAR($A71),MONTH($A71)+1,1)-1)</f>
        <v>31</v>
      </c>
      <c r="C71" s="1581">
        <f t="shared" si="12"/>
        <v>594.00733010882982</v>
      </c>
      <c r="D71" s="181">
        <f t="shared" si="13"/>
        <v>27.229210606699812</v>
      </c>
      <c r="E71" s="178">
        <f t="shared" si="14"/>
        <v>15.906702000000001</v>
      </c>
      <c r="F71" s="86">
        <f t="shared" si="15"/>
        <v>161.74350693456785</v>
      </c>
      <c r="G71" s="115">
        <f t="shared" si="16"/>
        <v>17.915261076082306</v>
      </c>
      <c r="H71" s="66">
        <f t="shared" si="17"/>
        <v>22.097072680048473</v>
      </c>
      <c r="I71" s="66">
        <f t="shared" si="38"/>
        <v>80.788311641596323</v>
      </c>
      <c r="J71" s="66">
        <f t="shared" si="18"/>
        <v>9.5889178187772952</v>
      </c>
      <c r="K71" s="66">
        <f t="shared" si="19"/>
        <v>12.739871959274497</v>
      </c>
      <c r="L71" s="66">
        <f t="shared" si="20"/>
        <v>10.911999999999999</v>
      </c>
      <c r="M71" s="68">
        <f t="shared" si="27"/>
        <v>7.7020717587889456</v>
      </c>
      <c r="N71" s="273">
        <f>IF($I$2="RRO (Capped)",VLOOKUP(A71,'Misc. Data &amp; Mechanisms'!$A$1278:$E$1368,5,FALSE),IF($I$2="RRO (Uncapped)",VLOOKUP(A71,'Misc. Data &amp; Mechanisms'!$G$1278:$K$1368,5,FALSE),AZ71))</f>
        <v>3.016</v>
      </c>
      <c r="O71" s="333">
        <f t="shared" si="22"/>
        <v>17.915261076082306</v>
      </c>
      <c r="P71" s="390">
        <v>3.72</v>
      </c>
      <c r="Q71" s="333">
        <f t="shared" si="28"/>
        <v>22.097072680048473</v>
      </c>
      <c r="R71" s="390">
        <v>6.98</v>
      </c>
      <c r="S71" s="390">
        <v>98.47</v>
      </c>
      <c r="T71" s="390">
        <v>28.39</v>
      </c>
      <c r="U71" s="338">
        <f t="shared" si="29"/>
        <v>41.461711641596324</v>
      </c>
      <c r="V71" s="338">
        <f t="shared" si="30"/>
        <v>30.525700000000001</v>
      </c>
      <c r="W71" s="333">
        <f t="shared" si="31"/>
        <v>8.8009000000000004</v>
      </c>
      <c r="X71" s="205">
        <f>VLOOKUP($A71,'Misc. Data &amp; Mechanisms'!$A$63:$DY$152,HLOOKUP('Service Zone Menu'!$K$6&amp;"_ATCO_Elec_Y_1",'Misc. Data &amp; Mechanisms'!$A$55:$DY$62,8,FALSE), FALSE)</f>
        <v>7.7499999999999999E-2</v>
      </c>
      <c r="Y71" s="205">
        <f>VLOOKUP($A71,'Misc. Data &amp; Mechanisms'!$A$63:$DY$152,HLOOKUP('Service Zone Menu'!$K$6&amp;"_ATCO_Elec_Y_2",'Misc. Data &amp; Mechanisms'!$A$55:$DY$62,8,FALSE), FALSE)</f>
        <v>1.5699999999999999E-2</v>
      </c>
      <c r="Z71" s="338">
        <f t="shared" si="32"/>
        <v>7.9736172849274718</v>
      </c>
      <c r="AA71" s="333">
        <f t="shared" si="33"/>
        <v>1.6153005338498232</v>
      </c>
      <c r="AB71" s="291">
        <v>0.11600000000000001</v>
      </c>
      <c r="AC71" s="291">
        <v>0.17</v>
      </c>
      <c r="AD71" s="291">
        <v>0.15</v>
      </c>
      <c r="AE71" s="392"/>
      <c r="AF71" s="291">
        <v>1.222</v>
      </c>
      <c r="AG71" s="290">
        <v>0.28799999999999998</v>
      </c>
      <c r="AH71" s="290"/>
      <c r="AI71" s="338">
        <f t="shared" si="34"/>
        <v>0.68904850292624265</v>
      </c>
      <c r="AJ71" s="338">
        <f t="shared" si="35"/>
        <v>1.0098124611850108</v>
      </c>
      <c r="AK71" s="338">
        <f t="shared" si="36"/>
        <v>0.89101099516324478</v>
      </c>
      <c r="AL71" s="338">
        <f t="shared" si="37"/>
        <v>0</v>
      </c>
      <c r="AM71" s="338">
        <f t="shared" si="23"/>
        <v>1.222</v>
      </c>
      <c r="AN71" s="338">
        <f t="shared" si="24"/>
        <v>8.927999999999999</v>
      </c>
      <c r="AO71" s="333">
        <f t="shared" si="25"/>
        <v>0</v>
      </c>
      <c r="AP71" s="200">
        <f>IF(OR($I$2="RRO (Capped)",$I$2="RRO (Uncapped)"),VLOOKUP(A71,'Misc. Data &amp; Mechanisms'!$A$1483:$H$1574,5,FALSE),BA71)</f>
        <v>0.35199999999999998</v>
      </c>
      <c r="AQ71" s="333">
        <f t="shared" si="26"/>
        <v>10.911999999999999</v>
      </c>
      <c r="AR71" s="388">
        <f>5%</f>
        <v>0.05</v>
      </c>
      <c r="AS71" s="341">
        <f>'Misc. Data &amp; Mechanisms'!AK344</f>
        <v>527.14037894138141</v>
      </c>
      <c r="AT71" s="196">
        <f>'Misc. Data &amp; Mechanisms'!AP344</f>
        <v>475.07724198265112</v>
      </c>
      <c r="AU71" s="1087">
        <f>'Misc. Data &amp; Mechanisms'!T344</f>
        <v>594.00733010882982</v>
      </c>
      <c r="AV71" s="1087">
        <f>'Misc. Data &amp; Mechanisms'!U344</f>
        <v>450.7967143020885</v>
      </c>
      <c r="AW71" s="1087">
        <f>'Misc. Data &amp; Mechanisms'!V344</f>
        <v>333.6195655449223</v>
      </c>
      <c r="AX71" s="1463">
        <f>'Misc. Data &amp; Mechanisms'!$B$259</f>
        <v>611.34673880086393</v>
      </c>
      <c r="AY71" s="197">
        <f>IFERROR(IF('Personalized Bill Menu'!$B$30="Yes", IF('Personalized Bill Menu'!$B$34="Natural Gas",0,VLOOKUP($A71, 'Personalized Bill Menu'!$H$4:$L$93, 2, FALSE)), 0), 0)</f>
        <v>0</v>
      </c>
      <c r="AZ71" s="1343">
        <f>IFERROR(IF('Personalized Bill Menu'!$C$36="Custom", IF('Personalized Bill Menu'!$B$34="Natural Gas",0,VLOOKUP($A71, 'Personalized Bill Menu'!$H$4:$L$93, 3, FALSE)), 0), 0)</f>
        <v>0</v>
      </c>
      <c r="BA71" s="1344">
        <f>IFERROR(IF('Personalized Bill Menu'!$C$36="Custom", IF('Personalized Bill Menu'!$B$34="Natural Gas",0,VLOOKUP($A71, 'Personalized Bill Menu'!$H$4:$L$93, 4, FALSE)), 0), 0)</f>
        <v>0</v>
      </c>
    </row>
    <row r="72" spans="1:53" x14ac:dyDescent="0.35">
      <c r="A72" s="206">
        <v>42887</v>
      </c>
      <c r="B72" s="226">
        <f t="shared" si="39"/>
        <v>30</v>
      </c>
      <c r="C72" s="1581">
        <f t="shared" ref="C72:C93" si="40">IFERROR(VLOOKUP($A72,$A$5:$AY$96,MATCH($I$1,$A$5:$AY$5,0),FALSE),0)</f>
        <v>515.72141351903383</v>
      </c>
      <c r="D72" s="181">
        <f t="shared" ref="D72:D92" si="41">IFERROR(($F72*100)/$C72, "")</f>
        <v>28.974194525486887</v>
      </c>
      <c r="E72" s="178">
        <f t="shared" ref="E72:E92" si="42">(1+$AR72)*($N72+((1+$AE72)*(1+$X72+$Y72)*($P72+$R72))+$AB72+$AC72+$AD72)</f>
        <v>16.345602000000003</v>
      </c>
      <c r="F72" s="86">
        <f t="shared" ref="F72:F92" si="43">SUM($G72:$M72)</f>
        <v>149.42612556259547</v>
      </c>
      <c r="G72" s="115">
        <f t="shared" ref="G72:G96" si="44">SUM($O72)</f>
        <v>17.709873340243622</v>
      </c>
      <c r="H72" s="66">
        <f t="shared" ref="H72:H96" si="45">SUM($Q72)</f>
        <v>19.184836582908062</v>
      </c>
      <c r="I72" s="66">
        <f t="shared" si="38"/>
        <v>74.055354663628563</v>
      </c>
      <c r="J72" s="66">
        <f t="shared" ref="J72:J96" si="46">SUM($Z72:$AA72)</f>
        <v>8.6899858241772137</v>
      </c>
      <c r="K72" s="66">
        <f t="shared" ref="K72:K92" si="47">SUM($AI72:$AO72)</f>
        <v>12.110545362942986</v>
      </c>
      <c r="L72" s="66">
        <f t="shared" ref="L72:L96" si="48">SUM($AQ72)</f>
        <v>10.559999999999999</v>
      </c>
      <c r="M72" s="68">
        <f t="shared" si="27"/>
        <v>7.1155297886950226</v>
      </c>
      <c r="N72" s="273">
        <f>IF($I$2="RRO (Capped)",VLOOKUP(A72,'Misc. Data &amp; Mechanisms'!$A$1278:$E$1368,5,FALSE),IF($I$2="RRO (Uncapped)",VLOOKUP(A72,'Misc. Data &amp; Mechanisms'!$G$1278:$K$1368,5,FALSE),AZ72))</f>
        <v>3.4340000000000002</v>
      </c>
      <c r="O72" s="333">
        <f t="shared" ref="O72:O96" si="49">($N72/100)*$C72</f>
        <v>17.709873340243622</v>
      </c>
      <c r="P72" s="390">
        <v>3.72</v>
      </c>
      <c r="Q72" s="333">
        <f t="shared" si="28"/>
        <v>19.184836582908062</v>
      </c>
      <c r="R72" s="390">
        <v>6.98</v>
      </c>
      <c r="S72" s="390">
        <v>98.47</v>
      </c>
      <c r="T72" s="390">
        <v>28.39</v>
      </c>
      <c r="U72" s="338">
        <f t="shared" si="29"/>
        <v>35.997354663628563</v>
      </c>
      <c r="V72" s="338">
        <f t="shared" si="30"/>
        <v>29.541</v>
      </c>
      <c r="W72" s="333">
        <f t="shared" si="31"/>
        <v>8.5169999999999995</v>
      </c>
      <c r="X72" s="205">
        <f>VLOOKUP($A72,'Misc. Data &amp; Mechanisms'!$A$63:$DY$152,HLOOKUP('Service Zone Menu'!$K$6&amp;"_ATCO_Elec_Y_1",'Misc. Data &amp; Mechanisms'!$A$55:$DY$62,8,FALSE), FALSE)</f>
        <v>7.7499999999999999E-2</v>
      </c>
      <c r="Y72" s="205">
        <f>VLOOKUP($A72,'Misc. Data &amp; Mechanisms'!$A$63:$DY$152,HLOOKUP('Service Zone Menu'!$K$6&amp;"_ATCO_Elec_Y_2",'Misc. Data &amp; Mechanisms'!$A$55:$DY$62,8,FALSE), FALSE)</f>
        <v>1.5699999999999999E-2</v>
      </c>
      <c r="Z72" s="338">
        <f t="shared" si="32"/>
        <v>7.226114821606588</v>
      </c>
      <c r="AA72" s="333">
        <f t="shared" si="33"/>
        <v>1.463871002570625</v>
      </c>
      <c r="AB72" s="291">
        <v>0.11600000000000001</v>
      </c>
      <c r="AC72" s="291">
        <v>0.17</v>
      </c>
      <c r="AD72" s="291">
        <v>0.15</v>
      </c>
      <c r="AE72" s="392"/>
      <c r="AF72" s="291">
        <v>1.222</v>
      </c>
      <c r="AG72" s="290">
        <v>0.28799999999999998</v>
      </c>
      <c r="AH72" s="290"/>
      <c r="AI72" s="338">
        <f t="shared" si="34"/>
        <v>0.5982368396820793</v>
      </c>
      <c r="AJ72" s="338">
        <f t="shared" si="35"/>
        <v>0.8767264029823576</v>
      </c>
      <c r="AK72" s="338">
        <f t="shared" si="36"/>
        <v>0.77358212027855078</v>
      </c>
      <c r="AL72" s="338">
        <f t="shared" si="37"/>
        <v>0</v>
      </c>
      <c r="AM72" s="338">
        <f t="shared" ref="AM72:AM81" si="50">AF72</f>
        <v>1.222</v>
      </c>
      <c r="AN72" s="338">
        <f t="shared" ref="AN72:AN81" si="51">AG72*B72</f>
        <v>8.6399999999999988</v>
      </c>
      <c r="AO72" s="333">
        <f t="shared" ref="AO72:AO92" si="52">AH72*B72</f>
        <v>0</v>
      </c>
      <c r="AP72" s="200">
        <f>IF(OR($I$2="RRO (Capped)",$I$2="RRO (Uncapped)"),VLOOKUP(A72,'Misc. Data &amp; Mechanisms'!$A$1483:$H$1574,5,FALSE),BA72)</f>
        <v>0.35199999999999998</v>
      </c>
      <c r="AQ72" s="333">
        <f t="shared" ref="AQ72:AQ96" si="53">IF($AP$6="$/day", $AP72*$B72, $AP72)</f>
        <v>10.559999999999999</v>
      </c>
      <c r="AR72" s="388">
        <f>5%</f>
        <v>0.05</v>
      </c>
      <c r="AS72" s="341">
        <f>'Misc. Data &amp; Mechanisms'!AK345</f>
        <v>457.66704815039998</v>
      </c>
      <c r="AT72" s="196">
        <f>'Misc. Data &amp; Mechanisms'!AP345</f>
        <v>458.51372295518621</v>
      </c>
      <c r="AU72" s="1087">
        <f>'Misc. Data &amp; Mechanisms'!T345</f>
        <v>515.72141351903383</v>
      </c>
      <c r="AV72" s="1087">
        <f>'Misc. Data &amp; Mechanisms'!U345</f>
        <v>391.3849323492604</v>
      </c>
      <c r="AW72" s="1087">
        <f>'Misc. Data &amp; Mechanisms'!V345</f>
        <v>289.65089351491775</v>
      </c>
      <c r="AX72" s="1463">
        <f>'Misc. Data &amp; Mechanisms'!$B$259</f>
        <v>611.34673880086393</v>
      </c>
      <c r="AY72" s="197">
        <f>IFERROR(IF('Personalized Bill Menu'!$B$30="Yes", IF('Personalized Bill Menu'!$B$34="Natural Gas",0,VLOOKUP($A72, 'Personalized Bill Menu'!$H$4:$L$93, 2, FALSE)), 0), 0)</f>
        <v>0</v>
      </c>
      <c r="AZ72" s="1343">
        <f>IFERROR(IF('Personalized Bill Menu'!$C$36="Custom", IF('Personalized Bill Menu'!$B$34="Natural Gas",0,VLOOKUP($A72, 'Personalized Bill Menu'!$H$4:$L$93, 3, FALSE)), 0), 0)</f>
        <v>0</v>
      </c>
      <c r="BA72" s="1344">
        <f>IFERROR(IF('Personalized Bill Menu'!$C$36="Custom", IF('Personalized Bill Menu'!$B$34="Natural Gas",0,VLOOKUP($A72, 'Personalized Bill Menu'!$H$4:$L$93, 4, FALSE)), 0), 0)</f>
        <v>0</v>
      </c>
    </row>
    <row r="73" spans="1:53" x14ac:dyDescent="0.35">
      <c r="A73" s="206">
        <v>42917</v>
      </c>
      <c r="B73" s="226">
        <f t="shared" si="39"/>
        <v>31</v>
      </c>
      <c r="C73" s="1581">
        <f t="shared" si="40"/>
        <v>559.47497661777686</v>
      </c>
      <c r="D73" s="181">
        <f t="shared" si="41"/>
        <v>28.723967366971262</v>
      </c>
      <c r="E73" s="178">
        <f t="shared" si="42"/>
        <v>16.702602000000006</v>
      </c>
      <c r="F73" s="86">
        <f t="shared" si="43"/>
        <v>160.70340971006033</v>
      </c>
      <c r="G73" s="115">
        <f t="shared" si="44"/>
        <v>23.492354268180449</v>
      </c>
      <c r="H73" s="66">
        <f t="shared" si="45"/>
        <v>20.812469130181302</v>
      </c>
      <c r="I73" s="66">
        <f t="shared" si="38"/>
        <v>78.377953367920824</v>
      </c>
      <c r="J73" s="66">
        <f t="shared" si="46"/>
        <v>9.2445473768231174</v>
      </c>
      <c r="K73" s="66">
        <f t="shared" si="47"/>
        <v>10.211542247427955</v>
      </c>
      <c r="L73" s="66">
        <f t="shared" si="48"/>
        <v>10.911999999999999</v>
      </c>
      <c r="M73" s="68">
        <f t="shared" si="27"/>
        <v>7.652543319526683</v>
      </c>
      <c r="N73" s="273">
        <f>IF($I$2="RRO (Capped)",VLOOKUP(A73,'Misc. Data &amp; Mechanisms'!$A$1278:$E$1368,5,FALSE),IF($I$2="RRO (Uncapped)",VLOOKUP(A73,'Misc. Data &amp; Mechanisms'!$G$1278:$K$1368,5,FALSE),AZ73))</f>
        <v>4.1989999999999998</v>
      </c>
      <c r="O73" s="333">
        <f t="shared" si="49"/>
        <v>23.492354268180449</v>
      </c>
      <c r="P73" s="390">
        <v>3.72</v>
      </c>
      <c r="Q73" s="333">
        <f t="shared" si="28"/>
        <v>20.812469130181302</v>
      </c>
      <c r="R73" s="390">
        <v>6.98</v>
      </c>
      <c r="S73" s="390">
        <v>98.47</v>
      </c>
      <c r="T73" s="390">
        <v>28.39</v>
      </c>
      <c r="U73" s="338">
        <f t="shared" si="29"/>
        <v>39.051353367920825</v>
      </c>
      <c r="V73" s="338">
        <f t="shared" si="30"/>
        <v>30.525700000000001</v>
      </c>
      <c r="W73" s="333">
        <f t="shared" si="31"/>
        <v>8.8009000000000004</v>
      </c>
      <c r="X73" s="205">
        <f>VLOOKUP($A73,'Misc. Data &amp; Mechanisms'!$A$63:$DY$152,HLOOKUP('Service Zone Menu'!$K$6&amp;"_ATCO_Elec_Y_1",'Misc. Data &amp; Mechanisms'!$A$55:$DY$62,8,FALSE), FALSE)</f>
        <v>7.7499999999999999E-2</v>
      </c>
      <c r="Y73" s="205">
        <f>VLOOKUP($A73,'Misc. Data &amp; Mechanisms'!$A$63:$DY$152,HLOOKUP('Service Zone Menu'!$K$6&amp;"_ATCO_Elec_Y_2",'Misc. Data &amp; Mechanisms'!$A$55:$DY$62,8,FALSE), FALSE)</f>
        <v>1.5699999999999999E-2</v>
      </c>
      <c r="Z73" s="338">
        <f t="shared" si="32"/>
        <v>7.6872577436029141</v>
      </c>
      <c r="AA73" s="333">
        <f t="shared" si="33"/>
        <v>1.5572896332202033</v>
      </c>
      <c r="AB73" s="291">
        <v>0.11600000000000001</v>
      </c>
      <c r="AC73" s="291">
        <v>0.17</v>
      </c>
      <c r="AD73" s="291">
        <v>-0.27500000000000002</v>
      </c>
      <c r="AE73" s="392"/>
      <c r="AF73" s="291">
        <v>1.222</v>
      </c>
      <c r="AG73" s="290">
        <v>0.28799999999999998</v>
      </c>
      <c r="AH73" s="290"/>
      <c r="AI73" s="338">
        <f t="shared" si="34"/>
        <v>0.64899097287662111</v>
      </c>
      <c r="AJ73" s="338">
        <f t="shared" si="35"/>
        <v>0.95110746025022075</v>
      </c>
      <c r="AK73" s="338">
        <f t="shared" si="36"/>
        <v>-1.5385561856988865</v>
      </c>
      <c r="AL73" s="338">
        <f t="shared" si="37"/>
        <v>0</v>
      </c>
      <c r="AM73" s="338">
        <f t="shared" si="50"/>
        <v>1.222</v>
      </c>
      <c r="AN73" s="338">
        <f t="shared" si="51"/>
        <v>8.927999999999999</v>
      </c>
      <c r="AO73" s="333">
        <f t="shared" si="52"/>
        <v>0</v>
      </c>
      <c r="AP73" s="200">
        <f>IF(OR($I$2="RRO (Capped)",$I$2="RRO (Uncapped)"),VLOOKUP(A73,'Misc. Data &amp; Mechanisms'!$A$1483:$H$1574,5,FALSE),BA73)</f>
        <v>0.35199999999999998</v>
      </c>
      <c r="AQ73" s="333">
        <f t="shared" si="53"/>
        <v>10.911999999999999</v>
      </c>
      <c r="AR73" s="388">
        <f>5%</f>
        <v>0.05</v>
      </c>
      <c r="AS73" s="341">
        <f>'Misc. Data &amp; Mechanisms'!AK346</f>
        <v>496.49530609072099</v>
      </c>
      <c r="AT73" s="196">
        <f>'Misc. Data &amp; Mechanisms'!AP346</f>
        <v>518.6829776306779</v>
      </c>
      <c r="AU73" s="1087">
        <f>'Misc. Data &amp; Mechanisms'!T346</f>
        <v>559.47497661777686</v>
      </c>
      <c r="AV73" s="1087">
        <f>'Misc. Data &amp; Mechanisms'!U346</f>
        <v>424.5898466393059</v>
      </c>
      <c r="AW73" s="1087">
        <f>'Misc. Data &amp; Mechanisms'!V346</f>
        <v>314.22473961437692</v>
      </c>
      <c r="AX73" s="1463">
        <f>'Misc. Data &amp; Mechanisms'!$B$259</f>
        <v>611.34673880086393</v>
      </c>
      <c r="AY73" s="197">
        <f>IFERROR(IF('Personalized Bill Menu'!$B$30="Yes", IF('Personalized Bill Menu'!$B$34="Natural Gas",0,VLOOKUP($A73, 'Personalized Bill Menu'!$H$4:$L$93, 2, FALSE)), 0), 0)</f>
        <v>0</v>
      </c>
      <c r="AZ73" s="1343">
        <f>IFERROR(IF('Personalized Bill Menu'!$C$36="Custom", IF('Personalized Bill Menu'!$B$34="Natural Gas",0,VLOOKUP($A73, 'Personalized Bill Menu'!$H$4:$L$93, 3, FALSE)), 0), 0)</f>
        <v>0</v>
      </c>
      <c r="BA73" s="1344">
        <f>IFERROR(IF('Personalized Bill Menu'!$C$36="Custom", IF('Personalized Bill Menu'!$B$34="Natural Gas",0,VLOOKUP($A73, 'Personalized Bill Menu'!$H$4:$L$93, 4, FALSE)), 0), 0)</f>
        <v>0</v>
      </c>
    </row>
    <row r="74" spans="1:53" x14ac:dyDescent="0.35">
      <c r="A74" s="206">
        <v>42948</v>
      </c>
      <c r="B74" s="226">
        <f t="shared" si="39"/>
        <v>31</v>
      </c>
      <c r="C74" s="1581">
        <f t="shared" si="40"/>
        <v>542.33039842098469</v>
      </c>
      <c r="D74" s="181">
        <f t="shared" si="41"/>
        <v>28.748756198341848</v>
      </c>
      <c r="E74" s="178">
        <f t="shared" si="42"/>
        <v>16.583952</v>
      </c>
      <c r="F74" s="86">
        <f t="shared" si="43"/>
        <v>155.91324403154488</v>
      </c>
      <c r="G74" s="115">
        <f t="shared" si="44"/>
        <v>22.159620079481435</v>
      </c>
      <c r="H74" s="66">
        <f t="shared" si="45"/>
        <v>20.174690821260633</v>
      </c>
      <c r="I74" s="66">
        <f t="shared" si="38"/>
        <v>77.181261809784729</v>
      </c>
      <c r="J74" s="66">
        <f t="shared" si="46"/>
        <v>9.0735747852134274</v>
      </c>
      <c r="K74" s="66">
        <f t="shared" si="47"/>
        <v>8.9876563438263073</v>
      </c>
      <c r="L74" s="66">
        <f t="shared" si="48"/>
        <v>10.911999999999999</v>
      </c>
      <c r="M74" s="68">
        <f t="shared" si="27"/>
        <v>7.4244401919783272</v>
      </c>
      <c r="N74" s="273">
        <f>IF($I$2="RRO (Capped)",VLOOKUP(A74,'Misc. Data &amp; Mechanisms'!$A$1278:$E$1368,5,FALSE),IF($I$2="RRO (Uncapped)",VLOOKUP(A74,'Misc. Data &amp; Mechanisms'!$G$1278:$K$1368,5,FALSE),AZ74))</f>
        <v>4.0860000000000003</v>
      </c>
      <c r="O74" s="333">
        <f t="shared" si="49"/>
        <v>22.159620079481435</v>
      </c>
      <c r="P74" s="390">
        <v>3.72</v>
      </c>
      <c r="Q74" s="333">
        <f t="shared" si="28"/>
        <v>20.174690821260633</v>
      </c>
      <c r="R74" s="390">
        <v>6.98</v>
      </c>
      <c r="S74" s="390">
        <v>98.47</v>
      </c>
      <c r="T74" s="390">
        <v>28.39</v>
      </c>
      <c r="U74" s="338">
        <f t="shared" si="29"/>
        <v>37.85466180978473</v>
      </c>
      <c r="V74" s="338">
        <f t="shared" si="30"/>
        <v>30.525700000000001</v>
      </c>
      <c r="W74" s="333">
        <f t="shared" si="31"/>
        <v>8.8009000000000004</v>
      </c>
      <c r="X74" s="205">
        <f>VLOOKUP($A74,'Misc. Data &amp; Mechanisms'!$A$63:$DY$152,HLOOKUP('Service Zone Menu'!$K$6&amp;"_ATCO_Elec_Y_1",'Misc. Data &amp; Mechanisms'!$A$55:$DY$62,8,FALSE), FALSE)</f>
        <v>7.7499999999999999E-2</v>
      </c>
      <c r="Y74" s="205">
        <f>VLOOKUP($A74,'Misc. Data &amp; Mechanisms'!$A$63:$DY$152,HLOOKUP('Service Zone Menu'!$K$6&amp;"_ATCO_Elec_Y_2",'Misc. Data &amp; Mechanisms'!$A$55:$DY$62,8,FALSE), FALSE)</f>
        <v>1.5699999999999999E-2</v>
      </c>
      <c r="Z74" s="338">
        <f t="shared" si="32"/>
        <v>7.5450863289060157</v>
      </c>
      <c r="AA74" s="333">
        <f t="shared" si="33"/>
        <v>1.5284884563074121</v>
      </c>
      <c r="AB74" s="291">
        <v>0.11600000000000001</v>
      </c>
      <c r="AC74" s="291">
        <v>0.17</v>
      </c>
      <c r="AD74" s="291">
        <v>-0.27500000000000002</v>
      </c>
      <c r="AE74" s="392"/>
      <c r="AF74" s="291"/>
      <c r="AG74" s="290">
        <v>0.28799999999999998</v>
      </c>
      <c r="AH74" s="290"/>
      <c r="AI74" s="338">
        <f t="shared" si="34"/>
        <v>0.62910326216834223</v>
      </c>
      <c r="AJ74" s="338">
        <f t="shared" si="35"/>
        <v>0.92196167731567402</v>
      </c>
      <c r="AK74" s="338">
        <f t="shared" si="36"/>
        <v>-1.4914085956577081</v>
      </c>
      <c r="AL74" s="338">
        <f t="shared" si="37"/>
        <v>0</v>
      </c>
      <c r="AM74" s="338">
        <f t="shared" si="50"/>
        <v>0</v>
      </c>
      <c r="AN74" s="338">
        <f t="shared" si="51"/>
        <v>8.927999999999999</v>
      </c>
      <c r="AO74" s="333">
        <f t="shared" si="52"/>
        <v>0</v>
      </c>
      <c r="AP74" s="200">
        <f>IF(OR($I$2="RRO (Capped)",$I$2="RRO (Uncapped)"),VLOOKUP(A74,'Misc. Data &amp; Mechanisms'!$A$1483:$H$1574,5,FALSE),BA74)</f>
        <v>0.35199999999999998</v>
      </c>
      <c r="AQ74" s="333">
        <f t="shared" si="53"/>
        <v>10.911999999999999</v>
      </c>
      <c r="AR74" s="388">
        <f>5%</f>
        <v>0.05</v>
      </c>
      <c r="AS74" s="341">
        <f>'Misc. Data &amp; Mechanisms'!AK347</f>
        <v>481.28067995842838</v>
      </c>
      <c r="AT74" s="196">
        <f>'Misc. Data &amp; Mechanisms'!AP347</f>
        <v>488.22611481879136</v>
      </c>
      <c r="AU74" s="1087">
        <f>'Misc. Data &amp; Mechanisms'!T347</f>
        <v>542.33039842098469</v>
      </c>
      <c r="AV74" s="1087">
        <f>'Misc. Data &amp; Mechanisms'!U347</f>
        <v>411.57869487827776</v>
      </c>
      <c r="AW74" s="1087">
        <f>'Misc. Data &amp; Mechanisms'!V347</f>
        <v>304.59562152181599</v>
      </c>
      <c r="AX74" s="1463">
        <f>'Misc. Data &amp; Mechanisms'!$B$259</f>
        <v>611.34673880086393</v>
      </c>
      <c r="AY74" s="197">
        <f>IFERROR(IF('Personalized Bill Menu'!$B$30="Yes", IF('Personalized Bill Menu'!$B$34="Natural Gas",0,VLOOKUP($A74, 'Personalized Bill Menu'!$H$4:$L$93, 2, FALSE)), 0), 0)</f>
        <v>0</v>
      </c>
      <c r="AZ74" s="1343">
        <f>IFERROR(IF('Personalized Bill Menu'!$C$36="Custom", IF('Personalized Bill Menu'!$B$34="Natural Gas",0,VLOOKUP($A74, 'Personalized Bill Menu'!$H$4:$L$93, 3, FALSE)), 0), 0)</f>
        <v>0</v>
      </c>
      <c r="BA74" s="1344">
        <f>IFERROR(IF('Personalized Bill Menu'!$C$36="Custom", IF('Personalized Bill Menu'!$B$34="Natural Gas",0,VLOOKUP($A74, 'Personalized Bill Menu'!$H$4:$L$93, 4, FALSE)), 0), 0)</f>
        <v>0</v>
      </c>
    </row>
    <row r="75" spans="1:53" x14ac:dyDescent="0.35">
      <c r="A75" s="206">
        <v>42979</v>
      </c>
      <c r="B75" s="226">
        <f t="shared" si="39"/>
        <v>30</v>
      </c>
      <c r="C75" s="1581">
        <f t="shared" si="40"/>
        <v>520.67991032460486</v>
      </c>
      <c r="D75" s="181">
        <f t="shared" si="41"/>
        <v>26.829465899796514</v>
      </c>
      <c r="E75" s="178">
        <f t="shared" si="42"/>
        <v>16.309902000000001</v>
      </c>
      <c r="F75" s="86">
        <f t="shared" si="43"/>
        <v>139.69563898763093</v>
      </c>
      <c r="G75" s="115">
        <f t="shared" si="44"/>
        <v>19.916006569916135</v>
      </c>
      <c r="H75" s="66">
        <f t="shared" si="45"/>
        <v>19.369292664075303</v>
      </c>
      <c r="I75" s="66">
        <f t="shared" si="38"/>
        <v>74.40145774065742</v>
      </c>
      <c r="J75" s="66">
        <f t="shared" si="46"/>
        <v>8.7394339377210901</v>
      </c>
      <c r="K75" s="66">
        <f t="shared" si="47"/>
        <v>5.7274790135706466E-2</v>
      </c>
      <c r="L75" s="66">
        <f t="shared" si="48"/>
        <v>10.559999999999999</v>
      </c>
      <c r="M75" s="68">
        <f t="shared" si="27"/>
        <v>6.6521732851252828</v>
      </c>
      <c r="N75" s="273">
        <f>IF($I$2="RRO (Capped)",VLOOKUP(A75,'Misc. Data &amp; Mechanisms'!$A$1278:$E$1368,5,FALSE),IF($I$2="RRO (Uncapped)",VLOOKUP(A75,'Misc. Data &amp; Mechanisms'!$G$1278:$K$1368,5,FALSE),AZ75))</f>
        <v>3.8250000000000002</v>
      </c>
      <c r="O75" s="333">
        <f t="shared" si="49"/>
        <v>19.916006569916135</v>
      </c>
      <c r="P75" s="390">
        <v>3.72</v>
      </c>
      <c r="Q75" s="333">
        <f t="shared" si="28"/>
        <v>19.369292664075303</v>
      </c>
      <c r="R75" s="390">
        <v>6.98</v>
      </c>
      <c r="S75" s="390">
        <v>98.47</v>
      </c>
      <c r="T75" s="390">
        <v>28.39</v>
      </c>
      <c r="U75" s="338">
        <f t="shared" si="29"/>
        <v>36.343457740657421</v>
      </c>
      <c r="V75" s="338">
        <f t="shared" si="30"/>
        <v>29.541</v>
      </c>
      <c r="W75" s="333">
        <f t="shared" si="31"/>
        <v>8.5169999999999995</v>
      </c>
      <c r="X75" s="205">
        <f>VLOOKUP($A75,'Misc. Data &amp; Mechanisms'!$A$63:$DY$152,HLOOKUP('Service Zone Menu'!$K$6&amp;"_ATCO_Elec_Y_1",'Misc. Data &amp; Mechanisms'!$A$55:$DY$62,8,FALSE), FALSE)</f>
        <v>7.7499999999999999E-2</v>
      </c>
      <c r="Y75" s="205">
        <f>VLOOKUP($A75,'Misc. Data &amp; Mechanisms'!$A$63:$DY$152,HLOOKUP('Service Zone Menu'!$K$6&amp;"_ATCO_Elec_Y_2",'Misc. Data &amp; Mechanisms'!$A$55:$DY$62,8,FALSE), FALSE)</f>
        <v>1.5699999999999999E-2</v>
      </c>
      <c r="Z75" s="338">
        <f t="shared" si="32"/>
        <v>7.2672331563667862</v>
      </c>
      <c r="AA75" s="333">
        <f t="shared" si="33"/>
        <v>1.4722007813543037</v>
      </c>
      <c r="AB75" s="291">
        <v>0.11600000000000001</v>
      </c>
      <c r="AC75" s="291">
        <v>0.17</v>
      </c>
      <c r="AD75" s="291">
        <v>-0.27500000000000002</v>
      </c>
      <c r="AE75" s="392"/>
      <c r="AF75" s="291"/>
      <c r="AG75" s="290"/>
      <c r="AH75" s="290"/>
      <c r="AI75" s="338">
        <f t="shared" si="34"/>
        <v>0.60398869597654159</v>
      </c>
      <c r="AJ75" s="338">
        <f t="shared" si="35"/>
        <v>0.8851558475518283</v>
      </c>
      <c r="AK75" s="338">
        <f t="shared" si="36"/>
        <v>-1.4318697533926634</v>
      </c>
      <c r="AL75" s="338">
        <f t="shared" si="37"/>
        <v>0</v>
      </c>
      <c r="AM75" s="338">
        <f t="shared" si="50"/>
        <v>0</v>
      </c>
      <c r="AN75" s="338">
        <f t="shared" si="51"/>
        <v>0</v>
      </c>
      <c r="AO75" s="333">
        <f t="shared" si="52"/>
        <v>0</v>
      </c>
      <c r="AP75" s="200">
        <f>IF(OR($I$2="RRO (Capped)",$I$2="RRO (Uncapped)"),VLOOKUP(A75,'Misc. Data &amp; Mechanisms'!$A$1483:$H$1574,5,FALSE),BA75)</f>
        <v>0.35199999999999998</v>
      </c>
      <c r="AQ75" s="333">
        <f t="shared" si="53"/>
        <v>10.559999999999999</v>
      </c>
      <c r="AR75" s="388">
        <f>5%</f>
        <v>0.05</v>
      </c>
      <c r="AS75" s="341">
        <f>'Misc. Data &amp; Mechanisms'!AK348</f>
        <v>462.06737076020596</v>
      </c>
      <c r="AT75" s="196">
        <f>'Misc. Data &amp; Mechanisms'!AP348</f>
        <v>469.17523379605063</v>
      </c>
      <c r="AU75" s="1087">
        <f>'Misc. Data &amp; Mechanisms'!T348</f>
        <v>520.67991032460486</v>
      </c>
      <c r="AV75" s="1087">
        <f>'Misc. Data &amp; Mechanisms'!U348</f>
        <v>395.14797356866637</v>
      </c>
      <c r="AW75" s="1087">
        <f>'Misc. Data &amp; Mechanisms'!V348</f>
        <v>292.43579441795447</v>
      </c>
      <c r="AX75" s="1463">
        <f>'Misc. Data &amp; Mechanisms'!$B$259</f>
        <v>611.34673880086393</v>
      </c>
      <c r="AY75" s="197">
        <f>IFERROR(IF('Personalized Bill Menu'!$B$30="Yes", IF('Personalized Bill Menu'!$B$34="Natural Gas",0,VLOOKUP($A75, 'Personalized Bill Menu'!$H$4:$L$93, 2, FALSE)), 0), 0)</f>
        <v>0</v>
      </c>
      <c r="AZ75" s="1343">
        <f>IFERROR(IF('Personalized Bill Menu'!$C$36="Custom", IF('Personalized Bill Menu'!$B$34="Natural Gas",0,VLOOKUP($A75, 'Personalized Bill Menu'!$H$4:$L$93, 3, FALSE)), 0), 0)</f>
        <v>0</v>
      </c>
      <c r="BA75" s="1344">
        <f>IFERROR(IF('Personalized Bill Menu'!$C$36="Custom", IF('Personalized Bill Menu'!$B$34="Natural Gas",0,VLOOKUP($A75, 'Personalized Bill Menu'!$H$4:$L$93, 4, FALSE)), 0), 0)</f>
        <v>0</v>
      </c>
    </row>
    <row r="76" spans="1:53" x14ac:dyDescent="0.35">
      <c r="A76" s="206">
        <v>43009</v>
      </c>
      <c r="B76" s="226">
        <f t="shared" si="39"/>
        <v>31</v>
      </c>
      <c r="C76" s="1581">
        <f t="shared" si="40"/>
        <v>624.61173694299271</v>
      </c>
      <c r="D76" s="181">
        <f t="shared" si="41"/>
        <v>25.612876149206667</v>
      </c>
      <c r="E76" s="178">
        <f t="shared" si="42"/>
        <v>16.551402000000003</v>
      </c>
      <c r="F76" s="86">
        <f t="shared" si="43"/>
        <v>159.98103059661727</v>
      </c>
      <c r="G76" s="115">
        <f t="shared" si="44"/>
        <v>24.19745868917154</v>
      </c>
      <c r="H76" s="66">
        <f t="shared" si="45"/>
        <v>23.235556614279332</v>
      </c>
      <c r="I76" s="66">
        <f t="shared" si="38"/>
        <v>82.924499238620896</v>
      </c>
      <c r="J76" s="66">
        <f t="shared" si="46"/>
        <v>9.8941172054903017</v>
      </c>
      <c r="K76" s="66">
        <f t="shared" si="47"/>
        <v>1.1992545349305463</v>
      </c>
      <c r="L76" s="66">
        <f t="shared" si="48"/>
        <v>10.911999999999999</v>
      </c>
      <c r="M76" s="68">
        <f t="shared" si="27"/>
        <v>7.6181443141246321</v>
      </c>
      <c r="N76" s="273">
        <f>IF($I$2="RRO (Capped)",VLOOKUP(A76,'Misc. Data &amp; Mechanisms'!$A$1278:$E$1368,5,FALSE),IF($I$2="RRO (Uncapped)",VLOOKUP(A76,'Misc. Data &amp; Mechanisms'!$G$1278:$K$1368,5,FALSE),AZ76))</f>
        <v>3.8740000000000001</v>
      </c>
      <c r="O76" s="333">
        <f t="shared" si="49"/>
        <v>24.19745868917154</v>
      </c>
      <c r="P76" s="390">
        <v>3.72</v>
      </c>
      <c r="Q76" s="333">
        <f t="shared" si="28"/>
        <v>23.235556614279332</v>
      </c>
      <c r="R76" s="390">
        <v>6.98</v>
      </c>
      <c r="S76" s="390">
        <v>98.47</v>
      </c>
      <c r="T76" s="390">
        <v>28.39</v>
      </c>
      <c r="U76" s="338">
        <f t="shared" si="29"/>
        <v>43.59789923862089</v>
      </c>
      <c r="V76" s="338">
        <f t="shared" si="30"/>
        <v>30.525700000000001</v>
      </c>
      <c r="W76" s="333">
        <f t="shared" si="31"/>
        <v>8.8009000000000004</v>
      </c>
      <c r="X76" s="205">
        <f>VLOOKUP($A76,'Misc. Data &amp; Mechanisms'!$A$63:$DY$152,HLOOKUP('Service Zone Menu'!$K$6&amp;"_ATCO_Elec_Y_1",'Misc. Data &amp; Mechanisms'!$A$55:$DY$62,8,FALSE), FALSE)</f>
        <v>7.7499999999999999E-2</v>
      </c>
      <c r="Y76" s="205">
        <f>VLOOKUP($A76,'Misc. Data &amp; Mechanisms'!$A$63:$DY$152,HLOOKUP('Service Zone Menu'!$K$6&amp;"_ATCO_Elec_Y_2",'Misc. Data &amp; Mechanisms'!$A$55:$DY$62,8,FALSE), FALSE)</f>
        <v>1.5699999999999999E-2</v>
      </c>
      <c r="Z76" s="338">
        <f t="shared" si="32"/>
        <v>8.2274043285997678</v>
      </c>
      <c r="AA76" s="333">
        <f t="shared" si="33"/>
        <v>1.6667128768905335</v>
      </c>
      <c r="AB76" s="291">
        <v>0.11600000000000001</v>
      </c>
      <c r="AC76" s="291">
        <v>0.17</v>
      </c>
      <c r="AD76" s="291">
        <v>-9.4E-2</v>
      </c>
      <c r="AE76" s="392"/>
      <c r="AF76" s="291"/>
      <c r="AG76" s="290"/>
      <c r="AH76" s="290"/>
      <c r="AI76" s="338">
        <f t="shared" si="34"/>
        <v>0.72454961485387159</v>
      </c>
      <c r="AJ76" s="338">
        <f t="shared" si="35"/>
        <v>1.0618399528030877</v>
      </c>
      <c r="AK76" s="338">
        <f t="shared" si="36"/>
        <v>-0.5871350327264131</v>
      </c>
      <c r="AL76" s="338">
        <f t="shared" si="37"/>
        <v>0</v>
      </c>
      <c r="AM76" s="338">
        <f t="shared" si="50"/>
        <v>0</v>
      </c>
      <c r="AN76" s="338">
        <f t="shared" si="51"/>
        <v>0</v>
      </c>
      <c r="AO76" s="333">
        <f t="shared" si="52"/>
        <v>0</v>
      </c>
      <c r="AP76" s="200">
        <f>IF(OR($I$2="RRO (Capped)",$I$2="RRO (Uncapped)"),VLOOKUP(A76,'Misc. Data &amp; Mechanisms'!$A$1483:$H$1574,5,FALSE),BA76)</f>
        <v>0.35199999999999998</v>
      </c>
      <c r="AQ76" s="333">
        <f t="shared" si="53"/>
        <v>10.911999999999999</v>
      </c>
      <c r="AR76" s="388">
        <f>5%</f>
        <v>0.05</v>
      </c>
      <c r="AS76" s="341">
        <f>'Misc. Data &amp; Mechanisms'!AK349</f>
        <v>554.2996710883001</v>
      </c>
      <c r="AT76" s="196">
        <f>'Misc. Data &amp; Mechanisms'!AP349</f>
        <v>518.32728951174261</v>
      </c>
      <c r="AU76" s="1087">
        <f>'Misc. Data &amp; Mechanisms'!T349</f>
        <v>624.61173694299271</v>
      </c>
      <c r="AV76" s="1087">
        <f>'Misc. Data &amp; Mechanisms'!U349</f>
        <v>474.0226331497185</v>
      </c>
      <c r="AW76" s="1087">
        <f>'Misc. Data &amp; Mechanisms'!V349</f>
        <v>350.80829099365178</v>
      </c>
      <c r="AX76" s="1463">
        <f>'Misc. Data &amp; Mechanisms'!$B$259</f>
        <v>611.34673880086393</v>
      </c>
      <c r="AY76" s="197">
        <f>IFERROR(IF('Personalized Bill Menu'!$B$30="Yes", IF('Personalized Bill Menu'!$B$34="Natural Gas",0,VLOOKUP($A76, 'Personalized Bill Menu'!$H$4:$L$93, 2, FALSE)), 0), 0)</f>
        <v>0</v>
      </c>
      <c r="AZ76" s="1343">
        <f>IFERROR(IF('Personalized Bill Menu'!$C$36="Custom", IF('Personalized Bill Menu'!$B$34="Natural Gas",0,VLOOKUP($A76, 'Personalized Bill Menu'!$H$4:$L$93, 3, FALSE)), 0), 0)</f>
        <v>0</v>
      </c>
      <c r="BA76" s="1344">
        <f>IFERROR(IF('Personalized Bill Menu'!$C$36="Custom", IF('Personalized Bill Menu'!$B$34="Natural Gas",0,VLOOKUP($A76, 'Personalized Bill Menu'!$H$4:$L$93, 4, FALSE)), 0), 0)</f>
        <v>0</v>
      </c>
    </row>
    <row r="77" spans="1:53" x14ac:dyDescent="0.35">
      <c r="A77" s="206">
        <v>43040</v>
      </c>
      <c r="B77" s="226">
        <f t="shared" si="39"/>
        <v>30</v>
      </c>
      <c r="C77" s="1581">
        <f t="shared" si="40"/>
        <v>721.07464070632727</v>
      </c>
      <c r="D77" s="181">
        <f t="shared" si="41"/>
        <v>23.921711102334669</v>
      </c>
      <c r="E77" s="178">
        <f t="shared" si="42"/>
        <v>16.325652000000002</v>
      </c>
      <c r="F77" s="86">
        <f t="shared" si="43"/>
        <v>172.49339238196532</v>
      </c>
      <c r="G77" s="115">
        <f t="shared" si="44"/>
        <v>26.384121103444514</v>
      </c>
      <c r="H77" s="66">
        <f t="shared" si="45"/>
        <v>26.823976634275379</v>
      </c>
      <c r="I77" s="66">
        <f t="shared" si="38"/>
        <v>88.389009921301636</v>
      </c>
      <c r="J77" s="66">
        <f t="shared" si="46"/>
        <v>10.737850346979776</v>
      </c>
      <c r="K77" s="66">
        <f t="shared" si="47"/>
        <v>1.3844633101561485</v>
      </c>
      <c r="L77" s="66">
        <f t="shared" si="48"/>
        <v>10.559999999999999</v>
      </c>
      <c r="M77" s="68">
        <f t="shared" si="27"/>
        <v>8.2139710658078737</v>
      </c>
      <c r="N77" s="273">
        <f>IF($I$2="RRO (Capped)",VLOOKUP(A77,'Misc. Data &amp; Mechanisms'!$A$1278:$E$1368,5,FALSE),IF($I$2="RRO (Uncapped)",VLOOKUP(A77,'Misc. Data &amp; Mechanisms'!$G$1278:$K$1368,5,FALSE),AZ77))</f>
        <v>3.6589999999999998</v>
      </c>
      <c r="O77" s="333">
        <f t="shared" si="49"/>
        <v>26.384121103444514</v>
      </c>
      <c r="P77" s="390">
        <v>3.72</v>
      </c>
      <c r="Q77" s="333">
        <f t="shared" si="28"/>
        <v>26.823976634275379</v>
      </c>
      <c r="R77" s="390">
        <v>6.98</v>
      </c>
      <c r="S77" s="390">
        <v>98.47</v>
      </c>
      <c r="T77" s="390">
        <v>28.39</v>
      </c>
      <c r="U77" s="338">
        <f t="shared" si="29"/>
        <v>50.331009921301643</v>
      </c>
      <c r="V77" s="338">
        <f t="shared" si="30"/>
        <v>29.541</v>
      </c>
      <c r="W77" s="333">
        <f t="shared" si="31"/>
        <v>8.5169999999999995</v>
      </c>
      <c r="X77" s="205">
        <f>VLOOKUP($A77,'Misc. Data &amp; Mechanisms'!$A$63:$DY$152,HLOOKUP('Service Zone Menu'!$K$6&amp;"_ATCO_Elec_Y_1",'Misc. Data &amp; Mechanisms'!$A$55:$DY$62,8,FALSE), FALSE)</f>
        <v>7.7499999999999999E-2</v>
      </c>
      <c r="Y77" s="205">
        <f>VLOOKUP($A77,'Misc. Data &amp; Mechanisms'!$A$63:$DY$152,HLOOKUP('Service Zone Menu'!$K$6&amp;"_ATCO_Elec_Y_2",'Misc. Data &amp; Mechanisms'!$A$55:$DY$62,8,FALSE), FALSE)</f>
        <v>1.5699999999999999E-2</v>
      </c>
      <c r="Z77" s="338">
        <f t="shared" si="32"/>
        <v>8.9290064580572182</v>
      </c>
      <c r="AA77" s="333">
        <f t="shared" si="33"/>
        <v>1.8088438889225591</v>
      </c>
      <c r="AB77" s="291">
        <v>0.11600000000000001</v>
      </c>
      <c r="AC77" s="291">
        <v>0.17</v>
      </c>
      <c r="AD77" s="291">
        <v>-9.4E-2</v>
      </c>
      <c r="AE77" s="392"/>
      <c r="AF77" s="291"/>
      <c r="AG77" s="290"/>
      <c r="AH77" s="290"/>
      <c r="AI77" s="338">
        <f t="shared" si="34"/>
        <v>0.83644658321933962</v>
      </c>
      <c r="AJ77" s="338">
        <f t="shared" si="35"/>
        <v>1.2258268892007564</v>
      </c>
      <c r="AK77" s="338">
        <f t="shared" si="36"/>
        <v>-0.67781016226394764</v>
      </c>
      <c r="AL77" s="338">
        <f t="shared" si="37"/>
        <v>0</v>
      </c>
      <c r="AM77" s="338">
        <f t="shared" si="50"/>
        <v>0</v>
      </c>
      <c r="AN77" s="338">
        <f t="shared" si="51"/>
        <v>0</v>
      </c>
      <c r="AO77" s="333">
        <f t="shared" si="52"/>
        <v>0</v>
      </c>
      <c r="AP77" s="200">
        <f>IF(OR($I$2="RRO (Capped)",$I$2="RRO (Uncapped)"),VLOOKUP(A77,'Misc. Data &amp; Mechanisms'!$A$1483:$H$1574,5,FALSE),BA77)</f>
        <v>0.35199999999999998</v>
      </c>
      <c r="AQ77" s="333">
        <f t="shared" si="53"/>
        <v>10.559999999999999</v>
      </c>
      <c r="AR77" s="388">
        <f>5%</f>
        <v>0.05</v>
      </c>
      <c r="AS77" s="341">
        <f>'Misc. Data &amp; Mechanisms'!AK350</f>
        <v>639.90381949884897</v>
      </c>
      <c r="AT77" s="196">
        <f>'Misc. Data &amp; Mechanisms'!AP350</f>
        <v>585.56570303254728</v>
      </c>
      <c r="AU77" s="1087">
        <f>'Misc. Data &amp; Mechanisms'!T350</f>
        <v>721.07464070632727</v>
      </c>
      <c r="AV77" s="1087">
        <f>'Misc. Data &amp; Mechanisms'!U350</f>
        <v>547.22906994668995</v>
      </c>
      <c r="AW77" s="1087">
        <f>'Misc. Data &amp; Mechanisms'!V350</f>
        <v>404.98592553366524</v>
      </c>
      <c r="AX77" s="1463">
        <f>'Misc. Data &amp; Mechanisms'!$B$259</f>
        <v>611.34673880086393</v>
      </c>
      <c r="AY77" s="197">
        <f>IFERROR(IF('Personalized Bill Menu'!$B$30="Yes", IF('Personalized Bill Menu'!$B$34="Natural Gas",0,VLOOKUP($A77, 'Personalized Bill Menu'!$H$4:$L$93, 2, FALSE)), 0), 0)</f>
        <v>0</v>
      </c>
      <c r="AZ77" s="1343">
        <f>IFERROR(IF('Personalized Bill Menu'!$C$36="Custom", IF('Personalized Bill Menu'!$B$34="Natural Gas",0,VLOOKUP($A77, 'Personalized Bill Menu'!$H$4:$L$93, 3, FALSE)), 0), 0)</f>
        <v>0</v>
      </c>
      <c r="BA77" s="1344">
        <f>IFERROR(IF('Personalized Bill Menu'!$C$36="Custom", IF('Personalized Bill Menu'!$B$34="Natural Gas",0,VLOOKUP($A77, 'Personalized Bill Menu'!$H$4:$L$93, 4, FALSE)), 0), 0)</f>
        <v>0</v>
      </c>
    </row>
    <row r="78" spans="1:53" x14ac:dyDescent="0.35">
      <c r="A78" s="229">
        <v>43070</v>
      </c>
      <c r="B78" s="231">
        <f t="shared" si="39"/>
        <v>31</v>
      </c>
      <c r="C78" s="231">
        <f t="shared" si="40"/>
        <v>864.12735421239165</v>
      </c>
      <c r="D78" s="208">
        <f t="shared" si="41"/>
        <v>23.261900329658214</v>
      </c>
      <c r="E78" s="208">
        <f t="shared" si="42"/>
        <v>16.712052000000003</v>
      </c>
      <c r="F78" s="342">
        <f t="shared" si="43"/>
        <v>201.01244385819913</v>
      </c>
      <c r="G78" s="343">
        <f t="shared" si="44"/>
        <v>34.798408554133012</v>
      </c>
      <c r="H78" s="344">
        <f t="shared" si="45"/>
        <v>32.145537576700974</v>
      </c>
      <c r="I78" s="344">
        <f t="shared" si="38"/>
        <v>99.642689324024943</v>
      </c>
      <c r="J78" s="344">
        <f t="shared" si="46"/>
        <v>12.282662747147656</v>
      </c>
      <c r="K78" s="344">
        <f t="shared" si="47"/>
        <v>1.659124520087792</v>
      </c>
      <c r="L78" s="344">
        <f t="shared" si="48"/>
        <v>10.911999999999999</v>
      </c>
      <c r="M78" s="345">
        <f t="shared" si="27"/>
        <v>9.5720211361047216</v>
      </c>
      <c r="N78" s="1243">
        <f>IF($I$2="RRO (Capped)",VLOOKUP(A78,'Misc. Data &amp; Mechanisms'!$A$1278:$E$1368,5,FALSE),IF($I$2="RRO (Uncapped)",VLOOKUP(A78,'Misc. Data &amp; Mechanisms'!$G$1278:$K$1368,5,FALSE),AZ78))</f>
        <v>4.0270000000000001</v>
      </c>
      <c r="O78" s="346">
        <f t="shared" si="49"/>
        <v>34.798408554133012</v>
      </c>
      <c r="P78" s="393">
        <v>3.72</v>
      </c>
      <c r="Q78" s="346">
        <f t="shared" si="28"/>
        <v>32.145537576700974</v>
      </c>
      <c r="R78" s="393">
        <v>6.98</v>
      </c>
      <c r="S78" s="393">
        <v>98.47</v>
      </c>
      <c r="T78" s="393">
        <v>28.39</v>
      </c>
      <c r="U78" s="349">
        <f t="shared" si="29"/>
        <v>60.316089324024937</v>
      </c>
      <c r="V78" s="349">
        <f t="shared" si="30"/>
        <v>30.525700000000001</v>
      </c>
      <c r="W78" s="346">
        <f t="shared" si="31"/>
        <v>8.8009000000000004</v>
      </c>
      <c r="X78" s="246">
        <f>VLOOKUP($A78,'Misc. Data &amp; Mechanisms'!$A$63:$DY$152,HLOOKUP('Service Zone Menu'!$K$6&amp;"_ATCO_Elec_Y_1",'Misc. Data &amp; Mechanisms'!$A$55:$DY$62,8,FALSE), FALSE)</f>
        <v>7.7499999999999999E-2</v>
      </c>
      <c r="Y78" s="246">
        <f>VLOOKUP($A78,'Misc. Data &amp; Mechanisms'!$A$63:$DY$152,HLOOKUP('Service Zone Menu'!$K$6&amp;"_ATCO_Elec_Y_2",'Misc. Data &amp; Mechanisms'!$A$55:$DY$62,8,FALSE), FALSE)</f>
        <v>1.5699999999999999E-2</v>
      </c>
      <c r="Z78" s="349">
        <f t="shared" si="32"/>
        <v>10.213587584806259</v>
      </c>
      <c r="AA78" s="346">
        <f t="shared" si="33"/>
        <v>2.069075162341397</v>
      </c>
      <c r="AB78" s="293">
        <v>0.11600000000000001</v>
      </c>
      <c r="AC78" s="293">
        <v>0.17</v>
      </c>
      <c r="AD78" s="293">
        <v>-9.4E-2</v>
      </c>
      <c r="AE78" s="395"/>
      <c r="AF78" s="293"/>
      <c r="AG78" s="292"/>
      <c r="AH78" s="292"/>
      <c r="AI78" s="349">
        <f t="shared" si="34"/>
        <v>1.0023877308863742</v>
      </c>
      <c r="AJ78" s="349">
        <f t="shared" si="35"/>
        <v>1.4690165021610659</v>
      </c>
      <c r="AK78" s="349">
        <f t="shared" si="36"/>
        <v>-0.81227971295964818</v>
      </c>
      <c r="AL78" s="349">
        <f t="shared" si="37"/>
        <v>0</v>
      </c>
      <c r="AM78" s="349">
        <f t="shared" si="50"/>
        <v>0</v>
      </c>
      <c r="AN78" s="349">
        <f t="shared" si="51"/>
        <v>0</v>
      </c>
      <c r="AO78" s="346">
        <f t="shared" si="52"/>
        <v>0</v>
      </c>
      <c r="AP78" s="239">
        <f>IF(OR($I$2="RRO (Capped)",$I$2="RRO (Uncapped)"),VLOOKUP(A78,'Misc. Data &amp; Mechanisms'!$A$1483:$H$1574,5,FALSE),BA78)</f>
        <v>0.35199999999999998</v>
      </c>
      <c r="AQ78" s="346">
        <f t="shared" si="53"/>
        <v>10.911999999999999</v>
      </c>
      <c r="AR78" s="396">
        <f>5%</f>
        <v>0.05</v>
      </c>
      <c r="AS78" s="352">
        <f>'Misc. Data &amp; Mechanisms'!AK351</f>
        <v>766.85319837665475</v>
      </c>
      <c r="AT78" s="1089">
        <f>'Misc. Data &amp; Mechanisms'!AP351</f>
        <v>653.78831033469964</v>
      </c>
      <c r="AU78" s="1089">
        <f>'Misc. Data &amp; Mechanisms'!T351</f>
        <v>864.12735421239165</v>
      </c>
      <c r="AV78" s="1089">
        <f>'Misc. Data &amp; Mechanisms'!U351</f>
        <v>655.7928703440972</v>
      </c>
      <c r="AW78" s="1089">
        <f>'Misc. Data &amp; Mechanisms'!V351</f>
        <v>485.33036189133037</v>
      </c>
      <c r="AX78" s="1464">
        <f>'Misc. Data &amp; Mechanisms'!$B$259</f>
        <v>611.34673880086393</v>
      </c>
      <c r="AY78" s="243">
        <f>IFERROR(IF('Personalized Bill Menu'!$B$30="Yes", IF('Personalized Bill Menu'!$B$34="Natural Gas",0,VLOOKUP($A78, 'Personalized Bill Menu'!$H$4:$L$93, 2, FALSE)), 0), 0)</f>
        <v>0</v>
      </c>
      <c r="AZ78" s="1345">
        <f>IFERROR(IF('Personalized Bill Menu'!$C$36="Custom", IF('Personalized Bill Menu'!$B$34="Natural Gas",0,VLOOKUP($A78, 'Personalized Bill Menu'!$H$4:$L$93, 3, FALSE)), 0), 0)</f>
        <v>0</v>
      </c>
      <c r="BA78" s="1346">
        <f>IFERROR(IF('Personalized Bill Menu'!$C$36="Custom", IF('Personalized Bill Menu'!$B$34="Natural Gas",0,VLOOKUP($A78, 'Personalized Bill Menu'!$H$4:$L$93, 4, FALSE)), 0), 0)</f>
        <v>0</v>
      </c>
    </row>
    <row r="79" spans="1:53" x14ac:dyDescent="0.35">
      <c r="A79" s="206">
        <v>43101</v>
      </c>
      <c r="B79" s="226">
        <f t="shared" si="39"/>
        <v>31</v>
      </c>
      <c r="C79" s="212">
        <f t="shared" si="40"/>
        <v>852.37579810361012</v>
      </c>
      <c r="D79" s="181">
        <f t="shared" si="41"/>
        <v>24.894651943478351</v>
      </c>
      <c r="E79" s="178">
        <f t="shared" si="42"/>
        <v>18.254502000000006</v>
      </c>
      <c r="F79" s="86">
        <f t="shared" si="43"/>
        <v>212.19598818833947</v>
      </c>
      <c r="G79" s="115">
        <f t="shared" si="44"/>
        <v>43.837687296468665</v>
      </c>
      <c r="H79" s="66">
        <f t="shared" si="45"/>
        <v>31.708379689454301</v>
      </c>
      <c r="I79" s="66">
        <f t="shared" si="38"/>
        <v>98.822430707631995</v>
      </c>
      <c r="J79" s="66">
        <f t="shared" si="46"/>
        <v>12.165471529008443</v>
      </c>
      <c r="K79" s="66">
        <f t="shared" si="47"/>
        <v>4.6454480996646748</v>
      </c>
      <c r="L79" s="66">
        <f t="shared" si="48"/>
        <v>10.911999999999999</v>
      </c>
      <c r="M79" s="68">
        <f t="shared" si="27"/>
        <v>10.104570866111404</v>
      </c>
      <c r="N79" s="1244">
        <f>IF($I$2="RRO (Capped)",VLOOKUP(A79,'Misc. Data &amp; Mechanisms'!$A$1278:$E$1368,5,FALSE),IF($I$2="RRO (Uncapped)",VLOOKUP(A79,'Misc. Data &amp; Mechanisms'!$G$1278:$K$1368,5,FALSE),AZ79))</f>
        <v>5.1429999999999998</v>
      </c>
      <c r="O79" s="333">
        <f t="shared" si="49"/>
        <v>43.837687296468665</v>
      </c>
      <c r="P79" s="390">
        <v>3.72</v>
      </c>
      <c r="Q79" s="333">
        <f t="shared" si="28"/>
        <v>31.708379689454301</v>
      </c>
      <c r="R79" s="390">
        <v>6.98</v>
      </c>
      <c r="S79" s="390">
        <v>98.47</v>
      </c>
      <c r="T79" s="390">
        <v>28.39</v>
      </c>
      <c r="U79" s="338">
        <f t="shared" si="29"/>
        <v>59.495830707631988</v>
      </c>
      <c r="V79" s="338">
        <f t="shared" si="30"/>
        <v>30.525700000000001</v>
      </c>
      <c r="W79" s="333">
        <f t="shared" si="31"/>
        <v>8.8009000000000004</v>
      </c>
      <c r="X79" s="205">
        <f>VLOOKUP($A79,'Misc. Data &amp; Mechanisms'!$A$63:$DY$152,HLOOKUP('Service Zone Menu'!$K$6&amp;"_ATCO_Elec_Y_1",'Misc. Data &amp; Mechanisms'!$A$55:$DY$62,8,FALSE), FALSE)</f>
        <v>7.7499999999999999E-2</v>
      </c>
      <c r="Y79" s="205">
        <f>VLOOKUP($A79,'Misc. Data &amp; Mechanisms'!$A$63:$DY$152,HLOOKUP('Service Zone Menu'!$K$6&amp;"_ATCO_Elec_Y_2",'Misc. Data &amp; Mechanisms'!$A$55:$DY$62,8,FALSE), FALSE)</f>
        <v>1.5699999999999999E-2</v>
      </c>
      <c r="Z79" s="338">
        <f t="shared" si="32"/>
        <v>10.116137805774189</v>
      </c>
      <c r="AA79" s="333">
        <f t="shared" si="33"/>
        <v>2.0493337232342546</v>
      </c>
      <c r="AB79" s="291">
        <v>0.32600000000000001</v>
      </c>
      <c r="AC79" s="291">
        <v>0.19600000000000001</v>
      </c>
      <c r="AD79" s="291">
        <v>2.3E-2</v>
      </c>
      <c r="AE79" s="392"/>
      <c r="AF79" s="291"/>
      <c r="AG79" s="290"/>
      <c r="AH79" s="290"/>
      <c r="AI79" s="338">
        <f t="shared" si="34"/>
        <v>2.7787451018177691</v>
      </c>
      <c r="AJ79" s="338">
        <f t="shared" si="35"/>
        <v>1.6706565642830757</v>
      </c>
      <c r="AK79" s="338">
        <f t="shared" si="36"/>
        <v>0.19604643356383034</v>
      </c>
      <c r="AL79" s="338">
        <f t="shared" si="37"/>
        <v>0</v>
      </c>
      <c r="AM79" s="338">
        <f t="shared" si="50"/>
        <v>0</v>
      </c>
      <c r="AN79" s="338">
        <f t="shared" si="51"/>
        <v>0</v>
      </c>
      <c r="AO79" s="333">
        <f t="shared" si="52"/>
        <v>0</v>
      </c>
      <c r="AP79" s="200">
        <f>IF(OR($I$2="RRO (Capped)",$I$2="RRO (Uncapped)"),VLOOKUP(A79,'Misc. Data &amp; Mechanisms'!$A$1483:$H$1574,5,FALSE),BA79)</f>
        <v>0.35199999999999998</v>
      </c>
      <c r="AQ79" s="333">
        <f t="shared" si="53"/>
        <v>10.911999999999999</v>
      </c>
      <c r="AR79" s="388">
        <f>5%</f>
        <v>0.05</v>
      </c>
      <c r="AS79" s="359">
        <f>'Misc. Data &amp; Mechanisms'!AK352</f>
        <v>756.42450595765877</v>
      </c>
      <c r="AT79" s="1239">
        <f>'Misc. Data &amp; Mechanisms'!AP352</f>
        <v>649.0072953171458</v>
      </c>
      <c r="AU79" s="1087">
        <f>'Misc. Data &amp; Mechanisms'!T352</f>
        <v>852.37579810361012</v>
      </c>
      <c r="AV79" s="1087">
        <f>'Misc. Data &amp; Mechanisms'!U352</f>
        <v>646.8745243687963</v>
      </c>
      <c r="AW79" s="1087">
        <f>'Misc. Data &amp; Mechanisms'!V352</f>
        <v>478.73019242411152</v>
      </c>
      <c r="AX79" s="1463">
        <f>'Misc. Data &amp; Mechanisms'!$B$259</f>
        <v>611.34673880086393</v>
      </c>
      <c r="AY79" s="197">
        <f>IFERROR(IF('Personalized Bill Menu'!$B$30="Yes", IF('Personalized Bill Menu'!$B$34="Natural Gas",0,VLOOKUP($A79, 'Personalized Bill Menu'!$H$4:$L$93, 2, FALSE)), 0), 0)</f>
        <v>0</v>
      </c>
      <c r="AZ79" s="1343">
        <f>IFERROR(IF('Personalized Bill Menu'!$C$36="Custom", IF('Personalized Bill Menu'!$B$34="Natural Gas",0,VLOOKUP($A79, 'Personalized Bill Menu'!$H$4:$L$93, 3, FALSE)), 0), 0)</f>
        <v>0</v>
      </c>
      <c r="BA79" s="1344">
        <f>IFERROR(IF('Personalized Bill Menu'!$C$36="Custom", IF('Personalized Bill Menu'!$B$34="Natural Gas",0,VLOOKUP($A79, 'Personalized Bill Menu'!$H$4:$L$93, 4, FALSE)), 0), 0)</f>
        <v>0</v>
      </c>
    </row>
    <row r="80" spans="1:53" x14ac:dyDescent="0.35">
      <c r="A80" s="206">
        <v>43132</v>
      </c>
      <c r="B80" s="226">
        <f t="shared" si="39"/>
        <v>28</v>
      </c>
      <c r="C80" s="226">
        <f t="shared" si="40"/>
        <v>723.70784024517866</v>
      </c>
      <c r="D80" s="181">
        <f t="shared" si="41"/>
        <v>24.990761563920284</v>
      </c>
      <c r="E80" s="178">
        <f t="shared" si="42"/>
        <v>17.926902000000002</v>
      </c>
      <c r="F80" s="86">
        <f t="shared" si="43"/>
        <v>180.86010077506972</v>
      </c>
      <c r="G80" s="115">
        <f t="shared" si="44"/>
        <v>34.962325762244582</v>
      </c>
      <c r="H80" s="66">
        <f t="shared" si="45"/>
        <v>26.921931657120648</v>
      </c>
      <c r="I80" s="66">
        <f t="shared" si="38"/>
        <v>86.035607249113482</v>
      </c>
      <c r="J80" s="66">
        <f t="shared" si="46"/>
        <v>10.52764262606102</v>
      </c>
      <c r="K80" s="66">
        <f t="shared" si="47"/>
        <v>3.9442077293362239</v>
      </c>
      <c r="L80" s="66">
        <f t="shared" si="48"/>
        <v>9.8559999999999999</v>
      </c>
      <c r="M80" s="68">
        <f t="shared" si="27"/>
        <v>8.6123857511937967</v>
      </c>
      <c r="N80" s="273">
        <f>IF($I$2="RRO (Capped)",VLOOKUP(A80,'Misc. Data &amp; Mechanisms'!$A$1278:$E$1368,5,FALSE),IF($I$2="RRO (Uncapped)",VLOOKUP(A80,'Misc. Data &amp; Mechanisms'!$G$1278:$K$1368,5,FALSE),AZ80))</f>
        <v>4.8310000000000004</v>
      </c>
      <c r="O80" s="333">
        <f t="shared" si="49"/>
        <v>34.962325762244582</v>
      </c>
      <c r="P80" s="390">
        <v>3.72</v>
      </c>
      <c r="Q80" s="333">
        <f t="shared" si="28"/>
        <v>26.921931657120648</v>
      </c>
      <c r="R80" s="390">
        <v>6.98</v>
      </c>
      <c r="S80" s="390">
        <v>98.47</v>
      </c>
      <c r="T80" s="390">
        <v>28.39</v>
      </c>
      <c r="U80" s="338">
        <f t="shared" si="29"/>
        <v>50.514807249113474</v>
      </c>
      <c r="V80" s="338">
        <f t="shared" si="30"/>
        <v>27.5716</v>
      </c>
      <c r="W80" s="333">
        <f t="shared" si="31"/>
        <v>7.9491999999999994</v>
      </c>
      <c r="X80" s="205">
        <f>VLOOKUP($A80,'Misc. Data &amp; Mechanisms'!$A$63:$DY$152,HLOOKUP('Service Zone Menu'!$K$6&amp;"_ATCO_Elec_Y_1",'Misc. Data &amp; Mechanisms'!$A$55:$DY$62,8,FALSE), FALSE)</f>
        <v>7.7499999999999999E-2</v>
      </c>
      <c r="Y80" s="205">
        <f>VLOOKUP($A80,'Misc. Data &amp; Mechanisms'!$A$63:$DY$152,HLOOKUP('Service Zone Menu'!$K$6&amp;"_ATCO_Elec_Y_2",'Misc. Data &amp; Mechanisms'!$A$55:$DY$62,8,FALSE), FALSE)</f>
        <v>1.5699999999999999E-2</v>
      </c>
      <c r="Z80" s="338">
        <f t="shared" si="32"/>
        <v>8.7542092652331451</v>
      </c>
      <c r="AA80" s="333">
        <f t="shared" si="33"/>
        <v>1.7734333608278758</v>
      </c>
      <c r="AB80" s="291">
        <v>0.32600000000000001</v>
      </c>
      <c r="AC80" s="291">
        <v>0.19600000000000001</v>
      </c>
      <c r="AD80" s="291">
        <v>2.3E-2</v>
      </c>
      <c r="AE80" s="392"/>
      <c r="AF80" s="291"/>
      <c r="AG80" s="290"/>
      <c r="AH80" s="290"/>
      <c r="AI80" s="338">
        <f t="shared" si="34"/>
        <v>2.3592875591992826</v>
      </c>
      <c r="AJ80" s="338">
        <f t="shared" si="35"/>
        <v>1.4184673668805501</v>
      </c>
      <c r="AK80" s="338">
        <f t="shared" si="36"/>
        <v>0.16645280325639109</v>
      </c>
      <c r="AL80" s="338">
        <f t="shared" si="37"/>
        <v>0</v>
      </c>
      <c r="AM80" s="338">
        <f t="shared" si="50"/>
        <v>0</v>
      </c>
      <c r="AN80" s="338">
        <f t="shared" si="51"/>
        <v>0</v>
      </c>
      <c r="AO80" s="333">
        <f t="shared" si="52"/>
        <v>0</v>
      </c>
      <c r="AP80" s="200">
        <f>IF(OR($I$2="RRO (Capped)",$I$2="RRO (Uncapped)"),VLOOKUP(A80,'Misc. Data &amp; Mechanisms'!$A$1483:$H$1574,5,FALSE),BA80)</f>
        <v>0.35199999999999998</v>
      </c>
      <c r="AQ80" s="333">
        <f t="shared" si="53"/>
        <v>9.8559999999999999</v>
      </c>
      <c r="AR80" s="388">
        <f>5%</f>
        <v>0.05</v>
      </c>
      <c r="AS80" s="341">
        <f>'Misc. Data &amp; Mechanisms'!AK353</f>
        <v>642.24060177809133</v>
      </c>
      <c r="AT80" s="1087">
        <f>'Misc. Data &amp; Mechanisms'!AP353</f>
        <v>581.59576765137035</v>
      </c>
      <c r="AU80" s="1087">
        <f>'Misc. Data &amp; Mechanisms'!T353</f>
        <v>723.70784024517866</v>
      </c>
      <c r="AV80" s="1087">
        <f>'Misc. Data &amp; Mechanisms'!U353</f>
        <v>549.22742525317824</v>
      </c>
      <c r="AW80" s="1087">
        <f>'Misc. Data &amp; Mechanisms'!V353</f>
        <v>406.46484143523116</v>
      </c>
      <c r="AX80" s="1463">
        <f>'Misc. Data &amp; Mechanisms'!$B$259</f>
        <v>611.34673880086393</v>
      </c>
      <c r="AY80" s="197">
        <f>IFERROR(IF('Personalized Bill Menu'!$B$30="Yes", IF('Personalized Bill Menu'!$B$34="Natural Gas",0,VLOOKUP($A80, 'Personalized Bill Menu'!$H$4:$L$93, 2, FALSE)), 0), 0)</f>
        <v>0</v>
      </c>
      <c r="AZ80" s="1343">
        <f>IFERROR(IF('Personalized Bill Menu'!$C$36="Custom", IF('Personalized Bill Menu'!$B$34="Natural Gas",0,VLOOKUP($A80, 'Personalized Bill Menu'!$H$4:$L$93, 3, FALSE)), 0), 0)</f>
        <v>0</v>
      </c>
      <c r="BA80" s="1344">
        <f>IFERROR(IF('Personalized Bill Menu'!$C$36="Custom", IF('Personalized Bill Menu'!$B$34="Natural Gas",0,VLOOKUP($A80, 'Personalized Bill Menu'!$H$4:$L$93, 4, FALSE)), 0), 0)</f>
        <v>0</v>
      </c>
    </row>
    <row r="81" spans="1:53" x14ac:dyDescent="0.35">
      <c r="A81" s="206">
        <v>43160</v>
      </c>
      <c r="B81" s="226">
        <f t="shared" si="39"/>
        <v>31</v>
      </c>
      <c r="C81" s="226">
        <f t="shared" si="40"/>
        <v>697.12435390044402</v>
      </c>
      <c r="D81" s="181">
        <f t="shared" si="41"/>
        <v>25.800130962863761</v>
      </c>
      <c r="E81" s="178">
        <f t="shared" si="42"/>
        <v>17.681202000000006</v>
      </c>
      <c r="F81" s="86">
        <f t="shared" si="43"/>
        <v>179.85899628033241</v>
      </c>
      <c r="G81" s="115">
        <f t="shared" si="44"/>
        <v>32.046806548803417</v>
      </c>
      <c r="H81" s="66">
        <f t="shared" si="45"/>
        <v>25.933025965096519</v>
      </c>
      <c r="I81" s="66">
        <f t="shared" si="38"/>
        <v>87.985879902251</v>
      </c>
      <c r="J81" s="66">
        <f t="shared" si="46"/>
        <v>10.61724202683679</v>
      </c>
      <c r="K81" s="66">
        <f t="shared" si="47"/>
        <v>3.7993277287574205</v>
      </c>
      <c r="L81" s="66">
        <f t="shared" si="48"/>
        <v>10.911999999999999</v>
      </c>
      <c r="M81" s="68">
        <f t="shared" si="27"/>
        <v>8.5647141085872587</v>
      </c>
      <c r="N81" s="273">
        <f>IF($I$2="RRO (Capped)",VLOOKUP(A81,'Misc. Data &amp; Mechanisms'!$A$1278:$E$1368,5,FALSE),IF($I$2="RRO (Uncapped)",VLOOKUP(A81,'Misc. Data &amp; Mechanisms'!$G$1278:$K$1368,5,FALSE),AZ81))</f>
        <v>4.5970000000000004</v>
      </c>
      <c r="O81" s="333">
        <f t="shared" si="49"/>
        <v>32.046806548803417</v>
      </c>
      <c r="P81" s="390">
        <v>3.72</v>
      </c>
      <c r="Q81" s="333">
        <f t="shared" si="28"/>
        <v>25.933025965096519</v>
      </c>
      <c r="R81" s="390">
        <v>6.98</v>
      </c>
      <c r="S81" s="390">
        <v>98.47</v>
      </c>
      <c r="T81" s="390">
        <v>28.39</v>
      </c>
      <c r="U81" s="338">
        <f t="shared" si="29"/>
        <v>48.659279902250994</v>
      </c>
      <c r="V81" s="338">
        <f t="shared" si="30"/>
        <v>30.525700000000001</v>
      </c>
      <c r="W81" s="333">
        <f t="shared" si="31"/>
        <v>8.8009000000000004</v>
      </c>
      <c r="X81" s="205">
        <f>VLOOKUP($A81,'Misc. Data &amp; Mechanisms'!$A$63:$DY$152,HLOOKUP('Service Zone Menu'!$K$6&amp;"_ATCO_Elec_Y_1",'Misc. Data &amp; Mechanisms'!$A$55:$DY$62,8,FALSE), FALSE)</f>
        <v>7.7499999999999999E-2</v>
      </c>
      <c r="Y81" s="205">
        <f>VLOOKUP($A81,'Misc. Data &amp; Mechanisms'!$A$63:$DY$152,HLOOKUP('Service Zone Menu'!$K$6&amp;"_ATCO_Elec_Y_2",'Misc. Data &amp; Mechanisms'!$A$55:$DY$62,8,FALSE), FALSE)</f>
        <v>1.5699999999999999E-2</v>
      </c>
      <c r="Z81" s="338">
        <f t="shared" si="32"/>
        <v>8.8287152047194333</v>
      </c>
      <c r="AA81" s="333">
        <f t="shared" si="33"/>
        <v>1.7885268221173558</v>
      </c>
      <c r="AB81" s="291">
        <v>0.32600000000000001</v>
      </c>
      <c r="AC81" s="291">
        <v>0.19600000000000001</v>
      </c>
      <c r="AD81" s="291">
        <v>2.3E-2</v>
      </c>
      <c r="AE81" s="392"/>
      <c r="AF81" s="291"/>
      <c r="AG81" s="290"/>
      <c r="AH81" s="290"/>
      <c r="AI81" s="338">
        <f t="shared" si="34"/>
        <v>2.2726253937154479</v>
      </c>
      <c r="AJ81" s="338">
        <f t="shared" si="35"/>
        <v>1.3663637336448702</v>
      </c>
      <c r="AK81" s="338">
        <f t="shared" si="36"/>
        <v>0.16033860139710213</v>
      </c>
      <c r="AL81" s="338">
        <f t="shared" si="37"/>
        <v>0</v>
      </c>
      <c r="AM81" s="338">
        <f t="shared" si="50"/>
        <v>0</v>
      </c>
      <c r="AN81" s="338">
        <f t="shared" si="51"/>
        <v>0</v>
      </c>
      <c r="AO81" s="333">
        <f t="shared" si="52"/>
        <v>0</v>
      </c>
      <c r="AP81" s="200">
        <f>IF(OR($I$2="RRO (Capped)",$I$2="RRO (Uncapped)"),VLOOKUP(A81,'Misc. Data &amp; Mechanisms'!$A$1483:$H$1574,5,FALSE),BA81)</f>
        <v>0.35199999999999998</v>
      </c>
      <c r="AQ81" s="333">
        <f t="shared" si="53"/>
        <v>10.911999999999999</v>
      </c>
      <c r="AR81" s="388">
        <f>5%</f>
        <v>0.05</v>
      </c>
      <c r="AS81" s="341">
        <f>'Misc. Data &amp; Mechanisms'!AK354</f>
        <v>618.64959817418116</v>
      </c>
      <c r="AT81" s="1087">
        <f>'Misc. Data &amp; Mechanisms'!AP354</f>
        <v>568.53312804327993</v>
      </c>
      <c r="AU81" s="1087">
        <f>'Misc. Data &amp; Mechanisms'!T354</f>
        <v>697.12435390044402</v>
      </c>
      <c r="AV81" s="1087">
        <f>'Misc. Data &amp; Mechanisms'!U354</f>
        <v>529.0530137746108</v>
      </c>
      <c r="AW81" s="1087">
        <f>'Misc. Data &amp; Mechanisms'!V354</f>
        <v>391.53443449332548</v>
      </c>
      <c r="AX81" s="1463">
        <f>'Misc. Data &amp; Mechanisms'!$B$259</f>
        <v>611.34673880086393</v>
      </c>
      <c r="AY81" s="197">
        <f>IFERROR(IF('Personalized Bill Menu'!$B$30="Yes", IF('Personalized Bill Menu'!$B$34="Natural Gas",0,VLOOKUP($A81, 'Personalized Bill Menu'!$H$4:$L$93, 2, FALSE)), 0), 0)</f>
        <v>0</v>
      </c>
      <c r="AZ81" s="1343">
        <f>IFERROR(IF('Personalized Bill Menu'!$C$36="Custom", IF('Personalized Bill Menu'!$B$34="Natural Gas",0,VLOOKUP($A81, 'Personalized Bill Menu'!$H$4:$L$93, 3, FALSE)), 0), 0)</f>
        <v>0</v>
      </c>
      <c r="BA81" s="1344">
        <f>IFERROR(IF('Personalized Bill Menu'!$C$36="Custom", IF('Personalized Bill Menu'!$B$34="Natural Gas",0,VLOOKUP($A81, 'Personalized Bill Menu'!$H$4:$L$93, 4, FALSE)), 0), 0)</f>
        <v>0</v>
      </c>
    </row>
    <row r="82" spans="1:53" x14ac:dyDescent="0.35">
      <c r="A82" s="206">
        <v>43191</v>
      </c>
      <c r="B82" s="226">
        <f t="shared" si="39"/>
        <v>30</v>
      </c>
      <c r="C82" s="226">
        <f t="shared" si="40"/>
        <v>614.06312225524437</v>
      </c>
      <c r="D82" s="181">
        <f t="shared" si="41"/>
        <v>29.298771652252192</v>
      </c>
      <c r="E82" s="178">
        <f t="shared" si="42"/>
        <v>20.279450100000002</v>
      </c>
      <c r="F82" s="86">
        <f t="shared" si="43"/>
        <v>179.91295199025427</v>
      </c>
      <c r="G82" s="115">
        <f t="shared" si="44"/>
        <v>41.756292313356617</v>
      </c>
      <c r="H82" s="66">
        <f t="shared" si="45"/>
        <v>23.94846176795453</v>
      </c>
      <c r="I82" s="66">
        <f t="shared" si="38"/>
        <v>81.955262743445772</v>
      </c>
      <c r="J82" s="66">
        <f t="shared" si="46"/>
        <v>10.018492338778469</v>
      </c>
      <c r="K82" s="66">
        <f t="shared" si="47"/>
        <v>3.1071593986115364</v>
      </c>
      <c r="L82" s="66">
        <f t="shared" si="48"/>
        <v>10.559999999999999</v>
      </c>
      <c r="M82" s="68">
        <f t="shared" si="27"/>
        <v>8.5672834281073467</v>
      </c>
      <c r="N82" s="273">
        <f>IF($I$2="RRO (Capped)",VLOOKUP(A82,'Misc. Data &amp; Mechanisms'!$A$1278:$E$1368,5,FALSE),IF($I$2="RRO (Uncapped)",VLOOKUP(A82,'Misc. Data &amp; Mechanisms'!$G$1278:$K$1368,5,FALSE),AZ82))</f>
        <v>6.8</v>
      </c>
      <c r="O82" s="333">
        <f t="shared" si="49"/>
        <v>41.756292313356617</v>
      </c>
      <c r="P82" s="125">
        <v>3.9</v>
      </c>
      <c r="Q82" s="333">
        <f t="shared" si="28"/>
        <v>23.94846176795453</v>
      </c>
      <c r="R82" s="125">
        <v>7.07</v>
      </c>
      <c r="S82" s="125">
        <v>99.72</v>
      </c>
      <c r="T82" s="125">
        <v>28.75</v>
      </c>
      <c r="U82" s="338">
        <f t="shared" si="29"/>
        <v>43.414262743445775</v>
      </c>
      <c r="V82" s="338">
        <f t="shared" si="30"/>
        <v>29.916</v>
      </c>
      <c r="W82" s="333">
        <f t="shared" si="31"/>
        <v>8.625</v>
      </c>
      <c r="X82" s="205">
        <f>VLOOKUP($A82,'Misc. Data &amp; Mechanisms'!$A$63:$DY$152,HLOOKUP('Service Zone Menu'!$K$6&amp;"_ATCO_Elec_Y_1",'Misc. Data &amp; Mechanisms'!$A$55:$DY$62,8,FALSE), FALSE)</f>
        <v>7.7499999999999999E-2</v>
      </c>
      <c r="Y82" s="205">
        <f>VLOOKUP($A82,'Misc. Data &amp; Mechanisms'!$A$63:$DY$152,HLOOKUP('Service Zone Menu'!$K$6&amp;"_ATCO_Elec_Y_2",'Misc. Data &amp; Mechanisms'!$A$55:$DY$62,8,FALSE), FALSE)</f>
        <v>1.7100000000000001E-2</v>
      </c>
      <c r="Z82" s="338">
        <f t="shared" si="32"/>
        <v>8.2075386496335234</v>
      </c>
      <c r="AA82" s="333">
        <f t="shared" si="33"/>
        <v>1.8109536891449451</v>
      </c>
      <c r="AB82" s="291">
        <v>0.32600000000000001</v>
      </c>
      <c r="AC82" s="291">
        <v>0.19600000000000001</v>
      </c>
      <c r="AD82" s="291">
        <v>-1.6E-2</v>
      </c>
      <c r="AI82" s="338">
        <f t="shared" si="34"/>
        <v>2.0018457785520969</v>
      </c>
      <c r="AJ82" s="338">
        <f t="shared" si="35"/>
        <v>1.2035637196202789</v>
      </c>
      <c r="AK82" s="338">
        <f t="shared" si="36"/>
        <v>-9.8250099560839105E-2</v>
      </c>
      <c r="AL82" s="338">
        <f>$AE82*($H82+$I82+$J82)</f>
        <v>0</v>
      </c>
      <c r="AM82" s="338">
        <f t="shared" ref="AM82:AM84" si="54">AF82</f>
        <v>0</v>
      </c>
      <c r="AN82" s="338">
        <f t="shared" ref="AN82:AN84" si="55">AG82*B82</f>
        <v>0</v>
      </c>
      <c r="AO82" s="333">
        <f t="shared" si="52"/>
        <v>0</v>
      </c>
      <c r="AP82" s="200">
        <f>IF(OR($I$2="RRO (Capped)",$I$2="RRO (Uncapped)"),VLOOKUP(A82,'Misc. Data &amp; Mechanisms'!$A$1483:$H$1574,5,FALSE),BA82)</f>
        <v>0.35199999999999998</v>
      </c>
      <c r="AQ82" s="333">
        <f t="shared" si="53"/>
        <v>10.559999999999999</v>
      </c>
      <c r="AR82" s="388">
        <f>5%</f>
        <v>0.05</v>
      </c>
      <c r="AS82" s="341">
        <f>'Misc. Data &amp; Mechanisms'!AK355</f>
        <v>544.93850589394549</v>
      </c>
      <c r="AT82" s="1087">
        <f>'Misc. Data &amp; Mechanisms'!AP355</f>
        <v>506.02516903018198</v>
      </c>
      <c r="AU82" s="1087">
        <f>'Misc. Data &amp; Mechanisms'!T355</f>
        <v>614.06312225524437</v>
      </c>
      <c r="AV82" s="1087">
        <f>'Misc. Data &amp; Mechanisms'!U355</f>
        <v>466.01720863617845</v>
      </c>
      <c r="AW82" s="1087">
        <f>'Misc. Data &amp; Mechanisms'!V355</f>
        <v>344.88374415584991</v>
      </c>
      <c r="AX82" s="1463">
        <f>'Misc. Data &amp; Mechanisms'!$B$259</f>
        <v>611.34673880086393</v>
      </c>
      <c r="AY82" s="197">
        <f>IFERROR(IF('Personalized Bill Menu'!$B$30="Yes", IF('Personalized Bill Menu'!$B$34="Natural Gas",0,VLOOKUP($A82, 'Personalized Bill Menu'!$H$4:$L$93, 2, FALSE)), 0), 0)</f>
        <v>0</v>
      </c>
      <c r="AZ82" s="1343">
        <f>IFERROR(IF('Personalized Bill Menu'!$C$36="Custom", IF('Personalized Bill Menu'!$B$34="Natural Gas",0,VLOOKUP($A82, 'Personalized Bill Menu'!$H$4:$L$93, 3, FALSE)), 0), 0)</f>
        <v>0</v>
      </c>
      <c r="BA82" s="1344">
        <f>IFERROR(IF('Personalized Bill Menu'!$C$36="Custom", IF('Personalized Bill Menu'!$B$34="Natural Gas",0,VLOOKUP($A82, 'Personalized Bill Menu'!$H$4:$L$93, 4, FALSE)), 0), 0)</f>
        <v>0</v>
      </c>
    </row>
    <row r="83" spans="1:53" x14ac:dyDescent="0.35">
      <c r="A83" s="206">
        <v>43221</v>
      </c>
      <c r="B83" s="226">
        <f t="shared" si="39"/>
        <v>31</v>
      </c>
      <c r="C83" s="226">
        <f t="shared" si="40"/>
        <v>611.65050731491306</v>
      </c>
      <c r="D83" s="181">
        <f t="shared" si="41"/>
        <v>28.481177691420836</v>
      </c>
      <c r="E83" s="178">
        <f t="shared" si="42"/>
        <v>19.124450100000004</v>
      </c>
      <c r="F83" s="86">
        <f t="shared" si="43"/>
        <v>174.20526783883739</v>
      </c>
      <c r="G83" s="115">
        <f t="shared" si="44"/>
        <v>34.864078916950042</v>
      </c>
      <c r="H83" s="66">
        <f t="shared" si="45"/>
        <v>23.854369785281609</v>
      </c>
      <c r="I83" s="66">
        <f t="shared" si="38"/>
        <v>83.069390867164344</v>
      </c>
      <c r="J83" s="66">
        <f t="shared" si="46"/>
        <v>10.114987757721387</v>
      </c>
      <c r="K83" s="66">
        <f t="shared" si="47"/>
        <v>3.0949515670134606</v>
      </c>
      <c r="L83" s="66">
        <f t="shared" si="48"/>
        <v>10.911999999999999</v>
      </c>
      <c r="M83" s="68">
        <f t="shared" si="27"/>
        <v>8.295488944706543</v>
      </c>
      <c r="N83" s="273">
        <f>IF($I$2="RRO (Capped)",VLOOKUP(A83,'Misc. Data &amp; Mechanisms'!$A$1278:$E$1368,5,FALSE),IF($I$2="RRO (Uncapped)",VLOOKUP(A83,'Misc. Data &amp; Mechanisms'!$G$1278:$K$1368,5,FALSE),AZ83))</f>
        <v>5.7</v>
      </c>
      <c r="O83" s="333">
        <f t="shared" si="49"/>
        <v>34.864078916950042</v>
      </c>
      <c r="P83" s="125">
        <v>3.9</v>
      </c>
      <c r="Q83" s="333">
        <f t="shared" si="28"/>
        <v>23.854369785281609</v>
      </c>
      <c r="R83" s="125">
        <v>7.07</v>
      </c>
      <c r="S83" s="125">
        <v>99.72</v>
      </c>
      <c r="T83" s="125">
        <v>28.75</v>
      </c>
      <c r="U83" s="338">
        <f t="shared" si="29"/>
        <v>43.243690867164354</v>
      </c>
      <c r="V83" s="338">
        <f t="shared" si="30"/>
        <v>30.9132</v>
      </c>
      <c r="W83" s="333">
        <f t="shared" si="31"/>
        <v>8.9124999999999996</v>
      </c>
      <c r="X83" s="205">
        <f>VLOOKUP($A83,'Misc. Data &amp; Mechanisms'!$A$63:$DY$152,HLOOKUP('Service Zone Menu'!$K$6&amp;"_ATCO_Elec_Y_1",'Misc. Data &amp; Mechanisms'!$A$55:$DY$62,8,FALSE), FALSE)</f>
        <v>7.7499999999999999E-2</v>
      </c>
      <c r="Y83" s="205">
        <f>VLOOKUP($A83,'Misc. Data &amp; Mechanisms'!$A$63:$DY$152,HLOOKUP('Service Zone Menu'!$K$6&amp;"_ATCO_Elec_Y_2",'Misc. Data &amp; Mechanisms'!$A$55:$DY$62,8,FALSE), FALSE)</f>
        <v>1.7100000000000001E-2</v>
      </c>
      <c r="Z83" s="338">
        <f t="shared" si="32"/>
        <v>8.2865914505645613</v>
      </c>
      <c r="AA83" s="333">
        <f t="shared" si="33"/>
        <v>1.8283963071568259</v>
      </c>
      <c r="AB83" s="291">
        <v>0.32600000000000001</v>
      </c>
      <c r="AC83" s="291">
        <v>0.19600000000000001</v>
      </c>
      <c r="AD83" s="291">
        <v>-1.6E-2</v>
      </c>
      <c r="AI83" s="338">
        <f t="shared" si="34"/>
        <v>1.9939806538466167</v>
      </c>
      <c r="AJ83" s="338">
        <f t="shared" si="35"/>
        <v>1.1988349943372296</v>
      </c>
      <c r="AK83" s="338">
        <f t="shared" si="36"/>
        <v>-9.78640811703861E-2</v>
      </c>
      <c r="AL83" s="338">
        <f t="shared" si="37"/>
        <v>0</v>
      </c>
      <c r="AM83" s="338">
        <f t="shared" si="54"/>
        <v>0</v>
      </c>
      <c r="AN83" s="338">
        <f t="shared" si="55"/>
        <v>0</v>
      </c>
      <c r="AO83" s="333">
        <f t="shared" si="52"/>
        <v>0</v>
      </c>
      <c r="AP83" s="200">
        <f>IF(OR($I$2="RRO (Capped)",$I$2="RRO (Uncapped)"),VLOOKUP(A83,'Misc. Data &amp; Mechanisms'!$A$1483:$H$1574,5,FALSE),BA83)</f>
        <v>0.35199999999999998</v>
      </c>
      <c r="AQ83" s="333">
        <f t="shared" si="53"/>
        <v>10.911999999999999</v>
      </c>
      <c r="AR83" s="388">
        <f>5%</f>
        <v>0.05</v>
      </c>
      <c r="AS83" s="341">
        <f>'Misc. Data &amp; Mechanisms'!AK356</f>
        <v>542.79747717355428</v>
      </c>
      <c r="AT83" s="1087">
        <f>'Misc. Data &amp; Mechanisms'!AP356</f>
        <v>483.37546804743926</v>
      </c>
      <c r="AU83" s="1087">
        <f>'Misc. Data &amp; Mechanisms'!T356</f>
        <v>611.65050731491306</v>
      </c>
      <c r="AV83" s="1087">
        <f>'Misc. Data &amp; Mechanisms'!U356</f>
        <v>464.18625667169977</v>
      </c>
      <c r="AW83" s="1087">
        <f>'Misc. Data &amp; Mechanisms'!V356</f>
        <v>343.52871786674154</v>
      </c>
      <c r="AX83" s="1463">
        <f>'Misc. Data &amp; Mechanisms'!$B$259</f>
        <v>611.34673880086393</v>
      </c>
      <c r="AY83" s="197">
        <f>IFERROR(IF('Personalized Bill Menu'!$B$30="Yes", IF('Personalized Bill Menu'!$B$34="Natural Gas",0,VLOOKUP($A83, 'Personalized Bill Menu'!$H$4:$L$93, 2, FALSE)), 0), 0)</f>
        <v>0</v>
      </c>
      <c r="AZ83" s="1343">
        <f>IFERROR(IF('Personalized Bill Menu'!$C$36="Custom", IF('Personalized Bill Menu'!$B$34="Natural Gas",0,VLOOKUP($A83, 'Personalized Bill Menu'!$H$4:$L$93, 3, FALSE)), 0), 0)</f>
        <v>0</v>
      </c>
      <c r="BA83" s="1344">
        <f>IFERROR(IF('Personalized Bill Menu'!$C$36="Custom", IF('Personalized Bill Menu'!$B$34="Natural Gas",0,VLOOKUP($A83, 'Personalized Bill Menu'!$H$4:$L$93, 4, FALSE)), 0), 0)</f>
        <v>0</v>
      </c>
    </row>
    <row r="84" spans="1:53" x14ac:dyDescent="0.35">
      <c r="A84" s="206">
        <v>43252</v>
      </c>
      <c r="B84" s="226">
        <f t="shared" si="39"/>
        <v>30</v>
      </c>
      <c r="C84" s="226">
        <f t="shared" si="40"/>
        <v>512.07719839550293</v>
      </c>
      <c r="D84" s="181">
        <f t="shared" si="41"/>
        <v>30.621520811786482</v>
      </c>
      <c r="E84" s="178">
        <f t="shared" si="42"/>
        <v>19.805900100000002</v>
      </c>
      <c r="F84" s="86">
        <f t="shared" si="43"/>
        <v>156.80582587909208</v>
      </c>
      <c r="G84" s="115">
        <f t="shared" si="44"/>
        <v>32.511781326130482</v>
      </c>
      <c r="H84" s="66">
        <f t="shared" si="45"/>
        <v>19.971010737424614</v>
      </c>
      <c r="I84" s="66">
        <f t="shared" si="38"/>
        <v>74.744857926562062</v>
      </c>
      <c r="J84" s="66">
        <f t="shared" si="46"/>
        <v>8.9601211756131391</v>
      </c>
      <c r="K84" s="66">
        <f t="shared" si="47"/>
        <v>2.5911106238812449</v>
      </c>
      <c r="L84" s="66">
        <f t="shared" si="48"/>
        <v>10.559999999999999</v>
      </c>
      <c r="M84" s="68">
        <f t="shared" si="27"/>
        <v>7.4669440894805765</v>
      </c>
      <c r="N84" s="273">
        <f>IF($I$2="RRO (Capped)",VLOOKUP(A84,'Misc. Data &amp; Mechanisms'!$A$1278:$E$1368,5,FALSE),IF($I$2="RRO (Uncapped)",VLOOKUP(A84,'Misc. Data &amp; Mechanisms'!$G$1278:$K$1368,5,FALSE),AZ84))</f>
        <v>6.3490000000000002</v>
      </c>
      <c r="O84" s="333">
        <f t="shared" si="49"/>
        <v>32.511781326130482</v>
      </c>
      <c r="P84" s="125">
        <v>3.9</v>
      </c>
      <c r="Q84" s="333">
        <f t="shared" si="28"/>
        <v>19.971010737424614</v>
      </c>
      <c r="R84" s="125">
        <v>7.07</v>
      </c>
      <c r="S84" s="125">
        <v>99.72</v>
      </c>
      <c r="T84" s="125">
        <v>28.75</v>
      </c>
      <c r="U84" s="338">
        <f t="shared" si="29"/>
        <v>36.203857926562058</v>
      </c>
      <c r="V84" s="338">
        <f t="shared" si="30"/>
        <v>29.916</v>
      </c>
      <c r="W84" s="333">
        <f t="shared" si="31"/>
        <v>8.625</v>
      </c>
      <c r="X84" s="205">
        <f>VLOOKUP($A84,'Misc. Data &amp; Mechanisms'!$A$63:$DY$152,HLOOKUP('Service Zone Menu'!$K$6&amp;"_ATCO_Elec_Y_1",'Misc. Data &amp; Mechanisms'!$A$55:$DY$62,8,FALSE), FALSE)</f>
        <v>7.7499999999999999E-2</v>
      </c>
      <c r="Y84" s="205">
        <f>VLOOKUP($A84,'Misc. Data &amp; Mechanisms'!$A$63:$DY$152,HLOOKUP('Service Zone Menu'!$K$6&amp;"_ATCO_Elec_Y_2",'Misc. Data &amp; Mechanisms'!$A$55:$DY$62,8,FALSE), FALSE)</f>
        <v>1.7100000000000001E-2</v>
      </c>
      <c r="Z84" s="338">
        <f t="shared" si="32"/>
        <v>7.3404798214589668</v>
      </c>
      <c r="AA84" s="333">
        <f t="shared" si="33"/>
        <v>1.6196413541541721</v>
      </c>
      <c r="AB84" s="291">
        <v>0.32600000000000001</v>
      </c>
      <c r="AC84" s="291">
        <v>0.19600000000000001</v>
      </c>
      <c r="AD84" s="291">
        <v>-1.6E-2</v>
      </c>
      <c r="AI84" s="338">
        <f t="shared" si="34"/>
        <v>1.6693716667693397</v>
      </c>
      <c r="AJ84" s="338">
        <f t="shared" si="35"/>
        <v>1.0036713088551856</v>
      </c>
      <c r="AK84" s="338">
        <f t="shared" si="36"/>
        <v>-8.1932351743280479E-2</v>
      </c>
      <c r="AL84" s="338">
        <f t="shared" si="37"/>
        <v>0</v>
      </c>
      <c r="AM84" s="338">
        <f t="shared" si="54"/>
        <v>0</v>
      </c>
      <c r="AN84" s="338">
        <f t="shared" si="55"/>
        <v>0</v>
      </c>
      <c r="AO84" s="333">
        <f t="shared" si="52"/>
        <v>0</v>
      </c>
      <c r="AP84" s="200">
        <f>IF(OR($I$2="RRO (Capped)",$I$2="RRO (Uncapped)"),VLOOKUP(A84,'Misc. Data &amp; Mechanisms'!$A$1483:$H$1574,5,FALSE),BA84)</f>
        <v>0.35199999999999998</v>
      </c>
      <c r="AQ84" s="333">
        <f t="shared" si="53"/>
        <v>10.559999999999999</v>
      </c>
      <c r="AR84" s="388">
        <f>5%</f>
        <v>0.05</v>
      </c>
      <c r="AS84" s="341">
        <f>'Misc. Data &amp; Mechanisms'!AK357</f>
        <v>454.43305953815508</v>
      </c>
      <c r="AT84" s="1087">
        <f>'Misc. Data &amp; Mechanisms'!AP357</f>
        <v>467.79601809836407</v>
      </c>
      <c r="AU84" s="1087">
        <f>'Misc. Data &amp; Mechanisms'!T357</f>
        <v>512.07719839550293</v>
      </c>
      <c r="AV84" s="1087">
        <f>'Misc. Data &amp; Mechanisms'!U357</f>
        <v>388.6193095688198</v>
      </c>
      <c r="AW84" s="1087">
        <f>'Misc. Data &amp; Mechanisms'!V357</f>
        <v>287.60414862703595</v>
      </c>
      <c r="AX84" s="1463">
        <f>'Misc. Data &amp; Mechanisms'!$B$259</f>
        <v>611.34673880086393</v>
      </c>
      <c r="AY84" s="197">
        <f>IFERROR(IF('Personalized Bill Menu'!$B$30="Yes", IF('Personalized Bill Menu'!$B$34="Natural Gas",0,VLOOKUP($A84, 'Personalized Bill Menu'!$H$4:$L$93, 2, FALSE)), 0), 0)</f>
        <v>0</v>
      </c>
      <c r="AZ84" s="1343">
        <f>IFERROR(IF('Personalized Bill Menu'!$C$36="Custom", IF('Personalized Bill Menu'!$B$34="Natural Gas",0,VLOOKUP($A84, 'Personalized Bill Menu'!$H$4:$L$93, 3, FALSE)), 0), 0)</f>
        <v>0</v>
      </c>
      <c r="BA84" s="1344">
        <f>IFERROR(IF('Personalized Bill Menu'!$C$36="Custom", IF('Personalized Bill Menu'!$B$34="Natural Gas",0,VLOOKUP($A84, 'Personalized Bill Menu'!$H$4:$L$93, 4, FALSE)), 0), 0)</f>
        <v>0</v>
      </c>
    </row>
    <row r="85" spans="1:53" x14ac:dyDescent="0.35">
      <c r="A85" s="206">
        <v>43282</v>
      </c>
      <c r="B85" s="226">
        <f t="shared" si="39"/>
        <v>31</v>
      </c>
      <c r="C85" s="226">
        <f t="shared" si="40"/>
        <v>574.03873261620515</v>
      </c>
      <c r="D85" s="181">
        <f t="shared" si="41"/>
        <v>30.189392821158339</v>
      </c>
      <c r="E85" s="178">
        <f t="shared" si="42"/>
        <v>20.219600099999997</v>
      </c>
      <c r="F85" s="86">
        <f t="shared" si="43"/>
        <v>173.29880793510495</v>
      </c>
      <c r="G85" s="115">
        <f t="shared" si="44"/>
        <v>39.034633817901955</v>
      </c>
      <c r="H85" s="66">
        <f t="shared" si="45"/>
        <v>22.387510572031999</v>
      </c>
      <c r="I85" s="66">
        <f t="shared" si="38"/>
        <v>80.410238395965692</v>
      </c>
      <c r="J85" s="66">
        <f t="shared" si="46"/>
        <v>9.7246670523725811</v>
      </c>
      <c r="K85" s="66">
        <f t="shared" si="47"/>
        <v>2.5774339094467615</v>
      </c>
      <c r="L85" s="66">
        <f t="shared" si="48"/>
        <v>10.911999999999999</v>
      </c>
      <c r="M85" s="68">
        <f t="shared" si="27"/>
        <v>8.2523241873859501</v>
      </c>
      <c r="N85" s="273">
        <f>IF($I$2="RRO (Capped)",VLOOKUP(A85,'Misc. Data &amp; Mechanisms'!$A$1278:$E$1368,5,FALSE),IF($I$2="RRO (Uncapped)",VLOOKUP(A85,'Misc. Data &amp; Mechanisms'!$G$1278:$K$1368,5,FALSE),AZ85))</f>
        <v>6.8</v>
      </c>
      <c r="O85" s="333">
        <f t="shared" si="49"/>
        <v>39.034633817901955</v>
      </c>
      <c r="P85" s="125">
        <v>3.9</v>
      </c>
      <c r="Q85" s="333">
        <f t="shared" si="28"/>
        <v>22.387510572031999</v>
      </c>
      <c r="R85" s="125">
        <v>7.07</v>
      </c>
      <c r="S85" s="125">
        <v>99.72</v>
      </c>
      <c r="T85" s="125">
        <v>28.75</v>
      </c>
      <c r="U85" s="338">
        <f t="shared" si="29"/>
        <v>40.584538395965701</v>
      </c>
      <c r="V85" s="338">
        <f t="shared" si="30"/>
        <v>30.9132</v>
      </c>
      <c r="W85" s="333">
        <f t="shared" si="31"/>
        <v>8.9124999999999996</v>
      </c>
      <c r="X85" s="205">
        <f>VLOOKUP($A85,'Misc. Data &amp; Mechanisms'!$A$63:$DY$152,HLOOKUP('Service Zone Menu'!$K$6&amp;"_ATCO_Elec_Y_1",'Misc. Data &amp; Mechanisms'!$A$55:$DY$62,8,FALSE), FALSE)</f>
        <v>7.7499999999999999E-2</v>
      </c>
      <c r="Y85" s="205">
        <f>VLOOKUP($A85,'Misc. Data &amp; Mechanisms'!$A$63:$DY$152,HLOOKUP('Service Zone Menu'!$K$6&amp;"_ATCO_Elec_Y_2",'Misc. Data &amp; Mechanisms'!$A$55:$DY$62,8,FALSE), FALSE)</f>
        <v>1.7100000000000001E-2</v>
      </c>
      <c r="Z85" s="338">
        <f t="shared" si="32"/>
        <v>7.9668255450198213</v>
      </c>
      <c r="AA85" s="333">
        <f t="shared" si="33"/>
        <v>1.7578415073527607</v>
      </c>
      <c r="AB85" s="291">
        <v>0.32600000000000001</v>
      </c>
      <c r="AC85" s="291">
        <v>0.19600000000000001</v>
      </c>
      <c r="AD85" s="291">
        <v>-7.2999999999999995E-2</v>
      </c>
      <c r="AI85" s="338">
        <f t="shared" si="34"/>
        <v>1.871366268328829</v>
      </c>
      <c r="AJ85" s="338">
        <f t="shared" si="35"/>
        <v>1.1251159159277622</v>
      </c>
      <c r="AK85" s="338">
        <f t="shared" si="36"/>
        <v>-0.41904827480982976</v>
      </c>
      <c r="AL85" s="338">
        <f t="shared" si="37"/>
        <v>0</v>
      </c>
      <c r="AM85" s="338">
        <f t="shared" ref="AM85:AM87" si="56">AF85</f>
        <v>0</v>
      </c>
      <c r="AN85" s="338">
        <f t="shared" ref="AN85:AN87" si="57">AG85*B85</f>
        <v>0</v>
      </c>
      <c r="AO85" s="333">
        <f t="shared" si="52"/>
        <v>0</v>
      </c>
      <c r="AP85" s="200">
        <f>IF(OR($I$2="RRO (Capped)",$I$2="RRO (Uncapped)"),VLOOKUP(A85,'Misc. Data &amp; Mechanisms'!$A$1483:$H$1574,5,FALSE),BA85)</f>
        <v>0.35199999999999998</v>
      </c>
      <c r="AQ85" s="333">
        <f t="shared" si="53"/>
        <v>10.911999999999999</v>
      </c>
      <c r="AR85" s="388">
        <f>5%</f>
        <v>0.05</v>
      </c>
      <c r="AS85" s="341">
        <f>'Misc. Data &amp; Mechanisms'!AK358</f>
        <v>509.41963120707061</v>
      </c>
      <c r="AT85" s="1087">
        <f>'Misc. Data &amp; Mechanisms'!AP358</f>
        <v>502.25621542620064</v>
      </c>
      <c r="AU85" s="1087">
        <f>'Misc. Data &amp; Mechanisms'!T358</f>
        <v>574.03873261620515</v>
      </c>
      <c r="AV85" s="1087">
        <f>'Misc. Data &amp; Mechanisms'!U358</f>
        <v>435.64239265887437</v>
      </c>
      <c r="AW85" s="1087">
        <f>'Misc. Data &amp; Mechanisms'!V358</f>
        <v>322.40435912851274</v>
      </c>
      <c r="AX85" s="1463">
        <f>'Misc. Data &amp; Mechanisms'!$B$259</f>
        <v>611.34673880086393</v>
      </c>
      <c r="AY85" s="197">
        <f>IFERROR(IF('Personalized Bill Menu'!$B$30="Yes", IF('Personalized Bill Menu'!$B$34="Natural Gas",0,VLOOKUP($A85, 'Personalized Bill Menu'!$H$4:$L$93, 2, FALSE)), 0), 0)</f>
        <v>0</v>
      </c>
      <c r="AZ85" s="1343">
        <f>IFERROR(IF('Personalized Bill Menu'!$C$36="Custom", IF('Personalized Bill Menu'!$B$34="Natural Gas",0,VLOOKUP($A85, 'Personalized Bill Menu'!$H$4:$L$93, 3, FALSE)), 0), 0)</f>
        <v>0</v>
      </c>
      <c r="BA85" s="1344">
        <f>IFERROR(IF('Personalized Bill Menu'!$C$36="Custom", IF('Personalized Bill Menu'!$B$34="Natural Gas",0,VLOOKUP($A85, 'Personalized Bill Menu'!$H$4:$L$93, 4, FALSE)), 0), 0)</f>
        <v>0</v>
      </c>
    </row>
    <row r="86" spans="1:53" x14ac:dyDescent="0.35">
      <c r="A86" s="206">
        <v>43313</v>
      </c>
      <c r="B86" s="226">
        <f t="shared" si="39"/>
        <v>31</v>
      </c>
      <c r="C86" s="226">
        <f t="shared" si="40"/>
        <v>559.50210571103889</v>
      </c>
      <c r="D86" s="181">
        <f t="shared" si="41"/>
        <v>30.448421617707986</v>
      </c>
      <c r="E86" s="178">
        <f t="shared" si="42"/>
        <v>20.219600099999997</v>
      </c>
      <c r="F86" s="86">
        <f t="shared" si="43"/>
        <v>170.35956010685135</v>
      </c>
      <c r="G86" s="115">
        <f t="shared" si="44"/>
        <v>38.046143188350648</v>
      </c>
      <c r="H86" s="66">
        <f t="shared" si="45"/>
        <v>21.820582122730517</v>
      </c>
      <c r="I86" s="66">
        <f t="shared" si="38"/>
        <v>79.382498873770444</v>
      </c>
      <c r="J86" s="66">
        <f t="shared" si="46"/>
        <v>9.5738114622689903</v>
      </c>
      <c r="K86" s="66">
        <f t="shared" si="47"/>
        <v>2.5121644546425648</v>
      </c>
      <c r="L86" s="66">
        <f t="shared" si="48"/>
        <v>10.911999999999999</v>
      </c>
      <c r="M86" s="68">
        <f t="shared" si="27"/>
        <v>8.1123600050881599</v>
      </c>
      <c r="N86" s="273">
        <f>IF($I$2="RRO (Capped)",VLOOKUP(A86,'Misc. Data &amp; Mechanisms'!$A$1278:$E$1368,5,FALSE),IF($I$2="RRO (Uncapped)",VLOOKUP(A86,'Misc. Data &amp; Mechanisms'!$G$1278:$K$1368,5,FALSE),AZ86))</f>
        <v>6.8</v>
      </c>
      <c r="O86" s="333">
        <f t="shared" si="49"/>
        <v>38.046143188350648</v>
      </c>
      <c r="P86" s="125">
        <v>3.9</v>
      </c>
      <c r="Q86" s="333">
        <f t="shared" si="28"/>
        <v>21.820582122730517</v>
      </c>
      <c r="R86" s="125">
        <v>7.07</v>
      </c>
      <c r="S86" s="125">
        <v>99.72</v>
      </c>
      <c r="T86" s="125">
        <v>28.75</v>
      </c>
      <c r="U86" s="338">
        <f t="shared" si="29"/>
        <v>39.556798873770447</v>
      </c>
      <c r="V86" s="338">
        <f t="shared" si="30"/>
        <v>30.9132</v>
      </c>
      <c r="W86" s="333">
        <f t="shared" si="31"/>
        <v>8.9124999999999996</v>
      </c>
      <c r="X86" s="205">
        <f>VLOOKUP($A86,'Misc. Data &amp; Mechanisms'!$A$63:$DY$152,HLOOKUP('Service Zone Menu'!$K$6&amp;"_ATCO_Elec_Y_1",'Misc. Data &amp; Mechanisms'!$A$55:$DY$62,8,FALSE), FALSE)</f>
        <v>7.7499999999999999E-2</v>
      </c>
      <c r="Y86" s="205">
        <f>VLOOKUP($A86,'Misc. Data &amp; Mechanisms'!$A$63:$DY$152,HLOOKUP('Service Zone Menu'!$K$6&amp;"_ATCO_Elec_Y_2",'Misc. Data &amp; Mechanisms'!$A$55:$DY$62,8,FALSE), FALSE)</f>
        <v>1.7100000000000001E-2</v>
      </c>
      <c r="Z86" s="338">
        <f t="shared" si="32"/>
        <v>7.8432387772288239</v>
      </c>
      <c r="AA86" s="333">
        <f t="shared" si="33"/>
        <v>1.7305726850401664</v>
      </c>
      <c r="AB86" s="291">
        <v>0.32600000000000001</v>
      </c>
      <c r="AC86" s="291">
        <v>0.19600000000000001</v>
      </c>
      <c r="AD86" s="291">
        <v>-7.2999999999999995E-2</v>
      </c>
      <c r="AI86" s="338">
        <f t="shared" si="34"/>
        <v>1.823976864617987</v>
      </c>
      <c r="AJ86" s="338">
        <f t="shared" si="35"/>
        <v>1.0966241271936361</v>
      </c>
      <c r="AK86" s="338">
        <f t="shared" si="36"/>
        <v>-0.40843653716905837</v>
      </c>
      <c r="AL86" s="338">
        <f t="shared" si="37"/>
        <v>0</v>
      </c>
      <c r="AM86" s="338">
        <f t="shared" si="56"/>
        <v>0</v>
      </c>
      <c r="AN86" s="338">
        <f t="shared" si="57"/>
        <v>0</v>
      </c>
      <c r="AO86" s="333">
        <f t="shared" si="52"/>
        <v>0</v>
      </c>
      <c r="AP86" s="200">
        <f>IF(OR($I$2="RRO (Capped)",$I$2="RRO (Uncapped)"),VLOOKUP(A86,'Misc. Data &amp; Mechanisms'!$A$1483:$H$1574,5,FALSE),BA86)</f>
        <v>0.35199999999999998</v>
      </c>
      <c r="AQ86" s="333">
        <f t="shared" si="53"/>
        <v>10.911999999999999</v>
      </c>
      <c r="AR86" s="388">
        <f>5%</f>
        <v>0.05</v>
      </c>
      <c r="AS86" s="341">
        <f>'Misc. Data &amp; Mechanisms'!AK359</f>
        <v>496.51938128268853</v>
      </c>
      <c r="AT86" s="1087">
        <f>'Misc. Data &amp; Mechanisms'!AP359</f>
        <v>494.66374590993314</v>
      </c>
      <c r="AU86" s="1087">
        <f>'Misc. Data &amp; Mechanisms'!T359</f>
        <v>559.50210571103889</v>
      </c>
      <c r="AV86" s="1087">
        <f>'Misc. Data &amp; Mechanisms'!U359</f>
        <v>424.61043511605465</v>
      </c>
      <c r="AW86" s="1087">
        <f>'Misc. Data &amp; Mechanisms'!V359</f>
        <v>314.23997645717151</v>
      </c>
      <c r="AX86" s="1463">
        <f>'Misc. Data &amp; Mechanisms'!$B$259</f>
        <v>611.34673880086393</v>
      </c>
      <c r="AY86" s="197">
        <f>IFERROR(IF('Personalized Bill Menu'!$B$30="Yes", IF('Personalized Bill Menu'!$B$34="Natural Gas",0,VLOOKUP($A86, 'Personalized Bill Menu'!$H$4:$L$93, 2, FALSE)), 0), 0)</f>
        <v>0</v>
      </c>
      <c r="AZ86" s="1343">
        <f>IFERROR(IF('Personalized Bill Menu'!$C$36="Custom", IF('Personalized Bill Menu'!$B$34="Natural Gas",0,VLOOKUP($A86, 'Personalized Bill Menu'!$H$4:$L$93, 3, FALSE)), 0), 0)</f>
        <v>0</v>
      </c>
      <c r="BA86" s="1344">
        <f>IFERROR(IF('Personalized Bill Menu'!$C$36="Custom", IF('Personalized Bill Menu'!$B$34="Natural Gas",0,VLOOKUP($A86, 'Personalized Bill Menu'!$H$4:$L$93, 4, FALSE)), 0), 0)</f>
        <v>0</v>
      </c>
    </row>
    <row r="87" spans="1:53" x14ac:dyDescent="0.35">
      <c r="A87" s="206">
        <v>43344</v>
      </c>
      <c r="B87" s="226">
        <f t="shared" si="39"/>
        <v>30</v>
      </c>
      <c r="C87" s="226">
        <f t="shared" si="40"/>
        <v>519.71749142499596</v>
      </c>
      <c r="D87" s="181">
        <f t="shared" si="41"/>
        <v>30.876221907771676</v>
      </c>
      <c r="E87" s="178">
        <f t="shared" si="42"/>
        <v>20.219600099999997</v>
      </c>
      <c r="F87" s="86">
        <f t="shared" si="43"/>
        <v>160.46912594588599</v>
      </c>
      <c r="G87" s="115">
        <f t="shared" si="44"/>
        <v>35.340789416899725</v>
      </c>
      <c r="H87" s="66">
        <f t="shared" si="45"/>
        <v>20.268982165574844</v>
      </c>
      <c r="I87" s="66">
        <f t="shared" si="38"/>
        <v>75.285026643747216</v>
      </c>
      <c r="J87" s="66">
        <f t="shared" si="46"/>
        <v>9.0394092333618676</v>
      </c>
      <c r="K87" s="66">
        <f t="shared" si="47"/>
        <v>2.3335315364982323</v>
      </c>
      <c r="L87" s="66">
        <f t="shared" si="48"/>
        <v>10.559999999999999</v>
      </c>
      <c r="M87" s="68">
        <f t="shared" si="27"/>
        <v>7.6413869498040956</v>
      </c>
      <c r="N87" s="273">
        <f>IF($I$2="RRO (Capped)",VLOOKUP(A87,'Misc. Data &amp; Mechanisms'!$A$1278:$E$1368,5,FALSE),IF($I$2="RRO (Uncapped)",VLOOKUP(A87,'Misc. Data &amp; Mechanisms'!$G$1278:$K$1368,5,FALSE),AZ87))</f>
        <v>6.8</v>
      </c>
      <c r="O87" s="333">
        <f t="shared" si="49"/>
        <v>35.340789416899725</v>
      </c>
      <c r="P87" s="125">
        <v>3.9</v>
      </c>
      <c r="Q87" s="333">
        <f t="shared" si="28"/>
        <v>20.268982165574844</v>
      </c>
      <c r="R87" s="125">
        <v>7.07</v>
      </c>
      <c r="S87" s="125">
        <v>99.72</v>
      </c>
      <c r="T87" s="125">
        <v>28.75</v>
      </c>
      <c r="U87" s="338">
        <f t="shared" si="29"/>
        <v>36.744026643747212</v>
      </c>
      <c r="V87" s="338">
        <f t="shared" si="30"/>
        <v>29.916</v>
      </c>
      <c r="W87" s="333">
        <f t="shared" si="31"/>
        <v>8.625</v>
      </c>
      <c r="X87" s="205">
        <f>VLOOKUP($A87,'Misc. Data &amp; Mechanisms'!$A$63:$DY$152,HLOOKUP('Service Zone Menu'!$K$6&amp;"_ATCO_Elec_Y_1",'Misc. Data &amp; Mechanisms'!$A$55:$DY$62,8,FALSE), FALSE)</f>
        <v>7.7499999999999999E-2</v>
      </c>
      <c r="Y87" s="205">
        <f>VLOOKUP($A87,'Misc. Data &amp; Mechanisms'!$A$63:$DY$152,HLOOKUP('Service Zone Menu'!$K$6&amp;"_ATCO_Elec_Y_2",'Misc. Data &amp; Mechanisms'!$A$55:$DY$62,8,FALSE), FALSE)</f>
        <v>1.7100000000000001E-2</v>
      </c>
      <c r="Z87" s="338">
        <f t="shared" si="32"/>
        <v>7.4054356827224597</v>
      </c>
      <c r="AA87" s="333">
        <f t="shared" si="33"/>
        <v>1.6339735506394073</v>
      </c>
      <c r="AB87" s="291">
        <v>0.32600000000000001</v>
      </c>
      <c r="AC87" s="291">
        <v>0.19600000000000001</v>
      </c>
      <c r="AD87" s="291">
        <v>-7.2999999999999995E-2</v>
      </c>
      <c r="AI87" s="338">
        <f t="shared" si="34"/>
        <v>1.6942790220454871</v>
      </c>
      <c r="AJ87" s="338">
        <f t="shared" si="35"/>
        <v>1.0186462831929921</v>
      </c>
      <c r="AK87" s="338">
        <f t="shared" si="36"/>
        <v>-0.37939376874024705</v>
      </c>
      <c r="AL87" s="338">
        <f t="shared" si="37"/>
        <v>0</v>
      </c>
      <c r="AM87" s="338">
        <f t="shared" si="56"/>
        <v>0</v>
      </c>
      <c r="AN87" s="338">
        <f t="shared" si="57"/>
        <v>0</v>
      </c>
      <c r="AO87" s="333">
        <f t="shared" si="52"/>
        <v>0</v>
      </c>
      <c r="AP87" s="200">
        <f>IF(OR($I$2="RRO (Capped)",$I$2="RRO (Uncapped)"),VLOOKUP(A87,'Misc. Data &amp; Mechanisms'!$A$1483:$H$1574,5,FALSE),BA87)</f>
        <v>0.35199999999999998</v>
      </c>
      <c r="AQ87" s="333">
        <f t="shared" si="53"/>
        <v>10.559999999999999</v>
      </c>
      <c r="AR87" s="388">
        <f>5%</f>
        <v>0.05</v>
      </c>
      <c r="AS87" s="341">
        <f>'Misc. Data &amp; Mechanisms'!AK360</f>
        <v>461.21329062057663</v>
      </c>
      <c r="AT87" s="1087">
        <f>'Misc. Data &amp; Mechanisms'!AP360</f>
        <v>476.3126833536345</v>
      </c>
      <c r="AU87" s="1087">
        <f>'Misc. Data &amp; Mechanisms'!T360</f>
        <v>519.71749142499596</v>
      </c>
      <c r="AV87" s="1087">
        <f>'Misc. Data &amp; Mechanisms'!U360</f>
        <v>394.41758649137824</v>
      </c>
      <c r="AW87" s="1087">
        <f>'Misc. Data &amp; Mechanisms'!V360</f>
        <v>291.89525937926913</v>
      </c>
      <c r="AX87" s="1463">
        <f>'Misc. Data &amp; Mechanisms'!$B$259</f>
        <v>611.34673880086393</v>
      </c>
      <c r="AY87" s="197">
        <f>IFERROR(IF('Personalized Bill Menu'!$B$30="Yes", IF('Personalized Bill Menu'!$B$34="Natural Gas",0,VLOOKUP($A87, 'Personalized Bill Menu'!$H$4:$L$93, 2, FALSE)), 0), 0)</f>
        <v>0</v>
      </c>
      <c r="AZ87" s="1343">
        <f>IFERROR(IF('Personalized Bill Menu'!$C$36="Custom", IF('Personalized Bill Menu'!$B$34="Natural Gas",0,VLOOKUP($A87, 'Personalized Bill Menu'!$H$4:$L$93, 3, FALSE)), 0), 0)</f>
        <v>0</v>
      </c>
      <c r="BA87" s="1344">
        <f>IFERROR(IF('Personalized Bill Menu'!$C$36="Custom", IF('Personalized Bill Menu'!$B$34="Natural Gas",0,VLOOKUP($A87, 'Personalized Bill Menu'!$H$4:$L$93, 4, FALSE)), 0), 0)</f>
        <v>0</v>
      </c>
    </row>
    <row r="88" spans="1:53" x14ac:dyDescent="0.35">
      <c r="A88" s="206">
        <v>43374</v>
      </c>
      <c r="B88" s="226">
        <f t="shared" si="39"/>
        <v>31</v>
      </c>
      <c r="C88" s="226">
        <f t="shared" si="40"/>
        <v>644.40240537041814</v>
      </c>
      <c r="D88" s="181">
        <f t="shared" si="41"/>
        <v>29.780511599607941</v>
      </c>
      <c r="E88" s="178">
        <f t="shared" si="42"/>
        <v>20.722550099999999</v>
      </c>
      <c r="F88" s="86">
        <f t="shared" si="43"/>
        <v>191.90633307948997</v>
      </c>
      <c r="G88" s="115">
        <f t="shared" si="44"/>
        <v>43.819363565188439</v>
      </c>
      <c r="H88" s="66">
        <f t="shared" si="45"/>
        <v>25.131693809446308</v>
      </c>
      <c r="I88" s="66">
        <f t="shared" si="38"/>
        <v>85.384950059688549</v>
      </c>
      <c r="J88" s="66">
        <f t="shared" si="46"/>
        <v>10.454874510020156</v>
      </c>
      <c r="K88" s="66">
        <f t="shared" si="47"/>
        <v>5.9800543218374802</v>
      </c>
      <c r="L88" s="66">
        <f t="shared" si="48"/>
        <v>11.997</v>
      </c>
      <c r="M88" s="68">
        <f t="shared" si="27"/>
        <v>9.138396813309047</v>
      </c>
      <c r="N88" s="273">
        <f>IF($I$2="RRO (Capped)",VLOOKUP(A88,'Misc. Data &amp; Mechanisms'!$A$1278:$E$1368,5,FALSE),IF($I$2="RRO (Uncapped)",VLOOKUP(A88,'Misc. Data &amp; Mechanisms'!$G$1278:$K$1368,5,FALSE),AZ88))</f>
        <v>6.8</v>
      </c>
      <c r="O88" s="333">
        <f t="shared" si="49"/>
        <v>43.819363565188439</v>
      </c>
      <c r="P88" s="125">
        <v>3.9</v>
      </c>
      <c r="Q88" s="333">
        <f t="shared" si="28"/>
        <v>25.131693809446308</v>
      </c>
      <c r="R88" s="125">
        <v>7.07</v>
      </c>
      <c r="S88" s="125">
        <v>99.72</v>
      </c>
      <c r="T88" s="125">
        <v>28.75</v>
      </c>
      <c r="U88" s="338">
        <f t="shared" si="29"/>
        <v>45.559250059688559</v>
      </c>
      <c r="V88" s="338">
        <f t="shared" si="30"/>
        <v>30.9132</v>
      </c>
      <c r="W88" s="333">
        <f t="shared" si="31"/>
        <v>8.9124999999999996</v>
      </c>
      <c r="X88" s="205">
        <f>VLOOKUP($A88,'Misc. Data &amp; Mechanisms'!$A$63:$DY$152,HLOOKUP('Service Zone Menu'!$K$6&amp;"_ATCO_Elec_Y_1",'Misc. Data &amp; Mechanisms'!$A$55:$DY$62,8,FALSE), FALSE)</f>
        <v>7.7499999999999999E-2</v>
      </c>
      <c r="Y88" s="205">
        <f>VLOOKUP($A88,'Misc. Data &amp; Mechanisms'!$A$63:$DY$152,HLOOKUP('Service Zone Menu'!$K$6&amp;"_ATCO_Elec_Y_2",'Misc. Data &amp; Mechanisms'!$A$55:$DY$62,8,FALSE), FALSE)</f>
        <v>1.7100000000000001E-2</v>
      </c>
      <c r="Z88" s="338">
        <f t="shared" si="32"/>
        <v>8.5650398998579504</v>
      </c>
      <c r="AA88" s="333">
        <f t="shared" si="33"/>
        <v>1.8898346101622061</v>
      </c>
      <c r="AB88" s="291">
        <v>0.32600000000000001</v>
      </c>
      <c r="AC88" s="291">
        <v>0.19600000000000001</v>
      </c>
      <c r="AD88" s="291">
        <v>0.40600000000000003</v>
      </c>
      <c r="AI88" s="338">
        <f t="shared" si="34"/>
        <v>2.1007518415075634</v>
      </c>
      <c r="AJ88" s="338">
        <f t="shared" si="35"/>
        <v>1.2630287145260195</v>
      </c>
      <c r="AK88" s="338">
        <f t="shared" si="36"/>
        <v>2.6162737658038977</v>
      </c>
      <c r="AL88" s="338">
        <f t="shared" si="37"/>
        <v>0</v>
      </c>
      <c r="AM88" s="338">
        <f t="shared" ref="AM88:AM90" si="58">AF88</f>
        <v>0</v>
      </c>
      <c r="AN88" s="338">
        <f t="shared" ref="AN88:AN90" si="59">AG88*B88</f>
        <v>0</v>
      </c>
      <c r="AO88" s="333">
        <f t="shared" si="52"/>
        <v>0</v>
      </c>
      <c r="AP88" s="200">
        <f>IF(OR($I$2="RRO (Capped)",$I$2="RRO (Uncapped)"),VLOOKUP(A88,'Misc. Data &amp; Mechanisms'!$A$1483:$H$1574,5,FALSE),BA88)</f>
        <v>0.38700000000000001</v>
      </c>
      <c r="AQ88" s="333">
        <f t="shared" si="53"/>
        <v>11.997</v>
      </c>
      <c r="AR88" s="388">
        <f>5%</f>
        <v>0.05</v>
      </c>
      <c r="AS88" s="341">
        <f>'Misc. Data &amp; Mechanisms'!AK361</f>
        <v>571.86251909629505</v>
      </c>
      <c r="AT88" s="1087">
        <f>'Misc. Data &amp; Mechanisms'!AP361</f>
        <v>518.24357537617379</v>
      </c>
      <c r="AU88" s="1087">
        <f>'Misc. Data &amp; Mechanisms'!T361</f>
        <v>644.40240537041814</v>
      </c>
      <c r="AV88" s="1087">
        <f>'Misc. Data &amp; Mechanisms'!U361</f>
        <v>489.0419230620011</v>
      </c>
      <c r="AW88" s="1087">
        <f>'Misc. Data &amp; Mechanisms'!V361</f>
        <v>361.92356494387661</v>
      </c>
      <c r="AX88" s="1463">
        <f>'Misc. Data &amp; Mechanisms'!$B$259</f>
        <v>611.34673880086393</v>
      </c>
      <c r="AY88" s="197">
        <f>IFERROR(IF('Personalized Bill Menu'!$B$30="Yes", IF('Personalized Bill Menu'!$B$34="Natural Gas",0,VLOOKUP($A88, 'Personalized Bill Menu'!$H$4:$L$93, 2, FALSE)), 0), 0)</f>
        <v>0</v>
      </c>
      <c r="AZ88" s="1343">
        <f>IFERROR(IF('Personalized Bill Menu'!$C$36="Custom", IF('Personalized Bill Menu'!$B$34="Natural Gas",0,VLOOKUP($A88, 'Personalized Bill Menu'!$H$4:$L$93, 3, FALSE)), 0), 0)</f>
        <v>0</v>
      </c>
      <c r="BA88" s="1344">
        <f>IFERROR(IF('Personalized Bill Menu'!$C$36="Custom", IF('Personalized Bill Menu'!$B$34="Natural Gas",0,VLOOKUP($A88, 'Personalized Bill Menu'!$H$4:$L$93, 4, FALSE)), 0), 0)</f>
        <v>0</v>
      </c>
    </row>
    <row r="89" spans="1:53" x14ac:dyDescent="0.35">
      <c r="A89" s="206">
        <v>43405</v>
      </c>
      <c r="B89" s="226">
        <f t="shared" si="39"/>
        <v>30</v>
      </c>
      <c r="C89" s="226">
        <f t="shared" si="40"/>
        <v>742.47453427030393</v>
      </c>
      <c r="D89" s="181">
        <f t="shared" si="41"/>
        <v>28.330464570159524</v>
      </c>
      <c r="E89" s="178">
        <f t="shared" si="42"/>
        <v>20.722550099999999</v>
      </c>
      <c r="F89" s="86">
        <f t="shared" si="43"/>
        <v>210.34648487390538</v>
      </c>
      <c r="G89" s="115">
        <f t="shared" si="44"/>
        <v>50.48826833038067</v>
      </c>
      <c r="H89" s="66">
        <f t="shared" si="45"/>
        <v>28.956506836541852</v>
      </c>
      <c r="I89" s="66">
        <f t="shared" si="38"/>
        <v>91.033949572910487</v>
      </c>
      <c r="J89" s="66">
        <f t="shared" si="46"/>
        <v>11.351097176334191</v>
      </c>
      <c r="K89" s="66">
        <f t="shared" si="47"/>
        <v>6.8901636780284212</v>
      </c>
      <c r="L89" s="66">
        <f t="shared" si="48"/>
        <v>11.61</v>
      </c>
      <c r="M89" s="68">
        <f t="shared" si="27"/>
        <v>10.01649927970978</v>
      </c>
      <c r="N89" s="273">
        <f>IF($I$2="RRO (Capped)",VLOOKUP(A89,'Misc. Data &amp; Mechanisms'!$A$1278:$E$1368,5,FALSE),IF($I$2="RRO (Uncapped)",VLOOKUP(A89,'Misc. Data &amp; Mechanisms'!$G$1278:$K$1368,5,FALSE),AZ89))</f>
        <v>6.8</v>
      </c>
      <c r="O89" s="333">
        <f t="shared" si="49"/>
        <v>50.48826833038067</v>
      </c>
      <c r="P89" s="125">
        <v>3.9</v>
      </c>
      <c r="Q89" s="333">
        <f t="shared" si="28"/>
        <v>28.956506836541852</v>
      </c>
      <c r="R89" s="125">
        <v>7.07</v>
      </c>
      <c r="S89" s="125">
        <v>99.72</v>
      </c>
      <c r="T89" s="125">
        <v>28.75</v>
      </c>
      <c r="U89" s="338">
        <f t="shared" si="29"/>
        <v>52.49294957291049</v>
      </c>
      <c r="V89" s="338">
        <f t="shared" si="30"/>
        <v>29.916</v>
      </c>
      <c r="W89" s="333">
        <f t="shared" si="31"/>
        <v>8.625</v>
      </c>
      <c r="X89" s="205">
        <f>VLOOKUP($A89,'Misc. Data &amp; Mechanisms'!$A$63:$DY$152,HLOOKUP('Service Zone Menu'!$K$6&amp;"_ATCO_Elec_Y_1",'Misc. Data &amp; Mechanisms'!$A$55:$DY$62,8,FALSE), FALSE)</f>
        <v>7.7499999999999999E-2</v>
      </c>
      <c r="Y89" s="205">
        <f>VLOOKUP($A89,'Misc. Data &amp; Mechanisms'!$A$63:$DY$152,HLOOKUP('Service Zone Menu'!$K$6&amp;"_ATCO_Elec_Y_2",'Misc. Data &amp; Mechanisms'!$A$55:$DY$62,8,FALSE), FALSE)</f>
        <v>1.7100000000000001E-2</v>
      </c>
      <c r="Z89" s="338">
        <f t="shared" si="32"/>
        <v>9.2992603717325562</v>
      </c>
      <c r="AA89" s="333">
        <f t="shared" si="33"/>
        <v>2.0518368046016349</v>
      </c>
      <c r="AB89" s="291">
        <v>0.32600000000000001</v>
      </c>
      <c r="AC89" s="291">
        <v>0.19600000000000001</v>
      </c>
      <c r="AD89" s="291">
        <v>0.40600000000000003</v>
      </c>
      <c r="AI89" s="338">
        <f t="shared" si="34"/>
        <v>2.4204669817211912</v>
      </c>
      <c r="AJ89" s="338">
        <f t="shared" si="35"/>
        <v>1.4552500871697958</v>
      </c>
      <c r="AK89" s="338">
        <f t="shared" si="36"/>
        <v>3.0144466091374342</v>
      </c>
      <c r="AL89" s="338">
        <f t="shared" si="37"/>
        <v>0</v>
      </c>
      <c r="AM89" s="338">
        <f t="shared" si="58"/>
        <v>0</v>
      </c>
      <c r="AN89" s="338">
        <f t="shared" si="59"/>
        <v>0</v>
      </c>
      <c r="AO89" s="333">
        <f t="shared" si="52"/>
        <v>0</v>
      </c>
      <c r="AP89" s="200">
        <f>IF(OR($I$2="RRO (Capped)",$I$2="RRO (Uncapped)"),VLOOKUP(A89,'Misc. Data &amp; Mechanisms'!$A$1483:$H$1574,5,FALSE),BA89)</f>
        <v>0.38700000000000001</v>
      </c>
      <c r="AQ89" s="333">
        <f t="shared" si="53"/>
        <v>11.61</v>
      </c>
      <c r="AR89" s="388">
        <f>5%</f>
        <v>0.05</v>
      </c>
      <c r="AS89" s="341">
        <f>'Misc. Data &amp; Mechanisms'!AK362</f>
        <v>658.89474339965864</v>
      </c>
      <c r="AT89" s="1087">
        <f>'Misc. Data &amp; Mechanisms'!AP362</f>
        <v>558.99945163674511</v>
      </c>
      <c r="AU89" s="1087">
        <f>'Misc. Data &amp; Mechanisms'!T362</f>
        <v>742.47453427030393</v>
      </c>
      <c r="AV89" s="1087">
        <f>'Misc. Data &amp; Mechanisms'!U362</f>
        <v>563.46961314552163</v>
      </c>
      <c r="AW89" s="1087">
        <f>'Misc. Data &amp; Mechanisms'!V362</f>
        <v>417.00500818069833</v>
      </c>
      <c r="AX89" s="1463">
        <f>'Misc. Data &amp; Mechanisms'!$B$259</f>
        <v>611.34673880086393</v>
      </c>
      <c r="AY89" s="197">
        <f>IFERROR(IF('Personalized Bill Menu'!$B$30="Yes", IF('Personalized Bill Menu'!$B$34="Natural Gas",0,VLOOKUP($A89, 'Personalized Bill Menu'!$H$4:$L$93, 2, FALSE)), 0), 0)</f>
        <v>0</v>
      </c>
      <c r="AZ89" s="1343">
        <f>IFERROR(IF('Personalized Bill Menu'!$C$36="Custom", IF('Personalized Bill Menu'!$B$34="Natural Gas",0,VLOOKUP($A89, 'Personalized Bill Menu'!$H$4:$L$93, 3, FALSE)), 0), 0)</f>
        <v>0</v>
      </c>
      <c r="BA89" s="1344">
        <f>IFERROR(IF('Personalized Bill Menu'!$C$36="Custom", IF('Personalized Bill Menu'!$B$34="Natural Gas",0,VLOOKUP($A89, 'Personalized Bill Menu'!$H$4:$L$93, 4, FALSE)), 0), 0)</f>
        <v>0</v>
      </c>
    </row>
    <row r="90" spans="1:53" x14ac:dyDescent="0.35">
      <c r="A90" s="229">
        <v>43435</v>
      </c>
      <c r="B90" s="231">
        <f t="shared" si="39"/>
        <v>31</v>
      </c>
      <c r="C90" s="231">
        <f t="shared" si="40"/>
        <v>948.20756343329401</v>
      </c>
      <c r="D90" s="208">
        <f t="shared" si="41"/>
        <v>26.878345943860751</v>
      </c>
      <c r="E90" s="208">
        <f t="shared" si="42"/>
        <v>20.722550099999999</v>
      </c>
      <c r="F90" s="342">
        <f t="shared" si="43"/>
        <v>254.86250916545364</v>
      </c>
      <c r="G90" s="343">
        <f t="shared" si="44"/>
        <v>64.47811431346399</v>
      </c>
      <c r="H90" s="344">
        <f t="shared" si="45"/>
        <v>36.980094973898467</v>
      </c>
      <c r="I90" s="344">
        <f t="shared" si="38"/>
        <v>106.86397473473389</v>
      </c>
      <c r="J90" s="344">
        <f t="shared" si="46"/>
        <v>13.607648994436621</v>
      </c>
      <c r="K90" s="344">
        <f t="shared" si="47"/>
        <v>8.7993661886609686</v>
      </c>
      <c r="L90" s="344">
        <f t="shared" si="48"/>
        <v>11.997</v>
      </c>
      <c r="M90" s="345">
        <f t="shared" si="27"/>
        <v>12.136309960259698</v>
      </c>
      <c r="N90" s="1243">
        <f>IF($I$2="RRO (Capped)",VLOOKUP(A90,'Misc. Data &amp; Mechanisms'!$A$1278:$E$1368,5,FALSE),IF($I$2="RRO (Uncapped)",VLOOKUP(A90,'Misc. Data &amp; Mechanisms'!$G$1278:$K$1368,5,FALSE),AZ90))</f>
        <v>6.8</v>
      </c>
      <c r="O90" s="346">
        <f t="shared" si="49"/>
        <v>64.47811431346399</v>
      </c>
      <c r="P90" s="1564">
        <v>3.9</v>
      </c>
      <c r="Q90" s="346">
        <f t="shared" si="28"/>
        <v>36.980094973898467</v>
      </c>
      <c r="R90" s="1564">
        <v>7.07</v>
      </c>
      <c r="S90" s="1564">
        <v>99.72</v>
      </c>
      <c r="T90" s="1564">
        <v>28.75</v>
      </c>
      <c r="U90" s="349">
        <f t="shared" si="29"/>
        <v>67.038274734733889</v>
      </c>
      <c r="V90" s="349">
        <f t="shared" si="30"/>
        <v>30.9132</v>
      </c>
      <c r="W90" s="346">
        <f t="shared" si="31"/>
        <v>8.9124999999999996</v>
      </c>
      <c r="X90" s="246">
        <f>VLOOKUP($A90,'Misc. Data &amp; Mechanisms'!$A$63:$DY$152,HLOOKUP('Service Zone Menu'!$K$6&amp;"_ATCO_Elec_Y_1",'Misc. Data &amp; Mechanisms'!$A$55:$DY$62,8,FALSE), FALSE)</f>
        <v>7.7499999999999999E-2</v>
      </c>
      <c r="Y90" s="246">
        <f>VLOOKUP($A90,'Misc. Data &amp; Mechanisms'!$A$63:$DY$152,HLOOKUP('Service Zone Menu'!$K$6&amp;"_ATCO_Elec_Y_2",'Misc. Data &amp; Mechanisms'!$A$55:$DY$62,8,FALSE), FALSE)</f>
        <v>1.7100000000000001E-2</v>
      </c>
      <c r="Z90" s="349">
        <f t="shared" si="32"/>
        <v>11.147915402419008</v>
      </c>
      <c r="AA90" s="346">
        <f t="shared" si="33"/>
        <v>2.4597335920176135</v>
      </c>
      <c r="AB90" s="293">
        <v>0.32600000000000001</v>
      </c>
      <c r="AC90" s="293">
        <v>0.19600000000000001</v>
      </c>
      <c r="AD90" s="293">
        <v>0.40600000000000003</v>
      </c>
      <c r="AE90" s="1565"/>
      <c r="AF90" s="1565"/>
      <c r="AG90" s="1565"/>
      <c r="AH90" s="1565"/>
      <c r="AI90" s="349">
        <f t="shared" si="34"/>
        <v>3.0911566567925388</v>
      </c>
      <c r="AJ90" s="349">
        <f t="shared" si="35"/>
        <v>1.8584868243292563</v>
      </c>
      <c r="AK90" s="349">
        <f t="shared" si="36"/>
        <v>3.8497227075391738</v>
      </c>
      <c r="AL90" s="349">
        <f t="shared" si="37"/>
        <v>0</v>
      </c>
      <c r="AM90" s="349">
        <f t="shared" si="58"/>
        <v>0</v>
      </c>
      <c r="AN90" s="349">
        <f t="shared" si="59"/>
        <v>0</v>
      </c>
      <c r="AO90" s="346">
        <f t="shared" si="52"/>
        <v>0</v>
      </c>
      <c r="AP90" s="239">
        <f>IF(OR($I$2="RRO (Capped)",$I$2="RRO (Uncapped)"),VLOOKUP(A90,'Misc. Data &amp; Mechanisms'!$A$1483:$H$1574,5,FALSE),BA90)</f>
        <v>0.38700000000000001</v>
      </c>
      <c r="AQ90" s="346">
        <f t="shared" si="53"/>
        <v>11.997</v>
      </c>
      <c r="AR90" s="396">
        <f>5%</f>
        <v>0.05</v>
      </c>
      <c r="AS90" s="352">
        <f>'Misc. Data &amp; Mechanisms'!AK363</f>
        <v>841.46856270567184</v>
      </c>
      <c r="AT90" s="1089">
        <f>'Misc. Data &amp; Mechanisms'!AP363</f>
        <v>636.47941123700036</v>
      </c>
      <c r="AU90" s="1089">
        <f>'Misc. Data &amp; Mechanisms'!T363</f>
        <v>948.20756343329401</v>
      </c>
      <c r="AV90" s="1089">
        <f>'Misc. Data &amp; Mechanisms'!U363</f>
        <v>719.60198537247675</v>
      </c>
      <c r="AW90" s="1089">
        <f>'Misc. Data &amp; Mechanisms'!V363</f>
        <v>532.55335300503316</v>
      </c>
      <c r="AX90" s="1464">
        <f>'Misc. Data &amp; Mechanisms'!$B$259</f>
        <v>611.34673880086393</v>
      </c>
      <c r="AY90" s="243">
        <f>IFERROR(IF('Personalized Bill Menu'!$B$30="Yes", IF('Personalized Bill Menu'!$B$34="Natural Gas",0,VLOOKUP($A90, 'Personalized Bill Menu'!$H$4:$L$93, 2, FALSE)), 0), 0)</f>
        <v>0</v>
      </c>
      <c r="AZ90" s="1560">
        <f>IFERROR(IF('Personalized Bill Menu'!$C$36="Custom", IF('Personalized Bill Menu'!$B$34="Natural Gas",0,VLOOKUP($A90, 'Personalized Bill Menu'!$H$4:$L$93, 3, FALSE)), 0), 0)</f>
        <v>0</v>
      </c>
      <c r="BA90" s="1346">
        <f>IFERROR(IF('Personalized Bill Menu'!$C$36="Custom", IF('Personalized Bill Menu'!$B$34="Natural Gas",0,VLOOKUP($A90, 'Personalized Bill Menu'!$H$4:$L$93, 4, FALSE)), 0), 0)</f>
        <v>0</v>
      </c>
    </row>
    <row r="91" spans="1:53" x14ac:dyDescent="0.35">
      <c r="A91" s="206">
        <v>43466</v>
      </c>
      <c r="B91" s="226">
        <f t="shared" si="39"/>
        <v>31</v>
      </c>
      <c r="C91" s="212">
        <f t="shared" si="40"/>
        <v>865.45922408532067</v>
      </c>
      <c r="D91" s="181">
        <f t="shared" si="41"/>
        <v>27.836788722365029</v>
      </c>
      <c r="E91" s="178">
        <f t="shared" si="42"/>
        <v>20.814952199999997</v>
      </c>
      <c r="F91" s="86">
        <f t="shared" si="43"/>
        <v>240.9160556868504</v>
      </c>
      <c r="G91" s="115">
        <f t="shared" si="44"/>
        <v>58.851227237801808</v>
      </c>
      <c r="H91" s="66">
        <f t="shared" si="45"/>
        <v>33.752909739327507</v>
      </c>
      <c r="I91" s="66">
        <f t="shared" si="38"/>
        <v>106.30526627194787</v>
      </c>
      <c r="J91" s="66">
        <f t="shared" si="46"/>
        <v>13.249503450666651</v>
      </c>
      <c r="K91" s="66">
        <f t="shared" si="47"/>
        <v>5.2879558591613085</v>
      </c>
      <c r="L91" s="66">
        <f t="shared" si="48"/>
        <v>11.997</v>
      </c>
      <c r="M91" s="68">
        <f t="shared" si="27"/>
        <v>11.472193127945259</v>
      </c>
      <c r="N91" s="1244">
        <f>IF($I$2="RRO (Capped)",VLOOKUP(A91,'Misc. Data &amp; Mechanisms'!$A$1278:$E$1368,5,FALSE),IF($I$2="RRO (Uncapped)",VLOOKUP(A91,'Misc. Data &amp; Mechanisms'!$G$1278:$K$1368,5,FALSE),AZ91))</f>
        <v>6.8</v>
      </c>
      <c r="O91" s="333">
        <f t="shared" si="49"/>
        <v>58.851227237801808</v>
      </c>
      <c r="P91" s="390">
        <v>3.9</v>
      </c>
      <c r="Q91" s="333">
        <f t="shared" si="28"/>
        <v>33.752909739327507</v>
      </c>
      <c r="R91" s="390">
        <v>7.44</v>
      </c>
      <c r="S91" s="390">
        <v>104.95</v>
      </c>
      <c r="T91" s="390">
        <v>30.26</v>
      </c>
      <c r="U91" s="338">
        <f t="shared" si="29"/>
        <v>64.390166271947862</v>
      </c>
      <c r="V91" s="338">
        <f t="shared" si="30"/>
        <v>32.534500000000001</v>
      </c>
      <c r="W91" s="333">
        <f t="shared" si="31"/>
        <v>9.3806000000000012</v>
      </c>
      <c r="X91" s="205">
        <f>VLOOKUP($A91,'Misc. Data &amp; Mechanisms'!$A$63:$DY$152,HLOOKUP('Service Zone Menu'!$K$6&amp;"_ATCO_Elec_Y_1",'Misc. Data &amp; Mechanisms'!$A$55:$DY$62,8,FALSE), FALSE)</f>
        <v>7.7499999999999999E-2</v>
      </c>
      <c r="Y91" s="205">
        <f>VLOOKUP($A91,'Misc. Data &amp; Mechanisms'!$A$63:$DY$152,HLOOKUP('Service Zone Menu'!$K$6&amp;"_ATCO_Elec_Y_2",'Misc. Data &amp; Mechanisms'!$A$55:$DY$62,8,FALSE), FALSE)</f>
        <v>1.7100000000000001E-2</v>
      </c>
      <c r="Z91" s="338">
        <f t="shared" si="32"/>
        <v>10.854508640873842</v>
      </c>
      <c r="AA91" s="333">
        <f t="shared" si="33"/>
        <v>2.3949948097928089</v>
      </c>
      <c r="AB91" s="291">
        <v>0.30499999999999999</v>
      </c>
      <c r="AC91" s="291">
        <v>0.33400000000000002</v>
      </c>
      <c r="AD91" s="291">
        <v>-2.8000000000000001E-2</v>
      </c>
      <c r="AE91" s="392"/>
      <c r="AF91" s="291"/>
      <c r="AG91" s="290"/>
      <c r="AH91" s="290"/>
      <c r="AI91" s="338">
        <f t="shared" si="34"/>
        <v>2.6396506334602279</v>
      </c>
      <c r="AJ91" s="338">
        <f t="shared" si="35"/>
        <v>2.8906338084449712</v>
      </c>
      <c r="AK91" s="338">
        <f t="shared" si="36"/>
        <v>-0.24232858274388983</v>
      </c>
      <c r="AL91" s="338">
        <f t="shared" si="37"/>
        <v>0</v>
      </c>
      <c r="AM91" s="338">
        <f t="shared" ref="AM91:AM93" si="60">AF91</f>
        <v>0</v>
      </c>
      <c r="AN91" s="338">
        <f t="shared" ref="AN91:AN93" si="61">AG91*B91</f>
        <v>0</v>
      </c>
      <c r="AO91" s="333">
        <f t="shared" si="52"/>
        <v>0</v>
      </c>
      <c r="AP91" s="200">
        <f>IF(OR($I$2="RRO (Capped)",$I$2="RRO (Uncapped)"),VLOOKUP(A91,'Misc. Data &amp; Mechanisms'!$A$1483:$H$1574,5,FALSE),BA91)</f>
        <v>0.38700000000000001</v>
      </c>
      <c r="AQ91" s="333">
        <f t="shared" si="53"/>
        <v>11.997</v>
      </c>
      <c r="AR91" s="388">
        <f>5%</f>
        <v>0.05</v>
      </c>
      <c r="AS91" s="359">
        <f>'Misc. Data &amp; Mechanisms'!AK364</f>
        <v>768.03514067589833</v>
      </c>
      <c r="AT91" s="1239">
        <f>'Misc. Data &amp; Mechanisms'!AP364</f>
        <v>615.09301063584405</v>
      </c>
      <c r="AU91" s="1087">
        <f>'Misc. Data &amp; Mechanisms'!T364</f>
        <v>865.45922408532067</v>
      </c>
      <c r="AV91" s="1087">
        <f>'Misc. Data &amp; Mechanisms'!U364</f>
        <v>656.80363659589466</v>
      </c>
      <c r="AW91" s="1087">
        <f>'Misc. Data &amp; Mechanisms'!V364</f>
        <v>486.07839617617248</v>
      </c>
      <c r="AX91" s="1463">
        <f>'Misc. Data &amp; Mechanisms'!$B$259</f>
        <v>611.34673880086393</v>
      </c>
      <c r="AY91" s="197">
        <f>IFERROR(IF('Personalized Bill Menu'!$B$30="Yes", IF('Personalized Bill Menu'!$B$34="Natural Gas",0,VLOOKUP($A91, 'Personalized Bill Menu'!$H$4:$L$93, 2, FALSE)), 0), 0)</f>
        <v>0</v>
      </c>
      <c r="AZ91" s="1343">
        <f>IFERROR(IF('Personalized Bill Menu'!$C$36="Custom", IF('Personalized Bill Menu'!$B$34="Natural Gas",0,VLOOKUP($A91, 'Personalized Bill Menu'!$H$4:$L$93, 3, FALSE)), 0), 0)</f>
        <v>0</v>
      </c>
      <c r="BA91" s="1344">
        <f>IFERROR(IF('Personalized Bill Menu'!$C$36="Custom", IF('Personalized Bill Menu'!$B$34="Natural Gas",0,VLOOKUP($A91, 'Personalized Bill Menu'!$H$4:$L$93, 4, FALSE)), 0), 0)</f>
        <v>0</v>
      </c>
    </row>
    <row r="92" spans="1:53" x14ac:dyDescent="0.35">
      <c r="A92" s="206">
        <v>43497</v>
      </c>
      <c r="B92" s="226">
        <f t="shared" si="39"/>
        <v>28</v>
      </c>
      <c r="C92" s="226">
        <f t="shared" si="40"/>
        <v>736.05483242627247</v>
      </c>
      <c r="D92" s="181">
        <f t="shared" si="41"/>
        <v>29.348720621454412</v>
      </c>
      <c r="E92" s="178">
        <f t="shared" si="42"/>
        <v>21.082859700000004</v>
      </c>
      <c r="F92" s="86">
        <f t="shared" si="43"/>
        <v>216.02267638950116</v>
      </c>
      <c r="G92" s="115">
        <f t="shared" si="44"/>
        <v>50.051728604986529</v>
      </c>
      <c r="H92" s="66">
        <f t="shared" si="45"/>
        <v>28.706138464624626</v>
      </c>
      <c r="I92" s="66">
        <f t="shared" si="38"/>
        <v>92.621279532514677</v>
      </c>
      <c r="J92" s="66">
        <f t="shared" si="46"/>
        <v>14.207440647465013</v>
      </c>
      <c r="K92" s="66">
        <f t="shared" si="47"/>
        <v>9.3132950261245249</v>
      </c>
      <c r="L92" s="66">
        <f t="shared" si="48"/>
        <v>10.836</v>
      </c>
      <c r="M92" s="68">
        <f t="shared" si="27"/>
        <v>10.286794113785771</v>
      </c>
      <c r="N92" s="273">
        <f>IF($I$2="RRO (Capped)",VLOOKUP(A92,'Misc. Data &amp; Mechanisms'!$A$1278:$E$1368,5,FALSE),IF($I$2="RRO (Uncapped)",VLOOKUP(A92,'Misc. Data &amp; Mechanisms'!$G$1278:$K$1368,5,FALSE),AZ92))</f>
        <v>6.8</v>
      </c>
      <c r="O92" s="333">
        <f t="shared" si="49"/>
        <v>50.051728604986529</v>
      </c>
      <c r="P92" s="390">
        <v>3.9</v>
      </c>
      <c r="Q92" s="333">
        <f t="shared" si="28"/>
        <v>28.706138464624626</v>
      </c>
      <c r="R92" s="390">
        <v>7.44</v>
      </c>
      <c r="S92" s="390">
        <v>104.95</v>
      </c>
      <c r="T92" s="390">
        <v>30.26</v>
      </c>
      <c r="U92" s="338">
        <f t="shared" si="29"/>
        <v>54.762479532514675</v>
      </c>
      <c r="V92" s="338">
        <f t="shared" si="30"/>
        <v>29.386000000000003</v>
      </c>
      <c r="W92" s="333">
        <f t="shared" si="31"/>
        <v>8.4728000000000012</v>
      </c>
      <c r="X92" s="205">
        <f>VLOOKUP($A92,'Misc. Data &amp; Mechanisms'!$A$63:$DY$152,HLOOKUP('Service Zone Menu'!$K$6&amp;"_ATCO_Elec_Y_1",'Misc. Data &amp; Mechanisms'!$A$55:$DY$62,8,FALSE), FALSE)</f>
        <v>0.1</v>
      </c>
      <c r="Y92" s="205">
        <f>VLOOKUP($A92,'Misc. Data &amp; Mechanisms'!$A$63:$DY$152,HLOOKUP('Service Zone Menu'!$K$6&amp;"_ATCO_Elec_Y_2",'Misc. Data &amp; Mechanisms'!$A$55:$DY$62,8,FALSE), FALSE)</f>
        <v>1.7100000000000001E-2</v>
      </c>
      <c r="Z92" s="338">
        <f t="shared" si="32"/>
        <v>12.132741799713932</v>
      </c>
      <c r="AA92" s="333">
        <f t="shared" si="33"/>
        <v>2.0746988477510824</v>
      </c>
      <c r="AB92" s="291">
        <v>0.30499999999999999</v>
      </c>
      <c r="AC92" s="291">
        <v>0.33400000000000002</v>
      </c>
      <c r="AD92" s="291">
        <v>-2.8000000000000001E-2</v>
      </c>
      <c r="AE92" s="392"/>
      <c r="AF92" s="291"/>
      <c r="AG92" s="290"/>
      <c r="AH92" s="290">
        <v>0.17199999999999999</v>
      </c>
      <c r="AI92" s="338">
        <f t="shared" si="34"/>
        <v>2.2449672389001307</v>
      </c>
      <c r="AJ92" s="338">
        <f t="shared" si="35"/>
        <v>2.4584231403037502</v>
      </c>
      <c r="AK92" s="338">
        <f t="shared" si="36"/>
        <v>-0.20609535307935631</v>
      </c>
      <c r="AL92" s="338">
        <f t="shared" si="37"/>
        <v>0</v>
      </c>
      <c r="AM92" s="338">
        <f t="shared" si="60"/>
        <v>0</v>
      </c>
      <c r="AN92" s="338">
        <f t="shared" si="61"/>
        <v>0</v>
      </c>
      <c r="AO92" s="333">
        <f t="shared" si="52"/>
        <v>4.8159999999999998</v>
      </c>
      <c r="AP92" s="200">
        <f>IF(OR($I$2="RRO (Capped)",$I$2="RRO (Uncapped)"),VLOOKUP(A92,'Misc. Data &amp; Mechanisms'!$A$1483:$H$1574,5,FALSE),BA92)</f>
        <v>0.38700000000000001</v>
      </c>
      <c r="AQ92" s="333">
        <f t="shared" si="53"/>
        <v>10.836</v>
      </c>
      <c r="AR92" s="388">
        <f>5%</f>
        <v>0.05</v>
      </c>
      <c r="AS92" s="341">
        <f>'Misc. Data &amp; Mechanisms'!AK365</f>
        <v>653.19770248581426</v>
      </c>
      <c r="AT92" s="1087">
        <f>'Misc. Data &amp; Mechanisms'!AP365</f>
        <v>628.7226143304714</v>
      </c>
      <c r="AU92" s="1087">
        <f>'Misc. Data &amp; Mechanisms'!T365</f>
        <v>736.05483242627247</v>
      </c>
      <c r="AV92" s="1087">
        <f>'Misc. Data &amp; Mechanisms'!U365</f>
        <v>558.59765222618705</v>
      </c>
      <c r="AW92" s="1087">
        <f>'Misc. Data &amp; Mechanisms'!V365</f>
        <v>413.39943290986565</v>
      </c>
      <c r="AX92" s="1463">
        <f>'Misc. Data &amp; Mechanisms'!$B$259</f>
        <v>611.34673880086393</v>
      </c>
      <c r="AY92" s="197">
        <f>IFERROR(IF('Personalized Bill Menu'!$B$30="Yes", IF('Personalized Bill Menu'!$B$34="Natural Gas",0,VLOOKUP($A92, 'Personalized Bill Menu'!$H$4:$L$93, 2, FALSE)), 0), 0)</f>
        <v>0</v>
      </c>
      <c r="AZ92" s="1343">
        <f>IFERROR(IF('Personalized Bill Menu'!$C$36="Custom", IF('Personalized Bill Menu'!$B$34="Natural Gas",0,VLOOKUP($A92, 'Personalized Bill Menu'!$H$4:$L$93, 3, FALSE)), 0), 0)</f>
        <v>0</v>
      </c>
      <c r="BA92" s="1344">
        <f>IFERROR(IF('Personalized Bill Menu'!$C$36="Custom", IF('Personalized Bill Menu'!$B$34="Natural Gas",0,VLOOKUP($A92, 'Personalized Bill Menu'!$H$4:$L$93, 4, FALSE)), 0), 0)</f>
        <v>0</v>
      </c>
    </row>
    <row r="93" spans="1:53" x14ac:dyDescent="0.35">
      <c r="A93" s="206">
        <v>43525</v>
      </c>
      <c r="B93" s="226">
        <f t="shared" si="39"/>
        <v>31</v>
      </c>
      <c r="C93" s="226">
        <f t="shared" si="40"/>
        <v>704.34444587134726</v>
      </c>
      <c r="D93" s="181">
        <f>IFERROR(($F93*100)/$C93, "")</f>
        <v>29.767508995741412</v>
      </c>
      <c r="E93" s="178">
        <f>(1+$AR93)*($N93+((1+$AE93)*(1+$X93+$Y93)*($P93+$R93))+$AB93+$AC93+$AD93)</f>
        <v>20.204009700000004</v>
      </c>
      <c r="F93" s="86">
        <f>SUM($G93:$M93)</f>
        <v>209.66579628575829</v>
      </c>
      <c r="G93" s="115">
        <f t="shared" si="44"/>
        <v>42.00005930730844</v>
      </c>
      <c r="H93" s="66">
        <f t="shared" si="45"/>
        <v>27.469433388982544</v>
      </c>
      <c r="I93" s="66">
        <f t="shared" si="38"/>
        <v>94.318326772828243</v>
      </c>
      <c r="J93" s="66">
        <f t="shared" si="46"/>
        <v>14.261346714948044</v>
      </c>
      <c r="K93" s="66">
        <f>SUM($AI93:$AO93)</f>
        <v>9.6355445642739319</v>
      </c>
      <c r="L93" s="66">
        <f t="shared" si="48"/>
        <v>11.997</v>
      </c>
      <c r="M93" s="68">
        <f>SUM($AR93)*SUM($G93:$L93)</f>
        <v>9.9840855374170623</v>
      </c>
      <c r="N93" s="273">
        <f>IF($I$2="RRO (Capped)",VLOOKUP(A93,'Misc. Data &amp; Mechanisms'!$A$1278:$E$1368,5,FALSE),IF($I$2="RRO (Uncapped)",VLOOKUP(A93,'Misc. Data &amp; Mechanisms'!$G$1278:$K$1368,5,FALSE),AZ93))</f>
        <v>5.9630000000000001</v>
      </c>
      <c r="O93" s="333">
        <f t="shared" si="49"/>
        <v>42.00005930730844</v>
      </c>
      <c r="P93" s="390">
        <v>3.9</v>
      </c>
      <c r="Q93" s="333">
        <f t="shared" si="28"/>
        <v>27.469433388982544</v>
      </c>
      <c r="R93" s="390">
        <v>7.44</v>
      </c>
      <c r="S93" s="390">
        <v>104.95</v>
      </c>
      <c r="T93" s="390">
        <v>30.26</v>
      </c>
      <c r="U93" s="338">
        <f t="shared" si="29"/>
        <v>52.403226772828241</v>
      </c>
      <c r="V93" s="338">
        <f t="shared" si="30"/>
        <v>32.534500000000001</v>
      </c>
      <c r="W93" s="333">
        <f t="shared" si="31"/>
        <v>9.3806000000000012</v>
      </c>
      <c r="X93" s="205">
        <f>VLOOKUP($A93,'Misc. Data &amp; Mechanisms'!$A$63:$DY$152,HLOOKUP('Service Zone Menu'!$K$6&amp;"_ATCO_Elec_Y_1",'Misc. Data &amp; Mechanisms'!$A$55:$DY$62,8,FALSE), FALSE)</f>
        <v>0.1</v>
      </c>
      <c r="Y93" s="205">
        <f>VLOOKUP($A93,'Misc. Data &amp; Mechanisms'!$A$63:$DY$152,HLOOKUP('Service Zone Menu'!$K$6&amp;"_ATCO_Elec_Y_2",'Misc. Data &amp; Mechanisms'!$A$55:$DY$62,8,FALSE), FALSE)</f>
        <v>1.7100000000000001E-2</v>
      </c>
      <c r="Z93" s="338">
        <f>$X93*($H93+$I93)</f>
        <v>12.178776016181079</v>
      </c>
      <c r="AA93" s="333">
        <f>$Y93*($H93+$I93)</f>
        <v>2.0825706987669643</v>
      </c>
      <c r="AB93" s="291">
        <v>0.30499999999999999</v>
      </c>
      <c r="AC93" s="291">
        <v>0.33400000000000002</v>
      </c>
      <c r="AD93" s="291">
        <v>-2.8000000000000001E-2</v>
      </c>
      <c r="AE93" s="392"/>
      <c r="AF93" s="291"/>
      <c r="AG93" s="290"/>
      <c r="AH93" s="290">
        <v>0.17199999999999999</v>
      </c>
      <c r="AI93" s="338">
        <f t="shared" si="34"/>
        <v>2.1482505599076092</v>
      </c>
      <c r="AJ93" s="338">
        <f t="shared" si="35"/>
        <v>2.3525104492102997</v>
      </c>
      <c r="AK93" s="338">
        <f t="shared" si="36"/>
        <v>-0.19721644484397727</v>
      </c>
      <c r="AL93" s="338">
        <f t="shared" si="37"/>
        <v>0</v>
      </c>
      <c r="AM93" s="338">
        <f t="shared" si="60"/>
        <v>0</v>
      </c>
      <c r="AN93" s="338">
        <f t="shared" si="61"/>
        <v>0</v>
      </c>
      <c r="AO93" s="333">
        <f>AH93*B93</f>
        <v>5.3319999999999999</v>
      </c>
      <c r="AP93" s="200">
        <f>IF(OR($I$2="RRO (Capped)",$I$2="RRO (Uncapped)"),VLOOKUP(A93,'Misc. Data &amp; Mechanisms'!$A$1483:$H$1574,5,FALSE),BA93)</f>
        <v>0.38700000000000001</v>
      </c>
      <c r="AQ93" s="333">
        <f t="shared" si="53"/>
        <v>11.997</v>
      </c>
      <c r="AR93" s="388">
        <f>5%</f>
        <v>0.05</v>
      </c>
      <c r="AS93" s="341">
        <f>'Misc. Data &amp; Mechanisms'!AK366</f>
        <v>625.0569299100307</v>
      </c>
      <c r="AT93" s="1087">
        <f>'Misc. Data &amp; Mechanisms'!AP366</f>
        <v>563.12747608717223</v>
      </c>
      <c r="AU93" s="1087">
        <f>'Misc. Data &amp; Mechanisms'!T366</f>
        <v>704.34444587134726</v>
      </c>
      <c r="AV93" s="1087">
        <f>'Misc. Data &amp; Mechanisms'!U366</f>
        <v>534.53239689408463</v>
      </c>
      <c r="AW93" s="1087">
        <f>'Misc. Data &amp; Mechanisms'!V366</f>
        <v>395.58954261141184</v>
      </c>
      <c r="AX93" s="1463">
        <f>'Misc. Data &amp; Mechanisms'!$B$259</f>
        <v>611.34673880086393</v>
      </c>
      <c r="AY93" s="197">
        <f>IFERROR(IF('Personalized Bill Menu'!$B$30="Yes", IF('Personalized Bill Menu'!$B$34="Natural Gas",0,VLOOKUP($A93, 'Personalized Bill Menu'!$H$4:$L$93, 2, FALSE)), 0), 0)</f>
        <v>0</v>
      </c>
      <c r="AZ93" s="1343">
        <f>IFERROR(IF('Personalized Bill Menu'!$C$36="Custom", IF('Personalized Bill Menu'!$B$34="Natural Gas",0,VLOOKUP($A93, 'Personalized Bill Menu'!$H$4:$L$93, 3, FALSE)), 0), 0)</f>
        <v>0</v>
      </c>
      <c r="BA93" s="1344">
        <f>IFERROR(IF('Personalized Bill Menu'!$C$36="Custom", IF('Personalized Bill Menu'!$B$34="Natural Gas",0,VLOOKUP($A93, 'Personalized Bill Menu'!$H$4:$L$93, 4, FALSE)), 0), 0)</f>
        <v>0</v>
      </c>
    </row>
    <row r="94" spans="1:53" x14ac:dyDescent="0.35">
      <c r="A94" s="206">
        <v>43556</v>
      </c>
      <c r="B94" s="226">
        <f t="shared" si="39"/>
        <v>30</v>
      </c>
      <c r="C94" s="1581">
        <f>IFERROR(VLOOKUP($A94,$A$5:$AY$96,MATCH($I$1,$A$5:$AY$5,0),FALSE),0)</f>
        <v>610.65550509118441</v>
      </c>
      <c r="D94" s="181">
        <f t="shared" ref="D94:D96" si="62">IFERROR(($F94*100)/$C94, "")</f>
        <v>30.922629452177851</v>
      </c>
      <c r="E94" s="178">
        <f t="shared" ref="E94:E96" si="63">(1+$AR94)*($N94+((1+$AE94)*(1+$X94+$Y94)*($P94+$R94))+$AB94+$AC94+$AD94)</f>
        <v>20.249787600000001</v>
      </c>
      <c r="F94" s="86">
        <f t="shared" ref="F94:F96" si="64">SUM($G94:$M94)</f>
        <v>188.83073906867202</v>
      </c>
      <c r="G94" s="115">
        <f t="shared" si="44"/>
        <v>36.187445231703592</v>
      </c>
      <c r="H94" s="66">
        <f t="shared" si="45"/>
        <v>23.815564698556191</v>
      </c>
      <c r="I94" s="66">
        <f t="shared" si="38"/>
        <v>85.995769578784135</v>
      </c>
      <c r="J94" s="66">
        <f t="shared" si="46"/>
        <v>12.82596384359335</v>
      </c>
      <c r="K94" s="66">
        <f t="shared" ref="K94:K96" si="65">SUM($AI94:$AO94)</f>
        <v>9.4040557603837307</v>
      </c>
      <c r="L94" s="66">
        <f t="shared" si="48"/>
        <v>11.61</v>
      </c>
      <c r="M94" s="68">
        <f t="shared" ref="M94:M96" si="66">SUM($AR94)*SUM($G94:$L94)</f>
        <v>8.9919399556510484</v>
      </c>
      <c r="N94" s="273">
        <f>IF($I$2="RRO (Capped)",VLOOKUP(A94,'Misc. Data &amp; Mechanisms'!$A$1278:$E$1368,5,FALSE),IF($I$2="RRO (Uncapped)",VLOOKUP(A94,'Misc. Data &amp; Mechanisms'!$G$1278:$K$1368,5,FALSE),AZ94))</f>
        <v>5.9260000000000002</v>
      </c>
      <c r="O94" s="333">
        <f t="shared" si="49"/>
        <v>36.187445231703592</v>
      </c>
      <c r="P94" s="125">
        <v>3.9</v>
      </c>
      <c r="Q94" s="333">
        <f t="shared" si="28"/>
        <v>23.815564698556191</v>
      </c>
      <c r="R94" s="125">
        <v>7.44</v>
      </c>
      <c r="S94" s="125">
        <v>104.95</v>
      </c>
      <c r="T94" s="125">
        <v>30.26</v>
      </c>
      <c r="U94" s="338">
        <f t="shared" si="29"/>
        <v>45.432769578784125</v>
      </c>
      <c r="V94" s="338">
        <f t="shared" si="30"/>
        <v>31.485000000000003</v>
      </c>
      <c r="W94" s="333">
        <f t="shared" si="31"/>
        <v>9.0780000000000012</v>
      </c>
      <c r="X94" s="205">
        <f>VLOOKUP($A94,'Misc. Data &amp; Mechanisms'!$A$63:$DY$152,HLOOKUP('Service Zone Menu'!$K$6&amp;"_ATCO_Elec_Y_1",'Misc. Data &amp; Mechanisms'!$A$55:$DY$62,8,FALSE), FALSE)</f>
        <v>0.1</v>
      </c>
      <c r="Y94" s="205">
        <f>VLOOKUP($A94,'Misc. Data &amp; Mechanisms'!$A$63:$DY$152,HLOOKUP('Service Zone Menu'!$K$6&amp;"_ATCO_Elec_Y_2",'Misc. Data &amp; Mechanisms'!$A$55:$DY$62,8,FALSE), FALSE)</f>
        <v>1.6799999999999999E-2</v>
      </c>
      <c r="Z94" s="338">
        <f t="shared" ref="Z94:Z96" si="67">$X94*($H94+$I94)</f>
        <v>10.981133427734033</v>
      </c>
      <c r="AA94" s="333">
        <f t="shared" ref="AA94:AA96" si="68">$Y94*($H94+$I94)</f>
        <v>1.8448304158593174</v>
      </c>
      <c r="AB94" s="291">
        <v>0.30499999999999999</v>
      </c>
      <c r="AC94" s="291">
        <v>0.33400000000000002</v>
      </c>
      <c r="AD94" s="291">
        <v>5.6000000000000001E-2</v>
      </c>
      <c r="AH94" s="290">
        <v>0.17199999999999999</v>
      </c>
      <c r="AI94" s="338">
        <f t="shared" si="34"/>
        <v>1.8624992905281124</v>
      </c>
      <c r="AJ94" s="338">
        <f t="shared" si="35"/>
        <v>2.0395893870045558</v>
      </c>
      <c r="AK94" s="338">
        <f t="shared" si="36"/>
        <v>0.34196708285106331</v>
      </c>
      <c r="AL94" s="338">
        <f t="shared" si="37"/>
        <v>0</v>
      </c>
      <c r="AM94" s="338">
        <f t="shared" ref="AM94:AM96" si="69">AF94</f>
        <v>0</v>
      </c>
      <c r="AN94" s="338">
        <f t="shared" ref="AN94:AN96" si="70">AG94*B94</f>
        <v>0</v>
      </c>
      <c r="AO94" s="333">
        <f t="shared" ref="AO94:AO96" si="71">AH94*B94</f>
        <v>5.1599999999999993</v>
      </c>
      <c r="AP94" s="200">
        <f>IF(OR($I$2="RRO (Capped)",$I$2="RRO (Uncapped)"),VLOOKUP(A94,'Misc. Data &amp; Mechanisms'!$A$1483:$H$1574,5,FALSE),BA94)</f>
        <v>0.38700000000000001</v>
      </c>
      <c r="AQ94" s="333">
        <f t="shared" si="53"/>
        <v>11.61</v>
      </c>
      <c r="AR94" s="388">
        <f>5%</f>
        <v>0.05</v>
      </c>
      <c r="AS94" s="341">
        <f>'Misc. Data &amp; Mechanisms'!AK367</f>
        <v>541.91448158969888</v>
      </c>
      <c r="AT94" s="1087">
        <f>'Misc. Data &amp; Mechanisms'!AP367</f>
        <v>476.24114859663291</v>
      </c>
      <c r="AU94" s="1087">
        <f>'Misc. Data &amp; Mechanisms'!T367</f>
        <v>610.65550509118441</v>
      </c>
      <c r="AV94" s="1087">
        <f>'Misc. Data &amp; Mechanisms'!U367</f>
        <v>463.43114186007284</v>
      </c>
      <c r="AW94" s="1087">
        <f>'Misc. Data &amp; Mechanisms'!V367</f>
        <v>342.9698826592101</v>
      </c>
      <c r="AX94" s="1463">
        <f>'Misc. Data &amp; Mechanisms'!$B$259</f>
        <v>611.34673880086393</v>
      </c>
      <c r="AY94" s="197">
        <f>IFERROR(IF('Personalized Bill Menu'!$B$30="Yes", IF('Personalized Bill Menu'!$B$34="Natural Gas",0,VLOOKUP($A94, 'Personalized Bill Menu'!$H$4:$L$93, 2, FALSE)), 0), 0)</f>
        <v>0</v>
      </c>
      <c r="AZ94" s="1343">
        <f>IFERROR(IF('Personalized Bill Menu'!$C$36="Custom", IF('Personalized Bill Menu'!$B$34="Natural Gas",0,VLOOKUP($A94, 'Personalized Bill Menu'!$H$4:$L$93, 3, FALSE)), 0), 0)</f>
        <v>0</v>
      </c>
      <c r="BA94" s="1344">
        <f>IFERROR(IF('Personalized Bill Menu'!$C$36="Custom", IF('Personalized Bill Menu'!$B$34="Natural Gas",0,VLOOKUP($A94, 'Personalized Bill Menu'!$H$4:$L$93, 4, FALSE)), 0), 0)</f>
        <v>0</v>
      </c>
    </row>
    <row r="95" spans="1:53" x14ac:dyDescent="0.35">
      <c r="A95" s="206">
        <v>43586</v>
      </c>
      <c r="B95" s="226">
        <f t="shared" si="39"/>
        <v>31</v>
      </c>
      <c r="C95" s="1581">
        <f t="shared" ref="C95:C96" si="72">IFERROR(VLOOKUP($A95,$A$5:$AY$96,MATCH($I$1,$A$5:$AY$5,0),FALSE),0)</f>
        <v>603.03194392111459</v>
      </c>
      <c r="D95" s="181">
        <f t="shared" si="62"/>
        <v>31.721265022575473</v>
      </c>
      <c r="E95" s="178">
        <f t="shared" si="63"/>
        <v>20.553237599999999</v>
      </c>
      <c r="F95" s="86">
        <f t="shared" si="64"/>
        <v>191.28936110200544</v>
      </c>
      <c r="G95" s="115">
        <f t="shared" si="44"/>
        <v>37.478435314697272</v>
      </c>
      <c r="H95" s="66">
        <f t="shared" si="45"/>
        <v>23.518245812923467</v>
      </c>
      <c r="I95" s="66">
        <f t="shared" si="38"/>
        <v>86.780676627730926</v>
      </c>
      <c r="J95" s="66">
        <f t="shared" si="46"/>
        <v>12.882914141068433</v>
      </c>
      <c r="K95" s="66">
        <f t="shared" si="65"/>
        <v>9.5230720102517452</v>
      </c>
      <c r="L95" s="66">
        <f t="shared" si="48"/>
        <v>11.997</v>
      </c>
      <c r="M95" s="68">
        <f t="shared" si="66"/>
        <v>9.1090171953335926</v>
      </c>
      <c r="N95" s="273">
        <f>IF($I$2="RRO (Capped)",VLOOKUP(A95,'Misc. Data &amp; Mechanisms'!$A$1278:$E$1368,5,FALSE),IF($I$2="RRO (Uncapped)",VLOOKUP(A95,'Misc. Data &amp; Mechanisms'!$G$1278:$K$1368,5,FALSE),AZ95))</f>
        <v>6.2149999999999999</v>
      </c>
      <c r="O95" s="333">
        <f t="shared" si="49"/>
        <v>37.478435314697272</v>
      </c>
      <c r="P95" s="125">
        <v>3.9</v>
      </c>
      <c r="Q95" s="333">
        <f t="shared" si="28"/>
        <v>23.518245812923467</v>
      </c>
      <c r="R95" s="125">
        <v>7.44</v>
      </c>
      <c r="S95" s="125">
        <v>104.95</v>
      </c>
      <c r="T95" s="125">
        <v>30.26</v>
      </c>
      <c r="U95" s="338">
        <f t="shared" si="29"/>
        <v>44.865576627730931</v>
      </c>
      <c r="V95" s="338">
        <f t="shared" si="30"/>
        <v>32.534500000000001</v>
      </c>
      <c r="W95" s="333">
        <f t="shared" si="31"/>
        <v>9.3806000000000012</v>
      </c>
      <c r="X95" s="205">
        <f>VLOOKUP($A95,'Misc. Data &amp; Mechanisms'!$A$63:$DY$152,HLOOKUP('Service Zone Menu'!$K$6&amp;"_ATCO_Elec_Y_1",'Misc. Data &amp; Mechanisms'!$A$55:$DY$62,8,FALSE), FALSE)</f>
        <v>0.1</v>
      </c>
      <c r="Y95" s="205">
        <f>VLOOKUP($A95,'Misc. Data &amp; Mechanisms'!$A$63:$DY$152,HLOOKUP('Service Zone Menu'!$K$6&amp;"_ATCO_Elec_Y_2",'Misc. Data &amp; Mechanisms'!$A$55:$DY$62,8,FALSE), FALSE)</f>
        <v>1.6799999999999999E-2</v>
      </c>
      <c r="Z95" s="338">
        <f t="shared" si="67"/>
        <v>11.02989224406544</v>
      </c>
      <c r="AA95" s="333">
        <f t="shared" si="68"/>
        <v>1.8530218970029937</v>
      </c>
      <c r="AB95" s="291">
        <v>0.30499999999999999</v>
      </c>
      <c r="AC95" s="291">
        <v>0.33400000000000002</v>
      </c>
      <c r="AD95" s="291">
        <v>5.6000000000000001E-2</v>
      </c>
      <c r="AH95" s="290">
        <v>0.17199999999999999</v>
      </c>
      <c r="AI95" s="338">
        <f t="shared" si="34"/>
        <v>1.8392474289593994</v>
      </c>
      <c r="AJ95" s="338">
        <f t="shared" si="35"/>
        <v>2.0141266926965229</v>
      </c>
      <c r="AK95" s="338">
        <f t="shared" si="36"/>
        <v>0.33769788859582422</v>
      </c>
      <c r="AL95" s="338">
        <f t="shared" si="37"/>
        <v>0</v>
      </c>
      <c r="AM95" s="338">
        <f t="shared" si="69"/>
        <v>0</v>
      </c>
      <c r="AN95" s="338">
        <f t="shared" si="70"/>
        <v>0</v>
      </c>
      <c r="AO95" s="333">
        <f t="shared" si="71"/>
        <v>5.3319999999999999</v>
      </c>
      <c r="AP95" s="200">
        <f>IF(OR($I$2="RRO (Capped)",$I$2="RRO (Uncapped)"),VLOOKUP(A95,'Misc. Data &amp; Mechanisms'!$A$1483:$H$1574,5,FALSE),BA95)</f>
        <v>0.38700000000000001</v>
      </c>
      <c r="AQ95" s="333">
        <f t="shared" si="53"/>
        <v>11.997</v>
      </c>
      <c r="AR95" s="388">
        <f>5%</f>
        <v>0.05</v>
      </c>
      <c r="AS95" s="341">
        <f>'Misc. Data &amp; Mechanisms'!AK368</f>
        <v>535.14909887407293</v>
      </c>
      <c r="AT95" s="1087">
        <f>'Misc. Data &amp; Mechanisms'!AP368</f>
        <v>471.85318476580102</v>
      </c>
      <c r="AU95" s="1087">
        <f>'Misc. Data &amp; Mechanisms'!T368</f>
        <v>603.03194392111459</v>
      </c>
      <c r="AV95" s="1087">
        <f>'Misc. Data &amp; Mechanisms'!U368</f>
        <v>457.64556287383573</v>
      </c>
      <c r="AW95" s="1087">
        <f>'Misc. Data &amp; Mechanisms'!V368</f>
        <v>338.68816922480204</v>
      </c>
      <c r="AX95" s="1463">
        <f>'Misc. Data &amp; Mechanisms'!$B$259</f>
        <v>611.34673880086393</v>
      </c>
      <c r="AY95" s="197">
        <f>IFERROR(IF('Personalized Bill Menu'!$B$30="Yes", IF('Personalized Bill Menu'!$B$34="Natural Gas",0,VLOOKUP($A95, 'Personalized Bill Menu'!$H$4:$L$93, 2, FALSE)), 0), 0)</f>
        <v>0</v>
      </c>
      <c r="AZ95" s="1343">
        <f>IFERROR(IF('Personalized Bill Menu'!$C$36="Custom", IF('Personalized Bill Menu'!$B$34="Natural Gas",0,VLOOKUP($A95, 'Personalized Bill Menu'!$H$4:$L$93, 3, FALSE)), 0), 0)</f>
        <v>0</v>
      </c>
      <c r="BA95" s="1344">
        <f>IFERROR(IF('Personalized Bill Menu'!$C$36="Custom", IF('Personalized Bill Menu'!$B$34="Natural Gas",0,VLOOKUP($A95, 'Personalized Bill Menu'!$H$4:$L$93, 4, FALSE)), 0), 0)</f>
        <v>0</v>
      </c>
    </row>
    <row r="96" spans="1:53" x14ac:dyDescent="0.35">
      <c r="A96" s="206">
        <v>43617</v>
      </c>
      <c r="B96" s="226">
        <f t="shared" si="39"/>
        <v>30</v>
      </c>
      <c r="C96" s="1581">
        <f t="shared" si="72"/>
        <v>485.17550346956835</v>
      </c>
      <c r="D96" s="181">
        <f t="shared" si="62"/>
        <v>34.129175887883058</v>
      </c>
      <c r="E96" s="178">
        <f t="shared" si="63"/>
        <v>20.696037600000004</v>
      </c>
      <c r="F96" s="86">
        <f t="shared" si="64"/>
        <v>165.58640094405118</v>
      </c>
      <c r="G96" s="115">
        <f t="shared" si="44"/>
        <v>30.813496225352285</v>
      </c>
      <c r="H96" s="66">
        <f t="shared" si="45"/>
        <v>18.921844635313168</v>
      </c>
      <c r="I96" s="66">
        <f t="shared" si="38"/>
        <v>76.660057458135896</v>
      </c>
      <c r="J96" s="66">
        <f t="shared" si="46"/>
        <v>11.16396616451485</v>
      </c>
      <c r="K96" s="66">
        <f t="shared" si="65"/>
        <v>8.5319697491135003</v>
      </c>
      <c r="L96" s="66">
        <f t="shared" si="48"/>
        <v>11.61</v>
      </c>
      <c r="M96" s="68">
        <f t="shared" si="66"/>
        <v>7.8850667116214854</v>
      </c>
      <c r="N96" s="273">
        <f>IF($I$2="RRO (Capped)",VLOOKUP(A96,'Misc. Data &amp; Mechanisms'!$A$1278:$E$1368,5,FALSE),IF($I$2="RRO (Uncapped)",VLOOKUP(A96,'Misc. Data &amp; Mechanisms'!$G$1278:$K$1368,5,FALSE),AZ96))</f>
        <v>6.351</v>
      </c>
      <c r="O96" s="333">
        <f t="shared" si="49"/>
        <v>30.813496225352285</v>
      </c>
      <c r="P96" s="125">
        <v>3.9</v>
      </c>
      <c r="Q96" s="333">
        <f t="shared" si="28"/>
        <v>18.921844635313168</v>
      </c>
      <c r="R96" s="125">
        <v>7.44</v>
      </c>
      <c r="S96" s="125">
        <v>104.95</v>
      </c>
      <c r="T96" s="125">
        <v>30.26</v>
      </c>
      <c r="U96" s="338">
        <f t="shared" si="29"/>
        <v>36.097057458135886</v>
      </c>
      <c r="V96" s="338">
        <f t="shared" si="30"/>
        <v>31.485000000000003</v>
      </c>
      <c r="W96" s="333">
        <f t="shared" si="31"/>
        <v>9.0780000000000012</v>
      </c>
      <c r="X96" s="205">
        <f>VLOOKUP($A96,'Misc. Data &amp; Mechanisms'!$A$63:$DY$152,HLOOKUP('Service Zone Menu'!$K$6&amp;"_ATCO_Elec_Y_1",'Misc. Data &amp; Mechanisms'!$A$55:$DY$62,8,FALSE), FALSE)</f>
        <v>0.1</v>
      </c>
      <c r="Y96" s="205">
        <f>VLOOKUP($A96,'Misc. Data &amp; Mechanisms'!$A$63:$DY$152,HLOOKUP('Service Zone Menu'!$K$6&amp;"_ATCO_Elec_Y_2",'Misc. Data &amp; Mechanisms'!$A$55:$DY$62,8,FALSE), FALSE)</f>
        <v>1.6799999999999999E-2</v>
      </c>
      <c r="Z96" s="338">
        <f t="shared" si="67"/>
        <v>9.5581902093449056</v>
      </c>
      <c r="AA96" s="333">
        <f t="shared" si="68"/>
        <v>1.6057759551699442</v>
      </c>
      <c r="AB96" s="291">
        <v>0.30499999999999999</v>
      </c>
      <c r="AC96" s="291">
        <v>0.33400000000000002</v>
      </c>
      <c r="AD96" s="291">
        <v>5.6000000000000001E-2</v>
      </c>
      <c r="AH96" s="290">
        <v>0.17199999999999999</v>
      </c>
      <c r="AI96" s="338">
        <f t="shared" si="34"/>
        <v>1.4797852855821834</v>
      </c>
      <c r="AJ96" s="338">
        <f t="shared" si="35"/>
        <v>1.6204861815883584</v>
      </c>
      <c r="AK96" s="338">
        <f t="shared" si="36"/>
        <v>0.27169828194295831</v>
      </c>
      <c r="AL96" s="338">
        <f t="shared" si="37"/>
        <v>0</v>
      </c>
      <c r="AM96" s="338">
        <f t="shared" si="69"/>
        <v>0</v>
      </c>
      <c r="AN96" s="338">
        <f t="shared" si="70"/>
        <v>0</v>
      </c>
      <c r="AO96" s="333">
        <f t="shared" si="71"/>
        <v>5.1599999999999993</v>
      </c>
      <c r="AP96" s="200">
        <f>IF(OR($I$2="RRO (Capped)",$I$2="RRO (Uncapped)"),VLOOKUP(A96,'Misc. Data &amp; Mechanisms'!$A$1483:$H$1574,5,FALSE),BA96)</f>
        <v>0.38700000000000001</v>
      </c>
      <c r="AQ96" s="333">
        <f t="shared" si="53"/>
        <v>11.61</v>
      </c>
      <c r="AR96" s="388">
        <f>5%</f>
        <v>0.05</v>
      </c>
      <c r="AS96" s="341">
        <f>'Misc. Data &amp; Mechanisms'!AK369</f>
        <v>430.55966784983286</v>
      </c>
      <c r="AT96" s="1087">
        <f>'Misc. Data &amp; Mechanisms'!AP369</f>
        <v>452.75495337955903</v>
      </c>
      <c r="AU96" s="1087">
        <f>'Misc. Data &amp; Mechanisms'!T369</f>
        <v>485.17550346956835</v>
      </c>
      <c r="AV96" s="1087">
        <f>'Misc. Data &amp; Mechanisms'!U369</f>
        <v>368.20340715975925</v>
      </c>
      <c r="AW96" s="1087">
        <f>'Misc. Data &amp; Mechanisms'!V369</f>
        <v>272.49502232725098</v>
      </c>
      <c r="AX96" s="1463">
        <f>'Misc. Data &amp; Mechanisms'!$B$259</f>
        <v>611.34673880086393</v>
      </c>
      <c r="AY96" s="197">
        <f>IFERROR(IF('Personalized Bill Menu'!$B$30="Yes", IF('Personalized Bill Menu'!$B$34="Natural Gas",0,VLOOKUP($A96, 'Personalized Bill Menu'!$H$4:$L$93, 2, FALSE)), 0), 0)</f>
        <v>0</v>
      </c>
      <c r="AZ96" s="1343">
        <f>IFERROR(IF('Personalized Bill Menu'!$C$36="Custom", IF('Personalized Bill Menu'!$B$34="Natural Gas",0,VLOOKUP($A96, 'Personalized Bill Menu'!$H$4:$L$93, 3, FALSE)), 0), 0)</f>
        <v>0</v>
      </c>
      <c r="BA96" s="1344">
        <f>IFERROR(IF('Personalized Bill Menu'!$C$36="Custom", IF('Personalized Bill Menu'!$B$34="Natural Gas",0,VLOOKUP($A96, 'Personalized Bill Menu'!$H$4:$L$93, 4, FALSE)), 0), 0)</f>
        <v>0</v>
      </c>
    </row>
  </sheetData>
  <sheetProtection sheet="1" objects="1" scenarios="1"/>
  <mergeCells count="33">
    <mergeCell ref="AO5:AO6"/>
    <mergeCell ref="AB4:AO4"/>
    <mergeCell ref="AZ4:BA4"/>
    <mergeCell ref="A4:F4"/>
    <mergeCell ref="AS4:AY4"/>
    <mergeCell ref="AK5:AK6"/>
    <mergeCell ref="AL5:AL6"/>
    <mergeCell ref="AQ5:AQ6"/>
    <mergeCell ref="O5:O6"/>
    <mergeCell ref="Q5:Q6"/>
    <mergeCell ref="U5:U6"/>
    <mergeCell ref="V5:V6"/>
    <mergeCell ref="W5:W6"/>
    <mergeCell ref="Z5:Z6"/>
    <mergeCell ref="AA5:AA6"/>
    <mergeCell ref="AI5:AI6"/>
    <mergeCell ref="AP4:AQ4"/>
    <mergeCell ref="I1:K1"/>
    <mergeCell ref="G4:M4"/>
    <mergeCell ref="N4:O4"/>
    <mergeCell ref="P4:Q4"/>
    <mergeCell ref="R4:W4"/>
    <mergeCell ref="X4:AA4"/>
    <mergeCell ref="N1:O1"/>
    <mergeCell ref="N2:O2"/>
    <mergeCell ref="F2:H2"/>
    <mergeCell ref="I2:K2"/>
    <mergeCell ref="AJ5:AJ6"/>
    <mergeCell ref="AM5:AM6"/>
    <mergeCell ref="AN5:AN6"/>
    <mergeCell ref="A1:D1"/>
    <mergeCell ref="A2:D2"/>
    <mergeCell ref="F1:H1"/>
  </mergeCells>
  <conditionalFormatting sqref="AE7:AE81">
    <cfRule type="cellIs" dxfId="10" priority="8" operator="lessThan">
      <formula>0</formula>
    </cfRule>
  </conditionalFormatting>
  <conditionalFormatting sqref="AE91:AE93">
    <cfRule type="cellIs" dxfId="9" priority="1" operator="lessThan">
      <formula>0</formula>
    </cfRule>
  </conditionalFormatting>
  <hyperlinks>
    <hyperlink ref="N2" location="'Elec. Analysis'!A1" display="Go to Electricity Analysis"/>
    <hyperlink ref="N1" location="'Regional Menu'!A1" display="Return to Regional Menu"/>
    <hyperlink ref="N1:O1" location="'Service Zone Menu'!A1" display="Return to Service Zone Menu"/>
  </hyperlink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theme="0" tint="-0.249977111117893"/>
  </sheetPr>
  <dimension ref="A1:AZ362"/>
  <sheetViews>
    <sheetView showGridLines="0" zoomScale="70" zoomScaleNormal="70" workbookViewId="0">
      <selection sqref="A1:Q2"/>
    </sheetView>
  </sheetViews>
  <sheetFormatPr defaultColWidth="9.1796875" defaultRowHeight="14" outlineLevelRow="1" x14ac:dyDescent="0.3"/>
  <cols>
    <col min="1" max="1" width="38" style="47" customWidth="1"/>
    <col min="2" max="2" width="4.453125" style="47" customWidth="1"/>
    <col min="3" max="3" width="17" style="47" customWidth="1"/>
    <col min="4" max="4" width="18.54296875" style="47" customWidth="1"/>
    <col min="5" max="5" width="12.81640625" style="47" customWidth="1"/>
    <col min="6" max="6" width="24" style="47" customWidth="1"/>
    <col min="7" max="7" width="10.54296875" style="47" customWidth="1"/>
    <col min="8" max="8" width="14" style="47" customWidth="1"/>
    <col min="9" max="9" width="15.453125" style="47" customWidth="1"/>
    <col min="10" max="10" width="10.1796875" style="47" customWidth="1"/>
    <col min="11" max="11" width="13.7265625" style="47" customWidth="1"/>
    <col min="12" max="12" width="10.7265625" style="47" customWidth="1"/>
    <col min="13" max="13" width="13.453125" style="47" customWidth="1"/>
    <col min="14" max="14" width="14.7265625" style="47" customWidth="1"/>
    <col min="15" max="15" width="11.453125" style="47" customWidth="1"/>
    <col min="16" max="16" width="14.453125" style="47" bestFit="1" customWidth="1"/>
    <col min="17" max="21" width="9.1796875" style="47"/>
    <col min="22" max="22" width="15.26953125" style="47" customWidth="1"/>
    <col min="23" max="23" width="14.81640625" style="47" customWidth="1"/>
    <col min="24" max="24" width="4.453125" style="47" customWidth="1"/>
    <col min="25" max="48" width="9.1796875" style="47"/>
    <col min="49" max="49" width="35.54296875" style="47" customWidth="1"/>
    <col min="50" max="50" width="12" style="47" customWidth="1"/>
    <col min="51" max="51" width="12.7265625" style="47" customWidth="1"/>
    <col min="52" max="52" width="11.7265625" style="47" customWidth="1"/>
    <col min="53" max="53" width="9.1796875" style="47" customWidth="1"/>
    <col min="54" max="54" width="25" style="47" customWidth="1"/>
    <col min="55" max="55" width="28.26953125" style="47" customWidth="1"/>
    <col min="56" max="56" width="9.1796875" style="47"/>
    <col min="57" max="57" width="8" style="47" customWidth="1"/>
    <col min="58" max="58" width="72" style="47" customWidth="1"/>
    <col min="59" max="59" width="25.7265625" style="47" customWidth="1"/>
    <col min="60" max="60" width="28.54296875" style="47" customWidth="1"/>
    <col min="61" max="16384" width="9.1796875" style="47"/>
  </cols>
  <sheetData>
    <row r="1" spans="1:25" ht="29.25" customHeight="1" x14ac:dyDescent="0.3">
      <c r="A1" s="1796" t="s">
        <v>619</v>
      </c>
      <c r="B1" s="1886"/>
      <c r="C1" s="1886"/>
      <c r="D1" s="1886"/>
      <c r="E1" s="1886"/>
      <c r="F1" s="1886"/>
      <c r="G1" s="1886"/>
      <c r="H1" s="1886"/>
      <c r="I1" s="1886"/>
      <c r="J1" s="1886"/>
      <c r="K1" s="1886"/>
      <c r="L1" s="1886"/>
      <c r="M1" s="1886"/>
      <c r="N1" s="1886"/>
      <c r="O1" s="1886"/>
      <c r="P1" s="1886"/>
      <c r="Q1" s="1886"/>
      <c r="R1" s="1828"/>
      <c r="S1" s="1828"/>
      <c r="T1" s="1828"/>
      <c r="U1" s="1828"/>
      <c r="V1" s="1828"/>
      <c r="W1" s="1828"/>
      <c r="X1" s="1828"/>
      <c r="Y1" s="1829"/>
    </row>
    <row r="2" spans="1:25" ht="18" customHeight="1" x14ac:dyDescent="0.3">
      <c r="A2" s="1887"/>
      <c r="B2" s="1888"/>
      <c r="C2" s="1888"/>
      <c r="D2" s="1888"/>
      <c r="E2" s="1888"/>
      <c r="F2" s="1888"/>
      <c r="G2" s="1888"/>
      <c r="H2" s="1888"/>
      <c r="I2" s="1888"/>
      <c r="J2" s="1888"/>
      <c r="K2" s="1888"/>
      <c r="L2" s="1888"/>
      <c r="M2" s="1888"/>
      <c r="N2" s="1888"/>
      <c r="O2" s="1888"/>
      <c r="P2" s="1888"/>
      <c r="Q2" s="1888"/>
      <c r="R2" s="1830"/>
      <c r="S2" s="1830"/>
      <c r="T2" s="1830"/>
      <c r="U2" s="1830"/>
      <c r="V2" s="1830"/>
      <c r="W2" s="1830"/>
      <c r="X2" s="1830"/>
      <c r="Y2" s="1831"/>
    </row>
    <row r="3" spans="1:25" ht="26.25" customHeight="1" x14ac:dyDescent="0.3">
      <c r="A3" s="1889" t="s">
        <v>617</v>
      </c>
      <c r="B3" s="1890"/>
      <c r="C3" s="1890"/>
      <c r="D3" s="1890"/>
      <c r="E3" s="1890"/>
      <c r="F3" s="1890"/>
      <c r="G3" s="1890"/>
      <c r="H3" s="1890"/>
      <c r="I3" s="1890"/>
      <c r="J3" s="1890"/>
      <c r="K3" s="1890"/>
      <c r="L3" s="1890"/>
      <c r="M3" s="1890"/>
      <c r="N3" s="1890"/>
      <c r="O3" s="1890"/>
      <c r="P3" s="1890"/>
      <c r="Q3" s="1890"/>
      <c r="R3" s="1830"/>
      <c r="S3" s="1830"/>
      <c r="T3" s="1830"/>
      <c r="U3" s="1830"/>
      <c r="V3" s="1830"/>
      <c r="W3" s="1830"/>
      <c r="X3" s="1830"/>
      <c r="Y3" s="1831"/>
    </row>
    <row r="4" spans="1:25" ht="15" customHeight="1" x14ac:dyDescent="0.3">
      <c r="A4" s="1889"/>
      <c r="B4" s="1890"/>
      <c r="C4" s="1890"/>
      <c r="D4" s="1890"/>
      <c r="E4" s="1890"/>
      <c r="F4" s="1890"/>
      <c r="G4" s="1890"/>
      <c r="H4" s="1890"/>
      <c r="I4" s="1890"/>
      <c r="J4" s="1890"/>
      <c r="K4" s="1890"/>
      <c r="L4" s="1890"/>
      <c r="M4" s="1890"/>
      <c r="N4" s="1890"/>
      <c r="O4" s="1890"/>
      <c r="P4" s="1890"/>
      <c r="Q4" s="1890"/>
      <c r="R4" s="1830"/>
      <c r="S4" s="1830"/>
      <c r="T4" s="1830"/>
      <c r="U4" s="1830"/>
      <c r="V4" s="1830"/>
      <c r="W4" s="1830"/>
      <c r="X4" s="1830"/>
      <c r="Y4" s="1831"/>
    </row>
    <row r="5" spans="1:25" ht="25.5" customHeight="1" x14ac:dyDescent="0.3">
      <c r="A5" s="1889"/>
      <c r="B5" s="1890"/>
      <c r="C5" s="1890"/>
      <c r="D5" s="1890"/>
      <c r="E5" s="1890"/>
      <c r="F5" s="1890"/>
      <c r="G5" s="1890"/>
      <c r="H5" s="1890"/>
      <c r="I5" s="1890"/>
      <c r="J5" s="1890"/>
      <c r="K5" s="1890"/>
      <c r="L5" s="1890"/>
      <c r="M5" s="1890"/>
      <c r="N5" s="1890"/>
      <c r="O5" s="1890"/>
      <c r="P5" s="1890"/>
      <c r="Q5" s="1890"/>
      <c r="R5" s="1830"/>
      <c r="S5" s="1830"/>
      <c r="T5" s="1830"/>
      <c r="U5" s="1830"/>
      <c r="V5" s="1830"/>
      <c r="W5" s="1830"/>
      <c r="X5" s="1830"/>
      <c r="Y5" s="1831"/>
    </row>
    <row r="6" spans="1:25" ht="18" customHeight="1" thickBot="1" x14ac:dyDescent="0.35">
      <c r="A6" s="1891"/>
      <c r="B6" s="1892"/>
      <c r="C6" s="1892"/>
      <c r="D6" s="1892"/>
      <c r="E6" s="1892"/>
      <c r="F6" s="1892"/>
      <c r="G6" s="1892"/>
      <c r="H6" s="1892"/>
      <c r="I6" s="1892"/>
      <c r="J6" s="1892"/>
      <c r="K6" s="1892"/>
      <c r="L6" s="1892"/>
      <c r="M6" s="1892"/>
      <c r="N6" s="1892"/>
      <c r="O6" s="1892"/>
      <c r="P6" s="1892"/>
      <c r="Q6" s="1892"/>
      <c r="R6" s="1832"/>
      <c r="S6" s="1832"/>
      <c r="T6" s="1832"/>
      <c r="U6" s="1832"/>
      <c r="V6" s="1832"/>
      <c r="W6" s="1832"/>
      <c r="X6" s="1832"/>
      <c r="Y6" s="1833"/>
    </row>
    <row r="7" spans="1:25" ht="18" customHeight="1" thickBot="1" x14ac:dyDescent="0.25">
      <c r="A7" s="1817"/>
      <c r="B7" s="1817"/>
      <c r="C7" s="575"/>
      <c r="D7" s="575"/>
      <c r="E7" s="575"/>
      <c r="F7" s="575"/>
      <c r="G7" s="612"/>
      <c r="H7" s="612"/>
    </row>
    <row r="8" spans="1:25" ht="54" customHeight="1" thickBot="1" x14ac:dyDescent="0.25">
      <c r="A8" s="1931" t="s">
        <v>247</v>
      </c>
      <c r="B8" s="1932"/>
      <c r="C8" s="1932"/>
      <c r="D8" s="1932"/>
      <c r="E8" s="1932"/>
      <c r="F8" s="1932"/>
      <c r="G8" s="1932"/>
      <c r="H8" s="1933"/>
      <c r="K8" s="1893" t="s">
        <v>478</v>
      </c>
      <c r="L8" s="1894"/>
      <c r="M8" s="1894"/>
      <c r="N8" s="1895"/>
      <c r="P8" s="612"/>
      <c r="Q8" s="612"/>
      <c r="R8" s="612"/>
      <c r="S8" s="612"/>
      <c r="V8" s="818" t="s">
        <v>61</v>
      </c>
      <c r="W8" s="818" t="s">
        <v>463</v>
      </c>
    </row>
    <row r="9" spans="1:25" ht="18.75" thickBot="1" x14ac:dyDescent="0.25">
      <c r="A9" s="2031"/>
      <c r="B9" s="2032"/>
      <c r="C9" s="2027" t="s">
        <v>246</v>
      </c>
      <c r="D9" s="2027"/>
      <c r="E9" s="2027"/>
      <c r="F9" s="1442" t="s">
        <v>248</v>
      </c>
      <c r="G9" s="1929" t="s">
        <v>554</v>
      </c>
      <c r="H9" s="1930"/>
      <c r="P9" s="612"/>
      <c r="Q9" s="612"/>
      <c r="R9" s="612"/>
      <c r="S9" s="612"/>
      <c r="V9" s="603">
        <v>2012</v>
      </c>
      <c r="W9" s="603" t="s">
        <v>99</v>
      </c>
    </row>
    <row r="10" spans="1:25" ht="28.5" customHeight="1" x14ac:dyDescent="0.3">
      <c r="A10" s="1916" t="s">
        <v>99</v>
      </c>
      <c r="B10" s="1917"/>
      <c r="C10" s="2028" t="str">
        <f>'ATCO-N'!$I$1</f>
        <v>Detached Home Consumption</v>
      </c>
      <c r="D10" s="2028"/>
      <c r="E10" s="2028"/>
      <c r="F10" s="1446" t="str">
        <f>'Service Zone Menu'!$X$3</f>
        <v>Edmonton</v>
      </c>
      <c r="G10" s="2040" t="str">
        <f>'Service Zone Menu'!$AB3</f>
        <v>DRT</v>
      </c>
      <c r="H10" s="2041"/>
      <c r="K10" s="2021" t="s">
        <v>365</v>
      </c>
      <c r="L10" s="2022"/>
      <c r="M10" s="2022"/>
      <c r="N10" s="2023"/>
      <c r="P10" s="612"/>
      <c r="Q10" s="612"/>
      <c r="R10" s="612"/>
      <c r="S10" s="612"/>
      <c r="V10" s="607">
        <v>2013</v>
      </c>
      <c r="W10" s="607" t="s">
        <v>100</v>
      </c>
    </row>
    <row r="11" spans="1:25" ht="27" customHeight="1" thickBot="1" x14ac:dyDescent="0.35">
      <c r="A11" s="1916" t="s">
        <v>100</v>
      </c>
      <c r="B11" s="1917"/>
      <c r="C11" s="2029" t="str">
        <f>'ATCO-S'!$I$1</f>
        <v>Detached Home Consumption</v>
      </c>
      <c r="D11" s="2029"/>
      <c r="E11" s="2029"/>
      <c r="F11" s="1447" t="str">
        <f>'Service Zone Menu'!$X$4</f>
        <v>Calgary</v>
      </c>
      <c r="G11" s="2042" t="str">
        <f>'Service Zone Menu'!$AB4</f>
        <v>DRT</v>
      </c>
      <c r="H11" s="2043"/>
      <c r="K11" s="2024"/>
      <c r="L11" s="2025"/>
      <c r="M11" s="2025"/>
      <c r="N11" s="2026"/>
      <c r="P11" s="612"/>
      <c r="Q11" s="612"/>
      <c r="R11" s="612"/>
      <c r="S11" s="612"/>
      <c r="V11" s="607">
        <v>2014</v>
      </c>
      <c r="W11" s="819" t="s">
        <v>101</v>
      </c>
    </row>
    <row r="12" spans="1:25" ht="27.75" customHeight="1" thickBot="1" x14ac:dyDescent="0.25">
      <c r="A12" s="1913" t="s">
        <v>101</v>
      </c>
      <c r="B12" s="1914"/>
      <c r="C12" s="2030" t="str">
        <f>AltaGas!$I$1</f>
        <v>Detached Home Consumption</v>
      </c>
      <c r="D12" s="2030"/>
      <c r="E12" s="2030"/>
      <c r="F12" s="1448" t="str">
        <f>'Service Zone Menu'!$X$5</f>
        <v>Athabasca</v>
      </c>
      <c r="G12" s="2044" t="str">
        <f>'Service Zone Menu'!$AB5</f>
        <v>DRT</v>
      </c>
      <c r="H12" s="2045"/>
      <c r="P12" s="612"/>
      <c r="Q12" s="612"/>
      <c r="R12" s="612"/>
      <c r="S12" s="612"/>
      <c r="V12" s="607">
        <v>2015</v>
      </c>
      <c r="W12" s="820"/>
    </row>
    <row r="13" spans="1:25" ht="17.25" customHeight="1" thickBot="1" x14ac:dyDescent="0.35">
      <c r="A13" s="1817"/>
      <c r="B13" s="1817"/>
      <c r="C13" s="612"/>
      <c r="D13" s="612"/>
      <c r="E13" s="612"/>
      <c r="F13" s="612"/>
      <c r="G13" s="612"/>
      <c r="K13" s="1896" t="s">
        <v>402</v>
      </c>
      <c r="L13" s="1897"/>
      <c r="M13" s="1897"/>
      <c r="N13" s="1898"/>
      <c r="P13" s="1918" t="s">
        <v>401</v>
      </c>
      <c r="Q13" s="1919"/>
      <c r="R13" s="1919"/>
      <c r="S13" s="1920"/>
      <c r="V13" s="607">
        <v>2016</v>
      </c>
      <c r="W13" s="612"/>
    </row>
    <row r="14" spans="1:25" ht="36.75" customHeight="1" thickBot="1" x14ac:dyDescent="0.35">
      <c r="A14" s="1804" t="str">
        <f>IF(AND(OR($C$10="Manually-Entered Consumption", $C$11="Manually-Entered Consumption",$C$12="Manually-Entered Consumption"), IF('Personalized Bill Menu'!$B$34="Natural Gas", COUNTBLANK('Personalized Bill Menu'!$U$4:$U$55)=COUNTA('Personalized Bill Menu'!$T$4:$T$55),IF('Personalized Bill Menu'!$B$34="Both",COUNTBLANK('Personalized Bill Menu'!$V$4:$V$55)=COUNTA('Personalized Bill Menu'!$T$4:$T$55), TRUE))), "Error: No manually-entered natural gas consumption values available:", "")</f>
        <v/>
      </c>
      <c r="B14" s="1804"/>
      <c r="C14" s="1804"/>
      <c r="D14" s="1804"/>
      <c r="E14" s="1854" t="str">
        <f>IF($A$14="", "", HYPERLINK('Personalized Bill Menu'!$B$30, "Go to Regulated Bill Menu"))</f>
        <v/>
      </c>
      <c r="F14" s="1855"/>
      <c r="G14" s="612"/>
      <c r="K14" s="1899"/>
      <c r="L14" s="1900"/>
      <c r="M14" s="1900"/>
      <c r="N14" s="1901"/>
      <c r="P14" s="1921"/>
      <c r="Q14" s="1922"/>
      <c r="R14" s="1922"/>
      <c r="S14" s="1923"/>
      <c r="V14" s="1127">
        <v>2017</v>
      </c>
    </row>
    <row r="15" spans="1:25" ht="36.75" customHeight="1" x14ac:dyDescent="0.2">
      <c r="A15" s="1119"/>
      <c r="B15" s="1119"/>
      <c r="C15" s="1119"/>
      <c r="D15" s="1119"/>
      <c r="E15" s="866"/>
      <c r="F15" s="866"/>
      <c r="G15" s="1120"/>
      <c r="K15" s="1216"/>
      <c r="L15" s="1216"/>
      <c r="M15" s="1216"/>
      <c r="N15" s="1216"/>
      <c r="P15" s="1217"/>
      <c r="Q15" s="1217"/>
      <c r="R15" s="1217"/>
      <c r="S15" s="1217"/>
      <c r="V15" s="1127">
        <v>2018</v>
      </c>
    </row>
    <row r="16" spans="1:25" ht="36.75" customHeight="1" x14ac:dyDescent="0.2">
      <c r="A16" s="1582"/>
      <c r="B16" s="1582"/>
      <c r="C16" s="1582"/>
      <c r="D16" s="1582"/>
      <c r="E16" s="866"/>
      <c r="F16" s="866"/>
      <c r="G16" s="1583"/>
      <c r="K16" s="1216"/>
      <c r="L16" s="1216"/>
      <c r="M16" s="1216"/>
      <c r="N16" s="1216"/>
      <c r="P16" s="1217"/>
      <c r="Q16" s="1217"/>
      <c r="R16" s="1217"/>
      <c r="S16" s="1217"/>
      <c r="V16" s="1588">
        <v>2019</v>
      </c>
    </row>
    <row r="17" spans="1:25" ht="15" thickBot="1" x14ac:dyDescent="0.25">
      <c r="A17" s="1818"/>
      <c r="B17" s="1818"/>
    </row>
    <row r="18" spans="1:25" ht="33" customHeight="1" outlineLevel="1" thickBot="1" x14ac:dyDescent="0.25">
      <c r="A18" s="1860" t="str">
        <f>"Cost Comparison " &amp;  A19 &amp; " by Service Zone"</f>
        <v>Cost Comparison 2019 by Service Zone</v>
      </c>
      <c r="B18" s="1861"/>
      <c r="C18" s="1862"/>
      <c r="D18" s="1862"/>
      <c r="E18" s="1863"/>
      <c r="F18" s="821"/>
      <c r="G18" s="644"/>
      <c r="H18" s="644"/>
      <c r="I18" s="644"/>
      <c r="J18" s="644"/>
      <c r="K18" s="644"/>
      <c r="L18" s="644"/>
      <c r="M18" s="644"/>
      <c r="N18" s="644"/>
      <c r="O18" s="644"/>
      <c r="P18" s="644"/>
      <c r="Q18" s="644"/>
      <c r="R18" s="644"/>
      <c r="S18" s="644"/>
      <c r="T18" s="644"/>
      <c r="U18" s="644"/>
      <c r="V18" s="644"/>
      <c r="W18" s="644"/>
      <c r="X18" s="644"/>
      <c r="Y18" s="645"/>
    </row>
    <row r="19" spans="1:25" s="826" customFormat="1" ht="21.75" customHeight="1" outlineLevel="1" thickBot="1" x14ac:dyDescent="0.3">
      <c r="A19" s="888">
        <v>2019</v>
      </c>
      <c r="B19" s="28" t="str">
        <f>HYPERLINK("#"&amp;ADDRESS(ROW(), COLUMN()-1), "€")</f>
        <v>€</v>
      </c>
      <c r="C19" s="890" t="s">
        <v>99</v>
      </c>
      <c r="D19" s="891" t="s">
        <v>100</v>
      </c>
      <c r="E19" s="891" t="s">
        <v>101</v>
      </c>
      <c r="F19" s="823"/>
      <c r="G19" s="824"/>
      <c r="H19" s="824"/>
      <c r="I19" s="824"/>
      <c r="J19" s="824"/>
      <c r="K19" s="824"/>
      <c r="L19" s="824"/>
      <c r="M19" s="824"/>
      <c r="N19" s="824"/>
      <c r="O19" s="824"/>
      <c r="P19" s="824"/>
      <c r="Q19" s="824"/>
      <c r="R19" s="824"/>
      <c r="S19" s="824"/>
      <c r="T19" s="824"/>
      <c r="U19" s="824"/>
      <c r="V19" s="824"/>
      <c r="W19" s="824"/>
      <c r="X19" s="824"/>
      <c r="Y19" s="825"/>
    </row>
    <row r="20" spans="1:25" ht="15" outlineLevel="1" x14ac:dyDescent="0.2">
      <c r="A20" s="2049" t="s">
        <v>59</v>
      </c>
      <c r="B20" s="2050"/>
      <c r="C20" s="893">
        <f ca="1">SUM(INDIRECT("'"&amp;C$19&amp;"'!"&amp;'Misc. Data &amp; Mechanisms'!P675&amp;(7+(($A$19-2012)*12))):INDIRECT("'"&amp;C$19&amp;"'!"&amp;'Misc. Data &amp; Mechanisms'!P675&amp;(18+(($A$19-2012)*12))))</f>
        <v>168.33</v>
      </c>
      <c r="D20" s="893">
        <f ca="1">SUM(INDIRECT("'"&amp;D$19&amp;"'!"&amp;'Misc. Data &amp; Mechanisms'!Q675&amp;(7+(($A$19-2012)*12))):INDIRECT("'"&amp;D$19&amp;"'!"&amp;'Misc. Data &amp; Mechanisms'!Q675&amp;(18+(($A$19-2012)*12))))</f>
        <v>151.49700000000001</v>
      </c>
      <c r="E20" s="893">
        <f ca="1">SUM(INDIRECT("'"&amp;E$19&amp;"'!"&amp;'Misc. Data &amp; Mechanisms'!R675&amp;(7+(($A$19-2012)*12))):INDIRECT("'"&amp;E$19&amp;"'!"&amp;'Misc. Data &amp; Mechanisms'!R675&amp;(18+(($A$19-2012)*12))))</f>
        <v>245.07400000000001</v>
      </c>
      <c r="F20" s="338"/>
      <c r="G20" s="612"/>
      <c r="H20" s="612"/>
      <c r="I20" s="612"/>
      <c r="J20" s="612"/>
      <c r="K20" s="612"/>
      <c r="L20" s="612"/>
      <c r="M20" s="612"/>
      <c r="N20" s="612"/>
      <c r="O20" s="612"/>
      <c r="P20" s="612"/>
      <c r="Q20" s="612"/>
      <c r="R20" s="612"/>
      <c r="S20" s="612"/>
      <c r="T20" s="612"/>
      <c r="U20" s="612"/>
      <c r="V20" s="612"/>
      <c r="W20" s="612"/>
      <c r="X20" s="612"/>
      <c r="Y20" s="647"/>
    </row>
    <row r="21" spans="1:25" ht="17.25" customHeight="1" outlineLevel="1" x14ac:dyDescent="0.3">
      <c r="A21" s="2051" t="s">
        <v>60</v>
      </c>
      <c r="B21" s="2052"/>
      <c r="C21" s="893">
        <f ca="1">SUM(INDIRECT("'"&amp;C$19&amp;"'!"&amp;'Misc. Data &amp; Mechanisms'!P676&amp;(7+(($A$19-2012)*12))):INDIRECT("'"&amp;C$19&amp;"'!"&amp;'Misc. Data &amp; Mechanisms'!P676&amp;(18+(($A$19-2012)*12))))</f>
        <v>66.301949138982977</v>
      </c>
      <c r="D21" s="893">
        <f ca="1">SUM(INDIRECT("'"&amp;D$19&amp;"'!"&amp;'Misc. Data &amp; Mechanisms'!Q676&amp;(7+(($A$19-2012)*12))):INDIRECT("'"&amp;D$19&amp;"'!"&amp;'Misc. Data &amp; Mechanisms'!Q676&amp;(18+(($A$19-2012)*12))))</f>
        <v>65.978912546810008</v>
      </c>
      <c r="E21" s="893">
        <f ca="1">SUM(INDIRECT("'"&amp;E$19&amp;"'!"&amp;'Misc. Data &amp; Mechanisms'!R676&amp;(7+(($A$19-2012)*12))):INDIRECT("'"&amp;E$19&amp;"'!"&amp;'Misc. Data &amp; Mechanisms'!R676&amp;(18+(($A$19-2012)*12))))</f>
        <v>180.99863736485591</v>
      </c>
      <c r="F21" s="338"/>
      <c r="G21" s="612"/>
      <c r="H21" s="612"/>
      <c r="I21" s="612"/>
      <c r="J21" s="612"/>
      <c r="K21" s="612"/>
      <c r="L21" s="612"/>
      <c r="M21" s="612"/>
      <c r="N21" s="612"/>
      <c r="O21" s="612"/>
      <c r="P21" s="612"/>
      <c r="Q21" s="612"/>
      <c r="R21" s="612"/>
      <c r="S21" s="612"/>
      <c r="T21" s="612"/>
      <c r="U21" s="612"/>
      <c r="V21" s="612"/>
      <c r="W21" s="612"/>
      <c r="X21" s="612"/>
      <c r="Y21" s="647"/>
    </row>
    <row r="22" spans="1:25" ht="30.75" customHeight="1" outlineLevel="1" x14ac:dyDescent="0.3">
      <c r="A22" s="2051" t="s">
        <v>62</v>
      </c>
      <c r="B22" s="2052"/>
      <c r="C22" s="827">
        <f ca="1">SUM(INDIRECT("'"&amp;C$19&amp;"'!"&amp;'Misc. Data &amp; Mechanisms'!P677&amp;(7+(($A$19-2012)*12))):INDIRECT("'"&amp;C$19&amp;"'!"&amp;'Misc. Data &amp; Mechanisms'!P677&amp;(18+(($A$19-2012)*12))))</f>
        <v>121.93913099749973</v>
      </c>
      <c r="D22" s="827">
        <f ca="1">SUM(INDIRECT("'"&amp;D$19&amp;"'!"&amp;'Misc. Data &amp; Mechanisms'!Q677&amp;(7+(($A$19-2012)*12))):INDIRECT("'"&amp;D$19&amp;"'!"&amp;'Misc. Data &amp; Mechanisms'!Q677&amp;(18+(($A$19-2012)*12))))</f>
        <v>50.774457608734913</v>
      </c>
      <c r="E22" s="827">
        <f ca="1">SUM(INDIRECT("'"&amp;E$19&amp;"'!"&amp;'Misc. Data &amp; Mechanisms'!R677&amp;(7+(($A$19-2012)*12))):INDIRECT("'"&amp;E$19&amp;"'!"&amp;'Misc. Data &amp; Mechanisms'!R677&amp;(18+(($A$19-2012)*12))))</f>
        <v>59.355001743990989</v>
      </c>
      <c r="F22" s="338"/>
      <c r="G22" s="612"/>
      <c r="H22" s="612"/>
      <c r="I22" s="612"/>
      <c r="J22" s="612"/>
      <c r="K22" s="612"/>
      <c r="L22" s="612"/>
      <c r="M22" s="612"/>
      <c r="N22" s="612"/>
      <c r="O22" s="612"/>
      <c r="P22" s="612"/>
      <c r="Q22" s="612"/>
      <c r="R22" s="612"/>
      <c r="S22" s="612"/>
      <c r="T22" s="612"/>
      <c r="U22" s="612"/>
      <c r="V22" s="612"/>
      <c r="W22" s="612"/>
      <c r="X22" s="612"/>
      <c r="Y22" s="647"/>
    </row>
    <row r="23" spans="1:25" outlineLevel="1" x14ac:dyDescent="0.3">
      <c r="A23" s="2051" t="s">
        <v>9</v>
      </c>
      <c r="B23" s="2052"/>
      <c r="C23" s="893">
        <f ca="1">SUM(INDIRECT("'"&amp;C$19&amp;"'!"&amp;'Misc. Data &amp; Mechanisms'!P678&amp;(7+(($A$19-2012)*12))):INDIRECT("'"&amp;C$19&amp;"'!"&amp;'Misc. Data &amp; Mechanisms'!P678&amp;(18+(($A$19-2012)*12))))</f>
        <v>79.498538883639327</v>
      </c>
      <c r="D23" s="893">
        <f ca="1">SUM(INDIRECT("'"&amp;D$19&amp;"'!"&amp;'Misc. Data &amp; Mechanisms'!Q678&amp;(7+(($A$19-2012)*12))):INDIRECT("'"&amp;D$19&amp;"'!"&amp;'Misc. Data &amp; Mechanisms'!Q678&amp;(18+(($A$19-2012)*12))))</f>
        <v>65.600137220658439</v>
      </c>
      <c r="E23" s="893">
        <f ca="1">SUM(INDIRECT("'"&amp;E$19&amp;"'!"&amp;'Misc. Data &amp; Mechanisms'!R678&amp;(7+(($A$19-2012)*12))):INDIRECT("'"&amp;E$19&amp;"'!"&amp;'Misc. Data &amp; Mechanisms'!R678&amp;(18+(($A$19-2012)*12))))</f>
        <v>25.321567617459863</v>
      </c>
      <c r="F23" s="828"/>
      <c r="G23" s="612"/>
      <c r="H23" s="612"/>
      <c r="I23" s="612"/>
      <c r="J23" s="612"/>
      <c r="K23" s="612"/>
      <c r="L23" s="612"/>
      <c r="M23" s="612"/>
      <c r="N23" s="612"/>
      <c r="O23" s="612"/>
      <c r="P23" s="612"/>
      <c r="Q23" s="612"/>
      <c r="R23" s="612"/>
      <c r="S23" s="612"/>
      <c r="T23" s="612"/>
      <c r="U23" s="612"/>
      <c r="V23" s="612"/>
      <c r="W23" s="612"/>
      <c r="X23" s="612"/>
      <c r="Y23" s="647"/>
    </row>
    <row r="24" spans="1:25" outlineLevel="1" x14ac:dyDescent="0.3">
      <c r="A24" s="2051" t="s">
        <v>65</v>
      </c>
      <c r="B24" s="2052"/>
      <c r="C24" s="893">
        <f ca="1">SUM(INDIRECT("'"&amp;C$19&amp;"'!"&amp;'Misc. Data &amp; Mechanisms'!P679&amp;(7+(($A$19-2012)*12))):INDIRECT("'"&amp;C$19&amp;"'!"&amp;'Misc. Data &amp; Mechanisms'!P679&amp;(18+(($A$19-2012)*12))))</f>
        <v>169.42499278925166</v>
      </c>
      <c r="D24" s="893">
        <f ca="1">SUM(INDIRECT("'"&amp;D$19&amp;"'!"&amp;'Misc. Data &amp; Mechanisms'!Q679&amp;(7+(($A$19-2012)*12))):INDIRECT("'"&amp;D$19&amp;"'!"&amp;'Misc. Data &amp; Mechanisms'!Q679&amp;(18+(($A$19-2012)*12))))</f>
        <v>173.93977029315181</v>
      </c>
      <c r="E24" s="893">
        <f ca="1">SUM(INDIRECT("'"&amp;E$19&amp;"'!"&amp;'Misc. Data &amp; Mechanisms'!R679&amp;(7+(($A$19-2012)*12))):INDIRECT("'"&amp;E$19&amp;"'!"&amp;'Misc. Data &amp; Mechanisms'!R679&amp;(18+(($A$19-2012)*12))))</f>
        <v>175.65295846626515</v>
      </c>
      <c r="F24" s="338"/>
      <c r="G24" s="612"/>
      <c r="H24" s="612"/>
      <c r="I24" s="612"/>
      <c r="J24" s="612"/>
      <c r="K24" s="612"/>
      <c r="L24" s="612"/>
      <c r="M24" s="612"/>
      <c r="N24" s="612"/>
      <c r="O24" s="612"/>
      <c r="P24" s="612"/>
      <c r="Q24" s="612"/>
      <c r="R24" s="612"/>
      <c r="S24" s="612"/>
      <c r="T24" s="612"/>
      <c r="U24" s="612"/>
      <c r="V24" s="612"/>
      <c r="W24" s="612"/>
      <c r="X24" s="612"/>
      <c r="Y24" s="647"/>
    </row>
    <row r="25" spans="1:25" outlineLevel="1" x14ac:dyDescent="0.3">
      <c r="A25" s="2051" t="s">
        <v>66</v>
      </c>
      <c r="B25" s="2052"/>
      <c r="C25" s="893">
        <f ca="1">SUM(INDIRECT("'"&amp;C$19&amp;"'!"&amp;'Misc. Data &amp; Mechanisms'!P680&amp;(7+(($A$19-2012)*12))):INDIRECT("'"&amp;C$19&amp;"'!"&amp;'Misc. Data &amp; Mechanisms'!P680&amp;(18+(($A$19-2012)*12))))</f>
        <v>49.231999999999999</v>
      </c>
      <c r="D25" s="893">
        <f ca="1">SUM(INDIRECT("'"&amp;D$19&amp;"'!"&amp;'Misc. Data &amp; Mechanisms'!Q680&amp;(7+(($A$19-2012)*12))):INDIRECT("'"&amp;D$19&amp;"'!"&amp;'Misc. Data &amp; Mechanisms'!Q680&amp;(18+(($A$19-2012)*12))))</f>
        <v>49.231999999999999</v>
      </c>
      <c r="E25" s="893">
        <f ca="1">SUM(INDIRECT("'"&amp;E$19&amp;"'!"&amp;'Misc. Data &amp; Mechanisms'!R680&amp;(7+(($A$19-2012)*12))):INDIRECT("'"&amp;E$19&amp;"'!"&amp;'Misc. Data &amp; Mechanisms'!R680&amp;(18+(($A$19-2012)*12))))</f>
        <v>15.023000000000001</v>
      </c>
      <c r="F25" s="338"/>
      <c r="G25" s="612"/>
      <c r="H25" s="612"/>
      <c r="I25" s="612"/>
      <c r="J25" s="612"/>
      <c r="K25" s="612"/>
      <c r="L25" s="612"/>
      <c r="M25" s="612"/>
      <c r="N25" s="612"/>
      <c r="O25" s="612"/>
      <c r="P25" s="612"/>
      <c r="Q25" s="612"/>
      <c r="R25" s="612"/>
      <c r="S25" s="612"/>
      <c r="T25" s="612"/>
      <c r="U25" s="612"/>
      <c r="V25" s="612"/>
      <c r="W25" s="612"/>
      <c r="X25" s="612"/>
      <c r="Y25" s="647"/>
    </row>
    <row r="26" spans="1:25" outlineLevel="1" x14ac:dyDescent="0.3">
      <c r="A26" s="2051" t="s">
        <v>576</v>
      </c>
      <c r="B26" s="2052"/>
      <c r="C26" s="893">
        <f ca="1">SUM(INDIRECT("'"&amp;C$19&amp;"'!"&amp;'Misc. Data &amp; Mechanisms'!P681&amp;(7+(($A$19-2012)*12))):INDIRECT("'"&amp;C$19&amp;"'!"&amp;'Misc. Data &amp; Mechanisms'!P681&amp;(18+(($A$19-2012)*12))))</f>
        <v>113.13391153529939</v>
      </c>
      <c r="D26" s="893">
        <f ca="1">SUM(INDIRECT("'"&amp;D$19&amp;"'!"&amp;'Misc. Data &amp; Mechanisms'!Q681&amp;(7+(($A$19-2012)*12))):INDIRECT("'"&amp;D$19&amp;"'!"&amp;'Misc. Data &amp; Mechanisms'!Q681&amp;(18+(($A$19-2012)*12))))</f>
        <v>114.32164769279609</v>
      </c>
      <c r="E26" s="893">
        <f ca="1">SUM(INDIRECT("'"&amp;E$19&amp;"'!"&amp;'Misc. Data &amp; Mechanisms'!R681&amp;(7+(($A$19-2012)*12))):INDIRECT("'"&amp;E$19&amp;"'!"&amp;'Misc. Data &amp; Mechanisms'!R681&amp;(18+(($A$19-2012)*12))))</f>
        <v>116.68581273540623</v>
      </c>
      <c r="F26" s="338"/>
      <c r="G26" s="1120"/>
      <c r="H26" s="1120"/>
      <c r="I26" s="1120"/>
      <c r="J26" s="1120"/>
      <c r="K26" s="1120"/>
      <c r="L26" s="1120"/>
      <c r="M26" s="1120"/>
      <c r="N26" s="1120"/>
      <c r="O26" s="1120"/>
      <c r="P26" s="1120"/>
      <c r="Q26" s="1120"/>
      <c r="R26" s="1120"/>
      <c r="S26" s="1120"/>
      <c r="T26" s="1120"/>
      <c r="U26" s="1120"/>
      <c r="V26" s="1120"/>
      <c r="W26" s="1120"/>
      <c r="X26" s="1120"/>
      <c r="Y26" s="647"/>
    </row>
    <row r="27" spans="1:25" outlineLevel="1" x14ac:dyDescent="0.3">
      <c r="A27" s="2051" t="s">
        <v>21</v>
      </c>
      <c r="B27" s="2052"/>
      <c r="C27" s="893">
        <f ca="1">SUM(INDIRECT("'"&amp;C$19&amp;"'!"&amp;'Misc. Data &amp; Mechanisms'!P682&amp;(7+(($A$19-2012)*12))):INDIRECT("'"&amp;C$19&amp;"'!"&amp;'Misc. Data &amp; Mechanisms'!P682&amp;(18+(($A$19-2012)*12))))</f>
        <v>38.39302616723365</v>
      </c>
      <c r="D27" s="893">
        <f ca="1">SUM(INDIRECT("'"&amp;D$19&amp;"'!"&amp;'Misc. Data &amp; Mechanisms'!Q682&amp;(7+(($A$19-2012)*12))):INDIRECT("'"&amp;D$19&amp;"'!"&amp;'Misc. Data &amp; Mechanisms'!Q682&amp;(18+(($A$19-2012)*12))))</f>
        <v>33.567196268107566</v>
      </c>
      <c r="E27" s="893">
        <f ca="1">SUM(INDIRECT("'"&amp;E$19&amp;"'!"&amp;'Misc. Data &amp; Mechanisms'!R682&amp;(7+(($A$19-2012)*12))):INDIRECT("'"&amp;E$19&amp;"'!"&amp;'Misc. Data &amp; Mechanisms'!R682&amp;(18+(($A$19-2012)*12))))</f>
        <v>40.905548896398912</v>
      </c>
      <c r="F27" s="338"/>
      <c r="G27" s="612"/>
      <c r="H27" s="612"/>
      <c r="I27" s="612"/>
      <c r="J27" s="612"/>
      <c r="K27" s="612"/>
      <c r="L27" s="612"/>
      <c r="M27" s="612"/>
      <c r="N27" s="612"/>
      <c r="O27" s="612"/>
      <c r="P27" s="612"/>
      <c r="Q27" s="612"/>
      <c r="R27" s="612"/>
      <c r="S27" s="612"/>
      <c r="T27" s="612"/>
      <c r="U27" s="612"/>
      <c r="V27" s="612"/>
      <c r="W27" s="612"/>
      <c r="X27" s="612"/>
      <c r="Y27" s="647"/>
    </row>
    <row r="28" spans="1:25" outlineLevel="1" x14ac:dyDescent="0.3">
      <c r="A28" s="2053" t="s">
        <v>70</v>
      </c>
      <c r="B28" s="2054"/>
      <c r="C28" s="829">
        <f ca="1">SUM(C20:C27)</f>
        <v>806.25354951190661</v>
      </c>
      <c r="D28" s="829">
        <f ca="1">SUM(D20:D27)</f>
        <v>704.91112163025878</v>
      </c>
      <c r="E28" s="829">
        <f ca="1">SUM(E20:E27)</f>
        <v>859.01652682437725</v>
      </c>
      <c r="F28" s="830"/>
      <c r="G28" s="612"/>
      <c r="H28" s="612"/>
      <c r="I28" s="612"/>
      <c r="J28" s="612"/>
      <c r="K28" s="612"/>
      <c r="L28" s="612"/>
      <c r="M28" s="612"/>
      <c r="N28" s="612"/>
      <c r="O28" s="612"/>
      <c r="P28" s="612"/>
      <c r="Q28" s="612"/>
      <c r="R28" s="612"/>
      <c r="S28" s="612"/>
      <c r="T28" s="612"/>
      <c r="U28" s="612"/>
      <c r="V28" s="612"/>
      <c r="W28" s="612"/>
      <c r="X28" s="612"/>
      <c r="Y28" s="647"/>
    </row>
    <row r="29" spans="1:25" ht="34.5" customHeight="1" outlineLevel="1" x14ac:dyDescent="0.3">
      <c r="A29" s="2035" t="str">
        <f xml:space="preserve"> "Total Bill, Relative to ATCO-S in " &amp; A19</f>
        <v>Total Bill, Relative to ATCO-S in 2019</v>
      </c>
      <c r="B29" s="2036"/>
      <c r="C29" s="831">
        <f ca="1">C$28/$D$28</f>
        <v>1.1437662490659413</v>
      </c>
      <c r="D29" s="831">
        <f ca="1">D$28/$D$28</f>
        <v>1</v>
      </c>
      <c r="E29" s="831">
        <f ca="1">E$28/$D$28</f>
        <v>1.2186167879401826</v>
      </c>
      <c r="Y29" s="647"/>
    </row>
    <row r="30" spans="1:25" outlineLevel="1" x14ac:dyDescent="0.3">
      <c r="A30" s="2037"/>
      <c r="B30" s="2038"/>
      <c r="C30" s="612"/>
      <c r="D30" s="612"/>
      <c r="E30" s="612"/>
      <c r="F30" s="612"/>
      <c r="G30" s="612"/>
      <c r="H30" s="612"/>
      <c r="I30" s="612"/>
      <c r="J30" s="612"/>
      <c r="K30" s="612"/>
      <c r="L30" s="612"/>
      <c r="M30" s="612"/>
      <c r="N30" s="612"/>
      <c r="O30" s="612"/>
      <c r="P30" s="612"/>
      <c r="Q30" s="612"/>
      <c r="R30" s="612"/>
      <c r="S30" s="612"/>
      <c r="T30" s="612"/>
      <c r="U30" s="612"/>
      <c r="V30" s="612"/>
      <c r="W30" s="612"/>
      <c r="X30" s="612"/>
      <c r="Y30" s="647"/>
    </row>
    <row r="31" spans="1:25" ht="30.75" customHeight="1" outlineLevel="1" x14ac:dyDescent="0.3">
      <c r="A31" s="1868" t="str">
        <f>"Proportion of Energy and Distribution - " &amp; $A$19</f>
        <v>Proportion of Energy and Distribution - 2019</v>
      </c>
      <c r="B31" s="1869"/>
      <c r="C31" s="831">
        <f ca="1">SUM(C$20:C$21,C$24)/C$28</f>
        <v>0.50115369063844051</v>
      </c>
      <c r="D31" s="831">
        <f ca="1">SUM(D$20:D$21,D$24)/D$28</f>
        <v>0.55526955218798191</v>
      </c>
      <c r="E31" s="831">
        <f ca="1">SUM(E$20:E$21,E$24)/E$28</f>
        <v>0.70048197798427425</v>
      </c>
      <c r="F31" s="832"/>
      <c r="G31" s="612"/>
      <c r="H31" s="612"/>
      <c r="I31" s="612"/>
      <c r="J31" s="612"/>
      <c r="K31" s="612"/>
      <c r="L31" s="612"/>
      <c r="M31" s="612"/>
      <c r="N31" s="612"/>
      <c r="O31" s="612"/>
      <c r="P31" s="612"/>
      <c r="Q31" s="612"/>
      <c r="R31" s="612"/>
      <c r="S31" s="612"/>
      <c r="T31" s="612"/>
      <c r="U31" s="612"/>
      <c r="V31" s="612"/>
      <c r="W31" s="612"/>
      <c r="X31" s="612"/>
      <c r="Y31" s="647"/>
    </row>
    <row r="32" spans="1:25" outlineLevel="1" x14ac:dyDescent="0.3">
      <c r="A32" s="1868" t="str">
        <f>"Proportion: Distribution - " &amp; $A$19</f>
        <v>Proportion: Distribution - 2019</v>
      </c>
      <c r="B32" s="1869"/>
      <c r="C32" s="831">
        <f ca="1">SUM(C$20:C$21)/C$28</f>
        <v>0.29101508983250435</v>
      </c>
      <c r="D32" s="831">
        <f ca="1">SUM(D$20:D$21)/D$28</f>
        <v>0.30851536580079791</v>
      </c>
      <c r="E32" s="831">
        <f ca="1">SUM(E$20:E$21)/E$28</f>
        <v>0.49600051228346731</v>
      </c>
      <c r="F32" s="832"/>
      <c r="G32" s="612"/>
      <c r="H32" s="612"/>
      <c r="I32" s="612"/>
      <c r="J32" s="612"/>
      <c r="K32" s="612"/>
      <c r="L32" s="612"/>
      <c r="M32" s="612"/>
      <c r="N32" s="612"/>
      <c r="O32" s="612"/>
      <c r="P32" s="612"/>
      <c r="Q32" s="612"/>
      <c r="R32" s="612"/>
      <c r="S32" s="612"/>
      <c r="T32" s="612"/>
      <c r="U32" s="612"/>
      <c r="V32" s="612"/>
      <c r="W32" s="612"/>
      <c r="X32" s="612"/>
      <c r="Y32" s="647"/>
    </row>
    <row r="33" spans="1:25" outlineLevel="1" x14ac:dyDescent="0.3">
      <c r="A33" s="1868" t="str">
        <f>"Proportion: Energy - "&amp; $A$19</f>
        <v>Proportion: Energy - 2019</v>
      </c>
      <c r="B33" s="1869"/>
      <c r="C33" s="831">
        <f ca="1">C$24/C$28</f>
        <v>0.21013860080593619</v>
      </c>
      <c r="D33" s="831">
        <f ca="1">D$24/D$28</f>
        <v>0.24675418638718399</v>
      </c>
      <c r="E33" s="831">
        <f ca="1">E$24/E$28</f>
        <v>0.20448146570080689</v>
      </c>
      <c r="F33" s="833"/>
      <c r="G33" s="612"/>
      <c r="H33" s="612"/>
      <c r="I33" s="612"/>
      <c r="J33" s="612"/>
      <c r="K33" s="612"/>
      <c r="L33" s="612"/>
      <c r="M33" s="612"/>
      <c r="N33" s="612"/>
      <c r="O33" s="612"/>
      <c r="P33" s="612"/>
      <c r="Q33" s="612"/>
      <c r="R33" s="612"/>
      <c r="S33" s="612"/>
      <c r="T33" s="612"/>
      <c r="U33" s="612"/>
      <c r="V33" s="612"/>
      <c r="W33" s="612"/>
      <c r="X33" s="612"/>
      <c r="Y33" s="647"/>
    </row>
    <row r="34" spans="1:25" outlineLevel="1" x14ac:dyDescent="0.3">
      <c r="A34" s="1868" t="str">
        <f>"Proportion: Non-Energy - "&amp; $A$19</f>
        <v>Proportion: Non-Energy - 2019</v>
      </c>
      <c r="B34" s="1869"/>
      <c r="C34" s="834">
        <f ca="1">1-C$33</f>
        <v>0.78986139919406384</v>
      </c>
      <c r="D34" s="834">
        <f ca="1">1-D$33</f>
        <v>0.75324581361281595</v>
      </c>
      <c r="E34" s="834">
        <f ca="1">1-E$33</f>
        <v>0.79551853429919306</v>
      </c>
      <c r="F34" s="833"/>
      <c r="G34" s="612"/>
      <c r="H34" s="612"/>
      <c r="I34" s="612"/>
      <c r="J34" s="612"/>
      <c r="K34" s="612"/>
      <c r="L34" s="612"/>
      <c r="M34" s="612"/>
      <c r="N34" s="612"/>
      <c r="O34" s="612"/>
      <c r="P34" s="612"/>
      <c r="Q34" s="612"/>
      <c r="R34" s="612"/>
      <c r="S34" s="612"/>
      <c r="T34" s="612"/>
      <c r="U34" s="612"/>
      <c r="V34" s="612"/>
      <c r="W34" s="612"/>
      <c r="X34" s="612"/>
      <c r="Y34" s="647"/>
    </row>
    <row r="35" spans="1:25" ht="30" customHeight="1" outlineLevel="1" x14ac:dyDescent="0.3">
      <c r="A35" s="1824"/>
      <c r="B35" s="1825"/>
      <c r="C35" s="123"/>
      <c r="D35" s="123"/>
      <c r="E35" s="123"/>
      <c r="F35" s="832"/>
      <c r="G35" s="612"/>
      <c r="H35" s="612"/>
      <c r="I35" s="612"/>
      <c r="J35" s="612"/>
      <c r="K35" s="612"/>
      <c r="L35" s="612"/>
      <c r="M35" s="612"/>
      <c r="N35" s="612"/>
      <c r="O35" s="612"/>
      <c r="P35" s="612"/>
      <c r="Q35" s="612"/>
      <c r="R35" s="612"/>
      <c r="S35" s="612"/>
      <c r="T35" s="612"/>
      <c r="U35" s="612"/>
      <c r="V35" s="612"/>
      <c r="W35" s="612"/>
      <c r="X35" s="612"/>
      <c r="Y35" s="647"/>
    </row>
    <row r="36" spans="1:25" outlineLevel="1" x14ac:dyDescent="0.3">
      <c r="A36" s="2033"/>
      <c r="B36" s="2034"/>
      <c r="C36" s="833"/>
      <c r="D36" s="833"/>
      <c r="E36" s="833"/>
      <c r="F36" s="833"/>
      <c r="G36" s="612"/>
      <c r="H36" s="612"/>
      <c r="I36" s="612"/>
      <c r="J36" s="612"/>
      <c r="K36" s="612"/>
      <c r="L36" s="612"/>
      <c r="M36" s="612"/>
      <c r="N36" s="612"/>
      <c r="O36" s="612"/>
      <c r="P36" s="612"/>
      <c r="Q36" s="612"/>
      <c r="R36" s="612"/>
      <c r="S36" s="612"/>
      <c r="T36" s="612"/>
      <c r="U36" s="612"/>
      <c r="V36" s="612"/>
      <c r="W36" s="612"/>
      <c r="X36" s="612"/>
      <c r="Y36" s="647"/>
    </row>
    <row r="37" spans="1:25" outlineLevel="1" x14ac:dyDescent="0.3">
      <c r="A37" s="2033"/>
      <c r="B37" s="2034"/>
      <c r="C37" s="833"/>
      <c r="D37" s="833"/>
      <c r="E37" s="833"/>
      <c r="F37" s="833"/>
      <c r="G37" s="612"/>
      <c r="H37" s="612"/>
      <c r="I37" s="612"/>
      <c r="J37" s="612"/>
      <c r="K37" s="612"/>
      <c r="L37" s="612"/>
      <c r="M37" s="612"/>
      <c r="N37" s="612"/>
      <c r="O37" s="612"/>
      <c r="P37" s="612"/>
      <c r="Q37" s="612"/>
      <c r="R37" s="612"/>
      <c r="S37" s="612"/>
      <c r="T37" s="612"/>
      <c r="U37" s="612"/>
      <c r="V37" s="612"/>
      <c r="W37" s="612"/>
      <c r="X37" s="612"/>
      <c r="Y37" s="647"/>
    </row>
    <row r="38" spans="1:25" outlineLevel="1" x14ac:dyDescent="0.3">
      <c r="A38" s="1805"/>
      <c r="B38" s="1806"/>
      <c r="C38" s="612"/>
      <c r="D38" s="612"/>
      <c r="E38" s="612"/>
      <c r="F38" s="612"/>
      <c r="G38" s="612"/>
      <c r="H38" s="612"/>
      <c r="I38" s="612"/>
      <c r="J38" s="612"/>
      <c r="K38" s="612"/>
      <c r="L38" s="612"/>
      <c r="M38" s="612"/>
      <c r="N38" s="612"/>
      <c r="O38" s="612"/>
      <c r="P38" s="612"/>
      <c r="Q38" s="612"/>
      <c r="R38" s="612"/>
      <c r="S38" s="612"/>
      <c r="T38" s="612"/>
      <c r="U38" s="612"/>
      <c r="V38" s="612"/>
      <c r="W38" s="612"/>
      <c r="X38" s="612"/>
      <c r="Y38" s="647"/>
    </row>
    <row r="39" spans="1:25" ht="14.5" outlineLevel="1" thickBot="1" x14ac:dyDescent="0.35">
      <c r="A39" s="1948"/>
      <c r="B39" s="1818"/>
      <c r="C39" s="703"/>
      <c r="D39" s="703"/>
      <c r="E39" s="703"/>
      <c r="F39" s="703"/>
      <c r="G39" s="703"/>
      <c r="H39" s="703"/>
      <c r="I39" s="703"/>
      <c r="J39" s="703"/>
      <c r="K39" s="703"/>
      <c r="L39" s="703"/>
      <c r="M39" s="703"/>
      <c r="N39" s="703"/>
      <c r="O39" s="703"/>
      <c r="P39" s="703"/>
      <c r="Q39" s="703"/>
      <c r="R39" s="703"/>
      <c r="S39" s="703"/>
      <c r="T39" s="703"/>
      <c r="U39" s="703"/>
      <c r="V39" s="703"/>
      <c r="W39" s="703"/>
      <c r="X39" s="703"/>
      <c r="Y39" s="704"/>
    </row>
    <row r="40" spans="1:25" ht="16.5" customHeight="1" x14ac:dyDescent="0.3">
      <c r="A40" s="1843" t="s">
        <v>620</v>
      </c>
      <c r="B40" s="1843"/>
      <c r="C40" s="1843"/>
      <c r="D40" s="1843"/>
      <c r="E40" s="1843"/>
      <c r="F40" s="1843"/>
      <c r="G40" s="1843"/>
      <c r="H40" s="1843"/>
      <c r="I40" s="1843"/>
      <c r="J40" s="1843"/>
      <c r="K40" s="1843"/>
      <c r="L40" s="1843"/>
      <c r="M40" s="1843"/>
      <c r="N40" s="1843"/>
      <c r="O40" s="1843"/>
      <c r="P40" s="1843"/>
      <c r="Q40" s="1843"/>
      <c r="R40" s="1843"/>
      <c r="S40" s="1843"/>
      <c r="T40" s="1843"/>
      <c r="U40" s="1843"/>
      <c r="V40" s="1843"/>
      <c r="W40" s="1843"/>
      <c r="X40" s="1843"/>
      <c r="Y40" s="1843"/>
    </row>
    <row r="41" spans="1:25" ht="16.5" customHeight="1" x14ac:dyDescent="0.3">
      <c r="A41" s="1844"/>
      <c r="B41" s="1844"/>
      <c r="C41" s="1844"/>
      <c r="D41" s="1844"/>
      <c r="E41" s="1844"/>
      <c r="F41" s="1844"/>
      <c r="G41" s="1844"/>
      <c r="H41" s="1844"/>
      <c r="I41" s="1844"/>
      <c r="J41" s="1844"/>
      <c r="K41" s="1844"/>
      <c r="L41" s="1844"/>
      <c r="M41" s="1844"/>
      <c r="N41" s="1844"/>
      <c r="O41" s="1844"/>
      <c r="P41" s="1844"/>
      <c r="Q41" s="1844"/>
      <c r="R41" s="1844"/>
      <c r="S41" s="1844"/>
      <c r="T41" s="1844"/>
      <c r="U41" s="1844"/>
      <c r="V41" s="1844"/>
      <c r="W41" s="1844"/>
      <c r="X41" s="1844"/>
      <c r="Y41" s="1844"/>
    </row>
    <row r="42" spans="1:25" s="719" customFormat="1" ht="16.5" customHeight="1" x14ac:dyDescent="0.3">
      <c r="A42" s="2048"/>
      <c r="B42" s="2048"/>
      <c r="C42" s="835"/>
      <c r="D42" s="835"/>
      <c r="E42" s="835"/>
      <c r="F42" s="835"/>
      <c r="G42" s="835"/>
      <c r="H42" s="835"/>
      <c r="I42" s="835"/>
      <c r="J42" s="835"/>
      <c r="K42" s="835"/>
      <c r="L42" s="835"/>
      <c r="M42" s="835"/>
      <c r="N42" s="835"/>
      <c r="O42" s="835"/>
      <c r="P42" s="835"/>
      <c r="Q42" s="835"/>
      <c r="R42" s="835"/>
      <c r="S42" s="835"/>
      <c r="T42" s="835"/>
      <c r="U42" s="835"/>
      <c r="V42" s="835"/>
      <c r="W42" s="835"/>
      <c r="X42" s="835"/>
      <c r="Y42" s="835"/>
    </row>
    <row r="43" spans="1:25" s="719" customFormat="1" ht="16.5" customHeight="1" thickBot="1" x14ac:dyDescent="0.35">
      <c r="A43" s="1874"/>
      <c r="B43" s="1874"/>
      <c r="C43" s="836"/>
      <c r="D43" s="836"/>
      <c r="E43" s="836"/>
      <c r="F43" s="836"/>
      <c r="G43" s="836"/>
      <c r="H43" s="836"/>
      <c r="I43" s="836"/>
      <c r="J43" s="836"/>
      <c r="K43" s="836"/>
      <c r="L43" s="836"/>
      <c r="M43" s="836"/>
      <c r="N43" s="836"/>
      <c r="O43" s="836"/>
      <c r="P43" s="836"/>
      <c r="Q43" s="836"/>
      <c r="R43" s="836"/>
      <c r="S43" s="836"/>
      <c r="T43" s="836"/>
      <c r="U43" s="836"/>
      <c r="V43" s="836"/>
      <c r="W43" s="836"/>
      <c r="X43" s="836"/>
      <c r="Y43" s="836"/>
    </row>
    <row r="44" spans="1:25" s="719" customFormat="1" ht="16.5" customHeight="1" outlineLevel="1" x14ac:dyDescent="0.3">
      <c r="A44" s="1637" t="s">
        <v>621</v>
      </c>
      <c r="B44" s="1638"/>
      <c r="C44" s="1638"/>
      <c r="D44" s="1638"/>
      <c r="E44" s="1638"/>
      <c r="F44" s="1638"/>
      <c r="G44" s="1638"/>
      <c r="H44" s="1638"/>
      <c r="I44" s="1638"/>
      <c r="J44" s="1638"/>
      <c r="K44" s="1638"/>
      <c r="L44" s="1638"/>
      <c r="M44" s="1638"/>
      <c r="N44" s="1638"/>
      <c r="O44" s="1638"/>
      <c r="P44" s="1638"/>
      <c r="Q44" s="1638"/>
      <c r="R44" s="1638"/>
      <c r="S44" s="1638"/>
      <c r="T44" s="1638"/>
      <c r="U44" s="1638"/>
      <c r="V44" s="1638"/>
      <c r="W44" s="1638"/>
      <c r="X44" s="1638"/>
      <c r="Y44" s="1639"/>
    </row>
    <row r="45" spans="1:25" s="719" customFormat="1" ht="16.5" customHeight="1" outlineLevel="1" thickBot="1" x14ac:dyDescent="0.35">
      <c r="A45" s="1834"/>
      <c r="B45" s="1835"/>
      <c r="C45" s="1835"/>
      <c r="D45" s="1835"/>
      <c r="E45" s="1835"/>
      <c r="F45" s="1835"/>
      <c r="G45" s="1835"/>
      <c r="H45" s="1835"/>
      <c r="I45" s="1835"/>
      <c r="J45" s="1835"/>
      <c r="K45" s="1835"/>
      <c r="L45" s="1835"/>
      <c r="M45" s="1835"/>
      <c r="N45" s="1835"/>
      <c r="O45" s="1835"/>
      <c r="P45" s="1835"/>
      <c r="Q45" s="1835"/>
      <c r="R45" s="1835"/>
      <c r="S45" s="1835"/>
      <c r="T45" s="1835"/>
      <c r="U45" s="1835"/>
      <c r="V45" s="1835"/>
      <c r="W45" s="1835"/>
      <c r="X45" s="1835"/>
      <c r="Y45" s="1836"/>
    </row>
    <row r="46" spans="1:25" s="719" customFormat="1" ht="16.5" customHeight="1" outlineLevel="1" thickBot="1" x14ac:dyDescent="0.35">
      <c r="A46" s="2046"/>
      <c r="B46" s="2047"/>
      <c r="C46" s="836"/>
      <c r="D46" s="836"/>
      <c r="E46" s="836"/>
      <c r="F46" s="836"/>
      <c r="G46" s="836"/>
      <c r="H46" s="836"/>
      <c r="I46" s="836"/>
      <c r="J46" s="836"/>
      <c r="K46" s="836"/>
      <c r="L46" s="836"/>
      <c r="M46" s="836"/>
      <c r="N46" s="836"/>
      <c r="O46" s="836"/>
      <c r="P46" s="836"/>
      <c r="Q46" s="836"/>
      <c r="R46" s="836"/>
      <c r="S46" s="836"/>
      <c r="T46" s="836"/>
      <c r="U46" s="836"/>
      <c r="V46" s="836"/>
      <c r="W46" s="836"/>
      <c r="X46" s="836"/>
      <c r="Y46" s="837"/>
    </row>
    <row r="47" spans="1:25" s="719" customFormat="1" ht="21.75" customHeight="1" outlineLevel="1" thickBot="1" x14ac:dyDescent="0.35">
      <c r="A47" s="822" t="s">
        <v>100</v>
      </c>
      <c r="B47" s="25" t="str">
        <f>HYPERLINK("#"&amp;ADDRESS(ROW(), COLUMN()-1), "€")</f>
        <v>€</v>
      </c>
      <c r="C47" s="836"/>
      <c r="D47" s="836"/>
      <c r="E47" s="836"/>
      <c r="F47" s="836"/>
      <c r="G47" s="836"/>
      <c r="H47" s="836"/>
      <c r="I47" s="836"/>
      <c r="J47" s="836"/>
      <c r="K47" s="836"/>
      <c r="L47" s="836"/>
      <c r="M47" s="836"/>
      <c r="N47" s="836"/>
      <c r="O47" s="836"/>
      <c r="P47" s="836"/>
      <c r="Q47" s="836"/>
      <c r="R47" s="836"/>
      <c r="S47" s="836"/>
      <c r="T47" s="836"/>
      <c r="U47" s="836"/>
      <c r="V47" s="836"/>
      <c r="W47" s="836"/>
      <c r="X47" s="836"/>
      <c r="Y47" s="837"/>
    </row>
    <row r="48" spans="1:25" s="719" customFormat="1" ht="16.5" customHeight="1" outlineLevel="1" x14ac:dyDescent="0.3">
      <c r="A48" s="2057"/>
      <c r="B48" s="2058"/>
      <c r="C48" s="836"/>
      <c r="D48" s="836"/>
      <c r="E48" s="836"/>
      <c r="F48" s="836"/>
      <c r="G48" s="836"/>
      <c r="H48" s="836"/>
      <c r="I48" s="836"/>
      <c r="J48" s="836"/>
      <c r="K48" s="836"/>
      <c r="L48" s="836"/>
      <c r="M48" s="836"/>
      <c r="N48" s="836"/>
      <c r="O48" s="836"/>
      <c r="P48" s="836"/>
      <c r="Q48" s="836"/>
      <c r="R48" s="836"/>
      <c r="S48" s="836"/>
      <c r="T48" s="836"/>
      <c r="U48" s="836"/>
      <c r="V48" s="836"/>
      <c r="W48" s="836"/>
      <c r="X48" s="836"/>
      <c r="Y48" s="837"/>
    </row>
    <row r="49" spans="1:25" s="719" customFormat="1" ht="16.5" customHeight="1" outlineLevel="1" x14ac:dyDescent="0.3">
      <c r="A49" s="2039"/>
      <c r="B49" s="1874"/>
      <c r="C49" s="836"/>
      <c r="D49" s="836"/>
      <c r="E49" s="836"/>
      <c r="F49" s="836"/>
      <c r="G49" s="836"/>
      <c r="H49" s="836"/>
      <c r="I49" s="836"/>
      <c r="J49" s="836"/>
      <c r="K49" s="836"/>
      <c r="L49" s="836"/>
      <c r="M49" s="836"/>
      <c r="N49" s="836"/>
      <c r="O49" s="836"/>
      <c r="P49" s="836"/>
      <c r="Q49" s="836"/>
      <c r="R49" s="836"/>
      <c r="S49" s="836"/>
      <c r="T49" s="836"/>
      <c r="U49" s="836"/>
      <c r="V49" s="836"/>
      <c r="W49" s="836"/>
      <c r="X49" s="836"/>
      <c r="Y49" s="837"/>
    </row>
    <row r="50" spans="1:25" s="719" customFormat="1" ht="16.5" customHeight="1" outlineLevel="1" x14ac:dyDescent="0.3">
      <c r="A50" s="2039"/>
      <c r="B50" s="1874"/>
      <c r="C50" s="836"/>
      <c r="D50" s="836"/>
      <c r="E50" s="836"/>
      <c r="F50" s="836"/>
      <c r="G50" s="836"/>
      <c r="H50" s="836"/>
      <c r="I50" s="836"/>
      <c r="J50" s="836"/>
      <c r="K50" s="836"/>
      <c r="L50" s="836"/>
      <c r="M50" s="836"/>
      <c r="N50" s="836"/>
      <c r="O50" s="836"/>
      <c r="P50" s="836"/>
      <c r="Q50" s="836"/>
      <c r="R50" s="836"/>
      <c r="S50" s="836"/>
      <c r="T50" s="836"/>
      <c r="U50" s="836"/>
      <c r="V50" s="836"/>
      <c r="W50" s="836"/>
      <c r="X50" s="836"/>
      <c r="Y50" s="837"/>
    </row>
    <row r="51" spans="1:25" s="719" customFormat="1" ht="16.5" customHeight="1" outlineLevel="1" x14ac:dyDescent="0.3">
      <c r="A51" s="2039"/>
      <c r="B51" s="1874"/>
      <c r="C51" s="836"/>
      <c r="D51" s="836"/>
      <c r="E51" s="836"/>
      <c r="F51" s="836"/>
      <c r="G51" s="836"/>
      <c r="H51" s="836"/>
      <c r="I51" s="836"/>
      <c r="J51" s="836"/>
      <c r="K51" s="836"/>
      <c r="L51" s="836"/>
      <c r="M51" s="836"/>
      <c r="N51" s="836"/>
      <c r="O51" s="836"/>
      <c r="P51" s="836"/>
      <c r="Q51" s="836"/>
      <c r="R51" s="836"/>
      <c r="S51" s="836"/>
      <c r="T51" s="836"/>
      <c r="U51" s="836"/>
      <c r="V51" s="836"/>
      <c r="W51" s="836"/>
      <c r="X51" s="836"/>
      <c r="Y51" s="837"/>
    </row>
    <row r="52" spans="1:25" s="719" customFormat="1" ht="16.5" customHeight="1" outlineLevel="1" x14ac:dyDescent="0.3">
      <c r="A52" s="2039"/>
      <c r="B52" s="1874"/>
      <c r="C52" s="836"/>
      <c r="D52" s="836"/>
      <c r="E52" s="836"/>
      <c r="F52" s="836"/>
      <c r="G52" s="836"/>
      <c r="H52" s="836"/>
      <c r="I52" s="836"/>
      <c r="J52" s="836"/>
      <c r="K52" s="836"/>
      <c r="L52" s="836"/>
      <c r="M52" s="836"/>
      <c r="N52" s="836"/>
      <c r="O52" s="836"/>
      <c r="P52" s="836"/>
      <c r="Q52" s="836"/>
      <c r="R52" s="836"/>
      <c r="S52" s="836"/>
      <c r="T52" s="836"/>
      <c r="U52" s="836"/>
      <c r="V52" s="836"/>
      <c r="W52" s="836"/>
      <c r="X52" s="836"/>
      <c r="Y52" s="837"/>
    </row>
    <row r="53" spans="1:25" s="719" customFormat="1" ht="16.5" customHeight="1" outlineLevel="1" x14ac:dyDescent="0.3">
      <c r="A53" s="2039"/>
      <c r="B53" s="1874"/>
      <c r="C53" s="836"/>
      <c r="D53" s="836"/>
      <c r="E53" s="836"/>
      <c r="F53" s="836"/>
      <c r="G53" s="836"/>
      <c r="H53" s="836"/>
      <c r="I53" s="836"/>
      <c r="J53" s="836"/>
      <c r="K53" s="836"/>
      <c r="L53" s="836"/>
      <c r="M53" s="836"/>
      <c r="N53" s="836"/>
      <c r="O53" s="836"/>
      <c r="P53" s="836"/>
      <c r="Q53" s="836"/>
      <c r="R53" s="836"/>
      <c r="S53" s="836"/>
      <c r="T53" s="836"/>
      <c r="U53" s="836"/>
      <c r="V53" s="836"/>
      <c r="W53" s="836"/>
      <c r="X53" s="836"/>
      <c r="Y53" s="837"/>
    </row>
    <row r="54" spans="1:25" s="719" customFormat="1" ht="16.5" customHeight="1" outlineLevel="1" x14ac:dyDescent="0.3">
      <c r="A54" s="2039"/>
      <c r="B54" s="1874"/>
      <c r="C54" s="836"/>
      <c r="D54" s="836"/>
      <c r="E54" s="836"/>
      <c r="F54" s="836"/>
      <c r="G54" s="836"/>
      <c r="H54" s="836"/>
      <c r="I54" s="836"/>
      <c r="J54" s="836"/>
      <c r="K54" s="836"/>
      <c r="L54" s="836"/>
      <c r="M54" s="836"/>
      <c r="N54" s="836"/>
      <c r="O54" s="836"/>
      <c r="P54" s="836"/>
      <c r="Q54" s="836"/>
      <c r="R54" s="836"/>
      <c r="S54" s="836"/>
      <c r="T54" s="836"/>
      <c r="U54" s="836"/>
      <c r="V54" s="836"/>
      <c r="W54" s="836"/>
      <c r="X54" s="836"/>
      <c r="Y54" s="837"/>
    </row>
    <row r="55" spans="1:25" s="719" customFormat="1" ht="16.5" customHeight="1" outlineLevel="1" x14ac:dyDescent="0.3">
      <c r="A55" s="2039"/>
      <c r="B55" s="1874"/>
      <c r="C55" s="836"/>
      <c r="D55" s="836"/>
      <c r="E55" s="836"/>
      <c r="F55" s="836"/>
      <c r="G55" s="836"/>
      <c r="H55" s="836"/>
      <c r="I55" s="836"/>
      <c r="J55" s="836"/>
      <c r="K55" s="836"/>
      <c r="L55" s="836"/>
      <c r="M55" s="836"/>
      <c r="N55" s="836"/>
      <c r="O55" s="836"/>
      <c r="P55" s="836"/>
      <c r="Q55" s="836"/>
      <c r="R55" s="836"/>
      <c r="S55" s="836"/>
      <c r="T55" s="836"/>
      <c r="U55" s="836"/>
      <c r="V55" s="836"/>
      <c r="W55" s="836"/>
      <c r="X55" s="836"/>
      <c r="Y55" s="837"/>
    </row>
    <row r="56" spans="1:25" s="719" customFormat="1" ht="16.5" customHeight="1" outlineLevel="1" x14ac:dyDescent="0.3">
      <c r="A56" s="2039"/>
      <c r="B56" s="1874"/>
      <c r="C56" s="836"/>
      <c r="D56" s="836"/>
      <c r="E56" s="836"/>
      <c r="F56" s="836"/>
      <c r="G56" s="836"/>
      <c r="H56" s="836"/>
      <c r="I56" s="836"/>
      <c r="J56" s="836"/>
      <c r="K56" s="836"/>
      <c r="L56" s="836"/>
      <c r="M56" s="836"/>
      <c r="N56" s="836"/>
      <c r="O56" s="836"/>
      <c r="P56" s="836"/>
      <c r="Q56" s="836"/>
      <c r="R56" s="836"/>
      <c r="S56" s="836"/>
      <c r="T56" s="836"/>
      <c r="U56" s="836"/>
      <c r="V56" s="836"/>
      <c r="W56" s="836"/>
      <c r="X56" s="836"/>
      <c r="Y56" s="837"/>
    </row>
    <row r="57" spans="1:25" s="719" customFormat="1" ht="16.5" customHeight="1" outlineLevel="1" x14ac:dyDescent="0.3">
      <c r="A57" s="2039"/>
      <c r="B57" s="1874"/>
      <c r="C57" s="836"/>
      <c r="D57" s="836"/>
      <c r="E57" s="836"/>
      <c r="F57" s="836"/>
      <c r="G57" s="836"/>
      <c r="H57" s="836"/>
      <c r="I57" s="836"/>
      <c r="J57" s="836"/>
      <c r="K57" s="836"/>
      <c r="L57" s="836"/>
      <c r="M57" s="836"/>
      <c r="N57" s="836"/>
      <c r="O57" s="836"/>
      <c r="P57" s="836"/>
      <c r="Q57" s="836"/>
      <c r="R57" s="836"/>
      <c r="S57" s="836"/>
      <c r="T57" s="836"/>
      <c r="U57" s="836"/>
      <c r="V57" s="836"/>
      <c r="W57" s="836"/>
      <c r="X57" s="836"/>
      <c r="Y57" s="837"/>
    </row>
    <row r="58" spans="1:25" s="719" customFormat="1" ht="16.5" customHeight="1" outlineLevel="1" x14ac:dyDescent="0.3">
      <c r="A58" s="2039"/>
      <c r="B58" s="1874"/>
      <c r="C58" s="836"/>
      <c r="D58" s="836"/>
      <c r="E58" s="836"/>
      <c r="F58" s="836"/>
      <c r="G58" s="836"/>
      <c r="H58" s="836"/>
      <c r="I58" s="836"/>
      <c r="J58" s="836"/>
      <c r="K58" s="836"/>
      <c r="L58" s="836"/>
      <c r="M58" s="836"/>
      <c r="N58" s="836"/>
      <c r="O58" s="836"/>
      <c r="P58" s="836"/>
      <c r="Q58" s="836"/>
      <c r="R58" s="836"/>
      <c r="S58" s="836"/>
      <c r="T58" s="836"/>
      <c r="U58" s="836"/>
      <c r="V58" s="836"/>
      <c r="W58" s="836"/>
      <c r="X58" s="836"/>
      <c r="Y58" s="837"/>
    </row>
    <row r="59" spans="1:25" s="719" customFormat="1" ht="16.5" customHeight="1" outlineLevel="1" x14ac:dyDescent="0.3">
      <c r="A59" s="2039"/>
      <c r="B59" s="1874"/>
      <c r="C59" s="836"/>
      <c r="D59" s="836"/>
      <c r="E59" s="836"/>
      <c r="F59" s="836"/>
      <c r="G59" s="836"/>
      <c r="H59" s="836"/>
      <c r="I59" s="836"/>
      <c r="J59" s="836"/>
      <c r="K59" s="836"/>
      <c r="L59" s="836"/>
      <c r="M59" s="836"/>
      <c r="N59" s="836"/>
      <c r="O59" s="836"/>
      <c r="P59" s="836"/>
      <c r="Q59" s="836"/>
      <c r="R59" s="836"/>
      <c r="S59" s="836"/>
      <c r="T59" s="836"/>
      <c r="U59" s="836"/>
      <c r="V59" s="836"/>
      <c r="W59" s="836"/>
      <c r="X59" s="836"/>
      <c r="Y59" s="837"/>
    </row>
    <row r="60" spans="1:25" s="719" customFormat="1" ht="16.5" customHeight="1" outlineLevel="1" x14ac:dyDescent="0.3">
      <c r="A60" s="2039"/>
      <c r="B60" s="1874"/>
      <c r="C60" s="836"/>
      <c r="D60" s="836"/>
      <c r="E60" s="836"/>
      <c r="F60" s="836"/>
      <c r="G60" s="836"/>
      <c r="H60" s="836"/>
      <c r="I60" s="836"/>
      <c r="J60" s="836"/>
      <c r="K60" s="836"/>
      <c r="L60" s="836"/>
      <c r="M60" s="836"/>
      <c r="N60" s="836"/>
      <c r="O60" s="836"/>
      <c r="P60" s="836"/>
      <c r="Q60" s="836"/>
      <c r="R60" s="836"/>
      <c r="S60" s="836"/>
      <c r="T60" s="836"/>
      <c r="U60" s="836"/>
      <c r="V60" s="836"/>
      <c r="W60" s="836"/>
      <c r="X60" s="836"/>
      <c r="Y60" s="837"/>
    </row>
    <row r="61" spans="1:25" s="719" customFormat="1" ht="16.5" customHeight="1" outlineLevel="1" x14ac:dyDescent="0.3">
      <c r="A61" s="2039"/>
      <c r="B61" s="1874"/>
      <c r="C61" s="836"/>
      <c r="D61" s="836"/>
      <c r="E61" s="836"/>
      <c r="F61" s="836"/>
      <c r="G61" s="836"/>
      <c r="H61" s="836"/>
      <c r="I61" s="836"/>
      <c r="J61" s="836"/>
      <c r="K61" s="836"/>
      <c r="L61" s="836"/>
      <c r="M61" s="836"/>
      <c r="N61" s="836"/>
      <c r="O61" s="836"/>
      <c r="P61" s="836"/>
      <c r="Q61" s="836"/>
      <c r="R61" s="836"/>
      <c r="S61" s="836"/>
      <c r="T61" s="836"/>
      <c r="U61" s="836"/>
      <c r="V61" s="836"/>
      <c r="W61" s="836"/>
      <c r="X61" s="836"/>
      <c r="Y61" s="837"/>
    </row>
    <row r="62" spans="1:25" s="719" customFormat="1" ht="16.5" customHeight="1" outlineLevel="1" x14ac:dyDescent="0.3">
      <c r="A62" s="2039"/>
      <c r="B62" s="1874"/>
      <c r="C62" s="836"/>
      <c r="D62" s="836"/>
      <c r="E62" s="836"/>
      <c r="F62" s="836"/>
      <c r="G62" s="836"/>
      <c r="H62" s="836"/>
      <c r="I62" s="836"/>
      <c r="J62" s="836"/>
      <c r="K62" s="836"/>
      <c r="L62" s="836"/>
      <c r="M62" s="836"/>
      <c r="N62" s="836"/>
      <c r="O62" s="836"/>
      <c r="P62" s="836"/>
      <c r="Q62" s="836"/>
      <c r="R62" s="836"/>
      <c r="S62" s="836"/>
      <c r="T62" s="836"/>
      <c r="U62" s="836"/>
      <c r="V62" s="836"/>
      <c r="W62" s="836"/>
      <c r="X62" s="836"/>
      <c r="Y62" s="837"/>
    </row>
    <row r="63" spans="1:25" s="719" customFormat="1" ht="16.5" customHeight="1" outlineLevel="1" x14ac:dyDescent="0.3">
      <c r="A63" s="2039"/>
      <c r="B63" s="1874"/>
      <c r="C63" s="836"/>
      <c r="D63" s="836"/>
      <c r="E63" s="836"/>
      <c r="F63" s="836"/>
      <c r="G63" s="836"/>
      <c r="H63" s="836"/>
      <c r="I63" s="836"/>
      <c r="J63" s="836"/>
      <c r="K63" s="836"/>
      <c r="L63" s="836"/>
      <c r="M63" s="836"/>
      <c r="N63" s="836"/>
      <c r="O63" s="836"/>
      <c r="P63" s="836"/>
      <c r="Q63" s="836"/>
      <c r="R63" s="836"/>
      <c r="S63" s="836"/>
      <c r="T63" s="836"/>
      <c r="U63" s="836"/>
      <c r="V63" s="836"/>
      <c r="W63" s="836"/>
      <c r="X63" s="836"/>
      <c r="Y63" s="837"/>
    </row>
    <row r="64" spans="1:25" s="719" customFormat="1" ht="16.5" customHeight="1" outlineLevel="1" x14ac:dyDescent="0.3">
      <c r="A64" s="2039"/>
      <c r="B64" s="1874"/>
      <c r="C64" s="836"/>
      <c r="D64" s="836"/>
      <c r="E64" s="836"/>
      <c r="F64" s="836"/>
      <c r="G64" s="836"/>
      <c r="H64" s="836"/>
      <c r="I64" s="836"/>
      <c r="J64" s="836"/>
      <c r="K64" s="836"/>
      <c r="L64" s="836"/>
      <c r="M64" s="836"/>
      <c r="N64" s="836"/>
      <c r="O64" s="836"/>
      <c r="P64" s="836"/>
      <c r="Q64" s="836"/>
      <c r="R64" s="836"/>
      <c r="S64" s="836"/>
      <c r="T64" s="836"/>
      <c r="U64" s="836"/>
      <c r="V64" s="836"/>
      <c r="W64" s="836"/>
      <c r="X64" s="836"/>
      <c r="Y64" s="837"/>
    </row>
    <row r="65" spans="1:25" s="719" customFormat="1" ht="16.5" customHeight="1" outlineLevel="1" x14ac:dyDescent="0.3">
      <c r="A65" s="2039"/>
      <c r="B65" s="1874"/>
      <c r="C65" s="836"/>
      <c r="D65" s="836"/>
      <c r="E65" s="836"/>
      <c r="F65" s="836"/>
      <c r="G65" s="836"/>
      <c r="H65" s="836"/>
      <c r="I65" s="836"/>
      <c r="J65" s="836"/>
      <c r="K65" s="836"/>
      <c r="L65" s="836"/>
      <c r="M65" s="836"/>
      <c r="N65" s="836"/>
      <c r="O65" s="836"/>
      <c r="P65" s="836"/>
      <c r="Q65" s="836"/>
      <c r="R65" s="836"/>
      <c r="S65" s="836"/>
      <c r="T65" s="836"/>
      <c r="U65" s="836"/>
      <c r="V65" s="836"/>
      <c r="W65" s="836"/>
      <c r="X65" s="836"/>
      <c r="Y65" s="837"/>
    </row>
    <row r="66" spans="1:25" s="719" customFormat="1" ht="16.5" customHeight="1" outlineLevel="1" x14ac:dyDescent="0.3">
      <c r="A66" s="2039"/>
      <c r="B66" s="1874"/>
      <c r="C66" s="836"/>
      <c r="D66" s="836"/>
      <c r="E66" s="836"/>
      <c r="F66" s="836"/>
      <c r="G66" s="836"/>
      <c r="H66" s="836"/>
      <c r="I66" s="836"/>
      <c r="J66" s="836"/>
      <c r="K66" s="836"/>
      <c r="L66" s="836"/>
      <c r="M66" s="836"/>
      <c r="N66" s="836"/>
      <c r="O66" s="836"/>
      <c r="P66" s="836"/>
      <c r="Q66" s="836"/>
      <c r="R66" s="836"/>
      <c r="S66" s="836"/>
      <c r="T66" s="836"/>
      <c r="U66" s="836"/>
      <c r="V66" s="836"/>
      <c r="W66" s="836"/>
      <c r="X66" s="836"/>
      <c r="Y66" s="837"/>
    </row>
    <row r="67" spans="1:25" s="719" customFormat="1" ht="16.5" customHeight="1" outlineLevel="1" x14ac:dyDescent="0.3">
      <c r="A67" s="2039"/>
      <c r="B67" s="1874"/>
      <c r="C67" s="836"/>
      <c r="D67" s="836"/>
      <c r="E67" s="836"/>
      <c r="F67" s="836"/>
      <c r="G67" s="836"/>
      <c r="H67" s="836"/>
      <c r="I67" s="836"/>
      <c r="J67" s="836"/>
      <c r="K67" s="836"/>
      <c r="L67" s="836"/>
      <c r="M67" s="836"/>
      <c r="N67" s="836"/>
      <c r="O67" s="836"/>
      <c r="P67" s="836"/>
      <c r="Q67" s="836"/>
      <c r="R67" s="836"/>
      <c r="S67" s="836"/>
      <c r="T67" s="836"/>
      <c r="U67" s="836"/>
      <c r="V67" s="836"/>
      <c r="W67" s="836"/>
      <c r="X67" s="836"/>
      <c r="Y67" s="837"/>
    </row>
    <row r="68" spans="1:25" s="719" customFormat="1" ht="16.5" customHeight="1" outlineLevel="1" x14ac:dyDescent="0.3">
      <c r="A68" s="2039"/>
      <c r="B68" s="1874"/>
      <c r="C68" s="836"/>
      <c r="D68" s="836"/>
      <c r="E68" s="836"/>
      <c r="F68" s="836"/>
      <c r="G68" s="836"/>
      <c r="H68" s="836"/>
      <c r="I68" s="836"/>
      <c r="J68" s="836"/>
      <c r="K68" s="836"/>
      <c r="L68" s="836"/>
      <c r="M68" s="836"/>
      <c r="N68" s="836"/>
      <c r="O68" s="836"/>
      <c r="P68" s="836"/>
      <c r="Q68" s="836"/>
      <c r="R68" s="836"/>
      <c r="S68" s="836"/>
      <c r="T68" s="836"/>
      <c r="U68" s="836"/>
      <c r="V68" s="836"/>
      <c r="W68" s="836"/>
      <c r="X68" s="836"/>
      <c r="Y68" s="837"/>
    </row>
    <row r="69" spans="1:25" s="719" customFormat="1" ht="16.5" customHeight="1" outlineLevel="1" x14ac:dyDescent="0.3">
      <c r="A69" s="2039"/>
      <c r="B69" s="1874"/>
      <c r="C69" s="836"/>
      <c r="D69" s="836"/>
      <c r="E69" s="836"/>
      <c r="F69" s="836"/>
      <c r="G69" s="836"/>
      <c r="H69" s="836"/>
      <c r="I69" s="836"/>
      <c r="J69" s="836"/>
      <c r="K69" s="836"/>
      <c r="L69" s="836"/>
      <c r="M69" s="836"/>
      <c r="N69" s="836"/>
      <c r="O69" s="836"/>
      <c r="P69" s="836"/>
      <c r="Q69" s="836"/>
      <c r="R69" s="836"/>
      <c r="S69" s="836"/>
      <c r="T69" s="836"/>
      <c r="U69" s="836"/>
      <c r="V69" s="836"/>
      <c r="W69" s="836"/>
      <c r="X69" s="836"/>
      <c r="Y69" s="837"/>
    </row>
    <row r="70" spans="1:25" s="719" customFormat="1" ht="16.5" customHeight="1" outlineLevel="1" x14ac:dyDescent="0.3">
      <c r="A70" s="2039"/>
      <c r="B70" s="1874"/>
      <c r="C70" s="836"/>
      <c r="D70" s="836"/>
      <c r="E70" s="836"/>
      <c r="F70" s="836"/>
      <c r="G70" s="836"/>
      <c r="H70" s="836"/>
      <c r="I70" s="836"/>
      <c r="J70" s="836"/>
      <c r="K70" s="836"/>
      <c r="L70" s="836"/>
      <c r="M70" s="836"/>
      <c r="N70" s="836"/>
      <c r="O70" s="836"/>
      <c r="P70" s="836"/>
      <c r="Q70" s="836"/>
      <c r="R70" s="836"/>
      <c r="S70" s="836"/>
      <c r="T70" s="836"/>
      <c r="U70" s="836"/>
      <c r="V70" s="836"/>
      <c r="W70" s="836"/>
      <c r="X70" s="836"/>
      <c r="Y70" s="837"/>
    </row>
    <row r="71" spans="1:25" s="719" customFormat="1" ht="16.5" customHeight="1" outlineLevel="1" x14ac:dyDescent="0.3">
      <c r="A71" s="2039"/>
      <c r="B71" s="1874"/>
      <c r="C71" s="836"/>
      <c r="D71" s="836"/>
      <c r="E71" s="836"/>
      <c r="F71" s="836"/>
      <c r="G71" s="836"/>
      <c r="H71" s="836"/>
      <c r="I71" s="836"/>
      <c r="J71" s="836"/>
      <c r="K71" s="836"/>
      <c r="L71" s="836"/>
      <c r="M71" s="836"/>
      <c r="N71" s="836"/>
      <c r="O71" s="836"/>
      <c r="P71" s="836"/>
      <c r="Q71" s="836"/>
      <c r="R71" s="836"/>
      <c r="S71" s="836"/>
      <c r="T71" s="836"/>
      <c r="U71" s="836"/>
      <c r="V71" s="836"/>
      <c r="W71" s="836"/>
      <c r="X71" s="836"/>
      <c r="Y71" s="837"/>
    </row>
    <row r="72" spans="1:25" s="719" customFormat="1" ht="16.5" customHeight="1" outlineLevel="1" x14ac:dyDescent="0.3">
      <c r="A72" s="2039"/>
      <c r="B72" s="1874"/>
      <c r="C72" s="836"/>
      <c r="D72" s="836"/>
      <c r="E72" s="836"/>
      <c r="F72" s="836"/>
      <c r="G72" s="836"/>
      <c r="H72" s="836"/>
      <c r="I72" s="836"/>
      <c r="J72" s="836"/>
      <c r="K72" s="836"/>
      <c r="L72" s="836"/>
      <c r="M72" s="836"/>
      <c r="N72" s="836"/>
      <c r="O72" s="836"/>
      <c r="P72" s="836"/>
      <c r="Q72" s="836"/>
      <c r="R72" s="836"/>
      <c r="S72" s="836"/>
      <c r="T72" s="836"/>
      <c r="U72" s="836"/>
      <c r="V72" s="836"/>
      <c r="W72" s="836"/>
      <c r="X72" s="836"/>
      <c r="Y72" s="837"/>
    </row>
    <row r="73" spans="1:25" s="719" customFormat="1" ht="16.5" customHeight="1" outlineLevel="1" x14ac:dyDescent="0.3">
      <c r="A73" s="2039"/>
      <c r="B73" s="1874"/>
      <c r="C73" s="836"/>
      <c r="D73" s="836"/>
      <c r="E73" s="836"/>
      <c r="F73" s="836"/>
      <c r="G73" s="836"/>
      <c r="H73" s="836"/>
      <c r="I73" s="836"/>
      <c r="J73" s="836"/>
      <c r="K73" s="836"/>
      <c r="L73" s="836"/>
      <c r="M73" s="836"/>
      <c r="N73" s="836"/>
      <c r="O73" s="836"/>
      <c r="P73" s="836"/>
      <c r="Q73" s="836"/>
      <c r="R73" s="836"/>
      <c r="S73" s="836"/>
      <c r="T73" s="836"/>
      <c r="U73" s="836"/>
      <c r="V73" s="836"/>
      <c r="W73" s="836"/>
      <c r="X73" s="836"/>
      <c r="Y73" s="837"/>
    </row>
    <row r="74" spans="1:25" s="719" customFormat="1" ht="16.5" customHeight="1" outlineLevel="1" x14ac:dyDescent="0.3">
      <c r="A74" s="2039"/>
      <c r="B74" s="1874"/>
      <c r="C74" s="836"/>
      <c r="D74" s="836"/>
      <c r="E74" s="836"/>
      <c r="F74" s="836"/>
      <c r="G74" s="836"/>
      <c r="H74" s="836"/>
      <c r="I74" s="836"/>
      <c r="J74" s="836"/>
      <c r="K74" s="836"/>
      <c r="L74" s="836"/>
      <c r="M74" s="836"/>
      <c r="N74" s="836"/>
      <c r="O74" s="836"/>
      <c r="P74" s="836"/>
      <c r="Q74" s="836"/>
      <c r="R74" s="836"/>
      <c r="S74" s="836"/>
      <c r="T74" s="836"/>
      <c r="U74" s="836"/>
      <c r="V74" s="836"/>
      <c r="W74" s="836"/>
      <c r="X74" s="836"/>
      <c r="Y74" s="837"/>
    </row>
    <row r="75" spans="1:25" s="719" customFormat="1" ht="16.5" customHeight="1" outlineLevel="1" x14ac:dyDescent="0.3">
      <c r="A75" s="2039"/>
      <c r="B75" s="1874"/>
      <c r="C75" s="836"/>
      <c r="D75" s="836"/>
      <c r="E75" s="836"/>
      <c r="F75" s="836"/>
      <c r="G75" s="836"/>
      <c r="H75" s="836"/>
      <c r="I75" s="836"/>
      <c r="J75" s="836"/>
      <c r="K75" s="836"/>
      <c r="L75" s="836"/>
      <c r="M75" s="836"/>
      <c r="N75" s="836"/>
      <c r="O75" s="836"/>
      <c r="P75" s="836"/>
      <c r="Q75" s="836"/>
      <c r="R75" s="836"/>
      <c r="S75" s="836"/>
      <c r="T75" s="836"/>
      <c r="U75" s="836"/>
      <c r="V75" s="836"/>
      <c r="W75" s="836"/>
      <c r="X75" s="836"/>
      <c r="Y75" s="837"/>
    </row>
    <row r="76" spans="1:25" s="719" customFormat="1" ht="16.5" customHeight="1" outlineLevel="1" x14ac:dyDescent="0.3">
      <c r="A76" s="2039"/>
      <c r="B76" s="1874"/>
      <c r="C76" s="836"/>
      <c r="D76" s="836"/>
      <c r="E76" s="836"/>
      <c r="F76" s="836"/>
      <c r="G76" s="836"/>
      <c r="H76" s="836"/>
      <c r="I76" s="836"/>
      <c r="J76" s="836"/>
      <c r="K76" s="836"/>
      <c r="L76" s="836"/>
      <c r="M76" s="836"/>
      <c r="N76" s="836"/>
      <c r="O76" s="836"/>
      <c r="P76" s="836"/>
      <c r="Q76" s="836"/>
      <c r="R76" s="836"/>
      <c r="S76" s="836"/>
      <c r="T76" s="836"/>
      <c r="U76" s="836"/>
      <c r="V76" s="836"/>
      <c r="W76" s="836"/>
      <c r="X76" s="836"/>
      <c r="Y76" s="837"/>
    </row>
    <row r="77" spans="1:25" s="719" customFormat="1" ht="16.5" customHeight="1" outlineLevel="1" thickBot="1" x14ac:dyDescent="0.35">
      <c r="A77" s="2055"/>
      <c r="B77" s="1950"/>
      <c r="C77" s="836"/>
      <c r="D77" s="836"/>
      <c r="E77" s="836"/>
      <c r="F77" s="836"/>
      <c r="G77" s="836"/>
      <c r="H77" s="836"/>
      <c r="I77" s="836"/>
      <c r="J77" s="836"/>
      <c r="K77" s="836"/>
      <c r="L77" s="836"/>
      <c r="M77" s="836"/>
      <c r="N77" s="836"/>
      <c r="O77" s="836"/>
      <c r="P77" s="836"/>
      <c r="Q77" s="836"/>
      <c r="R77" s="836"/>
      <c r="S77" s="836"/>
      <c r="T77" s="836"/>
      <c r="U77" s="836"/>
      <c r="V77" s="836"/>
      <c r="W77" s="836"/>
      <c r="X77" s="836"/>
      <c r="Y77" s="837"/>
    </row>
    <row r="78" spans="1:25" s="719" customFormat="1" ht="16.5" customHeight="1" x14ac:dyDescent="0.3">
      <c r="A78" s="1875" t="s">
        <v>622</v>
      </c>
      <c r="B78" s="1826"/>
      <c r="C78" s="1826"/>
      <c r="D78" s="1826"/>
      <c r="E78" s="1826"/>
      <c r="F78" s="1826"/>
      <c r="G78" s="1826"/>
      <c r="H78" s="1826"/>
      <c r="I78" s="1826"/>
      <c r="J78" s="1826"/>
      <c r="K78" s="1826"/>
      <c r="L78" s="1826"/>
      <c r="M78" s="1826"/>
      <c r="N78" s="1826"/>
      <c r="O78" s="1826"/>
      <c r="P78" s="1826"/>
      <c r="Q78" s="1826"/>
      <c r="R78" s="1826"/>
      <c r="S78" s="1826"/>
      <c r="T78" s="1826"/>
      <c r="U78" s="1826"/>
      <c r="V78" s="1826"/>
      <c r="W78" s="1826"/>
      <c r="X78" s="1826"/>
      <c r="Y78" s="1876"/>
    </row>
    <row r="79" spans="1:25" s="719" customFormat="1" ht="16.5" customHeight="1" thickBot="1" x14ac:dyDescent="0.35">
      <c r="A79" s="1877"/>
      <c r="B79" s="1878"/>
      <c r="C79" s="1878"/>
      <c r="D79" s="1878"/>
      <c r="E79" s="1878"/>
      <c r="F79" s="1878"/>
      <c r="G79" s="1878"/>
      <c r="H79" s="1878"/>
      <c r="I79" s="1878"/>
      <c r="J79" s="1878"/>
      <c r="K79" s="1878"/>
      <c r="L79" s="1878"/>
      <c r="M79" s="1878"/>
      <c r="N79" s="1878"/>
      <c r="O79" s="1878"/>
      <c r="P79" s="1878"/>
      <c r="Q79" s="1878"/>
      <c r="R79" s="1878"/>
      <c r="S79" s="1878"/>
      <c r="T79" s="1878"/>
      <c r="U79" s="1878"/>
      <c r="V79" s="1878"/>
      <c r="W79" s="1878"/>
      <c r="X79" s="1878"/>
      <c r="Y79" s="1879"/>
    </row>
    <row r="80" spans="1:25" s="719" customFormat="1" ht="16.5" customHeight="1" x14ac:dyDescent="0.3">
      <c r="A80" s="2056"/>
      <c r="B80" s="2056"/>
      <c r="C80" s="838"/>
      <c r="D80" s="838"/>
      <c r="E80" s="838"/>
      <c r="F80" s="838"/>
      <c r="G80" s="838"/>
      <c r="H80" s="838"/>
      <c r="I80" s="838"/>
      <c r="J80" s="838"/>
      <c r="K80" s="838"/>
      <c r="L80" s="838"/>
      <c r="M80" s="838"/>
      <c r="N80" s="838"/>
      <c r="O80" s="838"/>
      <c r="P80" s="838"/>
      <c r="Q80" s="838"/>
      <c r="R80" s="838"/>
      <c r="S80" s="838"/>
      <c r="T80" s="838"/>
      <c r="U80" s="838"/>
      <c r="V80" s="838"/>
      <c r="W80" s="838"/>
      <c r="X80" s="838"/>
      <c r="Y80" s="838"/>
    </row>
    <row r="81" spans="1:25" ht="14.5" thickBot="1" x14ac:dyDescent="0.35">
      <c r="A81" s="1818"/>
      <c r="B81" s="1818"/>
    </row>
    <row r="82" spans="1:25" ht="32.25" customHeight="1" outlineLevel="1" thickBot="1" x14ac:dyDescent="0.35">
      <c r="A82" s="1774" t="str">
        <f>A83 &amp; " Zone Cost Component Variation in " &amp; A84</f>
        <v>ATCO-S Zone Cost Component Variation in 2019</v>
      </c>
      <c r="B82" s="1775"/>
      <c r="C82" s="1775"/>
      <c r="D82" s="1775"/>
      <c r="E82" s="1775"/>
      <c r="F82" s="1775"/>
      <c r="G82" s="1775"/>
      <c r="H82" s="1775"/>
      <c r="I82" s="1775"/>
      <c r="J82" s="1775"/>
      <c r="K82" s="1775"/>
      <c r="L82" s="1775"/>
      <c r="M82" s="1775"/>
      <c r="N82" s="1776"/>
      <c r="O82" s="644"/>
      <c r="P82" s="644"/>
      <c r="Q82" s="644"/>
      <c r="R82" s="644"/>
      <c r="S82" s="644"/>
      <c r="T82" s="644"/>
      <c r="U82" s="644"/>
      <c r="V82" s="644"/>
      <c r="W82" s="644"/>
      <c r="X82" s="644"/>
      <c r="Y82" s="645"/>
    </row>
    <row r="83" spans="1:25" ht="21" customHeight="1" outlineLevel="1" thickBot="1" x14ac:dyDescent="0.35">
      <c r="A83" s="888" t="s">
        <v>100</v>
      </c>
      <c r="B83" s="28" t="str">
        <f>HYPERLINK("#"&amp;ADDRESS(ROW(), COLUMN()-1), "€")</f>
        <v>€</v>
      </c>
      <c r="C83" s="839" t="s">
        <v>71</v>
      </c>
      <c r="D83" s="840" t="s">
        <v>72</v>
      </c>
      <c r="E83" s="840" t="s">
        <v>73</v>
      </c>
      <c r="F83" s="840" t="s">
        <v>74</v>
      </c>
      <c r="G83" s="840" t="s">
        <v>75</v>
      </c>
      <c r="H83" s="840" t="s">
        <v>76</v>
      </c>
      <c r="I83" s="840" t="s">
        <v>77</v>
      </c>
      <c r="J83" s="840" t="s">
        <v>78</v>
      </c>
      <c r="K83" s="840" t="s">
        <v>79</v>
      </c>
      <c r="L83" s="840" t="s">
        <v>80</v>
      </c>
      <c r="M83" s="840" t="s">
        <v>81</v>
      </c>
      <c r="N83" s="840" t="s">
        <v>82</v>
      </c>
      <c r="O83" s="612"/>
      <c r="P83" s="612"/>
      <c r="Q83" s="612"/>
      <c r="R83" s="612"/>
      <c r="S83" s="612"/>
      <c r="T83" s="612"/>
      <c r="U83" s="612"/>
      <c r="V83" s="612"/>
      <c r="W83" s="612"/>
      <c r="X83" s="612"/>
      <c r="Y83" s="647"/>
    </row>
    <row r="84" spans="1:25" ht="21" customHeight="1" outlineLevel="1" thickBot="1" x14ac:dyDescent="0.35">
      <c r="A84" s="822">
        <v>2019</v>
      </c>
      <c r="B84" s="25" t="str">
        <f>HYPERLINK("#"&amp;ADDRESS(ROW(), COLUMN()-1), "€")</f>
        <v>€</v>
      </c>
      <c r="C84" s="841">
        <f>7+(($A$84-2012)*12)</f>
        <v>91</v>
      </c>
      <c r="D84" s="842">
        <f>C84+1</f>
        <v>92</v>
      </c>
      <c r="E84" s="842">
        <f t="shared" ref="E84:N84" si="0">D84+1</f>
        <v>93</v>
      </c>
      <c r="F84" s="842">
        <f t="shared" si="0"/>
        <v>94</v>
      </c>
      <c r="G84" s="842">
        <f t="shared" si="0"/>
        <v>95</v>
      </c>
      <c r="H84" s="842">
        <f t="shared" si="0"/>
        <v>96</v>
      </c>
      <c r="I84" s="842">
        <f t="shared" si="0"/>
        <v>97</v>
      </c>
      <c r="J84" s="842">
        <f t="shared" si="0"/>
        <v>98</v>
      </c>
      <c r="K84" s="842">
        <f t="shared" si="0"/>
        <v>99</v>
      </c>
      <c r="L84" s="842">
        <f t="shared" si="0"/>
        <v>100</v>
      </c>
      <c r="M84" s="842">
        <f t="shared" si="0"/>
        <v>101</v>
      </c>
      <c r="N84" s="842">
        <f t="shared" si="0"/>
        <v>102</v>
      </c>
      <c r="O84" s="612"/>
      <c r="P84" s="612"/>
      <c r="Q84" s="612"/>
      <c r="R84" s="612"/>
      <c r="S84" s="612"/>
      <c r="T84" s="612"/>
      <c r="U84" s="612"/>
      <c r="V84" s="612"/>
      <c r="W84" s="612"/>
      <c r="X84" s="612"/>
      <c r="Y84" s="647"/>
    </row>
    <row r="85" spans="1:25" outlineLevel="1" x14ac:dyDescent="0.3">
      <c r="A85" s="1807" t="s">
        <v>59</v>
      </c>
      <c r="B85" s="1808"/>
      <c r="C85" s="843">
        <f ca="1">IF(ISBLANK(INDIRECT("'"&amp;$A$83&amp;"'!"&amp;HLOOKUP($A$83, 'Misc. Data &amp; Mechanisms'!$O$674:$R$682,ROW('Misc. Data &amp; Mechanisms'!$O675)-ROW('Misc. Data &amp; Mechanisms'!$O$674) + 1, FALSE)&amp;C$84)), "", INDIRECT("'"&amp;$A$83&amp;"'!"&amp;HLOOKUP($A$83, 'Misc. Data &amp; Mechanisms'!$O$674:$R$682,ROW('Misc. Data &amp; Mechanisms'!$O675)-ROW('Misc. Data &amp; Mechanisms'!$O$674) + 1, FALSE)&amp;C$84))</f>
        <v>25.946999999999999</v>
      </c>
      <c r="D85" s="843">
        <f ca="1">IF(ISBLANK(INDIRECT("'"&amp;$A$83&amp;"'!"&amp;HLOOKUP($A$83, 'Misc. Data &amp; Mechanisms'!$O$674:$R$682,ROW('Misc. Data &amp; Mechanisms'!$O675)-ROW('Misc. Data &amp; Mechanisms'!$O$674) + 1, FALSE)&amp;D$84)), "", INDIRECT("'"&amp;$A$83&amp;"'!"&amp;HLOOKUP($A$83, 'Misc. Data &amp; Mechanisms'!$O$674:$R$682,ROW('Misc. Data &amp; Mechanisms'!$O675)-ROW('Misc. Data &amp; Mechanisms'!$O$674) + 1, FALSE)&amp;D$84))</f>
        <v>23.436</v>
      </c>
      <c r="E85" s="843">
        <f ca="1">IF(ISBLANK(INDIRECT("'"&amp;$A$83&amp;"'!"&amp;HLOOKUP($A$83, 'Misc. Data &amp; Mechanisms'!$O$674:$R$682,ROW('Misc. Data &amp; Mechanisms'!$O675)-ROW('Misc. Data &amp; Mechanisms'!$O$674) + 1, FALSE)&amp;E$84)), "", INDIRECT("'"&amp;$A$83&amp;"'!"&amp;HLOOKUP($A$83, 'Misc. Data &amp; Mechanisms'!$O$674:$R$682,ROW('Misc. Data &amp; Mechanisms'!$O675)-ROW('Misc. Data &amp; Mechanisms'!$O$674) + 1, FALSE)&amp;E$84))</f>
        <v>25.946999999999999</v>
      </c>
      <c r="F85" s="843">
        <f ca="1">IF(ISBLANK(INDIRECT("'"&amp;$A$83&amp;"'!"&amp;HLOOKUP($A$83, 'Misc. Data &amp; Mechanisms'!$O$674:$R$682,ROW('Misc. Data &amp; Mechanisms'!$O675)-ROW('Misc. Data &amp; Mechanisms'!$O$674) + 1, FALSE)&amp;F$84)), "", INDIRECT("'"&amp;$A$83&amp;"'!"&amp;HLOOKUP($A$83, 'Misc. Data &amp; Mechanisms'!$O$674:$R$682,ROW('Misc. Data &amp; Mechanisms'!$O675)-ROW('Misc. Data &amp; Mechanisms'!$O$674) + 1, FALSE)&amp;F$84))</f>
        <v>25.11</v>
      </c>
      <c r="G85" s="843">
        <f ca="1">IF(ISBLANK(INDIRECT("'"&amp;$A$83&amp;"'!"&amp;HLOOKUP($A$83, 'Misc. Data &amp; Mechanisms'!$O$674:$R$682,ROW('Misc. Data &amp; Mechanisms'!$O675)-ROW('Misc. Data &amp; Mechanisms'!$O$674) + 1, FALSE)&amp;G$84)), "", INDIRECT("'"&amp;$A$83&amp;"'!"&amp;HLOOKUP($A$83, 'Misc. Data &amp; Mechanisms'!$O$674:$R$682,ROW('Misc. Data &amp; Mechanisms'!$O675)-ROW('Misc. Data &amp; Mechanisms'!$O$674) + 1, FALSE)&amp;G$84))</f>
        <v>25.946999999999999</v>
      </c>
      <c r="H85" s="843">
        <f ca="1">IF(ISBLANK(INDIRECT("'"&amp;$A$83&amp;"'!"&amp;HLOOKUP($A$83, 'Misc. Data &amp; Mechanisms'!$O$674:$R$682,ROW('Misc. Data &amp; Mechanisms'!$O675)-ROW('Misc. Data &amp; Mechanisms'!$O$674) + 1, FALSE)&amp;H$84)), "", INDIRECT("'"&amp;$A$83&amp;"'!"&amp;HLOOKUP($A$83, 'Misc. Data &amp; Mechanisms'!$O$674:$R$682,ROW('Misc. Data &amp; Mechanisms'!$O675)-ROW('Misc. Data &amp; Mechanisms'!$O$674) + 1, FALSE)&amp;H$84))</f>
        <v>25.11</v>
      </c>
      <c r="I85" s="843" t="str">
        <f ca="1">IF(ISBLANK(INDIRECT("'"&amp;$A$83&amp;"'!"&amp;HLOOKUP($A$83, 'Misc. Data &amp; Mechanisms'!$O$674:$R$682,ROW('Misc. Data &amp; Mechanisms'!$O675)-ROW('Misc. Data &amp; Mechanisms'!$O$674) + 1, FALSE)&amp;I$84)), "", INDIRECT("'"&amp;$A$83&amp;"'!"&amp;HLOOKUP($A$83, 'Misc. Data &amp; Mechanisms'!$O$674:$R$682,ROW('Misc. Data &amp; Mechanisms'!$O675)-ROW('Misc. Data &amp; Mechanisms'!$O$674) + 1, FALSE)&amp;I$84))</f>
        <v/>
      </c>
      <c r="J85" s="843" t="str">
        <f ca="1">IF(ISBLANK(INDIRECT("'"&amp;$A$83&amp;"'!"&amp;HLOOKUP($A$83, 'Misc. Data &amp; Mechanisms'!$O$674:$R$682,ROW('Misc. Data &amp; Mechanisms'!$O675)-ROW('Misc. Data &amp; Mechanisms'!$O$674) + 1, FALSE)&amp;J$84)), "", INDIRECT("'"&amp;$A$83&amp;"'!"&amp;HLOOKUP($A$83, 'Misc. Data &amp; Mechanisms'!$O$674:$R$682,ROW('Misc. Data &amp; Mechanisms'!$O675)-ROW('Misc. Data &amp; Mechanisms'!$O$674) + 1, FALSE)&amp;J$84))</f>
        <v/>
      </c>
      <c r="K85" s="843" t="str">
        <f ca="1">IF(ISBLANK(INDIRECT("'"&amp;$A$83&amp;"'!"&amp;HLOOKUP($A$83, 'Misc. Data &amp; Mechanisms'!$O$674:$R$682,ROW('Misc. Data &amp; Mechanisms'!$O675)-ROW('Misc. Data &amp; Mechanisms'!$O$674) + 1, FALSE)&amp;K$84)), "", INDIRECT("'"&amp;$A$83&amp;"'!"&amp;HLOOKUP($A$83, 'Misc. Data &amp; Mechanisms'!$O$674:$R$682,ROW('Misc. Data &amp; Mechanisms'!$O675)-ROW('Misc. Data &amp; Mechanisms'!$O$674) + 1, FALSE)&amp;K$84))</f>
        <v/>
      </c>
      <c r="L85" s="843" t="str">
        <f ca="1">IF(ISBLANK(INDIRECT("'"&amp;$A$83&amp;"'!"&amp;HLOOKUP($A$83, 'Misc. Data &amp; Mechanisms'!$O$674:$R$682,ROW('Misc. Data &amp; Mechanisms'!$O675)-ROW('Misc. Data &amp; Mechanisms'!$O$674) + 1, FALSE)&amp;L$84)), "", INDIRECT("'"&amp;$A$83&amp;"'!"&amp;HLOOKUP($A$83, 'Misc. Data &amp; Mechanisms'!$O$674:$R$682,ROW('Misc. Data &amp; Mechanisms'!$O675)-ROW('Misc. Data &amp; Mechanisms'!$O$674) + 1, FALSE)&amp;L$84))</f>
        <v/>
      </c>
      <c r="M85" s="843" t="str">
        <f ca="1">IF(ISBLANK(INDIRECT("'"&amp;$A$83&amp;"'!"&amp;HLOOKUP($A$83, 'Misc. Data &amp; Mechanisms'!$O$674:$R$682,ROW('Misc. Data &amp; Mechanisms'!$O675)-ROW('Misc. Data &amp; Mechanisms'!$O$674) + 1, FALSE)&amp;M$84)), "", INDIRECT("'"&amp;$A$83&amp;"'!"&amp;HLOOKUP($A$83, 'Misc. Data &amp; Mechanisms'!$O$674:$R$682,ROW('Misc. Data &amp; Mechanisms'!$O675)-ROW('Misc. Data &amp; Mechanisms'!$O$674) + 1, FALSE)&amp;M$84))</f>
        <v/>
      </c>
      <c r="N85" s="843" t="str">
        <f ca="1">IF(ISBLANK(INDIRECT("'"&amp;$A$83&amp;"'!"&amp;HLOOKUP($A$83, 'Misc. Data &amp; Mechanisms'!$O$674:$R$682,ROW('Misc. Data &amp; Mechanisms'!$O675)-ROW('Misc. Data &amp; Mechanisms'!$O$674) + 1, FALSE)&amp;N$84)), "", INDIRECT("'"&amp;$A$83&amp;"'!"&amp;HLOOKUP($A$83, 'Misc. Data &amp; Mechanisms'!$O$674:$R$682,ROW('Misc. Data &amp; Mechanisms'!$O675)-ROW('Misc. Data &amp; Mechanisms'!$O$674) + 1, FALSE)&amp;N$84))</f>
        <v/>
      </c>
      <c r="O85" s="183"/>
      <c r="P85" s="612"/>
      <c r="Q85" s="612"/>
      <c r="R85" s="612"/>
      <c r="S85" s="612"/>
      <c r="T85" s="612"/>
      <c r="U85" s="612"/>
      <c r="V85" s="612"/>
      <c r="W85" s="612"/>
      <c r="X85" s="612"/>
      <c r="Y85" s="647"/>
    </row>
    <row r="86" spans="1:25" outlineLevel="1" x14ac:dyDescent="0.3">
      <c r="A86" s="1809" t="s">
        <v>60</v>
      </c>
      <c r="B86" s="1810"/>
      <c r="C86" s="843">
        <f ca="1">IF(ISBLANK(INDIRECT("'"&amp;$A$83&amp;"'!"&amp;HLOOKUP($A$83, 'Misc. Data &amp; Mechanisms'!$O$674:$R$682,ROW('Misc. Data &amp; Mechanisms'!$O676)-ROW('Misc. Data &amp; Mechanisms'!$O$674) + 1, FALSE)&amp;C$84)), "", INDIRECT("'"&amp;$A$83&amp;"'!"&amp;HLOOKUP($A$83, 'Misc. Data &amp; Mechanisms'!$O$674:$R$682,ROW('Misc. Data &amp; Mechanisms'!$O676)-ROW('Misc. Data &amp; Mechanisms'!$O$674) + 1, FALSE)&amp;C$84))</f>
        <v>13.961815841257177</v>
      </c>
      <c r="D86" s="843">
        <f ca="1">IF(ISBLANK(INDIRECT("'"&amp;$A$83&amp;"'!"&amp;HLOOKUP($A$83, 'Misc. Data &amp; Mechanisms'!$O$674:$R$682,ROW('Misc. Data &amp; Mechanisms'!$O676)-ROW('Misc. Data &amp; Mechanisms'!$O$674) + 1, FALSE)&amp;D$84)), "", INDIRECT("'"&amp;$A$83&amp;"'!"&amp;HLOOKUP($A$83, 'Misc. Data &amp; Mechanisms'!$O$674:$R$682,ROW('Misc. Data &amp; Mechanisms'!$O676)-ROW('Misc. Data &amp; Mechanisms'!$O$674) + 1, FALSE)&amp;D$84))</f>
        <v>21.645384041554284</v>
      </c>
      <c r="E86" s="843">
        <f ca="1">IF(ISBLANK(INDIRECT("'"&amp;$A$83&amp;"'!"&amp;HLOOKUP($A$83, 'Misc. Data &amp; Mechanisms'!$O$674:$R$682,ROW('Misc. Data &amp; Mechanisms'!$O676)-ROW('Misc. Data &amp; Mechanisms'!$O$674) + 1, FALSE)&amp;E$84)), "", INDIRECT("'"&amp;$A$83&amp;"'!"&amp;HLOOKUP($A$83, 'Misc. Data &amp; Mechanisms'!$O$674:$R$682,ROW('Misc. Data &amp; Mechanisms'!$O676)-ROW('Misc. Data &amp; Mechanisms'!$O$674) + 1, FALSE)&amp;E$84))</f>
        <v>13.092799736790329</v>
      </c>
      <c r="F86" s="843">
        <f ca="1">IF(ISBLANK(INDIRECT("'"&amp;$A$83&amp;"'!"&amp;HLOOKUP($A$83, 'Misc. Data &amp; Mechanisms'!$O$674:$R$682,ROW('Misc. Data &amp; Mechanisms'!$O676)-ROW('Misc. Data &amp; Mechanisms'!$O$674) + 1, FALSE)&amp;F$84)), "", INDIRECT("'"&amp;$A$83&amp;"'!"&amp;HLOOKUP($A$83, 'Misc. Data &amp; Mechanisms'!$O$674:$R$682,ROW('Misc. Data &amp; Mechanisms'!$O676)-ROW('Misc. Data &amp; Mechanisms'!$O$674) + 1, FALSE)&amp;F$84))</f>
        <v>7.9526381107213826</v>
      </c>
      <c r="G86" s="843">
        <f ca="1">IF(ISBLANK(INDIRECT("'"&amp;$A$83&amp;"'!"&amp;HLOOKUP($A$83, 'Misc. Data &amp; Mechanisms'!$O$674:$R$682,ROW('Misc. Data &amp; Mechanisms'!$O676)-ROW('Misc. Data &amp; Mechanisms'!$O$674) + 1, FALSE)&amp;G$84)), "", INDIRECT("'"&amp;$A$83&amp;"'!"&amp;HLOOKUP($A$83, 'Misc. Data &amp; Mechanisms'!$O$674:$R$682,ROW('Misc. Data &amp; Mechanisms'!$O676)-ROW('Misc. Data &amp; Mechanisms'!$O$674) + 1, FALSE)&amp;G$84))</f>
        <v>6.2225451665778353</v>
      </c>
      <c r="H86" s="843">
        <f ca="1">IF(ISBLANK(INDIRECT("'"&amp;$A$83&amp;"'!"&amp;HLOOKUP($A$83, 'Misc. Data &amp; Mechanisms'!$O$674:$R$682,ROW('Misc. Data &amp; Mechanisms'!$O676)-ROW('Misc. Data &amp; Mechanisms'!$O$674) + 1, FALSE)&amp;H$84)), "", INDIRECT("'"&amp;$A$83&amp;"'!"&amp;HLOOKUP($A$83, 'Misc. Data &amp; Mechanisms'!$O$674:$R$682,ROW('Misc. Data &amp; Mechanisms'!$O676)-ROW('Misc. Data &amp; Mechanisms'!$O$674) + 1, FALSE)&amp;H$84))</f>
        <v>3.1037296499089999</v>
      </c>
      <c r="I86" s="843" t="str">
        <f ca="1">IF(ISBLANK(INDIRECT("'"&amp;$A$83&amp;"'!"&amp;HLOOKUP($A$83, 'Misc. Data &amp; Mechanisms'!$O$674:$R$682,ROW('Misc. Data &amp; Mechanisms'!$O676)-ROW('Misc. Data &amp; Mechanisms'!$O$674) + 1, FALSE)&amp;I$84)), "", INDIRECT("'"&amp;$A$83&amp;"'!"&amp;HLOOKUP($A$83, 'Misc. Data &amp; Mechanisms'!$O$674:$R$682,ROW('Misc. Data &amp; Mechanisms'!$O676)-ROW('Misc. Data &amp; Mechanisms'!$O$674) + 1, FALSE)&amp;I$84))</f>
        <v/>
      </c>
      <c r="J86" s="843" t="str">
        <f ca="1">IF(ISBLANK(INDIRECT("'"&amp;$A$83&amp;"'!"&amp;HLOOKUP($A$83, 'Misc. Data &amp; Mechanisms'!$O$674:$R$682,ROW('Misc. Data &amp; Mechanisms'!$O676)-ROW('Misc. Data &amp; Mechanisms'!$O$674) + 1, FALSE)&amp;J$84)), "", INDIRECT("'"&amp;$A$83&amp;"'!"&amp;HLOOKUP($A$83, 'Misc. Data &amp; Mechanisms'!$O$674:$R$682,ROW('Misc. Data &amp; Mechanisms'!$O676)-ROW('Misc. Data &amp; Mechanisms'!$O$674) + 1, FALSE)&amp;J$84))</f>
        <v/>
      </c>
      <c r="K86" s="843" t="str">
        <f ca="1">IF(ISBLANK(INDIRECT("'"&amp;$A$83&amp;"'!"&amp;HLOOKUP($A$83, 'Misc. Data &amp; Mechanisms'!$O$674:$R$682,ROW('Misc. Data &amp; Mechanisms'!$O676)-ROW('Misc. Data &amp; Mechanisms'!$O$674) + 1, FALSE)&amp;K$84)), "", INDIRECT("'"&amp;$A$83&amp;"'!"&amp;HLOOKUP($A$83, 'Misc. Data &amp; Mechanisms'!$O$674:$R$682,ROW('Misc. Data &amp; Mechanisms'!$O676)-ROW('Misc. Data &amp; Mechanisms'!$O$674) + 1, FALSE)&amp;K$84))</f>
        <v/>
      </c>
      <c r="L86" s="843" t="str">
        <f ca="1">IF(ISBLANK(INDIRECT("'"&amp;$A$83&amp;"'!"&amp;HLOOKUP($A$83, 'Misc. Data &amp; Mechanisms'!$O$674:$R$682,ROW('Misc. Data &amp; Mechanisms'!$O676)-ROW('Misc. Data &amp; Mechanisms'!$O$674) + 1, FALSE)&amp;L$84)), "", INDIRECT("'"&amp;$A$83&amp;"'!"&amp;HLOOKUP($A$83, 'Misc. Data &amp; Mechanisms'!$O$674:$R$682,ROW('Misc. Data &amp; Mechanisms'!$O676)-ROW('Misc. Data &amp; Mechanisms'!$O$674) + 1, FALSE)&amp;L$84))</f>
        <v/>
      </c>
      <c r="M86" s="843" t="str">
        <f ca="1">IF(ISBLANK(INDIRECT("'"&amp;$A$83&amp;"'!"&amp;HLOOKUP($A$83, 'Misc. Data &amp; Mechanisms'!$O$674:$R$682,ROW('Misc. Data &amp; Mechanisms'!$O676)-ROW('Misc. Data &amp; Mechanisms'!$O$674) + 1, FALSE)&amp;M$84)), "", INDIRECT("'"&amp;$A$83&amp;"'!"&amp;HLOOKUP($A$83, 'Misc. Data &amp; Mechanisms'!$O$674:$R$682,ROW('Misc. Data &amp; Mechanisms'!$O676)-ROW('Misc. Data &amp; Mechanisms'!$O$674) + 1, FALSE)&amp;M$84))</f>
        <v/>
      </c>
      <c r="N86" s="843" t="str">
        <f ca="1">IF(ISBLANK(INDIRECT("'"&amp;$A$83&amp;"'!"&amp;HLOOKUP($A$83, 'Misc. Data &amp; Mechanisms'!$O$674:$R$682,ROW('Misc. Data &amp; Mechanisms'!$O676)-ROW('Misc. Data &amp; Mechanisms'!$O$674) + 1, FALSE)&amp;N$84)), "", INDIRECT("'"&amp;$A$83&amp;"'!"&amp;HLOOKUP($A$83, 'Misc. Data &amp; Mechanisms'!$O$674:$R$682,ROW('Misc. Data &amp; Mechanisms'!$O676)-ROW('Misc. Data &amp; Mechanisms'!$O$674) + 1, FALSE)&amp;N$84))</f>
        <v/>
      </c>
      <c r="O86" s="844"/>
      <c r="P86" s="845"/>
      <c r="Q86" s="612"/>
      <c r="R86" s="612"/>
      <c r="S86" s="612"/>
      <c r="T86" s="612"/>
      <c r="U86" s="612"/>
      <c r="V86" s="612"/>
      <c r="W86" s="612"/>
      <c r="X86" s="612"/>
      <c r="Y86" s="647"/>
    </row>
    <row r="87" spans="1:25" outlineLevel="1" x14ac:dyDescent="0.3">
      <c r="A87" s="1809" t="s">
        <v>62</v>
      </c>
      <c r="B87" s="1810"/>
      <c r="C87" s="843">
        <f ca="1">IF(ISBLANK(INDIRECT("'"&amp;$A$83&amp;"'!"&amp;HLOOKUP($A$83, 'Misc. Data &amp; Mechanisms'!$O$674:$R$682,ROW('Misc. Data &amp; Mechanisms'!$O677)-ROW('Misc. Data &amp; Mechanisms'!$O$674) + 1, FALSE)&amp;C$84)), "", INDIRECT("'"&amp;$A$83&amp;"'!"&amp;HLOOKUP($A$83, 'Misc. Data &amp; Mechanisms'!$O$674:$R$682,ROW('Misc. Data &amp; Mechanisms'!$O677)-ROW('Misc. Data &amp; Mechanisms'!$O$674) + 1, FALSE)&amp;C$84))</f>
        <v>8.1124896049438657</v>
      </c>
      <c r="D87" s="843">
        <f ca="1">IF(ISBLANK(INDIRECT("'"&amp;$A$83&amp;"'!"&amp;HLOOKUP($A$83, 'Misc. Data &amp; Mechanisms'!$O$674:$R$682,ROW('Misc. Data &amp; Mechanisms'!$O677)-ROW('Misc. Data &amp; Mechanisms'!$O$674) + 1, FALSE)&amp;D$84)), "", INDIRECT("'"&amp;$A$83&amp;"'!"&amp;HLOOKUP($A$83, 'Misc. Data &amp; Mechanisms'!$O$674:$R$682,ROW('Misc. Data &amp; Mechanisms'!$O677)-ROW('Misc. Data &amp; Mechanisms'!$O$674) + 1, FALSE)&amp;D$84))</f>
        <v>12.372592105843843</v>
      </c>
      <c r="E87" s="843">
        <f ca="1">IF(ISBLANK(INDIRECT("'"&amp;$A$83&amp;"'!"&amp;HLOOKUP($A$83, 'Misc. Data &amp; Mechanisms'!$O$674:$R$682,ROW('Misc. Data &amp; Mechanisms'!$O677)-ROW('Misc. Data &amp; Mechanisms'!$O$674) + 1, FALSE)&amp;E$84)), "", INDIRECT("'"&amp;$A$83&amp;"'!"&amp;HLOOKUP($A$83, 'Misc. Data &amp; Mechanisms'!$O$674:$R$682,ROW('Misc. Data &amp; Mechanisms'!$O677)-ROW('Misc. Data &amp; Mechanisms'!$O$674) + 1, FALSE)&amp;E$84))</f>
        <v>11.73428222700306</v>
      </c>
      <c r="F87" s="843">
        <f ca="1">IF(ISBLANK(INDIRECT("'"&amp;$A$83&amp;"'!"&amp;HLOOKUP($A$83, 'Misc. Data &amp; Mechanisms'!$O$674:$R$682,ROW('Misc. Data &amp; Mechanisms'!$O677)-ROW('Misc. Data &amp; Mechanisms'!$O$674) + 1, FALSE)&amp;F$84)), "", INDIRECT("'"&amp;$A$83&amp;"'!"&amp;HLOOKUP($A$83, 'Misc. Data &amp; Mechanisms'!$O$674:$R$682,ROW('Misc. Data &amp; Mechanisms'!$O677)-ROW('Misc. Data &amp; Mechanisms'!$O$674) + 1, FALSE)&amp;F$84))</f>
        <v>7.9700690164135626</v>
      </c>
      <c r="G87" s="843">
        <f ca="1">IF(ISBLANK(INDIRECT("'"&amp;$A$83&amp;"'!"&amp;HLOOKUP($A$83, 'Misc. Data &amp; Mechanisms'!$O$674:$R$682,ROW('Misc. Data &amp; Mechanisms'!$O677)-ROW('Misc. Data &amp; Mechanisms'!$O$674) + 1, FALSE)&amp;G$84)), "", INDIRECT("'"&amp;$A$83&amp;"'!"&amp;HLOOKUP($A$83, 'Misc. Data &amp; Mechanisms'!$O$674:$R$682,ROW('Misc. Data &amp; Mechanisms'!$O677)-ROW('Misc. Data &amp; Mechanisms'!$O$674) + 1, FALSE)&amp;G$84))</f>
        <v>6.5952077365448813</v>
      </c>
      <c r="H87" s="843">
        <f ca="1">IF(ISBLANK(INDIRECT("'"&amp;$A$83&amp;"'!"&amp;HLOOKUP($A$83, 'Misc. Data &amp; Mechanisms'!$O$674:$R$682,ROW('Misc. Data &amp; Mechanisms'!$O677)-ROW('Misc. Data &amp; Mechanisms'!$O$674) + 1, FALSE)&amp;H$84)), "", INDIRECT("'"&amp;$A$83&amp;"'!"&amp;HLOOKUP($A$83, 'Misc. Data &amp; Mechanisms'!$O$674:$R$682,ROW('Misc. Data &amp; Mechanisms'!$O677)-ROW('Misc. Data &amp; Mechanisms'!$O$674) + 1, FALSE)&amp;H$84))</f>
        <v>3.9898169179856966</v>
      </c>
      <c r="I87" s="843" t="str">
        <f ca="1">IF(ISBLANK(INDIRECT("'"&amp;$A$83&amp;"'!"&amp;HLOOKUP($A$83, 'Misc. Data &amp; Mechanisms'!$O$674:$R$682,ROW('Misc. Data &amp; Mechanisms'!$O677)-ROW('Misc. Data &amp; Mechanisms'!$O$674) + 1, FALSE)&amp;I$84)), "", INDIRECT("'"&amp;$A$83&amp;"'!"&amp;HLOOKUP($A$83, 'Misc. Data &amp; Mechanisms'!$O$674:$R$682,ROW('Misc. Data &amp; Mechanisms'!$O677)-ROW('Misc. Data &amp; Mechanisms'!$O$674) + 1, FALSE)&amp;I$84))</f>
        <v/>
      </c>
      <c r="J87" s="843" t="str">
        <f ca="1">IF(ISBLANK(INDIRECT("'"&amp;$A$83&amp;"'!"&amp;HLOOKUP($A$83, 'Misc. Data &amp; Mechanisms'!$O$674:$R$682,ROW('Misc. Data &amp; Mechanisms'!$O677)-ROW('Misc. Data &amp; Mechanisms'!$O$674) + 1, FALSE)&amp;J$84)), "", INDIRECT("'"&amp;$A$83&amp;"'!"&amp;HLOOKUP($A$83, 'Misc. Data &amp; Mechanisms'!$O$674:$R$682,ROW('Misc. Data &amp; Mechanisms'!$O677)-ROW('Misc. Data &amp; Mechanisms'!$O$674) + 1, FALSE)&amp;J$84))</f>
        <v/>
      </c>
      <c r="K87" s="843" t="str">
        <f ca="1">IF(ISBLANK(INDIRECT("'"&amp;$A$83&amp;"'!"&amp;HLOOKUP($A$83, 'Misc. Data &amp; Mechanisms'!$O$674:$R$682,ROW('Misc. Data &amp; Mechanisms'!$O677)-ROW('Misc. Data &amp; Mechanisms'!$O$674) + 1, FALSE)&amp;K$84)), "", INDIRECT("'"&amp;$A$83&amp;"'!"&amp;HLOOKUP($A$83, 'Misc. Data &amp; Mechanisms'!$O$674:$R$682,ROW('Misc. Data &amp; Mechanisms'!$O677)-ROW('Misc. Data &amp; Mechanisms'!$O$674) + 1, FALSE)&amp;K$84))</f>
        <v/>
      </c>
      <c r="L87" s="843" t="str">
        <f ca="1">IF(ISBLANK(INDIRECT("'"&amp;$A$83&amp;"'!"&amp;HLOOKUP($A$83, 'Misc. Data &amp; Mechanisms'!$O$674:$R$682,ROW('Misc. Data &amp; Mechanisms'!$O677)-ROW('Misc. Data &amp; Mechanisms'!$O$674) + 1, FALSE)&amp;L$84)), "", INDIRECT("'"&amp;$A$83&amp;"'!"&amp;HLOOKUP($A$83, 'Misc. Data &amp; Mechanisms'!$O$674:$R$682,ROW('Misc. Data &amp; Mechanisms'!$O677)-ROW('Misc. Data &amp; Mechanisms'!$O$674) + 1, FALSE)&amp;L$84))</f>
        <v/>
      </c>
      <c r="M87" s="843" t="str">
        <f ca="1">IF(ISBLANK(INDIRECT("'"&amp;$A$83&amp;"'!"&amp;HLOOKUP($A$83, 'Misc. Data &amp; Mechanisms'!$O$674:$R$682,ROW('Misc. Data &amp; Mechanisms'!$O677)-ROW('Misc. Data &amp; Mechanisms'!$O$674) + 1, FALSE)&amp;M$84)), "", INDIRECT("'"&amp;$A$83&amp;"'!"&amp;HLOOKUP($A$83, 'Misc. Data &amp; Mechanisms'!$O$674:$R$682,ROW('Misc. Data &amp; Mechanisms'!$O677)-ROW('Misc. Data &amp; Mechanisms'!$O$674) + 1, FALSE)&amp;M$84))</f>
        <v/>
      </c>
      <c r="N87" s="843" t="str">
        <f ca="1">IF(ISBLANK(INDIRECT("'"&amp;$A$83&amp;"'!"&amp;HLOOKUP($A$83, 'Misc. Data &amp; Mechanisms'!$O$674:$R$682,ROW('Misc. Data &amp; Mechanisms'!$O677)-ROW('Misc. Data &amp; Mechanisms'!$O$674) + 1, FALSE)&amp;N$84)), "", INDIRECT("'"&amp;$A$83&amp;"'!"&amp;HLOOKUP($A$83, 'Misc. Data &amp; Mechanisms'!$O$674:$R$682,ROW('Misc. Data &amp; Mechanisms'!$O677)-ROW('Misc. Data &amp; Mechanisms'!$O$674) + 1, FALSE)&amp;N$84))</f>
        <v/>
      </c>
      <c r="O87" s="183"/>
      <c r="P87" s="612"/>
      <c r="Q87" s="612"/>
      <c r="R87" s="612"/>
      <c r="S87" s="612"/>
      <c r="T87" s="612"/>
      <c r="U87" s="612"/>
      <c r="V87" s="612"/>
      <c r="W87" s="612"/>
      <c r="X87" s="612"/>
      <c r="Y87" s="647"/>
    </row>
    <row r="88" spans="1:25" outlineLevel="1" x14ac:dyDescent="0.3">
      <c r="A88" s="1809" t="s">
        <v>9</v>
      </c>
      <c r="B88" s="1810"/>
      <c r="C88" s="843">
        <f ca="1">IF(ISBLANK(INDIRECT("'"&amp;$A$83&amp;"'!"&amp;HLOOKUP($A$83, 'Misc. Data &amp; Mechanisms'!$O$674:$R$682,ROW('Misc. Data &amp; Mechanisms'!$O678)-ROW('Misc. Data &amp; Mechanisms'!$O$674) + 1, FALSE)&amp;C$84)), "", INDIRECT("'"&amp;$A$83&amp;"'!"&amp;HLOOKUP($A$83, 'Misc. Data &amp; Mechanisms'!$O$674:$R$682,ROW('Misc. Data &amp; Mechanisms'!$O678)-ROW('Misc. Data &amp; Mechanisms'!$O$674) + 1, FALSE)&amp;C$84))</f>
        <v>7.5956320197913003</v>
      </c>
      <c r="D88" s="843">
        <f ca="1">IF(ISBLANK(INDIRECT("'"&amp;$A$83&amp;"'!"&amp;HLOOKUP($A$83, 'Misc. Data &amp; Mechanisms'!$O$674:$R$682,ROW('Misc. Data &amp; Mechanisms'!$O678)-ROW('Misc. Data &amp; Mechanisms'!$O$674) + 1, FALSE)&amp;D$84)), "", INDIRECT("'"&amp;$A$83&amp;"'!"&amp;HLOOKUP($A$83, 'Misc. Data &amp; Mechanisms'!$O$674:$R$682,ROW('Misc. Data &amp; Mechanisms'!$O678)-ROW('Misc. Data &amp; Mechanisms'!$O$674) + 1, FALSE)&amp;D$84))</f>
        <v>14.323715564223139</v>
      </c>
      <c r="E88" s="843">
        <f ca="1">IF(ISBLANK(INDIRECT("'"&amp;$A$83&amp;"'!"&amp;HLOOKUP($A$83, 'Misc. Data &amp; Mechanisms'!$O$674:$R$682,ROW('Misc. Data &amp; Mechanisms'!$O678)-ROW('Misc. Data &amp; Mechanisms'!$O$674) + 1, FALSE)&amp;E$84)), "", INDIRECT("'"&amp;$A$83&amp;"'!"&amp;HLOOKUP($A$83, 'Misc. Data &amp; Mechanisms'!$O$674:$R$682,ROW('Misc. Data &amp; Mechanisms'!$O678)-ROW('Misc. Data &amp; Mechanisms'!$O$674) + 1, FALSE)&amp;E$84))</f>
        <v>16.356017339480474</v>
      </c>
      <c r="F88" s="843">
        <f ca="1">IF(ISBLANK(INDIRECT("'"&amp;$A$83&amp;"'!"&amp;HLOOKUP($A$83, 'Misc. Data &amp; Mechanisms'!$O$674:$R$682,ROW('Misc. Data &amp; Mechanisms'!$O678)-ROW('Misc. Data &amp; Mechanisms'!$O$674) + 1, FALSE)&amp;F$84)), "", INDIRECT("'"&amp;$A$83&amp;"'!"&amp;HLOOKUP($A$83, 'Misc. Data &amp; Mechanisms'!$O$674:$R$682,ROW('Misc. Data &amp; Mechanisms'!$O678)-ROW('Misc. Data &amp; Mechanisms'!$O$674) + 1, FALSE)&amp;F$84))</f>
        <v>10.951243499262032</v>
      </c>
      <c r="G88" s="843">
        <f ca="1">IF(ISBLANK(INDIRECT("'"&amp;$A$83&amp;"'!"&amp;HLOOKUP($A$83, 'Misc. Data &amp; Mechanisms'!$O$674:$R$682,ROW('Misc. Data &amp; Mechanisms'!$O678)-ROW('Misc. Data &amp; Mechanisms'!$O$674) + 1, FALSE)&amp;G$84)), "", INDIRECT("'"&amp;$A$83&amp;"'!"&amp;HLOOKUP($A$83, 'Misc. Data &amp; Mechanisms'!$O$674:$R$682,ROW('Misc. Data &amp; Mechanisms'!$O678)-ROW('Misc. Data &amp; Mechanisms'!$O$674) + 1, FALSE)&amp;G$84))</f>
        <v>10.041854584134954</v>
      </c>
      <c r="H88" s="843">
        <f ca="1">IF(ISBLANK(INDIRECT("'"&amp;$A$83&amp;"'!"&amp;HLOOKUP($A$83, 'Misc. Data &amp; Mechanisms'!$O$674:$R$682,ROW('Misc. Data &amp; Mechanisms'!$O678)-ROW('Misc. Data &amp; Mechanisms'!$O$674) + 1, FALSE)&amp;H$84)), "", INDIRECT("'"&amp;$A$83&amp;"'!"&amp;HLOOKUP($A$83, 'Misc. Data &amp; Mechanisms'!$O$674:$R$682,ROW('Misc. Data &amp; Mechanisms'!$O678)-ROW('Misc. Data &amp; Mechanisms'!$O$674) + 1, FALSE)&amp;H$84))</f>
        <v>6.3316742137665356</v>
      </c>
      <c r="I88" s="843" t="str">
        <f ca="1">IF(ISBLANK(INDIRECT("'"&amp;$A$83&amp;"'!"&amp;HLOOKUP($A$83, 'Misc. Data &amp; Mechanisms'!$O$674:$R$682,ROW('Misc. Data &amp; Mechanisms'!$O678)-ROW('Misc. Data &amp; Mechanisms'!$O$674) + 1, FALSE)&amp;I$84)), "", INDIRECT("'"&amp;$A$83&amp;"'!"&amp;HLOOKUP($A$83, 'Misc. Data &amp; Mechanisms'!$O$674:$R$682,ROW('Misc. Data &amp; Mechanisms'!$O678)-ROW('Misc. Data &amp; Mechanisms'!$O$674) + 1, FALSE)&amp;I$84))</f>
        <v/>
      </c>
      <c r="J88" s="843" t="str">
        <f ca="1">IF(ISBLANK(INDIRECT("'"&amp;$A$83&amp;"'!"&amp;HLOOKUP($A$83, 'Misc. Data &amp; Mechanisms'!$O$674:$R$682,ROW('Misc. Data &amp; Mechanisms'!$O678)-ROW('Misc. Data &amp; Mechanisms'!$O$674) + 1, FALSE)&amp;J$84)), "", INDIRECT("'"&amp;$A$83&amp;"'!"&amp;HLOOKUP($A$83, 'Misc. Data &amp; Mechanisms'!$O$674:$R$682,ROW('Misc. Data &amp; Mechanisms'!$O678)-ROW('Misc. Data &amp; Mechanisms'!$O$674) + 1, FALSE)&amp;J$84))</f>
        <v/>
      </c>
      <c r="K88" s="843" t="str">
        <f ca="1">IF(ISBLANK(INDIRECT("'"&amp;$A$83&amp;"'!"&amp;HLOOKUP($A$83, 'Misc. Data &amp; Mechanisms'!$O$674:$R$682,ROW('Misc. Data &amp; Mechanisms'!$O678)-ROW('Misc. Data &amp; Mechanisms'!$O$674) + 1, FALSE)&amp;K$84)), "", INDIRECT("'"&amp;$A$83&amp;"'!"&amp;HLOOKUP($A$83, 'Misc. Data &amp; Mechanisms'!$O$674:$R$682,ROW('Misc. Data &amp; Mechanisms'!$O678)-ROW('Misc. Data &amp; Mechanisms'!$O$674) + 1, FALSE)&amp;K$84))</f>
        <v/>
      </c>
      <c r="L88" s="843" t="str">
        <f ca="1">IF(ISBLANK(INDIRECT("'"&amp;$A$83&amp;"'!"&amp;HLOOKUP($A$83, 'Misc. Data &amp; Mechanisms'!$O$674:$R$682,ROW('Misc. Data &amp; Mechanisms'!$O678)-ROW('Misc. Data &amp; Mechanisms'!$O$674) + 1, FALSE)&amp;L$84)), "", INDIRECT("'"&amp;$A$83&amp;"'!"&amp;HLOOKUP($A$83, 'Misc. Data &amp; Mechanisms'!$O$674:$R$682,ROW('Misc. Data &amp; Mechanisms'!$O678)-ROW('Misc. Data &amp; Mechanisms'!$O$674) + 1, FALSE)&amp;L$84))</f>
        <v/>
      </c>
      <c r="M88" s="843" t="str">
        <f ca="1">IF(ISBLANK(INDIRECT("'"&amp;$A$83&amp;"'!"&amp;HLOOKUP($A$83, 'Misc. Data &amp; Mechanisms'!$O$674:$R$682,ROW('Misc. Data &amp; Mechanisms'!$O678)-ROW('Misc. Data &amp; Mechanisms'!$O$674) + 1, FALSE)&amp;M$84)), "", INDIRECT("'"&amp;$A$83&amp;"'!"&amp;HLOOKUP($A$83, 'Misc. Data &amp; Mechanisms'!$O$674:$R$682,ROW('Misc. Data &amp; Mechanisms'!$O678)-ROW('Misc. Data &amp; Mechanisms'!$O$674) + 1, FALSE)&amp;M$84))</f>
        <v/>
      </c>
      <c r="N88" s="843" t="str">
        <f ca="1">IF(ISBLANK(INDIRECT("'"&amp;$A$83&amp;"'!"&amp;HLOOKUP($A$83, 'Misc. Data &amp; Mechanisms'!$O$674:$R$682,ROW('Misc. Data &amp; Mechanisms'!$O678)-ROW('Misc. Data &amp; Mechanisms'!$O$674) + 1, FALSE)&amp;N$84)), "", INDIRECT("'"&amp;$A$83&amp;"'!"&amp;HLOOKUP($A$83, 'Misc. Data &amp; Mechanisms'!$O$674:$R$682,ROW('Misc. Data &amp; Mechanisms'!$O678)-ROW('Misc. Data &amp; Mechanisms'!$O$674) + 1, FALSE)&amp;N$84))</f>
        <v/>
      </c>
      <c r="O88" s="846"/>
      <c r="P88" s="847"/>
      <c r="Q88" s="612"/>
      <c r="R88" s="612"/>
      <c r="S88" s="612"/>
      <c r="T88" s="612"/>
      <c r="U88" s="612"/>
      <c r="V88" s="612"/>
      <c r="W88" s="612"/>
      <c r="X88" s="612"/>
      <c r="Y88" s="647"/>
    </row>
    <row r="89" spans="1:25" outlineLevel="1" x14ac:dyDescent="0.3">
      <c r="A89" s="1809" t="s">
        <v>65</v>
      </c>
      <c r="B89" s="1810"/>
      <c r="C89" s="843">
        <f ca="1">IF(ISBLANK(INDIRECT("'"&amp;$A$83&amp;"'!"&amp;HLOOKUP($A$83, 'Misc. Data &amp; Mechanisms'!$O$674:$R$682,ROW('Misc. Data &amp; Mechanisms'!$O679)-ROW('Misc. Data &amp; Mechanisms'!$O$674) + 1, FALSE)&amp;C$84)), "", INDIRECT("'"&amp;$A$83&amp;"'!"&amp;HLOOKUP($A$83, 'Misc. Data &amp; Mechanisms'!$O$674:$R$682,ROW('Misc. Data &amp; Mechanisms'!$O679)-ROW('Misc. Data &amp; Mechanisms'!$O$674) + 1, FALSE)&amp;C$84))</f>
        <v>25.515260554287845</v>
      </c>
      <c r="D89" s="843">
        <f ca="1">IF(ISBLANK(INDIRECT("'"&amp;$A$83&amp;"'!"&amp;HLOOKUP($A$83, 'Misc. Data &amp; Mechanisms'!$O$674:$R$682,ROW('Misc. Data &amp; Mechanisms'!$O679)-ROW('Misc. Data &amp; Mechanisms'!$O$674) + 1, FALSE)&amp;D$84)), "", INDIRECT("'"&amp;$A$83&amp;"'!"&amp;HLOOKUP($A$83, 'Misc. Data &amp; Mechanisms'!$O$674:$R$682,ROW('Misc. Data &amp; Mechanisms'!$O679)-ROW('Misc. Data &amp; Mechanisms'!$O$674) + 1, FALSE)&amp;D$84))</f>
        <v>51.959365793357087</v>
      </c>
      <c r="E89" s="843">
        <f ca="1">IF(ISBLANK(INDIRECT("'"&amp;$A$83&amp;"'!"&amp;HLOOKUP($A$83, 'Misc. Data &amp; Mechanisms'!$O$674:$R$682,ROW('Misc. Data &amp; Mechanisms'!$O679)-ROW('Misc. Data &amp; Mechanisms'!$O$674) + 1, FALSE)&amp;E$84)), "", INDIRECT("'"&amp;$A$83&amp;"'!"&amp;HLOOKUP($A$83, 'Misc. Data &amp; Mechanisms'!$O$674:$R$682,ROW('Misc. Data &amp; Mechanisms'!$O679)-ROW('Misc. Data &amp; Mechanisms'!$O$674) + 1, FALSE)&amp;E$84))</f>
        <v>50.223284876952057</v>
      </c>
      <c r="F89" s="843">
        <f ca="1">IF(ISBLANK(INDIRECT("'"&amp;$A$83&amp;"'!"&amp;HLOOKUP($A$83, 'Misc. Data &amp; Mechanisms'!$O$674:$R$682,ROW('Misc. Data &amp; Mechanisms'!$O679)-ROW('Misc. Data &amp; Mechanisms'!$O$674) + 1, FALSE)&amp;F$84)), "", INDIRECT("'"&amp;$A$83&amp;"'!"&amp;HLOOKUP($A$83, 'Misc. Data &amp; Mechanisms'!$O$674:$R$682,ROW('Misc. Data &amp; Mechanisms'!$O679)-ROW('Misc. Data &amp; Mechanisms'!$O$674) + 1, FALSE)&amp;F$84))</f>
        <v>27.723913317231361</v>
      </c>
      <c r="G89" s="843">
        <f ca="1">IF(ISBLANK(INDIRECT("'"&amp;$A$83&amp;"'!"&amp;HLOOKUP($A$83, 'Misc. Data &amp; Mechanisms'!$O$674:$R$682,ROW('Misc. Data &amp; Mechanisms'!$O679)-ROW('Misc. Data &amp; Mechanisms'!$O$674) + 1, FALSE)&amp;G$84)), "", INDIRECT("'"&amp;$A$83&amp;"'!"&amp;HLOOKUP($A$83, 'Misc. Data &amp; Mechanisms'!$O$674:$R$682,ROW('Misc. Data &amp; Mechanisms'!$O679)-ROW('Misc. Data &amp; Mechanisms'!$O$674) + 1, FALSE)&amp;G$84))</f>
        <v>17.151406158782095</v>
      </c>
      <c r="H89" s="843">
        <f ca="1">IF(ISBLANK(INDIRECT("'"&amp;$A$83&amp;"'!"&amp;HLOOKUP($A$83, 'Misc. Data &amp; Mechanisms'!$O$674:$R$682,ROW('Misc. Data &amp; Mechanisms'!$O679)-ROW('Misc. Data &amp; Mechanisms'!$O$674) + 1, FALSE)&amp;H$84)), "", INDIRECT("'"&amp;$A$83&amp;"'!"&amp;HLOOKUP($A$83, 'Misc. Data &amp; Mechanisms'!$O$674:$R$682,ROW('Misc. Data &amp; Mechanisms'!$O679)-ROW('Misc. Data &amp; Mechanisms'!$O$674) + 1, FALSE)&amp;H$84))</f>
        <v>1.366539592541357</v>
      </c>
      <c r="I89" s="843" t="str">
        <f ca="1">IF(ISBLANK(INDIRECT("'"&amp;$A$83&amp;"'!"&amp;HLOOKUP($A$83, 'Misc. Data &amp; Mechanisms'!$O$674:$R$682,ROW('Misc. Data &amp; Mechanisms'!$O679)-ROW('Misc. Data &amp; Mechanisms'!$O$674) + 1, FALSE)&amp;I$84)), "", INDIRECT("'"&amp;$A$83&amp;"'!"&amp;HLOOKUP($A$83, 'Misc. Data &amp; Mechanisms'!$O$674:$R$682,ROW('Misc. Data &amp; Mechanisms'!$O679)-ROW('Misc. Data &amp; Mechanisms'!$O$674) + 1, FALSE)&amp;I$84))</f>
        <v/>
      </c>
      <c r="J89" s="843" t="str">
        <f ca="1">IF(ISBLANK(INDIRECT("'"&amp;$A$83&amp;"'!"&amp;HLOOKUP($A$83, 'Misc. Data &amp; Mechanisms'!$O$674:$R$682,ROW('Misc. Data &amp; Mechanisms'!$O679)-ROW('Misc. Data &amp; Mechanisms'!$O$674) + 1, FALSE)&amp;J$84)), "", INDIRECT("'"&amp;$A$83&amp;"'!"&amp;HLOOKUP($A$83, 'Misc. Data &amp; Mechanisms'!$O$674:$R$682,ROW('Misc. Data &amp; Mechanisms'!$O679)-ROW('Misc. Data &amp; Mechanisms'!$O$674) + 1, FALSE)&amp;J$84))</f>
        <v/>
      </c>
      <c r="K89" s="843" t="str">
        <f ca="1">IF(ISBLANK(INDIRECT("'"&amp;$A$83&amp;"'!"&amp;HLOOKUP($A$83, 'Misc. Data &amp; Mechanisms'!$O$674:$R$682,ROW('Misc. Data &amp; Mechanisms'!$O679)-ROW('Misc. Data &amp; Mechanisms'!$O$674) + 1, FALSE)&amp;K$84)), "", INDIRECT("'"&amp;$A$83&amp;"'!"&amp;HLOOKUP($A$83, 'Misc. Data &amp; Mechanisms'!$O$674:$R$682,ROW('Misc. Data &amp; Mechanisms'!$O679)-ROW('Misc. Data &amp; Mechanisms'!$O$674) + 1, FALSE)&amp;K$84))</f>
        <v/>
      </c>
      <c r="L89" s="843" t="str">
        <f ca="1">IF(ISBLANK(INDIRECT("'"&amp;$A$83&amp;"'!"&amp;HLOOKUP($A$83, 'Misc. Data &amp; Mechanisms'!$O$674:$R$682,ROW('Misc. Data &amp; Mechanisms'!$O679)-ROW('Misc. Data &amp; Mechanisms'!$O$674) + 1, FALSE)&amp;L$84)), "", INDIRECT("'"&amp;$A$83&amp;"'!"&amp;HLOOKUP($A$83, 'Misc. Data &amp; Mechanisms'!$O$674:$R$682,ROW('Misc. Data &amp; Mechanisms'!$O679)-ROW('Misc. Data &amp; Mechanisms'!$O$674) + 1, FALSE)&amp;L$84))</f>
        <v/>
      </c>
      <c r="M89" s="843" t="str">
        <f ca="1">IF(ISBLANK(INDIRECT("'"&amp;$A$83&amp;"'!"&amp;HLOOKUP($A$83, 'Misc. Data &amp; Mechanisms'!$O$674:$R$682,ROW('Misc. Data &amp; Mechanisms'!$O679)-ROW('Misc. Data &amp; Mechanisms'!$O$674) + 1, FALSE)&amp;M$84)), "", INDIRECT("'"&amp;$A$83&amp;"'!"&amp;HLOOKUP($A$83, 'Misc. Data &amp; Mechanisms'!$O$674:$R$682,ROW('Misc. Data &amp; Mechanisms'!$O679)-ROW('Misc. Data &amp; Mechanisms'!$O$674) + 1, FALSE)&amp;M$84))</f>
        <v/>
      </c>
      <c r="N89" s="843" t="str">
        <f ca="1">IF(ISBLANK(INDIRECT("'"&amp;$A$83&amp;"'!"&amp;HLOOKUP($A$83, 'Misc. Data &amp; Mechanisms'!$O$674:$R$682,ROW('Misc. Data &amp; Mechanisms'!$O679)-ROW('Misc. Data &amp; Mechanisms'!$O$674) + 1, FALSE)&amp;N$84)), "", INDIRECT("'"&amp;$A$83&amp;"'!"&amp;HLOOKUP($A$83, 'Misc. Data &amp; Mechanisms'!$O$674:$R$682,ROW('Misc. Data &amp; Mechanisms'!$O679)-ROW('Misc. Data &amp; Mechanisms'!$O$674) + 1, FALSE)&amp;N$84))</f>
        <v/>
      </c>
      <c r="O89" s="183"/>
      <c r="P89" s="612"/>
      <c r="Q89" s="612"/>
      <c r="R89" s="612"/>
      <c r="S89" s="612"/>
      <c r="T89" s="612"/>
      <c r="U89" s="612"/>
      <c r="V89" s="612"/>
      <c r="W89" s="612"/>
      <c r="X89" s="612"/>
      <c r="Y89" s="647"/>
    </row>
    <row r="90" spans="1:25" outlineLevel="1" x14ac:dyDescent="0.3">
      <c r="A90" s="1809" t="s">
        <v>66</v>
      </c>
      <c r="B90" s="1810"/>
      <c r="C90" s="843">
        <f ca="1">IF(ISBLANK(INDIRECT("'"&amp;$A$83&amp;"'!"&amp;HLOOKUP($A$83, 'Misc. Data &amp; Mechanisms'!$O$674:$R$682,ROW('Misc. Data &amp; Mechanisms'!$O680)-ROW('Misc. Data &amp; Mechanisms'!$O$674) + 1, FALSE)&amp;C$84)), "", INDIRECT("'"&amp;$A$83&amp;"'!"&amp;HLOOKUP($A$83, 'Misc. Data &amp; Mechanisms'!$O$674:$R$682,ROW('Misc. Data &amp; Mechanisms'!$O680)-ROW('Misc. Data &amp; Mechanisms'!$O$674) + 1, FALSE)&amp;C$84))</f>
        <v>8.4320000000000004</v>
      </c>
      <c r="D90" s="843">
        <f ca="1">IF(ISBLANK(INDIRECT("'"&amp;$A$83&amp;"'!"&amp;HLOOKUP($A$83, 'Misc. Data &amp; Mechanisms'!$O$674:$R$682,ROW('Misc. Data &amp; Mechanisms'!$O680)-ROW('Misc. Data &amp; Mechanisms'!$O$674) + 1, FALSE)&amp;D$84)), "", INDIRECT("'"&amp;$A$83&amp;"'!"&amp;HLOOKUP($A$83, 'Misc. Data &amp; Mechanisms'!$O$674:$R$682,ROW('Misc. Data &amp; Mechanisms'!$O680)-ROW('Misc. Data &amp; Mechanisms'!$O$674) + 1, FALSE)&amp;D$84))</f>
        <v>7.6160000000000005</v>
      </c>
      <c r="E90" s="843">
        <f ca="1">IF(ISBLANK(INDIRECT("'"&amp;$A$83&amp;"'!"&amp;HLOOKUP($A$83, 'Misc. Data &amp; Mechanisms'!$O$674:$R$682,ROW('Misc. Data &amp; Mechanisms'!$O680)-ROW('Misc. Data &amp; Mechanisms'!$O$674) + 1, FALSE)&amp;E$84)), "", INDIRECT("'"&amp;$A$83&amp;"'!"&amp;HLOOKUP($A$83, 'Misc. Data &amp; Mechanisms'!$O$674:$R$682,ROW('Misc. Data &amp; Mechanisms'!$O680)-ROW('Misc. Data &amp; Mechanisms'!$O$674) + 1, FALSE)&amp;E$84))</f>
        <v>8.4320000000000004</v>
      </c>
      <c r="F90" s="843">
        <f ca="1">IF(ISBLANK(INDIRECT("'"&amp;$A$83&amp;"'!"&amp;HLOOKUP($A$83, 'Misc. Data &amp; Mechanisms'!$O$674:$R$682,ROW('Misc. Data &amp; Mechanisms'!$O680)-ROW('Misc. Data &amp; Mechanisms'!$O$674) + 1, FALSE)&amp;F$84)), "", INDIRECT("'"&amp;$A$83&amp;"'!"&amp;HLOOKUP($A$83, 'Misc. Data &amp; Mechanisms'!$O$674:$R$682,ROW('Misc. Data &amp; Mechanisms'!$O680)-ROW('Misc. Data &amp; Mechanisms'!$O$674) + 1, FALSE)&amp;F$84))</f>
        <v>8.16</v>
      </c>
      <c r="G90" s="843">
        <f ca="1">IF(ISBLANK(INDIRECT("'"&amp;$A$83&amp;"'!"&amp;HLOOKUP($A$83, 'Misc. Data &amp; Mechanisms'!$O$674:$R$682,ROW('Misc. Data &amp; Mechanisms'!$O680)-ROW('Misc. Data &amp; Mechanisms'!$O$674) + 1, FALSE)&amp;G$84)), "", INDIRECT("'"&amp;$A$83&amp;"'!"&amp;HLOOKUP($A$83, 'Misc. Data &amp; Mechanisms'!$O$674:$R$682,ROW('Misc. Data &amp; Mechanisms'!$O680)-ROW('Misc. Data &amp; Mechanisms'!$O$674) + 1, FALSE)&amp;G$84))</f>
        <v>8.4320000000000004</v>
      </c>
      <c r="H90" s="843">
        <f ca="1">IF(ISBLANK(INDIRECT("'"&amp;$A$83&amp;"'!"&amp;HLOOKUP($A$83, 'Misc. Data &amp; Mechanisms'!$O$674:$R$682,ROW('Misc. Data &amp; Mechanisms'!$O680)-ROW('Misc. Data &amp; Mechanisms'!$O$674) + 1, FALSE)&amp;H$84)), "", INDIRECT("'"&amp;$A$83&amp;"'!"&amp;HLOOKUP($A$83, 'Misc. Data &amp; Mechanisms'!$O$674:$R$682,ROW('Misc. Data &amp; Mechanisms'!$O680)-ROW('Misc. Data &amp; Mechanisms'!$O$674) + 1, FALSE)&amp;H$84))</f>
        <v>8.16</v>
      </c>
      <c r="I90" s="843" t="str">
        <f ca="1">IF(ISBLANK(INDIRECT("'"&amp;$A$83&amp;"'!"&amp;HLOOKUP($A$83, 'Misc. Data &amp; Mechanisms'!$O$674:$R$682,ROW('Misc. Data &amp; Mechanisms'!$O680)-ROW('Misc. Data &amp; Mechanisms'!$O$674) + 1, FALSE)&amp;I$84)), "", INDIRECT("'"&amp;$A$83&amp;"'!"&amp;HLOOKUP($A$83, 'Misc. Data &amp; Mechanisms'!$O$674:$R$682,ROW('Misc. Data &amp; Mechanisms'!$O680)-ROW('Misc. Data &amp; Mechanisms'!$O$674) + 1, FALSE)&amp;I$84))</f>
        <v/>
      </c>
      <c r="J90" s="843" t="str">
        <f ca="1">IF(ISBLANK(INDIRECT("'"&amp;$A$83&amp;"'!"&amp;HLOOKUP($A$83, 'Misc. Data &amp; Mechanisms'!$O$674:$R$682,ROW('Misc. Data &amp; Mechanisms'!$O680)-ROW('Misc. Data &amp; Mechanisms'!$O$674) + 1, FALSE)&amp;J$84)), "", INDIRECT("'"&amp;$A$83&amp;"'!"&amp;HLOOKUP($A$83, 'Misc. Data &amp; Mechanisms'!$O$674:$R$682,ROW('Misc. Data &amp; Mechanisms'!$O680)-ROW('Misc. Data &amp; Mechanisms'!$O$674) + 1, FALSE)&amp;J$84))</f>
        <v/>
      </c>
      <c r="K90" s="843" t="str">
        <f ca="1">IF(ISBLANK(INDIRECT("'"&amp;$A$83&amp;"'!"&amp;HLOOKUP($A$83, 'Misc. Data &amp; Mechanisms'!$O$674:$R$682,ROW('Misc. Data &amp; Mechanisms'!$O680)-ROW('Misc. Data &amp; Mechanisms'!$O$674) + 1, FALSE)&amp;K$84)), "", INDIRECT("'"&amp;$A$83&amp;"'!"&amp;HLOOKUP($A$83, 'Misc. Data &amp; Mechanisms'!$O$674:$R$682,ROW('Misc. Data &amp; Mechanisms'!$O680)-ROW('Misc. Data &amp; Mechanisms'!$O$674) + 1, FALSE)&amp;K$84))</f>
        <v/>
      </c>
      <c r="L90" s="843" t="str">
        <f ca="1">IF(ISBLANK(INDIRECT("'"&amp;$A$83&amp;"'!"&amp;HLOOKUP($A$83, 'Misc. Data &amp; Mechanisms'!$O$674:$R$682,ROW('Misc. Data &amp; Mechanisms'!$O680)-ROW('Misc. Data &amp; Mechanisms'!$O$674) + 1, FALSE)&amp;L$84)), "", INDIRECT("'"&amp;$A$83&amp;"'!"&amp;HLOOKUP($A$83, 'Misc. Data &amp; Mechanisms'!$O$674:$R$682,ROW('Misc. Data &amp; Mechanisms'!$O680)-ROW('Misc. Data &amp; Mechanisms'!$O$674) + 1, FALSE)&amp;L$84))</f>
        <v/>
      </c>
      <c r="M90" s="843" t="str">
        <f ca="1">IF(ISBLANK(INDIRECT("'"&amp;$A$83&amp;"'!"&amp;HLOOKUP($A$83, 'Misc. Data &amp; Mechanisms'!$O$674:$R$682,ROW('Misc. Data &amp; Mechanisms'!$O680)-ROW('Misc. Data &amp; Mechanisms'!$O$674) + 1, FALSE)&amp;M$84)), "", INDIRECT("'"&amp;$A$83&amp;"'!"&amp;HLOOKUP($A$83, 'Misc. Data &amp; Mechanisms'!$O$674:$R$682,ROW('Misc. Data &amp; Mechanisms'!$O680)-ROW('Misc. Data &amp; Mechanisms'!$O$674) + 1, FALSE)&amp;M$84))</f>
        <v/>
      </c>
      <c r="N90" s="843" t="str">
        <f ca="1">IF(ISBLANK(INDIRECT("'"&amp;$A$83&amp;"'!"&amp;HLOOKUP($A$83, 'Misc. Data &amp; Mechanisms'!$O$674:$R$682,ROW('Misc. Data &amp; Mechanisms'!$O680)-ROW('Misc. Data &amp; Mechanisms'!$O$674) + 1, FALSE)&amp;N$84)), "", INDIRECT("'"&amp;$A$83&amp;"'!"&amp;HLOOKUP($A$83, 'Misc. Data &amp; Mechanisms'!$O$674:$R$682,ROW('Misc. Data &amp; Mechanisms'!$O680)-ROW('Misc. Data &amp; Mechanisms'!$O$674) + 1, FALSE)&amp;N$84))</f>
        <v/>
      </c>
      <c r="O90" s="183"/>
      <c r="P90" s="612"/>
      <c r="Q90" s="612"/>
      <c r="R90" s="612"/>
      <c r="S90" s="612"/>
      <c r="T90" s="612"/>
      <c r="U90" s="612"/>
      <c r="V90" s="612"/>
      <c r="W90" s="612"/>
      <c r="X90" s="612"/>
      <c r="Y90" s="647"/>
    </row>
    <row r="91" spans="1:25" outlineLevel="1" x14ac:dyDescent="0.3">
      <c r="A91" s="1809" t="s">
        <v>576</v>
      </c>
      <c r="B91" s="1810"/>
      <c r="C91" s="843">
        <f ca="1">IF(ISBLANK(INDIRECT("'"&amp;$A$83&amp;"'!"&amp;HLOOKUP($A$83, 'Misc. Data &amp; Mechanisms'!$O$674:$R$682,ROW('Misc. Data &amp; Mechanisms'!$O681)-ROW('Misc. Data &amp; Mechanisms'!$O$674) + 1, FALSE)&amp;C$84)), "", INDIRECT("'"&amp;$A$83&amp;"'!"&amp;HLOOKUP($A$83, 'Misc. Data &amp; Mechanisms'!$O$674:$R$682,ROW('Misc. Data &amp; Mechanisms'!$O681)-ROW('Misc. Data &amp; Mechanisms'!$O$674) + 1, FALSE)&amp;C$84))</f>
        <v>25.548944066570733</v>
      </c>
      <c r="D91" s="843">
        <f ca="1">IF(ISBLANK(INDIRECT("'"&amp;$A$83&amp;"'!"&amp;HLOOKUP($A$83, 'Misc. Data &amp; Mechanisms'!$O$674:$R$682,ROW('Misc. Data &amp; Mechanisms'!$O681)-ROW('Misc. Data &amp; Mechanisms'!$O$674) + 1, FALSE)&amp;D$84)), "", INDIRECT("'"&amp;$A$83&amp;"'!"&amp;HLOOKUP($A$83, 'Misc. Data &amp; Mechanisms'!$O$674:$R$682,ROW('Misc. Data &amp; Mechanisms'!$O681)-ROW('Misc. Data &amp; Mechanisms'!$O$674) + 1, FALSE)&amp;D$84))</f>
        <v>39.609225079659645</v>
      </c>
      <c r="E91" s="843">
        <f ca="1">IF(ISBLANK(INDIRECT("'"&amp;$A$83&amp;"'!"&amp;HLOOKUP($A$83, 'Misc. Data &amp; Mechanisms'!$O$674:$R$682,ROW('Misc. Data &amp; Mechanisms'!$O681)-ROW('Misc. Data &amp; Mechanisms'!$O$674) + 1, FALSE)&amp;E$84)), "", INDIRECT("'"&amp;$A$83&amp;"'!"&amp;HLOOKUP($A$83, 'Misc. Data &amp; Mechanisms'!$O$674:$R$682,ROW('Misc. Data &amp; Mechanisms'!$O681)-ROW('Misc. Data &amp; Mechanisms'!$O$674) + 1, FALSE)&amp;E$84))</f>
        <v>23.95871797431958</v>
      </c>
      <c r="F91" s="843">
        <f ca="1">IF(ISBLANK(INDIRECT("'"&amp;$A$83&amp;"'!"&amp;HLOOKUP($A$83, 'Misc. Data &amp; Mechanisms'!$O$674:$R$682,ROW('Misc. Data &amp; Mechanisms'!$O681)-ROW('Misc. Data &amp; Mechanisms'!$O$674) + 1, FALSE)&amp;F$84)), "", INDIRECT("'"&amp;$A$83&amp;"'!"&amp;HLOOKUP($A$83, 'Misc. Data &amp; Mechanisms'!$O$674:$R$682,ROW('Misc. Data &amp; Mechanisms'!$O681)-ROW('Misc. Data &amp; Mechanisms'!$O$674) + 1, FALSE)&amp;F$84))</f>
        <v>14.552656229148779</v>
      </c>
      <c r="G91" s="843">
        <f ca="1">IF(ISBLANK(INDIRECT("'"&amp;$A$83&amp;"'!"&amp;HLOOKUP($A$83, 'Misc. Data &amp; Mechanisms'!$O$674:$R$682,ROW('Misc. Data &amp; Mechanisms'!$O681)-ROW('Misc. Data &amp; Mechanisms'!$O$674) + 1, FALSE)&amp;G$84)), "", INDIRECT("'"&amp;$A$83&amp;"'!"&amp;HLOOKUP($A$83, 'Misc. Data &amp; Mechanisms'!$O$674:$R$682,ROW('Misc. Data &amp; Mechanisms'!$O681)-ROW('Misc. Data &amp; Mechanisms'!$O$674) + 1, FALSE)&amp;G$84))</f>
        <v>10.652104343097346</v>
      </c>
      <c r="H91" s="843">
        <f ca="1">IF(ISBLANK(INDIRECT("'"&amp;$A$83&amp;"'!"&amp;HLOOKUP($A$83, 'Misc. Data &amp; Mechanisms'!$O$674:$R$682,ROW('Misc. Data &amp; Mechanisms'!$O681)-ROW('Misc. Data &amp; Mechanisms'!$O$674) + 1, FALSE)&amp;H$84)), "", INDIRECT("'"&amp;$A$83&amp;"'!"&amp;HLOOKUP($A$83, 'Misc. Data &amp; Mechanisms'!$O$674:$R$682,ROW('Misc. Data &amp; Mechanisms'!$O681)-ROW('Misc. Data &amp; Mechanisms'!$O$674) + 1, FALSE)&amp;H$84))</f>
        <v>0</v>
      </c>
      <c r="I91" s="843" t="str">
        <f ca="1">IF(ISBLANK(INDIRECT("'"&amp;$A$83&amp;"'!"&amp;HLOOKUP($A$83, 'Misc. Data &amp; Mechanisms'!$O$674:$R$682,ROW('Misc. Data &amp; Mechanisms'!$O681)-ROW('Misc. Data &amp; Mechanisms'!$O$674) + 1, FALSE)&amp;I$84)), "", INDIRECT("'"&amp;$A$83&amp;"'!"&amp;HLOOKUP($A$83, 'Misc. Data &amp; Mechanisms'!$O$674:$R$682,ROW('Misc. Data &amp; Mechanisms'!$O681)-ROW('Misc. Data &amp; Mechanisms'!$O$674) + 1, FALSE)&amp;I$84))</f>
        <v/>
      </c>
      <c r="J91" s="843" t="str">
        <f ca="1">IF(ISBLANK(INDIRECT("'"&amp;$A$83&amp;"'!"&amp;HLOOKUP($A$83, 'Misc. Data &amp; Mechanisms'!$O$674:$R$682,ROW('Misc. Data &amp; Mechanisms'!$O681)-ROW('Misc. Data &amp; Mechanisms'!$O$674) + 1, FALSE)&amp;J$84)), "", INDIRECT("'"&amp;$A$83&amp;"'!"&amp;HLOOKUP($A$83, 'Misc. Data &amp; Mechanisms'!$O$674:$R$682,ROW('Misc. Data &amp; Mechanisms'!$O681)-ROW('Misc. Data &amp; Mechanisms'!$O$674) + 1, FALSE)&amp;J$84))</f>
        <v/>
      </c>
      <c r="K91" s="843" t="str">
        <f ca="1">IF(ISBLANK(INDIRECT("'"&amp;$A$83&amp;"'!"&amp;HLOOKUP($A$83, 'Misc. Data &amp; Mechanisms'!$O$674:$R$682,ROW('Misc. Data &amp; Mechanisms'!$O681)-ROW('Misc. Data &amp; Mechanisms'!$O$674) + 1, FALSE)&amp;K$84)), "", INDIRECT("'"&amp;$A$83&amp;"'!"&amp;HLOOKUP($A$83, 'Misc. Data &amp; Mechanisms'!$O$674:$R$682,ROW('Misc. Data &amp; Mechanisms'!$O681)-ROW('Misc. Data &amp; Mechanisms'!$O$674) + 1, FALSE)&amp;K$84))</f>
        <v/>
      </c>
      <c r="L91" s="843" t="str">
        <f ca="1">IF(ISBLANK(INDIRECT("'"&amp;$A$83&amp;"'!"&amp;HLOOKUP($A$83, 'Misc. Data &amp; Mechanisms'!$O$674:$R$682,ROW('Misc. Data &amp; Mechanisms'!$O681)-ROW('Misc. Data &amp; Mechanisms'!$O$674) + 1, FALSE)&amp;L$84)), "", INDIRECT("'"&amp;$A$83&amp;"'!"&amp;HLOOKUP($A$83, 'Misc. Data &amp; Mechanisms'!$O$674:$R$682,ROW('Misc. Data &amp; Mechanisms'!$O681)-ROW('Misc. Data &amp; Mechanisms'!$O$674) + 1, FALSE)&amp;L$84))</f>
        <v/>
      </c>
      <c r="M91" s="843" t="str">
        <f ca="1">IF(ISBLANK(INDIRECT("'"&amp;$A$83&amp;"'!"&amp;HLOOKUP($A$83, 'Misc. Data &amp; Mechanisms'!$O$674:$R$682,ROW('Misc. Data &amp; Mechanisms'!$O681)-ROW('Misc. Data &amp; Mechanisms'!$O$674) + 1, FALSE)&amp;M$84)), "", INDIRECT("'"&amp;$A$83&amp;"'!"&amp;HLOOKUP($A$83, 'Misc. Data &amp; Mechanisms'!$O$674:$R$682,ROW('Misc. Data &amp; Mechanisms'!$O681)-ROW('Misc. Data &amp; Mechanisms'!$O$674) + 1, FALSE)&amp;M$84))</f>
        <v/>
      </c>
      <c r="N91" s="843" t="str">
        <f ca="1">IF(ISBLANK(INDIRECT("'"&amp;$A$83&amp;"'!"&amp;HLOOKUP($A$83, 'Misc. Data &amp; Mechanisms'!$O$674:$R$682,ROW('Misc. Data &amp; Mechanisms'!$O681)-ROW('Misc. Data &amp; Mechanisms'!$O$674) + 1, FALSE)&amp;N$84)), "", INDIRECT("'"&amp;$A$83&amp;"'!"&amp;HLOOKUP($A$83, 'Misc. Data &amp; Mechanisms'!$O$674:$R$682,ROW('Misc. Data &amp; Mechanisms'!$O681)-ROW('Misc. Data &amp; Mechanisms'!$O$674) + 1, FALSE)&amp;N$84))</f>
        <v/>
      </c>
      <c r="O91" s="183"/>
      <c r="P91" s="1120"/>
      <c r="Q91" s="1120"/>
      <c r="R91" s="1120"/>
      <c r="S91" s="1120"/>
      <c r="T91" s="1120"/>
      <c r="U91" s="1120"/>
      <c r="V91" s="1120"/>
      <c r="W91" s="1120"/>
      <c r="X91" s="1120"/>
      <c r="Y91" s="647"/>
    </row>
    <row r="92" spans="1:25" outlineLevel="1" x14ac:dyDescent="0.3">
      <c r="A92" s="1809" t="s">
        <v>21</v>
      </c>
      <c r="B92" s="1810"/>
      <c r="C92" s="843">
        <f ca="1">IF(ISBLANK(INDIRECT("'"&amp;$A$83&amp;"'!"&amp;HLOOKUP($A$83, 'Misc. Data &amp; Mechanisms'!$O$674:$R$682,ROW('Misc. Data &amp; Mechanisms'!$O682)-ROW('Misc. Data &amp; Mechanisms'!$O$674) + 1, FALSE)&amp;C$84)), "", INDIRECT("'"&amp;$A$83&amp;"'!"&amp;HLOOKUP($A$83, 'Misc. Data &amp; Mechanisms'!$O$674:$R$682,ROW('Misc. Data &amp; Mechanisms'!$O682)-ROW('Misc. Data &amp; Mechanisms'!$O$674) + 1, FALSE)&amp;C$84))</f>
        <v>5.7556571043425464</v>
      </c>
      <c r="D92" s="843">
        <f ca="1">IF(ISBLANK(INDIRECT("'"&amp;$A$83&amp;"'!"&amp;HLOOKUP($A$83, 'Misc. Data &amp; Mechanisms'!$O$674:$R$682,ROW('Misc. Data &amp; Mechanisms'!$O682)-ROW('Misc. Data &amp; Mechanisms'!$O$674) + 1, FALSE)&amp;D$84)), "", INDIRECT("'"&amp;$A$83&amp;"'!"&amp;HLOOKUP($A$83, 'Misc. Data &amp; Mechanisms'!$O$674:$R$682,ROW('Misc. Data &amp; Mechanisms'!$O682)-ROW('Misc. Data &amp; Mechanisms'!$O$674) + 1, FALSE)&amp;D$84))</f>
        <v>8.5481141292318998</v>
      </c>
      <c r="E92" s="843">
        <f ca="1">IF(ISBLANK(INDIRECT("'"&amp;$A$83&amp;"'!"&amp;HLOOKUP($A$83, 'Misc. Data &amp; Mechanisms'!$O$674:$R$682,ROW('Misc. Data &amp; Mechanisms'!$O682)-ROW('Misc. Data &amp; Mechanisms'!$O$674) + 1, FALSE)&amp;E$84)), "", INDIRECT("'"&amp;$A$83&amp;"'!"&amp;HLOOKUP($A$83, 'Misc. Data &amp; Mechanisms'!$O$674:$R$682,ROW('Misc. Data &amp; Mechanisms'!$O682)-ROW('Misc. Data &amp; Mechanisms'!$O$674) + 1, FALSE)&amp;E$84))</f>
        <v>7.4872051077272763</v>
      </c>
      <c r="F92" s="843">
        <f ca="1">IF(ISBLANK(INDIRECT("'"&amp;$A$83&amp;"'!"&amp;HLOOKUP($A$83, 'Misc. Data &amp; Mechanisms'!$O$674:$R$682,ROW('Misc. Data &amp; Mechanisms'!$O682)-ROW('Misc. Data &amp; Mechanisms'!$O$674) + 1, FALSE)&amp;F$84)), "", INDIRECT("'"&amp;$A$83&amp;"'!"&amp;HLOOKUP($A$83, 'Misc. Data &amp; Mechanisms'!$O$674:$R$682,ROW('Misc. Data &amp; Mechanisms'!$O682)-ROW('Misc. Data &amp; Mechanisms'!$O$674) + 1, FALSE)&amp;F$84))</f>
        <v>5.1210260086388564</v>
      </c>
      <c r="G92" s="843">
        <f ca="1">IF(ISBLANK(INDIRECT("'"&amp;$A$83&amp;"'!"&amp;HLOOKUP($A$83, 'Misc. Data &amp; Mechanisms'!$O$674:$R$682,ROW('Misc. Data &amp; Mechanisms'!$O682)-ROW('Misc. Data &amp; Mechanisms'!$O$674) + 1, FALSE)&amp;G$84)), "", INDIRECT("'"&amp;$A$83&amp;"'!"&amp;HLOOKUP($A$83, 'Misc. Data &amp; Mechanisms'!$O$674:$R$682,ROW('Misc. Data &amp; Mechanisms'!$O682)-ROW('Misc. Data &amp; Mechanisms'!$O$674) + 1, FALSE)&amp;G$84))</f>
        <v>4.2521058994568559</v>
      </c>
      <c r="H92" s="843">
        <f ca="1">IF(ISBLANK(INDIRECT("'"&amp;$A$83&amp;"'!"&amp;HLOOKUP($A$83, 'Misc. Data &amp; Mechanisms'!$O$674:$R$682,ROW('Misc. Data &amp; Mechanisms'!$O682)-ROW('Misc. Data &amp; Mechanisms'!$O$674) + 1, FALSE)&amp;H$84)), "", INDIRECT("'"&amp;$A$83&amp;"'!"&amp;HLOOKUP($A$83, 'Misc. Data &amp; Mechanisms'!$O$674:$R$682,ROW('Misc. Data &amp; Mechanisms'!$O682)-ROW('Misc. Data &amp; Mechanisms'!$O$674) + 1, FALSE)&amp;H$84))</f>
        <v>2.4030880187101298</v>
      </c>
      <c r="I92" s="843" t="str">
        <f ca="1">IF(ISBLANK(INDIRECT("'"&amp;$A$83&amp;"'!"&amp;HLOOKUP($A$83, 'Misc. Data &amp; Mechanisms'!$O$674:$R$682,ROW('Misc. Data &amp; Mechanisms'!$O682)-ROW('Misc. Data &amp; Mechanisms'!$O$674) + 1, FALSE)&amp;I$84)), "", INDIRECT("'"&amp;$A$83&amp;"'!"&amp;HLOOKUP($A$83, 'Misc. Data &amp; Mechanisms'!$O$674:$R$682,ROW('Misc. Data &amp; Mechanisms'!$O682)-ROW('Misc. Data &amp; Mechanisms'!$O$674) + 1, FALSE)&amp;I$84))</f>
        <v/>
      </c>
      <c r="J92" s="843" t="str">
        <f ca="1">IF(ISBLANK(INDIRECT("'"&amp;$A$83&amp;"'!"&amp;HLOOKUP($A$83, 'Misc. Data &amp; Mechanisms'!$O$674:$R$682,ROW('Misc. Data &amp; Mechanisms'!$O682)-ROW('Misc. Data &amp; Mechanisms'!$O$674) + 1, FALSE)&amp;J$84)), "", INDIRECT("'"&amp;$A$83&amp;"'!"&amp;HLOOKUP($A$83, 'Misc. Data &amp; Mechanisms'!$O$674:$R$682,ROW('Misc. Data &amp; Mechanisms'!$O682)-ROW('Misc. Data &amp; Mechanisms'!$O$674) + 1, FALSE)&amp;J$84))</f>
        <v/>
      </c>
      <c r="K92" s="843" t="str">
        <f ca="1">IF(ISBLANK(INDIRECT("'"&amp;$A$83&amp;"'!"&amp;HLOOKUP($A$83, 'Misc. Data &amp; Mechanisms'!$O$674:$R$682,ROW('Misc. Data &amp; Mechanisms'!$O682)-ROW('Misc. Data &amp; Mechanisms'!$O$674) + 1, FALSE)&amp;K$84)), "", INDIRECT("'"&amp;$A$83&amp;"'!"&amp;HLOOKUP($A$83, 'Misc. Data &amp; Mechanisms'!$O$674:$R$682,ROW('Misc. Data &amp; Mechanisms'!$O682)-ROW('Misc. Data &amp; Mechanisms'!$O$674) + 1, FALSE)&amp;K$84))</f>
        <v/>
      </c>
      <c r="L92" s="843" t="str">
        <f ca="1">IF(ISBLANK(INDIRECT("'"&amp;$A$83&amp;"'!"&amp;HLOOKUP($A$83, 'Misc. Data &amp; Mechanisms'!$O$674:$R$682,ROW('Misc. Data &amp; Mechanisms'!$O682)-ROW('Misc. Data &amp; Mechanisms'!$O$674) + 1, FALSE)&amp;L$84)), "", INDIRECT("'"&amp;$A$83&amp;"'!"&amp;HLOOKUP($A$83, 'Misc. Data &amp; Mechanisms'!$O$674:$R$682,ROW('Misc. Data &amp; Mechanisms'!$O682)-ROW('Misc. Data &amp; Mechanisms'!$O$674) + 1, FALSE)&amp;L$84))</f>
        <v/>
      </c>
      <c r="M92" s="843" t="str">
        <f ca="1">IF(ISBLANK(INDIRECT("'"&amp;$A$83&amp;"'!"&amp;HLOOKUP($A$83, 'Misc. Data &amp; Mechanisms'!$O$674:$R$682,ROW('Misc. Data &amp; Mechanisms'!$O682)-ROW('Misc. Data &amp; Mechanisms'!$O$674) + 1, FALSE)&amp;M$84)), "", INDIRECT("'"&amp;$A$83&amp;"'!"&amp;HLOOKUP($A$83, 'Misc. Data &amp; Mechanisms'!$O$674:$R$682,ROW('Misc. Data &amp; Mechanisms'!$O682)-ROW('Misc. Data &amp; Mechanisms'!$O$674) + 1, FALSE)&amp;M$84))</f>
        <v/>
      </c>
      <c r="N92" s="843" t="str">
        <f ca="1">IF(ISBLANK(INDIRECT("'"&amp;$A$83&amp;"'!"&amp;HLOOKUP($A$83, 'Misc. Data &amp; Mechanisms'!$O$674:$R$682,ROW('Misc. Data &amp; Mechanisms'!$O682)-ROW('Misc. Data &amp; Mechanisms'!$O$674) + 1, FALSE)&amp;N$84)), "", INDIRECT("'"&amp;$A$83&amp;"'!"&amp;HLOOKUP($A$83, 'Misc. Data &amp; Mechanisms'!$O$674:$R$682,ROW('Misc. Data &amp; Mechanisms'!$O682)-ROW('Misc. Data &amp; Mechanisms'!$O$674) + 1, FALSE)&amp;N$84))</f>
        <v/>
      </c>
      <c r="O92" s="183"/>
      <c r="P92" s="612"/>
      <c r="Q92" s="612"/>
      <c r="R92" s="612"/>
      <c r="S92" s="612"/>
      <c r="T92" s="612"/>
      <c r="U92" s="612"/>
      <c r="V92" s="612"/>
      <c r="W92" s="612"/>
      <c r="X92" s="612"/>
      <c r="Y92" s="647"/>
    </row>
    <row r="93" spans="1:25" outlineLevel="1" x14ac:dyDescent="0.3">
      <c r="A93" s="1822" t="s">
        <v>70</v>
      </c>
      <c r="B93" s="1823"/>
      <c r="C93" s="848">
        <f t="shared" ref="C93:N93" ca="1" si="1">SUM(C85:C92)</f>
        <v>120.86879919119347</v>
      </c>
      <c r="D93" s="848">
        <f t="shared" ca="1" si="1"/>
        <v>179.51039671386991</v>
      </c>
      <c r="E93" s="848">
        <f t="shared" ca="1" si="1"/>
        <v>157.23130726227279</v>
      </c>
      <c r="F93" s="848">
        <f t="shared" ca="1" si="1"/>
        <v>107.54154618141597</v>
      </c>
      <c r="G93" s="848">
        <f t="shared" ca="1" si="1"/>
        <v>89.294223888593962</v>
      </c>
      <c r="H93" s="848">
        <f t="shared" ca="1" si="1"/>
        <v>50.464848392912721</v>
      </c>
      <c r="I93" s="848">
        <f t="shared" ca="1" si="1"/>
        <v>0</v>
      </c>
      <c r="J93" s="848">
        <f t="shared" ca="1" si="1"/>
        <v>0</v>
      </c>
      <c r="K93" s="848">
        <f t="shared" ca="1" si="1"/>
        <v>0</v>
      </c>
      <c r="L93" s="848">
        <f t="shared" ca="1" si="1"/>
        <v>0</v>
      </c>
      <c r="M93" s="848">
        <f t="shared" ca="1" si="1"/>
        <v>0</v>
      </c>
      <c r="N93" s="848">
        <f t="shared" ca="1" si="1"/>
        <v>0</v>
      </c>
      <c r="O93" s="183"/>
      <c r="P93" s="612"/>
      <c r="Q93" s="612"/>
      <c r="R93" s="612"/>
      <c r="S93" s="612"/>
      <c r="T93" s="612"/>
      <c r="U93" s="612"/>
      <c r="V93" s="612"/>
      <c r="W93" s="612"/>
      <c r="X93" s="612"/>
      <c r="Y93" s="647"/>
    </row>
    <row r="94" spans="1:25" outlineLevel="1" x14ac:dyDescent="0.3">
      <c r="A94" s="1824"/>
      <c r="B94" s="1825"/>
      <c r="C94" s="612"/>
      <c r="D94" s="612"/>
      <c r="E94" s="612"/>
      <c r="F94" s="612"/>
      <c r="G94" s="612"/>
      <c r="H94" s="612"/>
      <c r="I94" s="612"/>
      <c r="J94" s="612"/>
      <c r="K94" s="612"/>
      <c r="L94" s="612"/>
      <c r="M94" s="612"/>
      <c r="N94" s="612"/>
      <c r="O94" s="612"/>
      <c r="P94" s="612"/>
      <c r="Q94" s="612"/>
      <c r="R94" s="612"/>
      <c r="S94" s="612"/>
      <c r="T94" s="612"/>
      <c r="U94" s="612"/>
      <c r="V94" s="612"/>
      <c r="W94" s="612"/>
      <c r="X94" s="612"/>
      <c r="Y94" s="647"/>
    </row>
    <row r="95" spans="1:25" outlineLevel="1" x14ac:dyDescent="0.3">
      <c r="A95" s="646"/>
      <c r="B95" s="612"/>
      <c r="C95" s="612"/>
      <c r="D95" s="612"/>
      <c r="E95" s="612"/>
      <c r="F95" s="612"/>
      <c r="G95" s="612"/>
      <c r="H95" s="612"/>
      <c r="I95" s="612"/>
      <c r="J95" s="612"/>
      <c r="K95" s="612"/>
      <c r="L95" s="612"/>
      <c r="M95" s="612"/>
      <c r="N95" s="612"/>
      <c r="O95" s="612"/>
      <c r="P95" s="612"/>
      <c r="Q95" s="612"/>
      <c r="R95" s="612"/>
      <c r="S95" s="612"/>
      <c r="T95" s="612"/>
      <c r="U95" s="612"/>
      <c r="V95" s="612"/>
      <c r="W95" s="612"/>
      <c r="X95" s="612"/>
      <c r="Y95" s="647"/>
    </row>
    <row r="96" spans="1:25" outlineLevel="1" x14ac:dyDescent="0.3">
      <c r="A96" s="646"/>
      <c r="B96" s="612"/>
      <c r="C96" s="612"/>
      <c r="D96" s="612"/>
      <c r="E96" s="612"/>
      <c r="F96" s="612"/>
      <c r="G96" s="612"/>
      <c r="H96" s="612"/>
      <c r="I96" s="612"/>
      <c r="J96" s="612"/>
      <c r="K96" s="612"/>
      <c r="L96" s="612"/>
      <c r="M96" s="612"/>
      <c r="N96" s="612"/>
      <c r="O96" s="612"/>
      <c r="P96" s="612"/>
      <c r="Q96" s="612"/>
      <c r="R96" s="612"/>
      <c r="S96" s="612"/>
      <c r="T96" s="612"/>
      <c r="U96" s="612"/>
      <c r="V96" s="612"/>
      <c r="W96" s="612"/>
      <c r="X96" s="612"/>
      <c r="Y96" s="647"/>
    </row>
    <row r="97" spans="1:25" outlineLevel="1" x14ac:dyDescent="0.3">
      <c r="A97" s="646"/>
      <c r="B97" s="612"/>
      <c r="C97" s="612"/>
      <c r="D97" s="612"/>
      <c r="E97" s="612"/>
      <c r="F97" s="612"/>
      <c r="G97" s="612"/>
      <c r="H97" s="612"/>
      <c r="I97" s="612"/>
      <c r="J97" s="612"/>
      <c r="K97" s="612"/>
      <c r="L97" s="612"/>
      <c r="M97" s="612"/>
      <c r="N97" s="612"/>
      <c r="O97" s="612"/>
      <c r="P97" s="612"/>
      <c r="Q97" s="612"/>
      <c r="R97" s="612"/>
      <c r="S97" s="612"/>
      <c r="T97" s="612"/>
      <c r="U97" s="612"/>
      <c r="V97" s="612"/>
      <c r="W97" s="612"/>
      <c r="X97" s="612"/>
      <c r="Y97" s="647"/>
    </row>
    <row r="98" spans="1:25" outlineLevel="1" x14ac:dyDescent="0.3">
      <c r="A98" s="646"/>
      <c r="B98" s="612"/>
      <c r="C98" s="612"/>
      <c r="D98" s="612"/>
      <c r="E98" s="612"/>
      <c r="F98" s="612"/>
      <c r="G98" s="612"/>
      <c r="H98" s="612"/>
      <c r="I98" s="612"/>
      <c r="J98" s="612"/>
      <c r="K98" s="612"/>
      <c r="L98" s="612"/>
      <c r="M98" s="612"/>
      <c r="N98" s="612"/>
      <c r="O98" s="612"/>
      <c r="P98" s="612"/>
      <c r="Q98" s="612"/>
      <c r="R98" s="612"/>
      <c r="S98" s="612"/>
      <c r="T98" s="612"/>
      <c r="U98" s="612"/>
      <c r="V98" s="612"/>
      <c r="W98" s="612"/>
      <c r="X98" s="612"/>
      <c r="Y98" s="647"/>
    </row>
    <row r="99" spans="1:25" outlineLevel="1" x14ac:dyDescent="0.3">
      <c r="A99" s="646"/>
      <c r="B99" s="612"/>
      <c r="C99" s="612"/>
      <c r="D99" s="612"/>
      <c r="E99" s="612"/>
      <c r="F99" s="612"/>
      <c r="G99" s="612"/>
      <c r="H99" s="612"/>
      <c r="I99" s="612"/>
      <c r="J99" s="612"/>
      <c r="K99" s="612"/>
      <c r="L99" s="612"/>
      <c r="M99" s="612"/>
      <c r="N99" s="612"/>
      <c r="O99" s="612"/>
      <c r="P99" s="612"/>
      <c r="Q99" s="612"/>
      <c r="R99" s="612"/>
      <c r="S99" s="612"/>
      <c r="T99" s="612"/>
      <c r="U99" s="612"/>
      <c r="V99" s="612"/>
      <c r="W99" s="612"/>
      <c r="X99" s="612"/>
      <c r="Y99" s="647"/>
    </row>
    <row r="100" spans="1:25" outlineLevel="1" x14ac:dyDescent="0.3">
      <c r="A100" s="646"/>
      <c r="B100" s="612"/>
      <c r="C100" s="612"/>
      <c r="D100" s="612"/>
      <c r="E100" s="612"/>
      <c r="F100" s="612"/>
      <c r="G100" s="612"/>
      <c r="H100" s="612"/>
      <c r="I100" s="612"/>
      <c r="J100" s="612"/>
      <c r="K100" s="612"/>
      <c r="L100" s="612"/>
      <c r="M100" s="612"/>
      <c r="N100" s="612"/>
      <c r="O100" s="612"/>
      <c r="P100" s="612"/>
      <c r="Q100" s="612"/>
      <c r="R100" s="612"/>
      <c r="S100" s="612"/>
      <c r="T100" s="612"/>
      <c r="U100" s="612"/>
      <c r="V100" s="612"/>
      <c r="W100" s="612"/>
      <c r="X100" s="612"/>
      <c r="Y100" s="647"/>
    </row>
    <row r="101" spans="1:25" outlineLevel="1" x14ac:dyDescent="0.3">
      <c r="A101" s="646"/>
      <c r="B101" s="612"/>
      <c r="C101" s="612"/>
      <c r="D101" s="612"/>
      <c r="E101" s="612"/>
      <c r="F101" s="612"/>
      <c r="G101" s="612"/>
      <c r="H101" s="612"/>
      <c r="I101" s="612"/>
      <c r="J101" s="612"/>
      <c r="K101" s="612"/>
      <c r="L101" s="612"/>
      <c r="M101" s="612"/>
      <c r="N101" s="612"/>
      <c r="O101" s="612"/>
      <c r="P101" s="612"/>
      <c r="Q101" s="612"/>
      <c r="R101" s="612"/>
      <c r="S101" s="612"/>
      <c r="T101" s="612"/>
      <c r="U101" s="612"/>
      <c r="V101" s="612"/>
      <c r="W101" s="612"/>
      <c r="X101" s="612"/>
      <c r="Y101" s="647"/>
    </row>
    <row r="102" spans="1:25" outlineLevel="1" x14ac:dyDescent="0.3">
      <c r="A102" s="646"/>
      <c r="B102" s="612"/>
      <c r="C102" s="612"/>
      <c r="D102" s="612"/>
      <c r="E102" s="612"/>
      <c r="F102" s="612"/>
      <c r="G102" s="612"/>
      <c r="H102" s="612"/>
      <c r="I102" s="612"/>
      <c r="J102" s="612"/>
      <c r="K102" s="612"/>
      <c r="L102" s="612"/>
      <c r="M102" s="612"/>
      <c r="N102" s="612"/>
      <c r="O102" s="612"/>
      <c r="P102" s="612"/>
      <c r="Q102" s="612"/>
      <c r="R102" s="612"/>
      <c r="S102" s="612"/>
      <c r="T102" s="612"/>
      <c r="U102" s="612"/>
      <c r="V102" s="612"/>
      <c r="W102" s="612"/>
      <c r="X102" s="612"/>
      <c r="Y102" s="647"/>
    </row>
    <row r="103" spans="1:25" outlineLevel="1" x14ac:dyDescent="0.3">
      <c r="A103" s="646"/>
      <c r="B103" s="612"/>
      <c r="C103" s="612"/>
      <c r="D103" s="612"/>
      <c r="E103" s="612"/>
      <c r="F103" s="612"/>
      <c r="G103" s="612"/>
      <c r="H103" s="612"/>
      <c r="I103" s="612"/>
      <c r="J103" s="612"/>
      <c r="K103" s="612"/>
      <c r="L103" s="612"/>
      <c r="M103" s="612"/>
      <c r="N103" s="612"/>
      <c r="O103" s="612"/>
      <c r="P103" s="612"/>
      <c r="Q103" s="612"/>
      <c r="R103" s="612"/>
      <c r="S103" s="612"/>
      <c r="T103" s="612"/>
      <c r="U103" s="612"/>
      <c r="V103" s="612"/>
      <c r="W103" s="612"/>
      <c r="X103" s="612"/>
      <c r="Y103" s="647"/>
    </row>
    <row r="104" spans="1:25" outlineLevel="1" x14ac:dyDescent="0.3">
      <c r="A104" s="646"/>
      <c r="B104" s="612"/>
      <c r="C104" s="612"/>
      <c r="D104" s="612"/>
      <c r="E104" s="612"/>
      <c r="F104" s="612"/>
      <c r="G104" s="612"/>
      <c r="H104" s="612"/>
      <c r="I104" s="612"/>
      <c r="J104" s="612"/>
      <c r="K104" s="612"/>
      <c r="L104" s="612"/>
      <c r="M104" s="612"/>
      <c r="N104" s="612"/>
      <c r="O104" s="612"/>
      <c r="P104" s="612"/>
      <c r="Q104" s="612"/>
      <c r="R104" s="612"/>
      <c r="S104" s="612"/>
      <c r="T104" s="612"/>
      <c r="U104" s="612"/>
      <c r="V104" s="612"/>
      <c r="W104" s="612"/>
      <c r="X104" s="612"/>
      <c r="Y104" s="647"/>
    </row>
    <row r="105" spans="1:25" outlineLevel="1" x14ac:dyDescent="0.3">
      <c r="A105" s="646"/>
      <c r="B105" s="612"/>
      <c r="C105" s="612"/>
      <c r="D105" s="612"/>
      <c r="E105" s="612"/>
      <c r="F105" s="612"/>
      <c r="G105" s="612"/>
      <c r="H105" s="612"/>
      <c r="I105" s="612"/>
      <c r="J105" s="612"/>
      <c r="K105" s="612"/>
      <c r="L105" s="612"/>
      <c r="M105" s="612"/>
      <c r="N105" s="612"/>
      <c r="O105" s="612"/>
      <c r="P105" s="612"/>
      <c r="Q105" s="612"/>
      <c r="R105" s="612"/>
      <c r="S105" s="612"/>
      <c r="T105" s="612"/>
      <c r="U105" s="612"/>
      <c r="V105" s="612"/>
      <c r="W105" s="612"/>
      <c r="X105" s="612"/>
      <c r="Y105" s="647"/>
    </row>
    <row r="106" spans="1:25" outlineLevel="1" x14ac:dyDescent="0.3">
      <c r="A106" s="646"/>
      <c r="B106" s="612"/>
      <c r="C106" s="612"/>
      <c r="D106" s="612"/>
      <c r="E106" s="612"/>
      <c r="F106" s="612"/>
      <c r="G106" s="612"/>
      <c r="H106" s="612"/>
      <c r="I106" s="612"/>
      <c r="J106" s="612"/>
      <c r="K106" s="612"/>
      <c r="L106" s="612"/>
      <c r="M106" s="612"/>
      <c r="N106" s="612"/>
      <c r="O106" s="612"/>
      <c r="P106" s="612"/>
      <c r="Q106" s="612"/>
      <c r="R106" s="612"/>
      <c r="S106" s="612"/>
      <c r="T106" s="612"/>
      <c r="U106" s="612"/>
      <c r="V106" s="612"/>
      <c r="W106" s="612"/>
      <c r="X106" s="612"/>
      <c r="Y106" s="647"/>
    </row>
    <row r="107" spans="1:25" outlineLevel="1" x14ac:dyDescent="0.3">
      <c r="A107" s="646"/>
      <c r="B107" s="612"/>
      <c r="C107" s="612"/>
      <c r="D107" s="612"/>
      <c r="E107" s="612"/>
      <c r="F107" s="612"/>
      <c r="G107" s="612"/>
      <c r="H107" s="612"/>
      <c r="I107" s="612"/>
      <c r="J107" s="612"/>
      <c r="K107" s="612"/>
      <c r="L107" s="612"/>
      <c r="M107" s="612"/>
      <c r="N107" s="612"/>
      <c r="O107" s="612"/>
      <c r="P107" s="612"/>
      <c r="Q107" s="612"/>
      <c r="R107" s="612"/>
      <c r="S107" s="612"/>
      <c r="T107" s="612"/>
      <c r="U107" s="612"/>
      <c r="V107" s="612"/>
      <c r="W107" s="612"/>
      <c r="X107" s="612"/>
      <c r="Y107" s="647"/>
    </row>
    <row r="108" spans="1:25" outlineLevel="1" x14ac:dyDescent="0.3">
      <c r="A108" s="646"/>
      <c r="B108" s="612"/>
      <c r="C108" s="612"/>
      <c r="D108" s="612"/>
      <c r="E108" s="612"/>
      <c r="F108" s="612"/>
      <c r="G108" s="612"/>
      <c r="H108" s="612"/>
      <c r="I108" s="612"/>
      <c r="J108" s="612"/>
      <c r="K108" s="612"/>
      <c r="L108" s="612"/>
      <c r="M108" s="612"/>
      <c r="N108" s="612"/>
      <c r="O108" s="612"/>
      <c r="P108" s="612"/>
      <c r="Q108" s="612"/>
      <c r="R108" s="612"/>
      <c r="S108" s="612"/>
      <c r="T108" s="612"/>
      <c r="U108" s="612"/>
      <c r="V108" s="612"/>
      <c r="W108" s="612"/>
      <c r="X108" s="612"/>
      <c r="Y108" s="647"/>
    </row>
    <row r="109" spans="1:25" outlineLevel="1" x14ac:dyDescent="0.3">
      <c r="A109" s="646"/>
      <c r="B109" s="612"/>
      <c r="C109" s="612"/>
      <c r="D109" s="612"/>
      <c r="E109" s="612"/>
      <c r="F109" s="612"/>
      <c r="G109" s="612"/>
      <c r="H109" s="612"/>
      <c r="I109" s="612"/>
      <c r="J109" s="612"/>
      <c r="K109" s="612"/>
      <c r="L109" s="612"/>
      <c r="M109" s="612"/>
      <c r="N109" s="612"/>
      <c r="O109" s="612"/>
      <c r="P109" s="612"/>
      <c r="Q109" s="612"/>
      <c r="R109" s="612"/>
      <c r="S109" s="612"/>
      <c r="T109" s="612"/>
      <c r="U109" s="612"/>
      <c r="V109" s="612"/>
      <c r="W109" s="612"/>
      <c r="X109" s="612"/>
      <c r="Y109" s="647"/>
    </row>
    <row r="110" spans="1:25" outlineLevel="1" x14ac:dyDescent="0.3">
      <c r="A110" s="646"/>
      <c r="B110" s="612"/>
      <c r="C110" s="612"/>
      <c r="D110" s="612"/>
      <c r="E110" s="612"/>
      <c r="F110" s="612"/>
      <c r="G110" s="612"/>
      <c r="H110" s="612"/>
      <c r="I110" s="612"/>
      <c r="J110" s="612"/>
      <c r="K110" s="612"/>
      <c r="L110" s="612"/>
      <c r="M110" s="612"/>
      <c r="N110" s="612"/>
      <c r="O110" s="612"/>
      <c r="P110" s="612"/>
      <c r="Q110" s="612"/>
      <c r="R110" s="612"/>
      <c r="S110" s="612"/>
      <c r="T110" s="612"/>
      <c r="U110" s="612"/>
      <c r="V110" s="612"/>
      <c r="W110" s="612"/>
      <c r="X110" s="612"/>
      <c r="Y110" s="647"/>
    </row>
    <row r="111" spans="1:25" outlineLevel="1" x14ac:dyDescent="0.3">
      <c r="A111" s="646"/>
      <c r="B111" s="612"/>
      <c r="C111" s="612"/>
      <c r="D111" s="612"/>
      <c r="E111" s="612"/>
      <c r="F111" s="612"/>
      <c r="G111" s="612"/>
      <c r="H111" s="612"/>
      <c r="I111" s="612"/>
      <c r="J111" s="612"/>
      <c r="K111" s="612"/>
      <c r="L111" s="612"/>
      <c r="M111" s="612"/>
      <c r="N111" s="612"/>
      <c r="O111" s="612"/>
      <c r="P111" s="612"/>
      <c r="Q111" s="612"/>
      <c r="R111" s="612"/>
      <c r="S111" s="612"/>
      <c r="T111" s="612"/>
      <c r="U111" s="612"/>
      <c r="V111" s="612"/>
      <c r="W111" s="612"/>
      <c r="X111" s="612"/>
      <c r="Y111" s="647"/>
    </row>
    <row r="112" spans="1:25" outlineLevel="1" x14ac:dyDescent="0.3">
      <c r="A112" s="646"/>
      <c r="B112" s="612"/>
      <c r="C112" s="612"/>
      <c r="D112" s="612"/>
      <c r="E112" s="612"/>
      <c r="F112" s="612"/>
      <c r="G112" s="612"/>
      <c r="H112" s="612"/>
      <c r="I112" s="612"/>
      <c r="J112" s="612"/>
      <c r="K112" s="612"/>
      <c r="L112" s="612"/>
      <c r="M112" s="612"/>
      <c r="N112" s="612"/>
      <c r="O112" s="612"/>
      <c r="P112" s="612"/>
      <c r="Q112" s="612"/>
      <c r="R112" s="612"/>
      <c r="S112" s="612"/>
      <c r="T112" s="612"/>
      <c r="U112" s="612"/>
      <c r="V112" s="612"/>
      <c r="W112" s="612"/>
      <c r="X112" s="612"/>
      <c r="Y112" s="647"/>
    </row>
    <row r="113" spans="1:36" outlineLevel="1" x14ac:dyDescent="0.3">
      <c r="A113" s="646"/>
      <c r="B113" s="612"/>
      <c r="C113" s="612"/>
      <c r="D113" s="612"/>
      <c r="E113" s="612"/>
      <c r="F113" s="612"/>
      <c r="G113" s="612"/>
      <c r="H113" s="612"/>
      <c r="I113" s="612"/>
      <c r="J113" s="612"/>
      <c r="K113" s="612"/>
      <c r="L113" s="612"/>
      <c r="M113" s="612"/>
      <c r="N113" s="612"/>
      <c r="O113" s="612"/>
      <c r="P113" s="612"/>
      <c r="Q113" s="612"/>
      <c r="R113" s="612"/>
      <c r="S113" s="612"/>
      <c r="T113" s="612"/>
      <c r="U113" s="612"/>
      <c r="V113" s="612"/>
      <c r="W113" s="612"/>
      <c r="X113" s="612"/>
      <c r="Y113" s="647"/>
    </row>
    <row r="114" spans="1:36" ht="14.5" outlineLevel="1" thickBot="1" x14ac:dyDescent="0.35">
      <c r="A114" s="702"/>
      <c r="B114" s="703"/>
      <c r="C114" s="703"/>
      <c r="D114" s="703"/>
      <c r="E114" s="703"/>
      <c r="F114" s="703"/>
      <c r="G114" s="703"/>
      <c r="H114" s="703"/>
      <c r="I114" s="703"/>
      <c r="J114" s="703"/>
      <c r="K114" s="703"/>
      <c r="L114" s="703"/>
      <c r="M114" s="703"/>
      <c r="N114" s="703"/>
      <c r="O114" s="703"/>
      <c r="P114" s="703"/>
      <c r="Q114" s="703"/>
      <c r="R114" s="703"/>
      <c r="S114" s="703"/>
      <c r="T114" s="703"/>
      <c r="U114" s="703"/>
      <c r="V114" s="703"/>
      <c r="W114" s="703"/>
      <c r="X114" s="703"/>
      <c r="Y114" s="704"/>
    </row>
    <row r="115" spans="1:36" ht="16.5" customHeight="1" x14ac:dyDescent="0.3">
      <c r="A115" s="1843" t="s">
        <v>623</v>
      </c>
      <c r="B115" s="1843"/>
      <c r="C115" s="1843"/>
      <c r="D115" s="1843"/>
      <c r="E115" s="1843"/>
      <c r="F115" s="1843"/>
      <c r="G115" s="1843"/>
      <c r="H115" s="1843"/>
      <c r="I115" s="1843"/>
      <c r="J115" s="1843"/>
      <c r="K115" s="1843"/>
      <c r="L115" s="1843"/>
      <c r="M115" s="1843"/>
      <c r="N115" s="1843"/>
      <c r="O115" s="1843"/>
      <c r="P115" s="1843"/>
      <c r="Q115" s="1843"/>
      <c r="R115" s="1843"/>
      <c r="S115" s="1843"/>
      <c r="T115" s="1843"/>
      <c r="U115" s="1843"/>
      <c r="V115" s="1843"/>
      <c r="W115" s="1843"/>
      <c r="X115" s="1843"/>
      <c r="Y115" s="1843"/>
    </row>
    <row r="116" spans="1:36" ht="16.5" customHeight="1" x14ac:dyDescent="0.3">
      <c r="A116" s="1844"/>
      <c r="B116" s="1844"/>
      <c r="C116" s="1844"/>
      <c r="D116" s="1844"/>
      <c r="E116" s="1844"/>
      <c r="F116" s="1844"/>
      <c r="G116" s="1844"/>
      <c r="H116" s="1844"/>
      <c r="I116" s="1844"/>
      <c r="J116" s="1844"/>
      <c r="K116" s="1844"/>
      <c r="L116" s="1844"/>
      <c r="M116" s="1844"/>
      <c r="N116" s="1844"/>
      <c r="O116" s="1844"/>
      <c r="P116" s="1844"/>
      <c r="Q116" s="1844"/>
      <c r="R116" s="1844"/>
      <c r="S116" s="1844"/>
      <c r="T116" s="1844"/>
      <c r="U116" s="1844"/>
      <c r="V116" s="1844"/>
      <c r="W116" s="1844"/>
      <c r="X116" s="1844"/>
      <c r="Y116" s="1844"/>
    </row>
    <row r="117" spans="1:36" s="719" customFormat="1" ht="16.5" customHeight="1" x14ac:dyDescent="0.3">
      <c r="A117" s="1874"/>
      <c r="B117" s="1874"/>
      <c r="C117" s="836"/>
      <c r="D117" s="836"/>
      <c r="E117" s="836"/>
      <c r="F117" s="836"/>
      <c r="G117" s="836"/>
      <c r="H117" s="836"/>
      <c r="I117" s="836"/>
      <c r="J117" s="836"/>
      <c r="K117" s="836"/>
      <c r="L117" s="836"/>
      <c r="M117" s="836"/>
      <c r="N117" s="836"/>
      <c r="O117" s="836"/>
      <c r="P117" s="836"/>
      <c r="Q117" s="836"/>
      <c r="R117" s="836"/>
      <c r="S117" s="836"/>
      <c r="T117" s="836"/>
      <c r="U117" s="836"/>
      <c r="V117" s="836"/>
      <c r="W117" s="836"/>
      <c r="X117" s="836"/>
      <c r="Y117" s="836"/>
    </row>
    <row r="118" spans="1:36" s="719" customFormat="1" ht="16.5" customHeight="1" thickBot="1" x14ac:dyDescent="0.35">
      <c r="A118" s="1950"/>
      <c r="B118" s="1950"/>
      <c r="C118" s="836"/>
      <c r="D118" s="836"/>
      <c r="E118" s="836"/>
      <c r="F118" s="836"/>
      <c r="G118" s="836"/>
      <c r="H118" s="836"/>
      <c r="I118" s="836"/>
      <c r="J118" s="836"/>
      <c r="K118" s="836"/>
      <c r="L118" s="836"/>
      <c r="M118" s="836"/>
      <c r="N118" s="836"/>
      <c r="O118" s="836"/>
      <c r="P118" s="836"/>
      <c r="Q118" s="836"/>
      <c r="R118" s="836"/>
      <c r="S118" s="836"/>
      <c r="T118" s="836"/>
      <c r="U118" s="836"/>
      <c r="V118" s="836"/>
      <c r="W118" s="836"/>
      <c r="X118" s="836"/>
      <c r="Y118" s="836"/>
    </row>
    <row r="119" spans="1:36" ht="16.5" customHeight="1" outlineLevel="1" x14ac:dyDescent="0.3">
      <c r="A119" s="1637" t="s">
        <v>381</v>
      </c>
      <c r="B119" s="1638"/>
      <c r="C119" s="1638"/>
      <c r="D119" s="1638"/>
      <c r="E119" s="1638"/>
      <c r="F119" s="1638"/>
      <c r="G119" s="1638"/>
      <c r="H119" s="1638"/>
      <c r="I119" s="1638"/>
      <c r="J119" s="1638"/>
      <c r="K119" s="1638"/>
      <c r="L119" s="1638"/>
      <c r="M119" s="1638"/>
      <c r="N119" s="1638"/>
      <c r="O119" s="1638"/>
      <c r="P119" s="1638"/>
      <c r="Q119" s="1638"/>
      <c r="R119" s="1638"/>
      <c r="S119" s="1638"/>
      <c r="T119" s="1638"/>
      <c r="U119" s="1638"/>
      <c r="V119" s="1638"/>
      <c r="W119" s="1638"/>
      <c r="X119" s="1638"/>
      <c r="Y119" s="1639"/>
    </row>
    <row r="120" spans="1:36" ht="16.5" customHeight="1" outlineLevel="1" thickBot="1" x14ac:dyDescent="0.35">
      <c r="A120" s="1834"/>
      <c r="B120" s="1835"/>
      <c r="C120" s="1835"/>
      <c r="D120" s="1835"/>
      <c r="E120" s="1835"/>
      <c r="F120" s="1835"/>
      <c r="G120" s="1835"/>
      <c r="H120" s="1835"/>
      <c r="I120" s="1835"/>
      <c r="J120" s="1835"/>
      <c r="K120" s="1835"/>
      <c r="L120" s="1835"/>
      <c r="M120" s="1835"/>
      <c r="N120" s="1835"/>
      <c r="O120" s="1835"/>
      <c r="P120" s="1835"/>
      <c r="Q120" s="1835"/>
      <c r="R120" s="1835"/>
      <c r="S120" s="1835"/>
      <c r="T120" s="1835"/>
      <c r="U120" s="1835"/>
      <c r="V120" s="1835"/>
      <c r="W120" s="1835"/>
      <c r="X120" s="1835"/>
      <c r="Y120" s="1836"/>
    </row>
    <row r="121" spans="1:36" ht="14.5" outlineLevel="1" thickBot="1" x14ac:dyDescent="0.35">
      <c r="A121" s="1814"/>
      <c r="B121" s="1815"/>
      <c r="C121" s="612"/>
      <c r="D121" s="612"/>
      <c r="E121" s="612"/>
      <c r="F121" s="612"/>
      <c r="G121" s="612"/>
      <c r="H121" s="612"/>
      <c r="I121" s="612"/>
      <c r="J121" s="612"/>
      <c r="K121" s="612"/>
      <c r="L121" s="612"/>
      <c r="M121" s="612"/>
      <c r="N121" s="612"/>
      <c r="O121" s="612"/>
      <c r="P121" s="612"/>
      <c r="Q121" s="612"/>
      <c r="R121" s="612"/>
      <c r="S121" s="612"/>
      <c r="T121" s="612"/>
      <c r="U121" s="612"/>
      <c r="V121" s="612"/>
      <c r="W121" s="612"/>
      <c r="X121" s="612"/>
      <c r="Y121" s="647"/>
    </row>
    <row r="122" spans="1:36" ht="20.5" outlineLevel="1" thickBot="1" x14ac:dyDescent="0.35">
      <c r="A122" s="849" t="s">
        <v>100</v>
      </c>
      <c r="B122" s="25" t="str">
        <f>HYPERLINK("#"&amp;ADDRESS(ROW(), COLUMN()-1), "€")</f>
        <v>€</v>
      </c>
      <c r="C122" s="737"/>
      <c r="D122" s="737"/>
      <c r="E122" s="737"/>
      <c r="F122" s="737"/>
      <c r="G122" s="737"/>
      <c r="H122" s="612"/>
      <c r="I122" s="612"/>
      <c r="J122" s="612"/>
      <c r="K122" s="612"/>
      <c r="L122" s="612"/>
      <c r="M122" s="612"/>
      <c r="N122" s="612"/>
      <c r="O122" s="612"/>
      <c r="P122" s="612"/>
      <c r="Q122" s="612"/>
      <c r="R122" s="612"/>
      <c r="S122" s="612"/>
      <c r="T122" s="612"/>
      <c r="U122" s="612"/>
      <c r="V122" s="612"/>
      <c r="W122" s="612"/>
      <c r="X122" s="612"/>
      <c r="Y122" s="647"/>
    </row>
    <row r="123" spans="1:36" ht="21" customHeight="1" outlineLevel="1" x14ac:dyDescent="0.3">
      <c r="A123" s="1816"/>
      <c r="B123" s="1817"/>
      <c r="C123" s="612"/>
      <c r="D123" s="612"/>
      <c r="E123" s="612"/>
      <c r="F123" s="612"/>
      <c r="G123" s="612"/>
      <c r="H123" s="612"/>
      <c r="I123" s="612"/>
      <c r="J123" s="612"/>
      <c r="K123" s="612"/>
      <c r="L123" s="612"/>
      <c r="M123" s="612"/>
      <c r="N123" s="612"/>
      <c r="O123" s="612"/>
      <c r="P123" s="612"/>
      <c r="Q123" s="612"/>
      <c r="R123" s="612"/>
      <c r="S123" s="612"/>
      <c r="T123" s="612"/>
      <c r="U123" s="612"/>
      <c r="V123" s="612"/>
      <c r="W123" s="612"/>
      <c r="X123" s="612"/>
      <c r="Y123" s="647"/>
      <c r="AB123" s="1117"/>
      <c r="AC123" s="1117"/>
      <c r="AD123" s="1117"/>
      <c r="AE123" s="1117"/>
      <c r="AF123" s="1117"/>
      <c r="AG123" s="1117"/>
      <c r="AH123" s="1117"/>
      <c r="AI123" s="1117"/>
      <c r="AJ123" s="1117"/>
    </row>
    <row r="124" spans="1:36" outlineLevel="1" x14ac:dyDescent="0.3">
      <c r="A124" s="850"/>
      <c r="B124" s="851"/>
      <c r="C124" s="851"/>
      <c r="D124" s="851"/>
      <c r="E124" s="851"/>
      <c r="F124" s="851"/>
      <c r="G124" s="851"/>
      <c r="H124" s="851"/>
      <c r="I124" s="851"/>
      <c r="J124" s="851"/>
      <c r="K124" s="851"/>
      <c r="L124" s="851"/>
      <c r="M124" s="851"/>
      <c r="N124" s="851"/>
      <c r="O124" s="851"/>
      <c r="P124" s="851"/>
      <c r="Q124" s="851"/>
      <c r="R124" s="851"/>
      <c r="S124" s="612"/>
      <c r="T124" s="612"/>
      <c r="U124" s="612"/>
      <c r="V124" s="612"/>
      <c r="W124" s="612"/>
      <c r="X124" s="612"/>
      <c r="Y124" s="647"/>
    </row>
    <row r="125" spans="1:36" outlineLevel="1" x14ac:dyDescent="0.3">
      <c r="A125" s="850"/>
      <c r="B125" s="851"/>
      <c r="C125" s="851"/>
      <c r="D125" s="851"/>
      <c r="E125" s="851"/>
      <c r="F125" s="851"/>
      <c r="G125" s="851"/>
      <c r="H125" s="851"/>
      <c r="I125" s="851"/>
      <c r="J125" s="851"/>
      <c r="K125" s="851"/>
      <c r="L125" s="851"/>
      <c r="M125" s="851"/>
      <c r="N125" s="851"/>
      <c r="O125" s="851"/>
      <c r="P125" s="851"/>
      <c r="Q125" s="851"/>
      <c r="R125" s="851"/>
      <c r="S125" s="612"/>
      <c r="T125" s="612"/>
      <c r="U125" s="612"/>
      <c r="V125" s="612"/>
      <c r="W125" s="612"/>
      <c r="X125" s="612"/>
      <c r="Y125" s="647"/>
    </row>
    <row r="126" spans="1:36" outlineLevel="1" x14ac:dyDescent="0.3">
      <c r="A126" s="850"/>
      <c r="B126" s="851"/>
      <c r="C126" s="851"/>
      <c r="D126" s="851"/>
      <c r="E126" s="851"/>
      <c r="F126" s="851"/>
      <c r="G126" s="851"/>
      <c r="H126" s="851"/>
      <c r="I126" s="851"/>
      <c r="J126" s="851"/>
      <c r="K126" s="851"/>
      <c r="L126" s="851"/>
      <c r="M126" s="851"/>
      <c r="N126" s="851"/>
      <c r="O126" s="851"/>
      <c r="P126" s="851"/>
      <c r="Q126" s="851"/>
      <c r="R126" s="851"/>
      <c r="S126" s="612"/>
      <c r="T126" s="612"/>
      <c r="U126" s="612"/>
      <c r="V126" s="612"/>
      <c r="W126" s="612"/>
      <c r="X126" s="612"/>
      <c r="Y126" s="647"/>
    </row>
    <row r="127" spans="1:36" outlineLevel="1" x14ac:dyDescent="0.3">
      <c r="A127" s="850"/>
      <c r="B127" s="851"/>
      <c r="C127" s="851"/>
      <c r="D127" s="851"/>
      <c r="E127" s="851"/>
      <c r="F127" s="851"/>
      <c r="G127" s="851"/>
      <c r="H127" s="851"/>
      <c r="I127" s="851"/>
      <c r="J127" s="851"/>
      <c r="K127" s="851"/>
      <c r="L127" s="851"/>
      <c r="M127" s="851"/>
      <c r="N127" s="851"/>
      <c r="O127" s="851"/>
      <c r="P127" s="851"/>
      <c r="Q127" s="851"/>
      <c r="R127" s="851"/>
      <c r="S127" s="612"/>
      <c r="T127" s="612"/>
      <c r="U127" s="612"/>
      <c r="V127" s="612"/>
      <c r="W127" s="612"/>
      <c r="X127" s="612"/>
      <c r="Y127" s="647"/>
    </row>
    <row r="128" spans="1:36" outlineLevel="1" x14ac:dyDescent="0.3">
      <c r="A128" s="850"/>
      <c r="B128" s="851"/>
      <c r="C128" s="851"/>
      <c r="D128" s="851"/>
      <c r="E128" s="851"/>
      <c r="F128" s="851"/>
      <c r="G128" s="851"/>
      <c r="H128" s="851"/>
      <c r="I128" s="851"/>
      <c r="J128" s="851"/>
      <c r="K128" s="851"/>
      <c r="L128" s="851"/>
      <c r="M128" s="851"/>
      <c r="N128" s="851"/>
      <c r="O128" s="851"/>
      <c r="P128" s="851"/>
      <c r="Q128" s="851"/>
      <c r="R128" s="851"/>
      <c r="S128" s="612"/>
      <c r="T128" s="612"/>
      <c r="U128" s="612"/>
      <c r="V128" s="612"/>
      <c r="W128" s="612"/>
      <c r="X128" s="612"/>
      <c r="Y128" s="647"/>
    </row>
    <row r="129" spans="1:25" outlineLevel="1" x14ac:dyDescent="0.3">
      <c r="A129" s="850"/>
      <c r="B129" s="851"/>
      <c r="C129" s="851"/>
      <c r="D129" s="851"/>
      <c r="E129" s="851"/>
      <c r="F129" s="851"/>
      <c r="G129" s="851"/>
      <c r="H129" s="851"/>
      <c r="I129" s="851"/>
      <c r="J129" s="851"/>
      <c r="K129" s="851"/>
      <c r="L129" s="851"/>
      <c r="M129" s="851"/>
      <c r="N129" s="851"/>
      <c r="O129" s="851"/>
      <c r="P129" s="851"/>
      <c r="Q129" s="851"/>
      <c r="R129" s="851"/>
      <c r="S129" s="612"/>
      <c r="T129" s="612"/>
      <c r="U129" s="612"/>
      <c r="V129" s="612"/>
      <c r="W129" s="612"/>
      <c r="X129" s="612"/>
      <c r="Y129" s="647"/>
    </row>
    <row r="130" spans="1:25" outlineLevel="1" x14ac:dyDescent="0.3">
      <c r="A130" s="850"/>
      <c r="B130" s="851"/>
      <c r="C130" s="851"/>
      <c r="D130" s="851"/>
      <c r="E130" s="851"/>
      <c r="F130" s="851"/>
      <c r="G130" s="851"/>
      <c r="H130" s="851"/>
      <c r="I130" s="851"/>
      <c r="J130" s="851"/>
      <c r="K130" s="851"/>
      <c r="L130" s="851"/>
      <c r="M130" s="851"/>
      <c r="N130" s="851"/>
      <c r="O130" s="851"/>
      <c r="P130" s="851"/>
      <c r="Q130" s="851"/>
      <c r="R130" s="851"/>
      <c r="S130" s="612"/>
      <c r="T130" s="612"/>
      <c r="U130" s="612"/>
      <c r="V130" s="612"/>
      <c r="W130" s="612"/>
      <c r="X130" s="612"/>
      <c r="Y130" s="647"/>
    </row>
    <row r="131" spans="1:25" outlineLevel="1" x14ac:dyDescent="0.3">
      <c r="A131" s="850"/>
      <c r="B131" s="851"/>
      <c r="C131" s="851"/>
      <c r="D131" s="851"/>
      <c r="E131" s="851"/>
      <c r="F131" s="851"/>
      <c r="G131" s="851"/>
      <c r="H131" s="851"/>
      <c r="I131" s="851"/>
      <c r="J131" s="851"/>
      <c r="K131" s="851"/>
      <c r="L131" s="851"/>
      <c r="M131" s="851"/>
      <c r="N131" s="851"/>
      <c r="O131" s="851"/>
      <c r="P131" s="851"/>
      <c r="Q131" s="851"/>
      <c r="R131" s="851"/>
      <c r="S131" s="612"/>
      <c r="T131" s="612"/>
      <c r="U131" s="612"/>
      <c r="V131" s="612"/>
      <c r="W131" s="612"/>
      <c r="X131" s="612"/>
      <c r="Y131" s="647"/>
    </row>
    <row r="132" spans="1:25" outlineLevel="1" x14ac:dyDescent="0.3">
      <c r="A132" s="850"/>
      <c r="B132" s="851"/>
      <c r="C132" s="851"/>
      <c r="D132" s="851"/>
      <c r="E132" s="851"/>
      <c r="F132" s="851"/>
      <c r="G132" s="851"/>
      <c r="H132" s="851"/>
      <c r="I132" s="851"/>
      <c r="J132" s="851"/>
      <c r="K132" s="851"/>
      <c r="L132" s="851"/>
      <c r="M132" s="851"/>
      <c r="N132" s="851"/>
      <c r="O132" s="851"/>
      <c r="P132" s="851"/>
      <c r="Q132" s="851"/>
      <c r="R132" s="851"/>
      <c r="S132" s="612"/>
      <c r="T132" s="612"/>
      <c r="U132" s="612"/>
      <c r="V132" s="612"/>
      <c r="W132" s="612"/>
      <c r="X132" s="612"/>
      <c r="Y132" s="647"/>
    </row>
    <row r="133" spans="1:25" outlineLevel="1" x14ac:dyDescent="0.3">
      <c r="A133" s="850"/>
      <c r="B133" s="851"/>
      <c r="C133" s="851"/>
      <c r="D133" s="851"/>
      <c r="E133" s="851"/>
      <c r="F133" s="851"/>
      <c r="G133" s="851"/>
      <c r="H133" s="851"/>
      <c r="I133" s="851"/>
      <c r="J133" s="851"/>
      <c r="K133" s="851"/>
      <c r="L133" s="851"/>
      <c r="M133" s="851"/>
      <c r="N133" s="851"/>
      <c r="O133" s="851"/>
      <c r="P133" s="851"/>
      <c r="Q133" s="851"/>
      <c r="R133" s="851"/>
      <c r="S133" s="612"/>
      <c r="T133" s="612"/>
      <c r="U133" s="612"/>
      <c r="V133" s="612"/>
      <c r="W133" s="612"/>
      <c r="X133" s="612"/>
      <c r="Y133" s="647"/>
    </row>
    <row r="134" spans="1:25" outlineLevel="1" x14ac:dyDescent="0.3">
      <c r="A134" s="850"/>
      <c r="B134" s="851"/>
      <c r="C134" s="851"/>
      <c r="D134" s="851"/>
      <c r="E134" s="851"/>
      <c r="F134" s="851"/>
      <c r="G134" s="851"/>
      <c r="H134" s="851"/>
      <c r="I134" s="851"/>
      <c r="J134" s="851"/>
      <c r="K134" s="851"/>
      <c r="L134" s="851"/>
      <c r="M134" s="851"/>
      <c r="N134" s="851"/>
      <c r="O134" s="851"/>
      <c r="P134" s="851"/>
      <c r="Q134" s="851"/>
      <c r="R134" s="851"/>
      <c r="S134" s="612"/>
      <c r="T134" s="612"/>
      <c r="U134" s="612"/>
      <c r="V134" s="612"/>
      <c r="W134" s="612"/>
      <c r="X134" s="612"/>
      <c r="Y134" s="647"/>
    </row>
    <row r="135" spans="1:25" outlineLevel="1" x14ac:dyDescent="0.3">
      <c r="A135" s="850"/>
      <c r="B135" s="851"/>
      <c r="C135" s="851"/>
      <c r="D135" s="851"/>
      <c r="E135" s="851"/>
      <c r="F135" s="851"/>
      <c r="G135" s="851"/>
      <c r="H135" s="851"/>
      <c r="I135" s="851"/>
      <c r="J135" s="851"/>
      <c r="K135" s="851"/>
      <c r="L135" s="851"/>
      <c r="M135" s="851"/>
      <c r="N135" s="851"/>
      <c r="O135" s="851"/>
      <c r="P135" s="851"/>
      <c r="Q135" s="851"/>
      <c r="R135" s="851"/>
      <c r="S135" s="612"/>
      <c r="T135" s="612"/>
      <c r="U135" s="612"/>
      <c r="V135" s="612"/>
      <c r="W135" s="612"/>
      <c r="X135" s="612"/>
      <c r="Y135" s="647"/>
    </row>
    <row r="136" spans="1:25" outlineLevel="1" x14ac:dyDescent="0.3">
      <c r="A136" s="850"/>
      <c r="B136" s="851"/>
      <c r="C136" s="851"/>
      <c r="D136" s="851"/>
      <c r="E136" s="851"/>
      <c r="F136" s="851"/>
      <c r="G136" s="851"/>
      <c r="H136" s="851"/>
      <c r="I136" s="851"/>
      <c r="J136" s="851"/>
      <c r="K136" s="851"/>
      <c r="L136" s="851"/>
      <c r="M136" s="851"/>
      <c r="N136" s="851"/>
      <c r="O136" s="851"/>
      <c r="P136" s="851"/>
      <c r="Q136" s="851"/>
      <c r="R136" s="851"/>
      <c r="S136" s="612"/>
      <c r="T136" s="612"/>
      <c r="U136" s="612"/>
      <c r="V136" s="612"/>
      <c r="W136" s="612"/>
      <c r="X136" s="612"/>
      <c r="Y136" s="647"/>
    </row>
    <row r="137" spans="1:25" outlineLevel="1" x14ac:dyDescent="0.3">
      <c r="A137" s="850"/>
      <c r="B137" s="851"/>
      <c r="C137" s="851"/>
      <c r="D137" s="851"/>
      <c r="E137" s="851"/>
      <c r="F137" s="851"/>
      <c r="G137" s="851"/>
      <c r="H137" s="851"/>
      <c r="I137" s="851"/>
      <c r="J137" s="851"/>
      <c r="K137" s="851"/>
      <c r="L137" s="851"/>
      <c r="M137" s="851"/>
      <c r="N137" s="851"/>
      <c r="O137" s="851"/>
      <c r="P137" s="851"/>
      <c r="Q137" s="851"/>
      <c r="R137" s="851"/>
      <c r="S137" s="612"/>
      <c r="T137" s="612"/>
      <c r="U137" s="612"/>
      <c r="V137" s="612"/>
      <c r="W137" s="612"/>
      <c r="X137" s="612"/>
      <c r="Y137" s="647"/>
    </row>
    <row r="138" spans="1:25" outlineLevel="1" x14ac:dyDescent="0.3">
      <c r="A138" s="850"/>
      <c r="B138" s="851"/>
      <c r="C138" s="851"/>
      <c r="D138" s="851"/>
      <c r="E138" s="851"/>
      <c r="F138" s="851"/>
      <c r="G138" s="851"/>
      <c r="H138" s="851"/>
      <c r="I138" s="851"/>
      <c r="J138" s="851"/>
      <c r="K138" s="851"/>
      <c r="L138" s="851"/>
      <c r="M138" s="851"/>
      <c r="N138" s="851"/>
      <c r="O138" s="851"/>
      <c r="P138" s="851"/>
      <c r="Q138" s="851"/>
      <c r="R138" s="851"/>
      <c r="S138" s="612"/>
      <c r="T138" s="612"/>
      <c r="U138" s="612"/>
      <c r="V138" s="612"/>
      <c r="W138" s="612"/>
      <c r="X138" s="612"/>
      <c r="Y138" s="647"/>
    </row>
    <row r="139" spans="1:25" outlineLevel="1" x14ac:dyDescent="0.3">
      <c r="A139" s="850"/>
      <c r="B139" s="851"/>
      <c r="C139" s="851"/>
      <c r="D139" s="851"/>
      <c r="E139" s="851"/>
      <c r="F139" s="851"/>
      <c r="G139" s="851"/>
      <c r="H139" s="851"/>
      <c r="I139" s="851"/>
      <c r="J139" s="851"/>
      <c r="K139" s="851"/>
      <c r="L139" s="851"/>
      <c r="M139" s="851"/>
      <c r="N139" s="851"/>
      <c r="O139" s="851"/>
      <c r="P139" s="851"/>
      <c r="Q139" s="851"/>
      <c r="R139" s="851"/>
      <c r="S139" s="612"/>
      <c r="T139" s="612"/>
      <c r="U139" s="612"/>
      <c r="V139" s="612"/>
      <c r="W139" s="612"/>
      <c r="X139" s="612"/>
      <c r="Y139" s="647"/>
    </row>
    <row r="140" spans="1:25" outlineLevel="1" x14ac:dyDescent="0.3">
      <c r="A140" s="850"/>
      <c r="B140" s="851"/>
      <c r="C140" s="851"/>
      <c r="D140" s="851"/>
      <c r="E140" s="851"/>
      <c r="F140" s="851"/>
      <c r="G140" s="851"/>
      <c r="H140" s="851"/>
      <c r="I140" s="851"/>
      <c r="J140" s="851"/>
      <c r="K140" s="851"/>
      <c r="L140" s="851"/>
      <c r="M140" s="851"/>
      <c r="N140" s="851"/>
      <c r="O140" s="851"/>
      <c r="P140" s="851"/>
      <c r="Q140" s="851"/>
      <c r="R140" s="851"/>
      <c r="S140" s="612"/>
      <c r="T140" s="612"/>
      <c r="U140" s="612"/>
      <c r="V140" s="612"/>
      <c r="W140" s="612"/>
      <c r="X140" s="612"/>
      <c r="Y140" s="647"/>
    </row>
    <row r="141" spans="1:25" outlineLevel="1" x14ac:dyDescent="0.3">
      <c r="A141" s="850"/>
      <c r="B141" s="851"/>
      <c r="C141" s="851"/>
      <c r="D141" s="851"/>
      <c r="E141" s="851"/>
      <c r="F141" s="851"/>
      <c r="G141" s="851"/>
      <c r="H141" s="851"/>
      <c r="I141" s="851"/>
      <c r="J141" s="851"/>
      <c r="K141" s="851"/>
      <c r="L141" s="851"/>
      <c r="M141" s="851"/>
      <c r="N141" s="851"/>
      <c r="O141" s="851"/>
      <c r="P141" s="851"/>
      <c r="Q141" s="851"/>
      <c r="R141" s="851"/>
      <c r="S141" s="612"/>
      <c r="T141" s="612"/>
      <c r="U141" s="612"/>
      <c r="V141" s="612"/>
      <c r="W141" s="612"/>
      <c r="X141" s="612"/>
      <c r="Y141" s="647"/>
    </row>
    <row r="142" spans="1:25" outlineLevel="1" x14ac:dyDescent="0.3">
      <c r="A142" s="850"/>
      <c r="B142" s="851"/>
      <c r="C142" s="851"/>
      <c r="D142" s="851"/>
      <c r="E142" s="851"/>
      <c r="F142" s="851"/>
      <c r="G142" s="851"/>
      <c r="H142" s="851"/>
      <c r="I142" s="851"/>
      <c r="J142" s="851"/>
      <c r="K142" s="851"/>
      <c r="L142" s="851"/>
      <c r="M142" s="851"/>
      <c r="N142" s="851"/>
      <c r="O142" s="851"/>
      <c r="P142" s="851"/>
      <c r="Q142" s="851"/>
      <c r="R142" s="851"/>
      <c r="S142" s="612"/>
      <c r="T142" s="612"/>
      <c r="U142" s="612"/>
      <c r="V142" s="612"/>
      <c r="W142" s="612"/>
      <c r="X142" s="612"/>
      <c r="Y142" s="647"/>
    </row>
    <row r="143" spans="1:25" outlineLevel="1" x14ac:dyDescent="0.3">
      <c r="A143" s="850"/>
      <c r="B143" s="851"/>
      <c r="C143" s="851"/>
      <c r="D143" s="851"/>
      <c r="E143" s="851"/>
      <c r="F143" s="851"/>
      <c r="G143" s="851"/>
      <c r="H143" s="851"/>
      <c r="I143" s="851"/>
      <c r="J143" s="851"/>
      <c r="K143" s="851"/>
      <c r="L143" s="851"/>
      <c r="M143" s="851"/>
      <c r="N143" s="851"/>
      <c r="O143" s="851"/>
      <c r="P143" s="851"/>
      <c r="Q143" s="851"/>
      <c r="R143" s="851"/>
      <c r="S143" s="612"/>
      <c r="T143" s="612"/>
      <c r="U143" s="612"/>
      <c r="V143" s="612"/>
      <c r="W143" s="612"/>
      <c r="X143" s="612"/>
      <c r="Y143" s="647"/>
    </row>
    <row r="144" spans="1:25" outlineLevel="1" x14ac:dyDescent="0.3">
      <c r="A144" s="646"/>
      <c r="B144" s="612"/>
      <c r="C144" s="612"/>
      <c r="D144" s="612"/>
      <c r="E144" s="612"/>
      <c r="F144" s="612"/>
      <c r="G144" s="612"/>
      <c r="H144" s="612"/>
      <c r="I144" s="612"/>
      <c r="J144" s="612"/>
      <c r="K144" s="612"/>
      <c r="L144" s="612"/>
      <c r="M144" s="612"/>
      <c r="N144" s="612"/>
      <c r="O144" s="612"/>
      <c r="P144" s="612"/>
      <c r="Q144" s="612"/>
      <c r="R144" s="612"/>
      <c r="S144" s="612"/>
      <c r="T144" s="612"/>
      <c r="U144" s="612"/>
      <c r="V144" s="612"/>
      <c r="W144" s="612"/>
      <c r="X144" s="612"/>
      <c r="Y144" s="647"/>
    </row>
    <row r="145" spans="1:25" outlineLevel="1" x14ac:dyDescent="0.3">
      <c r="A145" s="646"/>
      <c r="B145" s="612"/>
      <c r="C145" s="612"/>
      <c r="D145" s="612"/>
      <c r="E145" s="612"/>
      <c r="F145" s="612"/>
      <c r="G145" s="612"/>
      <c r="H145" s="612"/>
      <c r="I145" s="612"/>
      <c r="J145" s="612"/>
      <c r="K145" s="612"/>
      <c r="L145" s="612"/>
      <c r="M145" s="612"/>
      <c r="N145" s="612"/>
      <c r="O145" s="612"/>
      <c r="P145" s="612"/>
      <c r="Q145" s="612"/>
      <c r="R145" s="612"/>
      <c r="S145" s="612"/>
      <c r="T145" s="612"/>
      <c r="U145" s="612"/>
      <c r="V145" s="612"/>
      <c r="W145" s="612"/>
      <c r="X145" s="612"/>
      <c r="Y145" s="647"/>
    </row>
    <row r="146" spans="1:25" outlineLevel="1" x14ac:dyDescent="0.3">
      <c r="A146" s="646"/>
      <c r="B146" s="612"/>
      <c r="C146" s="612"/>
      <c r="D146" s="612"/>
      <c r="E146" s="612"/>
      <c r="F146" s="612"/>
      <c r="G146" s="612"/>
      <c r="H146" s="612"/>
      <c r="I146" s="612"/>
      <c r="J146" s="612"/>
      <c r="K146" s="612"/>
      <c r="L146" s="612"/>
      <c r="M146" s="612"/>
      <c r="N146" s="612"/>
      <c r="O146" s="612"/>
      <c r="P146" s="612"/>
      <c r="Q146" s="612"/>
      <c r="R146" s="612"/>
      <c r="S146" s="612"/>
      <c r="T146" s="612"/>
      <c r="U146" s="612"/>
      <c r="V146" s="612"/>
      <c r="W146" s="612"/>
      <c r="X146" s="612"/>
      <c r="Y146" s="647"/>
    </row>
    <row r="147" spans="1:25" outlineLevel="1" x14ac:dyDescent="0.3">
      <c r="A147" s="646"/>
      <c r="B147" s="612"/>
      <c r="C147" s="612"/>
      <c r="D147" s="612"/>
      <c r="E147" s="612"/>
      <c r="F147" s="612"/>
      <c r="G147" s="612"/>
      <c r="H147" s="612"/>
      <c r="I147" s="612"/>
      <c r="J147" s="612"/>
      <c r="K147" s="612"/>
      <c r="L147" s="612"/>
      <c r="M147" s="612"/>
      <c r="N147" s="612"/>
      <c r="O147" s="612"/>
      <c r="P147" s="612"/>
      <c r="Q147" s="612"/>
      <c r="R147" s="612"/>
      <c r="S147" s="612"/>
      <c r="T147" s="612"/>
      <c r="U147" s="612"/>
      <c r="V147" s="612"/>
      <c r="W147" s="612"/>
      <c r="X147" s="612"/>
      <c r="Y147" s="647"/>
    </row>
    <row r="148" spans="1:25" outlineLevel="1" x14ac:dyDescent="0.3">
      <c r="A148" s="646"/>
      <c r="B148" s="612"/>
      <c r="C148" s="612"/>
      <c r="D148" s="612"/>
      <c r="E148" s="612"/>
      <c r="F148" s="612"/>
      <c r="G148" s="612"/>
      <c r="H148" s="612"/>
      <c r="I148" s="612"/>
      <c r="J148" s="612"/>
      <c r="K148" s="612"/>
      <c r="L148" s="612"/>
      <c r="M148" s="612"/>
      <c r="N148" s="612"/>
      <c r="O148" s="612"/>
      <c r="P148" s="612"/>
      <c r="Q148" s="612"/>
      <c r="R148" s="612"/>
      <c r="S148" s="612"/>
      <c r="T148" s="612"/>
      <c r="U148" s="612"/>
      <c r="V148" s="612"/>
      <c r="W148" s="612"/>
      <c r="X148" s="612"/>
      <c r="Y148" s="647"/>
    </row>
    <row r="149" spans="1:25" ht="14.5" outlineLevel="1" thickBot="1" x14ac:dyDescent="0.35">
      <c r="A149" s="702"/>
      <c r="B149" s="703"/>
      <c r="C149" s="703"/>
      <c r="D149" s="703"/>
      <c r="E149" s="703"/>
      <c r="F149" s="703"/>
      <c r="G149" s="703"/>
      <c r="H149" s="703"/>
      <c r="I149" s="703"/>
      <c r="J149" s="703"/>
      <c r="K149" s="703"/>
      <c r="L149" s="703"/>
      <c r="M149" s="703"/>
      <c r="N149" s="703"/>
      <c r="O149" s="703"/>
      <c r="P149" s="703"/>
      <c r="Q149" s="703"/>
      <c r="R149" s="703"/>
      <c r="S149" s="703"/>
      <c r="T149" s="703"/>
      <c r="U149" s="703"/>
      <c r="V149" s="703"/>
      <c r="W149" s="703"/>
      <c r="X149" s="703"/>
      <c r="Y149" s="704"/>
    </row>
    <row r="150" spans="1:25" x14ac:dyDescent="0.3">
      <c r="A150" s="1826" t="s">
        <v>383</v>
      </c>
      <c r="B150" s="1826"/>
      <c r="C150" s="1826"/>
      <c r="D150" s="1826"/>
      <c r="E150" s="1826"/>
      <c r="F150" s="1826"/>
      <c r="G150" s="1826"/>
      <c r="H150" s="1826"/>
      <c r="I150" s="1826"/>
      <c r="J150" s="1826"/>
      <c r="K150" s="1826"/>
      <c r="L150" s="1826"/>
      <c r="M150" s="1826"/>
      <c r="N150" s="1826"/>
      <c r="O150" s="1826"/>
      <c r="P150" s="1826"/>
      <c r="Q150" s="1826"/>
      <c r="R150" s="1826"/>
      <c r="S150" s="1826"/>
      <c r="T150" s="1826"/>
      <c r="U150" s="1826"/>
      <c r="V150" s="1826"/>
      <c r="W150" s="1826"/>
      <c r="X150" s="1826"/>
      <c r="Y150" s="1826"/>
    </row>
    <row r="151" spans="1:25" x14ac:dyDescent="0.3">
      <c r="A151" s="1827"/>
      <c r="B151" s="1827"/>
      <c r="C151" s="1827"/>
      <c r="D151" s="1827"/>
      <c r="E151" s="1827"/>
      <c r="F151" s="1827"/>
      <c r="G151" s="1827"/>
      <c r="H151" s="1827"/>
      <c r="I151" s="1827"/>
      <c r="J151" s="1827"/>
      <c r="K151" s="1827"/>
      <c r="L151" s="1827"/>
      <c r="M151" s="1827"/>
      <c r="N151" s="1827"/>
      <c r="O151" s="1827"/>
      <c r="P151" s="1827"/>
      <c r="Q151" s="1827"/>
      <c r="R151" s="1827"/>
      <c r="S151" s="1827"/>
      <c r="T151" s="1827"/>
      <c r="U151" s="1827"/>
      <c r="V151" s="1827"/>
      <c r="W151" s="1827"/>
      <c r="X151" s="1827"/>
      <c r="Y151" s="1827"/>
    </row>
    <row r="152" spans="1:25" s="719" customFormat="1" ht="16.5" customHeight="1" x14ac:dyDescent="0.3">
      <c r="A152" s="1813"/>
      <c r="B152" s="1813"/>
      <c r="C152" s="852"/>
      <c r="D152" s="852"/>
      <c r="E152" s="852"/>
      <c r="F152" s="852"/>
      <c r="G152" s="852"/>
      <c r="H152" s="852"/>
      <c r="I152" s="852"/>
      <c r="J152" s="852"/>
      <c r="K152" s="852"/>
      <c r="L152" s="852"/>
      <c r="M152" s="852"/>
      <c r="N152" s="852"/>
      <c r="O152" s="852"/>
      <c r="P152" s="852"/>
      <c r="Q152" s="852"/>
      <c r="R152" s="852"/>
      <c r="S152" s="852"/>
      <c r="T152" s="852"/>
      <c r="U152" s="852"/>
      <c r="V152" s="852"/>
      <c r="W152" s="852"/>
      <c r="X152" s="852"/>
      <c r="Y152" s="852"/>
    </row>
    <row r="153" spans="1:25" s="719" customFormat="1" ht="16.5" customHeight="1" thickBot="1" x14ac:dyDescent="0.35">
      <c r="A153" s="1950"/>
      <c r="B153" s="1950"/>
      <c r="C153" s="836"/>
      <c r="D153" s="836"/>
      <c r="E153" s="836"/>
      <c r="F153" s="836"/>
      <c r="G153" s="836"/>
      <c r="H153" s="836"/>
      <c r="I153" s="836"/>
      <c r="J153" s="836"/>
      <c r="K153" s="836"/>
      <c r="L153" s="836"/>
      <c r="M153" s="836"/>
      <c r="N153" s="836"/>
      <c r="O153" s="836"/>
      <c r="P153" s="836"/>
      <c r="Q153" s="836"/>
      <c r="R153" s="836"/>
      <c r="S153" s="836"/>
      <c r="T153" s="836"/>
      <c r="U153" s="836"/>
      <c r="V153" s="836"/>
      <c r="W153" s="836"/>
      <c r="X153" s="836"/>
      <c r="Y153" s="836"/>
    </row>
    <row r="154" spans="1:25" ht="16.5" customHeight="1" outlineLevel="1" x14ac:dyDescent="0.3">
      <c r="A154" s="1637" t="s">
        <v>464</v>
      </c>
      <c r="B154" s="1638"/>
      <c r="C154" s="1638"/>
      <c r="D154" s="1638"/>
      <c r="E154" s="1638"/>
      <c r="F154" s="1638"/>
      <c r="G154" s="1638"/>
      <c r="H154" s="1638"/>
      <c r="I154" s="1638"/>
      <c r="J154" s="1638"/>
      <c r="K154" s="1638"/>
      <c r="L154" s="1638"/>
      <c r="M154" s="1638"/>
      <c r="N154" s="1638"/>
      <c r="O154" s="1638"/>
      <c r="P154" s="1638"/>
      <c r="Q154" s="1638"/>
      <c r="R154" s="1638"/>
      <c r="S154" s="1638"/>
      <c r="T154" s="1638"/>
      <c r="U154" s="1638"/>
      <c r="V154" s="1638"/>
      <c r="W154" s="1638"/>
      <c r="X154" s="1638"/>
      <c r="Y154" s="1639"/>
    </row>
    <row r="155" spans="1:25" ht="17.25" customHeight="1" outlineLevel="1" thickBot="1" x14ac:dyDescent="0.35">
      <c r="A155" s="1834"/>
      <c r="B155" s="1835"/>
      <c r="C155" s="1835"/>
      <c r="D155" s="1835"/>
      <c r="E155" s="1835"/>
      <c r="F155" s="1835"/>
      <c r="G155" s="1835"/>
      <c r="H155" s="1835"/>
      <c r="I155" s="1835"/>
      <c r="J155" s="1835"/>
      <c r="K155" s="1835"/>
      <c r="L155" s="1835"/>
      <c r="M155" s="1835"/>
      <c r="N155" s="1835"/>
      <c r="O155" s="1835"/>
      <c r="P155" s="1835"/>
      <c r="Q155" s="1835"/>
      <c r="R155" s="1835"/>
      <c r="S155" s="1835"/>
      <c r="T155" s="1835"/>
      <c r="U155" s="1835"/>
      <c r="V155" s="1835"/>
      <c r="W155" s="1835"/>
      <c r="X155" s="1835"/>
      <c r="Y155" s="1836"/>
    </row>
    <row r="156" spans="1:25" ht="14.5" outlineLevel="1" thickBot="1" x14ac:dyDescent="0.35">
      <c r="A156" s="1814"/>
      <c r="B156" s="1815"/>
      <c r="C156" s="612"/>
      <c r="D156" s="851"/>
      <c r="E156" s="612"/>
      <c r="F156" s="612"/>
      <c r="G156" s="612"/>
      <c r="H156" s="612"/>
      <c r="I156" s="612"/>
      <c r="J156" s="612"/>
      <c r="K156" s="612"/>
      <c r="L156" s="612"/>
      <c r="M156" s="612"/>
      <c r="N156" s="612"/>
      <c r="O156" s="612"/>
      <c r="P156" s="612"/>
      <c r="Q156" s="612"/>
      <c r="R156" s="612"/>
      <c r="S156" s="612"/>
      <c r="T156" s="612"/>
      <c r="U156" s="612"/>
      <c r="V156" s="612"/>
      <c r="W156" s="612"/>
      <c r="X156" s="612"/>
      <c r="Y156" s="647"/>
    </row>
    <row r="157" spans="1:25" ht="21" customHeight="1" outlineLevel="1" x14ac:dyDescent="0.3">
      <c r="A157" s="1849" t="s">
        <v>103</v>
      </c>
      <c r="B157" s="1851" t="str">
        <f>HYPERLINK("#"&amp;ADDRESS(ROW(), COLUMN()-1), "€")</f>
        <v>€</v>
      </c>
      <c r="C157" s="737"/>
      <c r="D157" s="1938" t="str">
        <f>IF(OR($A$157="DRT Rate ($/GJ)", $A$157="Administration Charge ($)"),"Note that the " &amp; $A$157 &amp;" is managed by Direct Energy Regulated Services in both ATCO zones", "")</f>
        <v>Note that the DRT Rate ($/GJ) is managed by Direct Energy Regulated Services in both ATCO zones</v>
      </c>
      <c r="E157" s="1939"/>
      <c r="F157" s="1939"/>
      <c r="G157" s="1939"/>
      <c r="H157" s="1939"/>
      <c r="I157" s="1939"/>
      <c r="J157" s="1939"/>
      <c r="K157" s="1939"/>
      <c r="L157" s="1939"/>
      <c r="M157" s="1939"/>
      <c r="N157" s="1939"/>
      <c r="O157" s="1940"/>
      <c r="P157" s="612"/>
      <c r="Q157" s="612"/>
      <c r="R157" s="612"/>
      <c r="S157" s="612"/>
      <c r="T157" s="612"/>
      <c r="U157" s="612"/>
      <c r="V157" s="612"/>
      <c r="W157" s="612"/>
      <c r="X157" s="612"/>
      <c r="Y157" s="647"/>
    </row>
    <row r="158" spans="1:25" ht="21" customHeight="1" outlineLevel="1" thickBot="1" x14ac:dyDescent="0.35">
      <c r="A158" s="1850"/>
      <c r="B158" s="1852"/>
      <c r="C158" s="612"/>
      <c r="D158" s="1941"/>
      <c r="E158" s="1942"/>
      <c r="F158" s="1942"/>
      <c r="G158" s="1942"/>
      <c r="H158" s="1942"/>
      <c r="I158" s="1942"/>
      <c r="J158" s="1942"/>
      <c r="K158" s="1942"/>
      <c r="L158" s="1942"/>
      <c r="M158" s="1942"/>
      <c r="N158" s="1942"/>
      <c r="O158" s="1943"/>
      <c r="P158" s="612"/>
      <c r="Q158" s="612"/>
      <c r="R158" s="612"/>
      <c r="S158" s="612"/>
      <c r="T158" s="612"/>
      <c r="U158" s="612"/>
      <c r="V158" s="612"/>
      <c r="W158" s="612"/>
      <c r="X158" s="612"/>
      <c r="Y158" s="647"/>
    </row>
    <row r="159" spans="1:25" outlineLevel="1" x14ac:dyDescent="0.3">
      <c r="A159" s="646"/>
      <c r="B159" s="612"/>
      <c r="C159" s="612"/>
      <c r="D159" s="612"/>
      <c r="E159" s="612"/>
      <c r="F159" s="612"/>
      <c r="G159" s="612"/>
      <c r="H159" s="612"/>
      <c r="I159" s="612"/>
      <c r="J159" s="612"/>
      <c r="K159" s="612"/>
      <c r="L159" s="612"/>
      <c r="M159" s="612"/>
      <c r="N159" s="612"/>
      <c r="O159" s="612"/>
      <c r="P159" s="612"/>
      <c r="Q159" s="612"/>
      <c r="R159" s="612"/>
      <c r="S159" s="612"/>
      <c r="T159" s="612"/>
      <c r="U159" s="612"/>
      <c r="V159" s="612"/>
      <c r="W159" s="612"/>
      <c r="X159" s="612"/>
      <c r="Y159" s="647"/>
    </row>
    <row r="160" spans="1:25" outlineLevel="1" x14ac:dyDescent="0.3">
      <c r="A160" s="646"/>
      <c r="B160" s="612"/>
      <c r="C160" s="612"/>
      <c r="D160" s="612"/>
      <c r="E160" s="612"/>
      <c r="F160" s="612"/>
      <c r="G160" s="612"/>
      <c r="H160" s="612"/>
      <c r="I160" s="612"/>
      <c r="J160" s="612"/>
      <c r="K160" s="612"/>
      <c r="L160" s="612"/>
      <c r="M160" s="612"/>
      <c r="N160" s="612"/>
      <c r="O160" s="612"/>
      <c r="P160" s="612"/>
      <c r="Q160" s="612"/>
      <c r="R160" s="612"/>
      <c r="S160" s="612"/>
      <c r="T160" s="612"/>
      <c r="U160" s="612"/>
      <c r="V160" s="612"/>
      <c r="W160" s="612"/>
      <c r="X160" s="612"/>
      <c r="Y160" s="647"/>
    </row>
    <row r="161" spans="1:25" outlineLevel="1" x14ac:dyDescent="0.3">
      <c r="A161" s="646"/>
      <c r="B161" s="612"/>
      <c r="C161" s="612"/>
      <c r="D161" s="612"/>
      <c r="E161" s="612"/>
      <c r="F161" s="612"/>
      <c r="G161" s="612"/>
      <c r="H161" s="612"/>
      <c r="I161" s="612"/>
      <c r="J161" s="612"/>
      <c r="K161" s="612"/>
      <c r="L161" s="612"/>
      <c r="M161" s="612"/>
      <c r="N161" s="612"/>
      <c r="O161" s="612"/>
      <c r="P161" s="612"/>
      <c r="Q161" s="612"/>
      <c r="R161" s="612"/>
      <c r="S161" s="612"/>
      <c r="T161" s="612"/>
      <c r="U161" s="612"/>
      <c r="V161" s="612"/>
      <c r="W161" s="612"/>
      <c r="X161" s="612"/>
      <c r="Y161" s="647"/>
    </row>
    <row r="162" spans="1:25" outlineLevel="1" x14ac:dyDescent="0.3">
      <c r="A162" s="646"/>
      <c r="B162" s="612"/>
      <c r="C162" s="612"/>
      <c r="D162" s="612"/>
      <c r="E162" s="612"/>
      <c r="F162" s="612"/>
      <c r="G162" s="612"/>
      <c r="H162" s="612"/>
      <c r="I162" s="612"/>
      <c r="J162" s="612"/>
      <c r="K162" s="612"/>
      <c r="L162" s="612"/>
      <c r="M162" s="612"/>
      <c r="N162" s="612"/>
      <c r="O162" s="612"/>
      <c r="P162" s="612"/>
      <c r="Q162" s="612"/>
      <c r="R162" s="612"/>
      <c r="S162" s="612"/>
      <c r="T162" s="612"/>
      <c r="U162" s="612"/>
      <c r="V162" s="612"/>
      <c r="W162" s="612"/>
      <c r="X162" s="612"/>
      <c r="Y162" s="647"/>
    </row>
    <row r="163" spans="1:25" outlineLevel="1" x14ac:dyDescent="0.3">
      <c r="A163" s="646"/>
      <c r="B163" s="612"/>
      <c r="C163" s="612"/>
      <c r="D163" s="612"/>
      <c r="E163" s="612"/>
      <c r="F163" s="612"/>
      <c r="G163" s="612"/>
      <c r="H163" s="612"/>
      <c r="I163" s="612"/>
      <c r="J163" s="612"/>
      <c r="K163" s="612"/>
      <c r="L163" s="612"/>
      <c r="M163" s="612"/>
      <c r="N163" s="612"/>
      <c r="O163" s="612"/>
      <c r="P163" s="612"/>
      <c r="Q163" s="612"/>
      <c r="R163" s="612"/>
      <c r="S163" s="612"/>
      <c r="T163" s="612"/>
      <c r="U163" s="612"/>
      <c r="V163" s="612"/>
      <c r="W163" s="612"/>
      <c r="X163" s="612"/>
      <c r="Y163" s="647"/>
    </row>
    <row r="164" spans="1:25" outlineLevel="1" x14ac:dyDescent="0.3">
      <c r="A164" s="646"/>
      <c r="B164" s="612"/>
      <c r="C164" s="612"/>
      <c r="D164" s="612"/>
      <c r="E164" s="612"/>
      <c r="F164" s="612"/>
      <c r="G164" s="612"/>
      <c r="H164" s="612"/>
      <c r="I164" s="612"/>
      <c r="J164" s="612"/>
      <c r="K164" s="612"/>
      <c r="L164" s="612"/>
      <c r="M164" s="612"/>
      <c r="N164" s="612"/>
      <c r="O164" s="612"/>
      <c r="P164" s="612"/>
      <c r="Q164" s="612"/>
      <c r="R164" s="612"/>
      <c r="S164" s="612"/>
      <c r="T164" s="612"/>
      <c r="U164" s="612"/>
      <c r="V164" s="612"/>
      <c r="W164" s="612"/>
      <c r="X164" s="612"/>
      <c r="Y164" s="647"/>
    </row>
    <row r="165" spans="1:25" outlineLevel="1" x14ac:dyDescent="0.3">
      <c r="A165" s="646"/>
      <c r="B165" s="612"/>
      <c r="C165" s="612"/>
      <c r="D165" s="612"/>
      <c r="E165" s="612"/>
      <c r="F165" s="612"/>
      <c r="G165" s="612"/>
      <c r="H165" s="612"/>
      <c r="I165" s="612"/>
      <c r="J165" s="612"/>
      <c r="K165" s="612"/>
      <c r="L165" s="612"/>
      <c r="M165" s="612"/>
      <c r="N165" s="612"/>
      <c r="O165" s="612"/>
      <c r="P165" s="612"/>
      <c r="Q165" s="612"/>
      <c r="R165" s="612"/>
      <c r="S165" s="612"/>
      <c r="T165" s="612"/>
      <c r="U165" s="612"/>
      <c r="V165" s="612"/>
      <c r="W165" s="612"/>
      <c r="X165" s="612"/>
      <c r="Y165" s="647"/>
    </row>
    <row r="166" spans="1:25" outlineLevel="1" x14ac:dyDescent="0.3">
      <c r="A166" s="646"/>
      <c r="B166" s="612"/>
      <c r="C166" s="612"/>
      <c r="D166" s="612"/>
      <c r="E166" s="612"/>
      <c r="F166" s="612"/>
      <c r="G166" s="612"/>
      <c r="H166" s="612"/>
      <c r="I166" s="612"/>
      <c r="J166" s="612"/>
      <c r="K166" s="612"/>
      <c r="L166" s="612"/>
      <c r="M166" s="612"/>
      <c r="N166" s="612"/>
      <c r="O166" s="612"/>
      <c r="P166" s="612"/>
      <c r="Q166" s="612"/>
      <c r="R166" s="612"/>
      <c r="S166" s="612"/>
      <c r="T166" s="612"/>
      <c r="U166" s="612"/>
      <c r="V166" s="612"/>
      <c r="W166" s="612"/>
      <c r="X166" s="612"/>
      <c r="Y166" s="647"/>
    </row>
    <row r="167" spans="1:25" outlineLevel="1" x14ac:dyDescent="0.3">
      <c r="A167" s="646"/>
      <c r="B167" s="612"/>
      <c r="C167" s="612"/>
      <c r="D167" s="612"/>
      <c r="E167" s="612"/>
      <c r="F167" s="612"/>
      <c r="G167" s="612"/>
      <c r="H167" s="612"/>
      <c r="I167" s="612"/>
      <c r="J167" s="612"/>
      <c r="K167" s="612"/>
      <c r="L167" s="612"/>
      <c r="M167" s="612"/>
      <c r="N167" s="612"/>
      <c r="O167" s="612"/>
      <c r="P167" s="612"/>
      <c r="Q167" s="612"/>
      <c r="R167" s="612"/>
      <c r="S167" s="612"/>
      <c r="T167" s="612"/>
      <c r="U167" s="612"/>
      <c r="V167" s="612"/>
      <c r="W167" s="612"/>
      <c r="X167" s="612"/>
      <c r="Y167" s="647"/>
    </row>
    <row r="168" spans="1:25" outlineLevel="1" x14ac:dyDescent="0.3">
      <c r="A168" s="646"/>
      <c r="B168" s="612"/>
      <c r="C168" s="612"/>
      <c r="D168" s="612"/>
      <c r="E168" s="612"/>
      <c r="F168" s="612"/>
      <c r="G168" s="612"/>
      <c r="H168" s="612"/>
      <c r="I168" s="612"/>
      <c r="J168" s="612"/>
      <c r="K168" s="612"/>
      <c r="L168" s="612"/>
      <c r="M168" s="612"/>
      <c r="N168" s="612"/>
      <c r="O168" s="612"/>
      <c r="P168" s="612"/>
      <c r="Q168" s="612"/>
      <c r="R168" s="612"/>
      <c r="S168" s="612"/>
      <c r="T168" s="612"/>
      <c r="U168" s="612"/>
      <c r="V168" s="612"/>
      <c r="W168" s="612"/>
      <c r="X168" s="612"/>
      <c r="Y168" s="647"/>
    </row>
    <row r="169" spans="1:25" outlineLevel="1" x14ac:dyDescent="0.3">
      <c r="A169" s="646"/>
      <c r="B169" s="612"/>
      <c r="C169" s="612"/>
      <c r="D169" s="612"/>
      <c r="E169" s="612"/>
      <c r="F169" s="612"/>
      <c r="G169" s="612"/>
      <c r="H169" s="612"/>
      <c r="I169" s="612"/>
      <c r="J169" s="612"/>
      <c r="K169" s="612"/>
      <c r="L169" s="612"/>
      <c r="M169" s="612"/>
      <c r="N169" s="612"/>
      <c r="O169" s="612"/>
      <c r="P169" s="612"/>
      <c r="Q169" s="612"/>
      <c r="R169" s="612"/>
      <c r="S169" s="612"/>
      <c r="T169" s="612"/>
      <c r="U169" s="612"/>
      <c r="V169" s="612"/>
      <c r="W169" s="612"/>
      <c r="X169" s="612"/>
      <c r="Y169" s="647"/>
    </row>
    <row r="170" spans="1:25" outlineLevel="1" x14ac:dyDescent="0.3">
      <c r="A170" s="646"/>
      <c r="B170" s="612"/>
      <c r="C170" s="612"/>
      <c r="D170" s="612"/>
      <c r="E170" s="612"/>
      <c r="F170" s="612"/>
      <c r="G170" s="612"/>
      <c r="H170" s="612"/>
      <c r="I170" s="612"/>
      <c r="J170" s="612"/>
      <c r="K170" s="612"/>
      <c r="L170" s="612"/>
      <c r="M170" s="612"/>
      <c r="N170" s="612"/>
      <c r="O170" s="612"/>
      <c r="P170" s="612"/>
      <c r="Q170" s="612"/>
      <c r="R170" s="612"/>
      <c r="S170" s="612"/>
      <c r="T170" s="612"/>
      <c r="U170" s="612"/>
      <c r="V170" s="612"/>
      <c r="W170" s="612"/>
      <c r="X170" s="612"/>
      <c r="Y170" s="647"/>
    </row>
    <row r="171" spans="1:25" outlineLevel="1" x14ac:dyDescent="0.3">
      <c r="A171" s="646"/>
      <c r="B171" s="612"/>
      <c r="C171" s="612"/>
      <c r="D171" s="612"/>
      <c r="E171" s="612"/>
      <c r="F171" s="612"/>
      <c r="G171" s="612"/>
      <c r="H171" s="612"/>
      <c r="I171" s="612"/>
      <c r="J171" s="612"/>
      <c r="K171" s="612"/>
      <c r="L171" s="612"/>
      <c r="M171" s="612"/>
      <c r="N171" s="612"/>
      <c r="O171" s="612"/>
      <c r="P171" s="612"/>
      <c r="Q171" s="612"/>
      <c r="R171" s="612"/>
      <c r="S171" s="612"/>
      <c r="T171" s="612"/>
      <c r="U171" s="612"/>
      <c r="V171" s="612"/>
      <c r="W171" s="612"/>
      <c r="X171" s="612"/>
      <c r="Y171" s="647"/>
    </row>
    <row r="172" spans="1:25" outlineLevel="1" x14ac:dyDescent="0.3">
      <c r="A172" s="646"/>
      <c r="B172" s="612"/>
      <c r="C172" s="612"/>
      <c r="D172" s="612"/>
      <c r="E172" s="612"/>
      <c r="F172" s="612"/>
      <c r="G172" s="612"/>
      <c r="H172" s="612"/>
      <c r="I172" s="612"/>
      <c r="J172" s="612"/>
      <c r="K172" s="612"/>
      <c r="L172" s="612"/>
      <c r="M172" s="612"/>
      <c r="N172" s="612"/>
      <c r="O172" s="612"/>
      <c r="P172" s="612"/>
      <c r="Q172" s="612"/>
      <c r="R172" s="612"/>
      <c r="S172" s="612"/>
      <c r="T172" s="612"/>
      <c r="U172" s="612"/>
      <c r="V172" s="612"/>
      <c r="W172" s="612"/>
      <c r="X172" s="612"/>
      <c r="Y172" s="647"/>
    </row>
    <row r="173" spans="1:25" outlineLevel="1" x14ac:dyDescent="0.3">
      <c r="A173" s="646"/>
      <c r="B173" s="612"/>
      <c r="C173" s="612"/>
      <c r="D173" s="612"/>
      <c r="E173" s="612"/>
      <c r="F173" s="612"/>
      <c r="G173" s="612"/>
      <c r="H173" s="612"/>
      <c r="I173" s="612"/>
      <c r="J173" s="612"/>
      <c r="K173" s="612"/>
      <c r="L173" s="612"/>
      <c r="M173" s="612"/>
      <c r="N173" s="612"/>
      <c r="O173" s="612"/>
      <c r="P173" s="612"/>
      <c r="Q173" s="612"/>
      <c r="R173" s="612"/>
      <c r="S173" s="612"/>
      <c r="T173" s="612"/>
      <c r="U173" s="612"/>
      <c r="V173" s="612"/>
      <c r="W173" s="612"/>
      <c r="X173" s="612"/>
      <c r="Y173" s="647"/>
    </row>
    <row r="174" spans="1:25" outlineLevel="1" x14ac:dyDescent="0.3">
      <c r="A174" s="646"/>
      <c r="B174" s="612"/>
      <c r="C174" s="612"/>
      <c r="D174" s="612"/>
      <c r="E174" s="612"/>
      <c r="F174" s="612"/>
      <c r="G174" s="612"/>
      <c r="H174" s="612"/>
      <c r="I174" s="612"/>
      <c r="J174" s="612"/>
      <c r="K174" s="612"/>
      <c r="L174" s="612"/>
      <c r="M174" s="612"/>
      <c r="N174" s="612"/>
      <c r="O174" s="612"/>
      <c r="P174" s="612"/>
      <c r="Q174" s="612"/>
      <c r="R174" s="612"/>
      <c r="S174" s="612"/>
      <c r="T174" s="612"/>
      <c r="U174" s="612"/>
      <c r="V174" s="612"/>
      <c r="W174" s="612"/>
      <c r="X174" s="612"/>
      <c r="Y174" s="647"/>
    </row>
    <row r="175" spans="1:25" outlineLevel="1" x14ac:dyDescent="0.3">
      <c r="A175" s="646"/>
      <c r="B175" s="612"/>
      <c r="C175" s="612"/>
      <c r="D175" s="612"/>
      <c r="E175" s="612"/>
      <c r="F175" s="612"/>
      <c r="G175" s="612"/>
      <c r="H175" s="612"/>
      <c r="I175" s="612"/>
      <c r="J175" s="612"/>
      <c r="K175" s="612"/>
      <c r="L175" s="612"/>
      <c r="M175" s="612"/>
      <c r="N175" s="612"/>
      <c r="O175" s="612"/>
      <c r="P175" s="612"/>
      <c r="Q175" s="612"/>
      <c r="R175" s="612"/>
      <c r="S175" s="612"/>
      <c r="T175" s="612"/>
      <c r="U175" s="612"/>
      <c r="V175" s="612"/>
      <c r="W175" s="612"/>
      <c r="X175" s="612"/>
      <c r="Y175" s="647"/>
    </row>
    <row r="176" spans="1:25" outlineLevel="1" x14ac:dyDescent="0.3">
      <c r="A176" s="646"/>
      <c r="B176" s="612"/>
      <c r="C176" s="612"/>
      <c r="D176" s="612"/>
      <c r="E176" s="612"/>
      <c r="F176" s="612"/>
      <c r="G176" s="612"/>
      <c r="H176" s="612"/>
      <c r="I176" s="612"/>
      <c r="J176" s="612"/>
      <c r="K176" s="612"/>
      <c r="L176" s="612"/>
      <c r="M176" s="612"/>
      <c r="N176" s="612"/>
      <c r="O176" s="612"/>
      <c r="P176" s="612"/>
      <c r="Q176" s="612"/>
      <c r="R176" s="612"/>
      <c r="S176" s="612"/>
      <c r="T176" s="612"/>
      <c r="U176" s="612"/>
      <c r="V176" s="612"/>
      <c r="W176" s="612"/>
      <c r="X176" s="612"/>
      <c r="Y176" s="647"/>
    </row>
    <row r="177" spans="1:25" outlineLevel="1" x14ac:dyDescent="0.3">
      <c r="A177" s="646"/>
      <c r="B177" s="612"/>
      <c r="C177" s="612"/>
      <c r="D177" s="612"/>
      <c r="E177" s="612"/>
      <c r="F177" s="612"/>
      <c r="G177" s="612"/>
      <c r="H177" s="612"/>
      <c r="I177" s="612"/>
      <c r="J177" s="612"/>
      <c r="K177" s="612"/>
      <c r="L177" s="612"/>
      <c r="M177" s="612"/>
      <c r="N177" s="612"/>
      <c r="O177" s="612"/>
      <c r="P177" s="612"/>
      <c r="Q177" s="612"/>
      <c r="R177" s="612"/>
      <c r="S177" s="612"/>
      <c r="T177" s="612"/>
      <c r="U177" s="612"/>
      <c r="V177" s="612"/>
      <c r="W177" s="612"/>
      <c r="X177" s="612"/>
      <c r="Y177" s="647"/>
    </row>
    <row r="178" spans="1:25" outlineLevel="1" x14ac:dyDescent="0.3">
      <c r="A178" s="646"/>
      <c r="B178" s="612"/>
      <c r="C178" s="612"/>
      <c r="D178" s="612"/>
      <c r="E178" s="612"/>
      <c r="F178" s="612"/>
      <c r="G178" s="612"/>
      <c r="H178" s="612"/>
      <c r="I178" s="612"/>
      <c r="J178" s="612"/>
      <c r="K178" s="612"/>
      <c r="L178" s="612"/>
      <c r="M178" s="612"/>
      <c r="N178" s="612"/>
      <c r="O178" s="612"/>
      <c r="P178" s="612"/>
      <c r="Q178" s="612"/>
      <c r="R178" s="612"/>
      <c r="S178" s="612"/>
      <c r="T178" s="612"/>
      <c r="U178" s="612"/>
      <c r="V178" s="612"/>
      <c r="W178" s="612"/>
      <c r="X178" s="612"/>
      <c r="Y178" s="647"/>
    </row>
    <row r="179" spans="1:25" outlineLevel="1" x14ac:dyDescent="0.3">
      <c r="A179" s="646"/>
      <c r="B179" s="612"/>
      <c r="C179" s="612"/>
      <c r="D179" s="612"/>
      <c r="E179" s="612"/>
      <c r="F179" s="612"/>
      <c r="G179" s="612"/>
      <c r="H179" s="612"/>
      <c r="I179" s="612"/>
      <c r="J179" s="612"/>
      <c r="K179" s="612"/>
      <c r="L179" s="612"/>
      <c r="M179" s="612"/>
      <c r="N179" s="612"/>
      <c r="O179" s="612"/>
      <c r="P179" s="612"/>
      <c r="Q179" s="612"/>
      <c r="R179" s="612"/>
      <c r="S179" s="612"/>
      <c r="T179" s="612"/>
      <c r="U179" s="612"/>
      <c r="V179" s="612"/>
      <c r="W179" s="612"/>
      <c r="X179" s="612"/>
      <c r="Y179" s="647"/>
    </row>
    <row r="180" spans="1:25" outlineLevel="1" x14ac:dyDescent="0.3">
      <c r="A180" s="646"/>
      <c r="B180" s="612"/>
      <c r="C180" s="612"/>
      <c r="D180" s="612"/>
      <c r="E180" s="612"/>
      <c r="F180" s="612"/>
      <c r="G180" s="612"/>
      <c r="H180" s="612"/>
      <c r="I180" s="612"/>
      <c r="J180" s="612"/>
      <c r="K180" s="612"/>
      <c r="L180" s="612"/>
      <c r="M180" s="612"/>
      <c r="N180" s="612"/>
      <c r="O180" s="612"/>
      <c r="P180" s="612"/>
      <c r="Q180" s="612"/>
      <c r="R180" s="612"/>
      <c r="S180" s="612"/>
      <c r="T180" s="612"/>
      <c r="U180" s="612"/>
      <c r="V180" s="612"/>
      <c r="W180" s="612"/>
      <c r="X180" s="612"/>
      <c r="Y180" s="647"/>
    </row>
    <row r="181" spans="1:25" outlineLevel="1" x14ac:dyDescent="0.3">
      <c r="A181" s="646"/>
      <c r="B181" s="612"/>
      <c r="C181" s="612"/>
      <c r="D181" s="612"/>
      <c r="E181" s="612"/>
      <c r="F181" s="612"/>
      <c r="G181" s="612"/>
      <c r="H181" s="612"/>
      <c r="I181" s="612"/>
      <c r="J181" s="612"/>
      <c r="K181" s="612"/>
      <c r="L181" s="612"/>
      <c r="M181" s="612"/>
      <c r="N181" s="612"/>
      <c r="O181" s="612"/>
      <c r="P181" s="612"/>
      <c r="Q181" s="612"/>
      <c r="R181" s="612"/>
      <c r="S181" s="612"/>
      <c r="T181" s="612"/>
      <c r="U181" s="612"/>
      <c r="V181" s="612"/>
      <c r="W181" s="612"/>
      <c r="X181" s="612"/>
      <c r="Y181" s="647"/>
    </row>
    <row r="182" spans="1:25" outlineLevel="1" x14ac:dyDescent="0.3">
      <c r="A182" s="646"/>
      <c r="B182" s="612"/>
      <c r="C182" s="612"/>
      <c r="D182" s="612"/>
      <c r="E182" s="612"/>
      <c r="F182" s="612"/>
      <c r="G182" s="612"/>
      <c r="H182" s="612"/>
      <c r="I182" s="612"/>
      <c r="J182" s="612"/>
      <c r="K182" s="612"/>
      <c r="L182" s="612"/>
      <c r="M182" s="612"/>
      <c r="N182" s="612"/>
      <c r="O182" s="612"/>
      <c r="P182" s="612"/>
      <c r="Q182" s="612"/>
      <c r="R182" s="612"/>
      <c r="S182" s="612"/>
      <c r="T182" s="612"/>
      <c r="U182" s="612"/>
      <c r="V182" s="612"/>
      <c r="W182" s="612"/>
      <c r="X182" s="612"/>
      <c r="Y182" s="647"/>
    </row>
    <row r="183" spans="1:25" outlineLevel="1" x14ac:dyDescent="0.3">
      <c r="A183" s="646"/>
      <c r="B183" s="612"/>
      <c r="C183" s="612"/>
      <c r="D183" s="612"/>
      <c r="E183" s="612"/>
      <c r="F183" s="612"/>
      <c r="G183" s="612"/>
      <c r="H183" s="612"/>
      <c r="I183" s="612"/>
      <c r="J183" s="612"/>
      <c r="K183" s="612"/>
      <c r="L183" s="612"/>
      <c r="M183" s="612"/>
      <c r="N183" s="612"/>
      <c r="O183" s="612"/>
      <c r="P183" s="612"/>
      <c r="Q183" s="612"/>
      <c r="R183" s="612"/>
      <c r="S183" s="612"/>
      <c r="T183" s="612"/>
      <c r="U183" s="612"/>
      <c r="V183" s="612"/>
      <c r="W183" s="612"/>
      <c r="X183" s="612"/>
      <c r="Y183" s="647"/>
    </row>
    <row r="184" spans="1:25" outlineLevel="1" x14ac:dyDescent="0.3">
      <c r="A184" s="646"/>
      <c r="B184" s="612"/>
      <c r="C184" s="612"/>
      <c r="D184" s="612"/>
      <c r="E184" s="612"/>
      <c r="F184" s="612"/>
      <c r="G184" s="612"/>
      <c r="H184" s="612"/>
      <c r="I184" s="612"/>
      <c r="J184" s="612"/>
      <c r="K184" s="612"/>
      <c r="L184" s="612"/>
      <c r="M184" s="612"/>
      <c r="N184" s="612"/>
      <c r="O184" s="612"/>
      <c r="P184" s="612"/>
      <c r="Q184" s="612"/>
      <c r="R184" s="612"/>
      <c r="S184" s="612"/>
      <c r="T184" s="612"/>
      <c r="U184" s="612"/>
      <c r="V184" s="612"/>
      <c r="W184" s="612"/>
      <c r="X184" s="612"/>
      <c r="Y184" s="647"/>
    </row>
    <row r="185" spans="1:25" outlineLevel="1" x14ac:dyDescent="0.3">
      <c r="A185" s="646"/>
      <c r="B185" s="612"/>
      <c r="C185" s="612"/>
      <c r="D185" s="612"/>
      <c r="E185" s="612"/>
      <c r="F185" s="612"/>
      <c r="G185" s="612"/>
      <c r="H185" s="612"/>
      <c r="I185" s="612"/>
      <c r="J185" s="612"/>
      <c r="K185" s="612"/>
      <c r="L185" s="612"/>
      <c r="M185" s="612"/>
      <c r="N185" s="612"/>
      <c r="O185" s="612"/>
      <c r="P185" s="612"/>
      <c r="Q185" s="612"/>
      <c r="R185" s="612"/>
      <c r="S185" s="612"/>
      <c r="T185" s="612"/>
      <c r="U185" s="612"/>
      <c r="V185" s="612"/>
      <c r="W185" s="612"/>
      <c r="X185" s="612"/>
      <c r="Y185" s="647"/>
    </row>
    <row r="186" spans="1:25" ht="14.5" outlineLevel="1" thickBot="1" x14ac:dyDescent="0.35">
      <c r="A186" s="702"/>
      <c r="B186" s="703"/>
      <c r="C186" s="703"/>
      <c r="D186" s="703"/>
      <c r="E186" s="703"/>
      <c r="F186" s="703"/>
      <c r="G186" s="703"/>
      <c r="H186" s="703"/>
      <c r="I186" s="703"/>
      <c r="J186" s="703"/>
      <c r="K186" s="703"/>
      <c r="L186" s="703"/>
      <c r="M186" s="703"/>
      <c r="N186" s="703"/>
      <c r="O186" s="703"/>
      <c r="P186" s="703"/>
      <c r="Q186" s="703"/>
      <c r="R186" s="703"/>
      <c r="S186" s="703"/>
      <c r="T186" s="703"/>
      <c r="U186" s="703"/>
      <c r="V186" s="703"/>
      <c r="W186" s="703"/>
      <c r="X186" s="703"/>
      <c r="Y186" s="704"/>
    </row>
    <row r="187" spans="1:25" ht="16.5" customHeight="1" x14ac:dyDescent="0.3">
      <c r="A187" s="1826" t="s">
        <v>460</v>
      </c>
      <c r="B187" s="1826"/>
      <c r="C187" s="1826"/>
      <c r="D187" s="1826"/>
      <c r="E187" s="1826"/>
      <c r="F187" s="1826"/>
      <c r="G187" s="1826"/>
      <c r="H187" s="1826"/>
      <c r="I187" s="1826"/>
      <c r="J187" s="1826"/>
      <c r="K187" s="1826"/>
      <c r="L187" s="1826"/>
      <c r="M187" s="1826"/>
      <c r="N187" s="1826"/>
      <c r="O187" s="1826"/>
      <c r="P187" s="1826"/>
      <c r="Q187" s="1826"/>
      <c r="R187" s="1826"/>
      <c r="S187" s="1826"/>
      <c r="T187" s="1826"/>
      <c r="U187" s="1826"/>
      <c r="V187" s="1826"/>
      <c r="W187" s="1826"/>
      <c r="X187" s="1826"/>
      <c r="Y187" s="1826"/>
    </row>
    <row r="188" spans="1:25" ht="16.5" customHeight="1" x14ac:dyDescent="0.3">
      <c r="A188" s="1827"/>
      <c r="B188" s="1827"/>
      <c r="C188" s="1827"/>
      <c r="D188" s="1827"/>
      <c r="E188" s="1827"/>
      <c r="F188" s="1827"/>
      <c r="G188" s="1827"/>
      <c r="H188" s="1827"/>
      <c r="I188" s="1827"/>
      <c r="J188" s="1827"/>
      <c r="K188" s="1827"/>
      <c r="L188" s="1827"/>
      <c r="M188" s="1827"/>
      <c r="N188" s="1827"/>
      <c r="O188" s="1827"/>
      <c r="P188" s="1827"/>
      <c r="Q188" s="1827"/>
      <c r="R188" s="1827"/>
      <c r="S188" s="1827"/>
      <c r="T188" s="1827"/>
      <c r="U188" s="1827"/>
      <c r="V188" s="1827"/>
      <c r="W188" s="1827"/>
      <c r="X188" s="1827"/>
      <c r="Y188" s="1827"/>
    </row>
    <row r="189" spans="1:25" s="719" customFormat="1" ht="16.5" customHeight="1" x14ac:dyDescent="0.3">
      <c r="A189" s="1813"/>
      <c r="B189" s="1813"/>
      <c r="C189" s="852"/>
      <c r="D189" s="852"/>
      <c r="E189" s="852"/>
      <c r="F189" s="852"/>
      <c r="G189" s="852"/>
      <c r="H189" s="852"/>
      <c r="I189" s="852"/>
      <c r="J189" s="852"/>
      <c r="K189" s="852"/>
      <c r="L189" s="852"/>
      <c r="M189" s="852"/>
      <c r="N189" s="852"/>
      <c r="O189" s="852"/>
      <c r="P189" s="852"/>
      <c r="Q189" s="852"/>
      <c r="R189" s="852"/>
      <c r="S189" s="852"/>
      <c r="T189" s="852"/>
      <c r="U189" s="852"/>
      <c r="V189" s="852"/>
      <c r="W189" s="852"/>
      <c r="X189" s="852"/>
      <c r="Y189" s="852"/>
    </row>
    <row r="190" spans="1:25" ht="14.5" thickBot="1" x14ac:dyDescent="0.35">
      <c r="A190" s="1818"/>
      <c r="B190" s="1818"/>
    </row>
    <row r="191" spans="1:25" ht="16.5" customHeight="1" outlineLevel="1" x14ac:dyDescent="0.3">
      <c r="A191" s="1637" t="s">
        <v>466</v>
      </c>
      <c r="B191" s="1638"/>
      <c r="C191" s="1638"/>
      <c r="D191" s="1638"/>
      <c r="E191" s="1638"/>
      <c r="F191" s="1638"/>
      <c r="G191" s="1638"/>
      <c r="H191" s="1638"/>
      <c r="I191" s="1638"/>
      <c r="J191" s="1638"/>
      <c r="K191" s="1638"/>
      <c r="L191" s="1638"/>
      <c r="M191" s="1638"/>
      <c r="N191" s="1638"/>
      <c r="O191" s="1638"/>
      <c r="P191" s="1638"/>
      <c r="Q191" s="1638"/>
      <c r="R191" s="1638"/>
      <c r="S191" s="1638"/>
      <c r="T191" s="1638"/>
      <c r="U191" s="1638"/>
      <c r="V191" s="1638"/>
      <c r="W191" s="1638"/>
      <c r="X191" s="1638"/>
      <c r="Y191" s="1639"/>
    </row>
    <row r="192" spans="1:25" ht="16.5" customHeight="1" outlineLevel="1" thickBot="1" x14ac:dyDescent="0.35">
      <c r="A192" s="1834"/>
      <c r="B192" s="1835"/>
      <c r="C192" s="1835"/>
      <c r="D192" s="1835"/>
      <c r="E192" s="1835"/>
      <c r="F192" s="1835"/>
      <c r="G192" s="1835"/>
      <c r="H192" s="1835"/>
      <c r="I192" s="1835"/>
      <c r="J192" s="1835"/>
      <c r="K192" s="1835"/>
      <c r="L192" s="1835"/>
      <c r="M192" s="1835"/>
      <c r="N192" s="1835"/>
      <c r="O192" s="1835"/>
      <c r="P192" s="1835"/>
      <c r="Q192" s="1835"/>
      <c r="R192" s="1835"/>
      <c r="S192" s="1835"/>
      <c r="T192" s="1835"/>
      <c r="U192" s="1835"/>
      <c r="V192" s="1835"/>
      <c r="W192" s="1835"/>
      <c r="X192" s="1835"/>
      <c r="Y192" s="1836"/>
    </row>
    <row r="193" spans="1:25" ht="14.5" outlineLevel="1" thickBot="1" x14ac:dyDescent="0.35">
      <c r="A193" s="1814"/>
      <c r="B193" s="1815"/>
      <c r="C193" s="612"/>
      <c r="D193" s="612"/>
      <c r="E193" s="612"/>
      <c r="F193" s="612"/>
      <c r="G193" s="612"/>
      <c r="H193" s="612"/>
      <c r="I193" s="612"/>
      <c r="J193" s="612"/>
      <c r="K193" s="612"/>
      <c r="L193" s="612"/>
      <c r="M193" s="612"/>
      <c r="N193" s="612"/>
      <c r="O193" s="612"/>
      <c r="P193" s="612"/>
      <c r="Q193" s="612"/>
      <c r="R193" s="612"/>
      <c r="S193" s="612"/>
      <c r="T193" s="612"/>
      <c r="U193" s="612"/>
      <c r="V193" s="612"/>
      <c r="W193" s="612"/>
      <c r="X193" s="612"/>
      <c r="Y193" s="647"/>
    </row>
    <row r="194" spans="1:25" ht="20.5" outlineLevel="1" thickBot="1" x14ac:dyDescent="0.45">
      <c r="A194" s="849" t="s">
        <v>100</v>
      </c>
      <c r="B194" s="25" t="str">
        <f>HYPERLINK("#"&amp;ADDRESS(ROW(), COLUMN()-1), "€")</f>
        <v>€</v>
      </c>
      <c r="C194" s="853"/>
      <c r="D194" s="853"/>
      <c r="E194" s="853"/>
      <c r="F194" s="853"/>
      <c r="G194" s="853"/>
      <c r="H194" s="612"/>
      <c r="J194" s="853"/>
      <c r="K194" s="853"/>
      <c r="L194" s="853"/>
      <c r="M194" s="853"/>
      <c r="N194" s="853"/>
      <c r="O194" s="853"/>
      <c r="P194" s="612"/>
      <c r="Q194" s="1840" t="s">
        <v>193</v>
      </c>
      <c r="R194" s="1841"/>
      <c r="S194" s="1842"/>
      <c r="T194" s="1837">
        <v>2012</v>
      </c>
      <c r="U194" s="1838"/>
      <c r="V194" s="1838"/>
      <c r="W194" s="1839"/>
      <c r="X194" s="25" t="str">
        <f>HYPERLINK("#"&amp;ADDRESS(ROW(), COLUMN()-1), "€")</f>
        <v>€</v>
      </c>
      <c r="Y194" s="647"/>
    </row>
    <row r="195" spans="1:25" ht="21" customHeight="1" outlineLevel="1" thickBot="1" x14ac:dyDescent="0.35">
      <c r="A195" s="1934" t="s">
        <v>626</v>
      </c>
      <c r="B195" s="1936" t="str">
        <f>HYPERLINK("#"&amp;ADDRESS(ROW(), COLUMN()-1), "€")</f>
        <v>€</v>
      </c>
      <c r="C195" s="612"/>
      <c r="D195" s="1938" t="str">
        <f>IF(OR($A$195="DRT Rate (Rider F)", LEFT($A$195, 14)="DRT Provider ("), IF($A$194="AltaGas", "", "Note that the " &amp; $A$195 &amp;" is managed by Direct Energy Regulated Services in the " &amp; $A$194 &amp; " Zone"),"")</f>
        <v/>
      </c>
      <c r="E195" s="1939"/>
      <c r="F195" s="1939"/>
      <c r="G195" s="1939"/>
      <c r="H195" s="1939"/>
      <c r="I195" s="1939"/>
      <c r="J195" s="1939"/>
      <c r="K195" s="1939"/>
      <c r="L195" s="1939"/>
      <c r="M195" s="1939"/>
      <c r="N195" s="1939"/>
      <c r="O195" s="1940"/>
      <c r="P195" s="612"/>
      <c r="Q195" s="1840" t="s">
        <v>192</v>
      </c>
      <c r="R195" s="1841"/>
      <c r="S195" s="1842"/>
      <c r="T195" s="1837">
        <v>2019</v>
      </c>
      <c r="U195" s="1838"/>
      <c r="V195" s="1838"/>
      <c r="W195" s="1839"/>
      <c r="X195" s="25" t="str">
        <f>HYPERLINK("#"&amp;ADDRESS(ROW(), COLUMN()-1), "€")</f>
        <v>€</v>
      </c>
      <c r="Y195" s="647"/>
    </row>
    <row r="196" spans="1:25" ht="21" customHeight="1" outlineLevel="1" thickBot="1" x14ac:dyDescent="0.35">
      <c r="A196" s="1935"/>
      <c r="B196" s="1937"/>
      <c r="C196" s="612"/>
      <c r="D196" s="1941"/>
      <c r="E196" s="1942"/>
      <c r="F196" s="1942"/>
      <c r="G196" s="1942"/>
      <c r="H196" s="1942"/>
      <c r="I196" s="1942"/>
      <c r="J196" s="1942"/>
      <c r="K196" s="1942"/>
      <c r="L196" s="1942"/>
      <c r="M196" s="1942"/>
      <c r="N196" s="1942"/>
      <c r="O196" s="1943"/>
      <c r="P196" s="612"/>
      <c r="Q196" s="612"/>
      <c r="R196" s="612"/>
      <c r="S196" s="612"/>
      <c r="T196" s="612"/>
      <c r="U196" s="612"/>
      <c r="V196" s="612"/>
      <c r="W196" s="612"/>
      <c r="X196" s="612"/>
      <c r="Y196" s="647"/>
    </row>
    <row r="197" spans="1:25" outlineLevel="1" x14ac:dyDescent="0.3">
      <c r="A197" s="646"/>
      <c r="B197" s="612"/>
      <c r="C197" s="612"/>
      <c r="D197" s="612"/>
      <c r="E197" s="612"/>
      <c r="F197" s="612"/>
      <c r="G197" s="612"/>
      <c r="H197" s="612"/>
      <c r="I197" s="612"/>
      <c r="J197" s="612"/>
      <c r="K197" s="612"/>
      <c r="L197" s="612"/>
      <c r="M197" s="612"/>
      <c r="N197" s="612"/>
      <c r="O197" s="612"/>
      <c r="P197" s="612"/>
      <c r="Q197" s="612"/>
      <c r="R197" s="612"/>
      <c r="S197" s="612"/>
      <c r="T197" s="612"/>
      <c r="U197" s="612"/>
      <c r="V197" s="612"/>
      <c r="W197" s="612"/>
      <c r="X197" s="612"/>
      <c r="Y197" s="647"/>
    </row>
    <row r="198" spans="1:25" outlineLevel="1" x14ac:dyDescent="0.3">
      <c r="A198" s="646"/>
      <c r="B198" s="612"/>
      <c r="C198" s="612"/>
      <c r="D198" s="612"/>
      <c r="E198" s="612"/>
      <c r="F198" s="612"/>
      <c r="G198" s="612"/>
      <c r="H198" s="612"/>
      <c r="I198" s="612"/>
      <c r="J198" s="612"/>
      <c r="K198" s="612"/>
      <c r="L198" s="612"/>
      <c r="M198" s="612"/>
      <c r="N198" s="612"/>
      <c r="O198" s="612"/>
      <c r="P198" s="612"/>
      <c r="Q198" s="612"/>
      <c r="R198" s="612"/>
      <c r="S198" s="612"/>
      <c r="T198" s="612"/>
      <c r="U198" s="612"/>
      <c r="V198" s="612"/>
      <c r="W198" s="612"/>
      <c r="X198" s="612"/>
      <c r="Y198" s="647"/>
    </row>
    <row r="199" spans="1:25" outlineLevel="1" x14ac:dyDescent="0.3">
      <c r="A199" s="646"/>
      <c r="B199" s="612"/>
      <c r="C199" s="612"/>
      <c r="D199" s="612"/>
      <c r="E199" s="612"/>
      <c r="F199" s="612"/>
      <c r="G199" s="612"/>
      <c r="H199" s="612"/>
      <c r="I199" s="612"/>
      <c r="J199" s="612"/>
      <c r="K199" s="612"/>
      <c r="L199" s="612"/>
      <c r="M199" s="612"/>
      <c r="N199" s="612"/>
      <c r="O199" s="612"/>
      <c r="P199" s="612"/>
      <c r="Q199" s="612"/>
      <c r="R199" s="612"/>
      <c r="S199" s="612"/>
      <c r="T199" s="612"/>
      <c r="U199" s="612"/>
      <c r="V199" s="612"/>
      <c r="W199" s="612"/>
      <c r="X199" s="612"/>
      <c r="Y199" s="647"/>
    </row>
    <row r="200" spans="1:25" outlineLevel="1" x14ac:dyDescent="0.3">
      <c r="A200" s="646"/>
      <c r="B200" s="612"/>
      <c r="C200" s="612"/>
      <c r="D200" s="612"/>
      <c r="E200" s="612"/>
      <c r="F200" s="612"/>
      <c r="G200" s="612"/>
      <c r="H200" s="612"/>
      <c r="I200" s="612"/>
      <c r="J200" s="612"/>
      <c r="K200" s="612"/>
      <c r="L200" s="612"/>
      <c r="M200" s="612"/>
      <c r="N200" s="612"/>
      <c r="O200" s="612"/>
      <c r="P200" s="612"/>
      <c r="Q200" s="612"/>
      <c r="R200" s="612"/>
      <c r="S200" s="612"/>
      <c r="T200" s="612"/>
      <c r="U200" s="612"/>
      <c r="V200" s="612"/>
      <c r="W200" s="612"/>
      <c r="X200" s="612"/>
      <c r="Y200" s="647"/>
    </row>
    <row r="201" spans="1:25" outlineLevel="1" x14ac:dyDescent="0.3">
      <c r="A201" s="646"/>
      <c r="B201" s="612"/>
      <c r="C201" s="612"/>
      <c r="D201" s="612"/>
      <c r="E201" s="612"/>
      <c r="F201" s="612"/>
      <c r="G201" s="612"/>
      <c r="H201" s="612"/>
      <c r="I201" s="612"/>
      <c r="J201" s="612"/>
      <c r="K201" s="612"/>
      <c r="L201" s="612"/>
      <c r="M201" s="612"/>
      <c r="N201" s="612"/>
      <c r="O201" s="612"/>
      <c r="P201" s="612"/>
      <c r="Q201" s="612"/>
      <c r="R201" s="612"/>
      <c r="S201" s="612"/>
      <c r="T201" s="612"/>
      <c r="U201" s="612"/>
      <c r="V201" s="612"/>
      <c r="W201" s="612"/>
      <c r="X201" s="612"/>
      <c r="Y201" s="647"/>
    </row>
    <row r="202" spans="1:25" outlineLevel="1" x14ac:dyDescent="0.3">
      <c r="A202" s="646"/>
      <c r="B202" s="612"/>
      <c r="C202" s="612"/>
      <c r="D202" s="612"/>
      <c r="E202" s="612"/>
      <c r="F202" s="612"/>
      <c r="G202" s="612"/>
      <c r="H202" s="612"/>
      <c r="I202" s="612"/>
      <c r="J202" s="612"/>
      <c r="K202" s="612"/>
      <c r="L202" s="612"/>
      <c r="M202" s="612"/>
      <c r="N202" s="612"/>
      <c r="O202" s="612"/>
      <c r="P202" s="612"/>
      <c r="Q202" s="612"/>
      <c r="R202" s="612"/>
      <c r="S202" s="612"/>
      <c r="T202" s="612"/>
      <c r="U202" s="612"/>
      <c r="V202" s="612"/>
      <c r="W202" s="612"/>
      <c r="X202" s="612"/>
      <c r="Y202" s="647"/>
    </row>
    <row r="203" spans="1:25" outlineLevel="1" x14ac:dyDescent="0.3">
      <c r="A203" s="646"/>
      <c r="B203" s="612"/>
      <c r="C203" s="612"/>
      <c r="D203" s="612"/>
      <c r="E203" s="612"/>
      <c r="F203" s="612"/>
      <c r="G203" s="612"/>
      <c r="H203" s="612"/>
      <c r="I203" s="612"/>
      <c r="J203" s="612"/>
      <c r="K203" s="612"/>
      <c r="L203" s="612"/>
      <c r="M203" s="612"/>
      <c r="N203" s="612"/>
      <c r="O203" s="612"/>
      <c r="P203" s="612"/>
      <c r="Q203" s="612"/>
      <c r="R203" s="612"/>
      <c r="S203" s="612"/>
      <c r="T203" s="612"/>
      <c r="U203" s="612"/>
      <c r="V203" s="612"/>
      <c r="W203" s="612"/>
      <c r="X203" s="612"/>
      <c r="Y203" s="647"/>
    </row>
    <row r="204" spans="1:25" outlineLevel="1" x14ac:dyDescent="0.3">
      <c r="A204" s="646"/>
      <c r="B204" s="612"/>
      <c r="C204" s="612"/>
      <c r="D204" s="612"/>
      <c r="E204" s="612"/>
      <c r="F204" s="612"/>
      <c r="G204" s="612"/>
      <c r="H204" s="612"/>
      <c r="I204" s="612"/>
      <c r="J204" s="612"/>
      <c r="K204" s="612"/>
      <c r="L204" s="612"/>
      <c r="M204" s="612"/>
      <c r="N204" s="612"/>
      <c r="O204" s="612"/>
      <c r="P204" s="612"/>
      <c r="Q204" s="612"/>
      <c r="R204" s="612"/>
      <c r="S204" s="612"/>
      <c r="T204" s="612"/>
      <c r="U204" s="612"/>
      <c r="V204" s="612"/>
      <c r="W204" s="612"/>
      <c r="X204" s="612"/>
      <c r="Y204" s="647"/>
    </row>
    <row r="205" spans="1:25" outlineLevel="1" x14ac:dyDescent="0.3">
      <c r="A205" s="646"/>
      <c r="B205" s="612"/>
      <c r="C205" s="612"/>
      <c r="D205" s="612"/>
      <c r="E205" s="612"/>
      <c r="F205" s="612"/>
      <c r="G205" s="612"/>
      <c r="H205" s="612"/>
      <c r="I205" s="612"/>
      <c r="J205" s="612"/>
      <c r="K205" s="612"/>
      <c r="L205" s="612"/>
      <c r="M205" s="612"/>
      <c r="N205" s="612"/>
      <c r="O205" s="612"/>
      <c r="P205" s="612"/>
      <c r="Q205" s="612"/>
      <c r="R205" s="612"/>
      <c r="S205" s="612"/>
      <c r="T205" s="612"/>
      <c r="U205" s="612"/>
      <c r="V205" s="612"/>
      <c r="W205" s="612"/>
      <c r="X205" s="612"/>
      <c r="Y205" s="647"/>
    </row>
    <row r="206" spans="1:25" outlineLevel="1" x14ac:dyDescent="0.3">
      <c r="A206" s="646"/>
      <c r="B206" s="612"/>
      <c r="C206" s="612"/>
      <c r="D206" s="612"/>
      <c r="E206" s="612"/>
      <c r="F206" s="612"/>
      <c r="G206" s="612"/>
      <c r="H206" s="612"/>
      <c r="I206" s="612"/>
      <c r="J206" s="612"/>
      <c r="K206" s="612"/>
      <c r="L206" s="612"/>
      <c r="M206" s="612"/>
      <c r="N206" s="612"/>
      <c r="O206" s="612"/>
      <c r="P206" s="612"/>
      <c r="Q206" s="612"/>
      <c r="R206" s="612"/>
      <c r="S206" s="612"/>
      <c r="T206" s="612"/>
      <c r="U206" s="612"/>
      <c r="V206" s="612"/>
      <c r="W206" s="612"/>
      <c r="X206" s="612"/>
      <c r="Y206" s="647"/>
    </row>
    <row r="207" spans="1:25" outlineLevel="1" x14ac:dyDescent="0.3">
      <c r="A207" s="646"/>
      <c r="B207" s="612"/>
      <c r="C207" s="612"/>
      <c r="D207" s="612"/>
      <c r="E207" s="612"/>
      <c r="F207" s="612"/>
      <c r="G207" s="612"/>
      <c r="H207" s="612"/>
      <c r="I207" s="612"/>
      <c r="J207" s="612"/>
      <c r="K207" s="612"/>
      <c r="L207" s="612"/>
      <c r="M207" s="612"/>
      <c r="N207" s="612"/>
      <c r="O207" s="612"/>
      <c r="P207" s="612"/>
      <c r="Q207" s="612"/>
      <c r="R207" s="612"/>
      <c r="S207" s="612"/>
      <c r="T207" s="612"/>
      <c r="U207" s="612"/>
      <c r="V207" s="612"/>
      <c r="W207" s="612"/>
      <c r="X207" s="612"/>
      <c r="Y207" s="647"/>
    </row>
    <row r="208" spans="1:25" outlineLevel="1" x14ac:dyDescent="0.3">
      <c r="A208" s="646"/>
      <c r="B208" s="612"/>
      <c r="C208" s="612"/>
      <c r="D208" s="612"/>
      <c r="E208" s="612"/>
      <c r="F208" s="612"/>
      <c r="G208" s="612"/>
      <c r="H208" s="612"/>
      <c r="I208" s="612"/>
      <c r="J208" s="612"/>
      <c r="K208" s="612"/>
      <c r="L208" s="612"/>
      <c r="M208" s="612"/>
      <c r="N208" s="612"/>
      <c r="O208" s="612"/>
      <c r="P208" s="612"/>
      <c r="Q208" s="612"/>
      <c r="R208" s="612"/>
      <c r="S208" s="612"/>
      <c r="T208" s="612"/>
      <c r="U208" s="612"/>
      <c r="V208" s="612"/>
      <c r="W208" s="612"/>
      <c r="X208" s="612"/>
      <c r="Y208" s="647"/>
    </row>
    <row r="209" spans="1:25" outlineLevel="1" x14ac:dyDescent="0.3">
      <c r="A209" s="646"/>
      <c r="B209" s="612"/>
      <c r="C209" s="612"/>
      <c r="D209" s="612"/>
      <c r="E209" s="612"/>
      <c r="F209" s="612"/>
      <c r="G209" s="612"/>
      <c r="H209" s="612"/>
      <c r="I209" s="612"/>
      <c r="J209" s="612"/>
      <c r="K209" s="612"/>
      <c r="L209" s="612"/>
      <c r="M209" s="612"/>
      <c r="N209" s="612"/>
      <c r="O209" s="612"/>
      <c r="P209" s="612"/>
      <c r="Q209" s="612"/>
      <c r="R209" s="612"/>
      <c r="S209" s="612"/>
      <c r="T209" s="612"/>
      <c r="U209" s="612"/>
      <c r="V209" s="612"/>
      <c r="W209" s="612"/>
      <c r="X209" s="612"/>
      <c r="Y209" s="647"/>
    </row>
    <row r="210" spans="1:25" outlineLevel="1" x14ac:dyDescent="0.3">
      <c r="A210" s="646"/>
      <c r="B210" s="612"/>
      <c r="C210" s="612"/>
      <c r="D210" s="612"/>
      <c r="E210" s="612"/>
      <c r="F210" s="612"/>
      <c r="G210" s="612"/>
      <c r="H210" s="612"/>
      <c r="I210" s="612"/>
      <c r="J210" s="612"/>
      <c r="K210" s="612"/>
      <c r="L210" s="612"/>
      <c r="M210" s="612"/>
      <c r="N210" s="612"/>
      <c r="O210" s="612"/>
      <c r="P210" s="612"/>
      <c r="Q210" s="612"/>
      <c r="R210" s="612"/>
      <c r="S210" s="612"/>
      <c r="T210" s="612"/>
      <c r="U210" s="612"/>
      <c r="V210" s="612"/>
      <c r="W210" s="612"/>
      <c r="X210" s="612"/>
      <c r="Y210" s="647"/>
    </row>
    <row r="211" spans="1:25" outlineLevel="1" x14ac:dyDescent="0.3">
      <c r="A211" s="646"/>
      <c r="B211" s="612"/>
      <c r="C211" s="612"/>
      <c r="D211" s="612"/>
      <c r="E211" s="612"/>
      <c r="F211" s="612"/>
      <c r="G211" s="612"/>
      <c r="H211" s="612"/>
      <c r="I211" s="612"/>
      <c r="J211" s="612"/>
      <c r="K211" s="612"/>
      <c r="L211" s="612"/>
      <c r="M211" s="612"/>
      <c r="N211" s="612"/>
      <c r="O211" s="612"/>
      <c r="P211" s="612"/>
      <c r="Q211" s="612"/>
      <c r="R211" s="612"/>
      <c r="S211" s="612"/>
      <c r="T211" s="612"/>
      <c r="U211" s="612"/>
      <c r="V211" s="612"/>
      <c r="W211" s="612"/>
      <c r="X211" s="612"/>
      <c r="Y211" s="647"/>
    </row>
    <row r="212" spans="1:25" outlineLevel="1" x14ac:dyDescent="0.3">
      <c r="A212" s="646"/>
      <c r="B212" s="612"/>
      <c r="C212" s="612"/>
      <c r="D212" s="612"/>
      <c r="E212" s="612"/>
      <c r="F212" s="612"/>
      <c r="G212" s="612"/>
      <c r="H212" s="612"/>
      <c r="I212" s="612"/>
      <c r="J212" s="612"/>
      <c r="K212" s="612"/>
      <c r="L212" s="612"/>
      <c r="M212" s="612"/>
      <c r="N212" s="612"/>
      <c r="O212" s="612"/>
      <c r="P212" s="612"/>
      <c r="Q212" s="612"/>
      <c r="R212" s="612"/>
      <c r="S212" s="612"/>
      <c r="T212" s="612"/>
      <c r="U212" s="612"/>
      <c r="V212" s="612"/>
      <c r="W212" s="612"/>
      <c r="X212" s="612"/>
      <c r="Y212" s="647"/>
    </row>
    <row r="213" spans="1:25" outlineLevel="1" x14ac:dyDescent="0.3">
      <c r="A213" s="646"/>
      <c r="B213" s="612"/>
      <c r="C213" s="612"/>
      <c r="D213" s="612"/>
      <c r="E213" s="612"/>
      <c r="F213" s="612"/>
      <c r="G213" s="612"/>
      <c r="H213" s="612"/>
      <c r="I213" s="612"/>
      <c r="J213" s="612"/>
      <c r="K213" s="612"/>
      <c r="L213" s="612"/>
      <c r="M213" s="612"/>
      <c r="N213" s="612"/>
      <c r="O213" s="612"/>
      <c r="P213" s="612"/>
      <c r="Q213" s="612"/>
      <c r="R213" s="612"/>
      <c r="S213" s="612"/>
      <c r="T213" s="612"/>
      <c r="U213" s="612"/>
      <c r="V213" s="612"/>
      <c r="W213" s="612"/>
      <c r="X213" s="612"/>
      <c r="Y213" s="647"/>
    </row>
    <row r="214" spans="1:25" outlineLevel="1" x14ac:dyDescent="0.3">
      <c r="A214" s="646"/>
      <c r="B214" s="612"/>
      <c r="C214" s="612"/>
      <c r="D214" s="612"/>
      <c r="E214" s="612"/>
      <c r="F214" s="612"/>
      <c r="G214" s="612"/>
      <c r="H214" s="612"/>
      <c r="I214" s="612"/>
      <c r="J214" s="612"/>
      <c r="K214" s="612"/>
      <c r="L214" s="612"/>
      <c r="M214" s="612"/>
      <c r="N214" s="612"/>
      <c r="O214" s="612"/>
      <c r="P214" s="612"/>
      <c r="Q214" s="612"/>
      <c r="R214" s="612"/>
      <c r="S214" s="612"/>
      <c r="T214" s="612"/>
      <c r="U214" s="612"/>
      <c r="V214" s="612"/>
      <c r="W214" s="612"/>
      <c r="X214" s="612"/>
      <c r="Y214" s="647"/>
    </row>
    <row r="215" spans="1:25" outlineLevel="1" x14ac:dyDescent="0.3">
      <c r="A215" s="646"/>
      <c r="B215" s="612"/>
      <c r="C215" s="612"/>
      <c r="D215" s="612"/>
      <c r="E215" s="612"/>
      <c r="F215" s="612"/>
      <c r="G215" s="612"/>
      <c r="H215" s="612"/>
      <c r="I215" s="612"/>
      <c r="J215" s="612"/>
      <c r="K215" s="612"/>
      <c r="L215" s="612"/>
      <c r="M215" s="612"/>
      <c r="N215" s="612"/>
      <c r="O215" s="612"/>
      <c r="P215" s="612"/>
      <c r="Q215" s="612"/>
      <c r="R215" s="612"/>
      <c r="S215" s="612"/>
      <c r="T215" s="612"/>
      <c r="U215" s="612"/>
      <c r="V215" s="612"/>
      <c r="W215" s="612"/>
      <c r="X215" s="612"/>
      <c r="Y215" s="647"/>
    </row>
    <row r="216" spans="1:25" outlineLevel="1" x14ac:dyDescent="0.3">
      <c r="A216" s="646"/>
      <c r="B216" s="612"/>
      <c r="C216" s="612"/>
      <c r="D216" s="612"/>
      <c r="E216" s="612"/>
      <c r="F216" s="612"/>
      <c r="G216" s="612"/>
      <c r="H216" s="612"/>
      <c r="I216" s="612"/>
      <c r="J216" s="612"/>
      <c r="K216" s="612"/>
      <c r="L216" s="612"/>
      <c r="M216" s="612"/>
      <c r="N216" s="612"/>
      <c r="O216" s="612"/>
      <c r="P216" s="612"/>
      <c r="Q216" s="612"/>
      <c r="R216" s="612"/>
      <c r="S216" s="612"/>
      <c r="T216" s="612"/>
      <c r="U216" s="612"/>
      <c r="V216" s="612"/>
      <c r="W216" s="612"/>
      <c r="X216" s="612"/>
      <c r="Y216" s="647"/>
    </row>
    <row r="217" spans="1:25" outlineLevel="1" x14ac:dyDescent="0.3">
      <c r="A217" s="646"/>
      <c r="B217" s="612"/>
      <c r="C217" s="612"/>
      <c r="D217" s="612"/>
      <c r="E217" s="612"/>
      <c r="F217" s="612"/>
      <c r="G217" s="612"/>
      <c r="H217" s="612"/>
      <c r="I217" s="612"/>
      <c r="J217" s="612"/>
      <c r="K217" s="612"/>
      <c r="L217" s="612"/>
      <c r="M217" s="612"/>
      <c r="N217" s="612"/>
      <c r="O217" s="612"/>
      <c r="P217" s="612"/>
      <c r="Q217" s="612"/>
      <c r="R217" s="612"/>
      <c r="S217" s="612"/>
      <c r="T217" s="612"/>
      <c r="U217" s="612"/>
      <c r="V217" s="612"/>
      <c r="W217" s="612"/>
      <c r="X217" s="612"/>
      <c r="Y217" s="647"/>
    </row>
    <row r="218" spans="1:25" outlineLevel="1" x14ac:dyDescent="0.3">
      <c r="A218" s="646"/>
      <c r="B218" s="612"/>
      <c r="C218" s="612"/>
      <c r="D218" s="612"/>
      <c r="E218" s="612"/>
      <c r="F218" s="612"/>
      <c r="G218" s="612"/>
      <c r="H218" s="612"/>
      <c r="I218" s="612"/>
      <c r="J218" s="612"/>
      <c r="K218" s="612"/>
      <c r="L218" s="612"/>
      <c r="M218" s="612"/>
      <c r="N218" s="612"/>
      <c r="O218" s="612"/>
      <c r="P218" s="612"/>
      <c r="Q218" s="612"/>
      <c r="R218" s="612"/>
      <c r="S218" s="612"/>
      <c r="T218" s="612"/>
      <c r="U218" s="612"/>
      <c r="V218" s="612"/>
      <c r="W218" s="612"/>
      <c r="X218" s="612"/>
      <c r="Y218" s="647"/>
    </row>
    <row r="219" spans="1:25" outlineLevel="1" x14ac:dyDescent="0.3">
      <c r="A219" s="646"/>
      <c r="B219" s="612"/>
      <c r="C219" s="612"/>
      <c r="D219" s="612"/>
      <c r="E219" s="612"/>
      <c r="F219" s="612"/>
      <c r="G219" s="612"/>
      <c r="H219" s="612"/>
      <c r="I219" s="612"/>
      <c r="J219" s="612"/>
      <c r="K219" s="612"/>
      <c r="L219" s="612"/>
      <c r="M219" s="612"/>
      <c r="N219" s="612"/>
      <c r="O219" s="612"/>
      <c r="P219" s="612"/>
      <c r="Q219" s="612"/>
      <c r="R219" s="612"/>
      <c r="S219" s="612"/>
      <c r="T219" s="612"/>
      <c r="U219" s="612"/>
      <c r="V219" s="612"/>
      <c r="W219" s="612"/>
      <c r="X219" s="612"/>
      <c r="Y219" s="647"/>
    </row>
    <row r="220" spans="1:25" outlineLevel="1" x14ac:dyDescent="0.3">
      <c r="A220" s="646"/>
      <c r="B220" s="612"/>
      <c r="C220" s="612"/>
      <c r="D220" s="612"/>
      <c r="E220" s="612"/>
      <c r="F220" s="612"/>
      <c r="G220" s="612"/>
      <c r="H220" s="612"/>
      <c r="I220" s="612"/>
      <c r="J220" s="612"/>
      <c r="K220" s="612"/>
      <c r="L220" s="612"/>
      <c r="M220" s="612"/>
      <c r="N220" s="612"/>
      <c r="O220" s="612"/>
      <c r="P220" s="612"/>
      <c r="Q220" s="612"/>
      <c r="R220" s="612"/>
      <c r="S220" s="612"/>
      <c r="T220" s="612"/>
      <c r="U220" s="612"/>
      <c r="V220" s="612"/>
      <c r="W220" s="612"/>
      <c r="X220" s="612"/>
      <c r="Y220" s="647"/>
    </row>
    <row r="221" spans="1:25" outlineLevel="1" x14ac:dyDescent="0.3">
      <c r="A221" s="646"/>
      <c r="B221" s="612"/>
      <c r="C221" s="612"/>
      <c r="D221" s="612"/>
      <c r="E221" s="612"/>
      <c r="F221" s="612"/>
      <c r="G221" s="612"/>
      <c r="H221" s="612"/>
      <c r="I221" s="612"/>
      <c r="J221" s="612"/>
      <c r="K221" s="612"/>
      <c r="L221" s="612"/>
      <c r="M221" s="612"/>
      <c r="N221" s="612"/>
      <c r="O221" s="612"/>
      <c r="P221" s="612"/>
      <c r="Q221" s="612"/>
      <c r="R221" s="612"/>
      <c r="S221" s="612"/>
      <c r="T221" s="612"/>
      <c r="U221" s="612"/>
      <c r="V221" s="612"/>
      <c r="W221" s="612"/>
      <c r="X221" s="612"/>
      <c r="Y221" s="647"/>
    </row>
    <row r="222" spans="1:25" outlineLevel="1" x14ac:dyDescent="0.3">
      <c r="A222" s="646"/>
      <c r="B222" s="612"/>
      <c r="C222" s="612"/>
      <c r="D222" s="612"/>
      <c r="E222" s="612"/>
      <c r="F222" s="612"/>
      <c r="G222" s="612"/>
      <c r="H222" s="612"/>
      <c r="I222" s="612"/>
      <c r="J222" s="612"/>
      <c r="K222" s="612"/>
      <c r="L222" s="612"/>
      <c r="M222" s="612"/>
      <c r="N222" s="612"/>
      <c r="O222" s="612"/>
      <c r="P222" s="612"/>
      <c r="Q222" s="612"/>
      <c r="R222" s="612"/>
      <c r="S222" s="612"/>
      <c r="T222" s="612"/>
      <c r="U222" s="612"/>
      <c r="V222" s="612"/>
      <c r="W222" s="612"/>
      <c r="X222" s="612"/>
      <c r="Y222" s="647"/>
    </row>
    <row r="223" spans="1:25" outlineLevel="1" x14ac:dyDescent="0.3">
      <c r="A223" s="646"/>
      <c r="B223" s="612"/>
      <c r="C223" s="612"/>
      <c r="D223" s="612"/>
      <c r="E223" s="612"/>
      <c r="F223" s="612"/>
      <c r="G223" s="612"/>
      <c r="H223" s="612"/>
      <c r="I223" s="612"/>
      <c r="J223" s="612"/>
      <c r="K223" s="612"/>
      <c r="L223" s="612"/>
      <c r="M223" s="612"/>
      <c r="N223" s="612"/>
      <c r="O223" s="612"/>
      <c r="P223" s="612"/>
      <c r="Q223" s="612"/>
      <c r="R223" s="612"/>
      <c r="S223" s="612"/>
      <c r="T223" s="612"/>
      <c r="U223" s="612"/>
      <c r="V223" s="612"/>
      <c r="W223" s="612"/>
      <c r="X223" s="612"/>
      <c r="Y223" s="647"/>
    </row>
    <row r="224" spans="1:25" outlineLevel="1" x14ac:dyDescent="0.3">
      <c r="A224" s="646"/>
      <c r="B224" s="612"/>
      <c r="C224" s="612"/>
      <c r="D224" s="612"/>
      <c r="E224" s="612"/>
      <c r="F224" s="612"/>
      <c r="G224" s="612"/>
      <c r="H224" s="612"/>
      <c r="I224" s="612"/>
      <c r="J224" s="612"/>
      <c r="K224" s="612"/>
      <c r="L224" s="612"/>
      <c r="M224" s="612"/>
      <c r="N224" s="612"/>
      <c r="O224" s="612"/>
      <c r="P224" s="612"/>
      <c r="Q224" s="612"/>
      <c r="R224" s="612"/>
      <c r="S224" s="612"/>
      <c r="T224" s="612"/>
      <c r="U224" s="612"/>
      <c r="V224" s="612"/>
      <c r="W224" s="612"/>
      <c r="X224" s="612"/>
      <c r="Y224" s="647"/>
    </row>
    <row r="225" spans="1:52" outlineLevel="1" x14ac:dyDescent="0.3">
      <c r="A225" s="646"/>
      <c r="B225" s="612"/>
      <c r="C225" s="612"/>
      <c r="D225" s="612"/>
      <c r="E225" s="612"/>
      <c r="F225" s="612"/>
      <c r="G225" s="612"/>
      <c r="H225" s="612"/>
      <c r="I225" s="612"/>
      <c r="J225" s="612"/>
      <c r="K225" s="612"/>
      <c r="L225" s="612"/>
      <c r="M225" s="612"/>
      <c r="N225" s="612"/>
      <c r="O225" s="612"/>
      <c r="P225" s="612"/>
      <c r="Q225" s="612"/>
      <c r="R225" s="612"/>
      <c r="S225" s="612"/>
      <c r="T225" s="612"/>
      <c r="U225" s="612"/>
      <c r="V225" s="612"/>
      <c r="W225" s="612"/>
      <c r="X225" s="612"/>
      <c r="Y225" s="647"/>
    </row>
    <row r="226" spans="1:52" ht="14.5" outlineLevel="1" thickBot="1" x14ac:dyDescent="0.35">
      <c r="A226" s="702"/>
      <c r="B226" s="703"/>
      <c r="C226" s="703"/>
      <c r="D226" s="703"/>
      <c r="E226" s="703"/>
      <c r="F226" s="703"/>
      <c r="G226" s="703"/>
      <c r="H226" s="703"/>
      <c r="I226" s="703"/>
      <c r="J226" s="703"/>
      <c r="K226" s="703"/>
      <c r="L226" s="703"/>
      <c r="M226" s="703"/>
      <c r="N226" s="703"/>
      <c r="O226" s="703"/>
      <c r="P226" s="703"/>
      <c r="Q226" s="703"/>
      <c r="R226" s="703"/>
      <c r="S226" s="703"/>
      <c r="T226" s="703"/>
      <c r="U226" s="703"/>
      <c r="V226" s="703"/>
      <c r="W226" s="703"/>
      <c r="X226" s="703"/>
      <c r="Y226" s="704"/>
    </row>
    <row r="227" spans="1:52" ht="16.5" customHeight="1" x14ac:dyDescent="0.3">
      <c r="A227" s="1826" t="s">
        <v>462</v>
      </c>
      <c r="B227" s="1826"/>
      <c r="C227" s="1826"/>
      <c r="D227" s="1826"/>
      <c r="E227" s="1826"/>
      <c r="F227" s="1826"/>
      <c r="G227" s="1826"/>
      <c r="H227" s="1826"/>
      <c r="I227" s="1826"/>
      <c r="J227" s="1826"/>
      <c r="K227" s="1826"/>
      <c r="L227" s="1826"/>
      <c r="M227" s="1826"/>
      <c r="N227" s="1826"/>
      <c r="O227" s="1826"/>
      <c r="P227" s="1826"/>
      <c r="Q227" s="1826"/>
      <c r="R227" s="1826"/>
      <c r="S227" s="1826"/>
      <c r="T227" s="1826"/>
      <c r="U227" s="1826"/>
      <c r="V227" s="1826"/>
      <c r="W227" s="1826"/>
      <c r="X227" s="1826"/>
      <c r="Y227" s="1826"/>
    </row>
    <row r="228" spans="1:52" ht="16.5" customHeight="1" x14ac:dyDescent="0.3">
      <c r="A228" s="1827"/>
      <c r="B228" s="1827"/>
      <c r="C228" s="1827"/>
      <c r="D228" s="1827"/>
      <c r="E228" s="1827"/>
      <c r="F228" s="1827"/>
      <c r="G228" s="1827"/>
      <c r="H228" s="1827"/>
      <c r="I228" s="1827"/>
      <c r="J228" s="1827"/>
      <c r="K228" s="1827"/>
      <c r="L228" s="1827"/>
      <c r="M228" s="1827"/>
      <c r="N228" s="1827"/>
      <c r="O228" s="1827"/>
      <c r="P228" s="1827"/>
      <c r="Q228" s="1827"/>
      <c r="R228" s="1827"/>
      <c r="S228" s="1827"/>
      <c r="T228" s="1827"/>
      <c r="U228" s="1827"/>
      <c r="V228" s="1827"/>
      <c r="W228" s="1827"/>
      <c r="X228" s="1827"/>
      <c r="Y228" s="1827"/>
    </row>
    <row r="229" spans="1:52" s="719" customFormat="1" ht="16.5" customHeight="1" x14ac:dyDescent="0.3">
      <c r="A229" s="1813"/>
      <c r="B229" s="1813"/>
      <c r="C229" s="852"/>
      <c r="D229" s="852"/>
      <c r="E229" s="852"/>
      <c r="F229" s="852"/>
      <c r="G229" s="852"/>
      <c r="H229" s="852"/>
      <c r="I229" s="852"/>
      <c r="J229" s="852"/>
      <c r="K229" s="852"/>
      <c r="L229" s="852"/>
      <c r="M229" s="852"/>
      <c r="N229" s="852"/>
      <c r="O229" s="852"/>
      <c r="P229" s="852"/>
      <c r="Q229" s="852"/>
      <c r="R229" s="852"/>
      <c r="S229" s="852"/>
      <c r="T229" s="852"/>
      <c r="U229" s="852"/>
      <c r="V229" s="852"/>
      <c r="W229" s="852"/>
      <c r="X229" s="852"/>
      <c r="Y229" s="852"/>
    </row>
    <row r="230" spans="1:52" ht="14.5" thickBot="1" x14ac:dyDescent="0.35">
      <c r="A230" s="1818"/>
      <c r="B230" s="1818"/>
    </row>
    <row r="231" spans="1:52" ht="30.75" customHeight="1" outlineLevel="1" thickBot="1" x14ac:dyDescent="0.35">
      <c r="A231" s="1774" t="str">
        <f>$A$232 &amp; " Key Metrics"</f>
        <v>ATCO-S Key Metrics</v>
      </c>
      <c r="B231" s="1775"/>
      <c r="C231" s="1775"/>
      <c r="D231" s="1775"/>
      <c r="E231" s="1776"/>
      <c r="F231" s="644"/>
      <c r="G231" s="644"/>
      <c r="H231" s="644"/>
      <c r="I231" s="644"/>
      <c r="J231" s="644"/>
      <c r="K231" s="644"/>
      <c r="L231" s="644"/>
      <c r="M231" s="644"/>
      <c r="N231" s="644"/>
      <c r="O231" s="644"/>
      <c r="P231" s="644"/>
      <c r="Q231" s="644"/>
      <c r="R231" s="644"/>
      <c r="S231" s="644"/>
      <c r="T231" s="644"/>
      <c r="U231" s="644"/>
      <c r="V231" s="644"/>
      <c r="W231" s="644"/>
      <c r="X231" s="644"/>
      <c r="Y231" s="645"/>
    </row>
    <row r="232" spans="1:52" ht="71.25" customHeight="1" outlineLevel="1" thickBot="1" x14ac:dyDescent="0.35">
      <c r="A232" s="888" t="s">
        <v>100</v>
      </c>
      <c r="B232" s="889" t="str">
        <f>HYPERLINK("#"&amp;ADDRESS(ROW(), COLUMN()-1), "€")</f>
        <v>€</v>
      </c>
      <c r="C232" s="854" t="str">
        <f>$A$232&amp; " Total Monthly Bill ($)"</f>
        <v>ATCO-S Total Monthly Bill ($)</v>
      </c>
      <c r="D232" s="649" t="str">
        <f ca="1">INDIRECT("'" &amp; $A$232 &amp; "'!$I$1") &amp; " (GJ)"</f>
        <v>Detached Home Consumption (GJ)</v>
      </c>
      <c r="E232" s="649" t="str">
        <f ca="1">INDIRECT("'" &amp; $A$232 &amp; "'!$N$5") &amp; " ($/GJ)"</f>
        <v>DRT Rate (Rider F) ($/GJ)</v>
      </c>
      <c r="F232" s="612"/>
      <c r="G232" s="612"/>
      <c r="H232" s="612"/>
      <c r="I232" s="612"/>
      <c r="J232" s="612"/>
      <c r="K232" s="612"/>
      <c r="L232" s="612"/>
      <c r="M232" s="612"/>
      <c r="N232" s="612"/>
      <c r="O232" s="612"/>
      <c r="P232" s="612"/>
      <c r="Q232" s="612"/>
      <c r="R232" s="612"/>
      <c r="S232" s="612"/>
      <c r="T232" s="612"/>
      <c r="U232" s="612"/>
      <c r="V232" s="612"/>
      <c r="W232" s="612"/>
      <c r="X232" s="612"/>
      <c r="Y232" s="647"/>
    </row>
    <row r="233" spans="1:52" outlineLevel="1" x14ac:dyDescent="0.3">
      <c r="A233" s="1819">
        <v>40909</v>
      </c>
      <c r="B233" s="1820"/>
      <c r="C233" s="855">
        <f ca="1">VLOOKUP($A233,INDIRECT("'"&amp;$A$232&amp;"'!"&amp;"$A$5:$M$100"),6,FALSE)</f>
        <v>110.67641450594077</v>
      </c>
      <c r="D233" s="856">
        <f ca="1">VLOOKUP($A233,INDIRECT("'"&amp;$A$232&amp;"'!"&amp;"$A$5:$M$100"),3,FALSE)</f>
        <v>16.955826922722459</v>
      </c>
      <c r="E233" s="857">
        <f ca="1">VLOOKUP($A233,INDIRECT("'"&amp;$A$232&amp;"'!"&amp;"$A$5:$N$100"),14,FALSE)</f>
        <v>2.9569999999999999</v>
      </c>
      <c r="F233" s="612"/>
      <c r="G233" s="612"/>
      <c r="H233" s="612"/>
      <c r="I233" s="612"/>
      <c r="J233" s="612"/>
      <c r="K233" s="612"/>
      <c r="L233" s="612"/>
      <c r="M233" s="612"/>
      <c r="N233" s="612"/>
      <c r="O233" s="612"/>
      <c r="P233" s="612"/>
      <c r="Q233" s="612"/>
      <c r="R233" s="612"/>
      <c r="S233" s="612"/>
      <c r="T233" s="612"/>
      <c r="U233" s="612"/>
      <c r="V233" s="612"/>
      <c r="W233" s="612"/>
      <c r="X233" s="612"/>
      <c r="Y233" s="647"/>
    </row>
    <row r="234" spans="1:52" outlineLevel="1" x14ac:dyDescent="0.3">
      <c r="A234" s="1811">
        <v>40940</v>
      </c>
      <c r="B234" s="1812"/>
      <c r="C234" s="855">
        <f t="shared" ref="C234:C297" ca="1" si="2">VLOOKUP($A234,INDIRECT("'"&amp;$A$232&amp;"'!"&amp;"$A$5:$M$100"),6,FALSE)</f>
        <v>86.080388053429772</v>
      </c>
      <c r="D234" s="856">
        <f t="shared" ref="D234:D297" ca="1" si="3">VLOOKUP($A234,INDIRECT("'"&amp;$A$232&amp;"'!"&amp;"$A$5:$M$100"),3,FALSE)</f>
        <v>15.590669862509053</v>
      </c>
      <c r="E234" s="857">
        <f t="shared" ref="E234:E297" ca="1" si="4">VLOOKUP($A234,INDIRECT("'"&amp;$A$232&amp;"'!"&amp;"$A$5:$N$100"),14,FALSE)</f>
        <v>2.0640000000000001</v>
      </c>
      <c r="F234" s="612"/>
      <c r="G234" s="612"/>
      <c r="H234" s="612"/>
      <c r="I234" s="612"/>
      <c r="J234" s="612"/>
      <c r="K234" s="612"/>
      <c r="L234" s="612"/>
      <c r="M234" s="612"/>
      <c r="N234" s="612"/>
      <c r="O234" s="612"/>
      <c r="P234" s="612"/>
      <c r="Q234" s="612"/>
      <c r="R234" s="612"/>
      <c r="S234" s="612"/>
      <c r="T234" s="612"/>
      <c r="U234" s="612"/>
      <c r="V234" s="612"/>
      <c r="W234" s="612"/>
      <c r="X234" s="612"/>
      <c r="Y234" s="647"/>
    </row>
    <row r="235" spans="1:52" outlineLevel="1" x14ac:dyDescent="0.3">
      <c r="A235" s="1811">
        <v>40969</v>
      </c>
      <c r="B235" s="1812"/>
      <c r="C235" s="855">
        <f t="shared" ca="1" si="2"/>
        <v>78.268348726027085</v>
      </c>
      <c r="D235" s="856">
        <f t="shared" ca="1" si="3"/>
        <v>12.508593180345372</v>
      </c>
      <c r="E235" s="857">
        <f t="shared" ca="1" si="4"/>
        <v>2.0990000000000002</v>
      </c>
      <c r="F235" s="612"/>
      <c r="G235" s="612"/>
      <c r="H235" s="612"/>
      <c r="I235" s="612"/>
      <c r="J235" s="612"/>
      <c r="K235" s="612"/>
      <c r="L235" s="612"/>
      <c r="M235" s="612"/>
      <c r="N235" s="612"/>
      <c r="O235" s="612"/>
      <c r="P235" s="612"/>
      <c r="Q235" s="612"/>
      <c r="R235" s="612"/>
      <c r="S235" s="612"/>
      <c r="T235" s="612"/>
      <c r="U235" s="612"/>
      <c r="V235" s="612"/>
      <c r="W235" s="612"/>
      <c r="X235" s="612"/>
      <c r="Y235" s="647"/>
    </row>
    <row r="236" spans="1:52" outlineLevel="1" x14ac:dyDescent="0.3">
      <c r="A236" s="1811">
        <v>41000</v>
      </c>
      <c r="B236" s="1812"/>
      <c r="C236" s="855">
        <f t="shared" ca="1" si="2"/>
        <v>62.98083944570196</v>
      </c>
      <c r="D236" s="856">
        <f t="shared" ca="1" si="3"/>
        <v>9.733329308349191</v>
      </c>
      <c r="E236" s="857">
        <f t="shared" ca="1" si="4"/>
        <v>1.7</v>
      </c>
      <c r="F236" s="612"/>
      <c r="G236" s="612"/>
      <c r="H236" s="612"/>
      <c r="I236" s="612"/>
      <c r="J236" s="612"/>
      <c r="K236" s="612"/>
      <c r="L236" s="612"/>
      <c r="M236" s="612"/>
      <c r="N236" s="612"/>
      <c r="O236" s="612"/>
      <c r="P236" s="612"/>
      <c r="Q236" s="612"/>
      <c r="R236" s="612"/>
      <c r="S236" s="612"/>
      <c r="T236" s="612"/>
      <c r="U236" s="612"/>
      <c r="V236" s="612"/>
      <c r="W236" s="612"/>
      <c r="X236" s="612"/>
      <c r="Y236" s="647"/>
    </row>
    <row r="237" spans="1:52" outlineLevel="1" x14ac:dyDescent="0.3">
      <c r="A237" s="1811">
        <v>41030</v>
      </c>
      <c r="B237" s="1812"/>
      <c r="C237" s="855">
        <f t="shared" ca="1" si="2"/>
        <v>46.952203773786366</v>
      </c>
      <c r="D237" s="856">
        <f t="shared" ca="1" si="3"/>
        <v>6.8593521950446235</v>
      </c>
      <c r="E237" s="857">
        <f t="shared" ca="1" si="4"/>
        <v>1.331</v>
      </c>
      <c r="F237" s="612"/>
      <c r="G237" s="612"/>
      <c r="H237" s="612"/>
      <c r="I237" s="612"/>
      <c r="J237" s="612"/>
      <c r="K237" s="612"/>
      <c r="L237" s="612"/>
      <c r="M237" s="612"/>
      <c r="N237" s="612"/>
      <c r="O237" s="612"/>
      <c r="P237" s="612"/>
      <c r="Q237" s="612"/>
      <c r="R237" s="612"/>
      <c r="S237" s="612"/>
      <c r="T237" s="612"/>
      <c r="U237" s="612"/>
      <c r="V237" s="612"/>
      <c r="W237" s="612"/>
      <c r="X237" s="612"/>
      <c r="Y237" s="647"/>
    </row>
    <row r="238" spans="1:52" outlineLevel="1" x14ac:dyDescent="0.3">
      <c r="A238" s="1811">
        <v>41061</v>
      </c>
      <c r="B238" s="1812"/>
      <c r="C238" s="855">
        <f t="shared" ca="1" si="2"/>
        <v>44.109626167421865</v>
      </c>
      <c r="D238" s="856">
        <f t="shared" ca="1" si="3"/>
        <v>3.7578718591467029</v>
      </c>
      <c r="E238" s="857">
        <f t="shared" ca="1" si="4"/>
        <v>2.7480000000000002</v>
      </c>
      <c r="F238" s="612"/>
      <c r="G238" s="612"/>
      <c r="H238" s="612"/>
      <c r="I238" s="612"/>
      <c r="J238" s="612"/>
      <c r="K238" s="612"/>
      <c r="L238" s="612"/>
      <c r="M238" s="612"/>
      <c r="N238" s="612"/>
      <c r="O238" s="612"/>
      <c r="P238" s="612"/>
      <c r="Q238" s="612"/>
      <c r="R238" s="612"/>
      <c r="S238" s="612"/>
      <c r="T238" s="612"/>
      <c r="U238" s="612"/>
      <c r="V238" s="612"/>
      <c r="W238" s="612"/>
      <c r="X238" s="612"/>
      <c r="Y238" s="647"/>
    </row>
    <row r="239" spans="1:52" outlineLevel="1" x14ac:dyDescent="0.3">
      <c r="A239" s="1811">
        <v>41091</v>
      </c>
      <c r="B239" s="1812"/>
      <c r="C239" s="855">
        <f t="shared" ca="1" si="2"/>
        <v>38.572839005636759</v>
      </c>
      <c r="D239" s="856">
        <f t="shared" ca="1" si="3"/>
        <v>2.6288830750628787</v>
      </c>
      <c r="E239" s="857">
        <f t="shared" ca="1" si="4"/>
        <v>2.21</v>
      </c>
      <c r="F239" s="612"/>
      <c r="G239" s="612"/>
      <c r="H239" s="612"/>
      <c r="I239" s="612"/>
      <c r="J239" s="612"/>
      <c r="K239" s="612"/>
      <c r="L239" s="612"/>
      <c r="M239" s="612"/>
      <c r="N239" s="612"/>
      <c r="O239" s="612"/>
      <c r="P239" s="612"/>
      <c r="Q239" s="612"/>
      <c r="R239" s="612"/>
      <c r="S239" s="612"/>
      <c r="T239" s="612"/>
      <c r="U239" s="612"/>
      <c r="V239" s="612"/>
      <c r="W239" s="612"/>
      <c r="X239" s="612"/>
      <c r="Y239" s="647"/>
    </row>
    <row r="240" spans="1:52" outlineLevel="1" x14ac:dyDescent="0.3">
      <c r="A240" s="1811">
        <v>41122</v>
      </c>
      <c r="B240" s="1812"/>
      <c r="C240" s="855">
        <f t="shared" ca="1" si="2"/>
        <v>40.686379568978985</v>
      </c>
      <c r="D240" s="856">
        <f t="shared" ca="1" si="3"/>
        <v>3.0892805662191671</v>
      </c>
      <c r="E240" s="857">
        <f t="shared" ca="1" si="4"/>
        <v>2.1859999999999999</v>
      </c>
      <c r="F240" s="612"/>
      <c r="G240" s="612"/>
      <c r="H240" s="612"/>
      <c r="I240" s="612"/>
      <c r="J240" s="612"/>
      <c r="K240" s="612"/>
      <c r="L240" s="612"/>
      <c r="M240" s="612"/>
      <c r="N240" s="612"/>
      <c r="O240" s="612"/>
      <c r="P240" s="612"/>
      <c r="Q240" s="612"/>
      <c r="R240" s="612"/>
      <c r="S240" s="612"/>
      <c r="T240" s="612"/>
      <c r="U240" s="612"/>
      <c r="V240" s="612"/>
      <c r="W240" s="612"/>
      <c r="X240" s="612"/>
      <c r="Y240" s="647"/>
      <c r="AW240" s="612"/>
      <c r="AX240" s="612"/>
      <c r="AY240" s="612"/>
      <c r="AZ240" s="612"/>
    </row>
    <row r="241" spans="1:52" outlineLevel="1" x14ac:dyDescent="0.3">
      <c r="A241" s="1811">
        <v>41153</v>
      </c>
      <c r="B241" s="1812"/>
      <c r="C241" s="855">
        <f t="shared" ca="1" si="2"/>
        <v>38.62200654168484</v>
      </c>
      <c r="D241" s="856">
        <f t="shared" ca="1" si="3"/>
        <v>3.2815686387127947</v>
      </c>
      <c r="E241" s="857">
        <f t="shared" ca="1" si="4"/>
        <v>1.7010000000000001</v>
      </c>
      <c r="F241" s="612"/>
      <c r="G241" s="612"/>
      <c r="H241" s="612"/>
      <c r="I241" s="612"/>
      <c r="J241" s="612"/>
      <c r="K241" s="612"/>
      <c r="L241" s="612"/>
      <c r="M241" s="612"/>
      <c r="N241" s="612"/>
      <c r="O241" s="612"/>
      <c r="P241" s="612"/>
      <c r="Q241" s="612"/>
      <c r="R241" s="612"/>
      <c r="S241" s="612"/>
      <c r="T241" s="612"/>
      <c r="U241" s="612"/>
      <c r="V241" s="612"/>
      <c r="W241" s="612"/>
      <c r="X241" s="612"/>
      <c r="Y241" s="647"/>
      <c r="AW241" s="612"/>
      <c r="AX241" s="612"/>
      <c r="AY241" s="612"/>
      <c r="AZ241" s="612"/>
    </row>
    <row r="242" spans="1:52" outlineLevel="1" x14ac:dyDescent="0.3">
      <c r="A242" s="1811">
        <v>41183</v>
      </c>
      <c r="B242" s="1812"/>
      <c r="C242" s="855">
        <f t="shared" ca="1" si="2"/>
        <v>81.728995934687759</v>
      </c>
      <c r="D242" s="856">
        <f t="shared" ca="1" si="3"/>
        <v>12.414546391241233</v>
      </c>
      <c r="E242" s="857">
        <f t="shared" ca="1" si="4"/>
        <v>2.5830000000000002</v>
      </c>
      <c r="F242" s="612"/>
      <c r="G242" s="612"/>
      <c r="H242" s="612"/>
      <c r="I242" s="612"/>
      <c r="J242" s="612"/>
      <c r="K242" s="612"/>
      <c r="L242" s="612"/>
      <c r="M242" s="612"/>
      <c r="N242" s="612"/>
      <c r="O242" s="612"/>
      <c r="P242" s="612"/>
      <c r="Q242" s="612"/>
      <c r="R242" s="612"/>
      <c r="S242" s="612"/>
      <c r="T242" s="612"/>
      <c r="U242" s="612"/>
      <c r="V242" s="612"/>
      <c r="W242" s="612"/>
      <c r="X242" s="612"/>
      <c r="Y242" s="647"/>
      <c r="AW242" s="612"/>
      <c r="AX242" s="612"/>
      <c r="AY242" s="612"/>
      <c r="AZ242" s="612"/>
    </row>
    <row r="243" spans="1:52" outlineLevel="1" x14ac:dyDescent="0.3">
      <c r="A243" s="1811">
        <v>41214</v>
      </c>
      <c r="B243" s="1812"/>
      <c r="C243" s="855">
        <f t="shared" ca="1" si="2"/>
        <v>114.62678198383027</v>
      </c>
      <c r="D243" s="856">
        <f t="shared" ca="1" si="3"/>
        <v>16.022770401470297</v>
      </c>
      <c r="E243" s="857">
        <f t="shared" ca="1" si="4"/>
        <v>3.573</v>
      </c>
      <c r="F243" s="612"/>
      <c r="G243" s="612"/>
      <c r="H243" s="612"/>
      <c r="I243" s="612"/>
      <c r="J243" s="612"/>
      <c r="K243" s="612"/>
      <c r="L243" s="612"/>
      <c r="M243" s="612"/>
      <c r="N243" s="612"/>
      <c r="O243" s="612"/>
      <c r="P243" s="612"/>
      <c r="Q243" s="612"/>
      <c r="R243" s="612"/>
      <c r="S243" s="612"/>
      <c r="T243" s="612"/>
      <c r="U243" s="612"/>
      <c r="V243" s="612"/>
      <c r="W243" s="612"/>
      <c r="X243" s="612"/>
      <c r="Y243" s="647"/>
      <c r="AW243" s="612"/>
      <c r="AX243" s="612"/>
      <c r="AY243" s="612"/>
      <c r="AZ243" s="612"/>
    </row>
    <row r="244" spans="1:52" outlineLevel="1" x14ac:dyDescent="0.3">
      <c r="A244" s="1944">
        <v>41244</v>
      </c>
      <c r="B244" s="1945"/>
      <c r="C244" s="855">
        <f t="shared" ca="1" si="2"/>
        <v>135.87316923267124</v>
      </c>
      <c r="D244" s="856">
        <f t="shared" ca="1" si="3"/>
        <v>21.388281285725743</v>
      </c>
      <c r="E244" s="863">
        <f t="shared" ca="1" si="4"/>
        <v>3.5419999999999998</v>
      </c>
      <c r="F244" s="612"/>
      <c r="G244" s="612"/>
      <c r="H244" s="612"/>
      <c r="I244" s="612"/>
      <c r="J244" s="612"/>
      <c r="K244" s="612"/>
      <c r="L244" s="612"/>
      <c r="M244" s="612"/>
      <c r="N244" s="612"/>
      <c r="O244" s="612"/>
      <c r="P244" s="612"/>
      <c r="Q244" s="612"/>
      <c r="R244" s="612"/>
      <c r="S244" s="612"/>
      <c r="T244" s="612"/>
      <c r="U244" s="612"/>
      <c r="V244" s="612"/>
      <c r="W244" s="612"/>
      <c r="X244" s="612"/>
      <c r="Y244" s="647"/>
      <c r="AW244" s="612"/>
      <c r="AX244" s="612"/>
      <c r="AY244" s="612"/>
      <c r="AZ244" s="612"/>
    </row>
    <row r="245" spans="1:52" outlineLevel="1" x14ac:dyDescent="0.3">
      <c r="A245" s="1946">
        <v>41275</v>
      </c>
      <c r="B245" s="1947"/>
      <c r="C245" s="858">
        <f t="shared" ca="1" si="2"/>
        <v>118.84553489725054</v>
      </c>
      <c r="D245" s="859">
        <f t="shared" ca="1" si="3"/>
        <v>17.728016094174261</v>
      </c>
      <c r="E245" s="857">
        <f t="shared" ca="1" si="4"/>
        <v>2.9169999999999998</v>
      </c>
      <c r="F245" s="612"/>
      <c r="G245" s="612"/>
      <c r="H245" s="612"/>
      <c r="I245" s="612"/>
      <c r="J245" s="612"/>
      <c r="K245" s="612"/>
      <c r="L245" s="612"/>
      <c r="M245" s="612"/>
      <c r="N245" s="612"/>
      <c r="O245" s="612"/>
      <c r="P245" s="612"/>
      <c r="Q245" s="612"/>
      <c r="R245" s="612"/>
      <c r="S245" s="612"/>
      <c r="T245" s="612"/>
      <c r="U245" s="612"/>
      <c r="V245" s="612"/>
      <c r="W245" s="612"/>
      <c r="X245" s="612"/>
      <c r="Y245" s="647"/>
      <c r="AW245" s="612"/>
      <c r="AX245" s="612"/>
      <c r="AY245" s="612"/>
      <c r="AZ245" s="612"/>
    </row>
    <row r="246" spans="1:52" outlineLevel="1" x14ac:dyDescent="0.3">
      <c r="A246" s="1811">
        <v>41306</v>
      </c>
      <c r="B246" s="1812"/>
      <c r="C246" s="855">
        <f t="shared" ca="1" si="2"/>
        <v>97.593078533749576</v>
      </c>
      <c r="D246" s="856">
        <f t="shared" ca="1" si="3"/>
        <v>12.907658869082555</v>
      </c>
      <c r="E246" s="857">
        <f t="shared" ca="1" si="4"/>
        <v>3.2530000000000001</v>
      </c>
      <c r="F246" s="612"/>
      <c r="G246" s="612"/>
      <c r="H246" s="612"/>
      <c r="I246" s="612"/>
      <c r="J246" s="612"/>
      <c r="K246" s="612"/>
      <c r="L246" s="612"/>
      <c r="M246" s="612"/>
      <c r="N246" s="612"/>
      <c r="O246" s="612"/>
      <c r="P246" s="612"/>
      <c r="Q246" s="612"/>
      <c r="R246" s="612"/>
      <c r="S246" s="612"/>
      <c r="T246" s="612"/>
      <c r="U246" s="612"/>
      <c r="V246" s="612"/>
      <c r="W246" s="612"/>
      <c r="X246" s="612"/>
      <c r="Y246" s="647"/>
      <c r="AW246" s="612"/>
      <c r="AX246" s="612"/>
      <c r="AY246" s="612"/>
      <c r="AZ246" s="612"/>
    </row>
    <row r="247" spans="1:52" outlineLevel="1" x14ac:dyDescent="0.3">
      <c r="A247" s="1811">
        <v>41334</v>
      </c>
      <c r="B247" s="1812"/>
      <c r="C247" s="855">
        <f t="shared" ca="1" si="2"/>
        <v>106.07401798897844</v>
      </c>
      <c r="D247" s="856">
        <f t="shared" ca="1" si="3"/>
        <v>15.132218796418558</v>
      </c>
      <c r="E247" s="857">
        <f t="shared" ca="1" si="4"/>
        <v>2.8439999999999999</v>
      </c>
      <c r="F247" s="612"/>
      <c r="G247" s="612"/>
      <c r="H247" s="612"/>
      <c r="I247" s="612"/>
      <c r="J247" s="612"/>
      <c r="K247" s="612"/>
      <c r="L247" s="612"/>
      <c r="M247" s="612"/>
      <c r="N247" s="612"/>
      <c r="O247" s="612"/>
      <c r="P247" s="612"/>
      <c r="Q247" s="612"/>
      <c r="R247" s="612"/>
      <c r="S247" s="612"/>
      <c r="T247" s="612"/>
      <c r="U247" s="612"/>
      <c r="V247" s="612"/>
      <c r="W247" s="612"/>
      <c r="X247" s="612"/>
      <c r="Y247" s="647"/>
      <c r="AW247" s="612"/>
      <c r="AX247" s="612"/>
      <c r="AY247" s="612"/>
      <c r="AZ247" s="612"/>
    </row>
    <row r="248" spans="1:52" outlineLevel="1" x14ac:dyDescent="0.3">
      <c r="A248" s="1811">
        <v>41365</v>
      </c>
      <c r="B248" s="1812"/>
      <c r="C248" s="855">
        <f t="shared" ca="1" si="2"/>
        <v>99.481510100027037</v>
      </c>
      <c r="D248" s="856">
        <f t="shared" ca="1" si="3"/>
        <v>11.951872910186294</v>
      </c>
      <c r="E248" s="857">
        <f t="shared" ca="1" si="4"/>
        <v>3.472</v>
      </c>
      <c r="F248" s="612"/>
      <c r="G248" s="612"/>
      <c r="H248" s="612"/>
      <c r="I248" s="612"/>
      <c r="J248" s="612"/>
      <c r="K248" s="612"/>
      <c r="L248" s="612"/>
      <c r="M248" s="612"/>
      <c r="N248" s="612"/>
      <c r="O248" s="612"/>
      <c r="P248" s="612"/>
      <c r="Q248" s="612"/>
      <c r="R248" s="612"/>
      <c r="S248" s="612"/>
      <c r="T248" s="612"/>
      <c r="U248" s="612"/>
      <c r="V248" s="612"/>
      <c r="W248" s="612"/>
      <c r="X248" s="612"/>
      <c r="Y248" s="647"/>
      <c r="AW248" s="612"/>
      <c r="AX248" s="612"/>
      <c r="AY248" s="612"/>
      <c r="AZ248" s="612"/>
    </row>
    <row r="249" spans="1:52" outlineLevel="1" x14ac:dyDescent="0.3">
      <c r="A249" s="1811">
        <v>41395</v>
      </c>
      <c r="B249" s="1812"/>
      <c r="C249" s="855">
        <f t="shared" ca="1" si="2"/>
        <v>66.975320096486413</v>
      </c>
      <c r="D249" s="856">
        <f t="shared" ca="1" si="3"/>
        <v>5.0917294193510614</v>
      </c>
      <c r="E249" s="857">
        <f t="shared" ca="1" si="4"/>
        <v>4.1459999999999999</v>
      </c>
      <c r="F249" s="612"/>
      <c r="G249" s="612"/>
      <c r="H249" s="612"/>
      <c r="I249" s="612"/>
      <c r="J249" s="612"/>
      <c r="K249" s="612"/>
      <c r="L249" s="612"/>
      <c r="M249" s="612"/>
      <c r="N249" s="612"/>
      <c r="O249" s="612"/>
      <c r="P249" s="612"/>
      <c r="Q249" s="612"/>
      <c r="R249" s="612"/>
      <c r="S249" s="612"/>
      <c r="T249" s="612"/>
      <c r="U249" s="612"/>
      <c r="V249" s="612"/>
      <c r="W249" s="612"/>
      <c r="X249" s="612"/>
      <c r="Y249" s="647"/>
      <c r="AW249" s="612"/>
      <c r="AX249" s="612"/>
      <c r="AY249" s="612"/>
      <c r="AZ249" s="612"/>
    </row>
    <row r="250" spans="1:52" outlineLevel="1" x14ac:dyDescent="0.3">
      <c r="A250" s="1811">
        <v>41426</v>
      </c>
      <c r="B250" s="1812"/>
      <c r="C250" s="855">
        <f t="shared" ca="1" si="2"/>
        <v>57.414945728342317</v>
      </c>
      <c r="D250" s="856">
        <f t="shared" ca="1" si="3"/>
        <v>3.6507685773041474</v>
      </c>
      <c r="E250" s="857">
        <f t="shared" ca="1" si="4"/>
        <v>4.2889999999999997</v>
      </c>
      <c r="F250" s="612"/>
      <c r="G250" s="612"/>
      <c r="H250" s="612"/>
      <c r="I250" s="612"/>
      <c r="J250" s="612"/>
      <c r="K250" s="612"/>
      <c r="L250" s="612"/>
      <c r="M250" s="612"/>
      <c r="N250" s="612"/>
      <c r="O250" s="612"/>
      <c r="P250" s="612"/>
      <c r="Q250" s="612"/>
      <c r="R250" s="612"/>
      <c r="S250" s="612"/>
      <c r="T250" s="612"/>
      <c r="U250" s="612"/>
      <c r="V250" s="612"/>
      <c r="W250" s="612"/>
      <c r="X250" s="612"/>
      <c r="Y250" s="647"/>
      <c r="AW250" s="612"/>
      <c r="AX250" s="612"/>
      <c r="AY250" s="612"/>
      <c r="AZ250" s="612"/>
    </row>
    <row r="251" spans="1:52" outlineLevel="1" x14ac:dyDescent="0.3">
      <c r="A251" s="1811">
        <v>41456</v>
      </c>
      <c r="B251" s="1812"/>
      <c r="C251" s="855">
        <f t="shared" ca="1" si="2"/>
        <v>49.639164247460933</v>
      </c>
      <c r="D251" s="856">
        <f t="shared" ca="1" si="3"/>
        <v>3.0114309199989338</v>
      </c>
      <c r="E251" s="857">
        <f t="shared" ca="1" si="4"/>
        <v>2.9260000000000002</v>
      </c>
      <c r="F251" s="612"/>
      <c r="G251" s="612"/>
      <c r="H251" s="612"/>
      <c r="I251" s="612"/>
      <c r="J251" s="612"/>
      <c r="K251" s="612"/>
      <c r="L251" s="612"/>
      <c r="M251" s="612"/>
      <c r="N251" s="612"/>
      <c r="O251" s="612"/>
      <c r="P251" s="612"/>
      <c r="Q251" s="612"/>
      <c r="R251" s="612"/>
      <c r="S251" s="612"/>
      <c r="T251" s="612"/>
      <c r="U251" s="612"/>
      <c r="V251" s="612"/>
      <c r="W251" s="612"/>
      <c r="X251" s="612"/>
      <c r="Y251" s="647"/>
      <c r="AW251" s="612"/>
      <c r="AX251" s="612"/>
      <c r="AY251" s="612"/>
      <c r="AZ251" s="612"/>
    </row>
    <row r="252" spans="1:52" outlineLevel="1" x14ac:dyDescent="0.3">
      <c r="A252" s="1811">
        <v>41487</v>
      </c>
      <c r="B252" s="1812"/>
      <c r="C252" s="855">
        <f t="shared" ca="1" si="2"/>
        <v>45.111280260525895</v>
      </c>
      <c r="D252" s="856">
        <f t="shared" ca="1" si="3"/>
        <v>2.6293565011386297</v>
      </c>
      <c r="E252" s="857">
        <f t="shared" ca="1" si="4"/>
        <v>2.0539999999999998</v>
      </c>
      <c r="F252" s="612"/>
      <c r="G252" s="612"/>
      <c r="H252" s="612"/>
      <c r="I252" s="612"/>
      <c r="J252" s="612"/>
      <c r="K252" s="612"/>
      <c r="L252" s="612"/>
      <c r="M252" s="612"/>
      <c r="N252" s="612"/>
      <c r="O252" s="612"/>
      <c r="P252" s="612"/>
      <c r="Q252" s="612"/>
      <c r="R252" s="612"/>
      <c r="S252" s="612"/>
      <c r="T252" s="612"/>
      <c r="U252" s="612"/>
      <c r="V252" s="612"/>
      <c r="W252" s="612"/>
      <c r="X252" s="612"/>
      <c r="Y252" s="647"/>
      <c r="AW252" s="612"/>
      <c r="AX252" s="612"/>
      <c r="AY252" s="612"/>
      <c r="AZ252" s="612"/>
    </row>
    <row r="253" spans="1:52" outlineLevel="1" x14ac:dyDescent="0.3">
      <c r="A253" s="1811">
        <v>41518</v>
      </c>
      <c r="B253" s="1812"/>
      <c r="C253" s="855">
        <f t="shared" ca="1" si="2"/>
        <v>53.888467957953324</v>
      </c>
      <c r="D253" s="856">
        <f t="shared" ca="1" si="3"/>
        <v>4.5340172280842532</v>
      </c>
      <c r="E253" s="857">
        <f t="shared" ca="1" si="4"/>
        <v>2.5470000000000002</v>
      </c>
      <c r="F253" s="612"/>
      <c r="G253" s="612"/>
      <c r="H253" s="612"/>
      <c r="I253" s="612"/>
      <c r="J253" s="612"/>
      <c r="K253" s="612"/>
      <c r="L253" s="612"/>
      <c r="M253" s="612"/>
      <c r="N253" s="612"/>
      <c r="O253" s="612"/>
      <c r="P253" s="612"/>
      <c r="Q253" s="612"/>
      <c r="R253" s="612"/>
      <c r="S253" s="612"/>
      <c r="T253" s="612"/>
      <c r="U253" s="612"/>
      <c r="V253" s="612"/>
      <c r="W253" s="612"/>
      <c r="X253" s="612"/>
      <c r="Y253" s="647"/>
      <c r="AW253" s="612"/>
      <c r="AX253" s="612"/>
      <c r="AY253" s="612"/>
      <c r="AZ253" s="612"/>
    </row>
    <row r="254" spans="1:52" outlineLevel="1" x14ac:dyDescent="0.3">
      <c r="A254" s="1811">
        <v>41548</v>
      </c>
      <c r="B254" s="1812"/>
      <c r="C254" s="855">
        <f t="shared" ca="1" si="2"/>
        <v>79.87600848638165</v>
      </c>
      <c r="D254" s="856">
        <f t="shared" ca="1" si="3"/>
        <v>10.594286816954245</v>
      </c>
      <c r="E254" s="857">
        <f t="shared" ca="1" si="4"/>
        <v>2.3969999999999998</v>
      </c>
      <c r="F254" s="612"/>
      <c r="G254" s="612"/>
      <c r="H254" s="612"/>
      <c r="I254" s="612"/>
      <c r="J254" s="612"/>
      <c r="K254" s="612"/>
      <c r="L254" s="612"/>
      <c r="M254" s="612"/>
      <c r="N254" s="612"/>
      <c r="O254" s="612"/>
      <c r="P254" s="612"/>
      <c r="Q254" s="612"/>
      <c r="R254" s="612"/>
      <c r="S254" s="612"/>
      <c r="T254" s="612"/>
      <c r="U254" s="612"/>
      <c r="V254" s="612"/>
      <c r="W254" s="612"/>
      <c r="X254" s="612"/>
      <c r="Y254" s="647"/>
      <c r="AW254" s="612"/>
      <c r="AX254" s="612"/>
      <c r="AY254" s="612"/>
      <c r="AZ254" s="612"/>
    </row>
    <row r="255" spans="1:52" outlineLevel="1" x14ac:dyDescent="0.3">
      <c r="A255" s="1811">
        <v>41579</v>
      </c>
      <c r="B255" s="1812"/>
      <c r="C255" s="855">
        <f t="shared" ca="1" si="2"/>
        <v>131.19649626704214</v>
      </c>
      <c r="D255" s="856">
        <f t="shared" ca="1" si="3"/>
        <v>16.963833197620971</v>
      </c>
      <c r="E255" s="857">
        <f t="shared" ca="1" si="4"/>
        <v>3.6850000000000001</v>
      </c>
      <c r="F255" s="612"/>
      <c r="G255" s="612"/>
      <c r="H255" s="612"/>
      <c r="I255" s="612"/>
      <c r="J255" s="612"/>
      <c r="K255" s="612"/>
      <c r="L255" s="612"/>
      <c r="M255" s="612"/>
      <c r="N255" s="612"/>
      <c r="O255" s="612"/>
      <c r="P255" s="612"/>
      <c r="Q255" s="612"/>
      <c r="R255" s="612"/>
      <c r="S255" s="612"/>
      <c r="T255" s="612"/>
      <c r="U255" s="612"/>
      <c r="V255" s="612"/>
      <c r="W255" s="612"/>
      <c r="X255" s="612"/>
      <c r="Y255" s="647"/>
      <c r="AW255" s="612"/>
      <c r="AX255" s="612"/>
      <c r="AY255" s="612"/>
      <c r="AZ255" s="612"/>
    </row>
    <row r="256" spans="1:52" outlineLevel="1" x14ac:dyDescent="0.3">
      <c r="A256" s="1944">
        <v>41609</v>
      </c>
      <c r="B256" s="1945"/>
      <c r="C256" s="861">
        <f t="shared" ca="1" si="2"/>
        <v>156.04849560306945</v>
      </c>
      <c r="D256" s="862">
        <f t="shared" ca="1" si="3"/>
        <v>22.923188669247907</v>
      </c>
      <c r="E256" s="863">
        <f t="shared" ca="1" si="4"/>
        <v>3.294</v>
      </c>
      <c r="F256" s="612"/>
      <c r="G256" s="612"/>
      <c r="H256" s="612"/>
      <c r="I256" s="612"/>
      <c r="J256" s="612"/>
      <c r="K256" s="612"/>
      <c r="L256" s="612"/>
      <c r="M256" s="612"/>
      <c r="N256" s="612"/>
      <c r="O256" s="612"/>
      <c r="P256" s="612"/>
      <c r="Q256" s="612"/>
      <c r="R256" s="612"/>
      <c r="S256" s="612"/>
      <c r="T256" s="612"/>
      <c r="U256" s="612"/>
      <c r="V256" s="612"/>
      <c r="W256" s="612"/>
      <c r="X256" s="612"/>
      <c r="Y256" s="647"/>
      <c r="AW256" s="612"/>
      <c r="AX256" s="612"/>
      <c r="AY256" s="612"/>
      <c r="AZ256" s="612"/>
    </row>
    <row r="257" spans="1:52" outlineLevel="1" x14ac:dyDescent="0.3">
      <c r="A257" s="1946">
        <v>41640</v>
      </c>
      <c r="B257" s="1947"/>
      <c r="C257" s="855">
        <f t="shared" ca="1" si="2"/>
        <v>145.53783266074225</v>
      </c>
      <c r="D257" s="856">
        <f t="shared" ca="1" si="3"/>
        <v>17.678761695170117</v>
      </c>
      <c r="E257" s="857">
        <f t="shared" ca="1" si="4"/>
        <v>4.1070000000000002</v>
      </c>
      <c r="F257" s="612"/>
      <c r="G257" s="612"/>
      <c r="H257" s="612"/>
      <c r="I257" s="612"/>
      <c r="J257" s="612"/>
      <c r="K257" s="612"/>
      <c r="L257" s="612"/>
      <c r="M257" s="612"/>
      <c r="N257" s="612"/>
      <c r="O257" s="612"/>
      <c r="P257" s="612"/>
      <c r="Q257" s="612"/>
      <c r="R257" s="612"/>
      <c r="S257" s="612"/>
      <c r="T257" s="612"/>
      <c r="U257" s="612"/>
      <c r="V257" s="612"/>
      <c r="W257" s="612"/>
      <c r="X257" s="612"/>
      <c r="Y257" s="647"/>
      <c r="AW257" s="612"/>
      <c r="AX257" s="612"/>
      <c r="AY257" s="612"/>
      <c r="AZ257" s="612"/>
    </row>
    <row r="258" spans="1:52" outlineLevel="1" x14ac:dyDescent="0.3">
      <c r="A258" s="1811">
        <v>41671</v>
      </c>
      <c r="B258" s="1812"/>
      <c r="C258" s="855">
        <f t="shared" ca="1" si="2"/>
        <v>191.58054732161304</v>
      </c>
      <c r="D258" s="856">
        <f t="shared" ca="1" si="3"/>
        <v>23.856327590100207</v>
      </c>
      <c r="E258" s="857">
        <f t="shared" ca="1" si="4"/>
        <v>4.4939999999999998</v>
      </c>
      <c r="F258" s="612"/>
      <c r="G258" s="612"/>
      <c r="H258" s="612"/>
      <c r="I258" s="612"/>
      <c r="J258" s="612"/>
      <c r="K258" s="612"/>
      <c r="L258" s="612"/>
      <c r="M258" s="612"/>
      <c r="N258" s="612"/>
      <c r="O258" s="612"/>
      <c r="P258" s="612"/>
      <c r="Q258" s="612"/>
      <c r="R258" s="612"/>
      <c r="S258" s="612"/>
      <c r="T258" s="612"/>
      <c r="U258" s="612"/>
      <c r="V258" s="612"/>
      <c r="W258" s="612"/>
      <c r="X258" s="612"/>
      <c r="Y258" s="647"/>
      <c r="AW258" s="612"/>
      <c r="AX258" s="612"/>
      <c r="AY258" s="612"/>
      <c r="AZ258" s="612"/>
    </row>
    <row r="259" spans="1:52" outlineLevel="1" x14ac:dyDescent="0.3">
      <c r="A259" s="1811">
        <v>41699</v>
      </c>
      <c r="B259" s="1812"/>
      <c r="C259" s="855">
        <f t="shared" ca="1" si="2"/>
        <v>290.41284828816111</v>
      </c>
      <c r="D259" s="856">
        <f t="shared" ca="1" si="3"/>
        <v>20.574128672770144</v>
      </c>
      <c r="E259" s="857">
        <f t="shared" ca="1" si="4"/>
        <v>9.3879999999999999</v>
      </c>
      <c r="F259" s="612"/>
      <c r="G259" s="612"/>
      <c r="H259" s="612"/>
      <c r="I259" s="612"/>
      <c r="J259" s="612"/>
      <c r="K259" s="612"/>
      <c r="L259" s="612"/>
      <c r="M259" s="612"/>
      <c r="N259" s="612"/>
      <c r="O259" s="612"/>
      <c r="P259" s="612"/>
      <c r="Q259" s="612"/>
      <c r="R259" s="612"/>
      <c r="S259" s="612"/>
      <c r="T259" s="612"/>
      <c r="U259" s="612"/>
      <c r="V259" s="612"/>
      <c r="W259" s="612"/>
      <c r="X259" s="612"/>
      <c r="Y259" s="647"/>
      <c r="AW259" s="612"/>
      <c r="AX259" s="612"/>
      <c r="AY259" s="612"/>
      <c r="AZ259" s="612"/>
    </row>
    <row r="260" spans="1:52" outlineLevel="1" x14ac:dyDescent="0.3">
      <c r="A260" s="1811">
        <v>41730</v>
      </c>
      <c r="B260" s="1812"/>
      <c r="C260" s="855">
        <f t="shared" ca="1" si="2"/>
        <v>107.87069425641586</v>
      </c>
      <c r="D260" s="856">
        <f t="shared" ca="1" si="3"/>
        <v>11.107498159818526</v>
      </c>
      <c r="E260" s="857">
        <f t="shared" ca="1" si="4"/>
        <v>4.226</v>
      </c>
      <c r="F260" s="612"/>
      <c r="G260" s="612"/>
      <c r="H260" s="612"/>
      <c r="I260" s="612"/>
      <c r="J260" s="612"/>
      <c r="K260" s="612"/>
      <c r="L260" s="612"/>
      <c r="M260" s="612"/>
      <c r="N260" s="612"/>
      <c r="O260" s="612"/>
      <c r="P260" s="612"/>
      <c r="Q260" s="612"/>
      <c r="R260" s="612"/>
      <c r="S260" s="612"/>
      <c r="T260" s="612"/>
      <c r="U260" s="612"/>
      <c r="V260" s="612"/>
      <c r="W260" s="612"/>
      <c r="X260" s="612"/>
      <c r="Y260" s="647"/>
      <c r="AW260" s="612"/>
      <c r="AX260" s="612"/>
      <c r="AY260" s="612"/>
      <c r="AZ260" s="612"/>
    </row>
    <row r="261" spans="1:52" outlineLevel="1" x14ac:dyDescent="0.3">
      <c r="A261" s="1811">
        <v>41760</v>
      </c>
      <c r="B261" s="1812"/>
      <c r="C261" s="855">
        <f t="shared" ca="1" si="2"/>
        <v>83.303784609278566</v>
      </c>
      <c r="D261" s="856">
        <f t="shared" ca="1" si="3"/>
        <v>7.6720066184584503</v>
      </c>
      <c r="E261" s="857">
        <f t="shared" ca="1" si="4"/>
        <v>3.915</v>
      </c>
      <c r="F261" s="612"/>
      <c r="G261" s="612"/>
      <c r="H261" s="612"/>
      <c r="I261" s="612"/>
      <c r="J261" s="612"/>
      <c r="K261" s="612"/>
      <c r="L261" s="612"/>
      <c r="M261" s="612"/>
      <c r="N261" s="612"/>
      <c r="O261" s="612"/>
      <c r="P261" s="612"/>
      <c r="Q261" s="612"/>
      <c r="R261" s="612"/>
      <c r="S261" s="612"/>
      <c r="T261" s="612"/>
      <c r="U261" s="612"/>
      <c r="V261" s="612"/>
      <c r="W261" s="612"/>
      <c r="X261" s="612"/>
      <c r="Y261" s="647"/>
      <c r="AW261" s="612"/>
      <c r="AX261" s="612"/>
      <c r="AY261" s="612"/>
      <c r="AZ261" s="612"/>
    </row>
    <row r="262" spans="1:52" outlineLevel="1" x14ac:dyDescent="0.3">
      <c r="A262" s="1811">
        <v>41791</v>
      </c>
      <c r="B262" s="1812"/>
      <c r="C262" s="855">
        <f t="shared" ca="1" si="2"/>
        <v>56.39611100202147</v>
      </c>
      <c r="D262" s="856">
        <f t="shared" ca="1" si="3"/>
        <v>4.5897978449022441</v>
      </c>
      <c r="E262" s="857">
        <f t="shared" ca="1" si="4"/>
        <v>2.73</v>
      </c>
      <c r="F262" s="612"/>
      <c r="G262" s="612"/>
      <c r="H262" s="612"/>
      <c r="I262" s="612"/>
      <c r="J262" s="612"/>
      <c r="K262" s="612"/>
      <c r="L262" s="612"/>
      <c r="M262" s="612"/>
      <c r="N262" s="612"/>
      <c r="O262" s="612"/>
      <c r="P262" s="612"/>
      <c r="Q262" s="612"/>
      <c r="R262" s="612"/>
      <c r="S262" s="612"/>
      <c r="T262" s="612"/>
      <c r="U262" s="612"/>
      <c r="V262" s="612"/>
      <c r="W262" s="612"/>
      <c r="X262" s="612"/>
      <c r="Y262" s="647"/>
      <c r="AW262" s="612"/>
      <c r="AX262" s="612"/>
      <c r="AY262" s="612"/>
      <c r="AZ262" s="612"/>
    </row>
    <row r="263" spans="1:52" outlineLevel="1" x14ac:dyDescent="0.3">
      <c r="A263" s="1811">
        <v>41821</v>
      </c>
      <c r="B263" s="1812"/>
      <c r="C263" s="855">
        <f t="shared" ca="1" si="2"/>
        <v>56.0519489421348</v>
      </c>
      <c r="D263" s="856">
        <f t="shared" ca="1" si="3"/>
        <v>2.7320829657733774</v>
      </c>
      <c r="E263" s="857">
        <f t="shared" ca="1" si="4"/>
        <v>5.1379999999999999</v>
      </c>
      <c r="F263" s="612"/>
      <c r="G263" s="612"/>
      <c r="H263" s="612"/>
      <c r="I263" s="612"/>
      <c r="J263" s="612"/>
      <c r="K263" s="612"/>
      <c r="L263" s="612"/>
      <c r="M263" s="612"/>
      <c r="N263" s="612"/>
      <c r="O263" s="612"/>
      <c r="P263" s="612"/>
      <c r="Q263" s="612"/>
      <c r="R263" s="612"/>
      <c r="S263" s="612"/>
      <c r="T263" s="612"/>
      <c r="U263" s="612"/>
      <c r="V263" s="612"/>
      <c r="W263" s="612"/>
      <c r="X263" s="612"/>
      <c r="Y263" s="647"/>
      <c r="AW263" s="612"/>
      <c r="AX263" s="612"/>
      <c r="AY263" s="612"/>
      <c r="AZ263" s="612"/>
    </row>
    <row r="264" spans="1:52" outlineLevel="1" x14ac:dyDescent="0.3">
      <c r="A264" s="1811">
        <v>41852</v>
      </c>
      <c r="B264" s="1812"/>
      <c r="C264" s="855">
        <f t="shared" ca="1" si="2"/>
        <v>55.40321760915463</v>
      </c>
      <c r="D264" s="856">
        <f t="shared" ca="1" si="3"/>
        <v>3.3502929773367698</v>
      </c>
      <c r="E264" s="857">
        <f t="shared" ca="1" si="4"/>
        <v>3.7490000000000001</v>
      </c>
      <c r="F264" s="612"/>
      <c r="G264" s="612"/>
      <c r="H264" s="612"/>
      <c r="I264" s="612"/>
      <c r="J264" s="612"/>
      <c r="K264" s="612"/>
      <c r="L264" s="612"/>
      <c r="M264" s="612"/>
      <c r="N264" s="612"/>
      <c r="O264" s="612"/>
      <c r="P264" s="612"/>
      <c r="Q264" s="612"/>
      <c r="R264" s="612"/>
      <c r="S264" s="612"/>
      <c r="T264" s="612"/>
      <c r="U264" s="612"/>
      <c r="V264" s="612"/>
      <c r="W264" s="612"/>
      <c r="X264" s="612"/>
      <c r="Y264" s="647"/>
      <c r="AW264" s="612"/>
      <c r="AX264" s="612"/>
      <c r="AY264" s="612"/>
      <c r="AZ264" s="612"/>
    </row>
    <row r="265" spans="1:52" outlineLevel="1" x14ac:dyDescent="0.3">
      <c r="A265" s="1811">
        <v>41883</v>
      </c>
      <c r="B265" s="1812"/>
      <c r="C265" s="855">
        <f t="shared" ca="1" si="2"/>
        <v>70.595962905365027</v>
      </c>
      <c r="D265" s="856">
        <f t="shared" ca="1" si="3"/>
        <v>6.0677895827545711</v>
      </c>
      <c r="E265" s="857">
        <f t="shared" ca="1" si="4"/>
        <v>3.7080000000000002</v>
      </c>
      <c r="F265" s="612"/>
      <c r="G265" s="612"/>
      <c r="H265" s="612"/>
      <c r="I265" s="612"/>
      <c r="J265" s="612"/>
      <c r="K265" s="612"/>
      <c r="L265" s="612"/>
      <c r="M265" s="612"/>
      <c r="N265" s="612"/>
      <c r="O265" s="612"/>
      <c r="P265" s="612"/>
      <c r="Q265" s="612"/>
      <c r="R265" s="612"/>
      <c r="S265" s="612"/>
      <c r="T265" s="612"/>
      <c r="U265" s="612"/>
      <c r="V265" s="612"/>
      <c r="W265" s="612"/>
      <c r="X265" s="612"/>
      <c r="Y265" s="647"/>
      <c r="AW265" s="612"/>
      <c r="AX265" s="612"/>
      <c r="AY265" s="612"/>
      <c r="AZ265" s="612"/>
    </row>
    <row r="266" spans="1:52" outlineLevel="1" x14ac:dyDescent="0.3">
      <c r="A266" s="1811">
        <v>41913</v>
      </c>
      <c r="B266" s="1812"/>
      <c r="C266" s="855">
        <f t="shared" ca="1" si="2"/>
        <v>93.661134078745661</v>
      </c>
      <c r="D266" s="856">
        <f t="shared" ca="1" si="3"/>
        <v>8.4870216904286888</v>
      </c>
      <c r="E266" s="857">
        <f t="shared" ca="1" si="4"/>
        <v>4.18</v>
      </c>
      <c r="F266" s="612"/>
      <c r="G266" s="612"/>
      <c r="H266" s="612"/>
      <c r="I266" s="612"/>
      <c r="J266" s="612"/>
      <c r="K266" s="612"/>
      <c r="L266" s="612"/>
      <c r="M266" s="612"/>
      <c r="N266" s="612"/>
      <c r="O266" s="612"/>
      <c r="P266" s="612"/>
      <c r="Q266" s="612"/>
      <c r="R266" s="612"/>
      <c r="S266" s="612"/>
      <c r="T266" s="612"/>
      <c r="U266" s="612"/>
      <c r="V266" s="612"/>
      <c r="W266" s="612"/>
      <c r="X266" s="612"/>
      <c r="Y266" s="647"/>
      <c r="AW266" s="612"/>
      <c r="AX266" s="612"/>
      <c r="AY266" s="612"/>
      <c r="AZ266" s="612"/>
    </row>
    <row r="267" spans="1:52" outlineLevel="1" x14ac:dyDescent="0.3">
      <c r="A267" s="1811">
        <v>41944</v>
      </c>
      <c r="B267" s="1812"/>
      <c r="C267" s="855">
        <f t="shared" ca="1" si="2"/>
        <v>124.75058571022659</v>
      </c>
      <c r="D267" s="856">
        <f t="shared" ca="1" si="3"/>
        <v>16.328982044219593</v>
      </c>
      <c r="E267" s="857">
        <f t="shared" ca="1" si="4"/>
        <v>3.6829999999999998</v>
      </c>
      <c r="F267" s="612"/>
      <c r="G267" s="612"/>
      <c r="H267" s="612"/>
      <c r="I267" s="612"/>
      <c r="J267" s="612"/>
      <c r="K267" s="612"/>
      <c r="L267" s="612"/>
      <c r="M267" s="612"/>
      <c r="N267" s="612"/>
      <c r="O267" s="612"/>
      <c r="P267" s="612"/>
      <c r="Q267" s="612"/>
      <c r="R267" s="612"/>
      <c r="S267" s="612"/>
      <c r="T267" s="612"/>
      <c r="U267" s="612"/>
      <c r="V267" s="612"/>
      <c r="W267" s="612"/>
      <c r="X267" s="612"/>
      <c r="Y267" s="647"/>
      <c r="AW267" s="612"/>
      <c r="AX267" s="612"/>
      <c r="AY267" s="612"/>
      <c r="AZ267" s="612"/>
    </row>
    <row r="268" spans="1:52" outlineLevel="1" x14ac:dyDescent="0.3">
      <c r="A268" s="1944">
        <v>41974</v>
      </c>
      <c r="B268" s="1945"/>
      <c r="C268" s="855">
        <f t="shared" ca="1" si="2"/>
        <v>140.55196539239572</v>
      </c>
      <c r="D268" s="856">
        <f t="shared" ca="1" si="3"/>
        <v>17.155085931907376</v>
      </c>
      <c r="E268" s="863">
        <f t="shared" ca="1" si="4"/>
        <v>4.1820000000000004</v>
      </c>
      <c r="F268" s="612"/>
      <c r="G268" s="612"/>
      <c r="H268" s="612"/>
      <c r="I268" s="612"/>
      <c r="J268" s="612"/>
      <c r="K268" s="612"/>
      <c r="L268" s="612"/>
      <c r="M268" s="612"/>
      <c r="N268" s="612"/>
      <c r="O268" s="612"/>
      <c r="P268" s="612"/>
      <c r="Q268" s="612"/>
      <c r="R268" s="612"/>
      <c r="S268" s="612"/>
      <c r="T268" s="612"/>
      <c r="U268" s="612"/>
      <c r="V268" s="612"/>
      <c r="W268" s="612"/>
      <c r="X268" s="612"/>
      <c r="Y268" s="647"/>
      <c r="AW268" s="612"/>
      <c r="AX268" s="612"/>
      <c r="AY268" s="612"/>
      <c r="AZ268" s="612"/>
    </row>
    <row r="269" spans="1:52" outlineLevel="1" x14ac:dyDescent="0.3">
      <c r="A269" s="1946">
        <v>42005</v>
      </c>
      <c r="B269" s="1947"/>
      <c r="C269" s="858">
        <f t="shared" ca="1" si="2"/>
        <v>128.83682163849937</v>
      </c>
      <c r="D269" s="859">
        <f t="shared" ca="1" si="3"/>
        <v>17.023240041667705</v>
      </c>
      <c r="E269" s="857">
        <f t="shared" ca="1" si="4"/>
        <v>3.1059999999999999</v>
      </c>
      <c r="F269" s="612"/>
      <c r="G269" s="612"/>
      <c r="H269" s="612"/>
      <c r="I269" s="612"/>
      <c r="J269" s="612"/>
      <c r="K269" s="612"/>
      <c r="L269" s="612"/>
      <c r="M269" s="612"/>
      <c r="N269" s="612"/>
      <c r="O269" s="612"/>
      <c r="P269" s="612"/>
      <c r="Q269" s="612"/>
      <c r="R269" s="612"/>
      <c r="S269" s="612"/>
      <c r="T269" s="612"/>
      <c r="U269" s="612"/>
      <c r="V269" s="612"/>
      <c r="W269" s="612"/>
      <c r="X269" s="612"/>
      <c r="Y269" s="647"/>
      <c r="AW269" s="612"/>
      <c r="AX269" s="612"/>
      <c r="AY269" s="612"/>
      <c r="AZ269" s="612"/>
    </row>
    <row r="270" spans="1:52" outlineLevel="1" x14ac:dyDescent="0.3">
      <c r="A270" s="1811">
        <v>42036</v>
      </c>
      <c r="B270" s="1812"/>
      <c r="C270" s="855">
        <f t="shared" ca="1" si="2"/>
        <v>110.79442922292377</v>
      </c>
      <c r="D270" s="856">
        <f t="shared" ca="1" si="3"/>
        <v>16.070433558291903</v>
      </c>
      <c r="E270" s="857">
        <f t="shared" ca="1" si="4"/>
        <v>2.6080000000000001</v>
      </c>
      <c r="F270" s="612"/>
      <c r="G270" s="612"/>
      <c r="H270" s="612"/>
      <c r="I270" s="612"/>
      <c r="J270" s="612"/>
      <c r="K270" s="612"/>
      <c r="L270" s="612"/>
      <c r="M270" s="612"/>
      <c r="N270" s="612"/>
      <c r="O270" s="612"/>
      <c r="P270" s="612"/>
      <c r="Q270" s="612"/>
      <c r="R270" s="612"/>
      <c r="S270" s="612"/>
      <c r="T270" s="612"/>
      <c r="U270" s="612"/>
      <c r="V270" s="612"/>
      <c r="W270" s="612"/>
      <c r="X270" s="612"/>
      <c r="Y270" s="647"/>
      <c r="AW270" s="612"/>
      <c r="AX270" s="612"/>
      <c r="AY270" s="612"/>
      <c r="AZ270" s="612"/>
    </row>
    <row r="271" spans="1:52" outlineLevel="1" x14ac:dyDescent="0.3">
      <c r="A271" s="1811">
        <v>42064</v>
      </c>
      <c r="B271" s="1812"/>
      <c r="C271" s="855">
        <f t="shared" ca="1" si="2"/>
        <v>100.13054963966638</v>
      </c>
      <c r="D271" s="856">
        <f t="shared" ca="1" si="3"/>
        <v>12.142155132331677</v>
      </c>
      <c r="E271" s="857">
        <f t="shared" ca="1" si="4"/>
        <v>2.97</v>
      </c>
      <c r="F271" s="612"/>
      <c r="G271" s="612"/>
      <c r="H271" s="612"/>
      <c r="I271" s="612"/>
      <c r="J271" s="612"/>
      <c r="K271" s="612"/>
      <c r="L271" s="612"/>
      <c r="M271" s="612"/>
      <c r="N271" s="612"/>
      <c r="O271" s="612"/>
      <c r="P271" s="612"/>
      <c r="Q271" s="612"/>
      <c r="R271" s="612"/>
      <c r="S271" s="612"/>
      <c r="T271" s="612"/>
      <c r="U271" s="612"/>
      <c r="V271" s="612"/>
      <c r="W271" s="612"/>
      <c r="X271" s="612"/>
      <c r="Y271" s="647"/>
      <c r="AW271" s="612"/>
      <c r="AX271" s="612"/>
      <c r="AY271" s="612"/>
      <c r="AZ271" s="612"/>
    </row>
    <row r="272" spans="1:52" outlineLevel="1" x14ac:dyDescent="0.3">
      <c r="A272" s="1811">
        <v>42095</v>
      </c>
      <c r="B272" s="1812"/>
      <c r="C272" s="855">
        <f t="shared" ca="1" si="2"/>
        <v>85.900388043256001</v>
      </c>
      <c r="D272" s="856">
        <f t="shared" ca="1" si="3"/>
        <v>9.7936096292748651</v>
      </c>
      <c r="E272" s="857">
        <f t="shared" ca="1" si="4"/>
        <v>2.903</v>
      </c>
      <c r="F272" s="612"/>
      <c r="G272" s="612"/>
      <c r="H272" s="612"/>
      <c r="I272" s="612"/>
      <c r="J272" s="612"/>
      <c r="K272" s="612"/>
      <c r="L272" s="612"/>
      <c r="M272" s="612"/>
      <c r="N272" s="612"/>
      <c r="O272" s="612"/>
      <c r="P272" s="612"/>
      <c r="Q272" s="612"/>
      <c r="R272" s="612"/>
      <c r="S272" s="612"/>
      <c r="T272" s="612"/>
      <c r="U272" s="612"/>
      <c r="V272" s="612"/>
      <c r="W272" s="612"/>
      <c r="X272" s="612"/>
      <c r="Y272" s="647"/>
      <c r="AW272" s="612"/>
      <c r="AX272" s="612"/>
      <c r="AY272" s="612"/>
      <c r="AZ272" s="612"/>
    </row>
    <row r="273" spans="1:52" outlineLevel="1" x14ac:dyDescent="0.3">
      <c r="A273" s="1811">
        <v>42125</v>
      </c>
      <c r="B273" s="1812"/>
      <c r="C273" s="855">
        <f t="shared" ca="1" si="2"/>
        <v>65.22329934745909</v>
      </c>
      <c r="D273" s="856">
        <f t="shared" ca="1" si="3"/>
        <v>6.5541395721350089</v>
      </c>
      <c r="E273" s="857">
        <f t="shared" ca="1" si="4"/>
        <v>2.2269999999999999</v>
      </c>
      <c r="F273" s="612"/>
      <c r="G273" s="612"/>
      <c r="H273" s="612"/>
      <c r="I273" s="612"/>
      <c r="J273" s="612"/>
      <c r="K273" s="612"/>
      <c r="L273" s="612"/>
      <c r="M273" s="612"/>
      <c r="N273" s="612"/>
      <c r="O273" s="612"/>
      <c r="P273" s="612"/>
      <c r="Q273" s="612"/>
      <c r="R273" s="612"/>
      <c r="S273" s="612"/>
      <c r="T273" s="612"/>
      <c r="U273" s="612"/>
      <c r="V273" s="612"/>
      <c r="W273" s="612"/>
      <c r="X273" s="612"/>
      <c r="Y273" s="647"/>
      <c r="AW273" s="612"/>
      <c r="AX273" s="612"/>
      <c r="AY273" s="612"/>
      <c r="AZ273" s="612"/>
    </row>
    <row r="274" spans="1:52" outlineLevel="1" x14ac:dyDescent="0.3">
      <c r="A274" s="1811">
        <v>42156</v>
      </c>
      <c r="B274" s="1812"/>
      <c r="C274" s="855">
        <f t="shared" ca="1" si="2"/>
        <v>56.792438954469745</v>
      </c>
      <c r="D274" s="856">
        <f t="shared" ca="1" si="3"/>
        <v>3.4828054769975751</v>
      </c>
      <c r="E274" s="857">
        <f t="shared" ca="1" si="4"/>
        <v>3.7410000000000001</v>
      </c>
      <c r="F274" s="612"/>
      <c r="G274" s="612"/>
      <c r="H274" s="612"/>
      <c r="I274" s="612"/>
      <c r="J274" s="612"/>
      <c r="K274" s="612"/>
      <c r="L274" s="612"/>
      <c r="M274" s="612"/>
      <c r="N274" s="612"/>
      <c r="O274" s="612"/>
      <c r="P274" s="612"/>
      <c r="Q274" s="612"/>
      <c r="R274" s="612"/>
      <c r="S274" s="612"/>
      <c r="T274" s="612"/>
      <c r="U274" s="612"/>
      <c r="V274" s="612"/>
      <c r="W274" s="612"/>
      <c r="X274" s="612"/>
      <c r="Y274" s="647"/>
      <c r="AW274" s="612"/>
      <c r="AX274" s="612"/>
      <c r="AY274" s="612"/>
      <c r="AZ274" s="612"/>
    </row>
    <row r="275" spans="1:52" outlineLevel="1" x14ac:dyDescent="0.3">
      <c r="A275" s="1811">
        <v>42186</v>
      </c>
      <c r="B275" s="1812"/>
      <c r="C275" s="855">
        <f t="shared" ca="1" si="2"/>
        <v>47.973447936823277</v>
      </c>
      <c r="D275" s="856">
        <f t="shared" ca="1" si="3"/>
        <v>2.6677858527249043</v>
      </c>
      <c r="E275" s="857">
        <f t="shared" ca="1" si="4"/>
        <v>2.133</v>
      </c>
      <c r="F275" s="612"/>
      <c r="G275" s="612"/>
      <c r="H275" s="612"/>
      <c r="I275" s="612"/>
      <c r="J275" s="612"/>
      <c r="K275" s="612"/>
      <c r="L275" s="612"/>
      <c r="M275" s="612"/>
      <c r="N275" s="612"/>
      <c r="O275" s="612"/>
      <c r="P275" s="612"/>
      <c r="Q275" s="612"/>
      <c r="R275" s="612"/>
      <c r="S275" s="612"/>
      <c r="T275" s="612"/>
      <c r="U275" s="612"/>
      <c r="V275" s="612"/>
      <c r="W275" s="612"/>
      <c r="X275" s="612"/>
      <c r="Y275" s="647"/>
      <c r="AW275" s="612"/>
      <c r="AX275" s="612"/>
      <c r="AY275" s="612"/>
      <c r="AZ275" s="612"/>
    </row>
    <row r="276" spans="1:52" outlineLevel="1" x14ac:dyDescent="0.3">
      <c r="A276" s="1811">
        <v>42217</v>
      </c>
      <c r="B276" s="1812"/>
      <c r="C276" s="855">
        <f t="shared" ca="1" si="2"/>
        <v>51.095557892569801</v>
      </c>
      <c r="D276" s="856">
        <f t="shared" ca="1" si="3"/>
        <v>3.1336200677179931</v>
      </c>
      <c r="E276" s="857">
        <f t="shared" ca="1" si="4"/>
        <v>2.4449999999999998</v>
      </c>
      <c r="F276" s="612"/>
      <c r="G276" s="612"/>
      <c r="H276" s="612"/>
      <c r="I276" s="612"/>
      <c r="J276" s="612"/>
      <c r="K276" s="612"/>
      <c r="L276" s="612"/>
      <c r="M276" s="612"/>
      <c r="N276" s="612"/>
      <c r="O276" s="612"/>
      <c r="P276" s="612"/>
      <c r="Q276" s="612"/>
      <c r="R276" s="612"/>
      <c r="S276" s="612"/>
      <c r="T276" s="612"/>
      <c r="U276" s="612"/>
      <c r="V276" s="612"/>
      <c r="W276" s="612"/>
      <c r="X276" s="612"/>
      <c r="Y276" s="647"/>
      <c r="AW276" s="612"/>
      <c r="AX276" s="612"/>
      <c r="AY276" s="612"/>
      <c r="AZ276" s="612"/>
    </row>
    <row r="277" spans="1:52" outlineLevel="1" x14ac:dyDescent="0.3">
      <c r="A277" s="1811">
        <v>42248</v>
      </c>
      <c r="B277" s="1812"/>
      <c r="C277" s="855">
        <f t="shared" ca="1" si="2"/>
        <v>67.369676375690318</v>
      </c>
      <c r="D277" s="856">
        <f t="shared" ca="1" si="3"/>
        <v>6.2236099217630061</v>
      </c>
      <c r="E277" s="857">
        <f t="shared" ca="1" si="4"/>
        <v>3.0710000000000002</v>
      </c>
      <c r="F277" s="612"/>
      <c r="G277" s="612"/>
      <c r="H277" s="612"/>
      <c r="I277" s="612"/>
      <c r="J277" s="612"/>
      <c r="K277" s="612"/>
      <c r="L277" s="612"/>
      <c r="M277" s="612"/>
      <c r="N277" s="612"/>
      <c r="O277" s="612"/>
      <c r="P277" s="612"/>
      <c r="Q277" s="612"/>
      <c r="R277" s="612"/>
      <c r="S277" s="612"/>
      <c r="T277" s="612"/>
      <c r="U277" s="612"/>
      <c r="V277" s="612"/>
      <c r="W277" s="612"/>
      <c r="X277" s="612"/>
      <c r="Y277" s="647"/>
      <c r="AW277" s="612"/>
      <c r="AX277" s="612"/>
      <c r="AY277" s="612"/>
      <c r="AZ277" s="612"/>
    </row>
    <row r="278" spans="1:52" outlineLevel="1" x14ac:dyDescent="0.3">
      <c r="A278" s="1811">
        <v>42278</v>
      </c>
      <c r="B278" s="1812"/>
      <c r="C278" s="855">
        <f t="shared" ca="1" si="2"/>
        <v>77.714134720691305</v>
      </c>
      <c r="D278" s="856">
        <f t="shared" ca="1" si="3"/>
        <v>8.3430798977230474</v>
      </c>
      <c r="E278" s="857">
        <f t="shared" ca="1" si="4"/>
        <v>2.8279999999999998</v>
      </c>
      <c r="F278" s="612"/>
      <c r="G278" s="612"/>
      <c r="H278" s="612"/>
      <c r="I278" s="612"/>
      <c r="J278" s="612"/>
      <c r="K278" s="612"/>
      <c r="L278" s="612"/>
      <c r="M278" s="612"/>
      <c r="N278" s="612"/>
      <c r="O278" s="612"/>
      <c r="P278" s="612"/>
      <c r="Q278" s="612"/>
      <c r="R278" s="612"/>
      <c r="S278" s="612"/>
      <c r="T278" s="612"/>
      <c r="U278" s="612"/>
      <c r="V278" s="612"/>
      <c r="W278" s="612"/>
      <c r="X278" s="612"/>
      <c r="Y278" s="647"/>
      <c r="AW278" s="612"/>
      <c r="AX278" s="612"/>
      <c r="AY278" s="612"/>
      <c r="AZ278" s="612"/>
    </row>
    <row r="279" spans="1:52" outlineLevel="1" x14ac:dyDescent="0.3">
      <c r="A279" s="1811">
        <v>42309</v>
      </c>
      <c r="B279" s="1812"/>
      <c r="C279" s="855">
        <f t="shared" ca="1" si="2"/>
        <v>106.91253460289242</v>
      </c>
      <c r="D279" s="856">
        <f t="shared" ca="1" si="3"/>
        <v>15.114799129282089</v>
      </c>
      <c r="E279" s="857">
        <f t="shared" ca="1" si="4"/>
        <v>2.5539999999999998</v>
      </c>
      <c r="F279" s="612"/>
      <c r="G279" s="612"/>
      <c r="H279" s="612"/>
      <c r="I279" s="612"/>
      <c r="J279" s="612"/>
      <c r="K279" s="612"/>
      <c r="L279" s="612"/>
      <c r="M279" s="612"/>
      <c r="N279" s="612"/>
      <c r="O279" s="612"/>
      <c r="P279" s="612"/>
      <c r="Q279" s="612"/>
      <c r="R279" s="612"/>
      <c r="S279" s="612"/>
      <c r="T279" s="612"/>
      <c r="U279" s="612"/>
      <c r="V279" s="612"/>
      <c r="W279" s="612"/>
      <c r="X279" s="612"/>
      <c r="Y279" s="647"/>
      <c r="AW279" s="612"/>
      <c r="AX279" s="612"/>
      <c r="AY279" s="612"/>
      <c r="AZ279" s="612"/>
    </row>
    <row r="280" spans="1:52" outlineLevel="1" x14ac:dyDescent="0.3">
      <c r="A280" s="1944">
        <v>42339</v>
      </c>
      <c r="B280" s="1945"/>
      <c r="C280" s="861">
        <f t="shared" ca="1" si="2"/>
        <v>121.49629415484651</v>
      </c>
      <c r="D280" s="862">
        <f t="shared" ca="1" si="3"/>
        <v>19.538732956479862</v>
      </c>
      <c r="E280" s="863">
        <f t="shared" ca="1" si="4"/>
        <v>2.2000000000000002</v>
      </c>
      <c r="F280" s="612"/>
      <c r="G280" s="612"/>
      <c r="H280" s="612"/>
      <c r="I280" s="612"/>
      <c r="J280" s="612"/>
      <c r="K280" s="612"/>
      <c r="L280" s="612"/>
      <c r="M280" s="612"/>
      <c r="N280" s="612"/>
      <c r="O280" s="612"/>
      <c r="P280" s="612"/>
      <c r="Q280" s="612"/>
      <c r="R280" s="612"/>
      <c r="S280" s="612"/>
      <c r="T280" s="612"/>
      <c r="U280" s="612"/>
      <c r="V280" s="612"/>
      <c r="W280" s="612"/>
      <c r="X280" s="612"/>
      <c r="Y280" s="647"/>
      <c r="AW280" s="612"/>
      <c r="AX280" s="612"/>
      <c r="AY280" s="612"/>
      <c r="AZ280" s="612"/>
    </row>
    <row r="281" spans="1:52" outlineLevel="1" x14ac:dyDescent="0.3">
      <c r="A281" s="1946">
        <v>42370</v>
      </c>
      <c r="B281" s="1947"/>
      <c r="C281" s="855">
        <f t="shared" ca="1" si="2"/>
        <v>113.66527840807856</v>
      </c>
      <c r="D281" s="856">
        <f t="shared" ca="1" si="3"/>
        <v>18.105874123716191</v>
      </c>
      <c r="E281" s="857">
        <f t="shared" ca="1" si="4"/>
        <v>2.004</v>
      </c>
      <c r="F281" s="612"/>
      <c r="G281" s="612"/>
      <c r="H281" s="612"/>
      <c r="I281" s="612"/>
      <c r="J281" s="612"/>
      <c r="K281" s="612"/>
      <c r="L281" s="612"/>
      <c r="M281" s="612"/>
      <c r="N281" s="612"/>
      <c r="O281" s="612"/>
      <c r="P281" s="612"/>
      <c r="Q281" s="612"/>
      <c r="R281" s="612"/>
      <c r="S281" s="612"/>
      <c r="T281" s="612"/>
      <c r="U281" s="612"/>
      <c r="V281" s="612"/>
      <c r="W281" s="612"/>
      <c r="X281" s="612"/>
      <c r="Y281" s="647"/>
      <c r="AW281" s="612"/>
      <c r="AX281" s="612"/>
      <c r="AY281" s="612"/>
      <c r="AZ281" s="612"/>
    </row>
    <row r="282" spans="1:52" outlineLevel="1" x14ac:dyDescent="0.3">
      <c r="A282" s="1811">
        <v>42401</v>
      </c>
      <c r="B282" s="1812"/>
      <c r="C282" s="855">
        <f t="shared" ca="1" si="2"/>
        <v>102.15330785558639</v>
      </c>
      <c r="D282" s="856">
        <f t="shared" ca="1" si="3"/>
        <v>12.609699558786209</v>
      </c>
      <c r="E282" s="857">
        <f t="shared" ca="1" si="4"/>
        <v>2.97</v>
      </c>
      <c r="F282" s="612"/>
      <c r="G282" s="612"/>
      <c r="H282" s="612"/>
      <c r="I282" s="612"/>
      <c r="J282" s="612"/>
      <c r="K282" s="612"/>
      <c r="L282" s="612"/>
      <c r="M282" s="612"/>
      <c r="N282" s="612"/>
      <c r="O282" s="612"/>
      <c r="P282" s="612"/>
      <c r="Q282" s="612"/>
      <c r="R282" s="612"/>
      <c r="S282" s="612"/>
      <c r="T282" s="612"/>
      <c r="U282" s="612"/>
      <c r="V282" s="612"/>
      <c r="W282" s="612"/>
      <c r="X282" s="612"/>
      <c r="Y282" s="647"/>
      <c r="AW282" s="612"/>
      <c r="AX282" s="612"/>
      <c r="AY282" s="612"/>
      <c r="AZ282" s="612"/>
    </row>
    <row r="283" spans="1:52" outlineLevel="1" x14ac:dyDescent="0.3">
      <c r="A283" s="1811">
        <v>42430</v>
      </c>
      <c r="B283" s="1812"/>
      <c r="C283" s="855">
        <f t="shared" ca="1" si="2"/>
        <v>92.032924561641124</v>
      </c>
      <c r="D283" s="856">
        <f t="shared" ca="1" si="3"/>
        <v>12.219487123971039</v>
      </c>
      <c r="E283" s="857">
        <f t="shared" ca="1" si="4"/>
        <v>2.165</v>
      </c>
      <c r="F283" s="612"/>
      <c r="G283" s="612"/>
      <c r="H283" s="612"/>
      <c r="I283" s="612"/>
      <c r="J283" s="612"/>
      <c r="K283" s="612"/>
      <c r="L283" s="612"/>
      <c r="M283" s="612"/>
      <c r="N283" s="612"/>
      <c r="O283" s="612"/>
      <c r="P283" s="612"/>
      <c r="Q283" s="612"/>
      <c r="R283" s="612"/>
      <c r="S283" s="612"/>
      <c r="T283" s="612"/>
      <c r="U283" s="612"/>
      <c r="V283" s="612"/>
      <c r="W283" s="612"/>
      <c r="X283" s="612"/>
      <c r="Y283" s="647"/>
      <c r="AW283" s="612"/>
      <c r="AX283" s="612"/>
      <c r="AY283" s="612"/>
      <c r="AZ283" s="612"/>
    </row>
    <row r="284" spans="1:52" outlineLevel="1" x14ac:dyDescent="0.3">
      <c r="A284" s="1811">
        <v>42461</v>
      </c>
      <c r="B284" s="1812"/>
      <c r="C284" s="855">
        <f t="shared" ca="1" si="2"/>
        <v>57.390607796100561</v>
      </c>
      <c r="D284" s="856">
        <f t="shared" ca="1" si="3"/>
        <v>6.9950986930345893</v>
      </c>
      <c r="E284" s="857">
        <f t="shared" ca="1" si="4"/>
        <v>0.86199999999999999</v>
      </c>
      <c r="F284" s="612"/>
      <c r="G284" s="612"/>
      <c r="H284" s="612"/>
      <c r="I284" s="612"/>
      <c r="J284" s="612"/>
      <c r="K284" s="612"/>
      <c r="L284" s="612"/>
      <c r="M284" s="612"/>
      <c r="N284" s="612"/>
      <c r="O284" s="612"/>
      <c r="P284" s="612"/>
      <c r="Q284" s="612"/>
      <c r="R284" s="612"/>
      <c r="S284" s="612"/>
      <c r="T284" s="612"/>
      <c r="U284" s="612"/>
      <c r="V284" s="612"/>
      <c r="W284" s="612"/>
      <c r="X284" s="612"/>
      <c r="Y284" s="647"/>
      <c r="AW284" s="612"/>
      <c r="AX284" s="612"/>
      <c r="AY284" s="612"/>
      <c r="AZ284" s="612"/>
    </row>
    <row r="285" spans="1:52" outlineLevel="1" x14ac:dyDescent="0.3">
      <c r="A285" s="1811">
        <v>42491</v>
      </c>
      <c r="B285" s="1812"/>
      <c r="C285" s="855">
        <f t="shared" ca="1" si="2"/>
        <v>55.699575264630532</v>
      </c>
      <c r="D285" s="856">
        <f t="shared" ca="1" si="3"/>
        <v>6.1900362861615976</v>
      </c>
      <c r="E285" s="857">
        <f t="shared" ca="1" si="4"/>
        <v>0.79500000000000004</v>
      </c>
      <c r="F285" s="612"/>
      <c r="G285" s="612"/>
      <c r="H285" s="612"/>
      <c r="I285" s="612"/>
      <c r="J285" s="612"/>
      <c r="K285" s="612"/>
      <c r="L285" s="612"/>
      <c r="M285" s="612"/>
      <c r="N285" s="612"/>
      <c r="O285" s="612"/>
      <c r="P285" s="612"/>
      <c r="Q285" s="612"/>
      <c r="R285" s="612"/>
      <c r="S285" s="612"/>
      <c r="T285" s="612"/>
      <c r="U285" s="612"/>
      <c r="V285" s="612"/>
      <c r="W285" s="612"/>
      <c r="X285" s="612"/>
      <c r="Y285" s="647"/>
      <c r="AW285" s="612"/>
      <c r="AX285" s="612"/>
      <c r="AY285" s="612"/>
      <c r="AZ285" s="612"/>
    </row>
    <row r="286" spans="1:52" outlineLevel="1" x14ac:dyDescent="0.3">
      <c r="A286" s="1811">
        <v>42522</v>
      </c>
      <c r="B286" s="1812"/>
      <c r="C286" s="855">
        <f t="shared" ca="1" si="2"/>
        <v>45.838776888322961</v>
      </c>
      <c r="D286" s="856">
        <f t="shared" ca="1" si="3"/>
        <v>2.6287907600549798</v>
      </c>
      <c r="E286" s="857">
        <f t="shared" ca="1" si="4"/>
        <v>1.3740000000000001</v>
      </c>
      <c r="F286" s="612"/>
      <c r="G286" s="612"/>
      <c r="H286" s="612"/>
      <c r="I286" s="612"/>
      <c r="J286" s="612"/>
      <c r="K286" s="612"/>
      <c r="L286" s="612"/>
      <c r="M286" s="612"/>
      <c r="N286" s="612"/>
      <c r="O286" s="612"/>
      <c r="P286" s="612"/>
      <c r="Q286" s="612"/>
      <c r="R286" s="612"/>
      <c r="S286" s="612"/>
      <c r="T286" s="612"/>
      <c r="U286" s="612"/>
      <c r="V286" s="612"/>
      <c r="W286" s="612"/>
      <c r="X286" s="612"/>
      <c r="Y286" s="647"/>
      <c r="AW286" s="612"/>
      <c r="AX286" s="612"/>
      <c r="AY286" s="612"/>
      <c r="AZ286" s="612"/>
    </row>
    <row r="287" spans="1:52" outlineLevel="1" x14ac:dyDescent="0.3">
      <c r="A287" s="1811">
        <v>42552</v>
      </c>
      <c r="B287" s="1812"/>
      <c r="C287" s="855">
        <f t="shared" ca="1" si="2"/>
        <v>47.819811903232178</v>
      </c>
      <c r="D287" s="856">
        <f t="shared" ca="1" si="3"/>
        <v>2.4285142831424009</v>
      </c>
      <c r="E287" s="857">
        <f t="shared" ca="1" si="4"/>
        <v>1.631</v>
      </c>
      <c r="F287" s="612"/>
      <c r="G287" s="612"/>
      <c r="H287" s="612"/>
      <c r="I287" s="612"/>
      <c r="J287" s="612"/>
      <c r="K287" s="612"/>
      <c r="L287" s="612"/>
      <c r="M287" s="612"/>
      <c r="N287" s="612"/>
      <c r="O287" s="612"/>
      <c r="P287" s="612"/>
      <c r="Q287" s="612"/>
      <c r="R287" s="612"/>
      <c r="S287" s="612"/>
      <c r="T287" s="612"/>
      <c r="U287" s="612"/>
      <c r="V287" s="612"/>
      <c r="W287" s="612"/>
      <c r="X287" s="612"/>
      <c r="Y287" s="647"/>
      <c r="AW287" s="612"/>
      <c r="AX287" s="612"/>
      <c r="AY287" s="612"/>
      <c r="AZ287" s="612"/>
    </row>
    <row r="288" spans="1:52" outlineLevel="1" x14ac:dyDescent="0.3">
      <c r="A288" s="1811">
        <v>42583</v>
      </c>
      <c r="B288" s="1812"/>
      <c r="C288" s="855">
        <f t="shared" ca="1" si="2"/>
        <v>51.38175067679682</v>
      </c>
      <c r="D288" s="856">
        <f t="shared" ca="1" si="3"/>
        <v>2.7213645106571978</v>
      </c>
      <c r="E288" s="857">
        <f t="shared" ca="1" si="4"/>
        <v>2.3639999999999999</v>
      </c>
      <c r="F288" s="612"/>
      <c r="G288" s="612"/>
      <c r="H288" s="612"/>
      <c r="I288" s="612"/>
      <c r="J288" s="612"/>
      <c r="K288" s="612"/>
      <c r="L288" s="612"/>
      <c r="M288" s="612"/>
      <c r="N288" s="612"/>
      <c r="O288" s="612"/>
      <c r="P288" s="612"/>
      <c r="Q288" s="612"/>
      <c r="R288" s="612"/>
      <c r="S288" s="612"/>
      <c r="T288" s="612"/>
      <c r="U288" s="612"/>
      <c r="V288" s="612"/>
      <c r="W288" s="612"/>
      <c r="X288" s="612"/>
      <c r="Y288" s="647"/>
      <c r="AW288" s="612"/>
      <c r="AX288" s="612"/>
      <c r="AY288" s="612"/>
      <c r="AZ288" s="612"/>
    </row>
    <row r="289" spans="1:52" outlineLevel="1" x14ac:dyDescent="0.3">
      <c r="A289" s="1811">
        <v>42614</v>
      </c>
      <c r="B289" s="1812"/>
      <c r="C289" s="855">
        <f t="shared" ca="1" si="2"/>
        <v>65.636559674753059</v>
      </c>
      <c r="D289" s="856">
        <f t="shared" ca="1" si="3"/>
        <v>5.6569072059323897</v>
      </c>
      <c r="E289" s="857">
        <f t="shared" ca="1" si="4"/>
        <v>2.351</v>
      </c>
      <c r="F289" s="612"/>
      <c r="G289" s="612"/>
      <c r="H289" s="612"/>
      <c r="I289" s="612"/>
      <c r="J289" s="612"/>
      <c r="K289" s="612"/>
      <c r="L289" s="612"/>
      <c r="M289" s="612"/>
      <c r="N289" s="612"/>
      <c r="O289" s="612"/>
      <c r="P289" s="612"/>
      <c r="Q289" s="612"/>
      <c r="R289" s="612"/>
      <c r="S289" s="612"/>
      <c r="T289" s="612"/>
      <c r="U289" s="612"/>
      <c r="V289" s="612"/>
      <c r="W289" s="612"/>
      <c r="X289" s="612"/>
      <c r="Y289" s="647"/>
      <c r="AW289" s="612"/>
      <c r="AX289" s="612"/>
      <c r="AY289" s="612"/>
      <c r="AZ289" s="612"/>
    </row>
    <row r="290" spans="1:52" outlineLevel="1" x14ac:dyDescent="0.3">
      <c r="A290" s="1811">
        <v>42644</v>
      </c>
      <c r="B290" s="1812"/>
      <c r="C290" s="855">
        <f t="shared" ca="1" si="2"/>
        <v>106.61550104834454</v>
      </c>
      <c r="D290" s="856">
        <f t="shared" ca="1" si="3"/>
        <v>12.778760927886029</v>
      </c>
      <c r="E290" s="857">
        <f t="shared" ca="1" si="4"/>
        <v>2.6589999999999998</v>
      </c>
      <c r="F290" s="612"/>
      <c r="G290" s="612"/>
      <c r="H290" s="612"/>
      <c r="I290" s="612"/>
      <c r="J290" s="612"/>
      <c r="K290" s="612"/>
      <c r="L290" s="612"/>
      <c r="M290" s="612"/>
      <c r="N290" s="612"/>
      <c r="O290" s="612"/>
      <c r="P290" s="612"/>
      <c r="Q290" s="612"/>
      <c r="R290" s="612"/>
      <c r="S290" s="612"/>
      <c r="T290" s="612"/>
      <c r="U290" s="612"/>
      <c r="V290" s="612"/>
      <c r="W290" s="612"/>
      <c r="X290" s="612"/>
      <c r="Y290" s="647"/>
      <c r="AW290" s="612"/>
      <c r="AX290" s="612"/>
      <c r="AY290" s="612"/>
      <c r="AZ290" s="612"/>
    </row>
    <row r="291" spans="1:52" outlineLevel="1" x14ac:dyDescent="0.3">
      <c r="A291" s="1811">
        <v>42675</v>
      </c>
      <c r="B291" s="1812"/>
      <c r="C291" s="855">
        <f t="shared" ca="1" si="2"/>
        <v>109.7877683159076</v>
      </c>
      <c r="D291" s="856">
        <f t="shared" ca="1" si="3"/>
        <v>11.923103326329612</v>
      </c>
      <c r="E291" s="857">
        <f t="shared" ca="1" si="4"/>
        <v>3.3029999999999999</v>
      </c>
      <c r="F291" s="612"/>
      <c r="G291" s="612"/>
      <c r="H291" s="612"/>
      <c r="I291" s="612"/>
      <c r="J291" s="612"/>
      <c r="K291" s="612"/>
      <c r="L291" s="612"/>
      <c r="M291" s="612"/>
      <c r="N291" s="612"/>
      <c r="O291" s="612"/>
      <c r="P291" s="612"/>
      <c r="Q291" s="612"/>
      <c r="R291" s="612"/>
      <c r="S291" s="612"/>
      <c r="T291" s="612"/>
      <c r="U291" s="612"/>
      <c r="V291" s="612"/>
      <c r="W291" s="612"/>
      <c r="X291" s="612"/>
      <c r="Y291" s="647"/>
      <c r="AW291" s="612"/>
      <c r="AX291" s="612"/>
      <c r="AY291" s="612"/>
      <c r="AZ291" s="612"/>
    </row>
    <row r="292" spans="1:52" outlineLevel="1" x14ac:dyDescent="0.3">
      <c r="A292" s="1944">
        <v>42705</v>
      </c>
      <c r="B292" s="1945"/>
      <c r="C292" s="855">
        <f t="shared" ca="1" si="2"/>
        <v>158.43155024460896</v>
      </c>
      <c r="D292" s="856">
        <f t="shared" ca="1" si="3"/>
        <v>22.975462335017482</v>
      </c>
      <c r="E292" s="863">
        <f t="shared" ca="1" si="4"/>
        <v>2.5790000000000002</v>
      </c>
      <c r="F292" s="612"/>
      <c r="G292" s="612"/>
      <c r="H292" s="612"/>
      <c r="I292" s="612"/>
      <c r="J292" s="612"/>
      <c r="K292" s="612"/>
      <c r="L292" s="612"/>
      <c r="M292" s="612"/>
      <c r="N292" s="612"/>
      <c r="O292" s="612"/>
      <c r="P292" s="612"/>
      <c r="Q292" s="612"/>
      <c r="R292" s="612"/>
      <c r="S292" s="612"/>
      <c r="T292" s="612"/>
      <c r="U292" s="612"/>
      <c r="V292" s="612"/>
      <c r="W292" s="612"/>
      <c r="X292" s="612"/>
      <c r="Y292" s="647"/>
      <c r="AW292" s="612"/>
      <c r="AX292" s="612"/>
      <c r="AY292" s="612"/>
      <c r="AZ292" s="612"/>
    </row>
    <row r="293" spans="1:52" outlineLevel="1" x14ac:dyDescent="0.3">
      <c r="A293" s="1946">
        <v>42736</v>
      </c>
      <c r="B293" s="1947"/>
      <c r="C293" s="858">
        <f t="shared" ca="1" si="2"/>
        <v>192.15131520131538</v>
      </c>
      <c r="D293" s="859">
        <f t="shared" ca="1" si="3"/>
        <v>20.208502726578462</v>
      </c>
      <c r="E293" s="857">
        <f t="shared" ca="1" si="4"/>
        <v>3.7450000000000001</v>
      </c>
      <c r="F293" s="612"/>
      <c r="G293" s="612"/>
      <c r="H293" s="612"/>
      <c r="I293" s="612"/>
      <c r="J293" s="612"/>
      <c r="K293" s="612"/>
      <c r="L293" s="612"/>
      <c r="M293" s="612"/>
      <c r="N293" s="612"/>
      <c r="O293" s="612"/>
      <c r="P293" s="612"/>
      <c r="Q293" s="612"/>
      <c r="R293" s="612"/>
      <c r="S293" s="612"/>
      <c r="T293" s="612"/>
      <c r="U293" s="612"/>
      <c r="V293" s="612"/>
      <c r="W293" s="612"/>
      <c r="X293" s="612"/>
      <c r="Y293" s="647"/>
    </row>
    <row r="294" spans="1:52" outlineLevel="1" x14ac:dyDescent="0.3">
      <c r="A294" s="1811">
        <v>42767</v>
      </c>
      <c r="B294" s="1812"/>
      <c r="C294" s="855">
        <f t="shared" ca="1" si="2"/>
        <v>155.93448000739468</v>
      </c>
      <c r="D294" s="856">
        <f t="shared" ca="1" si="3"/>
        <v>18.952457703042239</v>
      </c>
      <c r="E294" s="857">
        <f t="shared" ca="1" si="4"/>
        <v>2.6419999999999999</v>
      </c>
      <c r="F294" s="612"/>
      <c r="G294" s="612"/>
      <c r="H294" s="612"/>
      <c r="I294" s="612"/>
      <c r="J294" s="612"/>
      <c r="K294" s="612"/>
      <c r="L294" s="612"/>
      <c r="M294" s="612"/>
      <c r="N294" s="612"/>
      <c r="O294" s="612"/>
      <c r="P294" s="612"/>
      <c r="Q294" s="612"/>
      <c r="R294" s="612"/>
      <c r="S294" s="612"/>
      <c r="T294" s="612"/>
      <c r="U294" s="612"/>
      <c r="V294" s="612"/>
      <c r="W294" s="612"/>
      <c r="X294" s="612"/>
      <c r="Y294" s="647"/>
    </row>
    <row r="295" spans="1:52" outlineLevel="1" x14ac:dyDescent="0.3">
      <c r="A295" s="1811">
        <v>42795</v>
      </c>
      <c r="B295" s="1812"/>
      <c r="C295" s="855">
        <f t="shared" ca="1" si="2"/>
        <v>134.24090970261412</v>
      </c>
      <c r="D295" s="856">
        <f t="shared" ca="1" si="3"/>
        <v>17.127877998710133</v>
      </c>
      <c r="E295" s="857">
        <f t="shared" ca="1" si="4"/>
        <v>1.885</v>
      </c>
      <c r="F295" s="612"/>
      <c r="G295" s="612"/>
      <c r="H295" s="612"/>
      <c r="I295" s="612"/>
      <c r="J295" s="612"/>
      <c r="K295" s="612"/>
      <c r="L295" s="612"/>
      <c r="M295" s="612"/>
      <c r="N295" s="612"/>
      <c r="O295" s="612"/>
      <c r="P295" s="612"/>
      <c r="Q295" s="612"/>
      <c r="R295" s="612"/>
      <c r="S295" s="612"/>
      <c r="T295" s="612"/>
      <c r="U295" s="612"/>
      <c r="V295" s="612"/>
      <c r="W295" s="612"/>
      <c r="X295" s="612"/>
      <c r="Y295" s="647"/>
    </row>
    <row r="296" spans="1:52" outlineLevel="1" x14ac:dyDescent="0.3">
      <c r="A296" s="1811">
        <v>42826</v>
      </c>
      <c r="B296" s="1812"/>
      <c r="C296" s="855">
        <f t="shared" ca="1" si="2"/>
        <v>100.21660758273963</v>
      </c>
      <c r="D296" s="856">
        <f t="shared" ca="1" si="3"/>
        <v>10.428180232781104</v>
      </c>
      <c r="E296" s="857">
        <f t="shared" ca="1" si="4"/>
        <v>2.2669999999999999</v>
      </c>
      <c r="F296" s="612"/>
      <c r="G296" s="612"/>
      <c r="H296" s="612"/>
      <c r="I296" s="612"/>
      <c r="J296" s="612"/>
      <c r="K296" s="612"/>
      <c r="L296" s="612"/>
      <c r="M296" s="612"/>
      <c r="N296" s="612"/>
      <c r="O296" s="612"/>
      <c r="P296" s="612"/>
      <c r="Q296" s="612"/>
      <c r="R296" s="612"/>
      <c r="S296" s="612"/>
      <c r="T296" s="612"/>
      <c r="U296" s="612"/>
      <c r="V296" s="612"/>
      <c r="W296" s="612"/>
      <c r="X296" s="612"/>
      <c r="Y296" s="647"/>
    </row>
    <row r="297" spans="1:52" outlineLevel="1" x14ac:dyDescent="0.3">
      <c r="A297" s="1811">
        <v>42856</v>
      </c>
      <c r="B297" s="1812"/>
      <c r="C297" s="855">
        <f t="shared" ca="1" si="2"/>
        <v>66.036502159408244</v>
      </c>
      <c r="D297" s="856">
        <f t="shared" ca="1" si="3"/>
        <v>5.1525323465352963</v>
      </c>
      <c r="E297" s="857">
        <f t="shared" ca="1" si="4"/>
        <v>1.952</v>
      </c>
      <c r="F297" s="612"/>
      <c r="G297" s="612"/>
      <c r="H297" s="612"/>
      <c r="I297" s="612"/>
      <c r="J297" s="612"/>
      <c r="K297" s="612"/>
      <c r="L297" s="612"/>
      <c r="M297" s="612"/>
      <c r="N297" s="612"/>
      <c r="O297" s="612"/>
      <c r="P297" s="612"/>
      <c r="Q297" s="612"/>
      <c r="R297" s="612"/>
      <c r="S297" s="612"/>
      <c r="T297" s="612"/>
      <c r="U297" s="612"/>
      <c r="V297" s="612"/>
      <c r="W297" s="612"/>
      <c r="X297" s="612"/>
      <c r="Y297" s="647"/>
    </row>
    <row r="298" spans="1:52" outlineLevel="1" x14ac:dyDescent="0.3">
      <c r="A298" s="1811">
        <v>42887</v>
      </c>
      <c r="B298" s="1812"/>
      <c r="C298" s="855">
        <f t="shared" ref="C298:C322" ca="1" si="5">VLOOKUP($A298,INDIRECT("'"&amp;$A$232&amp;"'!"&amp;"$A$5:$M$100"),6,FALSE)</f>
        <v>50.967416976199523</v>
      </c>
      <c r="D298" s="856">
        <f t="shared" ref="D298:D322" ca="1" si="6">VLOOKUP($A298,INDIRECT("'"&amp;$A$232&amp;"'!"&amp;"$A$5:$M$100"),3,FALSE)</f>
        <v>3.0371525091241911</v>
      </c>
      <c r="E298" s="857">
        <f t="shared" ref="E298:E322" ca="1" si="7">VLOOKUP($A298,INDIRECT("'"&amp;$A$232&amp;"'!"&amp;"$A$5:$N$100"),14,FALSE)</f>
        <v>1.2350000000000001</v>
      </c>
      <c r="F298" s="612"/>
      <c r="G298" s="612"/>
      <c r="H298" s="612"/>
      <c r="I298" s="612"/>
      <c r="J298" s="612"/>
      <c r="K298" s="612"/>
      <c r="L298" s="612"/>
      <c r="M298" s="612"/>
      <c r="N298" s="612"/>
      <c r="O298" s="612"/>
      <c r="P298" s="612"/>
      <c r="Q298" s="612"/>
      <c r="R298" s="612"/>
      <c r="S298" s="612"/>
      <c r="T298" s="612"/>
      <c r="U298" s="612"/>
      <c r="V298" s="612"/>
      <c r="W298" s="612"/>
      <c r="X298" s="612"/>
      <c r="Y298" s="647"/>
    </row>
    <row r="299" spans="1:52" outlineLevel="1" x14ac:dyDescent="0.3">
      <c r="A299" s="1811">
        <v>42917</v>
      </c>
      <c r="B299" s="1812"/>
      <c r="C299" s="855">
        <f t="shared" ca="1" si="5"/>
        <v>52.739315303329278</v>
      </c>
      <c r="D299" s="856">
        <f t="shared" ca="1" si="6"/>
        <v>2.582040039601218</v>
      </c>
      <c r="E299" s="857">
        <f t="shared" ca="1" si="7"/>
        <v>1.8220000000000001</v>
      </c>
      <c r="F299" s="612"/>
      <c r="G299" s="612"/>
      <c r="H299" s="612"/>
      <c r="I299" s="612"/>
      <c r="J299" s="612"/>
      <c r="K299" s="612"/>
      <c r="L299" s="612"/>
      <c r="M299" s="612"/>
      <c r="N299" s="612"/>
      <c r="O299" s="612"/>
      <c r="P299" s="612"/>
      <c r="Q299" s="612"/>
      <c r="R299" s="612"/>
      <c r="S299" s="612"/>
      <c r="T299" s="612"/>
      <c r="U299" s="612"/>
      <c r="V299" s="612"/>
      <c r="W299" s="612"/>
      <c r="X299" s="612"/>
      <c r="Y299" s="647"/>
    </row>
    <row r="300" spans="1:52" outlineLevel="1" x14ac:dyDescent="0.3">
      <c r="A300" s="1811">
        <v>42948</v>
      </c>
      <c r="B300" s="1812"/>
      <c r="C300" s="855">
        <f t="shared" ca="1" si="5"/>
        <v>53.567577467174374</v>
      </c>
      <c r="D300" s="856">
        <f t="shared" ca="1" si="6"/>
        <v>2.7079094858985315</v>
      </c>
      <c r="E300" s="857">
        <f t="shared" ca="1" si="7"/>
        <v>2.3279999999999998</v>
      </c>
      <c r="F300" s="612"/>
      <c r="G300" s="612"/>
      <c r="H300" s="612"/>
      <c r="I300" s="612"/>
      <c r="J300" s="612"/>
      <c r="K300" s="612"/>
      <c r="L300" s="612"/>
      <c r="M300" s="612"/>
      <c r="N300" s="612"/>
      <c r="O300" s="612"/>
      <c r="P300" s="612"/>
      <c r="Q300" s="612"/>
      <c r="R300" s="612"/>
      <c r="S300" s="612"/>
      <c r="T300" s="612"/>
      <c r="U300" s="612"/>
      <c r="V300" s="612"/>
      <c r="W300" s="612"/>
      <c r="X300" s="612"/>
      <c r="Y300" s="647"/>
    </row>
    <row r="301" spans="1:52" outlineLevel="1" x14ac:dyDescent="0.3">
      <c r="A301" s="1811">
        <v>42979</v>
      </c>
      <c r="B301" s="1812"/>
      <c r="C301" s="855">
        <f t="shared" ca="1" si="5"/>
        <v>61.991489151410498</v>
      </c>
      <c r="D301" s="856">
        <f t="shared" ca="1" si="6"/>
        <v>5.3309229069401551</v>
      </c>
      <c r="E301" s="857">
        <f t="shared" ca="1" si="7"/>
        <v>1.4339999999999999</v>
      </c>
      <c r="F301" s="612"/>
      <c r="G301" s="612"/>
      <c r="H301" s="612"/>
      <c r="I301" s="612"/>
      <c r="J301" s="612"/>
      <c r="K301" s="612"/>
      <c r="L301" s="612"/>
      <c r="M301" s="612"/>
      <c r="N301" s="612"/>
      <c r="O301" s="612"/>
      <c r="P301" s="612"/>
      <c r="Q301" s="612"/>
      <c r="R301" s="612"/>
      <c r="S301" s="612"/>
      <c r="T301" s="612"/>
      <c r="U301" s="612"/>
      <c r="V301" s="612"/>
      <c r="W301" s="612"/>
      <c r="X301" s="612"/>
      <c r="Y301" s="647"/>
    </row>
    <row r="302" spans="1:52" outlineLevel="1" x14ac:dyDescent="0.3">
      <c r="A302" s="1811">
        <v>43009</v>
      </c>
      <c r="B302" s="1812"/>
      <c r="C302" s="855">
        <f t="shared" ca="1" si="5"/>
        <v>87.916472197210851</v>
      </c>
      <c r="D302" s="856">
        <f t="shared" ca="1" si="6"/>
        <v>9.9233084229462563</v>
      </c>
      <c r="E302" s="857">
        <f t="shared" ca="1" si="7"/>
        <v>1.6819999999999999</v>
      </c>
      <c r="F302" s="612"/>
      <c r="G302" s="612"/>
      <c r="H302" s="612"/>
      <c r="I302" s="612"/>
      <c r="J302" s="612"/>
      <c r="K302" s="612"/>
      <c r="L302" s="612"/>
      <c r="M302" s="612"/>
      <c r="N302" s="612"/>
      <c r="O302" s="612"/>
      <c r="P302" s="612"/>
      <c r="Q302" s="612"/>
      <c r="R302" s="612"/>
      <c r="S302" s="612"/>
      <c r="T302" s="612"/>
      <c r="U302" s="612"/>
      <c r="V302" s="612"/>
      <c r="W302" s="612"/>
      <c r="X302" s="612"/>
      <c r="Y302" s="647"/>
    </row>
    <row r="303" spans="1:52" outlineLevel="1" x14ac:dyDescent="0.3">
      <c r="A303" s="1811">
        <v>43040</v>
      </c>
      <c r="B303" s="1812"/>
      <c r="C303" s="855">
        <f t="shared" ca="1" si="5"/>
        <v>129.83186386517079</v>
      </c>
      <c r="D303" s="856">
        <f t="shared" ca="1" si="6"/>
        <v>17.884936436085585</v>
      </c>
      <c r="E303" s="857">
        <f t="shared" ca="1" si="7"/>
        <v>1.825</v>
      </c>
      <c r="F303" s="612"/>
      <c r="G303" s="612"/>
      <c r="H303" s="612"/>
      <c r="I303" s="612"/>
      <c r="J303" s="612"/>
      <c r="K303" s="612"/>
      <c r="L303" s="612"/>
      <c r="M303" s="612"/>
      <c r="N303" s="612"/>
      <c r="O303" s="612"/>
      <c r="P303" s="612"/>
      <c r="Q303" s="612"/>
      <c r="R303" s="612"/>
      <c r="S303" s="612"/>
      <c r="T303" s="612"/>
      <c r="U303" s="612"/>
      <c r="V303" s="612"/>
      <c r="W303" s="612"/>
      <c r="X303" s="612"/>
      <c r="Y303" s="647"/>
    </row>
    <row r="304" spans="1:52" outlineLevel="1" x14ac:dyDescent="0.3">
      <c r="A304" s="1944">
        <v>43070</v>
      </c>
      <c r="B304" s="1945"/>
      <c r="C304" s="861">
        <f t="shared" ca="1" si="5"/>
        <v>134.75395540569266</v>
      </c>
      <c r="D304" s="862">
        <f t="shared" ca="1" si="6"/>
        <v>16.79731043937776</v>
      </c>
      <c r="E304" s="863">
        <f t="shared" ca="1" si="7"/>
        <v>2.3029999999999999</v>
      </c>
      <c r="F304" s="612"/>
      <c r="G304" s="612"/>
      <c r="H304" s="612"/>
      <c r="I304" s="612"/>
      <c r="J304" s="612"/>
      <c r="K304" s="612"/>
      <c r="L304" s="612"/>
      <c r="M304" s="612"/>
      <c r="N304" s="612"/>
      <c r="O304" s="612"/>
      <c r="P304" s="612"/>
      <c r="Q304" s="612"/>
      <c r="R304" s="612"/>
      <c r="S304" s="612"/>
      <c r="T304" s="612"/>
      <c r="U304" s="612"/>
      <c r="V304" s="612"/>
      <c r="W304" s="612"/>
      <c r="X304" s="612"/>
      <c r="Y304" s="647"/>
    </row>
    <row r="305" spans="1:25" outlineLevel="1" x14ac:dyDescent="0.3">
      <c r="A305" s="1946">
        <v>43101</v>
      </c>
      <c r="B305" s="1947"/>
      <c r="C305" s="858">
        <f t="shared" ca="1" si="5"/>
        <v>151.08348440722767</v>
      </c>
      <c r="D305" s="859">
        <f t="shared" ca="1" si="6"/>
        <v>19.379903428592719</v>
      </c>
      <c r="E305" s="857">
        <f t="shared" ca="1" si="7"/>
        <v>1.911</v>
      </c>
      <c r="F305" s="612"/>
      <c r="G305" s="612"/>
      <c r="H305" s="612"/>
      <c r="I305" s="612"/>
      <c r="J305" s="612"/>
      <c r="K305" s="612"/>
      <c r="L305" s="612"/>
      <c r="M305" s="612"/>
      <c r="N305" s="612"/>
      <c r="O305" s="612"/>
      <c r="P305" s="612"/>
      <c r="Q305" s="612"/>
      <c r="R305" s="612"/>
      <c r="S305" s="612"/>
      <c r="T305" s="612"/>
      <c r="U305" s="612"/>
      <c r="V305" s="612"/>
      <c r="W305" s="612"/>
      <c r="X305" s="612"/>
      <c r="Y305" s="647"/>
    </row>
    <row r="306" spans="1:25" outlineLevel="1" x14ac:dyDescent="0.3">
      <c r="A306" s="1811">
        <v>43132</v>
      </c>
      <c r="B306" s="1812"/>
      <c r="C306" s="855">
        <f t="shared" ca="1" si="5"/>
        <v>174.28956965864296</v>
      </c>
      <c r="D306" s="856">
        <f t="shared" ca="1" si="6"/>
        <v>22.136199814862515</v>
      </c>
      <c r="E306" s="857">
        <f t="shared" ca="1" si="7"/>
        <v>2.3279999999999998</v>
      </c>
      <c r="F306" s="612"/>
      <c r="G306" s="612"/>
      <c r="H306" s="612"/>
      <c r="I306" s="612"/>
      <c r="J306" s="612"/>
      <c r="K306" s="612"/>
      <c r="L306" s="612"/>
      <c r="M306" s="612"/>
      <c r="N306" s="612"/>
      <c r="O306" s="612"/>
      <c r="P306" s="612"/>
      <c r="Q306" s="612"/>
      <c r="R306" s="612"/>
      <c r="S306" s="612"/>
      <c r="T306" s="612"/>
      <c r="U306" s="612"/>
      <c r="V306" s="612"/>
      <c r="W306" s="612"/>
      <c r="X306" s="612"/>
      <c r="Y306" s="647"/>
    </row>
    <row r="307" spans="1:25" outlineLevel="1" x14ac:dyDescent="0.3">
      <c r="A307" s="1811">
        <v>43160</v>
      </c>
      <c r="B307" s="1812"/>
      <c r="C307" s="855">
        <f t="shared" ca="1" si="5"/>
        <v>125.75181616504598</v>
      </c>
      <c r="D307" s="856">
        <f t="shared" ca="1" si="6"/>
        <v>16.888538624953767</v>
      </c>
      <c r="E307" s="857">
        <f t="shared" ca="1" si="7"/>
        <v>1.7330000000000001</v>
      </c>
      <c r="F307" s="612"/>
      <c r="G307" s="612"/>
      <c r="H307" s="612"/>
      <c r="I307" s="612"/>
      <c r="J307" s="612"/>
      <c r="K307" s="612"/>
      <c r="L307" s="612"/>
      <c r="M307" s="612"/>
      <c r="N307" s="612"/>
      <c r="O307" s="612"/>
      <c r="P307" s="612"/>
      <c r="Q307" s="612"/>
      <c r="R307" s="612"/>
      <c r="S307" s="612"/>
      <c r="T307" s="612"/>
      <c r="U307" s="612"/>
      <c r="V307" s="612"/>
      <c r="W307" s="612"/>
      <c r="X307" s="612"/>
      <c r="Y307" s="647"/>
    </row>
    <row r="308" spans="1:25" outlineLevel="1" x14ac:dyDescent="0.3">
      <c r="A308" s="1811">
        <v>43191</v>
      </c>
      <c r="B308" s="1812"/>
      <c r="C308" s="855">
        <f t="shared" ca="1" si="5"/>
        <v>105.73382805571367</v>
      </c>
      <c r="D308" s="856">
        <f t="shared" ca="1" si="6"/>
        <v>13.10963277092905</v>
      </c>
      <c r="E308" s="857">
        <f t="shared" ca="1" si="7"/>
        <v>1.9670000000000001</v>
      </c>
      <c r="F308" s="1120"/>
      <c r="G308" s="1120"/>
      <c r="H308" s="1120"/>
      <c r="I308" s="1120"/>
      <c r="J308" s="1120"/>
      <c r="K308" s="1120"/>
      <c r="L308" s="1120"/>
      <c r="M308" s="1120"/>
      <c r="N308" s="1120"/>
      <c r="O308" s="1120"/>
      <c r="P308" s="1120"/>
      <c r="Q308" s="1120"/>
      <c r="R308" s="1120"/>
      <c r="S308" s="1120"/>
      <c r="T308" s="1120"/>
      <c r="U308" s="1120"/>
      <c r="V308" s="1120"/>
      <c r="W308" s="1120"/>
      <c r="X308" s="1120"/>
      <c r="Y308" s="647"/>
    </row>
    <row r="309" spans="1:25" outlineLevel="1" x14ac:dyDescent="0.3">
      <c r="A309" s="1811">
        <v>43221</v>
      </c>
      <c r="B309" s="1812"/>
      <c r="C309" s="855">
        <f t="shared" ca="1" si="5"/>
        <v>54.93378792262952</v>
      </c>
      <c r="D309" s="856">
        <f t="shared" ca="1" si="6"/>
        <v>4.4047814912747665</v>
      </c>
      <c r="E309" s="857">
        <f t="shared" ca="1" si="7"/>
        <v>0.98899999999999999</v>
      </c>
      <c r="F309" s="1120"/>
      <c r="G309" s="1120"/>
      <c r="H309" s="1120"/>
      <c r="I309" s="1120"/>
      <c r="J309" s="1120"/>
      <c r="K309" s="1120"/>
      <c r="L309" s="1120"/>
      <c r="M309" s="1120"/>
      <c r="N309" s="1120"/>
      <c r="O309" s="1120"/>
      <c r="P309" s="1120"/>
      <c r="Q309" s="1120"/>
      <c r="R309" s="1120"/>
      <c r="S309" s="1120"/>
      <c r="T309" s="1120"/>
      <c r="U309" s="1120"/>
      <c r="V309" s="1120"/>
      <c r="W309" s="1120"/>
      <c r="X309" s="1120"/>
      <c r="Y309" s="647"/>
    </row>
    <row r="310" spans="1:25" outlineLevel="1" x14ac:dyDescent="0.3">
      <c r="A310" s="1811">
        <v>43252</v>
      </c>
      <c r="B310" s="1812"/>
      <c r="C310" s="855">
        <f t="shared" ca="1" si="5"/>
        <v>47.346760186718846</v>
      </c>
      <c r="D310" s="856">
        <f t="shared" ca="1" si="6"/>
        <v>3.2976685156573131</v>
      </c>
      <c r="E310" s="857">
        <f t="shared" ca="1" si="7"/>
        <v>0.54400000000000004</v>
      </c>
      <c r="F310" s="1120"/>
      <c r="G310" s="1120"/>
      <c r="H310" s="1120"/>
      <c r="I310" s="1120"/>
      <c r="J310" s="1120"/>
      <c r="K310" s="1120"/>
      <c r="L310" s="1120"/>
      <c r="M310" s="1120"/>
      <c r="N310" s="1120"/>
      <c r="O310" s="1120"/>
      <c r="P310" s="1120"/>
      <c r="Q310" s="1120"/>
      <c r="R310" s="1120"/>
      <c r="S310" s="1120"/>
      <c r="T310" s="1120"/>
      <c r="U310" s="1120"/>
      <c r="V310" s="1120"/>
      <c r="W310" s="1120"/>
      <c r="X310" s="1120"/>
      <c r="Y310" s="647"/>
    </row>
    <row r="311" spans="1:25" outlineLevel="1" x14ac:dyDescent="0.3">
      <c r="A311" s="1811">
        <v>43282</v>
      </c>
      <c r="B311" s="1812"/>
      <c r="C311" s="855">
        <f t="shared" ca="1" si="5"/>
        <v>50.354486965920238</v>
      </c>
      <c r="D311" s="856">
        <f t="shared" ca="1" si="6"/>
        <v>2.9290657632313017</v>
      </c>
      <c r="E311" s="857">
        <f t="shared" ca="1" si="7"/>
        <v>1.4850000000000001</v>
      </c>
      <c r="F311" s="1120"/>
      <c r="G311" s="1120"/>
      <c r="H311" s="1120"/>
      <c r="I311" s="1120"/>
      <c r="J311" s="1120"/>
      <c r="K311" s="1120"/>
      <c r="L311" s="1120"/>
      <c r="M311" s="1120"/>
      <c r="N311" s="1120"/>
      <c r="O311" s="1120"/>
      <c r="P311" s="1120"/>
      <c r="Q311" s="1120"/>
      <c r="R311" s="1120"/>
      <c r="S311" s="1120"/>
      <c r="T311" s="1120"/>
      <c r="U311" s="1120"/>
      <c r="V311" s="1120"/>
      <c r="W311" s="1120"/>
      <c r="X311" s="1120"/>
      <c r="Y311" s="647"/>
    </row>
    <row r="312" spans="1:25" outlineLevel="1" x14ac:dyDescent="0.3">
      <c r="A312" s="1811">
        <v>43313</v>
      </c>
      <c r="B312" s="1812"/>
      <c r="C312" s="855">
        <f t="shared" ca="1" si="5"/>
        <v>51.000696333151538</v>
      </c>
      <c r="D312" s="856">
        <f t="shared" ca="1" si="6"/>
        <v>3.3237503926709211</v>
      </c>
      <c r="E312" s="857">
        <f t="shared" ca="1" si="7"/>
        <v>1.1599999999999999</v>
      </c>
      <c r="F312" s="1120"/>
      <c r="G312" s="1120"/>
      <c r="H312" s="1120"/>
      <c r="I312" s="1120"/>
      <c r="J312" s="1120"/>
      <c r="K312" s="1120"/>
      <c r="L312" s="1120"/>
      <c r="M312" s="1120"/>
      <c r="N312" s="1120"/>
      <c r="O312" s="1120"/>
      <c r="P312" s="1120"/>
      <c r="Q312" s="1120"/>
      <c r="R312" s="1120"/>
      <c r="S312" s="1120"/>
      <c r="T312" s="1120"/>
      <c r="U312" s="1120"/>
      <c r="V312" s="1120"/>
      <c r="W312" s="1120"/>
      <c r="X312" s="1120"/>
      <c r="Y312" s="647"/>
    </row>
    <row r="313" spans="1:25" outlineLevel="1" x14ac:dyDescent="0.3">
      <c r="A313" s="1811">
        <v>43344</v>
      </c>
      <c r="B313" s="1812"/>
      <c r="C313" s="855">
        <f t="shared" ca="1" si="5"/>
        <v>70.60316676042919</v>
      </c>
      <c r="D313" s="856">
        <f t="shared" ca="1" si="6"/>
        <v>7.8744686576995928</v>
      </c>
      <c r="E313" s="857">
        <f t="shared" ca="1" si="7"/>
        <v>1.321</v>
      </c>
      <c r="F313" s="1120"/>
      <c r="G313" s="1120"/>
      <c r="H313" s="1120"/>
      <c r="I313" s="1120"/>
      <c r="J313" s="1120"/>
      <c r="K313" s="1120"/>
      <c r="L313" s="1120"/>
      <c r="M313" s="1120"/>
      <c r="N313" s="1120"/>
      <c r="O313" s="1120"/>
      <c r="P313" s="1120"/>
      <c r="Q313" s="1120"/>
      <c r="R313" s="1120"/>
      <c r="S313" s="1120"/>
      <c r="T313" s="1120"/>
      <c r="U313" s="1120"/>
      <c r="V313" s="1120"/>
      <c r="W313" s="1120"/>
      <c r="X313" s="1120"/>
      <c r="Y313" s="647"/>
    </row>
    <row r="314" spans="1:25" outlineLevel="1" x14ac:dyDescent="0.3">
      <c r="A314" s="1811">
        <v>43374</v>
      </c>
      <c r="B314" s="1812"/>
      <c r="C314" s="855">
        <f t="shared" ca="1" si="5"/>
        <v>87.287621919425717</v>
      </c>
      <c r="D314" s="856">
        <f t="shared" ca="1" si="6"/>
        <v>11.141358321688704</v>
      </c>
      <c r="E314" s="857">
        <f t="shared" ca="1" si="7"/>
        <v>1.3220000000000001</v>
      </c>
      <c r="F314" s="1120"/>
      <c r="G314" s="1120"/>
      <c r="H314" s="1120"/>
      <c r="I314" s="1120"/>
      <c r="J314" s="1120"/>
      <c r="K314" s="1120"/>
      <c r="L314" s="1120"/>
      <c r="M314" s="1120"/>
      <c r="N314" s="1120"/>
      <c r="O314" s="1120"/>
      <c r="P314" s="1120"/>
      <c r="Q314" s="1120"/>
      <c r="R314" s="1120"/>
      <c r="S314" s="1120"/>
      <c r="T314" s="1120"/>
      <c r="U314" s="1120"/>
      <c r="V314" s="1120"/>
      <c r="W314" s="1120"/>
      <c r="X314" s="1120"/>
      <c r="Y314" s="647"/>
    </row>
    <row r="315" spans="1:25" outlineLevel="1" x14ac:dyDescent="0.3">
      <c r="A315" s="1811">
        <v>43405</v>
      </c>
      <c r="B315" s="1812"/>
      <c r="C315" s="855">
        <f t="shared" ca="1" si="5"/>
        <v>114.4528104862833</v>
      </c>
      <c r="D315" s="856">
        <f t="shared" ca="1" si="6"/>
        <v>13.711123408120821</v>
      </c>
      <c r="E315" s="857">
        <f t="shared" ca="1" si="7"/>
        <v>2.3690000000000002</v>
      </c>
      <c r="F315" s="1120"/>
      <c r="G315" s="1120"/>
      <c r="H315" s="1120"/>
      <c r="I315" s="1120"/>
      <c r="J315" s="1120"/>
      <c r="K315" s="1120"/>
      <c r="L315" s="1120"/>
      <c r="M315" s="1120"/>
      <c r="N315" s="1120"/>
      <c r="O315" s="1120"/>
      <c r="P315" s="1120"/>
      <c r="Q315" s="1120"/>
      <c r="R315" s="1120"/>
      <c r="S315" s="1120"/>
      <c r="T315" s="1120"/>
      <c r="U315" s="1120"/>
      <c r="V315" s="1120"/>
      <c r="W315" s="1120"/>
      <c r="X315" s="1120"/>
      <c r="Y315" s="647"/>
    </row>
    <row r="316" spans="1:25" outlineLevel="1" x14ac:dyDescent="0.3">
      <c r="A316" s="1944">
        <v>43435</v>
      </c>
      <c r="B316" s="1945"/>
      <c r="C316" s="861">
        <f t="shared" ca="1" si="5"/>
        <v>125.58640441073138</v>
      </c>
      <c r="D316" s="862">
        <f t="shared" ca="1" si="6"/>
        <v>16.681040406493022</v>
      </c>
      <c r="E316" s="863">
        <f t="shared" ca="1" si="7"/>
        <v>2.004</v>
      </c>
      <c r="F316" s="612"/>
      <c r="G316" s="612"/>
      <c r="H316" s="612"/>
      <c r="I316" s="612"/>
      <c r="J316" s="612"/>
      <c r="K316" s="612"/>
      <c r="L316" s="612"/>
      <c r="M316" s="612"/>
      <c r="N316" s="612"/>
      <c r="O316" s="612"/>
      <c r="P316" s="612"/>
      <c r="Q316" s="612"/>
      <c r="R316" s="612"/>
      <c r="S316" s="612"/>
      <c r="T316" s="612"/>
      <c r="U316" s="612"/>
      <c r="V316" s="612"/>
      <c r="W316" s="612"/>
      <c r="X316" s="612"/>
      <c r="Y316" s="647"/>
    </row>
    <row r="317" spans="1:25" outlineLevel="1" x14ac:dyDescent="0.3">
      <c r="A317" s="1811">
        <v>43466</v>
      </c>
      <c r="B317" s="1812"/>
      <c r="C317" s="855">
        <f t="shared" ca="1" si="5"/>
        <v>120.86879919119347</v>
      </c>
      <c r="D317" s="856">
        <f t="shared" ca="1" si="6"/>
        <v>16.841756141444122</v>
      </c>
      <c r="E317" s="857">
        <f t="shared" ca="1" si="7"/>
        <v>1.5149999999999999</v>
      </c>
      <c r="F317" s="1583"/>
      <c r="G317" s="1583"/>
      <c r="H317" s="1583"/>
      <c r="I317" s="1583"/>
      <c r="J317" s="1583"/>
      <c r="K317" s="1583"/>
      <c r="L317" s="1583"/>
      <c r="M317" s="1583"/>
      <c r="N317" s="1583"/>
      <c r="O317" s="1583"/>
      <c r="P317" s="1583"/>
      <c r="Q317" s="1583"/>
      <c r="R317" s="1583"/>
      <c r="S317" s="1583"/>
      <c r="T317" s="1583"/>
      <c r="U317" s="1583"/>
      <c r="V317" s="1583"/>
      <c r="W317" s="1583"/>
      <c r="X317" s="1583"/>
      <c r="Y317" s="1493"/>
    </row>
    <row r="318" spans="1:25" outlineLevel="1" x14ac:dyDescent="0.3">
      <c r="A318" s="1811">
        <v>43497</v>
      </c>
      <c r="B318" s="1812"/>
      <c r="C318" s="855">
        <f t="shared" ca="1" si="5"/>
        <v>179.51039671386988</v>
      </c>
      <c r="D318" s="856">
        <f t="shared" ca="1" si="6"/>
        <v>26.110234067013611</v>
      </c>
      <c r="E318" s="857">
        <f t="shared" ca="1" si="7"/>
        <v>1.99</v>
      </c>
      <c r="F318" s="1583"/>
      <c r="G318" s="1583"/>
      <c r="H318" s="1583"/>
      <c r="I318" s="1583"/>
      <c r="J318" s="1583"/>
      <c r="K318" s="1583"/>
      <c r="L318" s="1583"/>
      <c r="M318" s="1583"/>
      <c r="N318" s="1583"/>
      <c r="O318" s="1583"/>
      <c r="P318" s="1583"/>
      <c r="Q318" s="1583"/>
      <c r="R318" s="1583"/>
      <c r="S318" s="1583"/>
      <c r="T318" s="1583"/>
      <c r="U318" s="1583"/>
      <c r="V318" s="1583"/>
      <c r="W318" s="1583"/>
      <c r="X318" s="1583"/>
      <c r="Y318" s="1493"/>
    </row>
    <row r="319" spans="1:25" outlineLevel="1" x14ac:dyDescent="0.3">
      <c r="A319" s="1811">
        <v>43525</v>
      </c>
      <c r="B319" s="1812"/>
      <c r="C319" s="855">
        <f t="shared" ca="1" si="5"/>
        <v>157.23130726227279</v>
      </c>
      <c r="D319" s="856">
        <f t="shared" ca="1" si="6"/>
        <v>15.793485810362281</v>
      </c>
      <c r="E319" s="857">
        <f t="shared" ca="1" si="7"/>
        <v>3.18</v>
      </c>
      <c r="F319" s="1583"/>
      <c r="G319" s="1583"/>
      <c r="H319" s="1583"/>
      <c r="I319" s="1583"/>
      <c r="J319" s="1583"/>
      <c r="K319" s="1583"/>
      <c r="L319" s="1583"/>
      <c r="M319" s="1583"/>
      <c r="N319" s="1583"/>
      <c r="O319" s="1583"/>
      <c r="P319" s="1583"/>
      <c r="Q319" s="1583"/>
      <c r="R319" s="1583"/>
      <c r="S319" s="1583"/>
      <c r="T319" s="1583"/>
      <c r="U319" s="1583"/>
      <c r="V319" s="1583"/>
      <c r="W319" s="1583"/>
      <c r="X319" s="1583"/>
      <c r="Y319" s="1493"/>
    </row>
    <row r="320" spans="1:25" outlineLevel="1" x14ac:dyDescent="0.3">
      <c r="A320" s="1811">
        <v>43556</v>
      </c>
      <c r="B320" s="1812"/>
      <c r="C320" s="855">
        <f t="shared" ca="1" si="5"/>
        <v>107.54154618141597</v>
      </c>
      <c r="D320" s="856">
        <f t="shared" ca="1" si="6"/>
        <v>9.5930495907374951</v>
      </c>
      <c r="E320" s="857">
        <f t="shared" ca="1" si="7"/>
        <v>2.89</v>
      </c>
      <c r="F320" s="1609"/>
      <c r="G320" s="1609"/>
      <c r="H320" s="1609"/>
      <c r="I320" s="1609"/>
      <c r="J320" s="1609"/>
      <c r="K320" s="1609"/>
      <c r="L320" s="1609"/>
      <c r="M320" s="1609"/>
      <c r="N320" s="1609"/>
      <c r="O320" s="1609"/>
      <c r="P320" s="1609"/>
      <c r="Q320" s="1609"/>
      <c r="R320" s="1609"/>
      <c r="S320" s="1609"/>
      <c r="T320" s="1609"/>
      <c r="U320" s="1609"/>
      <c r="V320" s="1609"/>
      <c r="W320" s="1609"/>
      <c r="X320" s="1609"/>
      <c r="Y320" s="1493"/>
    </row>
    <row r="321" spans="1:25" outlineLevel="1" x14ac:dyDescent="0.3">
      <c r="A321" s="1811">
        <v>43586</v>
      </c>
      <c r="B321" s="1812"/>
      <c r="C321" s="855">
        <f t="shared" ca="1" si="5"/>
        <v>89.294223888593962</v>
      </c>
      <c r="D321" s="856">
        <f t="shared" ca="1" si="6"/>
        <v>7.5060858462941322</v>
      </c>
      <c r="E321" s="857">
        <f t="shared" ca="1" si="7"/>
        <v>2.2850000000000001</v>
      </c>
      <c r="F321" s="1609"/>
      <c r="G321" s="1609"/>
      <c r="H321" s="1609"/>
      <c r="I321" s="1609"/>
      <c r="J321" s="1609"/>
      <c r="K321" s="1609"/>
      <c r="L321" s="1609"/>
      <c r="M321" s="1609"/>
      <c r="N321" s="1609"/>
      <c r="O321" s="1609"/>
      <c r="P321" s="1609"/>
      <c r="Q321" s="1609"/>
      <c r="R321" s="1609"/>
      <c r="S321" s="1609"/>
      <c r="T321" s="1609"/>
      <c r="U321" s="1609"/>
      <c r="V321" s="1609"/>
      <c r="W321" s="1609"/>
      <c r="X321" s="1609"/>
      <c r="Y321" s="1493"/>
    </row>
    <row r="322" spans="1:25" outlineLevel="1" x14ac:dyDescent="0.3">
      <c r="A322" s="1811">
        <v>43617</v>
      </c>
      <c r="B322" s="1812"/>
      <c r="C322" s="855">
        <f t="shared" ca="1" si="5"/>
        <v>50.464848392912721</v>
      </c>
      <c r="D322" s="856">
        <f t="shared" ca="1" si="6"/>
        <v>3.7439440891544029</v>
      </c>
      <c r="E322" s="857">
        <f t="shared" ca="1" si="7"/>
        <v>0.36499999999999999</v>
      </c>
      <c r="F322" s="1609"/>
      <c r="G322" s="1609"/>
      <c r="H322" s="1609"/>
      <c r="I322" s="1609"/>
      <c r="J322" s="1609"/>
      <c r="K322" s="1609"/>
      <c r="L322" s="1609"/>
      <c r="M322" s="1609"/>
      <c r="N322" s="1609"/>
      <c r="O322" s="1609"/>
      <c r="P322" s="1609"/>
      <c r="Q322" s="1609"/>
      <c r="R322" s="1609"/>
      <c r="S322" s="1609"/>
      <c r="T322" s="1609"/>
      <c r="U322" s="1609"/>
      <c r="V322" s="1609"/>
      <c r="W322" s="1609"/>
      <c r="X322" s="1609"/>
      <c r="Y322" s="1493"/>
    </row>
    <row r="323" spans="1:25" outlineLevel="1" x14ac:dyDescent="0.3">
      <c r="A323" s="1805"/>
      <c r="B323" s="1806"/>
      <c r="C323" s="612"/>
      <c r="D323" s="612"/>
      <c r="E323" s="612"/>
      <c r="F323" s="612"/>
      <c r="G323" s="612"/>
      <c r="H323" s="612"/>
      <c r="I323" s="612"/>
      <c r="J323" s="612"/>
      <c r="K323" s="612"/>
      <c r="L323" s="612"/>
      <c r="M323" s="612"/>
      <c r="N323" s="612"/>
      <c r="O323" s="612"/>
      <c r="P323" s="612"/>
      <c r="Q323" s="612"/>
      <c r="R323" s="612"/>
      <c r="S323" s="612"/>
      <c r="T323" s="612"/>
      <c r="U323" s="612"/>
      <c r="V323" s="612"/>
      <c r="W323" s="612"/>
      <c r="X323" s="612"/>
      <c r="Y323" s="647"/>
    </row>
    <row r="324" spans="1:25" outlineLevel="1" x14ac:dyDescent="0.3">
      <c r="A324" s="1805"/>
      <c r="B324" s="1806"/>
      <c r="C324" s="612"/>
      <c r="D324" s="612"/>
      <c r="E324" s="612"/>
      <c r="F324" s="612"/>
      <c r="G324" s="612"/>
      <c r="H324" s="612"/>
      <c r="I324" s="612"/>
      <c r="J324" s="612"/>
      <c r="K324" s="612"/>
      <c r="L324" s="612"/>
      <c r="M324" s="612"/>
      <c r="N324" s="612"/>
      <c r="O324" s="612"/>
      <c r="P324" s="612"/>
      <c r="Q324" s="612"/>
      <c r="R324" s="612"/>
      <c r="S324" s="612"/>
      <c r="T324" s="612"/>
      <c r="U324" s="612"/>
      <c r="V324" s="612"/>
      <c r="W324" s="612"/>
      <c r="X324" s="612"/>
      <c r="Y324" s="647"/>
    </row>
    <row r="325" spans="1:25" ht="14.5" outlineLevel="1" thickBot="1" x14ac:dyDescent="0.35">
      <c r="A325" s="1948"/>
      <c r="B325" s="1818"/>
      <c r="C325" s="703"/>
      <c r="D325" s="703"/>
      <c r="E325" s="703"/>
      <c r="F325" s="703"/>
      <c r="G325" s="703"/>
      <c r="H325" s="703"/>
      <c r="I325" s="703"/>
      <c r="J325" s="703"/>
      <c r="K325" s="703"/>
      <c r="L325" s="703"/>
      <c r="M325" s="703"/>
      <c r="N325" s="703"/>
      <c r="O325" s="703"/>
      <c r="P325" s="703"/>
      <c r="Q325" s="703"/>
      <c r="R325" s="703"/>
      <c r="S325" s="703"/>
      <c r="T325" s="703"/>
      <c r="U325" s="703"/>
      <c r="V325" s="703"/>
      <c r="W325" s="703"/>
      <c r="X325" s="703"/>
      <c r="Y325" s="704"/>
    </row>
    <row r="326" spans="1:25" ht="16.5" customHeight="1" x14ac:dyDescent="0.3">
      <c r="A326" s="1826" t="s">
        <v>467</v>
      </c>
      <c r="B326" s="1826"/>
      <c r="C326" s="1826"/>
      <c r="D326" s="1826"/>
      <c r="E326" s="1826"/>
      <c r="F326" s="1826"/>
      <c r="G326" s="1826"/>
      <c r="H326" s="1826"/>
      <c r="I326" s="1826"/>
      <c r="J326" s="1826"/>
      <c r="K326" s="1826"/>
      <c r="L326" s="1826"/>
      <c r="M326" s="1826"/>
      <c r="N326" s="1826"/>
      <c r="O326" s="1826"/>
      <c r="P326" s="1826"/>
      <c r="Q326" s="1826"/>
      <c r="R326" s="1826"/>
      <c r="S326" s="1826"/>
      <c r="T326" s="1826"/>
      <c r="U326" s="1826"/>
      <c r="V326" s="1826"/>
      <c r="W326" s="1826"/>
      <c r="X326" s="1826"/>
      <c r="Y326" s="1826"/>
    </row>
    <row r="327" spans="1:25" ht="16.5" customHeight="1" x14ac:dyDescent="0.3">
      <c r="A327" s="1827"/>
      <c r="B327" s="1827"/>
      <c r="C327" s="1827"/>
      <c r="D327" s="1827"/>
      <c r="E327" s="1827"/>
      <c r="F327" s="1827"/>
      <c r="G327" s="1827"/>
      <c r="H327" s="1827"/>
      <c r="I327" s="1827"/>
      <c r="J327" s="1827"/>
      <c r="K327" s="1827"/>
      <c r="L327" s="1827"/>
      <c r="M327" s="1827"/>
      <c r="N327" s="1827"/>
      <c r="O327" s="1827"/>
      <c r="P327" s="1827"/>
      <c r="Q327" s="1827"/>
      <c r="R327" s="1827"/>
      <c r="S327" s="1827"/>
      <c r="T327" s="1827"/>
      <c r="U327" s="1827"/>
      <c r="V327" s="1827"/>
      <c r="W327" s="1827"/>
      <c r="X327" s="1827"/>
      <c r="Y327" s="1827"/>
    </row>
    <row r="329" spans="1:25" s="864" customFormat="1" ht="16.5" customHeight="1" x14ac:dyDescent="0.3"/>
    <row r="330" spans="1:25" s="864" customFormat="1" ht="16.5" customHeight="1" x14ac:dyDescent="0.3"/>
    <row r="331" spans="1:25" s="864" customFormat="1" ht="17.25" customHeight="1" x14ac:dyDescent="0.3"/>
    <row r="332" spans="1:25" s="864" customFormat="1" ht="15" customHeight="1" x14ac:dyDescent="0.3"/>
    <row r="333" spans="1:25" s="864" customFormat="1" ht="15" customHeight="1" x14ac:dyDescent="0.3"/>
    <row r="334" spans="1:25" s="864" customFormat="1" ht="15" customHeight="1" x14ac:dyDescent="0.3"/>
    <row r="335" spans="1:25" s="864" customFormat="1" ht="15" customHeight="1" x14ac:dyDescent="0.3"/>
    <row r="336" spans="1:25" s="864" customFormat="1" ht="15" customHeight="1" x14ac:dyDescent="0.3"/>
    <row r="337" s="864" customFormat="1" ht="15" customHeight="1" x14ac:dyDescent="0.3"/>
    <row r="338" s="864" customFormat="1" ht="15" customHeight="1" x14ac:dyDescent="0.3"/>
    <row r="339" s="864" customFormat="1" ht="15" customHeight="1" x14ac:dyDescent="0.3"/>
    <row r="340" s="864" customFormat="1" ht="15" customHeight="1" x14ac:dyDescent="0.3"/>
    <row r="341" s="864" customFormat="1" ht="15" customHeight="1" x14ac:dyDescent="0.3"/>
    <row r="342" s="864" customFormat="1" ht="15" customHeight="1" x14ac:dyDescent="0.3"/>
    <row r="343" s="864" customFormat="1" ht="15" customHeight="1" x14ac:dyDescent="0.3"/>
    <row r="344" s="864" customFormat="1" ht="15" customHeight="1" x14ac:dyDescent="0.3"/>
    <row r="345" s="864" customFormat="1" ht="15" customHeight="1" x14ac:dyDescent="0.3"/>
    <row r="346" s="864" customFormat="1" ht="15" customHeight="1" x14ac:dyDescent="0.3"/>
    <row r="347" s="864" customFormat="1" ht="15" customHeight="1" x14ac:dyDescent="0.3"/>
    <row r="348" s="864" customFormat="1" ht="15" customHeight="1" x14ac:dyDescent="0.3"/>
    <row r="349" s="864" customFormat="1" ht="15" customHeight="1" x14ac:dyDescent="0.3"/>
    <row r="350" s="864" customFormat="1" ht="15" customHeight="1" x14ac:dyDescent="0.3"/>
    <row r="351" s="864" customFormat="1" ht="15" customHeight="1" x14ac:dyDescent="0.3"/>
    <row r="352" s="864" customFormat="1" ht="15" customHeight="1" x14ac:dyDescent="0.3"/>
    <row r="353" s="864" customFormat="1" ht="15" customHeight="1" x14ac:dyDescent="0.3"/>
    <row r="354" s="864" customFormat="1" ht="15" customHeight="1" x14ac:dyDescent="0.3"/>
    <row r="355" s="864" customFormat="1" ht="15" customHeight="1" x14ac:dyDescent="0.3"/>
    <row r="356" s="864" customFormat="1" ht="15" customHeight="1" x14ac:dyDescent="0.3"/>
    <row r="357" s="864" customFormat="1" ht="15" customHeight="1" x14ac:dyDescent="0.3"/>
    <row r="358" s="864" customFormat="1" ht="15" customHeight="1" x14ac:dyDescent="0.3"/>
    <row r="359" s="864" customFormat="1" ht="15" customHeight="1" x14ac:dyDescent="0.3"/>
    <row r="360" s="864" customFormat="1" ht="15" customHeight="1" x14ac:dyDescent="0.3"/>
    <row r="361" s="864" customFormat="1" ht="15" customHeight="1" x14ac:dyDescent="0.3"/>
    <row r="362" s="864" customFormat="1" ht="15" customHeight="1" x14ac:dyDescent="0.3"/>
  </sheetData>
  <mergeCells count="219">
    <mergeCell ref="A39:B39"/>
    <mergeCell ref="A74:B74"/>
    <mergeCell ref="A75:B75"/>
    <mergeCell ref="A67:B67"/>
    <mergeCell ref="A68:B68"/>
    <mergeCell ref="A76:B76"/>
    <mergeCell ref="A77:B77"/>
    <mergeCell ref="A78:Y79"/>
    <mergeCell ref="A80:B80"/>
    <mergeCell ref="A48:B48"/>
    <mergeCell ref="A49:B49"/>
    <mergeCell ref="A50:B50"/>
    <mergeCell ref="A51:B51"/>
    <mergeCell ref="A52:B52"/>
    <mergeCell ref="A53:B53"/>
    <mergeCell ref="A54:B54"/>
    <mergeCell ref="A55:B55"/>
    <mergeCell ref="A56:B56"/>
    <mergeCell ref="A57:B57"/>
    <mergeCell ref="A58:B58"/>
    <mergeCell ref="A59:B59"/>
    <mergeCell ref="A60:B60"/>
    <mergeCell ref="A61:B61"/>
    <mergeCell ref="A62:B62"/>
    <mergeCell ref="G9:H9"/>
    <mergeCell ref="A8:H8"/>
    <mergeCell ref="G10:H10"/>
    <mergeCell ref="G11:H11"/>
    <mergeCell ref="G12:H12"/>
    <mergeCell ref="A46:B46"/>
    <mergeCell ref="A42:B42"/>
    <mergeCell ref="A69:B69"/>
    <mergeCell ref="A70:B70"/>
    <mergeCell ref="A44:Y45"/>
    <mergeCell ref="E14:F14"/>
    <mergeCell ref="A40:Y41"/>
    <mergeCell ref="A18:E18"/>
    <mergeCell ref="A14:D14"/>
    <mergeCell ref="A17:B17"/>
    <mergeCell ref="A20:B20"/>
    <mergeCell ref="A21:B21"/>
    <mergeCell ref="A22:B22"/>
    <mergeCell ref="A26:B26"/>
    <mergeCell ref="A23:B23"/>
    <mergeCell ref="A24:B24"/>
    <mergeCell ref="A25:B25"/>
    <mergeCell ref="A27:B27"/>
    <mergeCell ref="A28:B28"/>
    <mergeCell ref="A66:B66"/>
    <mergeCell ref="A71:B71"/>
    <mergeCell ref="A72:B72"/>
    <mergeCell ref="A73:B73"/>
    <mergeCell ref="A316:B316"/>
    <mergeCell ref="A323:B323"/>
    <mergeCell ref="A279:B279"/>
    <mergeCell ref="A280:B280"/>
    <mergeCell ref="A281:B281"/>
    <mergeCell ref="A272:B272"/>
    <mergeCell ref="A273:B273"/>
    <mergeCell ref="A274:B274"/>
    <mergeCell ref="A275:B275"/>
    <mergeCell ref="A276:B276"/>
    <mergeCell ref="A287:B287"/>
    <mergeCell ref="A288:B288"/>
    <mergeCell ref="A289:B289"/>
    <mergeCell ref="A290:B290"/>
    <mergeCell ref="A291:B291"/>
    <mergeCell ref="A282:B282"/>
    <mergeCell ref="A283:B283"/>
    <mergeCell ref="A284:B284"/>
    <mergeCell ref="A285:B285"/>
    <mergeCell ref="A286:B286"/>
    <mergeCell ref="A270:B270"/>
    <mergeCell ref="A271:B271"/>
    <mergeCell ref="A262:B262"/>
    <mergeCell ref="A324:B324"/>
    <mergeCell ref="A325:B325"/>
    <mergeCell ref="P13:S14"/>
    <mergeCell ref="A303:B303"/>
    <mergeCell ref="A304:B304"/>
    <mergeCell ref="A305:B305"/>
    <mergeCell ref="A306:B306"/>
    <mergeCell ref="A307:B307"/>
    <mergeCell ref="A298:B298"/>
    <mergeCell ref="A299:B299"/>
    <mergeCell ref="A300:B300"/>
    <mergeCell ref="A301:B301"/>
    <mergeCell ref="A302:B302"/>
    <mergeCell ref="A293:B293"/>
    <mergeCell ref="A294:B294"/>
    <mergeCell ref="A295:B295"/>
    <mergeCell ref="A296:B296"/>
    <mergeCell ref="A297:B297"/>
    <mergeCell ref="A292:B292"/>
    <mergeCell ref="A153:B153"/>
    <mergeCell ref="A156:B156"/>
    <mergeCell ref="A189:B189"/>
    <mergeCell ref="A277:B277"/>
    <mergeCell ref="A278:B278"/>
    <mergeCell ref="A7:B7"/>
    <mergeCell ref="A43:B43"/>
    <mergeCell ref="A81:B81"/>
    <mergeCell ref="A94:B94"/>
    <mergeCell ref="A117:B117"/>
    <mergeCell ref="A118:B118"/>
    <mergeCell ref="A121:B121"/>
    <mergeCell ref="A123:B123"/>
    <mergeCell ref="A152:B152"/>
    <mergeCell ref="A34:B34"/>
    <mergeCell ref="A35:B35"/>
    <mergeCell ref="A36:B36"/>
    <mergeCell ref="A37:B37"/>
    <mergeCell ref="A38:B38"/>
    <mergeCell ref="A29:B29"/>
    <mergeCell ref="A30:B30"/>
    <mergeCell ref="A31:B31"/>
    <mergeCell ref="A32:B32"/>
    <mergeCell ref="A33:B33"/>
    <mergeCell ref="A9:B9"/>
    <mergeCell ref="A10:B10"/>
    <mergeCell ref="A11:B11"/>
    <mergeCell ref="A12:B12"/>
    <mergeCell ref="A13:B13"/>
    <mergeCell ref="A263:B263"/>
    <mergeCell ref="A264:B264"/>
    <mergeCell ref="A265:B265"/>
    <mergeCell ref="A239:B239"/>
    <mergeCell ref="A240:B240"/>
    <mergeCell ref="A82:N82"/>
    <mergeCell ref="A89:B89"/>
    <mergeCell ref="A85:B85"/>
    <mergeCell ref="A86:B86"/>
    <mergeCell ref="A87:B87"/>
    <mergeCell ref="A88:B88"/>
    <mergeCell ref="A238:B238"/>
    <mergeCell ref="A193:B193"/>
    <mergeCell ref="A229:B229"/>
    <mergeCell ref="B195:B196"/>
    <mergeCell ref="A63:B63"/>
    <mergeCell ref="A64:B64"/>
    <mergeCell ref="A65:B65"/>
    <mergeCell ref="A266:B266"/>
    <mergeCell ref="A268:B268"/>
    <mergeCell ref="A269:B269"/>
    <mergeCell ref="A267:B267"/>
    <mergeCell ref="A260:B260"/>
    <mergeCell ref="A261:B261"/>
    <mergeCell ref="A242:B242"/>
    <mergeCell ref="A243:B243"/>
    <mergeCell ref="A244:B244"/>
    <mergeCell ref="A252:B252"/>
    <mergeCell ref="A253:B253"/>
    <mergeCell ref="A254:B254"/>
    <mergeCell ref="A255:B255"/>
    <mergeCell ref="A256:B256"/>
    <mergeCell ref="A251:B251"/>
    <mergeCell ref="A245:B245"/>
    <mergeCell ref="A246:B246"/>
    <mergeCell ref="A1:Q2"/>
    <mergeCell ref="A3:Q6"/>
    <mergeCell ref="R1:Y6"/>
    <mergeCell ref="K8:N8"/>
    <mergeCell ref="K10:N11"/>
    <mergeCell ref="K13:N14"/>
    <mergeCell ref="C9:E9"/>
    <mergeCell ref="Q194:S194"/>
    <mergeCell ref="A191:Y192"/>
    <mergeCell ref="T194:W194"/>
    <mergeCell ref="A119:Y120"/>
    <mergeCell ref="A150:Y151"/>
    <mergeCell ref="A115:Y116"/>
    <mergeCell ref="A187:Y188"/>
    <mergeCell ref="A90:B90"/>
    <mergeCell ref="A92:B92"/>
    <mergeCell ref="A93:B93"/>
    <mergeCell ref="C10:E10"/>
    <mergeCell ref="C11:E11"/>
    <mergeCell ref="C12:E12"/>
    <mergeCell ref="A157:A158"/>
    <mergeCell ref="B157:B158"/>
    <mergeCell ref="A91:B91"/>
    <mergeCell ref="A190:B190"/>
    <mergeCell ref="D157:O158"/>
    <mergeCell ref="D195:O196"/>
    <mergeCell ref="Q195:S195"/>
    <mergeCell ref="A154:Y155"/>
    <mergeCell ref="T195:W195"/>
    <mergeCell ref="A195:A196"/>
    <mergeCell ref="A326:Y327"/>
    <mergeCell ref="A231:E231"/>
    <mergeCell ref="A230:B230"/>
    <mergeCell ref="A308:B308"/>
    <mergeCell ref="A257:B257"/>
    <mergeCell ref="A258:B258"/>
    <mergeCell ref="A259:B259"/>
    <mergeCell ref="A241:B241"/>
    <mergeCell ref="A233:B233"/>
    <mergeCell ref="A234:B234"/>
    <mergeCell ref="A235:B235"/>
    <mergeCell ref="A236:B236"/>
    <mergeCell ref="A247:B247"/>
    <mergeCell ref="A248:B248"/>
    <mergeCell ref="A249:B249"/>
    <mergeCell ref="A250:B250"/>
    <mergeCell ref="A227:Y228"/>
    <mergeCell ref="A237:B237"/>
    <mergeCell ref="A320:B320"/>
    <mergeCell ref="A321:B321"/>
    <mergeCell ref="A322:B322"/>
    <mergeCell ref="A309:B309"/>
    <mergeCell ref="A310:B310"/>
    <mergeCell ref="A311:B311"/>
    <mergeCell ref="A312:B312"/>
    <mergeCell ref="A313:B313"/>
    <mergeCell ref="A314:B314"/>
    <mergeCell ref="A315:B315"/>
    <mergeCell ref="A317:B317"/>
    <mergeCell ref="A318:B318"/>
    <mergeCell ref="A319:B319"/>
  </mergeCells>
  <conditionalFormatting sqref="E14:F16">
    <cfRule type="expression" dxfId="8" priority="3">
      <formula>$A$14=""</formula>
    </cfRule>
  </conditionalFormatting>
  <conditionalFormatting sqref="D157:O158">
    <cfRule type="expression" dxfId="7" priority="2">
      <formula>IF(OR($A$157="DRT Rate ($/GJ)", $A$157="Administration Charge ($)"), FALSE,TRUE)</formula>
    </cfRule>
  </conditionalFormatting>
  <conditionalFormatting sqref="D195:O196">
    <cfRule type="expression" dxfId="6" priority="1">
      <formula>IF(OR($A$195="DRT Rate (Rider F)", LEFT($A$195, 14)="DRT Provider ("), IF($A$194="AltaGas",TRUE, FALSE), TRUE)</formula>
    </cfRule>
  </conditionalFormatting>
  <dataValidations count="2">
    <dataValidation type="list" allowBlank="1" showInputMessage="1" showErrorMessage="1" sqref="A194 A47 A232 A122 A83">
      <formula1>$W$9:$W$11</formula1>
    </dataValidation>
    <dataValidation type="list" allowBlank="1" showInputMessage="1" showErrorMessage="1" sqref="A19 A84 T194:W195">
      <formula1>$V$9:$V$16</formula1>
    </dataValidation>
  </dataValidations>
  <hyperlinks>
    <hyperlink ref="A10" location="'ATCO-N'!A1" display="ATCO-N"/>
    <hyperlink ref="A11" location="'ATCO-S'!A1" display="ATCO-S"/>
    <hyperlink ref="A12" location="AltaGas!A1" display="AltaGas"/>
    <hyperlink ref="E14:F14" location="'Regulated Bill Menu'!H14" display="Go to Regulated Bill Menu"/>
    <hyperlink ref="K10:N11" location="'Elec. Analysis'!A1" display="Go to Electricity Analysis"/>
    <hyperlink ref="K13:N14" location="'Misc. Data &amp; Mechanisms'!A1" display="Go to Mechanisms"/>
    <hyperlink ref="K8" location="'Regional Menu'!A1" display="Return to Regional Menu"/>
    <hyperlink ref="K8:N8" location="'Service Zone Menu'!A1" display="Return to Service Zonel Menu (to Reselect Parameters)"/>
  </hyperlink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'Misc. Data &amp; Mechanisms'!$X$676:$X$735</xm:f>
          </x14:formula1>
          <xm:sqref>A195</xm:sqref>
        </x14:dataValidation>
        <x14:dataValidation type="list" allowBlank="1" showInputMessage="1" showErrorMessage="1">
          <x14:formula1>
            <xm:f>'Misc. Data &amp; Mechanisms'!$O$686:$O$699</xm:f>
          </x14:formula1>
          <xm:sqref>A157</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theme="9" tint="-0.249977111117893"/>
  </sheetPr>
  <dimension ref="A1:BB198"/>
  <sheetViews>
    <sheetView zoomScale="80" zoomScaleNormal="80" workbookViewId="0">
      <selection sqref="A1:D1"/>
    </sheetView>
  </sheetViews>
  <sheetFormatPr defaultColWidth="9.1796875" defaultRowHeight="14.5" x14ac:dyDescent="0.35"/>
  <cols>
    <col min="1" max="1" width="8.54296875" style="121" bestFit="1" customWidth="1"/>
    <col min="2" max="2" width="10.1796875" style="108" bestFit="1" customWidth="1"/>
    <col min="3" max="3" width="14.81640625" style="108" bestFit="1" customWidth="1"/>
    <col min="4" max="4" width="15.54296875" style="124" bestFit="1" customWidth="1"/>
    <col min="5" max="5" width="15" style="124" bestFit="1" customWidth="1"/>
    <col min="6" max="6" width="17.1796875" style="123" bestFit="1" customWidth="1"/>
    <col min="7" max="7" width="14.26953125" style="123" bestFit="1" customWidth="1"/>
    <col min="8" max="8" width="12.81640625" style="123" bestFit="1" customWidth="1"/>
    <col min="9" max="9" width="16.7265625" style="123" bestFit="1" customWidth="1"/>
    <col min="10" max="10" width="11.453125" style="123" bestFit="1" customWidth="1"/>
    <col min="11" max="11" width="16.26953125" style="123" bestFit="1" customWidth="1"/>
    <col min="12" max="12" width="16.26953125" style="123" customWidth="1"/>
    <col min="13" max="13" width="8.1796875" style="123" customWidth="1"/>
    <col min="14" max="14" width="13.54296875" style="402" customWidth="1"/>
    <col min="15" max="15" width="16.26953125" style="123" bestFit="1" customWidth="1"/>
    <col min="16" max="16" width="19.26953125" style="402" bestFit="1" customWidth="1"/>
    <col min="17" max="17" width="16" style="402" bestFit="1" customWidth="1"/>
    <col min="18" max="19" width="12.81640625" style="123" bestFit="1" customWidth="1"/>
    <col min="20" max="20" width="16" style="125" bestFit="1" customWidth="1"/>
    <col min="21" max="21" width="15.1796875" style="125" bestFit="1" customWidth="1"/>
    <col min="22" max="22" width="12.81640625" style="123" bestFit="1" customWidth="1"/>
    <col min="23" max="23" width="14.453125" style="123" bestFit="1" customWidth="1"/>
    <col min="24" max="25" width="15" style="125" bestFit="1" customWidth="1"/>
    <col min="26" max="26" width="10.54296875" style="125" bestFit="1" customWidth="1"/>
    <col min="27" max="27" width="15.26953125" style="125" bestFit="1" customWidth="1"/>
    <col min="28" max="28" width="11.26953125" style="125" bestFit="1" customWidth="1"/>
    <col min="29" max="31" width="11.26953125" style="125" customWidth="1"/>
    <col min="32" max="32" width="10" style="123" bestFit="1" customWidth="1"/>
    <col min="33" max="33" width="14.7265625" style="123" bestFit="1" customWidth="1"/>
    <col min="34" max="34" width="17" style="123" bestFit="1" customWidth="1"/>
    <col min="35" max="35" width="17.7265625" style="123" bestFit="1" customWidth="1"/>
    <col min="36" max="38" width="17.7265625" style="123" customWidth="1"/>
    <col min="39" max="39" width="16.26953125" style="402" bestFit="1" customWidth="1"/>
    <col min="40" max="40" width="16.26953125" style="123" bestFit="1" customWidth="1"/>
    <col min="41" max="42" width="16.26953125" style="123" customWidth="1"/>
    <col min="43" max="43" width="8" style="195" bestFit="1" customWidth="1"/>
    <col min="44" max="44" width="15.26953125" style="450" bestFit="1" customWidth="1"/>
    <col min="45" max="45" width="15.26953125" style="450" customWidth="1"/>
    <col min="46" max="48" width="15.26953125" style="451" bestFit="1" customWidth="1"/>
    <col min="49" max="49" width="14.81640625" style="108" bestFit="1" customWidth="1"/>
    <col min="50" max="50" width="13.54296875" style="108" customWidth="1"/>
    <col min="51" max="51" width="19.81640625" style="335" customWidth="1"/>
    <col min="52" max="16384" width="9.1796875" style="108"/>
  </cols>
  <sheetData>
    <row r="1" spans="1:54" ht="15.75" x14ac:dyDescent="0.25">
      <c r="A1" s="2059" t="s">
        <v>83</v>
      </c>
      <c r="B1" s="2059"/>
      <c r="C1" s="2059"/>
      <c r="D1" s="2059"/>
      <c r="E1" s="403"/>
      <c r="F1" s="2061" t="s">
        <v>245</v>
      </c>
      <c r="G1" s="2062"/>
      <c r="H1" s="2062"/>
      <c r="I1" s="2063" t="str">
        <f>'Service Zone Menu'!$S$3</f>
        <v>Detached Home Consumption</v>
      </c>
      <c r="J1" s="2063"/>
      <c r="K1" s="2064"/>
      <c r="L1" s="1214"/>
      <c r="M1" s="404"/>
      <c r="N1" s="2065" t="s">
        <v>479</v>
      </c>
      <c r="O1" s="2065"/>
      <c r="P1" s="405"/>
      <c r="Q1" s="405"/>
      <c r="R1" s="406"/>
      <c r="S1" s="406"/>
      <c r="T1" s="407"/>
      <c r="U1" s="407"/>
      <c r="V1" s="406"/>
      <c r="W1" s="406"/>
      <c r="X1" s="407"/>
      <c r="Y1" s="407"/>
      <c r="Z1" s="407"/>
      <c r="AA1" s="407"/>
      <c r="AB1" s="407"/>
      <c r="AC1" s="407"/>
      <c r="AD1" s="407"/>
      <c r="AE1" s="407"/>
      <c r="AF1" s="406"/>
      <c r="AG1" s="406"/>
      <c r="AH1" s="406"/>
      <c r="AI1" s="406"/>
      <c r="AJ1" s="406"/>
      <c r="AK1" s="406"/>
      <c r="AL1" s="406"/>
      <c r="AM1" s="408"/>
      <c r="AN1" s="406"/>
      <c r="AO1" s="406"/>
      <c r="AP1" s="406"/>
      <c r="AQ1" s="409"/>
      <c r="AR1" s="410"/>
      <c r="AS1" s="410"/>
      <c r="AT1" s="411"/>
      <c r="AU1" s="411"/>
      <c r="AV1" s="411"/>
      <c r="AW1" s="411"/>
      <c r="AX1" s="406"/>
      <c r="AY1" s="1203"/>
    </row>
    <row r="2" spans="1:54" ht="38.25" customHeight="1" thickBot="1" x14ac:dyDescent="0.25">
      <c r="A2" s="2060" t="str">
        <f>"ATCO-N Service Zone ("&amp;'Service Zone Menu'!$X$3 &amp;")"</f>
        <v>ATCO-N Service Zone (Edmonton)</v>
      </c>
      <c r="B2" s="2060"/>
      <c r="C2" s="2060"/>
      <c r="D2" s="2060"/>
      <c r="E2" s="1193"/>
      <c r="F2" s="2066" t="s">
        <v>569</v>
      </c>
      <c r="G2" s="2067"/>
      <c r="H2" s="2067"/>
      <c r="I2" s="2068" t="str">
        <f>'Service Zone Menu'!$AB$3</f>
        <v>DRT</v>
      </c>
      <c r="J2" s="2068"/>
      <c r="K2" s="2069"/>
      <c r="L2" s="1214"/>
      <c r="M2" s="414"/>
      <c r="N2" s="2065" t="s">
        <v>366</v>
      </c>
      <c r="O2" s="2065"/>
      <c r="P2" s="415"/>
      <c r="Q2" s="415"/>
      <c r="R2" s="406"/>
      <c r="S2" s="406"/>
      <c r="T2" s="407"/>
      <c r="U2" s="407"/>
      <c r="V2" s="406"/>
      <c r="W2" s="406"/>
      <c r="X2" s="407"/>
      <c r="Y2" s="407"/>
      <c r="Z2" s="407"/>
      <c r="AA2" s="407"/>
      <c r="AB2" s="407"/>
      <c r="AC2" s="407"/>
      <c r="AD2" s="407"/>
      <c r="AE2" s="407"/>
      <c r="AF2" s="406"/>
      <c r="AG2" s="406"/>
      <c r="AH2" s="406"/>
      <c r="AI2" s="406"/>
      <c r="AJ2" s="406"/>
      <c r="AK2" s="406"/>
      <c r="AL2" s="406"/>
      <c r="AM2" s="408"/>
      <c r="AN2" s="406"/>
      <c r="AO2" s="406"/>
      <c r="AP2" s="406"/>
      <c r="AQ2" s="409"/>
      <c r="AR2" s="407"/>
      <c r="AS2" s="407"/>
      <c r="AT2" s="1194"/>
      <c r="AU2" s="1194"/>
      <c r="AV2" s="1194"/>
      <c r="AW2" s="1194"/>
      <c r="AX2" s="406"/>
      <c r="AY2" s="1203"/>
    </row>
    <row r="3" spans="1:54" s="335" customFormat="1" ht="12.75" customHeight="1" x14ac:dyDescent="0.2">
      <c r="A3" s="1121"/>
      <c r="B3" s="1121"/>
      <c r="C3" s="1121"/>
      <c r="D3" s="1121"/>
      <c r="E3" s="1121"/>
      <c r="F3" s="412"/>
      <c r="G3" s="413"/>
      <c r="H3" s="413"/>
      <c r="I3" s="1192"/>
      <c r="J3" s="1192"/>
      <c r="K3" s="1192"/>
      <c r="L3" s="1195"/>
      <c r="M3" s="414"/>
      <c r="N3" s="1122"/>
      <c r="O3" s="1122"/>
      <c r="P3" s="415"/>
      <c r="Q3" s="415"/>
      <c r="R3" s="406"/>
      <c r="S3" s="406"/>
      <c r="T3" s="407"/>
      <c r="U3" s="407"/>
      <c r="V3" s="406"/>
      <c r="W3" s="406"/>
      <c r="X3" s="407"/>
      <c r="Y3" s="407"/>
      <c r="Z3" s="407"/>
      <c r="AA3" s="407"/>
      <c r="AB3" s="407"/>
      <c r="AC3" s="407"/>
      <c r="AD3" s="407"/>
      <c r="AE3" s="407"/>
      <c r="AF3" s="406"/>
      <c r="AG3" s="406"/>
      <c r="AH3" s="406"/>
      <c r="AI3" s="406"/>
      <c r="AJ3" s="406"/>
      <c r="AK3" s="406"/>
      <c r="AL3" s="406"/>
      <c r="AM3" s="408"/>
      <c r="AN3" s="406"/>
      <c r="AO3" s="406"/>
      <c r="AP3" s="406"/>
      <c r="AQ3" s="409"/>
      <c r="AR3" s="416"/>
      <c r="AS3" s="416"/>
      <c r="AT3" s="417"/>
      <c r="AU3" s="417"/>
      <c r="AV3" s="417"/>
      <c r="AW3" s="417"/>
      <c r="AX3" s="406"/>
      <c r="AY3" s="1204"/>
    </row>
    <row r="4" spans="1:54" ht="24" customHeight="1" x14ac:dyDescent="0.2">
      <c r="A4" s="1755" t="s">
        <v>3</v>
      </c>
      <c r="B4" s="1755"/>
      <c r="C4" s="1755"/>
      <c r="D4" s="1755"/>
      <c r="E4" s="1755"/>
      <c r="F4" s="1986"/>
      <c r="G4" s="1771" t="s">
        <v>4</v>
      </c>
      <c r="H4" s="1755"/>
      <c r="I4" s="1755"/>
      <c r="J4" s="1755"/>
      <c r="K4" s="1755"/>
      <c r="L4" s="1755"/>
      <c r="M4" s="1772"/>
      <c r="N4" s="1983" t="s">
        <v>5</v>
      </c>
      <c r="O4" s="1751"/>
      <c r="P4" s="1755" t="s">
        <v>7</v>
      </c>
      <c r="Q4" s="1755"/>
      <c r="R4" s="1755"/>
      <c r="S4" s="1751"/>
      <c r="T4" s="1724" t="s">
        <v>8</v>
      </c>
      <c r="U4" s="1755"/>
      <c r="V4" s="1755"/>
      <c r="W4" s="1751"/>
      <c r="X4" s="1724" t="s">
        <v>9</v>
      </c>
      <c r="Y4" s="1755"/>
      <c r="Z4" s="1755"/>
      <c r="AA4" s="1755"/>
      <c r="AB4" s="1755"/>
      <c r="AC4" s="1755"/>
      <c r="AD4" s="1755"/>
      <c r="AE4" s="1755"/>
      <c r="AF4" s="1755"/>
      <c r="AG4" s="1755"/>
      <c r="AH4" s="1755"/>
      <c r="AI4" s="1755"/>
      <c r="AJ4" s="1755"/>
      <c r="AK4" s="1755"/>
      <c r="AL4" s="1751"/>
      <c r="AM4" s="1755" t="s">
        <v>10</v>
      </c>
      <c r="AN4" s="1751"/>
      <c r="AO4" s="1724" t="s">
        <v>570</v>
      </c>
      <c r="AP4" s="1751"/>
      <c r="AQ4" s="265" t="s">
        <v>11</v>
      </c>
      <c r="AR4" s="1724" t="s">
        <v>12</v>
      </c>
      <c r="AS4" s="1755"/>
      <c r="AT4" s="1755"/>
      <c r="AU4" s="1755"/>
      <c r="AV4" s="1755"/>
      <c r="AW4" s="1751"/>
      <c r="AX4" s="1747" t="s">
        <v>558</v>
      </c>
      <c r="AY4" s="1726"/>
      <c r="AZ4" s="335"/>
      <c r="BA4" s="335"/>
      <c r="BB4" s="335"/>
    </row>
    <row r="5" spans="1:54" s="322" customFormat="1" ht="58" x14ac:dyDescent="0.35">
      <c r="A5" s="50" t="s">
        <v>13</v>
      </c>
      <c r="B5" s="50" t="s">
        <v>14</v>
      </c>
      <c r="C5" s="50" t="s">
        <v>12</v>
      </c>
      <c r="D5" s="50" t="s">
        <v>541</v>
      </c>
      <c r="E5" s="50" t="s">
        <v>545</v>
      </c>
      <c r="F5" s="51" t="s">
        <v>626</v>
      </c>
      <c r="G5" s="266" t="s">
        <v>15</v>
      </c>
      <c r="H5" s="50" t="s">
        <v>17</v>
      </c>
      <c r="I5" s="50" t="s">
        <v>18</v>
      </c>
      <c r="J5" s="50" t="s">
        <v>19</v>
      </c>
      <c r="K5" s="50" t="s">
        <v>20</v>
      </c>
      <c r="L5" s="1118" t="s">
        <v>573</v>
      </c>
      <c r="M5" s="267" t="s">
        <v>21</v>
      </c>
      <c r="N5" s="90" t="str">
        <f>IF($I$2&lt;&gt;"Custom", "DRT Rate (Rider F)", "Custom Energy Rate")</f>
        <v>DRT Rate (Rider F)</v>
      </c>
      <c r="O5" s="2070" t="s">
        <v>23</v>
      </c>
      <c r="P5" s="53" t="s">
        <v>442</v>
      </c>
      <c r="Q5" s="90" t="s">
        <v>443</v>
      </c>
      <c r="R5" s="1729" t="s">
        <v>105</v>
      </c>
      <c r="S5" s="2070" t="s">
        <v>104</v>
      </c>
      <c r="T5" s="90" t="s">
        <v>299</v>
      </c>
      <c r="U5" s="90" t="s">
        <v>300</v>
      </c>
      <c r="V5" s="2007" t="s">
        <v>301</v>
      </c>
      <c r="W5" s="2070" t="s">
        <v>302</v>
      </c>
      <c r="X5" s="318" t="s">
        <v>86</v>
      </c>
      <c r="Y5" s="90" t="s">
        <v>87</v>
      </c>
      <c r="Z5" s="90" t="s">
        <v>88</v>
      </c>
      <c r="AA5" s="90" t="s">
        <v>449</v>
      </c>
      <c r="AB5" s="90" t="s">
        <v>90</v>
      </c>
      <c r="AC5" s="90" t="s">
        <v>562</v>
      </c>
      <c r="AD5" s="90" t="s">
        <v>563</v>
      </c>
      <c r="AE5" s="90" t="s">
        <v>669</v>
      </c>
      <c r="AF5" s="1729" t="s">
        <v>197</v>
      </c>
      <c r="AG5" s="1729" t="s">
        <v>120</v>
      </c>
      <c r="AH5" s="1729" t="s">
        <v>89</v>
      </c>
      <c r="AI5" s="2007" t="s">
        <v>198</v>
      </c>
      <c r="AJ5" s="1729" t="s">
        <v>564</v>
      </c>
      <c r="AK5" s="1729" t="s">
        <v>565</v>
      </c>
      <c r="AL5" s="1731" t="s">
        <v>670</v>
      </c>
      <c r="AM5" s="89" t="str">
        <f>IF($I$2&lt;&gt;"Custom", "DRT Provider (DERS) Administration Rate", "Custom Administration Rate")</f>
        <v>DRT Provider (DERS) Administration Rate</v>
      </c>
      <c r="AN5" s="1752" t="s">
        <v>307</v>
      </c>
      <c r="AO5" s="474" t="s">
        <v>571</v>
      </c>
      <c r="AP5" s="1752" t="s">
        <v>572</v>
      </c>
      <c r="AQ5" s="319" t="s">
        <v>30</v>
      </c>
      <c r="AR5" s="318" t="s">
        <v>84</v>
      </c>
      <c r="AS5" s="90" t="s">
        <v>524</v>
      </c>
      <c r="AT5" s="166" t="s">
        <v>337</v>
      </c>
      <c r="AU5" s="166" t="s">
        <v>338</v>
      </c>
      <c r="AV5" s="166" t="s">
        <v>605</v>
      </c>
      <c r="AW5" s="167" t="s">
        <v>374</v>
      </c>
      <c r="AX5" s="1150" t="s">
        <v>559</v>
      </c>
      <c r="AY5" s="1151" t="s">
        <v>560</v>
      </c>
      <c r="AZ5" s="321"/>
      <c r="BA5" s="321"/>
      <c r="BB5" s="321"/>
    </row>
    <row r="6" spans="1:54" s="322" customFormat="1" x14ac:dyDescent="0.35">
      <c r="A6" s="56"/>
      <c r="B6" s="56"/>
      <c r="C6" s="57" t="s">
        <v>91</v>
      </c>
      <c r="D6" s="58" t="s">
        <v>92</v>
      </c>
      <c r="E6" s="58" t="s">
        <v>92</v>
      </c>
      <c r="F6" s="59" t="s">
        <v>34</v>
      </c>
      <c r="G6" s="269"/>
      <c r="H6" s="56"/>
      <c r="I6" s="56"/>
      <c r="J6" s="56"/>
      <c r="K6" s="56"/>
      <c r="L6" s="56"/>
      <c r="M6" s="270"/>
      <c r="N6" s="57" t="s">
        <v>92</v>
      </c>
      <c r="O6" s="1732"/>
      <c r="P6" s="318" t="s">
        <v>92</v>
      </c>
      <c r="Q6" s="57" t="s">
        <v>35</v>
      </c>
      <c r="R6" s="1730"/>
      <c r="S6" s="1732"/>
      <c r="T6" s="60" t="s">
        <v>36</v>
      </c>
      <c r="U6" s="90" t="s">
        <v>36</v>
      </c>
      <c r="V6" s="2007"/>
      <c r="W6" s="2070"/>
      <c r="X6" s="318" t="s">
        <v>35</v>
      </c>
      <c r="Y6" s="90" t="s">
        <v>92</v>
      </c>
      <c r="Z6" s="90" t="s">
        <v>92</v>
      </c>
      <c r="AA6" s="90" t="s">
        <v>92</v>
      </c>
      <c r="AB6" s="90" t="s">
        <v>92</v>
      </c>
      <c r="AC6" s="57" t="s">
        <v>34</v>
      </c>
      <c r="AD6" s="57" t="s">
        <v>35</v>
      </c>
      <c r="AE6" s="57" t="s">
        <v>35</v>
      </c>
      <c r="AF6" s="2007"/>
      <c r="AG6" s="2007"/>
      <c r="AH6" s="2007"/>
      <c r="AI6" s="2007"/>
      <c r="AJ6" s="1730"/>
      <c r="AK6" s="1730"/>
      <c r="AL6" s="1732"/>
      <c r="AM6" s="89" t="str">
        <f>IF($I$2&lt;&gt;"Custom", "$/day", $AY$6)</f>
        <v>$/day</v>
      </c>
      <c r="AN6" s="1753"/>
      <c r="AO6" s="1211" t="s">
        <v>92</v>
      </c>
      <c r="AP6" s="1753"/>
      <c r="AQ6" s="1212" t="s">
        <v>36</v>
      </c>
      <c r="AR6" s="60" t="s">
        <v>91</v>
      </c>
      <c r="AS6" s="57" t="s">
        <v>91</v>
      </c>
      <c r="AT6" s="57" t="s">
        <v>91</v>
      </c>
      <c r="AU6" s="57" t="s">
        <v>91</v>
      </c>
      <c r="AV6" s="272" t="s">
        <v>91</v>
      </c>
      <c r="AW6" s="272" t="s">
        <v>91</v>
      </c>
      <c r="AX6" s="172" t="s">
        <v>92</v>
      </c>
      <c r="AY6" s="1152" t="str">
        <f>'Natural Gas Bill'!$AO$6</f>
        <v>$/day</v>
      </c>
      <c r="AZ6" s="321"/>
      <c r="BA6" s="321"/>
      <c r="BB6" s="321"/>
    </row>
    <row r="7" spans="1:54" ht="15" x14ac:dyDescent="0.25">
      <c r="A7" s="1252">
        <v>40909</v>
      </c>
      <c r="B7" s="64">
        <f>DAY(DATE(YEAR($A7),MONTH($A7)+1,1)-1)</f>
        <v>31</v>
      </c>
      <c r="C7" s="1581">
        <f>IFERROR(VLOOKUP($A7,$A$5:$AW$96,MATCH($I$1,$A$5:$AW$5,0),FALSE),0)</f>
        <v>17.929421891020944</v>
      </c>
      <c r="D7" s="65">
        <f>IFERROR($F7/$C7, "")</f>
        <v>7.4851355111493358</v>
      </c>
      <c r="E7" s="65">
        <f>(1+$AQ7)*IF(OR('Service Zone Menu'!$X$3="Fort McMurray",AND('Service Zone Menu'!$X$3="Spruce Grove", $A7&lt;DATE(2019, 5, 1))),((((1+$T7)*($P7+$N7)))+($U7*$P7)+((1+$T7+$U7)*($Y7+$Z7+$AA7+$AB7)) + $AO7),($N7+((1+$T7+$U7)*$P7)+((1+$T7+$U7)*($Y7+$Z7+$AA7+$AB7)) + $AO7))</f>
        <v>4.8890940000000001</v>
      </c>
      <c r="F7" s="1253">
        <f>SUM($G7:$M7)</f>
        <v>134.20415249085914</v>
      </c>
      <c r="G7" s="326">
        <f>SUM($O7)</f>
        <v>52.927653422293822</v>
      </c>
      <c r="H7" s="65">
        <f t="shared" ref="H7:H70" si="0">SUM($R7:$S7)</f>
        <v>36.366807058041601</v>
      </c>
      <c r="I7" s="65">
        <f t="shared" ref="I7:I70" si="1">SUM($V7:$W7)</f>
        <v>18.357624307999124</v>
      </c>
      <c r="J7" s="65">
        <f>SUM($AF7:$AL7)</f>
        <v>13.248393774388457</v>
      </c>
      <c r="K7" s="65">
        <f>SUM($AN7)</f>
        <v>6.9130000000000003</v>
      </c>
      <c r="L7" s="65">
        <f>AP7</f>
        <v>0</v>
      </c>
      <c r="M7" s="327">
        <f>SUM($AQ7)*SUM($G7:$L7)</f>
        <v>6.3906739281361506</v>
      </c>
      <c r="N7" s="273">
        <f>IF($I$2="DRT",VLOOKUP(A7,'Misc. Data &amp; Mechanisms'!$A$1381:$D$1471,2,FALSE),AX7)</f>
        <v>2.952</v>
      </c>
      <c r="O7" s="328">
        <f>$N7*$C7</f>
        <v>52.927653422293822</v>
      </c>
      <c r="P7" s="418">
        <v>0.69699999999999995</v>
      </c>
      <c r="Q7" s="421">
        <v>0.77</v>
      </c>
      <c r="R7" s="331">
        <f t="shared" ref="R7:R38" si="2">$P7*$C7</f>
        <v>12.496807058041597</v>
      </c>
      <c r="S7" s="331">
        <f t="shared" ref="S7:S38" si="3">$Q7*$B7</f>
        <v>23.87</v>
      </c>
      <c r="T7" s="419">
        <f>VLOOKUP($A7,'Misc. Data &amp; Mechanisms'!$A$63:$DY$152,HLOOKUP('Service Zone Menu'!$X$3&amp;"_ATCO-N_NG_Y_1",'Misc. Data &amp; Mechanisms'!$A$55:$DY$62,8,FALSE), FALSE)</f>
        <v>0.32900000000000001</v>
      </c>
      <c r="U7" s="420">
        <f>VLOOKUP($A7,'Misc. Data &amp; Mechanisms'!$A$63:$DY$152,HLOOKUP('Service Zone Menu'!$X$3&amp;"_ATCO-N_NG_Y_2",'Misc. Data &amp; Mechanisms'!$A$55:$DY$62,8,FALSE), FALSE)</f>
        <v>4.1000000000000002E-2</v>
      </c>
      <c r="V7" s="423">
        <f>IF(OR('Service Zone Menu'!$X$3="Fort McMurray",AND('Service Zone Menu'!$X$3="Spruce Grove", $A7&lt;DATE(2019, 5, 1))),$T7*($G7+$H7+$J7), $T7*($H7+$J7))</f>
        <v>16.323401073869491</v>
      </c>
      <c r="W7" s="331">
        <f>$U7*($H7+$J7)</f>
        <v>2.0342232341296325</v>
      </c>
      <c r="X7" s="418">
        <v>0.111</v>
      </c>
      <c r="Y7" s="421">
        <v>0.1</v>
      </c>
      <c r="Z7" s="422"/>
      <c r="AA7" s="421">
        <v>0.58199999999999996</v>
      </c>
      <c r="AB7" s="421">
        <v>-0.13500000000000001</v>
      </c>
      <c r="AC7" s="421"/>
      <c r="AD7" s="421"/>
      <c r="AE7" s="421"/>
      <c r="AF7" s="423">
        <f t="shared" ref="AF7:AF38" si="4">($X7*$B7) +($Y7*$C7)</f>
        <v>5.2339421891020947</v>
      </c>
      <c r="AG7" s="423">
        <f t="shared" ref="AG7:AG38" si="5">$Z7*$C7</f>
        <v>0</v>
      </c>
      <c r="AH7" s="423">
        <f t="shared" ref="AH7:AH38" si="6">$AA7*$C7</f>
        <v>10.434923540574189</v>
      </c>
      <c r="AI7" s="423">
        <f t="shared" ref="AI7:AI38" si="7">$AB7*$C7</f>
        <v>-2.4204719552878275</v>
      </c>
      <c r="AJ7" s="423">
        <f>AC7</f>
        <v>0</v>
      </c>
      <c r="AK7" s="423">
        <f>AD7*B7</f>
        <v>0</v>
      </c>
      <c r="AL7" s="423">
        <f>AE7*B7</f>
        <v>0</v>
      </c>
      <c r="AM7" s="188">
        <f>IF($I$2="DRT",VLOOKUP(A7,'Misc. Data &amp; Mechanisms'!$A$1483:$H$1574,6,FALSE),AY7)</f>
        <v>0.223</v>
      </c>
      <c r="AN7" s="333">
        <f>IF($AM$6="$/day", $AM7*$B7, $AM7)</f>
        <v>6.9130000000000003</v>
      </c>
      <c r="AO7" s="1500"/>
      <c r="AP7" s="328">
        <f t="shared" ref="AP7:AP38" si="8">AO7*C7</f>
        <v>0</v>
      </c>
      <c r="AQ7" s="334">
        <f>5%</f>
        <v>0.05</v>
      </c>
      <c r="AR7" s="341">
        <f>'Misc. Data &amp; Mechanisms'!AL280</f>
        <v>18.158461383219066</v>
      </c>
      <c r="AS7" s="1090">
        <f>'Misc. Data &amp; Mechanisms'!AQ280</f>
        <v>17.846708158240407</v>
      </c>
      <c r="AT7" s="1090">
        <f>'Misc. Data &amp; Mechanisms'!W280</f>
        <v>17.929421891020944</v>
      </c>
      <c r="AU7" s="1090">
        <f>'Misc. Data &amp; Mechanisms'!X280</f>
        <v>11.451070737151994</v>
      </c>
      <c r="AV7" s="1459">
        <f>'Misc. Data &amp; Mechanisms'!$B$260</f>
        <v>10.198990303636064</v>
      </c>
      <c r="AW7" s="1254">
        <f>IFERROR(IF('Personalized Bill Menu'!$B$30="Yes", IF('Personalized Bill Menu'!$B$34="Natural Gas",VLOOKUP($A7, 'Personalized Bill Menu'!$H$4:$L$93, 2, FALSE), IF('Personalized Bill Menu'!$B$34="Both",VLOOKUP($A7,'Personalized Bill Menu'!$H$4:$P$93, 6, FALSE), 0)), 0),0)</f>
        <v>0</v>
      </c>
      <c r="AX7" s="1343">
        <f>IFERROR(IF('Personalized Bill Menu'!$C$37="Custom", IF('Personalized Bill Menu'!$B$34="Natural Gas",VLOOKUP($A7, 'Personalized Bill Menu'!$H$4:$L$93, 3, FALSE), IF('Personalized Bill Menu'!$B$34="Both",VLOOKUP($A7,'Personalized Bill Menu'!$H$4:$P$93, 7, FALSE), 0)), 0),0)</f>
        <v>0</v>
      </c>
      <c r="AY7" s="1344">
        <f>IFERROR(IF('Personalized Bill Menu'!$C$37="Custom", IF('Personalized Bill Menu'!$B$34="Natural Gas",VLOOKUP($A7, 'Personalized Bill Menu'!$H$4:$L$93, 4, FALSE), IF('Personalized Bill Menu'!$B$34="Both",VLOOKUP($A7,'Personalized Bill Menu'!$H$4:$P$93, 8, FALSE), 0)), 0),0)</f>
        <v>0</v>
      </c>
      <c r="AZ7" s="335"/>
      <c r="BA7" s="335"/>
      <c r="BB7" s="335"/>
    </row>
    <row r="8" spans="1:54" ht="15" x14ac:dyDescent="0.25">
      <c r="A8" s="427">
        <v>40940</v>
      </c>
      <c r="B8" s="85">
        <f t="shared" ref="B8:B71" si="9">DAY(DATE(YEAR($A8),MONTH($A8)+1,1)-1)</f>
        <v>29</v>
      </c>
      <c r="C8" s="1581">
        <f t="shared" ref="C8:C71" si="10">IFERROR(VLOOKUP($A8,$A$5:$AW$96,MATCH($I$1,$A$5:$AW$5,0),FALSE),0)</f>
        <v>16.176854924347989</v>
      </c>
      <c r="D8" s="66">
        <f t="shared" ref="D8:D71" si="11">IFERROR($F8/$C8, "")</f>
        <v>6.7473616699139161</v>
      </c>
      <c r="E8" s="66">
        <f>(1+$AQ8)*IF(OR('Service Zone Menu'!$X$3="Fort McMurray",AND('Service Zone Menu'!$X$3="Spruce Grove", $A8&lt;DATE(2019, 5, 1))),((((1+$T8)*($P8+$N8)))+($U8*$P8)+((1+$T8+$U8)*($Y8+$Z8+$AA8+$AB8)) + $AO8),($N8+((1+$T8+$U8)*$P8)+((1+$T8+$U8)*($Y8+$Z8+$AA8+$AB8)) + $AO8))</f>
        <v>4.0490687999999997</v>
      </c>
      <c r="F8" s="400">
        <f t="shared" ref="F8:F71" si="12">SUM($G8:$M8)</f>
        <v>109.1510908563038</v>
      </c>
      <c r="G8" s="115">
        <f t="shared" ref="G8:G71" si="13">SUM($O8)</f>
        <v>34.731707522575128</v>
      </c>
      <c r="H8" s="66">
        <f t="shared" si="0"/>
        <v>33.605267882270553</v>
      </c>
      <c r="I8" s="66">
        <f t="shared" si="1"/>
        <v>17.08170481468245</v>
      </c>
      <c r="J8" s="66">
        <f t="shared" ref="J8:J71" si="14">SUM($AF8:$AL8)</f>
        <v>12.067739643618349</v>
      </c>
      <c r="K8" s="66">
        <f t="shared" ref="K8:K71" si="15">SUM($AN8)</f>
        <v>6.4670000000000005</v>
      </c>
      <c r="L8" s="66">
        <f t="shared" ref="L8:L71" si="16">AP8</f>
        <v>0</v>
      </c>
      <c r="M8" s="68">
        <f t="shared" ref="M8:M71" si="17">SUM($AQ8)*SUM($G8:$L8)</f>
        <v>5.1976709931573239</v>
      </c>
      <c r="N8" s="273">
        <f>IF($I$2="DRT",VLOOKUP(A8,'Misc. Data &amp; Mechanisms'!$A$1381:$D$1471,2,FALSE),AX8)</f>
        <v>2.1469999999999998</v>
      </c>
      <c r="O8" s="338">
        <f t="shared" ref="O8:O71" si="18">$N8*$C8</f>
        <v>34.731707522575128</v>
      </c>
      <c r="P8" s="387">
        <v>0.69699999999999995</v>
      </c>
      <c r="Q8" s="278">
        <v>0.77</v>
      </c>
      <c r="R8" s="338">
        <f t="shared" si="2"/>
        <v>11.275267882270548</v>
      </c>
      <c r="S8" s="338">
        <f t="shared" si="3"/>
        <v>22.330000000000002</v>
      </c>
      <c r="T8" s="391">
        <f>VLOOKUP($A8,'Misc. Data &amp; Mechanisms'!$A$63:$DY$152,HLOOKUP('Service Zone Menu'!$X$3&amp;"_ATCO-N_NG_Y_1",'Misc. Data &amp; Mechanisms'!$A$55:$DY$62,8,FALSE), FALSE)</f>
        <v>0.32900000000000001</v>
      </c>
      <c r="U8" s="205">
        <f>VLOOKUP($A8,'Misc. Data &amp; Mechanisms'!$A$63:$DY$152,HLOOKUP('Service Zone Menu'!$X$3&amp;"_ATCO-N_NG_Y_2",'Misc. Data &amp; Mechanisms'!$A$55:$DY$62,8,FALSE), FALSE)</f>
        <v>4.4999999999999998E-2</v>
      </c>
      <c r="V8" s="425">
        <f>IF(OR('Service Zone Menu'!$X$3="Fort McMurray",AND('Service Zone Menu'!$X$3="Spruce Grove", $A8&lt;DATE(2019, 5, 1))),$T8*($G8+$H8+$J8), $T8*($H8+$J8))</f>
        <v>15.02641947601745</v>
      </c>
      <c r="W8" s="338">
        <f t="shared" ref="W8:W38" si="19">$U8*($H8+$J8)</f>
        <v>2.0552853386650005</v>
      </c>
      <c r="X8" s="387">
        <v>0.111</v>
      </c>
      <c r="Y8" s="278">
        <v>0.1</v>
      </c>
      <c r="Z8" s="386"/>
      <c r="AA8" s="278">
        <v>0.58199999999999996</v>
      </c>
      <c r="AB8" s="278">
        <v>-0.13500000000000001</v>
      </c>
      <c r="AC8" s="278"/>
      <c r="AD8" s="278"/>
      <c r="AE8" s="278"/>
      <c r="AF8" s="425">
        <f t="shared" si="4"/>
        <v>4.8366854924347988</v>
      </c>
      <c r="AG8" s="425">
        <f t="shared" si="5"/>
        <v>0</v>
      </c>
      <c r="AH8" s="425">
        <f t="shared" si="6"/>
        <v>9.4149295659705281</v>
      </c>
      <c r="AI8" s="425">
        <f t="shared" si="7"/>
        <v>-2.1838754147869786</v>
      </c>
      <c r="AJ8" s="425">
        <f t="shared" ref="AJ8:AJ71" si="20">AC8</f>
        <v>0</v>
      </c>
      <c r="AK8" s="425">
        <f t="shared" ref="AK8:AK71" si="21">AD8*B8</f>
        <v>0</v>
      </c>
      <c r="AL8" s="425">
        <f t="shared" ref="AL8:AL71" si="22">AE8*B8</f>
        <v>0</v>
      </c>
      <c r="AM8" s="200">
        <f>IF($I$2="DRT",VLOOKUP(A8,'Misc. Data &amp; Mechanisms'!$A$1483:$H$1574,6,FALSE),AY8)</f>
        <v>0.223</v>
      </c>
      <c r="AN8" s="333">
        <f t="shared" ref="AN8:AN71" si="23">IF($AM$6="$/day", $AM8*$B8, $AM8)</f>
        <v>6.4670000000000005</v>
      </c>
      <c r="AO8" s="296"/>
      <c r="AP8" s="333">
        <f t="shared" si="8"/>
        <v>0</v>
      </c>
      <c r="AQ8" s="340">
        <f>5%</f>
        <v>0.05</v>
      </c>
      <c r="AR8" s="341">
        <f>'Misc. Data &amp; Mechanisms'!AL281</f>
        <v>16.383506240812963</v>
      </c>
      <c r="AS8" s="424">
        <f>'Misc. Data &amp; Mechanisms'!AQ281</f>
        <v>16.317492615781951</v>
      </c>
      <c r="AT8" s="424">
        <f>'Misc. Data &amp; Mechanisms'!W281</f>
        <v>16.176854924347989</v>
      </c>
      <c r="AU8" s="424">
        <f>'Misc. Data &amp; Mechanisms'!X281</f>
        <v>10.33175030234097</v>
      </c>
      <c r="AV8" s="1460">
        <f>'Misc. Data &amp; Mechanisms'!$B$260</f>
        <v>10.198990303636064</v>
      </c>
      <c r="AW8" s="197">
        <f>IFERROR(IF('Personalized Bill Menu'!$B$30="Yes", IF('Personalized Bill Menu'!$B$34="Natural Gas",VLOOKUP($A8, 'Personalized Bill Menu'!$H$4:$L$93, 2, FALSE), IF('Personalized Bill Menu'!$B$34="Both",VLOOKUP($A8,'Personalized Bill Menu'!$H$4:$P$93, 6, FALSE), 0)), 0),0)</f>
        <v>0</v>
      </c>
      <c r="AX8" s="1343">
        <f>IFERROR(IF('Personalized Bill Menu'!$C$37="Custom", IF('Personalized Bill Menu'!$B$34="Natural Gas",VLOOKUP($A8, 'Personalized Bill Menu'!$H$4:$L$93, 3, FALSE), IF('Personalized Bill Menu'!$B$34="Both",VLOOKUP($A8,'Personalized Bill Menu'!$H$4:$P$93, 7, FALSE), 0)), 0),0)</f>
        <v>0</v>
      </c>
      <c r="AY8" s="1344">
        <f>IFERROR(IF('Personalized Bill Menu'!$C$37="Custom", IF('Personalized Bill Menu'!$B$34="Natural Gas",VLOOKUP($A8, 'Personalized Bill Menu'!$H$4:$L$93, 4, FALSE), IF('Personalized Bill Menu'!$B$34="Both",VLOOKUP($A8,'Personalized Bill Menu'!$H$4:$P$93, 8, FALSE), 0)), 0),0)</f>
        <v>0</v>
      </c>
      <c r="AZ8" s="335"/>
      <c r="BA8" s="335"/>
      <c r="BB8" s="335"/>
    </row>
    <row r="9" spans="1:54" ht="15" x14ac:dyDescent="0.25">
      <c r="A9" s="427">
        <v>40969</v>
      </c>
      <c r="B9" s="85">
        <f t="shared" si="9"/>
        <v>31</v>
      </c>
      <c r="C9" s="1581">
        <f t="shared" si="10"/>
        <v>12.864536152378685</v>
      </c>
      <c r="D9" s="66">
        <f t="shared" si="11"/>
        <v>7.6204621031798361</v>
      </c>
      <c r="E9" s="66">
        <f>(1+$AQ9)*IF(OR('Service Zone Menu'!$X$3="Fort McMurray",AND('Service Zone Menu'!$X$3="Spruce Grove", $A9&lt;DATE(2019, 5, 1))),((((1+$T9)*($P9+$N9)))+($U9*$P9)+((1+$T9+$U9)*($Y9+$Z9+$AA9+$AB9)) + $AO9),($N9+((1+$T9+$U9)*$P9)+((1+$T9+$U9)*($Y9+$Z9+$AA9+$AB9)) + $AO9))</f>
        <v>3.9934187999999997</v>
      </c>
      <c r="F9" s="400">
        <f t="shared" si="12"/>
        <v>98.03371022418871</v>
      </c>
      <c r="G9" s="115">
        <f t="shared" si="13"/>
        <v>26.938338703080966</v>
      </c>
      <c r="H9" s="66">
        <f t="shared" si="0"/>
        <v>32.836581698207944</v>
      </c>
      <c r="I9" s="66">
        <f t="shared" si="1"/>
        <v>16.199616632111098</v>
      </c>
      <c r="J9" s="66">
        <f t="shared" si="14"/>
        <v>10.47790127535114</v>
      </c>
      <c r="K9" s="66">
        <f t="shared" si="15"/>
        <v>6.9130000000000003</v>
      </c>
      <c r="L9" s="66">
        <f t="shared" si="16"/>
        <v>0</v>
      </c>
      <c r="M9" s="68">
        <f t="shared" si="17"/>
        <v>4.6682719154375576</v>
      </c>
      <c r="N9" s="273">
        <f>IF($I$2="DRT",VLOOKUP(A9,'Misc. Data &amp; Mechanisms'!$A$1381:$D$1471,2,FALSE),AX9)</f>
        <v>2.0939999999999999</v>
      </c>
      <c r="O9" s="338">
        <f t="shared" si="18"/>
        <v>26.938338703080966</v>
      </c>
      <c r="P9" s="387">
        <v>0.69699999999999995</v>
      </c>
      <c r="Q9" s="278">
        <v>0.77</v>
      </c>
      <c r="R9" s="338">
        <f t="shared" si="2"/>
        <v>8.9665816982079427</v>
      </c>
      <c r="S9" s="338">
        <f t="shared" si="3"/>
        <v>23.87</v>
      </c>
      <c r="T9" s="391">
        <f>VLOOKUP($A9,'Misc. Data &amp; Mechanisms'!$A$63:$DY$152,HLOOKUP('Service Zone Menu'!$X$3&amp;"_ATCO-N_NG_Y_1",'Misc. Data &amp; Mechanisms'!$A$55:$DY$62,8,FALSE), FALSE)</f>
        <v>0.32900000000000001</v>
      </c>
      <c r="U9" s="205">
        <f>VLOOKUP($A9,'Misc. Data &amp; Mechanisms'!$A$63:$DY$152,HLOOKUP('Service Zone Menu'!$X$3&amp;"_ATCO-N_NG_Y_2",'Misc. Data &amp; Mechanisms'!$A$55:$DY$62,8,FALSE), FALSE)</f>
        <v>4.4999999999999998E-2</v>
      </c>
      <c r="V9" s="425">
        <f>IF(OR('Service Zone Menu'!$X$3="Fort McMurray",AND('Service Zone Menu'!$X$3="Spruce Grove", $A9&lt;DATE(2019, 5, 1))),$T9*($G9+$H9+$J9), $T9*($H9+$J9))</f>
        <v>14.250464898300939</v>
      </c>
      <c r="W9" s="338">
        <f t="shared" si="19"/>
        <v>1.9491517338101585</v>
      </c>
      <c r="X9" s="387">
        <v>0.111</v>
      </c>
      <c r="Y9" s="278">
        <v>0.1</v>
      </c>
      <c r="Z9" s="386"/>
      <c r="AA9" s="278">
        <v>0.58199999999999996</v>
      </c>
      <c r="AB9" s="278">
        <v>-0.13500000000000001</v>
      </c>
      <c r="AC9" s="278"/>
      <c r="AD9" s="278"/>
      <c r="AE9" s="278"/>
      <c r="AF9" s="425">
        <f t="shared" si="4"/>
        <v>4.7274536152378683</v>
      </c>
      <c r="AG9" s="425">
        <f t="shared" si="5"/>
        <v>0</v>
      </c>
      <c r="AH9" s="425">
        <f t="shared" si="6"/>
        <v>7.4871600406843939</v>
      </c>
      <c r="AI9" s="425">
        <f t="shared" si="7"/>
        <v>-1.7367123805711226</v>
      </c>
      <c r="AJ9" s="425">
        <f t="shared" si="20"/>
        <v>0</v>
      </c>
      <c r="AK9" s="425">
        <f t="shared" si="21"/>
        <v>0</v>
      </c>
      <c r="AL9" s="425">
        <f t="shared" si="22"/>
        <v>0</v>
      </c>
      <c r="AM9" s="200">
        <f>IF($I$2="DRT",VLOOKUP(A9,'Misc. Data &amp; Mechanisms'!$A$1483:$H$1574,6,FALSE),AY9)</f>
        <v>0.223</v>
      </c>
      <c r="AN9" s="333">
        <f t="shared" si="23"/>
        <v>6.9130000000000003</v>
      </c>
      <c r="AO9" s="296"/>
      <c r="AP9" s="333">
        <f t="shared" si="8"/>
        <v>0</v>
      </c>
      <c r="AQ9" s="340">
        <f>5%</f>
        <v>0.05</v>
      </c>
      <c r="AR9" s="341">
        <f>'Misc. Data &amp; Mechanisms'!AL282</f>
        <v>13.028874235648443</v>
      </c>
      <c r="AS9" s="424">
        <f>'Misc. Data &amp; Mechanisms'!AQ282</f>
        <v>13.251533626668136</v>
      </c>
      <c r="AT9" s="424">
        <f>'Misc. Data &amp; Mechanisms'!W282</f>
        <v>12.864536152378685</v>
      </c>
      <c r="AU9" s="424">
        <f>'Misc. Data &amp; Mechanisms'!X282</f>
        <v>8.2162556259168458</v>
      </c>
      <c r="AV9" s="1460">
        <f>'Misc. Data &amp; Mechanisms'!$B$260</f>
        <v>10.198990303636064</v>
      </c>
      <c r="AW9" s="197">
        <f>IFERROR(IF('Personalized Bill Menu'!$B$30="Yes", IF('Personalized Bill Menu'!$B$34="Natural Gas",VLOOKUP($A9, 'Personalized Bill Menu'!$H$4:$L$93, 2, FALSE), IF('Personalized Bill Menu'!$B$34="Both",VLOOKUP($A9,'Personalized Bill Menu'!$H$4:$P$93, 6, FALSE), 0)), 0),0)</f>
        <v>0</v>
      </c>
      <c r="AX9" s="1343">
        <f>IFERROR(IF('Personalized Bill Menu'!$C$37="Custom", IF('Personalized Bill Menu'!$B$34="Natural Gas",VLOOKUP($A9, 'Personalized Bill Menu'!$H$4:$L$93, 3, FALSE), IF('Personalized Bill Menu'!$B$34="Both",VLOOKUP($A9,'Personalized Bill Menu'!$H$4:$P$93, 7, FALSE), 0)), 0),0)</f>
        <v>0</v>
      </c>
      <c r="AY9" s="1344">
        <f>IFERROR(IF('Personalized Bill Menu'!$C$37="Custom", IF('Personalized Bill Menu'!$B$34="Natural Gas",VLOOKUP($A9, 'Personalized Bill Menu'!$H$4:$L$93, 4, FALSE), IF('Personalized Bill Menu'!$B$34="Both",VLOOKUP($A9,'Personalized Bill Menu'!$H$4:$P$93, 8, FALSE), 0)), 0),0)</f>
        <v>0</v>
      </c>
      <c r="AZ9" s="335"/>
      <c r="BA9" s="335"/>
      <c r="BB9" s="335"/>
    </row>
    <row r="10" spans="1:54" ht="15" x14ac:dyDescent="0.25">
      <c r="A10" s="427">
        <v>41000</v>
      </c>
      <c r="B10" s="85">
        <f t="shared" si="9"/>
        <v>30</v>
      </c>
      <c r="C10" s="1581">
        <f t="shared" si="10"/>
        <v>9.2958533196786082</v>
      </c>
      <c r="D10" s="66">
        <f t="shared" si="11"/>
        <v>8.3259675851567323</v>
      </c>
      <c r="E10" s="66">
        <f>(1+$AQ10)*IF(OR('Service Zone Menu'!$X$3="Fort McMurray",AND('Service Zone Menu'!$X$3="Spruce Grove", $A10&lt;DATE(2019, 5, 1))),((((1+$T10)*($P10+$N10)))+($U10*$P10)+((1+$T10+$U10)*($Y10+$Z10+$AA10+$AB10)) + $AO10),($N10+((1+$T10+$U10)*$P10)+((1+$T10+$U10)*($Y10+$Z10+$AA10+$AB10)) + $AO10))</f>
        <v>3.4684187999999998</v>
      </c>
      <c r="F10" s="400">
        <f t="shared" si="12"/>
        <v>77.396973416015697</v>
      </c>
      <c r="G10" s="115">
        <f t="shared" si="13"/>
        <v>14.817590191567703</v>
      </c>
      <c r="H10" s="66">
        <f t="shared" si="0"/>
        <v>29.579209763815989</v>
      </c>
      <c r="I10" s="66">
        <f t="shared" si="1"/>
        <v>14.20977153210039</v>
      </c>
      <c r="J10" s="66">
        <f t="shared" si="14"/>
        <v>8.4148317658641982</v>
      </c>
      <c r="K10" s="66">
        <f t="shared" si="15"/>
        <v>6.69</v>
      </c>
      <c r="L10" s="66">
        <f t="shared" si="16"/>
        <v>0</v>
      </c>
      <c r="M10" s="68">
        <f t="shared" si="17"/>
        <v>3.685570162667414</v>
      </c>
      <c r="N10" s="273">
        <f>IF($I$2="DRT",VLOOKUP(A10,'Misc. Data &amp; Mechanisms'!$A$1381:$D$1471,2,FALSE),AX10)</f>
        <v>1.5940000000000001</v>
      </c>
      <c r="O10" s="338">
        <f t="shared" si="18"/>
        <v>14.817590191567703</v>
      </c>
      <c r="P10" s="387">
        <v>0.69699999999999995</v>
      </c>
      <c r="Q10" s="278">
        <v>0.77</v>
      </c>
      <c r="R10" s="338">
        <f t="shared" si="2"/>
        <v>6.4792097638159891</v>
      </c>
      <c r="S10" s="338">
        <f t="shared" si="3"/>
        <v>23.1</v>
      </c>
      <c r="T10" s="391">
        <f>VLOOKUP($A10,'Misc. Data &amp; Mechanisms'!$A$63:$DY$152,HLOOKUP('Service Zone Menu'!$X$3&amp;"_ATCO-N_NG_Y_1",'Misc. Data &amp; Mechanisms'!$A$55:$DY$62,8,FALSE), FALSE)</f>
        <v>0.32900000000000001</v>
      </c>
      <c r="U10" s="205">
        <f>VLOOKUP($A10,'Misc. Data &amp; Mechanisms'!$A$63:$DY$152,HLOOKUP('Service Zone Menu'!$X$3&amp;"_ATCO-N_NG_Y_2",'Misc. Data &amp; Mechanisms'!$A$55:$DY$62,8,FALSE), FALSE)</f>
        <v>4.4999999999999998E-2</v>
      </c>
      <c r="V10" s="425">
        <f>IF(OR('Service Zone Menu'!$X$3="Fort McMurray",AND('Service Zone Menu'!$X$3="Spruce Grove", $A10&lt;DATE(2019, 5, 1))),$T10*($G10+$H10+$J10), $T10*($H10+$J10))</f>
        <v>12.500039663264783</v>
      </c>
      <c r="W10" s="338">
        <f t="shared" si="19"/>
        <v>1.7097318688356085</v>
      </c>
      <c r="X10" s="387">
        <v>0.111</v>
      </c>
      <c r="Y10" s="278">
        <v>0.1</v>
      </c>
      <c r="Z10" s="386"/>
      <c r="AA10" s="278">
        <v>0.58199999999999996</v>
      </c>
      <c r="AB10" s="278">
        <v>-0.13500000000000001</v>
      </c>
      <c r="AC10" s="278"/>
      <c r="AD10" s="278"/>
      <c r="AE10" s="278"/>
      <c r="AF10" s="425">
        <f t="shared" si="4"/>
        <v>4.2595853319678607</v>
      </c>
      <c r="AG10" s="425">
        <f t="shared" si="5"/>
        <v>0</v>
      </c>
      <c r="AH10" s="425">
        <f t="shared" si="6"/>
        <v>5.4101866320529499</v>
      </c>
      <c r="AI10" s="425">
        <f t="shared" si="7"/>
        <v>-1.2549401981566122</v>
      </c>
      <c r="AJ10" s="425">
        <f t="shared" si="20"/>
        <v>0</v>
      </c>
      <c r="AK10" s="425">
        <f t="shared" si="21"/>
        <v>0</v>
      </c>
      <c r="AL10" s="425">
        <f t="shared" si="22"/>
        <v>0</v>
      </c>
      <c r="AM10" s="200">
        <f>IF($I$2="DRT",VLOOKUP(A10,'Misc. Data &amp; Mechanisms'!$A$1483:$H$1574,6,FALSE),AY10)</f>
        <v>0.223</v>
      </c>
      <c r="AN10" s="333">
        <f t="shared" si="23"/>
        <v>6.69</v>
      </c>
      <c r="AO10" s="296"/>
      <c r="AP10" s="333">
        <f t="shared" si="8"/>
        <v>0</v>
      </c>
      <c r="AQ10" s="340">
        <f>5%</f>
        <v>0.05</v>
      </c>
      <c r="AR10" s="341">
        <f>'Misc. Data &amp; Mechanisms'!AL283</f>
        <v>9.4146032457402899</v>
      </c>
      <c r="AS10" s="424">
        <f>'Misc. Data &amp; Mechanisms'!AQ283</f>
        <v>9.8128754259218063</v>
      </c>
      <c r="AT10" s="424">
        <f>'Misc. Data &amp; Mechanisms'!W283</f>
        <v>9.2958533196786082</v>
      </c>
      <c r="AU10" s="424">
        <f>'Misc. Data &amp; Mechanisms'!X283</f>
        <v>5.9370276728854181</v>
      </c>
      <c r="AV10" s="1460">
        <f>'Misc. Data &amp; Mechanisms'!$B$260</f>
        <v>10.198990303636064</v>
      </c>
      <c r="AW10" s="197">
        <f>IFERROR(IF('Personalized Bill Menu'!$B$30="Yes", IF('Personalized Bill Menu'!$B$34="Natural Gas",VLOOKUP($A10, 'Personalized Bill Menu'!$H$4:$L$93, 2, FALSE), IF('Personalized Bill Menu'!$B$34="Both",VLOOKUP($A10,'Personalized Bill Menu'!$H$4:$P$93, 6, FALSE), 0)), 0),0)</f>
        <v>0</v>
      </c>
      <c r="AX10" s="1343">
        <f>IFERROR(IF('Personalized Bill Menu'!$C$37="Custom", IF('Personalized Bill Menu'!$B$34="Natural Gas",VLOOKUP($A10, 'Personalized Bill Menu'!$H$4:$L$93, 3, FALSE), IF('Personalized Bill Menu'!$B$34="Both",VLOOKUP($A10,'Personalized Bill Menu'!$H$4:$P$93, 7, FALSE), 0)), 0),0)</f>
        <v>0</v>
      </c>
      <c r="AY10" s="1344">
        <f>IFERROR(IF('Personalized Bill Menu'!$C$37="Custom", IF('Personalized Bill Menu'!$B$34="Natural Gas",VLOOKUP($A10, 'Personalized Bill Menu'!$H$4:$L$93, 4, FALSE), IF('Personalized Bill Menu'!$B$34="Both",VLOOKUP($A10,'Personalized Bill Menu'!$H$4:$P$93, 8, FALSE), 0)), 0),0)</f>
        <v>0</v>
      </c>
      <c r="AZ10" s="335"/>
      <c r="BA10" s="335"/>
      <c r="BB10" s="335"/>
    </row>
    <row r="11" spans="1:54" ht="15" x14ac:dyDescent="0.25">
      <c r="A11" s="427">
        <v>41030</v>
      </c>
      <c r="B11" s="85">
        <f t="shared" si="9"/>
        <v>31</v>
      </c>
      <c r="C11" s="1581">
        <f t="shared" si="10"/>
        <v>5.0565779945447593</v>
      </c>
      <c r="D11" s="66">
        <f t="shared" si="11"/>
        <v>10.780848564530972</v>
      </c>
      <c r="E11" s="66">
        <f>(1+$AQ11)*IF(OR('Service Zone Menu'!$X$3="Fort McMurray",AND('Service Zone Menu'!$X$3="Spruce Grove", $A11&lt;DATE(2019, 5, 1))),((((1+$T11)*($P11+$N11)))+($U11*$P11)+((1+$T11+$U11)*($Y11+$Z11+$AA11+$AB11)) + $AO11),($N11+((1+$T11+$U11)*$P11)+((1+$T11+$U11)*($Y11+$Z11+$AA11+$AB11)) + $AO11))</f>
        <v>3.1275678</v>
      </c>
      <c r="F11" s="400">
        <f t="shared" si="12"/>
        <v>54.514201613926772</v>
      </c>
      <c r="G11" s="115">
        <f t="shared" si="13"/>
        <v>7.3219249361008112</v>
      </c>
      <c r="H11" s="66">
        <f t="shared" si="0"/>
        <v>27.394434862197699</v>
      </c>
      <c r="I11" s="66">
        <f t="shared" si="1"/>
        <v>10.257334429335152</v>
      </c>
      <c r="J11" s="66">
        <f t="shared" si="14"/>
        <v>3.1593023725164482E-2</v>
      </c>
      <c r="K11" s="66">
        <f t="shared" si="15"/>
        <v>6.9130000000000003</v>
      </c>
      <c r="L11" s="66">
        <f t="shared" si="16"/>
        <v>0</v>
      </c>
      <c r="M11" s="68">
        <f t="shared" si="17"/>
        <v>2.5959143625679419</v>
      </c>
      <c r="N11" s="273">
        <f>IF($I$2="DRT",VLOOKUP(A11,'Misc. Data &amp; Mechanisms'!$A$1381:$D$1471,2,FALSE),AX11)</f>
        <v>1.448</v>
      </c>
      <c r="O11" s="338">
        <f t="shared" si="18"/>
        <v>7.3219249361008112</v>
      </c>
      <c r="P11" s="387">
        <v>0.69699999999999995</v>
      </c>
      <c r="Q11" s="278">
        <v>0.77</v>
      </c>
      <c r="R11" s="338">
        <f t="shared" si="2"/>
        <v>3.5244348621976971</v>
      </c>
      <c r="S11" s="338">
        <f t="shared" si="3"/>
        <v>23.87</v>
      </c>
      <c r="T11" s="391">
        <f>VLOOKUP($A11,'Misc. Data &amp; Mechanisms'!$A$63:$DY$152,HLOOKUP('Service Zone Menu'!$X$3&amp;"_ATCO-N_NG_Y_1",'Misc. Data &amp; Mechanisms'!$A$55:$DY$62,8,FALSE), FALSE)</f>
        <v>0.32900000000000001</v>
      </c>
      <c r="U11" s="205">
        <f>VLOOKUP($A11,'Misc. Data &amp; Mechanisms'!$A$63:$DY$152,HLOOKUP('Service Zone Menu'!$X$3&amp;"_ATCO-N_NG_Y_2",'Misc. Data &amp; Mechanisms'!$A$55:$DY$62,8,FALSE), FALSE)</f>
        <v>4.4999999999999998E-2</v>
      </c>
      <c r="V11" s="425">
        <f>IF(OR('Service Zone Menu'!$X$3="Fort McMurray",AND('Service Zone Menu'!$X$3="Spruce Grove", $A11&lt;DATE(2019, 5, 1))),$T11*($G11+$H11+$J11), $T11*($H11+$J11))</f>
        <v>9.0231631744686229</v>
      </c>
      <c r="W11" s="338">
        <f t="shared" si="19"/>
        <v>1.2341712548665289</v>
      </c>
      <c r="X11" s="387">
        <v>-6.7000000000000004E-2</v>
      </c>
      <c r="Y11" s="278">
        <v>-0.06</v>
      </c>
      <c r="Z11" s="386"/>
      <c r="AA11" s="278">
        <v>0.61199999999999999</v>
      </c>
      <c r="AB11" s="278">
        <v>-0.13500000000000001</v>
      </c>
      <c r="AC11" s="278"/>
      <c r="AD11" s="278"/>
      <c r="AE11" s="278"/>
      <c r="AF11" s="425">
        <f t="shared" si="4"/>
        <v>-2.3803946796726856</v>
      </c>
      <c r="AG11" s="425">
        <f t="shared" si="5"/>
        <v>0</v>
      </c>
      <c r="AH11" s="425">
        <f t="shared" si="6"/>
        <v>3.0946257326613926</v>
      </c>
      <c r="AI11" s="425">
        <f t="shared" si="7"/>
        <v>-0.68263802926354256</v>
      </c>
      <c r="AJ11" s="425">
        <f t="shared" si="20"/>
        <v>0</v>
      </c>
      <c r="AK11" s="425">
        <f t="shared" si="21"/>
        <v>0</v>
      </c>
      <c r="AL11" s="425">
        <f t="shared" si="22"/>
        <v>0</v>
      </c>
      <c r="AM11" s="200">
        <f>IF($I$2="DRT",VLOOKUP(A11,'Misc. Data &amp; Mechanisms'!$A$1483:$H$1574,6,FALSE),AY11)</f>
        <v>0.223</v>
      </c>
      <c r="AN11" s="333">
        <f t="shared" si="23"/>
        <v>6.9130000000000003</v>
      </c>
      <c r="AO11" s="296"/>
      <c r="AP11" s="333">
        <f t="shared" si="8"/>
        <v>0</v>
      </c>
      <c r="AQ11" s="340">
        <f>5%</f>
        <v>0.05</v>
      </c>
      <c r="AR11" s="341">
        <f>'Misc. Data &amp; Mechanisms'!AL284</f>
        <v>5.1211732761534066</v>
      </c>
      <c r="AS11" s="424">
        <f>'Misc. Data &amp; Mechanisms'!AQ284</f>
        <v>6.0815659574468084</v>
      </c>
      <c r="AT11" s="424">
        <f>'Misc. Data &amp; Mechanisms'!W284</f>
        <v>5.0565779945447593</v>
      </c>
      <c r="AU11" s="424">
        <f>'Misc. Data &amp; Mechanisms'!X284</f>
        <v>3.2295091640660294</v>
      </c>
      <c r="AV11" s="1460">
        <f>'Misc. Data &amp; Mechanisms'!$B$260</f>
        <v>10.198990303636064</v>
      </c>
      <c r="AW11" s="197">
        <f>IFERROR(IF('Personalized Bill Menu'!$B$30="Yes", IF('Personalized Bill Menu'!$B$34="Natural Gas",VLOOKUP($A11, 'Personalized Bill Menu'!$H$4:$L$93, 2, FALSE), IF('Personalized Bill Menu'!$B$34="Both",VLOOKUP($A11,'Personalized Bill Menu'!$H$4:$P$93, 6, FALSE), 0)), 0),0)</f>
        <v>0</v>
      </c>
      <c r="AX11" s="1343">
        <f>IFERROR(IF('Personalized Bill Menu'!$C$37="Custom", IF('Personalized Bill Menu'!$B$34="Natural Gas",VLOOKUP($A11, 'Personalized Bill Menu'!$H$4:$L$93, 3, FALSE), IF('Personalized Bill Menu'!$B$34="Both",VLOOKUP($A11,'Personalized Bill Menu'!$H$4:$P$93, 7, FALSE), 0)), 0),0)</f>
        <v>0</v>
      </c>
      <c r="AY11" s="1344">
        <f>IFERROR(IF('Personalized Bill Menu'!$C$37="Custom", IF('Personalized Bill Menu'!$B$34="Natural Gas",VLOOKUP($A11, 'Personalized Bill Menu'!$H$4:$L$93, 4, FALSE), IF('Personalized Bill Menu'!$B$34="Both",VLOOKUP($A11,'Personalized Bill Menu'!$H$4:$P$93, 8, FALSE), 0)), 0),0)</f>
        <v>0</v>
      </c>
      <c r="AZ11" s="335"/>
      <c r="BA11" s="335"/>
      <c r="BB11" s="335"/>
    </row>
    <row r="12" spans="1:54" ht="15" x14ac:dyDescent="0.25">
      <c r="A12" s="427">
        <v>41061</v>
      </c>
      <c r="B12" s="85">
        <f t="shared" si="9"/>
        <v>30</v>
      </c>
      <c r="C12" s="1581">
        <f t="shared" si="10"/>
        <v>2.5837913594190716</v>
      </c>
      <c r="D12" s="66">
        <f t="shared" si="11"/>
        <v>19.005025835387318</v>
      </c>
      <c r="E12" s="66">
        <f>(1+$AQ12)*IF(OR('Service Zone Menu'!$X$3="Fort McMurray",AND('Service Zone Menu'!$X$3="Spruce Grove", $A12&lt;DATE(2019, 5, 1))),((((1+$T12)*($P12+$N12)))+($U12*$P12)+((1+$T12+$U12)*($Y12+$Z12+$AA12+$AB12)) + $AO12),($N12+((1+$T12+$U12)*$P12)+((1+$T12+$U12)*($Y12+$Z12+$AA12+$AB12)) + $AO12))</f>
        <v>4.5104177999999999</v>
      </c>
      <c r="F12" s="400">
        <f t="shared" si="12"/>
        <v>49.105021539009975</v>
      </c>
      <c r="G12" s="115">
        <f t="shared" si="13"/>
        <v>7.1441831087937331</v>
      </c>
      <c r="H12" s="66">
        <f t="shared" si="0"/>
        <v>24.900902577515094</v>
      </c>
      <c r="I12" s="66">
        <f t="shared" si="1"/>
        <v>8.9641604968229238</v>
      </c>
      <c r="J12" s="66">
        <f t="shared" si="14"/>
        <v>-0.93255900312224727</v>
      </c>
      <c r="K12" s="66">
        <f t="shared" si="15"/>
        <v>6.69</v>
      </c>
      <c r="L12" s="66">
        <f t="shared" si="16"/>
        <v>0</v>
      </c>
      <c r="M12" s="68">
        <f t="shared" si="17"/>
        <v>2.3383343590004748</v>
      </c>
      <c r="N12" s="273">
        <f>IF($I$2="DRT",VLOOKUP(A12,'Misc. Data &amp; Mechanisms'!$A$1381:$D$1471,2,FALSE),AX12)</f>
        <v>2.7650000000000001</v>
      </c>
      <c r="O12" s="338">
        <f t="shared" si="18"/>
        <v>7.1441831087937331</v>
      </c>
      <c r="P12" s="387">
        <v>0.69699999999999995</v>
      </c>
      <c r="Q12" s="278">
        <v>0.77</v>
      </c>
      <c r="R12" s="338">
        <f t="shared" si="2"/>
        <v>1.8009025775150929</v>
      </c>
      <c r="S12" s="338">
        <f t="shared" si="3"/>
        <v>23.1</v>
      </c>
      <c r="T12" s="391">
        <f>VLOOKUP($A12,'Misc. Data &amp; Mechanisms'!$A$63:$DY$152,HLOOKUP('Service Zone Menu'!$X$3&amp;"_ATCO-N_NG_Y_1",'Misc. Data &amp; Mechanisms'!$A$55:$DY$62,8,FALSE), FALSE)</f>
        <v>0.32900000000000001</v>
      </c>
      <c r="U12" s="205">
        <f>VLOOKUP($A12,'Misc. Data &amp; Mechanisms'!$A$63:$DY$152,HLOOKUP('Service Zone Menu'!$X$3&amp;"_ATCO-N_NG_Y_2",'Misc. Data &amp; Mechanisms'!$A$55:$DY$62,8,FALSE), FALSE)</f>
        <v>4.4999999999999998E-2</v>
      </c>
      <c r="V12" s="425">
        <f>IF(OR('Service Zone Menu'!$X$3="Fort McMurray",AND('Service Zone Menu'!$X$3="Spruce Grove", $A12&lt;DATE(2019, 5, 1))),$T12*($G12+$H12+$J12), $T12*($H12+$J12))</f>
        <v>7.8855850359752466</v>
      </c>
      <c r="W12" s="338">
        <f t="shared" si="19"/>
        <v>1.0785754608476781</v>
      </c>
      <c r="X12" s="387">
        <v>-6.7000000000000004E-2</v>
      </c>
      <c r="Y12" s="278">
        <v>-0.06</v>
      </c>
      <c r="Z12" s="386"/>
      <c r="AA12" s="278">
        <v>0.61199999999999999</v>
      </c>
      <c r="AB12" s="278">
        <v>-0.13500000000000001</v>
      </c>
      <c r="AC12" s="278"/>
      <c r="AD12" s="278"/>
      <c r="AE12" s="278"/>
      <c r="AF12" s="425">
        <f t="shared" si="4"/>
        <v>-2.1650274815651445</v>
      </c>
      <c r="AG12" s="425">
        <f t="shared" si="5"/>
        <v>0</v>
      </c>
      <c r="AH12" s="425">
        <f t="shared" si="6"/>
        <v>1.5812803119644718</v>
      </c>
      <c r="AI12" s="425">
        <f t="shared" si="7"/>
        <v>-0.34881183352157469</v>
      </c>
      <c r="AJ12" s="425">
        <f t="shared" si="20"/>
        <v>0</v>
      </c>
      <c r="AK12" s="425">
        <f t="shared" si="21"/>
        <v>0</v>
      </c>
      <c r="AL12" s="425">
        <f t="shared" si="22"/>
        <v>0</v>
      </c>
      <c r="AM12" s="200">
        <f>IF($I$2="DRT",VLOOKUP(A12,'Misc. Data &amp; Mechanisms'!$A$1483:$H$1574,6,FALSE),AY12)</f>
        <v>0.223</v>
      </c>
      <c r="AN12" s="333">
        <f t="shared" si="23"/>
        <v>6.69</v>
      </c>
      <c r="AO12" s="296"/>
      <c r="AP12" s="333">
        <f t="shared" si="8"/>
        <v>0</v>
      </c>
      <c r="AQ12" s="340">
        <f>5%</f>
        <v>0.05</v>
      </c>
      <c r="AR12" s="341">
        <f>'Misc. Data &amp; Mechanisms'!AL285</f>
        <v>2.6167980154342114</v>
      </c>
      <c r="AS12" s="424">
        <f>'Misc. Data &amp; Mechanisms'!AQ285</f>
        <v>3.2517214370748424</v>
      </c>
      <c r="AT12" s="424">
        <f>'Misc. Data &amp; Mechanisms'!W285</f>
        <v>2.5837913594190716</v>
      </c>
      <c r="AU12" s="424">
        <f>'Misc. Data &amp; Mechanisms'!X285</f>
        <v>1.6502025445431214</v>
      </c>
      <c r="AV12" s="1460">
        <f>'Misc. Data &amp; Mechanisms'!$B$260</f>
        <v>10.198990303636064</v>
      </c>
      <c r="AW12" s="197">
        <f>IFERROR(IF('Personalized Bill Menu'!$B$30="Yes", IF('Personalized Bill Menu'!$B$34="Natural Gas",VLOOKUP($A12, 'Personalized Bill Menu'!$H$4:$L$93, 2, FALSE), IF('Personalized Bill Menu'!$B$34="Both",VLOOKUP($A12,'Personalized Bill Menu'!$H$4:$P$93, 6, FALSE), 0)), 0),0)</f>
        <v>0</v>
      </c>
      <c r="AX12" s="1343">
        <f>IFERROR(IF('Personalized Bill Menu'!$C$37="Custom", IF('Personalized Bill Menu'!$B$34="Natural Gas",VLOOKUP($A12, 'Personalized Bill Menu'!$H$4:$L$93, 3, FALSE), IF('Personalized Bill Menu'!$B$34="Both",VLOOKUP($A12,'Personalized Bill Menu'!$H$4:$P$93, 7, FALSE), 0)), 0),0)</f>
        <v>0</v>
      </c>
      <c r="AY12" s="1344">
        <f>IFERROR(IF('Personalized Bill Menu'!$C$37="Custom", IF('Personalized Bill Menu'!$B$34="Natural Gas",VLOOKUP($A12, 'Personalized Bill Menu'!$H$4:$L$93, 4, FALSE), IF('Personalized Bill Menu'!$B$34="Both",VLOOKUP($A12,'Personalized Bill Menu'!$H$4:$P$93, 8, FALSE), 0)), 0),0)</f>
        <v>0</v>
      </c>
      <c r="AZ12" s="335"/>
      <c r="BA12" s="335"/>
      <c r="BB12" s="335"/>
    </row>
    <row r="13" spans="1:54" ht="15" x14ac:dyDescent="0.25">
      <c r="A13" s="427">
        <v>41091</v>
      </c>
      <c r="B13" s="85">
        <f t="shared" si="9"/>
        <v>31</v>
      </c>
      <c r="C13" s="1581">
        <f t="shared" si="10"/>
        <v>2.5990269762705567</v>
      </c>
      <c r="D13" s="66">
        <f t="shared" si="11"/>
        <v>19.938467919549666</v>
      </c>
      <c r="E13" s="66">
        <f>(1+$AQ13)*IF(OR('Service Zone Menu'!$X$3="Fort McMurray",AND('Service Zone Menu'!$X$3="Spruce Grove", $A13&lt;DATE(2019, 5, 1))),((((1+$T13)*($P13+$N13)))+($U13*$P13)+((1+$T13+$U13)*($Y13+$Z13+$AA13+$AB13)) + $AO13),($N13+((1+$T13+$U13)*$P13)+((1+$T13+$U13)*($Y13+$Z13+$AA13+$AB13)) + $AO13))</f>
        <v>3.8955798000000001</v>
      </c>
      <c r="F13" s="400">
        <f t="shared" si="12"/>
        <v>51.820615988414666</v>
      </c>
      <c r="G13" s="115">
        <f t="shared" si="13"/>
        <v>5.4501595692393572</v>
      </c>
      <c r="H13" s="66">
        <f t="shared" si="0"/>
        <v>25.68152180246058</v>
      </c>
      <c r="I13" s="66">
        <f t="shared" si="1"/>
        <v>10.068550368632973</v>
      </c>
      <c r="J13" s="66">
        <f t="shared" si="14"/>
        <v>1.2397358676810555</v>
      </c>
      <c r="K13" s="66">
        <f t="shared" si="15"/>
        <v>6.9130000000000003</v>
      </c>
      <c r="L13" s="66">
        <f t="shared" si="16"/>
        <v>0</v>
      </c>
      <c r="M13" s="68">
        <f t="shared" si="17"/>
        <v>2.4676483804006986</v>
      </c>
      <c r="N13" s="273">
        <f>IF($I$2="DRT",VLOOKUP(A13,'Misc. Data &amp; Mechanisms'!$A$1381:$D$1471,2,FALSE),AX13)</f>
        <v>2.097</v>
      </c>
      <c r="O13" s="338">
        <f t="shared" si="18"/>
        <v>5.4501595692393572</v>
      </c>
      <c r="P13" s="387">
        <v>0.69699999999999995</v>
      </c>
      <c r="Q13" s="278">
        <v>0.77</v>
      </c>
      <c r="R13" s="338">
        <f t="shared" si="2"/>
        <v>1.8115218024605779</v>
      </c>
      <c r="S13" s="338">
        <f t="shared" si="3"/>
        <v>23.87</v>
      </c>
      <c r="T13" s="391">
        <f>VLOOKUP($A13,'Misc. Data &amp; Mechanisms'!$A$63:$DY$152,HLOOKUP('Service Zone Menu'!$X$3&amp;"_ATCO-N_NG_Y_1",'Misc. Data &amp; Mechanisms'!$A$55:$DY$62,8,FALSE), FALSE)</f>
        <v>0.32900000000000001</v>
      </c>
      <c r="U13" s="205">
        <f>VLOOKUP($A13,'Misc. Data &amp; Mechanisms'!$A$63:$DY$152,HLOOKUP('Service Zone Menu'!$X$3&amp;"_ATCO-N_NG_Y_2",'Misc. Data &amp; Mechanisms'!$A$55:$DY$62,8,FALSE), FALSE)</f>
        <v>4.4999999999999998E-2</v>
      </c>
      <c r="V13" s="425">
        <f>IF(OR('Service Zone Menu'!$X$3="Fort McMurray",AND('Service Zone Menu'!$X$3="Spruce Grove", $A13&lt;DATE(2019, 5, 1))),$T13*($G13+$H13+$J13), $T13*($H13+$J13))</f>
        <v>8.8570937734765991</v>
      </c>
      <c r="W13" s="338">
        <f t="shared" si="19"/>
        <v>1.2114565951563736</v>
      </c>
      <c r="X13" s="426"/>
      <c r="Y13" s="386"/>
      <c r="Z13" s="386"/>
      <c r="AA13" s="278">
        <v>0.61199999999999999</v>
      </c>
      <c r="AB13" s="278">
        <v>-0.13500000000000001</v>
      </c>
      <c r="AC13" s="278"/>
      <c r="AD13" s="278"/>
      <c r="AE13" s="278"/>
      <c r="AF13" s="425">
        <f t="shared" si="4"/>
        <v>0</v>
      </c>
      <c r="AG13" s="425">
        <f t="shared" si="5"/>
        <v>0</v>
      </c>
      <c r="AH13" s="425">
        <f t="shared" si="6"/>
        <v>1.5906045094775807</v>
      </c>
      <c r="AI13" s="425">
        <f t="shared" si="7"/>
        <v>-0.35086864179652516</v>
      </c>
      <c r="AJ13" s="425">
        <f t="shared" si="20"/>
        <v>0</v>
      </c>
      <c r="AK13" s="425">
        <f t="shared" si="21"/>
        <v>0</v>
      </c>
      <c r="AL13" s="425">
        <f t="shared" si="22"/>
        <v>0</v>
      </c>
      <c r="AM13" s="200">
        <f>IF($I$2="DRT",VLOOKUP(A13,'Misc. Data &amp; Mechanisms'!$A$1483:$H$1574,6,FALSE),AY13)</f>
        <v>0.223</v>
      </c>
      <c r="AN13" s="333">
        <f t="shared" si="23"/>
        <v>6.9130000000000003</v>
      </c>
      <c r="AO13" s="296"/>
      <c r="AP13" s="333">
        <f t="shared" si="8"/>
        <v>0</v>
      </c>
      <c r="AQ13" s="340">
        <f>5%</f>
        <v>0.05</v>
      </c>
      <c r="AR13" s="341">
        <f>'Misc. Data &amp; Mechanisms'!AL286</f>
        <v>2.6322282597515567</v>
      </c>
      <c r="AS13" s="424">
        <f>'Misc. Data &amp; Mechanisms'!AQ286</f>
        <v>2.6376208810888251</v>
      </c>
      <c r="AT13" s="424">
        <f>'Misc. Data &amp; Mechanisms'!W286</f>
        <v>2.5990269762705567</v>
      </c>
      <c r="AU13" s="424">
        <f>'Misc. Data &amp; Mechanisms'!X286</f>
        <v>1.6599331497656953</v>
      </c>
      <c r="AV13" s="1460">
        <f>'Misc. Data &amp; Mechanisms'!$B$260</f>
        <v>10.198990303636064</v>
      </c>
      <c r="AW13" s="197">
        <f>IFERROR(IF('Personalized Bill Menu'!$B$30="Yes", IF('Personalized Bill Menu'!$B$34="Natural Gas",VLOOKUP($A13, 'Personalized Bill Menu'!$H$4:$L$93, 2, FALSE), IF('Personalized Bill Menu'!$B$34="Both",VLOOKUP($A13,'Personalized Bill Menu'!$H$4:$P$93, 6, FALSE), 0)), 0),0)</f>
        <v>0</v>
      </c>
      <c r="AX13" s="1343">
        <f>IFERROR(IF('Personalized Bill Menu'!$C$37="Custom", IF('Personalized Bill Menu'!$B$34="Natural Gas",VLOOKUP($A13, 'Personalized Bill Menu'!$H$4:$L$93, 3, FALSE), IF('Personalized Bill Menu'!$B$34="Both",VLOOKUP($A13,'Personalized Bill Menu'!$H$4:$P$93, 7, FALSE), 0)), 0),0)</f>
        <v>0</v>
      </c>
      <c r="AY13" s="1344">
        <f>IFERROR(IF('Personalized Bill Menu'!$C$37="Custom", IF('Personalized Bill Menu'!$B$34="Natural Gas",VLOOKUP($A13, 'Personalized Bill Menu'!$H$4:$L$93, 4, FALSE), IF('Personalized Bill Menu'!$B$34="Both",VLOOKUP($A13,'Personalized Bill Menu'!$H$4:$P$93, 8, FALSE), 0)), 0),0)</f>
        <v>0</v>
      </c>
      <c r="AZ13" s="335"/>
      <c r="BA13" s="335"/>
      <c r="BB13" s="335"/>
    </row>
    <row r="14" spans="1:54" ht="15" x14ac:dyDescent="0.25">
      <c r="A14" s="427">
        <v>41122</v>
      </c>
      <c r="B14" s="85">
        <f t="shared" si="9"/>
        <v>31</v>
      </c>
      <c r="C14" s="1581">
        <f t="shared" si="10"/>
        <v>2.7087161510216626</v>
      </c>
      <c r="D14" s="66">
        <f t="shared" si="11"/>
        <v>19.858710857761817</v>
      </c>
      <c r="E14" s="66">
        <f>(1+$AQ14)*IF(OR('Service Zone Menu'!$X$3="Fort McMurray",AND('Service Zone Menu'!$X$3="Spruce Grove", $A14&lt;DATE(2019, 5, 1))),((((1+$T14)*($P14+$N14)))+($U14*$P14)+((1+$T14+$U14)*($Y14+$Z14+$AA14+$AB14)) + $AO14),($N14+((1+$T14+$U14)*$P14)+((1+$T14+$U14)*($Y14+$Z14+$AA14+$AB14)) + $AO14))</f>
        <v>4.4654778000000004</v>
      </c>
      <c r="F14" s="400">
        <f t="shared" si="12"/>
        <v>53.791610838888687</v>
      </c>
      <c r="G14" s="115">
        <f t="shared" si="13"/>
        <v>6.2571343088600404</v>
      </c>
      <c r="H14" s="66">
        <f t="shared" si="0"/>
        <v>25.757975157262099</v>
      </c>
      <c r="I14" s="66">
        <f t="shared" si="1"/>
        <v>10.359846614441691</v>
      </c>
      <c r="J14" s="66">
        <f t="shared" si="14"/>
        <v>1.9421494802825321</v>
      </c>
      <c r="K14" s="66">
        <f t="shared" si="15"/>
        <v>6.9130000000000003</v>
      </c>
      <c r="L14" s="66">
        <f t="shared" si="16"/>
        <v>0</v>
      </c>
      <c r="M14" s="68">
        <f t="shared" si="17"/>
        <v>2.5615052780423184</v>
      </c>
      <c r="N14" s="273">
        <f>IF($I$2="DRT",VLOOKUP(A14,'Misc. Data &amp; Mechanisms'!$A$1381:$D$1471,2,FALSE),AX14)</f>
        <v>2.31</v>
      </c>
      <c r="O14" s="338">
        <f t="shared" si="18"/>
        <v>6.2571343088600404</v>
      </c>
      <c r="P14" s="387">
        <v>0.69699999999999995</v>
      </c>
      <c r="Q14" s="278">
        <v>0.77</v>
      </c>
      <c r="R14" s="338">
        <f t="shared" si="2"/>
        <v>1.8879751572620986</v>
      </c>
      <c r="S14" s="338">
        <f t="shared" si="3"/>
        <v>23.87</v>
      </c>
      <c r="T14" s="391">
        <f>VLOOKUP($A14,'Misc. Data &amp; Mechanisms'!$A$63:$DY$152,HLOOKUP('Service Zone Menu'!$X$3&amp;"_ATCO-N_NG_Y_1",'Misc. Data &amp; Mechanisms'!$A$55:$DY$62,8,FALSE), FALSE)</f>
        <v>0.32900000000000001</v>
      </c>
      <c r="U14" s="205">
        <f>VLOOKUP($A14,'Misc. Data &amp; Mechanisms'!$A$63:$DY$152,HLOOKUP('Service Zone Menu'!$X$3&amp;"_ATCO-N_NG_Y_2",'Misc. Data &amp; Mechanisms'!$A$55:$DY$62,8,FALSE), FALSE)</f>
        <v>4.4999999999999998E-2</v>
      </c>
      <c r="V14" s="425">
        <f>IF(OR('Service Zone Menu'!$X$3="Fort McMurray",AND('Service Zone Menu'!$X$3="Spruce Grove", $A14&lt;DATE(2019, 5, 1))),$T14*($G14+$H14+$J14), $T14*($H14+$J14))</f>
        <v>9.1133410057521829</v>
      </c>
      <c r="W14" s="338">
        <f t="shared" si="19"/>
        <v>1.2465056086895083</v>
      </c>
      <c r="X14" s="426"/>
      <c r="Y14" s="386"/>
      <c r="Z14" s="386"/>
      <c r="AA14" s="278">
        <v>0.61199999999999999</v>
      </c>
      <c r="AB14" s="278">
        <v>0.105</v>
      </c>
      <c r="AC14" s="278"/>
      <c r="AD14" s="278"/>
      <c r="AE14" s="278"/>
      <c r="AF14" s="425">
        <f t="shared" si="4"/>
        <v>0</v>
      </c>
      <c r="AG14" s="425">
        <f t="shared" si="5"/>
        <v>0</v>
      </c>
      <c r="AH14" s="425">
        <f t="shared" si="6"/>
        <v>1.6577342844252576</v>
      </c>
      <c r="AI14" s="425">
        <f t="shared" si="7"/>
        <v>0.28441519585727454</v>
      </c>
      <c r="AJ14" s="425">
        <f t="shared" si="20"/>
        <v>0</v>
      </c>
      <c r="AK14" s="425">
        <f t="shared" si="21"/>
        <v>0</v>
      </c>
      <c r="AL14" s="425">
        <f t="shared" si="22"/>
        <v>0</v>
      </c>
      <c r="AM14" s="200">
        <f>IF($I$2="DRT",VLOOKUP(A14,'Misc. Data &amp; Mechanisms'!$A$1483:$H$1574,6,FALSE),AY14)</f>
        <v>0.223</v>
      </c>
      <c r="AN14" s="333">
        <f t="shared" si="23"/>
        <v>6.9130000000000003</v>
      </c>
      <c r="AO14" s="296"/>
      <c r="AP14" s="333">
        <f t="shared" si="8"/>
        <v>0</v>
      </c>
      <c r="AQ14" s="340">
        <f>5%</f>
        <v>0.05</v>
      </c>
      <c r="AR14" s="341">
        <f>'Misc. Data &amp; Mechanisms'!AL287</f>
        <v>2.7433186594298982</v>
      </c>
      <c r="AS14" s="424">
        <f>'Misc. Data &amp; Mechanisms'!AQ287</f>
        <v>2.8528753773539699</v>
      </c>
      <c r="AT14" s="424">
        <f>'Misc. Data &amp; Mechanisms'!W287</f>
        <v>2.7087161510216626</v>
      </c>
      <c r="AU14" s="424">
        <f>'Misc. Data &amp; Mechanisms'!X287</f>
        <v>1.7299888663866407</v>
      </c>
      <c r="AV14" s="1460">
        <f>'Misc. Data &amp; Mechanisms'!$B$260</f>
        <v>10.198990303636064</v>
      </c>
      <c r="AW14" s="197">
        <f>IFERROR(IF('Personalized Bill Menu'!$B$30="Yes", IF('Personalized Bill Menu'!$B$34="Natural Gas",VLOOKUP($A14, 'Personalized Bill Menu'!$H$4:$L$93, 2, FALSE), IF('Personalized Bill Menu'!$B$34="Both",VLOOKUP($A14,'Personalized Bill Menu'!$H$4:$P$93, 6, FALSE), 0)), 0),0)</f>
        <v>0</v>
      </c>
      <c r="AX14" s="1343">
        <f>IFERROR(IF('Personalized Bill Menu'!$C$37="Custom", IF('Personalized Bill Menu'!$B$34="Natural Gas",VLOOKUP($A14, 'Personalized Bill Menu'!$H$4:$L$93, 3, FALSE), IF('Personalized Bill Menu'!$B$34="Both",VLOOKUP($A14,'Personalized Bill Menu'!$H$4:$P$93, 7, FALSE), 0)), 0),0)</f>
        <v>0</v>
      </c>
      <c r="AY14" s="1344">
        <f>IFERROR(IF('Personalized Bill Menu'!$C$37="Custom", IF('Personalized Bill Menu'!$B$34="Natural Gas",VLOOKUP($A14, 'Personalized Bill Menu'!$H$4:$L$93, 4, FALSE), IF('Personalized Bill Menu'!$B$34="Both",VLOOKUP($A14,'Personalized Bill Menu'!$H$4:$P$93, 8, FALSE), 0)), 0),0)</f>
        <v>0</v>
      </c>
      <c r="AZ14" s="335"/>
      <c r="BA14" s="335"/>
      <c r="BB14" s="335"/>
    </row>
    <row r="15" spans="1:54" ht="15" x14ac:dyDescent="0.25">
      <c r="A15" s="427">
        <v>41153</v>
      </c>
      <c r="B15" s="85">
        <f t="shared" si="9"/>
        <v>30</v>
      </c>
      <c r="C15" s="1581">
        <f t="shared" si="10"/>
        <v>3.0759075453157898</v>
      </c>
      <c r="D15" s="66">
        <f t="shared" si="11"/>
        <v>17.081940236299221</v>
      </c>
      <c r="E15" s="66">
        <f>(1+$AQ15)*IF(OR('Service Zone Menu'!$X$3="Fort McMurray",AND('Service Zone Menu'!$X$3="Spruce Grove", $A15&lt;DATE(2019, 5, 1))),((((1+$T15)*($P15+$N15)))+($U15*$P15)+((1+$T15+$U15)*($Y15+$Z15+$AA15+$AB15)) + $AO15),($N15+((1+$T15+$U15)*$P15)+((1+$T15+$U15)*($Y15+$Z15+$AA15+$AB15)) + $AO15))</f>
        <v>3.9635777999999999</v>
      </c>
      <c r="F15" s="400">
        <f t="shared" si="12"/>
        <v>52.542468861466162</v>
      </c>
      <c r="G15" s="115">
        <f t="shared" si="13"/>
        <v>5.635062623018527</v>
      </c>
      <c r="H15" s="66">
        <f t="shared" si="0"/>
        <v>25.243907559085105</v>
      </c>
      <c r="I15" s="66">
        <f t="shared" si="1"/>
        <v>10.266050642634621</v>
      </c>
      <c r="J15" s="66">
        <f t="shared" si="14"/>
        <v>2.2054257099914212</v>
      </c>
      <c r="K15" s="66">
        <f t="shared" si="15"/>
        <v>6.69</v>
      </c>
      <c r="L15" s="66">
        <f t="shared" si="16"/>
        <v>0</v>
      </c>
      <c r="M15" s="68">
        <f t="shared" si="17"/>
        <v>2.5020223267364838</v>
      </c>
      <c r="N15" s="273">
        <f>IF($I$2="DRT",VLOOKUP(A15,'Misc. Data &amp; Mechanisms'!$A$1381:$D$1471,2,FALSE),AX15)</f>
        <v>1.8320000000000001</v>
      </c>
      <c r="O15" s="338">
        <f t="shared" si="18"/>
        <v>5.635062623018527</v>
      </c>
      <c r="P15" s="387">
        <v>0.69699999999999995</v>
      </c>
      <c r="Q15" s="278">
        <v>0.77</v>
      </c>
      <c r="R15" s="338">
        <f t="shared" si="2"/>
        <v>2.1439075590851053</v>
      </c>
      <c r="S15" s="338">
        <f t="shared" si="3"/>
        <v>23.1</v>
      </c>
      <c r="T15" s="391">
        <f>VLOOKUP($A15,'Misc. Data &amp; Mechanisms'!$A$63:$DY$152,HLOOKUP('Service Zone Menu'!$X$3&amp;"_ATCO-N_NG_Y_1",'Misc. Data &amp; Mechanisms'!$A$55:$DY$62,8,FALSE), FALSE)</f>
        <v>0.32900000000000001</v>
      </c>
      <c r="U15" s="205">
        <f>VLOOKUP($A15,'Misc. Data &amp; Mechanisms'!$A$63:$DY$152,HLOOKUP('Service Zone Menu'!$X$3&amp;"_ATCO-N_NG_Y_2",'Misc. Data &amp; Mechanisms'!$A$55:$DY$62,8,FALSE), FALSE)</f>
        <v>4.4999999999999998E-2</v>
      </c>
      <c r="V15" s="425">
        <f>IF(OR('Service Zone Menu'!$X$3="Fort McMurray",AND('Service Zone Menu'!$X$3="Spruce Grove", $A15&lt;DATE(2019, 5, 1))),$T15*($G15+$H15+$J15), $T15*($H15+$J15))</f>
        <v>9.0308306455261782</v>
      </c>
      <c r="W15" s="338">
        <f t="shared" si="19"/>
        <v>1.2352199971084437</v>
      </c>
      <c r="X15" s="426"/>
      <c r="Y15" s="386"/>
      <c r="Z15" s="386"/>
      <c r="AA15" s="278">
        <v>0.61199999999999999</v>
      </c>
      <c r="AB15" s="278">
        <v>0.105</v>
      </c>
      <c r="AC15" s="278"/>
      <c r="AD15" s="278"/>
      <c r="AE15" s="278"/>
      <c r="AF15" s="425">
        <f t="shared" si="4"/>
        <v>0</v>
      </c>
      <c r="AG15" s="425">
        <f t="shared" si="5"/>
        <v>0</v>
      </c>
      <c r="AH15" s="425">
        <f t="shared" si="6"/>
        <v>1.8824554177332633</v>
      </c>
      <c r="AI15" s="425">
        <f t="shared" si="7"/>
        <v>0.32297029225815793</v>
      </c>
      <c r="AJ15" s="425">
        <f t="shared" si="20"/>
        <v>0</v>
      </c>
      <c r="AK15" s="425">
        <f t="shared" si="21"/>
        <v>0</v>
      </c>
      <c r="AL15" s="425">
        <f t="shared" si="22"/>
        <v>0</v>
      </c>
      <c r="AM15" s="200">
        <f>IF($I$2="DRT",VLOOKUP(A15,'Misc. Data &amp; Mechanisms'!$A$1483:$H$1574,6,FALSE),AY15)</f>
        <v>0.223</v>
      </c>
      <c r="AN15" s="333">
        <f t="shared" si="23"/>
        <v>6.69</v>
      </c>
      <c r="AO15" s="296"/>
      <c r="AP15" s="333">
        <f t="shared" si="8"/>
        <v>0</v>
      </c>
      <c r="AQ15" s="340">
        <f>5%</f>
        <v>0.05</v>
      </c>
      <c r="AR15" s="341">
        <f>'Misc. Data &amp; Mechanisms'!AL288</f>
        <v>3.1152007420797259</v>
      </c>
      <c r="AS15" s="424">
        <f>'Misc. Data &amp; Mechanisms'!AQ288</f>
        <v>3.1838910976324981</v>
      </c>
      <c r="AT15" s="424">
        <f>'Misc. Data &amp; Mechanisms'!W288</f>
        <v>3.0759075453157898</v>
      </c>
      <c r="AU15" s="424">
        <f>'Misc. Data &amp; Mechanisms'!X288</f>
        <v>1.9645047730172531</v>
      </c>
      <c r="AV15" s="1460">
        <f>'Misc. Data &amp; Mechanisms'!$B$260</f>
        <v>10.198990303636064</v>
      </c>
      <c r="AW15" s="197">
        <f>IFERROR(IF('Personalized Bill Menu'!$B$30="Yes", IF('Personalized Bill Menu'!$B$34="Natural Gas",VLOOKUP($A15, 'Personalized Bill Menu'!$H$4:$L$93, 2, FALSE), IF('Personalized Bill Menu'!$B$34="Both",VLOOKUP($A15,'Personalized Bill Menu'!$H$4:$P$93, 6, FALSE), 0)), 0),0)</f>
        <v>0</v>
      </c>
      <c r="AX15" s="1343">
        <f>IFERROR(IF('Personalized Bill Menu'!$C$37="Custom", IF('Personalized Bill Menu'!$B$34="Natural Gas",VLOOKUP($A15, 'Personalized Bill Menu'!$H$4:$L$93, 3, FALSE), IF('Personalized Bill Menu'!$B$34="Both",VLOOKUP($A15,'Personalized Bill Menu'!$H$4:$P$93, 7, FALSE), 0)), 0),0)</f>
        <v>0</v>
      </c>
      <c r="AY15" s="1344">
        <f>IFERROR(IF('Personalized Bill Menu'!$C$37="Custom", IF('Personalized Bill Menu'!$B$34="Natural Gas",VLOOKUP($A15, 'Personalized Bill Menu'!$H$4:$L$93, 4, FALSE), IF('Personalized Bill Menu'!$B$34="Both",VLOOKUP($A15,'Personalized Bill Menu'!$H$4:$P$93, 8, FALSE), 0)), 0),0)</f>
        <v>0</v>
      </c>
      <c r="AZ15" s="335"/>
      <c r="BA15" s="335"/>
      <c r="BB15" s="335"/>
    </row>
    <row r="16" spans="1:54" ht="15" x14ac:dyDescent="0.25">
      <c r="A16" s="427">
        <v>41183</v>
      </c>
      <c r="B16" s="85">
        <f t="shared" si="9"/>
        <v>31</v>
      </c>
      <c r="C16" s="1581">
        <f t="shared" si="10"/>
        <v>12.706777976032429</v>
      </c>
      <c r="D16" s="66">
        <f t="shared" si="11"/>
        <v>7.9537181791068789</v>
      </c>
      <c r="E16" s="66">
        <f>(1+$AQ16)*IF(OR('Service Zone Menu'!$X$3="Fort McMurray",AND('Service Zone Menu'!$X$3="Spruce Grove", $A16&lt;DATE(2019, 5, 1))),((((1+$T16)*($P16+$N16)))+($U16*$P16)+((1+$T16+$U16)*($Y16+$Z16+$AA16+$AB16)) + $AO16),($N16+((1+$T16+$U16)*$P16)+((1+$T16+$U16)*($Y16+$Z16+$AA16+$AB16)) + $AO16))</f>
        <v>4.6723278000000006</v>
      </c>
      <c r="F16" s="400">
        <f t="shared" si="12"/>
        <v>101.06613098584404</v>
      </c>
      <c r="G16" s="115">
        <f t="shared" si="13"/>
        <v>31.8558923859133</v>
      </c>
      <c r="H16" s="66">
        <f t="shared" si="0"/>
        <v>32.726624249294602</v>
      </c>
      <c r="I16" s="66">
        <f t="shared" si="1"/>
        <v>15.647181637733087</v>
      </c>
      <c r="J16" s="66">
        <f t="shared" si="14"/>
        <v>9.110759808815251</v>
      </c>
      <c r="K16" s="66">
        <f t="shared" si="15"/>
        <v>6.9130000000000003</v>
      </c>
      <c r="L16" s="66">
        <f t="shared" si="16"/>
        <v>0</v>
      </c>
      <c r="M16" s="68">
        <f t="shared" si="17"/>
        <v>4.8126729040878118</v>
      </c>
      <c r="N16" s="273">
        <f>IF($I$2="DRT",VLOOKUP(A16,'Misc. Data &amp; Mechanisms'!$A$1381:$D$1471,2,FALSE),AX16)</f>
        <v>2.5070000000000001</v>
      </c>
      <c r="O16" s="333">
        <f t="shared" si="18"/>
        <v>31.8558923859133</v>
      </c>
      <c r="P16" s="387">
        <v>0.69699999999999995</v>
      </c>
      <c r="Q16" s="278">
        <v>0.77</v>
      </c>
      <c r="R16" s="338">
        <f t="shared" si="2"/>
        <v>8.8566242492946028</v>
      </c>
      <c r="S16" s="338">
        <f t="shared" si="3"/>
        <v>23.87</v>
      </c>
      <c r="T16" s="391">
        <f>VLOOKUP($A16,'Misc. Data &amp; Mechanisms'!$A$63:$DY$152,HLOOKUP('Service Zone Menu'!$X$3&amp;"_ATCO-N_NG_Y_1",'Misc. Data &amp; Mechanisms'!$A$55:$DY$62,8,FALSE), FALSE)</f>
        <v>0.32900000000000001</v>
      </c>
      <c r="U16" s="205">
        <f>VLOOKUP($A16,'Misc. Data &amp; Mechanisms'!$A$63:$DY$152,HLOOKUP('Service Zone Menu'!$X$3&amp;"_ATCO-N_NG_Y_2",'Misc. Data &amp; Mechanisms'!$A$55:$DY$62,8,FALSE), FALSE)</f>
        <v>4.4999999999999998E-2</v>
      </c>
      <c r="V16" s="425">
        <f>IF(OR('Service Zone Menu'!$X$3="Fort McMurray",AND('Service Zone Menu'!$X$3="Spruce Grove", $A16&lt;DATE(2019, 5, 1))),$T16*($G16+$H16+$J16), $T16*($H16+$J16))</f>
        <v>13.764499355118144</v>
      </c>
      <c r="W16" s="338">
        <f t="shared" si="19"/>
        <v>1.8826822826149434</v>
      </c>
      <c r="X16" s="426"/>
      <c r="Y16" s="386"/>
      <c r="Z16" s="386"/>
      <c r="AA16" s="278">
        <v>0.61199999999999999</v>
      </c>
      <c r="AB16" s="278">
        <v>0.105</v>
      </c>
      <c r="AC16" s="278"/>
      <c r="AD16" s="278"/>
      <c r="AE16" s="278"/>
      <c r="AF16" s="425">
        <f t="shared" si="4"/>
        <v>0</v>
      </c>
      <c r="AG16" s="425">
        <f t="shared" si="5"/>
        <v>0</v>
      </c>
      <c r="AH16" s="425">
        <f t="shared" si="6"/>
        <v>7.7765481213318459</v>
      </c>
      <c r="AI16" s="425">
        <f t="shared" si="7"/>
        <v>1.3342116874834049</v>
      </c>
      <c r="AJ16" s="425">
        <f t="shared" si="20"/>
        <v>0</v>
      </c>
      <c r="AK16" s="425">
        <f t="shared" si="21"/>
        <v>0</v>
      </c>
      <c r="AL16" s="425">
        <f t="shared" si="22"/>
        <v>0</v>
      </c>
      <c r="AM16" s="200">
        <f>IF($I$2="DRT",VLOOKUP(A16,'Misc. Data &amp; Mechanisms'!$A$1483:$H$1574,6,FALSE),AY16)</f>
        <v>0.223</v>
      </c>
      <c r="AN16" s="333">
        <f t="shared" si="23"/>
        <v>6.9130000000000003</v>
      </c>
      <c r="AO16" s="296"/>
      <c r="AP16" s="333">
        <f t="shared" si="8"/>
        <v>0</v>
      </c>
      <c r="AQ16" s="340">
        <f>5%</f>
        <v>0.05</v>
      </c>
      <c r="AR16" s="341">
        <f>'Misc. Data &amp; Mechanisms'!AL289</f>
        <v>12.869100776666746</v>
      </c>
      <c r="AS16" s="424">
        <f>'Misc. Data &amp; Mechanisms'!AQ289</f>
        <v>12.137511372775048</v>
      </c>
      <c r="AT16" s="424">
        <f>'Misc. Data &amp; Mechanisms'!W289</f>
        <v>12.706777976032429</v>
      </c>
      <c r="AU16" s="424">
        <f>'Misc. Data &amp; Mechanisms'!X289</f>
        <v>8.1154994471797171</v>
      </c>
      <c r="AV16" s="1460">
        <f>'Misc. Data &amp; Mechanisms'!$B$260</f>
        <v>10.198990303636064</v>
      </c>
      <c r="AW16" s="197">
        <f>IFERROR(IF('Personalized Bill Menu'!$B$30="Yes", IF('Personalized Bill Menu'!$B$34="Natural Gas",VLOOKUP($A16, 'Personalized Bill Menu'!$H$4:$L$93, 2, FALSE), IF('Personalized Bill Menu'!$B$34="Both",VLOOKUP($A16,'Personalized Bill Menu'!$H$4:$P$93, 6, FALSE), 0)), 0),0)</f>
        <v>0</v>
      </c>
      <c r="AX16" s="1343">
        <f>IFERROR(IF('Personalized Bill Menu'!$C$37="Custom", IF('Personalized Bill Menu'!$B$34="Natural Gas",VLOOKUP($A16, 'Personalized Bill Menu'!$H$4:$L$93, 3, FALSE), IF('Personalized Bill Menu'!$B$34="Both",VLOOKUP($A16,'Personalized Bill Menu'!$H$4:$P$93, 7, FALSE), 0)), 0),0)</f>
        <v>0</v>
      </c>
      <c r="AY16" s="1344">
        <f>IFERROR(IF('Personalized Bill Menu'!$C$37="Custom", IF('Personalized Bill Menu'!$B$34="Natural Gas",VLOOKUP($A16, 'Personalized Bill Menu'!$H$4:$L$93, 4, FALSE), IF('Personalized Bill Menu'!$B$34="Both",VLOOKUP($A16,'Personalized Bill Menu'!$H$4:$P$93, 8, FALSE), 0)), 0),0)</f>
        <v>0</v>
      </c>
      <c r="AZ16" s="335"/>
      <c r="BA16" s="335"/>
      <c r="BB16" s="335"/>
    </row>
    <row r="17" spans="1:54" ht="15" x14ac:dyDescent="0.25">
      <c r="A17" s="427">
        <v>41214</v>
      </c>
      <c r="B17" s="85">
        <f t="shared" si="9"/>
        <v>30</v>
      </c>
      <c r="C17" s="1581">
        <f t="shared" si="10"/>
        <v>18.745223163807729</v>
      </c>
      <c r="D17" s="66">
        <f t="shared" si="11"/>
        <v>7.9106226049478163</v>
      </c>
      <c r="E17" s="66">
        <f>(1+$AQ17)*IF(OR('Service Zone Menu'!$X$3="Fort McMurray",AND('Service Zone Menu'!$X$3="Spruce Grove", $A17&lt;DATE(2019, 5, 1))),((((1+$T17)*($P17+$N17)))+($U17*$P17)+((1+$T17+$U17)*($Y17+$Z17+$AA17+$AB17)) + $AO17),($N17+((1+$T17+$U17)*$P17)+((1+$T17+$U17)*($Y17+$Z17+$AA17+$AB17)) + $AO17))</f>
        <v>5.7580278000000007</v>
      </c>
      <c r="F17" s="400">
        <f t="shared" si="12"/>
        <v>148.28638609440884</v>
      </c>
      <c r="G17" s="115">
        <f t="shared" si="13"/>
        <v>66.376835223043173</v>
      </c>
      <c r="H17" s="66">
        <f t="shared" si="0"/>
        <v>36.165420545173987</v>
      </c>
      <c r="I17" s="66">
        <f t="shared" si="1"/>
        <v>18.552548837055429</v>
      </c>
      <c r="J17" s="66">
        <f t="shared" si="14"/>
        <v>13.440325008450142</v>
      </c>
      <c r="K17" s="66">
        <f t="shared" si="15"/>
        <v>6.69</v>
      </c>
      <c r="L17" s="66">
        <f t="shared" si="16"/>
        <v>0</v>
      </c>
      <c r="M17" s="68">
        <f t="shared" si="17"/>
        <v>7.0612564806861364</v>
      </c>
      <c r="N17" s="273">
        <f>IF($I$2="DRT",VLOOKUP(A17,'Misc. Data &amp; Mechanisms'!$A$1381:$D$1471,2,FALSE),AX17)</f>
        <v>3.5409999999999999</v>
      </c>
      <c r="O17" s="338">
        <f t="shared" si="18"/>
        <v>66.376835223043173</v>
      </c>
      <c r="P17" s="387">
        <v>0.69699999999999995</v>
      </c>
      <c r="Q17" s="278">
        <v>0.77</v>
      </c>
      <c r="R17" s="338">
        <f t="shared" si="2"/>
        <v>13.065420545173987</v>
      </c>
      <c r="S17" s="338">
        <f t="shared" si="3"/>
        <v>23.1</v>
      </c>
      <c r="T17" s="391">
        <f>VLOOKUP($A17,'Misc. Data &amp; Mechanisms'!$A$63:$DY$152,HLOOKUP('Service Zone Menu'!$X$3&amp;"_ATCO-N_NG_Y_1",'Misc. Data &amp; Mechanisms'!$A$55:$DY$62,8,FALSE), FALSE)</f>
        <v>0.32900000000000001</v>
      </c>
      <c r="U17" s="205">
        <f>VLOOKUP($A17,'Misc. Data &amp; Mechanisms'!$A$63:$DY$152,HLOOKUP('Service Zone Menu'!$X$3&amp;"_ATCO-N_NG_Y_2",'Misc. Data &amp; Mechanisms'!$A$55:$DY$62,8,FALSE), FALSE)</f>
        <v>4.4999999999999998E-2</v>
      </c>
      <c r="V17" s="425">
        <f>IF(OR('Service Zone Menu'!$X$3="Fort McMurray",AND('Service Zone Menu'!$X$3="Spruce Grove", $A17&lt;DATE(2019, 5, 1))),$T17*($G17+$H17+$J17), $T17*($H17+$J17))</f>
        <v>16.320290287142342</v>
      </c>
      <c r="W17" s="338">
        <f t="shared" si="19"/>
        <v>2.232258549913086</v>
      </c>
      <c r="X17" s="426"/>
      <c r="Y17" s="386"/>
      <c r="Z17" s="386"/>
      <c r="AA17" s="278">
        <v>0.61199999999999999</v>
      </c>
      <c r="AB17" s="278">
        <v>0.105</v>
      </c>
      <c r="AC17" s="278"/>
      <c r="AD17" s="278"/>
      <c r="AE17" s="278"/>
      <c r="AF17" s="425">
        <f t="shared" si="4"/>
        <v>0</v>
      </c>
      <c r="AG17" s="425">
        <f t="shared" si="5"/>
        <v>0</v>
      </c>
      <c r="AH17" s="425">
        <f t="shared" si="6"/>
        <v>11.472076576250331</v>
      </c>
      <c r="AI17" s="425">
        <f t="shared" si="7"/>
        <v>1.9682484321998115</v>
      </c>
      <c r="AJ17" s="425">
        <f t="shared" si="20"/>
        <v>0</v>
      </c>
      <c r="AK17" s="425">
        <f t="shared" si="21"/>
        <v>0</v>
      </c>
      <c r="AL17" s="425">
        <f t="shared" si="22"/>
        <v>0</v>
      </c>
      <c r="AM17" s="200">
        <f>IF($I$2="DRT",VLOOKUP(A17,'Misc. Data &amp; Mechanisms'!$A$1483:$H$1574,6,FALSE),AY17)</f>
        <v>0.223</v>
      </c>
      <c r="AN17" s="333">
        <f t="shared" si="23"/>
        <v>6.69</v>
      </c>
      <c r="AO17" s="296"/>
      <c r="AP17" s="333">
        <f t="shared" si="8"/>
        <v>0</v>
      </c>
      <c r="AQ17" s="340">
        <f>5%</f>
        <v>0.05</v>
      </c>
      <c r="AR17" s="341">
        <f>'Misc. Data &amp; Mechanisms'!AL290</f>
        <v>18.984684113562565</v>
      </c>
      <c r="AS17" s="424">
        <f>'Misc. Data &amp; Mechanisms'!AQ290</f>
        <v>17.55422683228494</v>
      </c>
      <c r="AT17" s="424">
        <f>'Misc. Data &amp; Mechanisms'!W290</f>
        <v>18.745223163807729</v>
      </c>
      <c r="AU17" s="424">
        <f>'Misc. Data &amp; Mechanisms'!X290</f>
        <v>11.97210248814328</v>
      </c>
      <c r="AV17" s="1460">
        <f>'Misc. Data &amp; Mechanisms'!$B$260</f>
        <v>10.198990303636064</v>
      </c>
      <c r="AW17" s="197">
        <f>IFERROR(IF('Personalized Bill Menu'!$B$30="Yes", IF('Personalized Bill Menu'!$B$34="Natural Gas",VLOOKUP($A17, 'Personalized Bill Menu'!$H$4:$L$93, 2, FALSE), IF('Personalized Bill Menu'!$B$34="Both",VLOOKUP($A17,'Personalized Bill Menu'!$H$4:$P$93, 6, FALSE), 0)), 0),0)</f>
        <v>0</v>
      </c>
      <c r="AX17" s="1343">
        <f>IFERROR(IF('Personalized Bill Menu'!$C$37="Custom", IF('Personalized Bill Menu'!$B$34="Natural Gas",VLOOKUP($A17, 'Personalized Bill Menu'!$H$4:$L$93, 3, FALSE), IF('Personalized Bill Menu'!$B$34="Both",VLOOKUP($A17,'Personalized Bill Menu'!$H$4:$P$93, 7, FALSE), 0)), 0),0)</f>
        <v>0</v>
      </c>
      <c r="AY17" s="1344">
        <f>IFERROR(IF('Personalized Bill Menu'!$C$37="Custom", IF('Personalized Bill Menu'!$B$34="Natural Gas",VLOOKUP($A17, 'Personalized Bill Menu'!$H$4:$L$93, 4, FALSE), IF('Personalized Bill Menu'!$B$34="Both",VLOOKUP($A17,'Personalized Bill Menu'!$H$4:$P$93, 8, FALSE), 0)), 0),0)</f>
        <v>0</v>
      </c>
      <c r="AZ17" s="335"/>
      <c r="BA17" s="335"/>
      <c r="BB17" s="335"/>
    </row>
    <row r="18" spans="1:54" ht="15" x14ac:dyDescent="0.25">
      <c r="A18" s="435">
        <v>41244</v>
      </c>
      <c r="B18" s="436">
        <f t="shared" si="9"/>
        <v>31</v>
      </c>
      <c r="C18" s="231">
        <f t="shared" si="10"/>
        <v>24.351139033712322</v>
      </c>
      <c r="D18" s="344">
        <f t="shared" si="11"/>
        <v>7.3715565167209762</v>
      </c>
      <c r="E18" s="344">
        <f>(1+$AQ18)*IF(OR('Service Zone Menu'!$X$3="Fort McMurray",AND('Service Zone Menu'!$X$3="Spruce Grove", $A18&lt;DATE(2019, 5, 1))),((((1+$T18)*($P18+$N18)))+($U18*$P18)+((1+$T18+$U18)*($Y18+$Z18+$AA18+$AB18)) + $AO18),($N18+((1+$T18+$U18)*$P18)+((1+$T18+$U18)*($Y18+$Z18+$AA18+$AB18)) + $AO18))</f>
        <v>5.741927099999999</v>
      </c>
      <c r="F18" s="437">
        <f>SUM($G18:$M18)</f>
        <v>179.5057976335406</v>
      </c>
      <c r="G18" s="343">
        <f t="shared" si="13"/>
        <v>87.225780018757533</v>
      </c>
      <c r="H18" s="344">
        <f t="shared" si="0"/>
        <v>40.842743906497489</v>
      </c>
      <c r="I18" s="344">
        <f t="shared" si="1"/>
        <v>20.910008596089344</v>
      </c>
      <c r="J18" s="344">
        <f t="shared" si="14"/>
        <v>15.066369986789528</v>
      </c>
      <c r="K18" s="344">
        <f t="shared" si="15"/>
        <v>6.9130000000000003</v>
      </c>
      <c r="L18" s="344">
        <f t="shared" si="16"/>
        <v>0</v>
      </c>
      <c r="M18" s="345">
        <f t="shared" si="17"/>
        <v>8.5478951254066953</v>
      </c>
      <c r="N18" s="1243">
        <f>IF($I$2="DRT",VLOOKUP(A18,'Misc. Data &amp; Mechanisms'!$A$1381:$D$1471,2,FALSE),AX18)</f>
        <v>3.5819999999999999</v>
      </c>
      <c r="O18" s="349">
        <f t="shared" si="18"/>
        <v>87.225780018757533</v>
      </c>
      <c r="P18" s="438">
        <v>0.69699999999999995</v>
      </c>
      <c r="Q18" s="283">
        <v>0.77</v>
      </c>
      <c r="R18" s="349">
        <f t="shared" si="2"/>
        <v>16.972743906497488</v>
      </c>
      <c r="S18" s="349">
        <f t="shared" si="3"/>
        <v>23.87</v>
      </c>
      <c r="T18" s="394">
        <f>VLOOKUP($A18,'Misc. Data &amp; Mechanisms'!$A$63:$DY$152,HLOOKUP('Service Zone Menu'!$X$3&amp;"_ATCO-N_NG_Y_1",'Misc. Data &amp; Mechanisms'!$A$55:$DY$62,8,FALSE), FALSE)</f>
        <v>0.32900000000000001</v>
      </c>
      <c r="U18" s="246">
        <f>VLOOKUP($A18,'Misc. Data &amp; Mechanisms'!$A$63:$DY$152,HLOOKUP('Service Zone Menu'!$X$3&amp;"_ATCO-N_NG_Y_2",'Misc. Data &amp; Mechanisms'!$A$55:$DY$62,8,FALSE), FALSE)</f>
        <v>4.4999999999999998E-2</v>
      </c>
      <c r="V18" s="440">
        <f>IF(OR('Service Zone Menu'!$X$3="Fort McMurray",AND('Service Zone Menu'!$X$3="Spruce Grove", $A18&lt;DATE(2019, 5, 1))),$T18*($G18+$H18+$J18), $T18*($H18+$J18))</f>
        <v>18.394098470891429</v>
      </c>
      <c r="W18" s="349">
        <f t="shared" si="19"/>
        <v>2.5159101251979155</v>
      </c>
      <c r="X18" s="438">
        <v>-4.4999999999999998E-2</v>
      </c>
      <c r="Y18" s="283">
        <v>-4.1000000000000002E-2</v>
      </c>
      <c r="Z18" s="399"/>
      <c r="AA18" s="283">
        <v>0.61199999999999999</v>
      </c>
      <c r="AB18" s="283">
        <v>0.105</v>
      </c>
      <c r="AC18" s="283"/>
      <c r="AD18" s="283"/>
      <c r="AE18" s="283"/>
      <c r="AF18" s="440">
        <f t="shared" si="4"/>
        <v>-2.3933967003822052</v>
      </c>
      <c r="AG18" s="440">
        <f t="shared" si="5"/>
        <v>0</v>
      </c>
      <c r="AH18" s="440">
        <f t="shared" si="6"/>
        <v>14.90289708863194</v>
      </c>
      <c r="AI18" s="440">
        <f t="shared" si="7"/>
        <v>2.5568695985397936</v>
      </c>
      <c r="AJ18" s="440">
        <f t="shared" si="20"/>
        <v>0</v>
      </c>
      <c r="AK18" s="440">
        <f t="shared" si="21"/>
        <v>0</v>
      </c>
      <c r="AL18" s="440">
        <f t="shared" si="22"/>
        <v>0</v>
      </c>
      <c r="AM18" s="239">
        <f>IF($I$2="DRT",VLOOKUP(A18,'Misc. Data &amp; Mechanisms'!$A$1483:$H$1574,6,FALSE),AY18)</f>
        <v>0.223</v>
      </c>
      <c r="AN18" s="346">
        <f t="shared" si="23"/>
        <v>6.9130000000000003</v>
      </c>
      <c r="AO18" s="1501"/>
      <c r="AP18" s="346">
        <f t="shared" si="8"/>
        <v>0</v>
      </c>
      <c r="AQ18" s="351">
        <f>5%</f>
        <v>0.05</v>
      </c>
      <c r="AR18" s="352">
        <f>'Misc. Data &amp; Mechanisms'!AL291</f>
        <v>24.662212784591066</v>
      </c>
      <c r="AS18" s="441">
        <f>'Misc. Data &amp; Mechanisms'!AQ291</f>
        <v>23.059498623787203</v>
      </c>
      <c r="AT18" s="441">
        <f>'Misc. Data &amp; Mechanisms'!W291</f>
        <v>24.351139033712322</v>
      </c>
      <c r="AU18" s="441">
        <f>'Misc. Data &amp; Mechanisms'!X291</f>
        <v>15.552459934299906</v>
      </c>
      <c r="AV18" s="1461">
        <f>'Misc. Data &amp; Mechanisms'!$B$260</f>
        <v>10.198990303636064</v>
      </c>
      <c r="AW18" s="243">
        <f>IFERROR(IF('Personalized Bill Menu'!$B$30="Yes", IF('Personalized Bill Menu'!$B$34="Natural Gas",VLOOKUP($A18, 'Personalized Bill Menu'!$H$4:$L$93, 2, FALSE), IF('Personalized Bill Menu'!$B$34="Both",VLOOKUP($A18,'Personalized Bill Menu'!$H$4:$P$93, 6, FALSE), 0)), 0),0)</f>
        <v>0</v>
      </c>
      <c r="AX18" s="1345">
        <f>IFERROR(IF('Personalized Bill Menu'!$C$37="Custom", IF('Personalized Bill Menu'!$B$34="Natural Gas",VLOOKUP($A18, 'Personalized Bill Menu'!$H$4:$L$93, 3, FALSE), IF('Personalized Bill Menu'!$B$34="Both",VLOOKUP($A18,'Personalized Bill Menu'!$H$4:$P$93, 7, FALSE), 0)), 0),0)</f>
        <v>0</v>
      </c>
      <c r="AY18" s="1346">
        <f>IFERROR(IF('Personalized Bill Menu'!$C$37="Custom", IF('Personalized Bill Menu'!$B$34="Natural Gas",VLOOKUP($A18, 'Personalized Bill Menu'!$H$4:$L$93, 4, FALSE), IF('Personalized Bill Menu'!$B$34="Both",VLOOKUP($A18,'Personalized Bill Menu'!$H$4:$P$93, 8, FALSE), 0)), 0),0)</f>
        <v>0</v>
      </c>
      <c r="AZ18" s="335"/>
      <c r="BA18" s="335"/>
      <c r="BB18" s="335"/>
    </row>
    <row r="19" spans="1:54" ht="15" x14ac:dyDescent="0.25">
      <c r="A19" s="428">
        <v>41275</v>
      </c>
      <c r="B19" s="429">
        <f t="shared" si="9"/>
        <v>31</v>
      </c>
      <c r="C19" s="212">
        <f t="shared" si="10"/>
        <v>19.987099486742657</v>
      </c>
      <c r="D19" s="353">
        <f t="shared" si="11"/>
        <v>7.411448911986704</v>
      </c>
      <c r="E19" s="353">
        <f>(1+$AQ19)*IF(OR('Service Zone Menu'!$X$3="Fort McMurray",AND('Service Zone Menu'!$X$3="Spruce Grove", $A19&lt;DATE(2019, 5, 1))),((((1+$T19)*($P19+$N19)))+($U19*$P19)+((1+$T19+$U19)*($Y19+$Z19+$AA19+$AB19)) + $AO19),($N19+((1+$T19+$U19)*$P19)+((1+$T19+$U19)*($Y19+$Z19+$AA19+$AB19)) + $AO19))</f>
        <v>5.1082583999999995</v>
      </c>
      <c r="F19" s="430">
        <f t="shared" si="12"/>
        <v>148.13336674478887</v>
      </c>
      <c r="G19" s="356">
        <f t="shared" si="13"/>
        <v>56.263685055180581</v>
      </c>
      <c r="H19" s="353">
        <f t="shared" si="0"/>
        <v>42.367002102225555</v>
      </c>
      <c r="I19" s="353">
        <f t="shared" si="1"/>
        <v>21.204959410398295</v>
      </c>
      <c r="J19" s="353">
        <f t="shared" si="14"/>
        <v>14.330750331994485</v>
      </c>
      <c r="K19" s="353">
        <f t="shared" si="15"/>
        <v>6.9130000000000003</v>
      </c>
      <c r="L19" s="353">
        <f t="shared" si="16"/>
        <v>0</v>
      </c>
      <c r="M19" s="357">
        <f t="shared" si="17"/>
        <v>7.0539698449899468</v>
      </c>
      <c r="N19" s="273">
        <f>IF($I$2="DRT",VLOOKUP(A19,'Misc. Data &amp; Mechanisms'!$A$1381:$D$1471,2,FALSE),AX19)</f>
        <v>2.8149999999999999</v>
      </c>
      <c r="O19" s="354">
        <f t="shared" si="18"/>
        <v>56.263685055180581</v>
      </c>
      <c r="P19" s="431">
        <v>0.77500000000000002</v>
      </c>
      <c r="Q19" s="288">
        <v>0.86699999999999999</v>
      </c>
      <c r="R19" s="354">
        <f t="shared" si="2"/>
        <v>15.49000210222556</v>
      </c>
      <c r="S19" s="354">
        <f t="shared" si="3"/>
        <v>26.876999999999999</v>
      </c>
      <c r="T19" s="391">
        <f>VLOOKUP($A19,'Misc. Data &amp; Mechanisms'!$A$63:$DY$152,HLOOKUP('Service Zone Menu'!$X$3&amp;"_ATCO-N_NG_Y_1",'Misc. Data &amp; Mechanisms'!$A$55:$DY$62,8,FALSE), FALSE)</f>
        <v>0.32900000000000001</v>
      </c>
      <c r="U19" s="205">
        <f>VLOOKUP($A19,'Misc. Data &amp; Mechanisms'!$A$63:$DY$152,HLOOKUP('Service Zone Menu'!$X$3&amp;"_ATCO-N_NG_Y_2",'Misc. Data &amp; Mechanisms'!$A$55:$DY$62,8,FALSE), FALSE)</f>
        <v>4.4999999999999998E-2</v>
      </c>
      <c r="V19" s="433">
        <f>IF(OR('Service Zone Menu'!$X$3="Fort McMurray",AND('Service Zone Menu'!$X$3="Spruce Grove", $A19&lt;DATE(2019, 5, 1))),$T19*($G19+$H19+$J19), $T19*($H19+$J19))</f>
        <v>18.653560550858394</v>
      </c>
      <c r="W19" s="354">
        <f t="shared" si="19"/>
        <v>2.5513988595399018</v>
      </c>
      <c r="X19" s="432"/>
      <c r="Y19" s="397"/>
      <c r="Z19" s="397"/>
      <c r="AA19" s="288">
        <v>0.61199999999999999</v>
      </c>
      <c r="AB19" s="288">
        <v>0.105</v>
      </c>
      <c r="AC19" s="288"/>
      <c r="AD19" s="288"/>
      <c r="AE19" s="288"/>
      <c r="AF19" s="433">
        <f t="shared" si="4"/>
        <v>0</v>
      </c>
      <c r="AG19" s="433">
        <f t="shared" si="5"/>
        <v>0</v>
      </c>
      <c r="AH19" s="433">
        <f t="shared" si="6"/>
        <v>12.232104885886507</v>
      </c>
      <c r="AI19" s="433">
        <f t="shared" si="7"/>
        <v>2.0986454461079789</v>
      </c>
      <c r="AJ19" s="433">
        <f t="shared" si="20"/>
        <v>0</v>
      </c>
      <c r="AK19" s="433">
        <f t="shared" si="21"/>
        <v>0</v>
      </c>
      <c r="AL19" s="433">
        <f t="shared" si="22"/>
        <v>0</v>
      </c>
      <c r="AM19" s="200">
        <f>IF($I$2="DRT",VLOOKUP(A19,'Misc. Data &amp; Mechanisms'!$A$1483:$H$1574,6,FALSE),AY19)</f>
        <v>0.223</v>
      </c>
      <c r="AN19" s="333">
        <f t="shared" si="23"/>
        <v>6.9130000000000003</v>
      </c>
      <c r="AO19" s="295"/>
      <c r="AP19" s="355">
        <f t="shared" si="8"/>
        <v>0</v>
      </c>
      <c r="AQ19" s="358">
        <f>5%</f>
        <v>0.05</v>
      </c>
      <c r="AR19" s="341">
        <f>'Misc. Data &amp; Mechanisms'!AL292</f>
        <v>20.242424791974585</v>
      </c>
      <c r="AS19" s="434">
        <f>'Misc. Data &amp; Mechanisms'!AQ292</f>
        <v>19.649007000163369</v>
      </c>
      <c r="AT19" s="434">
        <f>'Misc. Data &amp; Mechanisms'!W292</f>
        <v>19.987099486742657</v>
      </c>
      <c r="AU19" s="434">
        <f>'Misc. Data &amp; Mechanisms'!X292</f>
        <v>12.765257655507815</v>
      </c>
      <c r="AV19" s="1462">
        <f>'Misc. Data &amp; Mechanisms'!$B$260</f>
        <v>10.198990303636064</v>
      </c>
      <c r="AW19" s="197">
        <f>IFERROR(IF('Personalized Bill Menu'!$B$30="Yes", IF('Personalized Bill Menu'!$B$34="Natural Gas",VLOOKUP($A19, 'Personalized Bill Menu'!$H$4:$L$93, 2, FALSE), IF('Personalized Bill Menu'!$B$34="Both",VLOOKUP($A19,'Personalized Bill Menu'!$H$4:$P$93, 6, FALSE), 0)), 0),0)</f>
        <v>0</v>
      </c>
      <c r="AX19" s="1343">
        <f>IFERROR(IF('Personalized Bill Menu'!$C$37="Custom", IF('Personalized Bill Menu'!$B$34="Natural Gas",VLOOKUP($A19, 'Personalized Bill Menu'!$H$4:$L$93, 3, FALSE), IF('Personalized Bill Menu'!$B$34="Both",VLOOKUP($A19,'Personalized Bill Menu'!$H$4:$P$93, 7, FALSE), 0)), 0),0)</f>
        <v>0</v>
      </c>
      <c r="AY19" s="1344">
        <f>IFERROR(IF('Personalized Bill Menu'!$C$37="Custom", IF('Personalized Bill Menu'!$B$34="Natural Gas",VLOOKUP($A19, 'Personalized Bill Menu'!$H$4:$L$93, 4, FALSE), IF('Personalized Bill Menu'!$B$34="Both",VLOOKUP($A19,'Personalized Bill Menu'!$H$4:$P$93, 8, FALSE), 0)), 0),0)</f>
        <v>0</v>
      </c>
      <c r="AZ19" s="335"/>
      <c r="BA19" s="335"/>
      <c r="BB19" s="335"/>
    </row>
    <row r="20" spans="1:54" ht="15" x14ac:dyDescent="0.25">
      <c r="A20" s="427">
        <v>41306</v>
      </c>
      <c r="B20" s="85">
        <f t="shared" si="9"/>
        <v>28</v>
      </c>
      <c r="C20" s="1581">
        <f t="shared" si="10"/>
        <v>14.315155218830654</v>
      </c>
      <c r="D20" s="66">
        <f t="shared" si="11"/>
        <v>8.3625987614207435</v>
      </c>
      <c r="E20" s="66">
        <f>(1+$AQ20)*IF(OR('Service Zone Menu'!$X$3="Fort McMurray",AND('Service Zone Menu'!$X$3="Spruce Grove", $A20&lt;DATE(2019, 5, 1))),((((1+$T20)*($P20+$N20)))+($U20*$P20)+((1+$T20+$U20)*($Y20+$Z20+$AA20+$AB20)) + $AO20),($N20+((1+$T20+$U20)*$P20)+((1+$T20+$U20)*($Y20+$Z20+$AA20+$AB20)) + $AO20))</f>
        <v>5.4473580000000004</v>
      </c>
      <c r="F20" s="400">
        <f t="shared" si="12"/>
        <v>119.71189930253891</v>
      </c>
      <c r="G20" s="115">
        <f t="shared" si="13"/>
        <v>44.792120679721116</v>
      </c>
      <c r="H20" s="66">
        <f t="shared" si="0"/>
        <v>35.370245294593758</v>
      </c>
      <c r="I20" s="66">
        <f t="shared" si="1"/>
        <v>17.341000402868229</v>
      </c>
      <c r="J20" s="66">
        <f t="shared" si="14"/>
        <v>10.26396629190158</v>
      </c>
      <c r="K20" s="66">
        <f t="shared" si="15"/>
        <v>6.2439999999999998</v>
      </c>
      <c r="L20" s="66">
        <f t="shared" si="16"/>
        <v>0</v>
      </c>
      <c r="M20" s="68">
        <f t="shared" si="17"/>
        <v>5.7005666334542342</v>
      </c>
      <c r="N20" s="273">
        <f>IF($I$2="DRT",VLOOKUP(A20,'Misc. Data &amp; Mechanisms'!$A$1381:$D$1471,2,FALSE),AX20)</f>
        <v>3.129</v>
      </c>
      <c r="O20" s="338">
        <f t="shared" si="18"/>
        <v>44.792120679721116</v>
      </c>
      <c r="P20" s="387">
        <v>0.77500000000000002</v>
      </c>
      <c r="Q20" s="278">
        <v>0.86699999999999999</v>
      </c>
      <c r="R20" s="338">
        <f t="shared" si="2"/>
        <v>11.094245294593756</v>
      </c>
      <c r="S20" s="338">
        <f t="shared" si="3"/>
        <v>24.276</v>
      </c>
      <c r="T20" s="391">
        <f>VLOOKUP($A20,'Misc. Data &amp; Mechanisms'!$A$63:$DY$152,HLOOKUP('Service Zone Menu'!$X$3&amp;"_ATCO-N_NG_Y_1",'Misc. Data &amp; Mechanisms'!$A$55:$DY$62,8,FALSE), FALSE)</f>
        <v>0.32900000000000001</v>
      </c>
      <c r="U20" s="205">
        <f>VLOOKUP($A20,'Misc. Data &amp; Mechanisms'!$A$63:$DY$152,HLOOKUP('Service Zone Menu'!$X$3&amp;"_ATCO-N_NG_Y_2",'Misc. Data &amp; Mechanisms'!$A$55:$DY$62,8,FALSE), FALSE)</f>
        <v>5.0999999999999997E-2</v>
      </c>
      <c r="V20" s="425">
        <f>IF(OR('Service Zone Menu'!$X$3="Fort McMurray",AND('Service Zone Menu'!$X$3="Spruce Grove", $A20&lt;DATE(2019, 5, 1))),$T20*($G20+$H20+$J20), $T20*($H20+$J20))</f>
        <v>15.013655611956967</v>
      </c>
      <c r="W20" s="338">
        <f t="shared" si="19"/>
        <v>2.3273447909112623</v>
      </c>
      <c r="X20" s="426"/>
      <c r="Y20" s="386"/>
      <c r="Z20" s="386"/>
      <c r="AA20" s="278">
        <v>0.61199999999999999</v>
      </c>
      <c r="AB20" s="278">
        <v>0.105</v>
      </c>
      <c r="AC20" s="278"/>
      <c r="AD20" s="278"/>
      <c r="AE20" s="278"/>
      <c r="AF20" s="425">
        <f t="shared" si="4"/>
        <v>0</v>
      </c>
      <c r="AG20" s="425">
        <f t="shared" si="5"/>
        <v>0</v>
      </c>
      <c r="AH20" s="425">
        <f t="shared" si="6"/>
        <v>8.7608749939243609</v>
      </c>
      <c r="AI20" s="425">
        <f t="shared" si="7"/>
        <v>1.5030912979772186</v>
      </c>
      <c r="AJ20" s="425">
        <f t="shared" si="20"/>
        <v>0</v>
      </c>
      <c r="AK20" s="425">
        <f t="shared" si="21"/>
        <v>0</v>
      </c>
      <c r="AL20" s="425">
        <f t="shared" si="22"/>
        <v>0</v>
      </c>
      <c r="AM20" s="200">
        <f>IF($I$2="DRT",VLOOKUP(A20,'Misc. Data &amp; Mechanisms'!$A$1483:$H$1574,6,FALSE),AY20)</f>
        <v>0.223</v>
      </c>
      <c r="AN20" s="333">
        <f t="shared" si="23"/>
        <v>6.2439999999999998</v>
      </c>
      <c r="AO20" s="296"/>
      <c r="AP20" s="333">
        <f t="shared" si="8"/>
        <v>0</v>
      </c>
      <c r="AQ20" s="340">
        <f>5%</f>
        <v>0.05</v>
      </c>
      <c r="AR20" s="341">
        <f>'Misc. Data &amp; Mechanisms'!AL293</f>
        <v>14.498024242828594</v>
      </c>
      <c r="AS20" s="424">
        <f>'Misc. Data &amp; Mechanisms'!AQ293</f>
        <v>14.409232709924963</v>
      </c>
      <c r="AT20" s="424">
        <f>'Misc. Data &amp; Mechanisms'!W293</f>
        <v>14.315155218830654</v>
      </c>
      <c r="AU20" s="424">
        <f>'Misc. Data &amp; Mechanisms'!X293</f>
        <v>9.1427295325251645</v>
      </c>
      <c r="AV20" s="1460">
        <f>'Misc. Data &amp; Mechanisms'!$B$260</f>
        <v>10.198990303636064</v>
      </c>
      <c r="AW20" s="197">
        <f>IFERROR(IF('Personalized Bill Menu'!$B$30="Yes", IF('Personalized Bill Menu'!$B$34="Natural Gas",VLOOKUP($A20, 'Personalized Bill Menu'!$H$4:$L$93, 2, FALSE), IF('Personalized Bill Menu'!$B$34="Both",VLOOKUP($A20,'Personalized Bill Menu'!$H$4:$P$93, 6, FALSE), 0)), 0),0)</f>
        <v>0</v>
      </c>
      <c r="AX20" s="1343">
        <f>IFERROR(IF('Personalized Bill Menu'!$C$37="Custom", IF('Personalized Bill Menu'!$B$34="Natural Gas",VLOOKUP($A20, 'Personalized Bill Menu'!$H$4:$L$93, 3, FALSE), IF('Personalized Bill Menu'!$B$34="Both",VLOOKUP($A20,'Personalized Bill Menu'!$H$4:$P$93, 7, FALSE), 0)), 0),0)</f>
        <v>0</v>
      </c>
      <c r="AY20" s="1344">
        <f>IFERROR(IF('Personalized Bill Menu'!$C$37="Custom", IF('Personalized Bill Menu'!$B$34="Natural Gas",VLOOKUP($A20, 'Personalized Bill Menu'!$H$4:$L$93, 4, FALSE), IF('Personalized Bill Menu'!$B$34="Both",VLOOKUP($A20,'Personalized Bill Menu'!$H$4:$P$93, 8, FALSE), 0)), 0),0)</f>
        <v>0</v>
      </c>
      <c r="AZ20" s="335"/>
      <c r="BA20" s="335"/>
      <c r="BB20" s="335"/>
    </row>
    <row r="21" spans="1:54" ht="15" x14ac:dyDescent="0.25">
      <c r="A21" s="427">
        <v>41334</v>
      </c>
      <c r="B21" s="85">
        <f t="shared" si="9"/>
        <v>31</v>
      </c>
      <c r="C21" s="1581">
        <f t="shared" si="10"/>
        <v>16.378364595307449</v>
      </c>
      <c r="D21" s="66">
        <f t="shared" si="11"/>
        <v>8.0025014482464556</v>
      </c>
      <c r="E21" s="66">
        <f>(1+$AQ21)*IF(OR('Service Zone Menu'!$X$3="Fort McMurray",AND('Service Zone Menu'!$X$3="Spruce Grove", $A21&lt;DATE(2019, 5, 1))),((((1+$T21)*($P21+$N21)))+($U21*$P21)+((1+$T21+$U21)*($Y21+$Z21+$AA21+$AB21)) + $AO21),($N21+((1+$T21+$U21)*$P21)+((1+$T21+$U21)*($Y21+$Z21+$AA21+$AB21)) + $AO21))</f>
        <v>5.1814980000000004</v>
      </c>
      <c r="F21" s="400">
        <f t="shared" si="12"/>
        <v>131.06788639385633</v>
      </c>
      <c r="G21" s="115">
        <f t="shared" si="13"/>
        <v>48.004986628846133</v>
      </c>
      <c r="H21" s="66">
        <f t="shared" si="0"/>
        <v>39.570232561363269</v>
      </c>
      <c r="I21" s="66">
        <f t="shared" si="1"/>
        <v>19.250186449106835</v>
      </c>
      <c r="J21" s="66">
        <f t="shared" si="14"/>
        <v>11.088152831023141</v>
      </c>
      <c r="K21" s="66">
        <f t="shared" si="15"/>
        <v>6.9130000000000003</v>
      </c>
      <c r="L21" s="66">
        <f t="shared" si="16"/>
        <v>0</v>
      </c>
      <c r="M21" s="68">
        <f t="shared" si="17"/>
        <v>6.2413279235169687</v>
      </c>
      <c r="N21" s="273">
        <f>IF($I$2="DRT",VLOOKUP(A21,'Misc. Data &amp; Mechanisms'!$A$1381:$D$1471,2,FALSE),AX21)</f>
        <v>2.931</v>
      </c>
      <c r="O21" s="338">
        <f t="shared" si="18"/>
        <v>48.004986628846133</v>
      </c>
      <c r="P21" s="387">
        <v>0.77500000000000002</v>
      </c>
      <c r="Q21" s="278">
        <v>0.86699999999999999</v>
      </c>
      <c r="R21" s="338">
        <f t="shared" si="2"/>
        <v>12.693232561363274</v>
      </c>
      <c r="S21" s="338">
        <f t="shared" si="3"/>
        <v>26.876999999999999</v>
      </c>
      <c r="T21" s="391">
        <f>VLOOKUP($A21,'Misc. Data &amp; Mechanisms'!$A$63:$DY$152,HLOOKUP('Service Zone Menu'!$X$3&amp;"_ATCO-N_NG_Y_1",'Misc. Data &amp; Mechanisms'!$A$55:$DY$62,8,FALSE), FALSE)</f>
        <v>0.32900000000000001</v>
      </c>
      <c r="U21" s="205">
        <f>VLOOKUP($A21,'Misc. Data &amp; Mechanisms'!$A$63:$DY$152,HLOOKUP('Service Zone Menu'!$X$3&amp;"_ATCO-N_NG_Y_2",'Misc. Data &amp; Mechanisms'!$A$55:$DY$62,8,FALSE), FALSE)</f>
        <v>5.0999999999999997E-2</v>
      </c>
      <c r="V21" s="425">
        <f>IF(OR('Service Zone Menu'!$X$3="Fort McMurray",AND('Service Zone Menu'!$X$3="Spruce Grove", $A21&lt;DATE(2019, 5, 1))),$T21*($G21+$H21+$J21), $T21*($H21+$J21))</f>
        <v>16.666608794095129</v>
      </c>
      <c r="W21" s="338">
        <f t="shared" si="19"/>
        <v>2.5835776550117067</v>
      </c>
      <c r="X21" s="426"/>
      <c r="Y21" s="386"/>
      <c r="Z21" s="386"/>
      <c r="AA21" s="278">
        <v>0.57199999999999995</v>
      </c>
      <c r="AB21" s="278">
        <v>0.105</v>
      </c>
      <c r="AC21" s="278"/>
      <c r="AD21" s="278"/>
      <c r="AE21" s="278"/>
      <c r="AF21" s="425">
        <f t="shared" si="4"/>
        <v>0</v>
      </c>
      <c r="AG21" s="425">
        <f t="shared" si="5"/>
        <v>0</v>
      </c>
      <c r="AH21" s="425">
        <f t="shared" si="6"/>
        <v>9.3684245485158595</v>
      </c>
      <c r="AI21" s="425">
        <f t="shared" si="7"/>
        <v>1.7197282825072822</v>
      </c>
      <c r="AJ21" s="425">
        <f t="shared" si="20"/>
        <v>0</v>
      </c>
      <c r="AK21" s="425">
        <f t="shared" si="21"/>
        <v>0</v>
      </c>
      <c r="AL21" s="425">
        <f t="shared" si="22"/>
        <v>0</v>
      </c>
      <c r="AM21" s="200">
        <f>IF($I$2="DRT",VLOOKUP(A21,'Misc. Data &amp; Mechanisms'!$A$1483:$H$1574,6,FALSE),AY21)</f>
        <v>0.223</v>
      </c>
      <c r="AN21" s="333">
        <f t="shared" si="23"/>
        <v>6.9130000000000003</v>
      </c>
      <c r="AO21" s="296"/>
      <c r="AP21" s="333">
        <f t="shared" si="8"/>
        <v>0</v>
      </c>
      <c r="AQ21" s="340">
        <f>5%</f>
        <v>0.05</v>
      </c>
      <c r="AR21" s="341">
        <f>'Misc. Data &amp; Mechanisms'!AL294</f>
        <v>16.587590098100911</v>
      </c>
      <c r="AS21" s="424">
        <f>'Misc. Data &amp; Mechanisms'!AQ294</f>
        <v>16.064872239178541</v>
      </c>
      <c r="AT21" s="424">
        <f>'Misc. Data &amp; Mechanisms'!W294</f>
        <v>16.378364595307449</v>
      </c>
      <c r="AU21" s="424">
        <f>'Misc. Data &amp; Mechanisms'!X294</f>
        <v>10.460449460094214</v>
      </c>
      <c r="AV21" s="1460">
        <f>'Misc. Data &amp; Mechanisms'!$B$260</f>
        <v>10.198990303636064</v>
      </c>
      <c r="AW21" s="197">
        <f>IFERROR(IF('Personalized Bill Menu'!$B$30="Yes", IF('Personalized Bill Menu'!$B$34="Natural Gas",VLOOKUP($A21, 'Personalized Bill Menu'!$H$4:$L$93, 2, FALSE), IF('Personalized Bill Menu'!$B$34="Both",VLOOKUP($A21,'Personalized Bill Menu'!$H$4:$P$93, 6, FALSE), 0)), 0),0)</f>
        <v>0</v>
      </c>
      <c r="AX21" s="1343">
        <f>IFERROR(IF('Personalized Bill Menu'!$C$37="Custom", IF('Personalized Bill Menu'!$B$34="Natural Gas",VLOOKUP($A21, 'Personalized Bill Menu'!$H$4:$L$93, 3, FALSE), IF('Personalized Bill Menu'!$B$34="Both",VLOOKUP($A21,'Personalized Bill Menu'!$H$4:$P$93, 7, FALSE), 0)), 0),0)</f>
        <v>0</v>
      </c>
      <c r="AY21" s="1344">
        <f>IFERROR(IF('Personalized Bill Menu'!$C$37="Custom", IF('Personalized Bill Menu'!$B$34="Natural Gas",VLOOKUP($A21, 'Personalized Bill Menu'!$H$4:$L$93, 4, FALSE), IF('Personalized Bill Menu'!$B$34="Both",VLOOKUP($A21,'Personalized Bill Menu'!$H$4:$P$93, 8, FALSE), 0)), 0),0)</f>
        <v>0</v>
      </c>
      <c r="AZ21" s="335"/>
      <c r="BA21" s="335"/>
      <c r="BB21" s="335"/>
    </row>
    <row r="22" spans="1:54" ht="15" x14ac:dyDescent="0.25">
      <c r="A22" s="427">
        <v>41365</v>
      </c>
      <c r="B22" s="85">
        <f t="shared" si="9"/>
        <v>30</v>
      </c>
      <c r="C22" s="1581">
        <f t="shared" si="10"/>
        <v>11.752998194263311</v>
      </c>
      <c r="D22" s="66">
        <f t="shared" si="11"/>
        <v>10.564326977593753</v>
      </c>
      <c r="E22" s="66">
        <f>(1+$AQ22)*IF(OR('Service Zone Menu'!$X$3="Fort McMurray",AND('Service Zone Menu'!$X$3="Spruce Grove", $A22&lt;DATE(2019, 5, 1))),((((1+$T22)*($P22+$N22)))+($U22*$P22)+((1+$T22+$U22)*($Y22+$Z22+$AA22+$AB22)) + $AO22),($N22+((1+$T22+$U22)*$P22)+((1+$T22+$U22)*($Y22+$Z22+$AA22+$AB22)) + $AO22))</f>
        <v>6.6785669999999993</v>
      </c>
      <c r="F22" s="400">
        <f t="shared" si="12"/>
        <v>124.16251589126655</v>
      </c>
      <c r="G22" s="115">
        <f t="shared" si="13"/>
        <v>44.214779206818577</v>
      </c>
      <c r="H22" s="66">
        <f t="shared" si="0"/>
        <v>35.990127568050809</v>
      </c>
      <c r="I22" s="66">
        <f t="shared" si="1"/>
        <v>18.544340327923173</v>
      </c>
      <c r="J22" s="66">
        <f t="shared" si="14"/>
        <v>12.810768031747008</v>
      </c>
      <c r="K22" s="66">
        <f t="shared" si="15"/>
        <v>6.69</v>
      </c>
      <c r="L22" s="66">
        <f t="shared" si="16"/>
        <v>0</v>
      </c>
      <c r="M22" s="68">
        <f t="shared" si="17"/>
        <v>5.9125007567269785</v>
      </c>
      <c r="N22" s="273">
        <f>IF($I$2="DRT",VLOOKUP(A22,'Misc. Data &amp; Mechanisms'!$A$1381:$D$1471,2,FALSE),AX22)</f>
        <v>3.762</v>
      </c>
      <c r="O22" s="338">
        <f t="shared" si="18"/>
        <v>44.214779206818577</v>
      </c>
      <c r="P22" s="387">
        <v>0.79300000000000004</v>
      </c>
      <c r="Q22" s="278">
        <v>0.88900000000000001</v>
      </c>
      <c r="R22" s="338">
        <f t="shared" si="2"/>
        <v>9.3201275680508058</v>
      </c>
      <c r="S22" s="338">
        <f t="shared" si="3"/>
        <v>26.67</v>
      </c>
      <c r="T22" s="391">
        <f>VLOOKUP($A22,'Misc. Data &amp; Mechanisms'!$A$63:$DY$152,HLOOKUP('Service Zone Menu'!$X$3&amp;"_ATCO-N_NG_Y_1",'Misc. Data &amp; Mechanisms'!$A$55:$DY$62,8,FALSE), FALSE)</f>
        <v>0.32900000000000001</v>
      </c>
      <c r="U22" s="205">
        <f>VLOOKUP($A22,'Misc. Data &amp; Mechanisms'!$A$63:$DY$152,HLOOKUP('Service Zone Menu'!$X$3&amp;"_ATCO-N_NG_Y_2",'Misc. Data &amp; Mechanisms'!$A$55:$DY$62,8,FALSE), FALSE)</f>
        <v>5.0999999999999997E-2</v>
      </c>
      <c r="V22" s="425">
        <f>IF(OR('Service Zone Menu'!$X$3="Fort McMurray",AND('Service Zone Menu'!$X$3="Spruce Grove", $A22&lt;DATE(2019, 5, 1))),$T22*($G22+$H22+$J22), $T22*($H22+$J22))</f>
        <v>16.055494652333483</v>
      </c>
      <c r="W22" s="338">
        <f t="shared" si="19"/>
        <v>2.4888456755896886</v>
      </c>
      <c r="X22" s="426"/>
      <c r="Y22" s="386"/>
      <c r="Z22" s="278">
        <v>0.41299999999999998</v>
      </c>
      <c r="AA22" s="278">
        <v>0.57199999999999995</v>
      </c>
      <c r="AB22" s="278">
        <v>0.105</v>
      </c>
      <c r="AC22" s="278"/>
      <c r="AD22" s="278"/>
      <c r="AE22" s="278"/>
      <c r="AF22" s="425">
        <f t="shared" si="4"/>
        <v>0</v>
      </c>
      <c r="AG22" s="425">
        <f t="shared" si="5"/>
        <v>4.8539882542307469</v>
      </c>
      <c r="AH22" s="425">
        <f t="shared" si="6"/>
        <v>6.7227149671186135</v>
      </c>
      <c r="AI22" s="425">
        <f t="shared" si="7"/>
        <v>1.2340648103976477</v>
      </c>
      <c r="AJ22" s="425">
        <f t="shared" si="20"/>
        <v>0</v>
      </c>
      <c r="AK22" s="425">
        <f t="shared" si="21"/>
        <v>0</v>
      </c>
      <c r="AL22" s="425">
        <f t="shared" si="22"/>
        <v>0</v>
      </c>
      <c r="AM22" s="200">
        <f>IF($I$2="DRT",VLOOKUP(A22,'Misc. Data &amp; Mechanisms'!$A$1483:$H$1574,6,FALSE),AY22)</f>
        <v>0.223</v>
      </c>
      <c r="AN22" s="333">
        <f t="shared" si="23"/>
        <v>6.69</v>
      </c>
      <c r="AO22" s="296"/>
      <c r="AP22" s="333">
        <f t="shared" si="8"/>
        <v>0</v>
      </c>
      <c r="AQ22" s="340">
        <f>5%</f>
        <v>0.05</v>
      </c>
      <c r="AR22" s="341">
        <f>'Misc. Data &amp; Mechanisms'!AL295</f>
        <v>11.903136930167989</v>
      </c>
      <c r="AS22" s="424">
        <f>'Misc. Data &amp; Mechanisms'!AQ295</f>
        <v>12.325330349994104</v>
      </c>
      <c r="AT22" s="424">
        <f>'Misc. Data &amp; Mechanisms'!W295</f>
        <v>11.752998194263311</v>
      </c>
      <c r="AU22" s="424">
        <f>'Misc. Data &amp; Mechanisms'!X295</f>
        <v>7.5063442934280404</v>
      </c>
      <c r="AV22" s="1460">
        <f>'Misc. Data &amp; Mechanisms'!$B$260</f>
        <v>10.198990303636064</v>
      </c>
      <c r="AW22" s="197">
        <f>IFERROR(IF('Personalized Bill Menu'!$B$30="Yes", IF('Personalized Bill Menu'!$B$34="Natural Gas",VLOOKUP($A22, 'Personalized Bill Menu'!$H$4:$L$93, 2, FALSE), IF('Personalized Bill Menu'!$B$34="Both",VLOOKUP($A22,'Personalized Bill Menu'!$H$4:$P$93, 6, FALSE), 0)), 0),0)</f>
        <v>0</v>
      </c>
      <c r="AX22" s="1343">
        <f>IFERROR(IF('Personalized Bill Menu'!$C$37="Custom", IF('Personalized Bill Menu'!$B$34="Natural Gas",VLOOKUP($A22, 'Personalized Bill Menu'!$H$4:$L$93, 3, FALSE), IF('Personalized Bill Menu'!$B$34="Both",VLOOKUP($A22,'Personalized Bill Menu'!$H$4:$P$93, 7, FALSE), 0)), 0),0)</f>
        <v>0</v>
      </c>
      <c r="AY22" s="1344">
        <f>IFERROR(IF('Personalized Bill Menu'!$C$37="Custom", IF('Personalized Bill Menu'!$B$34="Natural Gas",VLOOKUP($A22, 'Personalized Bill Menu'!$H$4:$L$93, 4, FALSE), IF('Personalized Bill Menu'!$B$34="Both",VLOOKUP($A22,'Personalized Bill Menu'!$H$4:$P$93, 8, FALSE), 0)), 0),0)</f>
        <v>0</v>
      </c>
      <c r="AZ22" s="335"/>
      <c r="BA22" s="335"/>
      <c r="BB22" s="335"/>
    </row>
    <row r="23" spans="1:54" ht="15" x14ac:dyDescent="0.25">
      <c r="A23" s="427">
        <v>41395</v>
      </c>
      <c r="B23" s="85">
        <f t="shared" si="9"/>
        <v>31</v>
      </c>
      <c r="C23" s="1581">
        <f t="shared" si="10"/>
        <v>3.5576759263379536</v>
      </c>
      <c r="D23" s="66">
        <f t="shared" si="11"/>
        <v>20.390605547610235</v>
      </c>
      <c r="E23" s="66">
        <f>(1+$AQ23)*IF(OR('Service Zone Menu'!$X$3="Fort McMurray",AND('Service Zone Menu'!$X$3="Spruce Grove", $A23&lt;DATE(2019, 5, 1))),((((1+$T23)*($P23+$N23)))+($U23*$P23)+((1+$T23+$U23)*($Y23+$Z23+$AA23+$AB23)) + $AO23),($N23+((1+$T23+$U23)*$P23)+((1+$T23+$U23)*($Y23+$Z23+$AA23+$AB23)) + $AO23))</f>
        <v>7.1258669999999995</v>
      </c>
      <c r="F23" s="400">
        <f t="shared" si="12"/>
        <v>72.543166480186059</v>
      </c>
      <c r="G23" s="115">
        <f t="shared" si="13"/>
        <v>14.899546779503348</v>
      </c>
      <c r="H23" s="66">
        <f t="shared" si="0"/>
        <v>30.380237009585997</v>
      </c>
      <c r="I23" s="66">
        <f t="shared" si="1"/>
        <v>13.018079432331859</v>
      </c>
      <c r="J23" s="66">
        <f t="shared" si="14"/>
        <v>3.8778667597083691</v>
      </c>
      <c r="K23" s="66">
        <f t="shared" si="15"/>
        <v>6.9130000000000003</v>
      </c>
      <c r="L23" s="66">
        <f t="shared" si="16"/>
        <v>0</v>
      </c>
      <c r="M23" s="68">
        <f t="shared" si="17"/>
        <v>3.4544364990564791</v>
      </c>
      <c r="N23" s="273">
        <f>IF($I$2="DRT",VLOOKUP(A23,'Misc. Data &amp; Mechanisms'!$A$1381:$D$1471,2,FALSE),AX23)</f>
        <v>4.1879999999999997</v>
      </c>
      <c r="O23" s="338">
        <f t="shared" si="18"/>
        <v>14.899546779503348</v>
      </c>
      <c r="P23" s="387">
        <v>0.79300000000000004</v>
      </c>
      <c r="Q23" s="278">
        <v>0.88900000000000001</v>
      </c>
      <c r="R23" s="338">
        <f t="shared" si="2"/>
        <v>2.8212370095859973</v>
      </c>
      <c r="S23" s="338">
        <f t="shared" si="3"/>
        <v>27.559000000000001</v>
      </c>
      <c r="T23" s="391">
        <f>VLOOKUP($A23,'Misc. Data &amp; Mechanisms'!$A$63:$DY$152,HLOOKUP('Service Zone Menu'!$X$3&amp;"_ATCO-N_NG_Y_1",'Misc. Data &amp; Mechanisms'!$A$55:$DY$62,8,FALSE), FALSE)</f>
        <v>0.32900000000000001</v>
      </c>
      <c r="U23" s="205">
        <f>VLOOKUP($A23,'Misc. Data &amp; Mechanisms'!$A$63:$DY$152,HLOOKUP('Service Zone Menu'!$X$3&amp;"_ATCO-N_NG_Y_2",'Misc. Data &amp; Mechanisms'!$A$55:$DY$62,8,FALSE), FALSE)</f>
        <v>5.0999999999999997E-2</v>
      </c>
      <c r="V23" s="425">
        <f>IF(OR('Service Zone Menu'!$X$3="Fort McMurray",AND('Service Zone Menu'!$X$3="Spruce Grove", $A23&lt;DATE(2019, 5, 1))),$T23*($G23+$H23+$J23), $T23*($H23+$J23))</f>
        <v>11.270916140097846</v>
      </c>
      <c r="W23" s="338">
        <f t="shared" si="19"/>
        <v>1.7471632922340126</v>
      </c>
      <c r="X23" s="426"/>
      <c r="Y23" s="386"/>
      <c r="Z23" s="278">
        <v>0.41299999999999998</v>
      </c>
      <c r="AA23" s="278">
        <v>0.57199999999999995</v>
      </c>
      <c r="AB23" s="278">
        <v>0.105</v>
      </c>
      <c r="AC23" s="278"/>
      <c r="AD23" s="278"/>
      <c r="AE23" s="278"/>
      <c r="AF23" s="425">
        <f t="shared" si="4"/>
        <v>0</v>
      </c>
      <c r="AG23" s="425">
        <f t="shared" si="5"/>
        <v>1.4693201575775747</v>
      </c>
      <c r="AH23" s="425">
        <f t="shared" si="6"/>
        <v>2.0349906298653093</v>
      </c>
      <c r="AI23" s="425">
        <f t="shared" si="7"/>
        <v>0.37355597226548509</v>
      </c>
      <c r="AJ23" s="425">
        <f t="shared" si="20"/>
        <v>0</v>
      </c>
      <c r="AK23" s="425">
        <f t="shared" si="21"/>
        <v>0</v>
      </c>
      <c r="AL23" s="425">
        <f t="shared" si="22"/>
        <v>0</v>
      </c>
      <c r="AM23" s="200">
        <f>IF($I$2="DRT",VLOOKUP(A23,'Misc. Data &amp; Mechanisms'!$A$1483:$H$1574,6,FALSE),AY23)</f>
        <v>0.223</v>
      </c>
      <c r="AN23" s="333">
        <f t="shared" si="23"/>
        <v>6.9130000000000003</v>
      </c>
      <c r="AO23" s="296"/>
      <c r="AP23" s="333">
        <f t="shared" si="8"/>
        <v>0</v>
      </c>
      <c r="AQ23" s="340">
        <f>5%</f>
        <v>0.05</v>
      </c>
      <c r="AR23" s="341">
        <f>'Misc. Data &amp; Mechanisms'!AL296</f>
        <v>3.6031234757640735</v>
      </c>
      <c r="AS23" s="424">
        <f>'Misc. Data &amp; Mechanisms'!AQ296</f>
        <v>4.6848623516035648</v>
      </c>
      <c r="AT23" s="424">
        <f>'Misc. Data &amp; Mechanisms'!W296</f>
        <v>3.5576759263379536</v>
      </c>
      <c r="AU23" s="424">
        <f>'Misc. Data &amp; Mechanisms'!X296</f>
        <v>2.2721981188228302</v>
      </c>
      <c r="AV23" s="1460">
        <f>'Misc. Data &amp; Mechanisms'!$B$260</f>
        <v>10.198990303636064</v>
      </c>
      <c r="AW23" s="197">
        <f>IFERROR(IF('Personalized Bill Menu'!$B$30="Yes", IF('Personalized Bill Menu'!$B$34="Natural Gas",VLOOKUP($A23, 'Personalized Bill Menu'!$H$4:$L$93, 2, FALSE), IF('Personalized Bill Menu'!$B$34="Both",VLOOKUP($A23,'Personalized Bill Menu'!$H$4:$P$93, 6, FALSE), 0)), 0),0)</f>
        <v>0</v>
      </c>
      <c r="AX23" s="1343">
        <f>IFERROR(IF('Personalized Bill Menu'!$C$37="Custom", IF('Personalized Bill Menu'!$B$34="Natural Gas",VLOOKUP($A23, 'Personalized Bill Menu'!$H$4:$L$93, 3, FALSE), IF('Personalized Bill Menu'!$B$34="Both",VLOOKUP($A23,'Personalized Bill Menu'!$H$4:$P$93, 7, FALSE), 0)), 0),0)</f>
        <v>0</v>
      </c>
      <c r="AY23" s="1344">
        <f>IFERROR(IF('Personalized Bill Menu'!$C$37="Custom", IF('Personalized Bill Menu'!$B$34="Natural Gas",VLOOKUP($A23, 'Personalized Bill Menu'!$H$4:$L$93, 4, FALSE), IF('Personalized Bill Menu'!$B$34="Both",VLOOKUP($A23,'Personalized Bill Menu'!$H$4:$P$93, 8, FALSE), 0)), 0),0)</f>
        <v>0</v>
      </c>
      <c r="AZ23" s="335"/>
      <c r="BA23" s="335"/>
      <c r="BB23" s="335"/>
    </row>
    <row r="24" spans="1:54" ht="15" x14ac:dyDescent="0.25">
      <c r="A24" s="427">
        <v>41426</v>
      </c>
      <c r="B24" s="85">
        <f t="shared" si="9"/>
        <v>30</v>
      </c>
      <c r="C24" s="1581">
        <f t="shared" si="10"/>
        <v>2.7897580218700697</v>
      </c>
      <c r="D24" s="66">
        <f t="shared" si="11"/>
        <v>23.324085293175674</v>
      </c>
      <c r="E24" s="66">
        <f>(1+$AQ24)*IF(OR('Service Zone Menu'!$X$3="Fort McMurray",AND('Service Zone Menu'!$X$3="Spruce Grove", $A24&lt;DATE(2019, 5, 1))),((((1+$T24)*($P24+$N24)))+($U24*$P24)+((1+$T24+$U24)*($Y24+$Z24+$AA24+$AB24)) + $AO24),($N24+((1+$T24+$U24)*$P24)+((1+$T24+$U24)*($Y24+$Z24+$AA24+$AB24)) + $AO24))</f>
        <v>6.9537300000000002</v>
      </c>
      <c r="F24" s="400">
        <f t="shared" si="12"/>
        <v>65.068554049418552</v>
      </c>
      <c r="G24" s="115">
        <f t="shared" si="13"/>
        <v>12.816148352471101</v>
      </c>
      <c r="H24" s="66">
        <f t="shared" si="0"/>
        <v>28.882278111342966</v>
      </c>
      <c r="I24" s="66">
        <f t="shared" si="1"/>
        <v>11.692958831016622</v>
      </c>
      <c r="J24" s="66">
        <f t="shared" si="14"/>
        <v>1.888666180806037</v>
      </c>
      <c r="K24" s="66">
        <f t="shared" si="15"/>
        <v>6.69</v>
      </c>
      <c r="L24" s="66">
        <f t="shared" si="16"/>
        <v>0</v>
      </c>
      <c r="M24" s="68">
        <f t="shared" si="17"/>
        <v>3.0985025737818361</v>
      </c>
      <c r="N24" s="273">
        <f>IF($I$2="DRT",VLOOKUP(A24,'Misc. Data &amp; Mechanisms'!$A$1381:$D$1471,2,FALSE),AX24)</f>
        <v>4.5940000000000003</v>
      </c>
      <c r="O24" s="338">
        <f t="shared" si="18"/>
        <v>12.816148352471101</v>
      </c>
      <c r="P24" s="387">
        <v>0.79300000000000004</v>
      </c>
      <c r="Q24" s="278">
        <v>0.88900000000000001</v>
      </c>
      <c r="R24" s="338">
        <f t="shared" si="2"/>
        <v>2.2122781113429655</v>
      </c>
      <c r="S24" s="338">
        <f t="shared" si="3"/>
        <v>26.67</v>
      </c>
      <c r="T24" s="391">
        <f>VLOOKUP($A24,'Misc. Data &amp; Mechanisms'!$A$63:$DY$152,HLOOKUP('Service Zone Menu'!$X$3&amp;"_ATCO-N_NG_Y_1",'Misc. Data &amp; Mechanisms'!$A$55:$DY$62,8,FALSE), FALSE)</f>
        <v>0.32900000000000001</v>
      </c>
      <c r="U24" s="205">
        <f>VLOOKUP($A24,'Misc. Data &amp; Mechanisms'!$A$63:$DY$152,HLOOKUP('Service Zone Menu'!$X$3&amp;"_ATCO-N_NG_Y_2",'Misc. Data &amp; Mechanisms'!$A$55:$DY$62,8,FALSE), FALSE)</f>
        <v>5.0999999999999997E-2</v>
      </c>
      <c r="V24" s="425">
        <f>IF(OR('Service Zone Menu'!$X$3="Fort McMurray",AND('Service Zone Menu'!$X$3="Spruce Grove", $A24&lt;DATE(2019, 5, 1))),$T24*($G24+$H24+$J24), $T24*($H24+$J24))</f>
        <v>10.123640672117023</v>
      </c>
      <c r="W24" s="338">
        <f t="shared" si="19"/>
        <v>1.569318158899599</v>
      </c>
      <c r="X24" s="426"/>
      <c r="Y24" s="386"/>
      <c r="Z24" s="386"/>
      <c r="AA24" s="278">
        <v>0.57199999999999995</v>
      </c>
      <c r="AB24" s="278">
        <v>0.105</v>
      </c>
      <c r="AC24" s="278"/>
      <c r="AD24" s="278"/>
      <c r="AE24" s="278"/>
      <c r="AF24" s="425">
        <f t="shared" si="4"/>
        <v>0</v>
      </c>
      <c r="AG24" s="425">
        <f t="shared" si="5"/>
        <v>0</v>
      </c>
      <c r="AH24" s="425">
        <f t="shared" si="6"/>
        <v>1.5957415885096797</v>
      </c>
      <c r="AI24" s="425">
        <f t="shared" si="7"/>
        <v>0.29292459229635731</v>
      </c>
      <c r="AJ24" s="425">
        <f t="shared" si="20"/>
        <v>0</v>
      </c>
      <c r="AK24" s="425">
        <f t="shared" si="21"/>
        <v>0</v>
      </c>
      <c r="AL24" s="425">
        <f t="shared" si="22"/>
        <v>0</v>
      </c>
      <c r="AM24" s="200">
        <f>IF($I$2="DRT",VLOOKUP(A24,'Misc. Data &amp; Mechanisms'!$A$1483:$H$1574,6,FALSE),AY24)</f>
        <v>0.223</v>
      </c>
      <c r="AN24" s="333">
        <f t="shared" si="23"/>
        <v>6.69</v>
      </c>
      <c r="AO24" s="296"/>
      <c r="AP24" s="333">
        <f t="shared" si="8"/>
        <v>0</v>
      </c>
      <c r="AQ24" s="340">
        <f>5%</f>
        <v>0.05</v>
      </c>
      <c r="AR24" s="341">
        <f>'Misc. Data &amp; Mechanisms'!AL297</f>
        <v>2.8253958000744386</v>
      </c>
      <c r="AS24" s="424">
        <f>'Misc. Data &amp; Mechanisms'!AQ297</f>
        <v>3.2449834042177264</v>
      </c>
      <c r="AT24" s="424">
        <f>'Misc. Data &amp; Mechanisms'!W297</f>
        <v>2.7897580218700697</v>
      </c>
      <c r="AU24" s="424">
        <f>'Misc. Data &amp; Mechanisms'!X297</f>
        <v>1.7817482706438967</v>
      </c>
      <c r="AV24" s="1460">
        <f>'Misc. Data &amp; Mechanisms'!$B$260</f>
        <v>10.198990303636064</v>
      </c>
      <c r="AW24" s="197">
        <f>IFERROR(IF('Personalized Bill Menu'!$B$30="Yes", IF('Personalized Bill Menu'!$B$34="Natural Gas",VLOOKUP($A24, 'Personalized Bill Menu'!$H$4:$L$93, 2, FALSE), IF('Personalized Bill Menu'!$B$34="Both",VLOOKUP($A24,'Personalized Bill Menu'!$H$4:$P$93, 6, FALSE), 0)), 0),0)</f>
        <v>0</v>
      </c>
      <c r="AX24" s="1343">
        <f>IFERROR(IF('Personalized Bill Menu'!$C$37="Custom", IF('Personalized Bill Menu'!$B$34="Natural Gas",VLOOKUP($A24, 'Personalized Bill Menu'!$H$4:$L$93, 3, FALSE), IF('Personalized Bill Menu'!$B$34="Both",VLOOKUP($A24,'Personalized Bill Menu'!$H$4:$P$93, 7, FALSE), 0)), 0),0)</f>
        <v>0</v>
      </c>
      <c r="AY24" s="1344">
        <f>IFERROR(IF('Personalized Bill Menu'!$C$37="Custom", IF('Personalized Bill Menu'!$B$34="Natural Gas",VLOOKUP($A24, 'Personalized Bill Menu'!$H$4:$L$93, 4, FALSE), IF('Personalized Bill Menu'!$B$34="Both",VLOOKUP($A24,'Personalized Bill Menu'!$H$4:$P$93, 8, FALSE), 0)), 0),0)</f>
        <v>0</v>
      </c>
      <c r="AZ24" s="335"/>
      <c r="BA24" s="335"/>
      <c r="BB24" s="335"/>
    </row>
    <row r="25" spans="1:54" ht="15" x14ac:dyDescent="0.25">
      <c r="A25" s="427">
        <v>41456</v>
      </c>
      <c r="B25" s="85">
        <f t="shared" si="9"/>
        <v>31</v>
      </c>
      <c r="C25" s="1581">
        <f t="shared" si="10"/>
        <v>2.5931986449077837</v>
      </c>
      <c r="D25" s="66">
        <f t="shared" si="11"/>
        <v>22.274966025099488</v>
      </c>
      <c r="E25" s="66">
        <f>(1+$AQ25)*IF(OR('Service Zone Menu'!$X$3="Fort McMurray",AND('Service Zone Menu'!$X$3="Spruce Grove", $A25&lt;DATE(2019, 5, 1))),((((1+$T25)*($P25+$N25)))+($U25*$P25)+((1+$T25+$U25)*($Y25+$Z25+$AA25+$AB25)) + $AO25),($N25+((1+$T25+$U25)*$P25)+((1+$T25+$U25)*($Y25+$Z25+$AA25+$AB25)) + $AO25))</f>
        <v>4.0767300000000004</v>
      </c>
      <c r="F25" s="400">
        <f t="shared" si="12"/>
        <v>57.763411711654911</v>
      </c>
      <c r="G25" s="115">
        <f t="shared" si="13"/>
        <v>4.8077902876590315</v>
      </c>
      <c r="H25" s="66">
        <f t="shared" si="0"/>
        <v>29.615406525411874</v>
      </c>
      <c r="I25" s="66">
        <f t="shared" si="1"/>
        <v>11.920980763045488</v>
      </c>
      <c r="J25" s="66">
        <f t="shared" si="14"/>
        <v>1.7555954826025695</v>
      </c>
      <c r="K25" s="66">
        <f t="shared" si="15"/>
        <v>6.9130000000000003</v>
      </c>
      <c r="L25" s="66">
        <f t="shared" si="16"/>
        <v>0</v>
      </c>
      <c r="M25" s="68">
        <f t="shared" si="17"/>
        <v>2.7506386529359483</v>
      </c>
      <c r="N25" s="273">
        <f>IF($I$2="DRT",VLOOKUP(A25,'Misc. Data &amp; Mechanisms'!$A$1381:$D$1471,2,FALSE),AX25)</f>
        <v>1.8540000000000001</v>
      </c>
      <c r="O25" s="338">
        <f t="shared" si="18"/>
        <v>4.8077902876590315</v>
      </c>
      <c r="P25" s="387">
        <v>0.79300000000000004</v>
      </c>
      <c r="Q25" s="278">
        <v>0.88900000000000001</v>
      </c>
      <c r="R25" s="338">
        <f t="shared" si="2"/>
        <v>2.0564065254118726</v>
      </c>
      <c r="S25" s="338">
        <f t="shared" si="3"/>
        <v>27.559000000000001</v>
      </c>
      <c r="T25" s="391">
        <f>VLOOKUP($A25,'Misc. Data &amp; Mechanisms'!$A$63:$DY$152,HLOOKUP('Service Zone Menu'!$X$3&amp;"_ATCO-N_NG_Y_1",'Misc. Data &amp; Mechanisms'!$A$55:$DY$62,8,FALSE), FALSE)</f>
        <v>0.32900000000000001</v>
      </c>
      <c r="U25" s="205">
        <f>VLOOKUP($A25,'Misc. Data &amp; Mechanisms'!$A$63:$DY$152,HLOOKUP('Service Zone Menu'!$X$3&amp;"_ATCO-N_NG_Y_2",'Misc. Data &amp; Mechanisms'!$A$55:$DY$62,8,FALSE), FALSE)</f>
        <v>5.0999999999999997E-2</v>
      </c>
      <c r="V25" s="425">
        <f>IF(OR('Service Zone Menu'!$X$3="Fort McMurray",AND('Service Zone Menu'!$X$3="Spruce Grove", $A25&lt;DATE(2019, 5, 1))),$T25*($G25+$H25+$J25), $T25*($H25+$J25))</f>
        <v>10.321059660636752</v>
      </c>
      <c r="W25" s="338">
        <f t="shared" si="19"/>
        <v>1.5999211024087365</v>
      </c>
      <c r="X25" s="426"/>
      <c r="Y25" s="386"/>
      <c r="Z25" s="386"/>
      <c r="AA25" s="278">
        <v>0.57199999999999995</v>
      </c>
      <c r="AB25" s="278">
        <v>0.105</v>
      </c>
      <c r="AC25" s="278"/>
      <c r="AD25" s="278"/>
      <c r="AE25" s="278"/>
      <c r="AF25" s="425">
        <f t="shared" si="4"/>
        <v>0</v>
      </c>
      <c r="AG25" s="425">
        <f t="shared" si="5"/>
        <v>0</v>
      </c>
      <c r="AH25" s="425">
        <f t="shared" si="6"/>
        <v>1.4833096248872522</v>
      </c>
      <c r="AI25" s="425">
        <f t="shared" si="7"/>
        <v>0.27228585771531727</v>
      </c>
      <c r="AJ25" s="425">
        <f t="shared" si="20"/>
        <v>0</v>
      </c>
      <c r="AK25" s="425">
        <f t="shared" si="21"/>
        <v>0</v>
      </c>
      <c r="AL25" s="425">
        <f t="shared" si="22"/>
        <v>0</v>
      </c>
      <c r="AM25" s="200">
        <f>IF($I$2="DRT",VLOOKUP(A25,'Misc. Data &amp; Mechanisms'!$A$1483:$H$1574,6,FALSE),AY25)</f>
        <v>0.223</v>
      </c>
      <c r="AN25" s="333">
        <f t="shared" si="23"/>
        <v>6.9130000000000003</v>
      </c>
      <c r="AO25" s="296"/>
      <c r="AP25" s="333">
        <f t="shared" si="8"/>
        <v>0</v>
      </c>
      <c r="AQ25" s="340">
        <f>5%</f>
        <v>0.05</v>
      </c>
      <c r="AR25" s="341">
        <f>'Misc. Data &amp; Mechanisms'!AL298</f>
        <v>2.6263254743398017</v>
      </c>
      <c r="AS25" s="424">
        <f>'Misc. Data &amp; Mechanisms'!AQ298</f>
        <v>2.8011489062021355</v>
      </c>
      <c r="AT25" s="424">
        <f>'Misc. Data &amp; Mechanisms'!W298</f>
        <v>2.5931986449077837</v>
      </c>
      <c r="AU25" s="424">
        <f>'Misc. Data &amp; Mechanisms'!X298</f>
        <v>1.6562107411392299</v>
      </c>
      <c r="AV25" s="1460">
        <f>'Misc. Data &amp; Mechanisms'!$B$260</f>
        <v>10.198990303636064</v>
      </c>
      <c r="AW25" s="197">
        <f>IFERROR(IF('Personalized Bill Menu'!$B$30="Yes", IF('Personalized Bill Menu'!$B$34="Natural Gas",VLOOKUP($A25, 'Personalized Bill Menu'!$H$4:$L$93, 2, FALSE), IF('Personalized Bill Menu'!$B$34="Both",VLOOKUP($A25,'Personalized Bill Menu'!$H$4:$P$93, 6, FALSE), 0)), 0),0)</f>
        <v>0</v>
      </c>
      <c r="AX25" s="1343">
        <f>IFERROR(IF('Personalized Bill Menu'!$C$37="Custom", IF('Personalized Bill Menu'!$B$34="Natural Gas",VLOOKUP($A25, 'Personalized Bill Menu'!$H$4:$L$93, 3, FALSE), IF('Personalized Bill Menu'!$B$34="Both",VLOOKUP($A25,'Personalized Bill Menu'!$H$4:$P$93, 7, FALSE), 0)), 0),0)</f>
        <v>0</v>
      </c>
      <c r="AY25" s="1344">
        <f>IFERROR(IF('Personalized Bill Menu'!$C$37="Custom", IF('Personalized Bill Menu'!$B$34="Natural Gas",VLOOKUP($A25, 'Personalized Bill Menu'!$H$4:$L$93, 4, FALSE), IF('Personalized Bill Menu'!$B$34="Both",VLOOKUP($A25,'Personalized Bill Menu'!$H$4:$P$93, 8, FALSE), 0)), 0),0)</f>
        <v>0</v>
      </c>
      <c r="AZ25" s="335"/>
      <c r="BA25" s="335"/>
      <c r="BB25" s="335"/>
    </row>
    <row r="26" spans="1:54" x14ac:dyDescent="0.35">
      <c r="A26" s="427">
        <v>41487</v>
      </c>
      <c r="B26" s="85">
        <f t="shared" si="9"/>
        <v>31</v>
      </c>
      <c r="C26" s="1581">
        <f t="shared" si="10"/>
        <v>2.4329779822637572</v>
      </c>
      <c r="D26" s="66">
        <f t="shared" si="11"/>
        <v>23.241442653305466</v>
      </c>
      <c r="E26" s="66">
        <f>(1+$AQ26)*IF(OR('Service Zone Menu'!$X$3="Fort McMurray",AND('Service Zone Menu'!$X$3="Spruce Grove", $A26&lt;DATE(2019, 5, 1))),((((1+$T26)*($P26+$N26)))+($U26*$P26)+((1+$T26+$U26)*($Y26+$Z26+$AA26+$AB26)) + $AO26),($N26+((1+$T26+$U26)*$P26)+((1+$T26+$U26)*($Y26+$Z26+$AA26+$AB26)) + $AO26))</f>
        <v>3.8447849999999999</v>
      </c>
      <c r="F26" s="400">
        <f t="shared" si="12"/>
        <v>56.545918251537955</v>
      </c>
      <c r="G26" s="115">
        <f t="shared" si="13"/>
        <v>4.3258348524649604</v>
      </c>
      <c r="H26" s="66">
        <f t="shared" si="0"/>
        <v>29.488351539935159</v>
      </c>
      <c r="I26" s="66">
        <f t="shared" si="1"/>
        <v>11.734405679400211</v>
      </c>
      <c r="J26" s="66">
        <f t="shared" si="14"/>
        <v>1.3916634058548689</v>
      </c>
      <c r="K26" s="66">
        <f t="shared" si="15"/>
        <v>6.9130000000000003</v>
      </c>
      <c r="L26" s="66">
        <f t="shared" si="16"/>
        <v>0</v>
      </c>
      <c r="M26" s="68">
        <f t="shared" si="17"/>
        <v>2.69266277388276</v>
      </c>
      <c r="N26" s="273">
        <f>IF($I$2="DRT",VLOOKUP(A26,'Misc. Data &amp; Mechanisms'!$A$1381:$D$1471,2,FALSE),AX26)</f>
        <v>1.778</v>
      </c>
      <c r="O26" s="338">
        <f t="shared" si="18"/>
        <v>4.3258348524649604</v>
      </c>
      <c r="P26" s="387">
        <v>0.79300000000000004</v>
      </c>
      <c r="Q26" s="278">
        <v>0.88900000000000001</v>
      </c>
      <c r="R26" s="338">
        <f t="shared" si="2"/>
        <v>1.9293515399351595</v>
      </c>
      <c r="S26" s="338">
        <f t="shared" si="3"/>
        <v>27.559000000000001</v>
      </c>
      <c r="T26" s="391">
        <f>VLOOKUP($A26,'Misc. Data &amp; Mechanisms'!$A$63:$DY$152,HLOOKUP('Service Zone Menu'!$X$3&amp;"_ATCO-N_NG_Y_1",'Misc. Data &amp; Mechanisms'!$A$55:$DY$62,8,FALSE), FALSE)</f>
        <v>0.32900000000000001</v>
      </c>
      <c r="U26" s="205">
        <f>VLOOKUP($A26,'Misc. Data &amp; Mechanisms'!$A$63:$DY$152,HLOOKUP('Service Zone Menu'!$X$3&amp;"_ATCO-N_NG_Y_2",'Misc. Data &amp; Mechanisms'!$A$55:$DY$62,8,FALSE), FALSE)</f>
        <v>5.0999999999999997E-2</v>
      </c>
      <c r="V26" s="425">
        <f>IF(OR('Service Zone Menu'!$X$3="Fort McMurray",AND('Service Zone Menu'!$X$3="Spruce Grove", $A26&lt;DATE(2019, 5, 1))),$T26*($G26+$H26+$J26), $T26*($H26+$J26))</f>
        <v>10.159524917164919</v>
      </c>
      <c r="W26" s="338">
        <f t="shared" si="19"/>
        <v>1.5748807622352912</v>
      </c>
      <c r="X26" s="426"/>
      <c r="Y26" s="386"/>
      <c r="Z26" s="386"/>
      <c r="AA26" s="278">
        <v>0.57199999999999995</v>
      </c>
      <c r="AB26" s="386"/>
      <c r="AC26" s="386"/>
      <c r="AD26" s="386"/>
      <c r="AE26" s="386"/>
      <c r="AF26" s="425">
        <f t="shared" si="4"/>
        <v>0</v>
      </c>
      <c r="AG26" s="425">
        <f t="shared" si="5"/>
        <v>0</v>
      </c>
      <c r="AH26" s="425">
        <f t="shared" si="6"/>
        <v>1.3916634058548689</v>
      </c>
      <c r="AI26" s="425">
        <f t="shared" si="7"/>
        <v>0</v>
      </c>
      <c r="AJ26" s="425">
        <f t="shared" si="20"/>
        <v>0</v>
      </c>
      <c r="AK26" s="425">
        <f t="shared" si="21"/>
        <v>0</v>
      </c>
      <c r="AL26" s="425">
        <f t="shared" si="22"/>
        <v>0</v>
      </c>
      <c r="AM26" s="200">
        <f>IF($I$2="DRT",VLOOKUP(A26,'Misc. Data &amp; Mechanisms'!$A$1483:$H$1574,6,FALSE),AY26)</f>
        <v>0.223</v>
      </c>
      <c r="AN26" s="333">
        <f t="shared" si="23"/>
        <v>6.9130000000000003</v>
      </c>
      <c r="AO26" s="296"/>
      <c r="AP26" s="333">
        <f t="shared" si="8"/>
        <v>0</v>
      </c>
      <c r="AQ26" s="340">
        <f>5%</f>
        <v>0.05</v>
      </c>
      <c r="AR26" s="341">
        <f>'Misc. Data &amp; Mechanisms'!AL299</f>
        <v>2.4640580720164547</v>
      </c>
      <c r="AS26" s="424">
        <f>'Misc. Data &amp; Mechanisms'!AQ299</f>
        <v>2.5466651697971794</v>
      </c>
      <c r="AT26" s="424">
        <f>'Misc. Data &amp; Mechanisms'!W299</f>
        <v>2.4329779822637572</v>
      </c>
      <c r="AU26" s="424">
        <f>'Misc. Data &amp; Mechanisms'!X299</f>
        <v>1.5538818343489373</v>
      </c>
      <c r="AV26" s="1460">
        <f>'Misc. Data &amp; Mechanisms'!$B$260</f>
        <v>10.198990303636064</v>
      </c>
      <c r="AW26" s="197">
        <f>IFERROR(IF('Personalized Bill Menu'!$B$30="Yes", IF('Personalized Bill Menu'!$B$34="Natural Gas",VLOOKUP($A26, 'Personalized Bill Menu'!$H$4:$L$93, 2, FALSE), IF('Personalized Bill Menu'!$B$34="Both",VLOOKUP($A26,'Personalized Bill Menu'!$H$4:$P$93, 6, FALSE), 0)), 0),0)</f>
        <v>0</v>
      </c>
      <c r="AX26" s="1343">
        <f>IFERROR(IF('Personalized Bill Menu'!$C$37="Custom", IF('Personalized Bill Menu'!$B$34="Natural Gas",VLOOKUP($A26, 'Personalized Bill Menu'!$H$4:$L$93, 3, FALSE), IF('Personalized Bill Menu'!$B$34="Both",VLOOKUP($A26,'Personalized Bill Menu'!$H$4:$P$93, 7, FALSE), 0)), 0),0)</f>
        <v>0</v>
      </c>
      <c r="AY26" s="1344">
        <f>IFERROR(IF('Personalized Bill Menu'!$C$37="Custom", IF('Personalized Bill Menu'!$B$34="Natural Gas",VLOOKUP($A26, 'Personalized Bill Menu'!$H$4:$L$93, 4, FALSE), IF('Personalized Bill Menu'!$B$34="Both",VLOOKUP($A26,'Personalized Bill Menu'!$H$4:$P$93, 8, FALSE), 0)), 0),0)</f>
        <v>0</v>
      </c>
      <c r="AZ26" s="335"/>
      <c r="BA26" s="335"/>
      <c r="BB26" s="335"/>
    </row>
    <row r="27" spans="1:54" x14ac:dyDescent="0.35">
      <c r="A27" s="427">
        <v>41518</v>
      </c>
      <c r="B27" s="85">
        <f t="shared" si="9"/>
        <v>30</v>
      </c>
      <c r="C27" s="1581">
        <f t="shared" si="10"/>
        <v>4.2392934624310294</v>
      </c>
      <c r="D27" s="66">
        <f t="shared" si="11"/>
        <v>15.188848545476478</v>
      </c>
      <c r="E27" s="66">
        <f>(1+$AQ27)*IF(OR('Service Zone Menu'!$X$3="Fort McMurray",AND('Service Zone Menu'!$X$3="Spruce Grove", $A27&lt;DATE(2019, 5, 1))),((((1+$T27)*($P27+$N27)))+($U27*$P27)+((1+$T27+$U27)*($Y27+$Z27+$AA27+$AB27)) + $AO27),($N27+((1+$T27+$U27)*$P27)+((1+$T27+$U27)*($Y27+$Z27+$AA27+$AB27)) + $AO27))</f>
        <v>4.415985</v>
      </c>
      <c r="F27" s="400">
        <f t="shared" si="12"/>
        <v>64.389986340693483</v>
      </c>
      <c r="G27" s="115">
        <f t="shared" si="13"/>
        <v>9.84363941976485</v>
      </c>
      <c r="H27" s="66">
        <f t="shared" si="0"/>
        <v>30.031759715707807</v>
      </c>
      <c r="I27" s="66">
        <f t="shared" si="1"/>
        <v>12.333521518962975</v>
      </c>
      <c r="J27" s="66">
        <f t="shared" si="14"/>
        <v>2.4248758605105487</v>
      </c>
      <c r="K27" s="66">
        <f t="shared" si="15"/>
        <v>6.69</v>
      </c>
      <c r="L27" s="66">
        <f t="shared" si="16"/>
        <v>0</v>
      </c>
      <c r="M27" s="68">
        <f t="shared" si="17"/>
        <v>3.0661898257473088</v>
      </c>
      <c r="N27" s="273">
        <f>IF($I$2="DRT",VLOOKUP(A27,'Misc. Data &amp; Mechanisms'!$A$1381:$D$1471,2,FALSE),AX27)</f>
        <v>2.3220000000000001</v>
      </c>
      <c r="O27" s="338">
        <f t="shared" si="18"/>
        <v>9.84363941976485</v>
      </c>
      <c r="P27" s="387">
        <v>0.79300000000000004</v>
      </c>
      <c r="Q27" s="278">
        <v>0.88900000000000001</v>
      </c>
      <c r="R27" s="338">
        <f t="shared" si="2"/>
        <v>3.3617597157078065</v>
      </c>
      <c r="S27" s="338">
        <f t="shared" si="3"/>
        <v>26.67</v>
      </c>
      <c r="T27" s="391">
        <f>VLOOKUP($A27,'Misc. Data &amp; Mechanisms'!$A$63:$DY$152,HLOOKUP('Service Zone Menu'!$X$3&amp;"_ATCO-N_NG_Y_1",'Misc. Data &amp; Mechanisms'!$A$55:$DY$62,8,FALSE), FALSE)</f>
        <v>0.32900000000000001</v>
      </c>
      <c r="U27" s="205">
        <f>VLOOKUP($A27,'Misc. Data &amp; Mechanisms'!$A$63:$DY$152,HLOOKUP('Service Zone Menu'!$X$3&amp;"_ATCO-N_NG_Y_2",'Misc. Data &amp; Mechanisms'!$A$55:$DY$62,8,FALSE), FALSE)</f>
        <v>5.0999999999999997E-2</v>
      </c>
      <c r="V27" s="425">
        <f>IF(OR('Service Zone Menu'!$X$3="Fort McMurray",AND('Service Zone Menu'!$X$3="Spruce Grove", $A27&lt;DATE(2019, 5, 1))),$T27*($G27+$H27+$J27), $T27*($H27+$J27))</f>
        <v>10.678233104575838</v>
      </c>
      <c r="W27" s="338">
        <f t="shared" si="19"/>
        <v>1.6552884143871358</v>
      </c>
      <c r="X27" s="426"/>
      <c r="Y27" s="386"/>
      <c r="Z27" s="386"/>
      <c r="AA27" s="278">
        <v>0.57199999999999995</v>
      </c>
      <c r="AB27" s="386"/>
      <c r="AC27" s="386"/>
      <c r="AD27" s="386"/>
      <c r="AE27" s="386"/>
      <c r="AF27" s="425">
        <f t="shared" si="4"/>
        <v>0</v>
      </c>
      <c r="AG27" s="425">
        <f t="shared" si="5"/>
        <v>0</v>
      </c>
      <c r="AH27" s="425">
        <f t="shared" si="6"/>
        <v>2.4248758605105487</v>
      </c>
      <c r="AI27" s="425">
        <f t="shared" si="7"/>
        <v>0</v>
      </c>
      <c r="AJ27" s="425">
        <f t="shared" si="20"/>
        <v>0</v>
      </c>
      <c r="AK27" s="425">
        <f t="shared" si="21"/>
        <v>0</v>
      </c>
      <c r="AL27" s="425">
        <f t="shared" si="22"/>
        <v>0</v>
      </c>
      <c r="AM27" s="200">
        <f>IF($I$2="DRT",VLOOKUP(A27,'Misc. Data &amp; Mechanisms'!$A$1483:$H$1574,6,FALSE),AY27)</f>
        <v>0.223</v>
      </c>
      <c r="AN27" s="333">
        <f t="shared" si="23"/>
        <v>6.69</v>
      </c>
      <c r="AO27" s="296"/>
      <c r="AP27" s="333">
        <f t="shared" si="8"/>
        <v>0</v>
      </c>
      <c r="AQ27" s="340">
        <f>5%</f>
        <v>0.05</v>
      </c>
      <c r="AR27" s="341">
        <f>'Misc. Data &amp; Mechanisms'!AL300</f>
        <v>4.2934483385790605</v>
      </c>
      <c r="AS27" s="424">
        <f>'Misc. Data &amp; Mechanisms'!AQ300</f>
        <v>4.2479511386056892</v>
      </c>
      <c r="AT27" s="424">
        <f>'Misc. Data &amp; Mechanisms'!W300</f>
        <v>4.2392934624310294</v>
      </c>
      <c r="AU27" s="424">
        <f>'Misc. Data &amp; Mechanisms'!X300</f>
        <v>2.707530092654844</v>
      </c>
      <c r="AV27" s="1460">
        <f>'Misc. Data &amp; Mechanisms'!$B$260</f>
        <v>10.198990303636064</v>
      </c>
      <c r="AW27" s="197">
        <f>IFERROR(IF('Personalized Bill Menu'!$B$30="Yes", IF('Personalized Bill Menu'!$B$34="Natural Gas",VLOOKUP($A27, 'Personalized Bill Menu'!$H$4:$L$93, 2, FALSE), IF('Personalized Bill Menu'!$B$34="Both",VLOOKUP($A27,'Personalized Bill Menu'!$H$4:$P$93, 6, FALSE), 0)), 0),0)</f>
        <v>0</v>
      </c>
      <c r="AX27" s="1343">
        <f>IFERROR(IF('Personalized Bill Menu'!$C$37="Custom", IF('Personalized Bill Menu'!$B$34="Natural Gas",VLOOKUP($A27, 'Personalized Bill Menu'!$H$4:$L$93, 3, FALSE), IF('Personalized Bill Menu'!$B$34="Both",VLOOKUP($A27,'Personalized Bill Menu'!$H$4:$P$93, 7, FALSE), 0)), 0),0)</f>
        <v>0</v>
      </c>
      <c r="AY27" s="1344">
        <f>IFERROR(IF('Personalized Bill Menu'!$C$37="Custom", IF('Personalized Bill Menu'!$B$34="Natural Gas",VLOOKUP($A27, 'Personalized Bill Menu'!$H$4:$L$93, 4, FALSE), IF('Personalized Bill Menu'!$B$34="Both",VLOOKUP($A27,'Personalized Bill Menu'!$H$4:$P$93, 8, FALSE), 0)), 0),0)</f>
        <v>0</v>
      </c>
      <c r="AZ27" s="335"/>
      <c r="BA27" s="335"/>
      <c r="BB27" s="335"/>
    </row>
    <row r="28" spans="1:54" x14ac:dyDescent="0.35">
      <c r="A28" s="427">
        <v>41548</v>
      </c>
      <c r="B28" s="85">
        <f t="shared" si="9"/>
        <v>31</v>
      </c>
      <c r="C28" s="1581">
        <f t="shared" si="10"/>
        <v>9.8840100555865149</v>
      </c>
      <c r="D28" s="66">
        <f t="shared" si="11"/>
        <v>9.3007790094252965</v>
      </c>
      <c r="E28" s="66">
        <f>(1+$AQ28)*IF(OR('Service Zone Menu'!$X$3="Fort McMurray",AND('Service Zone Menu'!$X$3="Spruce Grove", $A28&lt;DATE(2019, 5, 1))),((((1+$T28)*($P28+$N28)))+($U28*$P28)+((1+$T28+$U28)*($Y28+$Z28+$AA28+$AB28)) + $AO28),($N28+((1+$T28+$U28)*$P28)+((1+$T28+$U28)*($Y28+$Z28+$AA28+$AB28)) + $AO28))</f>
        <v>4.5262349999999998</v>
      </c>
      <c r="F28" s="400">
        <f t="shared" si="12"/>
        <v>91.928993253947624</v>
      </c>
      <c r="G28" s="115">
        <f t="shared" si="13"/>
        <v>23.988492404908474</v>
      </c>
      <c r="H28" s="66">
        <f t="shared" si="0"/>
        <v>35.397019974080109</v>
      </c>
      <c r="I28" s="66">
        <f t="shared" si="1"/>
        <v>15.599256015832728</v>
      </c>
      <c r="J28" s="66">
        <f t="shared" si="14"/>
        <v>5.6536537517954857</v>
      </c>
      <c r="K28" s="66">
        <f t="shared" si="15"/>
        <v>6.9130000000000003</v>
      </c>
      <c r="L28" s="66">
        <f t="shared" si="16"/>
        <v>0</v>
      </c>
      <c r="M28" s="68">
        <f t="shared" si="17"/>
        <v>4.3775711073308399</v>
      </c>
      <c r="N28" s="273">
        <f>IF($I$2="DRT",VLOOKUP(A28,'Misc. Data &amp; Mechanisms'!$A$1381:$D$1471,2,FALSE),AX28)</f>
        <v>2.427</v>
      </c>
      <c r="O28" s="333">
        <f t="shared" si="18"/>
        <v>23.988492404908474</v>
      </c>
      <c r="P28" s="387">
        <v>0.79300000000000004</v>
      </c>
      <c r="Q28" s="278">
        <v>0.88900000000000001</v>
      </c>
      <c r="R28" s="338">
        <f t="shared" si="2"/>
        <v>7.8380199740801064</v>
      </c>
      <c r="S28" s="338">
        <f t="shared" si="3"/>
        <v>27.559000000000001</v>
      </c>
      <c r="T28" s="391">
        <f>VLOOKUP($A28,'Misc. Data &amp; Mechanisms'!$A$63:$DY$152,HLOOKUP('Service Zone Menu'!$X$3&amp;"_ATCO-N_NG_Y_1",'Misc. Data &amp; Mechanisms'!$A$55:$DY$62,8,FALSE), FALSE)</f>
        <v>0.32900000000000001</v>
      </c>
      <c r="U28" s="205">
        <f>VLOOKUP($A28,'Misc. Data &amp; Mechanisms'!$A$63:$DY$152,HLOOKUP('Service Zone Menu'!$X$3&amp;"_ATCO-N_NG_Y_2",'Misc. Data &amp; Mechanisms'!$A$55:$DY$62,8,FALSE), FALSE)</f>
        <v>5.0999999999999997E-2</v>
      </c>
      <c r="V28" s="425">
        <f>IF(OR('Service Zone Menu'!$X$3="Fort McMurray",AND('Service Zone Menu'!$X$3="Spruce Grove", $A28&lt;DATE(2019, 5, 1))),$T28*($G28+$H28+$J28), $T28*($H28+$J28))</f>
        <v>13.505671655813073</v>
      </c>
      <c r="W28" s="338">
        <f t="shared" si="19"/>
        <v>2.0935843600196553</v>
      </c>
      <c r="X28" s="426"/>
      <c r="Y28" s="386"/>
      <c r="Z28" s="386"/>
      <c r="AA28" s="278">
        <v>0.57199999999999995</v>
      </c>
      <c r="AB28" s="386"/>
      <c r="AC28" s="386"/>
      <c r="AD28" s="386"/>
      <c r="AE28" s="386"/>
      <c r="AF28" s="425">
        <f t="shared" si="4"/>
        <v>0</v>
      </c>
      <c r="AG28" s="425">
        <f t="shared" si="5"/>
        <v>0</v>
      </c>
      <c r="AH28" s="425">
        <f t="shared" si="6"/>
        <v>5.6536537517954857</v>
      </c>
      <c r="AI28" s="425">
        <f t="shared" si="7"/>
        <v>0</v>
      </c>
      <c r="AJ28" s="425">
        <f t="shared" si="20"/>
        <v>0</v>
      </c>
      <c r="AK28" s="425">
        <f t="shared" si="21"/>
        <v>0</v>
      </c>
      <c r="AL28" s="425">
        <f t="shared" si="22"/>
        <v>0</v>
      </c>
      <c r="AM28" s="200">
        <f>IF($I$2="DRT",VLOOKUP(A28,'Misc. Data &amp; Mechanisms'!$A$1483:$H$1574,6,FALSE),AY28)</f>
        <v>0.223</v>
      </c>
      <c r="AN28" s="333">
        <f t="shared" si="23"/>
        <v>6.9130000000000003</v>
      </c>
      <c r="AO28" s="296"/>
      <c r="AP28" s="333">
        <f t="shared" si="8"/>
        <v>0</v>
      </c>
      <c r="AQ28" s="340">
        <f>5%</f>
        <v>0.05</v>
      </c>
      <c r="AR28" s="341">
        <f>'Misc. Data &amp; Mechanisms'!AL301</f>
        <v>10.010273392897263</v>
      </c>
      <c r="AS28" s="424">
        <f>'Misc. Data &amp; Mechanisms'!AQ301</f>
        <v>9.9374776852068845</v>
      </c>
      <c r="AT28" s="424">
        <f>'Misc. Data &amp; Mechanisms'!W301</f>
        <v>9.8840100555865149</v>
      </c>
      <c r="AU28" s="424">
        <f>'Misc. Data &amp; Mechanisms'!X301</f>
        <v>6.3126685846979047</v>
      </c>
      <c r="AV28" s="1460">
        <f>'Misc. Data &amp; Mechanisms'!$B$260</f>
        <v>10.198990303636064</v>
      </c>
      <c r="AW28" s="197">
        <f>IFERROR(IF('Personalized Bill Menu'!$B$30="Yes", IF('Personalized Bill Menu'!$B$34="Natural Gas",VLOOKUP($A28, 'Personalized Bill Menu'!$H$4:$L$93, 2, FALSE), IF('Personalized Bill Menu'!$B$34="Both",VLOOKUP($A28,'Personalized Bill Menu'!$H$4:$P$93, 6, FALSE), 0)), 0),0)</f>
        <v>0</v>
      </c>
      <c r="AX28" s="1343">
        <f>IFERROR(IF('Personalized Bill Menu'!$C$37="Custom", IF('Personalized Bill Menu'!$B$34="Natural Gas",VLOOKUP($A28, 'Personalized Bill Menu'!$H$4:$L$93, 3, FALSE), IF('Personalized Bill Menu'!$B$34="Both",VLOOKUP($A28,'Personalized Bill Menu'!$H$4:$P$93, 7, FALSE), 0)), 0),0)</f>
        <v>0</v>
      </c>
      <c r="AY28" s="1344">
        <f>IFERROR(IF('Personalized Bill Menu'!$C$37="Custom", IF('Personalized Bill Menu'!$B$34="Natural Gas",VLOOKUP($A28, 'Personalized Bill Menu'!$H$4:$L$93, 4, FALSE), IF('Personalized Bill Menu'!$B$34="Both",VLOOKUP($A28,'Personalized Bill Menu'!$H$4:$P$93, 8, FALSE), 0)), 0),0)</f>
        <v>0</v>
      </c>
      <c r="AZ28" s="335"/>
      <c r="BA28" s="335"/>
      <c r="BB28" s="335"/>
    </row>
    <row r="29" spans="1:54" x14ac:dyDescent="0.35">
      <c r="A29" s="427">
        <v>41579</v>
      </c>
      <c r="B29" s="85">
        <f t="shared" si="9"/>
        <v>30</v>
      </c>
      <c r="C29" s="1581">
        <f t="shared" si="10"/>
        <v>18.017189942771509</v>
      </c>
      <c r="D29" s="66">
        <f t="shared" si="11"/>
        <v>8.4196993081446525</v>
      </c>
      <c r="E29" s="66">
        <f>(1+$AQ29)*IF(OR('Service Zone Menu'!$X$3="Fort McMurray",AND('Service Zone Menu'!$X$3="Spruce Grove", $A29&lt;DATE(2019, 5, 1))),((((1+$T29)*($P29+$N29)))+($U29*$P29)+((1+$T29+$U29)*($Y29+$Z29+$AA29+$AB29)) + $AO29),($N29+((1+$T29+$U29)*$P29)+((1+$T29+$U29)*($Y29+$Z29+$AA29+$AB29)) + $AO29))</f>
        <v>5.8849349999999996</v>
      </c>
      <c r="F29" s="400">
        <f t="shared" si="12"/>
        <v>151.69932169586406</v>
      </c>
      <c r="G29" s="115">
        <f t="shared" si="13"/>
        <v>67.041963777052786</v>
      </c>
      <c r="H29" s="66">
        <f t="shared" si="0"/>
        <v>40.957631624617811</v>
      </c>
      <c r="I29" s="66">
        <f t="shared" si="1"/>
        <v>19.480116423315582</v>
      </c>
      <c r="J29" s="66">
        <f t="shared" si="14"/>
        <v>10.305832647265301</v>
      </c>
      <c r="K29" s="66">
        <f t="shared" si="15"/>
        <v>6.69</v>
      </c>
      <c r="L29" s="66">
        <f t="shared" si="16"/>
        <v>0</v>
      </c>
      <c r="M29" s="68">
        <f t="shared" si="17"/>
        <v>7.2237772236125739</v>
      </c>
      <c r="N29" s="273">
        <f>IF($I$2="DRT",VLOOKUP(A29,'Misc. Data &amp; Mechanisms'!$A$1381:$D$1471,2,FALSE),AX29)</f>
        <v>3.7210000000000001</v>
      </c>
      <c r="O29" s="338">
        <f t="shared" si="18"/>
        <v>67.041963777052786</v>
      </c>
      <c r="P29" s="387">
        <v>0.79300000000000004</v>
      </c>
      <c r="Q29" s="278">
        <v>0.88900000000000001</v>
      </c>
      <c r="R29" s="338">
        <f t="shared" si="2"/>
        <v>14.287631624617807</v>
      </c>
      <c r="S29" s="338">
        <f t="shared" si="3"/>
        <v>26.67</v>
      </c>
      <c r="T29" s="391">
        <f>VLOOKUP($A29,'Misc. Data &amp; Mechanisms'!$A$63:$DY$152,HLOOKUP('Service Zone Menu'!$X$3&amp;"_ATCO-N_NG_Y_1",'Misc. Data &amp; Mechanisms'!$A$55:$DY$62,8,FALSE), FALSE)</f>
        <v>0.32900000000000001</v>
      </c>
      <c r="U29" s="205">
        <f>VLOOKUP($A29,'Misc. Data &amp; Mechanisms'!$A$63:$DY$152,HLOOKUP('Service Zone Menu'!$X$3&amp;"_ATCO-N_NG_Y_2",'Misc. Data &amp; Mechanisms'!$A$55:$DY$62,8,FALSE), FALSE)</f>
        <v>5.0999999999999997E-2</v>
      </c>
      <c r="V29" s="425">
        <f>IF(OR('Service Zone Menu'!$X$3="Fort McMurray",AND('Service Zone Menu'!$X$3="Spruce Grove", $A29&lt;DATE(2019, 5, 1))),$T29*($G29+$H29+$J29), $T29*($H29+$J29))</f>
        <v>16.865679745449544</v>
      </c>
      <c r="W29" s="338">
        <f t="shared" si="19"/>
        <v>2.6144366778660384</v>
      </c>
      <c r="X29" s="426"/>
      <c r="Y29" s="386"/>
      <c r="Z29" s="386"/>
      <c r="AA29" s="278">
        <v>0.57199999999999995</v>
      </c>
      <c r="AB29" s="386"/>
      <c r="AC29" s="386"/>
      <c r="AD29" s="386"/>
      <c r="AE29" s="386"/>
      <c r="AF29" s="425">
        <f t="shared" si="4"/>
        <v>0</v>
      </c>
      <c r="AG29" s="425">
        <f t="shared" si="5"/>
        <v>0</v>
      </c>
      <c r="AH29" s="425">
        <f t="shared" si="6"/>
        <v>10.305832647265301</v>
      </c>
      <c r="AI29" s="425">
        <f t="shared" si="7"/>
        <v>0</v>
      </c>
      <c r="AJ29" s="425">
        <f t="shared" si="20"/>
        <v>0</v>
      </c>
      <c r="AK29" s="425">
        <f t="shared" si="21"/>
        <v>0</v>
      </c>
      <c r="AL29" s="425">
        <f t="shared" si="22"/>
        <v>0</v>
      </c>
      <c r="AM29" s="200">
        <f>IF($I$2="DRT",VLOOKUP(A29,'Misc. Data &amp; Mechanisms'!$A$1483:$H$1574,6,FALSE),AY29)</f>
        <v>0.223</v>
      </c>
      <c r="AN29" s="333">
        <f t="shared" si="23"/>
        <v>6.69</v>
      </c>
      <c r="AO29" s="296"/>
      <c r="AP29" s="333">
        <f t="shared" si="8"/>
        <v>0</v>
      </c>
      <c r="AQ29" s="340">
        <f>5%</f>
        <v>0.05</v>
      </c>
      <c r="AR29" s="341">
        <f>'Misc. Data &amp; Mechanisms'!AL302</f>
        <v>18.247350628398308</v>
      </c>
      <c r="AS29" s="424">
        <f>'Misc. Data &amp; Mechanisms'!AQ302</f>
        <v>17.344183079197038</v>
      </c>
      <c r="AT29" s="424">
        <f>'Misc. Data &amp; Mechanisms'!W302</f>
        <v>18.017189942771509</v>
      </c>
      <c r="AU29" s="424">
        <f>'Misc. Data &amp; Mechanisms'!X302</f>
        <v>11.507125983950614</v>
      </c>
      <c r="AV29" s="1460">
        <f>'Misc. Data &amp; Mechanisms'!$B$260</f>
        <v>10.198990303636064</v>
      </c>
      <c r="AW29" s="197">
        <f>IFERROR(IF('Personalized Bill Menu'!$B$30="Yes", IF('Personalized Bill Menu'!$B$34="Natural Gas",VLOOKUP($A29, 'Personalized Bill Menu'!$H$4:$L$93, 2, FALSE), IF('Personalized Bill Menu'!$B$34="Both",VLOOKUP($A29,'Personalized Bill Menu'!$H$4:$P$93, 6, FALSE), 0)), 0),0)</f>
        <v>0</v>
      </c>
      <c r="AX29" s="1343">
        <f>IFERROR(IF('Personalized Bill Menu'!$C$37="Custom", IF('Personalized Bill Menu'!$B$34="Natural Gas",VLOOKUP($A29, 'Personalized Bill Menu'!$H$4:$L$93, 3, FALSE), IF('Personalized Bill Menu'!$B$34="Both",VLOOKUP($A29,'Personalized Bill Menu'!$H$4:$P$93, 7, FALSE), 0)), 0),0)</f>
        <v>0</v>
      </c>
      <c r="AY29" s="1344">
        <f>IFERROR(IF('Personalized Bill Menu'!$C$37="Custom", IF('Personalized Bill Menu'!$B$34="Natural Gas",VLOOKUP($A29, 'Personalized Bill Menu'!$H$4:$L$93, 4, FALSE), IF('Personalized Bill Menu'!$B$34="Both",VLOOKUP($A29,'Personalized Bill Menu'!$H$4:$P$93, 8, FALSE), 0)), 0),0)</f>
        <v>0</v>
      </c>
      <c r="AZ29" s="335"/>
      <c r="BA29" s="335"/>
      <c r="BB29" s="335"/>
    </row>
    <row r="30" spans="1:54" x14ac:dyDescent="0.35">
      <c r="A30" s="435">
        <v>41609</v>
      </c>
      <c r="B30" s="436">
        <f t="shared" si="9"/>
        <v>31</v>
      </c>
      <c r="C30" s="231">
        <f t="shared" si="10"/>
        <v>24.703012590580187</v>
      </c>
      <c r="D30" s="344">
        <f t="shared" si="11"/>
        <v>7.3542947517492765</v>
      </c>
      <c r="E30" s="344">
        <f>(1+$AQ30)*IF(OR('Service Zone Menu'!$X$3="Fort McMurray",AND('Service Zone Menu'!$X$3="Spruce Grove", $A30&lt;DATE(2019, 5, 1))),((((1+$T30)*($P30+$N30)))+($U30*$P30)+((1+$T30+$U30)*($Y30+$Z30+$AA30+$AB30)) + $AO30),($N30+((1+$T30+$U30)*$P30)+((1+$T30+$U30)*($Y30+$Z30+$AA30+$AB30)) + $AO30))</f>
        <v>5.4439349999999997</v>
      </c>
      <c r="F30" s="437">
        <f t="shared" si="12"/>
        <v>181.67323584730016</v>
      </c>
      <c r="G30" s="343">
        <f t="shared" si="13"/>
        <v>81.544644561505194</v>
      </c>
      <c r="H30" s="344">
        <f t="shared" si="0"/>
        <v>47.148488984330086</v>
      </c>
      <c r="I30" s="344">
        <f t="shared" si="1"/>
        <v>23.285872630733945</v>
      </c>
      <c r="J30" s="344">
        <f t="shared" si="14"/>
        <v>14.130123201811866</v>
      </c>
      <c r="K30" s="344">
        <f t="shared" si="15"/>
        <v>6.9130000000000003</v>
      </c>
      <c r="L30" s="344">
        <f t="shared" si="16"/>
        <v>0</v>
      </c>
      <c r="M30" s="345">
        <f t="shared" si="17"/>
        <v>8.6511064689190551</v>
      </c>
      <c r="N30" s="1243">
        <f>IF($I$2="DRT",VLOOKUP(A30,'Misc. Data &amp; Mechanisms'!$A$1381:$D$1471,2,FALSE),AX30)</f>
        <v>3.3010000000000002</v>
      </c>
      <c r="O30" s="349">
        <f t="shared" si="18"/>
        <v>81.544644561505194</v>
      </c>
      <c r="P30" s="438">
        <v>0.79300000000000004</v>
      </c>
      <c r="Q30" s="283">
        <v>0.88900000000000001</v>
      </c>
      <c r="R30" s="349">
        <f t="shared" si="2"/>
        <v>19.589488984330089</v>
      </c>
      <c r="S30" s="349">
        <f t="shared" si="3"/>
        <v>27.559000000000001</v>
      </c>
      <c r="T30" s="394">
        <f>VLOOKUP($A30,'Misc. Data &amp; Mechanisms'!$A$63:$DY$152,HLOOKUP('Service Zone Menu'!$X$3&amp;"_ATCO-N_NG_Y_1",'Misc. Data &amp; Mechanisms'!$A$55:$DY$62,8,FALSE), FALSE)</f>
        <v>0.32900000000000001</v>
      </c>
      <c r="U30" s="246">
        <f>VLOOKUP($A30,'Misc. Data &amp; Mechanisms'!$A$63:$DY$152,HLOOKUP('Service Zone Menu'!$X$3&amp;"_ATCO-N_NG_Y_2",'Misc. Data &amp; Mechanisms'!$A$55:$DY$62,8,FALSE), FALSE)</f>
        <v>5.0999999999999997E-2</v>
      </c>
      <c r="V30" s="440">
        <f>IF(OR('Service Zone Menu'!$X$3="Fort McMurray",AND('Service Zone Menu'!$X$3="Spruce Grove", $A30&lt;DATE(2019, 5, 1))),$T30*($G30+$H30+$J30), $T30*($H30+$J30))</f>
        <v>20.160663409240705</v>
      </c>
      <c r="W30" s="349">
        <f t="shared" si="19"/>
        <v>3.1252092214932397</v>
      </c>
      <c r="X30" s="439"/>
      <c r="Y30" s="399"/>
      <c r="Z30" s="399"/>
      <c r="AA30" s="283">
        <v>0.57199999999999995</v>
      </c>
      <c r="AB30" s="399"/>
      <c r="AC30" s="399"/>
      <c r="AD30" s="399"/>
      <c r="AE30" s="399"/>
      <c r="AF30" s="440">
        <f t="shared" si="4"/>
        <v>0</v>
      </c>
      <c r="AG30" s="440">
        <f t="shared" si="5"/>
        <v>0</v>
      </c>
      <c r="AH30" s="440">
        <f t="shared" si="6"/>
        <v>14.130123201811866</v>
      </c>
      <c r="AI30" s="440">
        <f t="shared" si="7"/>
        <v>0</v>
      </c>
      <c r="AJ30" s="440">
        <f t="shared" si="20"/>
        <v>0</v>
      </c>
      <c r="AK30" s="440">
        <f t="shared" si="21"/>
        <v>0</v>
      </c>
      <c r="AL30" s="440">
        <f t="shared" si="22"/>
        <v>0</v>
      </c>
      <c r="AM30" s="239">
        <f>IF($I$2="DRT",VLOOKUP(A30,'Misc. Data &amp; Mechanisms'!$A$1483:$H$1574,6,FALSE),AY30)</f>
        <v>0.223</v>
      </c>
      <c r="AN30" s="346">
        <f t="shared" si="23"/>
        <v>6.9130000000000003</v>
      </c>
      <c r="AO30" s="1501"/>
      <c r="AP30" s="346">
        <f t="shared" si="8"/>
        <v>0</v>
      </c>
      <c r="AQ30" s="351">
        <f>5%</f>
        <v>0.05</v>
      </c>
      <c r="AR30" s="352">
        <f>'Misc. Data &amp; Mechanisms'!AL303</f>
        <v>25.018581352021616</v>
      </c>
      <c r="AS30" s="441">
        <f>'Misc. Data &amp; Mechanisms'!AQ303</f>
        <v>23.873234678876095</v>
      </c>
      <c r="AT30" s="441">
        <f>'Misc. Data &amp; Mechanisms'!W303</f>
        <v>24.703012590580187</v>
      </c>
      <c r="AU30" s="441">
        <f>'Misc. Data &amp; Mechanisms'!X303</f>
        <v>15.777192723495139</v>
      </c>
      <c r="AV30" s="1461">
        <f>'Misc. Data &amp; Mechanisms'!$B$260</f>
        <v>10.198990303636064</v>
      </c>
      <c r="AW30" s="243">
        <f>IFERROR(IF('Personalized Bill Menu'!$B$30="Yes", IF('Personalized Bill Menu'!$B$34="Natural Gas",VLOOKUP($A30, 'Personalized Bill Menu'!$H$4:$L$93, 2, FALSE), IF('Personalized Bill Menu'!$B$34="Both",VLOOKUP($A30,'Personalized Bill Menu'!$H$4:$P$93, 6, FALSE), 0)), 0),0)</f>
        <v>0</v>
      </c>
      <c r="AX30" s="1345">
        <f>IFERROR(IF('Personalized Bill Menu'!$C$37="Custom", IF('Personalized Bill Menu'!$B$34="Natural Gas",VLOOKUP($A30, 'Personalized Bill Menu'!$H$4:$L$93, 3, FALSE), IF('Personalized Bill Menu'!$B$34="Both",VLOOKUP($A30,'Personalized Bill Menu'!$H$4:$P$93, 7, FALSE), 0)), 0),0)</f>
        <v>0</v>
      </c>
      <c r="AY30" s="1346">
        <f>IFERROR(IF('Personalized Bill Menu'!$C$37="Custom", IF('Personalized Bill Menu'!$B$34="Natural Gas",VLOOKUP($A30, 'Personalized Bill Menu'!$H$4:$L$93, 4, FALSE), IF('Personalized Bill Menu'!$B$34="Both",VLOOKUP($A30,'Personalized Bill Menu'!$H$4:$P$93, 8, FALSE), 0)), 0),0)</f>
        <v>0</v>
      </c>
      <c r="AZ30" s="335"/>
      <c r="BA30" s="335"/>
      <c r="BB30" s="335"/>
    </row>
    <row r="31" spans="1:54" x14ac:dyDescent="0.35">
      <c r="A31" s="428">
        <v>41640</v>
      </c>
      <c r="B31" s="429">
        <f t="shared" si="9"/>
        <v>31</v>
      </c>
      <c r="C31" s="212">
        <f t="shared" si="10"/>
        <v>19.589778160482833</v>
      </c>
      <c r="D31" s="353">
        <f t="shared" si="11"/>
        <v>8.6535643694288797</v>
      </c>
      <c r="E31" s="353">
        <f>(1+$AQ31)*IF(OR('Service Zone Menu'!$X$3="Fort McMurray",AND('Service Zone Menu'!$X$3="Spruce Grove", $A31&lt;DATE(2019, 5, 1))),((((1+$T31)*($P31+$N31)))+($U31*$P31)+((1+$T31+$U31)*($Y31+$Z31+$AA31+$AB31)) + $AO31),($N31+((1+$T31+$U31)*$P31)+((1+$T31+$U31)*($Y31+$Z31+$AA31+$AB31)) + $AO31))</f>
        <v>6.2743799999999998</v>
      </c>
      <c r="F31" s="430">
        <f t="shared" si="12"/>
        <v>169.52140629457028</v>
      </c>
      <c r="G31" s="356">
        <f t="shared" si="13"/>
        <v>80.024243785572367</v>
      </c>
      <c r="H31" s="353">
        <f t="shared" si="0"/>
        <v>42.788642972065304</v>
      </c>
      <c r="I31" s="353">
        <f t="shared" si="1"/>
        <v>20.517718510347361</v>
      </c>
      <c r="J31" s="353">
        <f t="shared" si="14"/>
        <v>11.20535310779618</v>
      </c>
      <c r="K31" s="353">
        <f t="shared" si="15"/>
        <v>6.9130000000000003</v>
      </c>
      <c r="L31" s="353">
        <f t="shared" si="16"/>
        <v>0</v>
      </c>
      <c r="M31" s="357">
        <f t="shared" si="17"/>
        <v>8.0724479187890612</v>
      </c>
      <c r="N31" s="273">
        <f>IF($I$2="DRT",VLOOKUP(A31,'Misc. Data &amp; Mechanisms'!$A$1381:$D$1471,2,FALSE),AX31)</f>
        <v>4.085</v>
      </c>
      <c r="O31" s="354">
        <f t="shared" si="18"/>
        <v>80.024243785572367</v>
      </c>
      <c r="P31" s="431">
        <v>0.79800000000000004</v>
      </c>
      <c r="Q31" s="288">
        <v>0.876</v>
      </c>
      <c r="R31" s="354">
        <f t="shared" si="2"/>
        <v>15.632642972065302</v>
      </c>
      <c r="S31" s="354">
        <f t="shared" si="3"/>
        <v>27.155999999999999</v>
      </c>
      <c r="T31" s="391">
        <f>VLOOKUP($A31,'Misc. Data &amp; Mechanisms'!$A$63:$DY$152,HLOOKUP('Service Zone Menu'!$X$3&amp;"_ATCO-N_NG_Y_1",'Misc. Data &amp; Mechanisms'!$A$55:$DY$62,8,FALSE), FALSE)</f>
        <v>0.32900000000000001</v>
      </c>
      <c r="U31" s="205">
        <f>VLOOKUP($A31,'Misc. Data &amp; Mechanisms'!$A$63:$DY$152,HLOOKUP('Service Zone Menu'!$X$3&amp;"_ATCO-N_NG_Y_2",'Misc. Data &amp; Mechanisms'!$A$55:$DY$62,8,FALSE), FALSE)</f>
        <v>5.0999999999999997E-2</v>
      </c>
      <c r="V31" s="433">
        <f>IF(OR('Service Zone Menu'!$X$3="Fort McMurray",AND('Service Zone Menu'!$X$3="Spruce Grove", $A31&lt;DATE(2019, 5, 1))),$T31*($G31+$H31+$J31), $T31*($H31+$J31))</f>
        <v>17.764024710274427</v>
      </c>
      <c r="W31" s="354">
        <f t="shared" si="19"/>
        <v>2.7536938000729352</v>
      </c>
      <c r="X31" s="432"/>
      <c r="Y31" s="397"/>
      <c r="Z31" s="397"/>
      <c r="AA31" s="288">
        <v>0.57199999999999995</v>
      </c>
      <c r="AB31" s="288"/>
      <c r="AC31" s="288"/>
      <c r="AD31" s="288"/>
      <c r="AE31" s="288"/>
      <c r="AF31" s="433">
        <f t="shared" si="4"/>
        <v>0</v>
      </c>
      <c r="AG31" s="433">
        <f t="shared" si="5"/>
        <v>0</v>
      </c>
      <c r="AH31" s="433">
        <f t="shared" si="6"/>
        <v>11.20535310779618</v>
      </c>
      <c r="AI31" s="433">
        <f t="shared" si="7"/>
        <v>0</v>
      </c>
      <c r="AJ31" s="433">
        <f t="shared" si="20"/>
        <v>0</v>
      </c>
      <c r="AK31" s="433">
        <f t="shared" si="21"/>
        <v>0</v>
      </c>
      <c r="AL31" s="433">
        <f t="shared" si="22"/>
        <v>0</v>
      </c>
      <c r="AM31" s="200">
        <f>IF($I$2="DRT",VLOOKUP(A31,'Misc. Data &amp; Mechanisms'!$A$1483:$H$1574,6,FALSE),AY31)</f>
        <v>0.223</v>
      </c>
      <c r="AN31" s="333">
        <f t="shared" si="23"/>
        <v>6.9130000000000003</v>
      </c>
      <c r="AO31" s="295"/>
      <c r="AP31" s="355">
        <f t="shared" si="8"/>
        <v>0</v>
      </c>
      <c r="AQ31" s="358">
        <f>5%</f>
        <v>0.05</v>
      </c>
      <c r="AR31" s="359">
        <f>'Misc. Data &amp; Mechanisms'!AL304</f>
        <v>19.840027882388139</v>
      </c>
      <c r="AS31" s="434">
        <f>'Misc. Data &amp; Mechanisms'!AQ304</f>
        <v>19.146506328872562</v>
      </c>
      <c r="AT31" s="434">
        <f>'Misc. Data &amp; Mechanisms'!W304</f>
        <v>19.589778160482833</v>
      </c>
      <c r="AU31" s="434">
        <f>'Misc. Data &amp; Mechanisms'!X304</f>
        <v>12.511498519266015</v>
      </c>
      <c r="AV31" s="1462">
        <f>'Misc. Data &amp; Mechanisms'!$B$260</f>
        <v>10.198990303636064</v>
      </c>
      <c r="AW31" s="197">
        <f>IFERROR(IF('Personalized Bill Menu'!$B$30="Yes", IF('Personalized Bill Menu'!$B$34="Natural Gas",VLOOKUP($A31, 'Personalized Bill Menu'!$H$4:$L$93, 2, FALSE), IF('Personalized Bill Menu'!$B$34="Both",VLOOKUP($A31,'Personalized Bill Menu'!$H$4:$P$93, 6, FALSE), 0)), 0),0)</f>
        <v>0</v>
      </c>
      <c r="AX31" s="1343">
        <f>IFERROR(IF('Personalized Bill Menu'!$C$37="Custom", IF('Personalized Bill Menu'!$B$34="Natural Gas",VLOOKUP($A31, 'Personalized Bill Menu'!$H$4:$L$93, 3, FALSE), IF('Personalized Bill Menu'!$B$34="Both",VLOOKUP($A31,'Personalized Bill Menu'!$H$4:$P$93, 7, FALSE), 0)), 0),0)</f>
        <v>0</v>
      </c>
      <c r="AY31" s="1344">
        <f>IFERROR(IF('Personalized Bill Menu'!$C$37="Custom", IF('Personalized Bill Menu'!$B$34="Natural Gas",VLOOKUP($A31, 'Personalized Bill Menu'!$H$4:$L$93, 4, FALSE), IF('Personalized Bill Menu'!$B$34="Both",VLOOKUP($A31,'Personalized Bill Menu'!$H$4:$P$93, 8, FALSE), 0)), 0),0)</f>
        <v>0</v>
      </c>
      <c r="AZ31" s="335"/>
      <c r="BA31" s="335"/>
      <c r="BB31" s="335"/>
    </row>
    <row r="32" spans="1:54" x14ac:dyDescent="0.35">
      <c r="A32" s="427">
        <v>41671</v>
      </c>
      <c r="B32" s="85">
        <f t="shared" si="9"/>
        <v>28</v>
      </c>
      <c r="C32" s="1581">
        <f t="shared" si="10"/>
        <v>24.274902201652335</v>
      </c>
      <c r="D32" s="66">
        <f t="shared" si="11"/>
        <v>8.4932241206798356</v>
      </c>
      <c r="E32" s="66">
        <f>(1+$AQ32)*IF(OR('Service Zone Menu'!$X$3="Fort McMurray",AND('Service Zone Menu'!$X$3="Spruce Grove", $A32&lt;DATE(2019, 5, 1))),((((1+$T32)*($P32+$N32)))+($U32*$P32)+((1+$T32+$U32)*($Y32+$Z32+$AA32+$AB32)) + $AO32),($N32+((1+$T32+$U32)*$P32)+((1+$T32+$U32)*($Y32+$Z32+$AA32+$AB32)) + $AO32))</f>
        <v>6.7685835000000001</v>
      </c>
      <c r="F32" s="400">
        <f t="shared" si="12"/>
        <v>206.17218490621764</v>
      </c>
      <c r="G32" s="115">
        <f t="shared" si="13"/>
        <v>110.88775325714785</v>
      </c>
      <c r="H32" s="66">
        <f t="shared" si="0"/>
        <v>43.899371956918564</v>
      </c>
      <c r="I32" s="66">
        <f t="shared" si="1"/>
        <v>21.438092542033832</v>
      </c>
      <c r="J32" s="66">
        <f t="shared" si="14"/>
        <v>13.885244059345135</v>
      </c>
      <c r="K32" s="66">
        <f t="shared" si="15"/>
        <v>6.2439999999999998</v>
      </c>
      <c r="L32" s="66">
        <f t="shared" si="16"/>
        <v>0</v>
      </c>
      <c r="M32" s="68">
        <f t="shared" si="17"/>
        <v>9.8177230907722688</v>
      </c>
      <c r="N32" s="273">
        <f>IF($I$2="DRT",VLOOKUP(A32,'Misc. Data &amp; Mechanisms'!$A$1381:$D$1471,2,FALSE),AX32)</f>
        <v>4.5679999999999996</v>
      </c>
      <c r="O32" s="338">
        <f t="shared" si="18"/>
        <v>110.88775325714785</v>
      </c>
      <c r="P32" s="387">
        <v>0.79800000000000004</v>
      </c>
      <c r="Q32" s="278">
        <v>0.876</v>
      </c>
      <c r="R32" s="338">
        <f t="shared" si="2"/>
        <v>19.371371956918566</v>
      </c>
      <c r="S32" s="338">
        <f t="shared" si="3"/>
        <v>24.527999999999999</v>
      </c>
      <c r="T32" s="391">
        <f>VLOOKUP($A32,'Misc. Data &amp; Mechanisms'!$A$63:$DY$152,HLOOKUP('Service Zone Menu'!$X$3&amp;"_ATCO-N_NG_Y_1",'Misc. Data &amp; Mechanisms'!$A$55:$DY$62,8,FALSE), FALSE)</f>
        <v>0.32900000000000001</v>
      </c>
      <c r="U32" s="205">
        <f>VLOOKUP($A32,'Misc. Data &amp; Mechanisms'!$A$63:$DY$152,HLOOKUP('Service Zone Menu'!$X$3&amp;"_ATCO-N_NG_Y_2",'Misc. Data &amp; Mechanisms'!$A$55:$DY$62,8,FALSE), FALSE)</f>
        <v>4.2000000000000003E-2</v>
      </c>
      <c r="V32" s="425">
        <f>IF(OR('Service Zone Menu'!$X$3="Fort McMurray",AND('Service Zone Menu'!$X$3="Spruce Grove", $A32&lt;DATE(2019, 5, 1))),$T32*($G32+$H32+$J32), $T32*($H32+$J32))</f>
        <v>19.011138669350757</v>
      </c>
      <c r="W32" s="338">
        <f t="shared" si="19"/>
        <v>2.4269538726830753</v>
      </c>
      <c r="X32" s="426"/>
      <c r="Y32" s="386"/>
      <c r="Z32" s="386"/>
      <c r="AA32" s="278">
        <v>0.57199999999999995</v>
      </c>
      <c r="AB32" s="278"/>
      <c r="AC32" s="278"/>
      <c r="AD32" s="278"/>
      <c r="AE32" s="278"/>
      <c r="AF32" s="425">
        <f t="shared" si="4"/>
        <v>0</v>
      </c>
      <c r="AG32" s="425">
        <f t="shared" si="5"/>
        <v>0</v>
      </c>
      <c r="AH32" s="425">
        <f t="shared" si="6"/>
        <v>13.885244059345135</v>
      </c>
      <c r="AI32" s="425">
        <f t="shared" si="7"/>
        <v>0</v>
      </c>
      <c r="AJ32" s="425">
        <f t="shared" si="20"/>
        <v>0</v>
      </c>
      <c r="AK32" s="425">
        <f t="shared" si="21"/>
        <v>0</v>
      </c>
      <c r="AL32" s="425">
        <f t="shared" si="22"/>
        <v>0</v>
      </c>
      <c r="AM32" s="200">
        <f>IF($I$2="DRT",VLOOKUP(A32,'Misc. Data &amp; Mechanisms'!$A$1483:$H$1574,6,FALSE),AY32)</f>
        <v>0.223</v>
      </c>
      <c r="AN32" s="333">
        <f t="shared" si="23"/>
        <v>6.2439999999999998</v>
      </c>
      <c r="AO32" s="296"/>
      <c r="AP32" s="333">
        <f t="shared" si="8"/>
        <v>0</v>
      </c>
      <c r="AQ32" s="340">
        <f>5%</f>
        <v>0.05</v>
      </c>
      <c r="AR32" s="341">
        <f>'Misc. Data &amp; Mechanisms'!AL305</f>
        <v>24.585002064727671</v>
      </c>
      <c r="AS32" s="424">
        <f>'Misc. Data &amp; Mechanisms'!AQ305</f>
        <v>24.542492751227204</v>
      </c>
      <c r="AT32" s="424">
        <f>'Misc. Data &amp; Mechanisms'!W305</f>
        <v>24.274902201652335</v>
      </c>
      <c r="AU32" s="424">
        <f>'Misc. Data &amp; Mechanisms'!X305</f>
        <v>15.503769387443374</v>
      </c>
      <c r="AV32" s="1460">
        <f>'Misc. Data &amp; Mechanisms'!$B$260</f>
        <v>10.198990303636064</v>
      </c>
      <c r="AW32" s="197">
        <f>IFERROR(IF('Personalized Bill Menu'!$B$30="Yes", IF('Personalized Bill Menu'!$B$34="Natural Gas",VLOOKUP($A32, 'Personalized Bill Menu'!$H$4:$L$93, 2, FALSE), IF('Personalized Bill Menu'!$B$34="Both",VLOOKUP($A32,'Personalized Bill Menu'!$H$4:$P$93, 6, FALSE), 0)), 0),0)</f>
        <v>0</v>
      </c>
      <c r="AX32" s="1343">
        <f>IFERROR(IF('Personalized Bill Menu'!$C$37="Custom", IF('Personalized Bill Menu'!$B$34="Natural Gas",VLOOKUP($A32, 'Personalized Bill Menu'!$H$4:$L$93, 3, FALSE), IF('Personalized Bill Menu'!$B$34="Both",VLOOKUP($A32,'Personalized Bill Menu'!$H$4:$P$93, 7, FALSE), 0)), 0),0)</f>
        <v>0</v>
      </c>
      <c r="AY32" s="1344">
        <f>IFERROR(IF('Personalized Bill Menu'!$C$37="Custom", IF('Personalized Bill Menu'!$B$34="Natural Gas",VLOOKUP($A32, 'Personalized Bill Menu'!$H$4:$L$93, 4, FALSE), IF('Personalized Bill Menu'!$B$34="Both",VLOOKUP($A32,'Personalized Bill Menu'!$H$4:$P$93, 8, FALSE), 0)), 0),0)</f>
        <v>0</v>
      </c>
      <c r="AZ32" s="335"/>
      <c r="BA32" s="335"/>
      <c r="BB32" s="335"/>
    </row>
    <row r="33" spans="1:54" x14ac:dyDescent="0.35">
      <c r="A33" s="427">
        <v>41699</v>
      </c>
      <c r="B33" s="85">
        <f t="shared" si="9"/>
        <v>31</v>
      </c>
      <c r="C33" s="1581">
        <f t="shared" si="10"/>
        <v>19.519543370436985</v>
      </c>
      <c r="D33" s="66">
        <f t="shared" si="11"/>
        <v>13.821981558999692</v>
      </c>
      <c r="E33" s="66">
        <f>(1+$AQ33)*IF(OR('Service Zone Menu'!$X$3="Fort McMurray",AND('Service Zone Menu'!$X$3="Spruce Grove", $A33&lt;DATE(2019, 5, 1))),((((1+$T33)*($P33+$N33)))+($U33*$P33)+((1+$T33+$U33)*($Y33+$Z33+$AA33+$AB33)) + $AO33),($N33+((1+$T33+$U33)*$P33)+((1+$T33+$U33)*($Y33+$Z33+$AA33+$AB33)) + $AO33))</f>
        <v>11.447383500000001</v>
      </c>
      <c r="F33" s="400">
        <f t="shared" si="12"/>
        <v>269.79876850627471</v>
      </c>
      <c r="G33" s="115">
        <f t="shared" si="13"/>
        <v>176.14435937482332</v>
      </c>
      <c r="H33" s="66">
        <f t="shared" si="0"/>
        <v>42.732595609608715</v>
      </c>
      <c r="I33" s="66">
        <f t="shared" si="1"/>
        <v>19.996074308892005</v>
      </c>
      <c r="J33" s="66">
        <f t="shared" si="14"/>
        <v>11.165178807889955</v>
      </c>
      <c r="K33" s="66">
        <f t="shared" si="15"/>
        <v>6.9130000000000003</v>
      </c>
      <c r="L33" s="66">
        <f t="shared" si="16"/>
        <v>0</v>
      </c>
      <c r="M33" s="68">
        <f t="shared" si="17"/>
        <v>12.847560405060703</v>
      </c>
      <c r="N33" s="273">
        <f>IF($I$2="DRT",VLOOKUP(A33,'Misc. Data &amp; Mechanisms'!$A$1381:$D$1471,2,FALSE),AX33)</f>
        <v>9.0239999999999991</v>
      </c>
      <c r="O33" s="338">
        <f t="shared" si="18"/>
        <v>176.14435937482332</v>
      </c>
      <c r="P33" s="387">
        <v>0.79800000000000004</v>
      </c>
      <c r="Q33" s="278">
        <v>0.876</v>
      </c>
      <c r="R33" s="338">
        <f t="shared" si="2"/>
        <v>15.576595609608715</v>
      </c>
      <c r="S33" s="338">
        <f t="shared" si="3"/>
        <v>27.155999999999999</v>
      </c>
      <c r="T33" s="391">
        <f>VLOOKUP($A33,'Misc. Data &amp; Mechanisms'!$A$63:$DY$152,HLOOKUP('Service Zone Menu'!$X$3&amp;"_ATCO-N_NG_Y_1",'Misc. Data &amp; Mechanisms'!$A$55:$DY$62,8,FALSE), FALSE)</f>
        <v>0.32900000000000001</v>
      </c>
      <c r="U33" s="205">
        <f>VLOOKUP($A33,'Misc. Data &amp; Mechanisms'!$A$63:$DY$152,HLOOKUP('Service Zone Menu'!$X$3&amp;"_ATCO-N_NG_Y_2",'Misc. Data &amp; Mechanisms'!$A$55:$DY$62,8,FALSE), FALSE)</f>
        <v>4.2000000000000003E-2</v>
      </c>
      <c r="V33" s="425">
        <f>IF(OR('Service Zone Menu'!$X$3="Fort McMurray",AND('Service Zone Menu'!$X$3="Spruce Grove", $A33&lt;DATE(2019, 5, 1))),$T33*($G33+$H33+$J33), $T33*($H33+$J33))</f>
        <v>17.732367783357063</v>
      </c>
      <c r="W33" s="338">
        <f t="shared" si="19"/>
        <v>2.263706525534944</v>
      </c>
      <c r="X33" s="426"/>
      <c r="Y33" s="386"/>
      <c r="Z33" s="386"/>
      <c r="AA33" s="278">
        <v>0.57199999999999995</v>
      </c>
      <c r="AB33" s="278"/>
      <c r="AC33" s="278"/>
      <c r="AD33" s="278"/>
      <c r="AE33" s="278"/>
      <c r="AF33" s="425">
        <f t="shared" si="4"/>
        <v>0</v>
      </c>
      <c r="AG33" s="425">
        <f t="shared" si="5"/>
        <v>0</v>
      </c>
      <c r="AH33" s="425">
        <f t="shared" si="6"/>
        <v>11.165178807889955</v>
      </c>
      <c r="AI33" s="425">
        <f t="shared" si="7"/>
        <v>0</v>
      </c>
      <c r="AJ33" s="425">
        <f t="shared" si="20"/>
        <v>0</v>
      </c>
      <c r="AK33" s="425">
        <f t="shared" si="21"/>
        <v>0</v>
      </c>
      <c r="AL33" s="425">
        <f t="shared" si="22"/>
        <v>0</v>
      </c>
      <c r="AM33" s="200">
        <f>IF($I$2="DRT",VLOOKUP(A33,'Misc. Data &amp; Mechanisms'!$A$1483:$H$1574,6,FALSE),AY33)</f>
        <v>0.223</v>
      </c>
      <c r="AN33" s="333">
        <f t="shared" si="23"/>
        <v>6.9130000000000003</v>
      </c>
      <c r="AO33" s="296"/>
      <c r="AP33" s="333">
        <f t="shared" si="8"/>
        <v>0</v>
      </c>
      <c r="AQ33" s="340">
        <f>5%</f>
        <v>0.05</v>
      </c>
      <c r="AR33" s="341">
        <f>'Misc. Data &amp; Mechanisms'!AL306</f>
        <v>19.768895877655474</v>
      </c>
      <c r="AS33" s="424">
        <f>'Misc. Data &amp; Mechanisms'!AQ306</f>
        <v>20.128310686777613</v>
      </c>
      <c r="AT33" s="424">
        <f>'Misc. Data &amp; Mechanisms'!W306</f>
        <v>19.519543370436985</v>
      </c>
      <c r="AU33" s="424">
        <f>'Misc. Data &amp; Mechanisms'!X306</f>
        <v>12.466641325659188</v>
      </c>
      <c r="AV33" s="1460">
        <f>'Misc. Data &amp; Mechanisms'!$B$260</f>
        <v>10.198990303636064</v>
      </c>
      <c r="AW33" s="197">
        <f>IFERROR(IF('Personalized Bill Menu'!$B$30="Yes", IF('Personalized Bill Menu'!$B$34="Natural Gas",VLOOKUP($A33, 'Personalized Bill Menu'!$H$4:$L$93, 2, FALSE), IF('Personalized Bill Menu'!$B$34="Both",VLOOKUP($A33,'Personalized Bill Menu'!$H$4:$P$93, 6, FALSE), 0)), 0),0)</f>
        <v>0</v>
      </c>
      <c r="AX33" s="1343">
        <f>IFERROR(IF('Personalized Bill Menu'!$C$37="Custom", IF('Personalized Bill Menu'!$B$34="Natural Gas",VLOOKUP($A33, 'Personalized Bill Menu'!$H$4:$L$93, 3, FALSE), IF('Personalized Bill Menu'!$B$34="Both",VLOOKUP($A33,'Personalized Bill Menu'!$H$4:$P$93, 7, FALSE), 0)), 0),0)</f>
        <v>0</v>
      </c>
      <c r="AY33" s="1344">
        <f>IFERROR(IF('Personalized Bill Menu'!$C$37="Custom", IF('Personalized Bill Menu'!$B$34="Natural Gas",VLOOKUP($A33, 'Personalized Bill Menu'!$H$4:$L$93, 4, FALSE), IF('Personalized Bill Menu'!$B$34="Both",VLOOKUP($A33,'Personalized Bill Menu'!$H$4:$P$93, 8, FALSE), 0)), 0),0)</f>
        <v>0</v>
      </c>
      <c r="AZ33" s="335"/>
      <c r="BA33" s="335"/>
      <c r="BB33" s="335"/>
    </row>
    <row r="34" spans="1:54" x14ac:dyDescent="0.35">
      <c r="A34" s="427">
        <v>41730</v>
      </c>
      <c r="B34" s="85">
        <f t="shared" si="9"/>
        <v>30</v>
      </c>
      <c r="C34" s="1581">
        <f t="shared" si="10"/>
        <v>10.895873620143991</v>
      </c>
      <c r="D34" s="66">
        <f t="shared" si="11"/>
        <v>11.81092427364103</v>
      </c>
      <c r="E34" s="66">
        <f>(1+$AQ34)*IF(OR('Service Zone Menu'!$X$3="Fort McMurray",AND('Service Zone Menu'!$X$3="Spruce Grove", $A34&lt;DATE(2019, 5, 1))),((((1+$T34)*($P34+$N34)))+($U34*$P34)+((1+$T34+$U34)*($Y34+$Z34+$AA34+$AB34)) + $AO34),($N34+((1+$T34+$U34)*$P34)+((1+$T34+$U34)*($Y34+$Z34+$AA34+$AB34)) + $AO34))</f>
        <v>7.6941480000000011</v>
      </c>
      <c r="F34" s="400">
        <f t="shared" si="12"/>
        <v>128.69033822268364</v>
      </c>
      <c r="G34" s="115">
        <f t="shared" si="13"/>
        <v>56.53868821492717</v>
      </c>
      <c r="H34" s="66">
        <f t="shared" si="0"/>
        <v>34.974907148874905</v>
      </c>
      <c r="I34" s="66">
        <f t="shared" si="1"/>
        <v>16.055975816394536</v>
      </c>
      <c r="J34" s="66">
        <f t="shared" si="14"/>
        <v>8.3026556985497209</v>
      </c>
      <c r="K34" s="66">
        <f t="shared" si="15"/>
        <v>6.69</v>
      </c>
      <c r="L34" s="66">
        <f t="shared" si="16"/>
        <v>0</v>
      </c>
      <c r="M34" s="68">
        <f t="shared" si="17"/>
        <v>6.1281113439373165</v>
      </c>
      <c r="N34" s="273">
        <f>IF($I$2="DRT",VLOOKUP(A34,'Misc. Data &amp; Mechanisms'!$A$1381:$D$1471,2,FALSE),AX34)</f>
        <v>5.1890000000000001</v>
      </c>
      <c r="O34" s="338">
        <f t="shared" si="18"/>
        <v>56.53868821492717</v>
      </c>
      <c r="P34" s="387">
        <v>0.79800000000000004</v>
      </c>
      <c r="Q34" s="278">
        <v>0.876</v>
      </c>
      <c r="R34" s="338">
        <f t="shared" si="2"/>
        <v>8.6949071488749059</v>
      </c>
      <c r="S34" s="338">
        <f t="shared" si="3"/>
        <v>26.28</v>
      </c>
      <c r="T34" s="391">
        <f>VLOOKUP($A34,'Misc. Data &amp; Mechanisms'!$A$63:$DY$152,HLOOKUP('Service Zone Menu'!$X$3&amp;"_ATCO-N_NG_Y_1",'Misc. Data &amp; Mechanisms'!$A$55:$DY$62,8,FALSE), FALSE)</f>
        <v>0.32900000000000001</v>
      </c>
      <c r="U34" s="205">
        <f>VLOOKUP($A34,'Misc. Data &amp; Mechanisms'!$A$63:$DY$152,HLOOKUP('Service Zone Menu'!$X$3&amp;"_ATCO-N_NG_Y_2",'Misc. Data &amp; Mechanisms'!$A$55:$DY$62,8,FALSE), FALSE)</f>
        <v>4.2000000000000003E-2</v>
      </c>
      <c r="V34" s="425">
        <f>IF(OR('Service Zone Menu'!$X$3="Fort McMurray",AND('Service Zone Menu'!$X$3="Spruce Grove", $A34&lt;DATE(2019, 5, 1))),$T34*($G34+$H34+$J34), $T34*($H34+$J34))</f>
        <v>14.238318176802702</v>
      </c>
      <c r="W34" s="338">
        <f t="shared" si="19"/>
        <v>1.8176576395918345</v>
      </c>
      <c r="X34" s="426"/>
      <c r="Y34" s="386"/>
      <c r="Z34" s="278"/>
      <c r="AA34" s="278">
        <v>0.76200000000000001</v>
      </c>
      <c r="AB34" s="278"/>
      <c r="AC34" s="278"/>
      <c r="AD34" s="278"/>
      <c r="AE34" s="278"/>
      <c r="AF34" s="425">
        <f t="shared" si="4"/>
        <v>0</v>
      </c>
      <c r="AG34" s="425">
        <f t="shared" si="5"/>
        <v>0</v>
      </c>
      <c r="AH34" s="425">
        <f t="shared" si="6"/>
        <v>8.3026556985497209</v>
      </c>
      <c r="AI34" s="425">
        <f t="shared" si="7"/>
        <v>0</v>
      </c>
      <c r="AJ34" s="425">
        <f t="shared" si="20"/>
        <v>0</v>
      </c>
      <c r="AK34" s="425">
        <f t="shared" si="21"/>
        <v>0</v>
      </c>
      <c r="AL34" s="425">
        <f t="shared" si="22"/>
        <v>0</v>
      </c>
      <c r="AM34" s="200">
        <f>IF($I$2="DRT",VLOOKUP(A34,'Misc. Data &amp; Mechanisms'!$A$1483:$H$1574,6,FALSE),AY34)</f>
        <v>0.223</v>
      </c>
      <c r="AN34" s="333">
        <f t="shared" si="23"/>
        <v>6.69</v>
      </c>
      <c r="AO34" s="296"/>
      <c r="AP34" s="333">
        <f t="shared" si="8"/>
        <v>0</v>
      </c>
      <c r="AQ34" s="340">
        <f>5%</f>
        <v>0.05</v>
      </c>
      <c r="AR34" s="341">
        <f>'Misc. Data &amp; Mechanisms'!AL307</f>
        <v>11.035063013766464</v>
      </c>
      <c r="AS34" s="424">
        <f>'Misc. Data &amp; Mechanisms'!AQ307</f>
        <v>11.086628204984903</v>
      </c>
      <c r="AT34" s="424">
        <f>'Misc. Data &amp; Mechanisms'!W307</f>
        <v>10.895873620143991</v>
      </c>
      <c r="AU34" s="424">
        <f>'Misc. Data &amp; Mechanisms'!X307</f>
        <v>6.9589203893864404</v>
      </c>
      <c r="AV34" s="1460">
        <f>'Misc. Data &amp; Mechanisms'!$B$260</f>
        <v>10.198990303636064</v>
      </c>
      <c r="AW34" s="197">
        <f>IFERROR(IF('Personalized Bill Menu'!$B$30="Yes", IF('Personalized Bill Menu'!$B$34="Natural Gas",VLOOKUP($A34, 'Personalized Bill Menu'!$H$4:$L$93, 2, FALSE), IF('Personalized Bill Menu'!$B$34="Both",VLOOKUP($A34,'Personalized Bill Menu'!$H$4:$P$93, 6, FALSE), 0)), 0),0)</f>
        <v>0</v>
      </c>
      <c r="AX34" s="1343">
        <f>IFERROR(IF('Personalized Bill Menu'!$C$37="Custom", IF('Personalized Bill Menu'!$B$34="Natural Gas",VLOOKUP($A34, 'Personalized Bill Menu'!$H$4:$L$93, 3, FALSE), IF('Personalized Bill Menu'!$B$34="Both",VLOOKUP($A34,'Personalized Bill Menu'!$H$4:$P$93, 7, FALSE), 0)), 0),0)</f>
        <v>0</v>
      </c>
      <c r="AY34" s="1344">
        <f>IFERROR(IF('Personalized Bill Menu'!$C$37="Custom", IF('Personalized Bill Menu'!$B$34="Natural Gas",VLOOKUP($A34, 'Personalized Bill Menu'!$H$4:$L$93, 4, FALSE), IF('Personalized Bill Menu'!$B$34="Both",VLOOKUP($A34,'Personalized Bill Menu'!$H$4:$P$93, 8, FALSE), 0)), 0),0)</f>
        <v>0</v>
      </c>
      <c r="AZ34" s="335"/>
      <c r="BA34" s="335"/>
      <c r="BB34" s="335"/>
    </row>
    <row r="35" spans="1:54" x14ac:dyDescent="0.35">
      <c r="A35" s="427">
        <v>41760</v>
      </c>
      <c r="B35" s="85">
        <f t="shared" si="9"/>
        <v>31</v>
      </c>
      <c r="C35" s="1581">
        <f t="shared" si="10"/>
        <v>6.6756160898537651</v>
      </c>
      <c r="D35" s="66">
        <f t="shared" si="11"/>
        <v>12.074437637288122</v>
      </c>
      <c r="E35" s="66">
        <f>(1+$AQ35)*IF(OR('Service Zone Menu'!$X$3="Fort McMurray",AND('Service Zone Menu'!$X$3="Spruce Grove", $A35&lt;DATE(2019, 5, 1))),((((1+$T35)*($P35+$N35)))+($U35*$P35)+((1+$T35+$U35)*($Y35+$Z35+$AA35+$AB35)) + $AO35),($N35+((1+$T35+$U35)*$P35)+((1+$T35+$U35)*($Y35+$Z35+$AA35+$AB35)) + $AO35))</f>
        <v>5.1310980000000006</v>
      </c>
      <c r="F35" s="400">
        <f t="shared" si="12"/>
        <v>80.604310167416472</v>
      </c>
      <c r="G35" s="115">
        <f t="shared" si="13"/>
        <v>18.344593014918146</v>
      </c>
      <c r="H35" s="66">
        <f t="shared" si="0"/>
        <v>32.483141639703305</v>
      </c>
      <c r="I35" s="66">
        <f t="shared" si="1"/>
        <v>13.938455568163766</v>
      </c>
      <c r="J35" s="66">
        <f t="shared" si="14"/>
        <v>5.0868194604685693</v>
      </c>
      <c r="K35" s="66">
        <f t="shared" si="15"/>
        <v>6.9130000000000003</v>
      </c>
      <c r="L35" s="66">
        <f t="shared" si="16"/>
        <v>0</v>
      </c>
      <c r="M35" s="68">
        <f t="shared" si="17"/>
        <v>3.8383004841626893</v>
      </c>
      <c r="N35" s="273">
        <f>IF($I$2="DRT",VLOOKUP(A35,'Misc. Data &amp; Mechanisms'!$A$1381:$D$1471,2,FALSE),AX35)</f>
        <v>2.7480000000000002</v>
      </c>
      <c r="O35" s="338">
        <f t="shared" si="18"/>
        <v>18.344593014918146</v>
      </c>
      <c r="P35" s="387">
        <v>0.79800000000000004</v>
      </c>
      <c r="Q35" s="278">
        <v>0.876</v>
      </c>
      <c r="R35" s="338">
        <f t="shared" si="2"/>
        <v>5.3271416397033047</v>
      </c>
      <c r="S35" s="338">
        <f t="shared" si="3"/>
        <v>27.155999999999999</v>
      </c>
      <c r="T35" s="391">
        <f>VLOOKUP($A35,'Misc. Data &amp; Mechanisms'!$A$63:$DY$152,HLOOKUP('Service Zone Menu'!$X$3&amp;"_ATCO-N_NG_Y_1",'Misc. Data &amp; Mechanisms'!$A$55:$DY$62,8,FALSE), FALSE)</f>
        <v>0.32900000000000001</v>
      </c>
      <c r="U35" s="205">
        <f>VLOOKUP($A35,'Misc. Data &amp; Mechanisms'!$A$63:$DY$152,HLOOKUP('Service Zone Menu'!$X$3&amp;"_ATCO-N_NG_Y_2",'Misc. Data &amp; Mechanisms'!$A$55:$DY$62,8,FALSE), FALSE)</f>
        <v>4.2000000000000003E-2</v>
      </c>
      <c r="V35" s="425">
        <f>IF(OR('Service Zone Menu'!$X$3="Fort McMurray",AND('Service Zone Menu'!$X$3="Spruce Grove", $A35&lt;DATE(2019, 5, 1))),$T35*($G35+$H35+$J35), $T35*($H35+$J35))</f>
        <v>12.360517201956547</v>
      </c>
      <c r="W35" s="338">
        <f t="shared" si="19"/>
        <v>1.5779383662072188</v>
      </c>
      <c r="X35" s="426"/>
      <c r="Y35" s="386"/>
      <c r="Z35" s="278"/>
      <c r="AA35" s="278">
        <v>0.76200000000000001</v>
      </c>
      <c r="AB35" s="278"/>
      <c r="AC35" s="278"/>
      <c r="AD35" s="278"/>
      <c r="AE35" s="278"/>
      <c r="AF35" s="425">
        <f t="shared" si="4"/>
        <v>0</v>
      </c>
      <c r="AG35" s="425">
        <f t="shared" si="5"/>
        <v>0</v>
      </c>
      <c r="AH35" s="425">
        <f t="shared" si="6"/>
        <v>5.0868194604685693</v>
      </c>
      <c r="AI35" s="425">
        <f t="shared" si="7"/>
        <v>0</v>
      </c>
      <c r="AJ35" s="425">
        <f t="shared" si="20"/>
        <v>0</v>
      </c>
      <c r="AK35" s="425">
        <f t="shared" si="21"/>
        <v>0</v>
      </c>
      <c r="AL35" s="425">
        <f t="shared" si="22"/>
        <v>0</v>
      </c>
      <c r="AM35" s="200">
        <f>IF($I$2="DRT",VLOOKUP(A35,'Misc. Data &amp; Mechanisms'!$A$1483:$H$1574,6,FALSE),AY35)</f>
        <v>0.223</v>
      </c>
      <c r="AN35" s="333">
        <f t="shared" si="23"/>
        <v>6.9130000000000003</v>
      </c>
      <c r="AO35" s="296"/>
      <c r="AP35" s="333">
        <f t="shared" si="8"/>
        <v>0</v>
      </c>
      <c r="AQ35" s="340">
        <f>5%</f>
        <v>0.05</v>
      </c>
      <c r="AR35" s="341">
        <f>'Misc. Data &amp; Mechanisms'!AL308</f>
        <v>6.7608937819412853</v>
      </c>
      <c r="AS35" s="424">
        <f>'Misc. Data &amp; Mechanisms'!AQ308</f>
        <v>7.1272528085922717</v>
      </c>
      <c r="AT35" s="424">
        <f>'Misc. Data &amp; Mechanisms'!W308</f>
        <v>6.6756160898537651</v>
      </c>
      <c r="AU35" s="424">
        <f>'Misc. Data &amp; Mechanisms'!X308</f>
        <v>4.2635480677304001</v>
      </c>
      <c r="AV35" s="1460">
        <f>'Misc. Data &amp; Mechanisms'!$B$260</f>
        <v>10.198990303636064</v>
      </c>
      <c r="AW35" s="197">
        <f>IFERROR(IF('Personalized Bill Menu'!$B$30="Yes", IF('Personalized Bill Menu'!$B$34="Natural Gas",VLOOKUP($A35, 'Personalized Bill Menu'!$H$4:$L$93, 2, FALSE), IF('Personalized Bill Menu'!$B$34="Both",VLOOKUP($A35,'Personalized Bill Menu'!$H$4:$P$93, 6, FALSE), 0)), 0),0)</f>
        <v>0</v>
      </c>
      <c r="AX35" s="1343">
        <f>IFERROR(IF('Personalized Bill Menu'!$C$37="Custom", IF('Personalized Bill Menu'!$B$34="Natural Gas",VLOOKUP($A35, 'Personalized Bill Menu'!$H$4:$L$93, 3, FALSE), IF('Personalized Bill Menu'!$B$34="Both",VLOOKUP($A35,'Personalized Bill Menu'!$H$4:$P$93, 7, FALSE), 0)), 0),0)</f>
        <v>0</v>
      </c>
      <c r="AY35" s="1344">
        <f>IFERROR(IF('Personalized Bill Menu'!$C$37="Custom", IF('Personalized Bill Menu'!$B$34="Natural Gas",VLOOKUP($A35, 'Personalized Bill Menu'!$H$4:$L$93, 4, FALSE), IF('Personalized Bill Menu'!$B$34="Both",VLOOKUP($A35,'Personalized Bill Menu'!$H$4:$P$93, 8, FALSE), 0)), 0),0)</f>
        <v>0</v>
      </c>
      <c r="AZ35" s="335"/>
      <c r="BA35" s="335"/>
      <c r="BB35" s="335"/>
    </row>
    <row r="36" spans="1:54" x14ac:dyDescent="0.35">
      <c r="A36" s="427">
        <v>41791</v>
      </c>
      <c r="B36" s="85">
        <f t="shared" si="9"/>
        <v>30</v>
      </c>
      <c r="C36" s="1581">
        <f t="shared" si="10"/>
        <v>3.3957383343880139</v>
      </c>
      <c r="D36" s="66">
        <f t="shared" si="11"/>
        <v>19.494509266715657</v>
      </c>
      <c r="E36" s="66">
        <f>(1+$AQ36)*IF(OR('Service Zone Menu'!$X$3="Fort McMurray",AND('Service Zone Menu'!$X$3="Spruce Grove", $A36&lt;DATE(2019, 5, 1))),((((1+$T36)*($P36+$N36)))+($U36*$P36)+((1+$T36+$U36)*($Y36+$Z36+$AA36+$AB36)) + $AO36),($N36+((1+$T36+$U36)*$P36)+((1+$T36+$U36)*($Y36+$Z36+$AA36+$AB36)) + $AO36))</f>
        <v>6.2850480000000006</v>
      </c>
      <c r="F36" s="400">
        <f t="shared" si="12"/>
        <v>66.198252427068724</v>
      </c>
      <c r="G36" s="115">
        <f t="shared" si="13"/>
        <v>13.063405372390688</v>
      </c>
      <c r="H36" s="66">
        <f t="shared" si="0"/>
        <v>28.989799190841637</v>
      </c>
      <c r="I36" s="66">
        <f t="shared" si="1"/>
        <v>11.71519751841041</v>
      </c>
      <c r="J36" s="66">
        <f t="shared" si="14"/>
        <v>2.5875526108036664</v>
      </c>
      <c r="K36" s="66">
        <f t="shared" si="15"/>
        <v>6.69</v>
      </c>
      <c r="L36" s="66">
        <f t="shared" si="16"/>
        <v>0</v>
      </c>
      <c r="M36" s="68">
        <f t="shared" si="17"/>
        <v>3.1522977346223202</v>
      </c>
      <c r="N36" s="273">
        <f>IF($I$2="DRT",VLOOKUP(A36,'Misc. Data &amp; Mechanisms'!$A$1381:$D$1471,2,FALSE),AX36)</f>
        <v>3.847</v>
      </c>
      <c r="O36" s="338">
        <f t="shared" si="18"/>
        <v>13.063405372390688</v>
      </c>
      <c r="P36" s="387">
        <v>0.79800000000000004</v>
      </c>
      <c r="Q36" s="278">
        <v>0.876</v>
      </c>
      <c r="R36" s="338">
        <f t="shared" si="2"/>
        <v>2.7097991908416352</v>
      </c>
      <c r="S36" s="338">
        <f t="shared" si="3"/>
        <v>26.28</v>
      </c>
      <c r="T36" s="391">
        <f>VLOOKUP($A36,'Misc. Data &amp; Mechanisms'!$A$63:$DY$152,HLOOKUP('Service Zone Menu'!$X$3&amp;"_ATCO-N_NG_Y_1",'Misc. Data &amp; Mechanisms'!$A$55:$DY$62,8,FALSE), FALSE)</f>
        <v>0.32900000000000001</v>
      </c>
      <c r="U36" s="205">
        <f>VLOOKUP($A36,'Misc. Data &amp; Mechanisms'!$A$63:$DY$152,HLOOKUP('Service Zone Menu'!$X$3&amp;"_ATCO-N_NG_Y_2",'Misc. Data &amp; Mechanisms'!$A$55:$DY$62,8,FALSE), FALSE)</f>
        <v>4.2000000000000003E-2</v>
      </c>
      <c r="V36" s="425">
        <f>IF(OR('Service Zone Menu'!$X$3="Fort McMurray",AND('Service Zone Menu'!$X$3="Spruce Grove", $A36&lt;DATE(2019, 5, 1))),$T36*($G36+$H36+$J36), $T36*($H36+$J36))</f>
        <v>10.388948742741306</v>
      </c>
      <c r="W36" s="338">
        <f t="shared" si="19"/>
        <v>1.3262487756691028</v>
      </c>
      <c r="X36" s="426"/>
      <c r="Y36" s="386"/>
      <c r="Z36" s="386"/>
      <c r="AA36" s="278">
        <v>0.76200000000000001</v>
      </c>
      <c r="AB36" s="278"/>
      <c r="AC36" s="278"/>
      <c r="AD36" s="278"/>
      <c r="AE36" s="278"/>
      <c r="AF36" s="425">
        <f t="shared" si="4"/>
        <v>0</v>
      </c>
      <c r="AG36" s="425">
        <f t="shared" si="5"/>
        <v>0</v>
      </c>
      <c r="AH36" s="425">
        <f t="shared" si="6"/>
        <v>2.5875526108036664</v>
      </c>
      <c r="AI36" s="425">
        <f t="shared" si="7"/>
        <v>0</v>
      </c>
      <c r="AJ36" s="425">
        <f t="shared" si="20"/>
        <v>0</v>
      </c>
      <c r="AK36" s="425">
        <f t="shared" si="21"/>
        <v>0</v>
      </c>
      <c r="AL36" s="425">
        <f t="shared" si="22"/>
        <v>0</v>
      </c>
      <c r="AM36" s="200">
        <f>IF($I$2="DRT",VLOOKUP(A36,'Misc. Data &amp; Mechanisms'!$A$1483:$H$1574,6,FALSE),AY36)</f>
        <v>0.223</v>
      </c>
      <c r="AN36" s="333">
        <f t="shared" si="23"/>
        <v>6.69</v>
      </c>
      <c r="AO36" s="296"/>
      <c r="AP36" s="333">
        <f t="shared" si="8"/>
        <v>0</v>
      </c>
      <c r="AQ36" s="340">
        <f>5%</f>
        <v>0.05</v>
      </c>
      <c r="AR36" s="341">
        <f>'Misc. Data &amp; Mechanisms'!AL309</f>
        <v>3.4391172112125608</v>
      </c>
      <c r="AS36" s="424">
        <f>'Misc. Data &amp; Mechanisms'!AQ309</f>
        <v>3.9060212169169208</v>
      </c>
      <c r="AT36" s="424">
        <f>'Misc. Data &amp; Mechanisms'!W309</f>
        <v>3.3957383343880139</v>
      </c>
      <c r="AU36" s="424">
        <f>'Misc. Data &amp; Mechanisms'!X309</f>
        <v>2.1687726524751683</v>
      </c>
      <c r="AV36" s="1460">
        <f>'Misc. Data &amp; Mechanisms'!$B$260</f>
        <v>10.198990303636064</v>
      </c>
      <c r="AW36" s="197">
        <f>IFERROR(IF('Personalized Bill Menu'!$B$30="Yes", IF('Personalized Bill Menu'!$B$34="Natural Gas",VLOOKUP($A36, 'Personalized Bill Menu'!$H$4:$L$93, 2, FALSE), IF('Personalized Bill Menu'!$B$34="Both",VLOOKUP($A36,'Personalized Bill Menu'!$H$4:$P$93, 6, FALSE), 0)), 0),0)</f>
        <v>0</v>
      </c>
      <c r="AX36" s="1343">
        <f>IFERROR(IF('Personalized Bill Menu'!$C$37="Custom", IF('Personalized Bill Menu'!$B$34="Natural Gas",VLOOKUP($A36, 'Personalized Bill Menu'!$H$4:$L$93, 3, FALSE), IF('Personalized Bill Menu'!$B$34="Both",VLOOKUP($A36,'Personalized Bill Menu'!$H$4:$P$93, 7, FALSE), 0)), 0),0)</f>
        <v>0</v>
      </c>
      <c r="AY36" s="1344">
        <f>IFERROR(IF('Personalized Bill Menu'!$C$37="Custom", IF('Personalized Bill Menu'!$B$34="Natural Gas",VLOOKUP($A36, 'Personalized Bill Menu'!$H$4:$L$93, 4, FALSE), IF('Personalized Bill Menu'!$B$34="Both",VLOOKUP($A36,'Personalized Bill Menu'!$H$4:$P$93, 8, FALSE), 0)), 0),0)</f>
        <v>0</v>
      </c>
      <c r="AZ36" s="335"/>
      <c r="BA36" s="335"/>
      <c r="BB36" s="335"/>
    </row>
    <row r="37" spans="1:54" x14ac:dyDescent="0.35">
      <c r="A37" s="427">
        <v>41821</v>
      </c>
      <c r="B37" s="85">
        <f t="shared" si="9"/>
        <v>31</v>
      </c>
      <c r="C37" s="1581">
        <f t="shared" si="10"/>
        <v>2.579392807202586</v>
      </c>
      <c r="D37" s="66">
        <f t="shared" si="11"/>
        <v>26.285508042197232</v>
      </c>
      <c r="E37" s="66">
        <f>(1+$AQ37)*IF(OR('Service Zone Menu'!$X$3="Fort McMurray",AND('Service Zone Menu'!$X$3="Spruce Grove", $A37&lt;DATE(2019, 5, 1))),((((1+$T37)*($P37+$N37)))+($U37*$P37)+((1+$T37+$U37)*($Y37+$Z37+$AA37+$AB37)) + $AO37),($N37+((1+$T37+$U37)*$P37)+((1+$T37+$U37)*($Y37+$Z37+$AA37+$AB37)) + $AO37))</f>
        <v>8.3157479999999993</v>
      </c>
      <c r="F37" s="400">
        <f t="shared" si="12"/>
        <v>67.800650377709275</v>
      </c>
      <c r="G37" s="115">
        <f t="shared" si="13"/>
        <v>14.91146981843815</v>
      </c>
      <c r="H37" s="66">
        <f t="shared" si="0"/>
        <v>29.214355460147662</v>
      </c>
      <c r="I37" s="66">
        <f t="shared" si="1"/>
        <v>11.567725381096569</v>
      </c>
      <c r="J37" s="66">
        <f t="shared" si="14"/>
        <v>1.9654973190883707</v>
      </c>
      <c r="K37" s="66">
        <f t="shared" si="15"/>
        <v>6.9130000000000003</v>
      </c>
      <c r="L37" s="66">
        <f t="shared" si="16"/>
        <v>0</v>
      </c>
      <c r="M37" s="68">
        <f t="shared" si="17"/>
        <v>3.2286023989385373</v>
      </c>
      <c r="N37" s="273">
        <f>IF($I$2="DRT",VLOOKUP(A37,'Misc. Data &amp; Mechanisms'!$A$1381:$D$1471,2,FALSE),AX37)</f>
        <v>5.7809999999999997</v>
      </c>
      <c r="O37" s="338">
        <f t="shared" si="18"/>
        <v>14.91146981843815</v>
      </c>
      <c r="P37" s="387">
        <v>0.79800000000000004</v>
      </c>
      <c r="Q37" s="278">
        <v>0.876</v>
      </c>
      <c r="R37" s="338">
        <f t="shared" si="2"/>
        <v>2.0583554601476637</v>
      </c>
      <c r="S37" s="338">
        <f t="shared" si="3"/>
        <v>27.155999999999999</v>
      </c>
      <c r="T37" s="391">
        <f>VLOOKUP($A37,'Misc. Data &amp; Mechanisms'!$A$63:$DY$152,HLOOKUP('Service Zone Menu'!$X$3&amp;"_ATCO-N_NG_Y_1",'Misc. Data &amp; Mechanisms'!$A$55:$DY$62,8,FALSE), FALSE)</f>
        <v>0.32900000000000001</v>
      </c>
      <c r="U37" s="205">
        <f>VLOOKUP($A37,'Misc. Data &amp; Mechanisms'!$A$63:$DY$152,HLOOKUP('Service Zone Menu'!$X$3&amp;"_ATCO-N_NG_Y_2",'Misc. Data &amp; Mechanisms'!$A$55:$DY$62,8,FALSE), FALSE)</f>
        <v>4.2000000000000003E-2</v>
      </c>
      <c r="V37" s="425">
        <f>IF(OR('Service Zone Menu'!$X$3="Fort McMurray",AND('Service Zone Menu'!$X$3="Spruce Grove", $A37&lt;DATE(2019, 5, 1))),$T37*($G37+$H37+$J37), $T37*($H37+$J37))</f>
        <v>10.258171564368656</v>
      </c>
      <c r="W37" s="338">
        <f t="shared" si="19"/>
        <v>1.3095538167279135</v>
      </c>
      <c r="X37" s="426"/>
      <c r="Y37" s="386"/>
      <c r="Z37" s="386"/>
      <c r="AA37" s="278">
        <v>0.76200000000000001</v>
      </c>
      <c r="AB37" s="278"/>
      <c r="AC37" s="278"/>
      <c r="AD37" s="278"/>
      <c r="AE37" s="278"/>
      <c r="AF37" s="425">
        <f t="shared" si="4"/>
        <v>0</v>
      </c>
      <c r="AG37" s="425">
        <f t="shared" si="5"/>
        <v>0</v>
      </c>
      <c r="AH37" s="425">
        <f t="shared" si="6"/>
        <v>1.9654973190883707</v>
      </c>
      <c r="AI37" s="425">
        <f t="shared" si="7"/>
        <v>0</v>
      </c>
      <c r="AJ37" s="425">
        <f t="shared" si="20"/>
        <v>0</v>
      </c>
      <c r="AK37" s="425">
        <f t="shared" si="21"/>
        <v>0</v>
      </c>
      <c r="AL37" s="425">
        <f t="shared" si="22"/>
        <v>0</v>
      </c>
      <c r="AM37" s="200">
        <f>IF($I$2="DRT",VLOOKUP(A37,'Misc. Data &amp; Mechanisms'!$A$1483:$H$1574,6,FALSE),AY37)</f>
        <v>0.223</v>
      </c>
      <c r="AN37" s="333">
        <f t="shared" si="23"/>
        <v>6.9130000000000003</v>
      </c>
      <c r="AO37" s="296"/>
      <c r="AP37" s="333">
        <f t="shared" si="8"/>
        <v>0</v>
      </c>
      <c r="AQ37" s="340">
        <f>5%</f>
        <v>0.05</v>
      </c>
      <c r="AR37" s="341">
        <f>'Misc. Data &amp; Mechanisms'!AL310</f>
        <v>2.6123432738898047</v>
      </c>
      <c r="AS37" s="424">
        <f>'Misc. Data &amp; Mechanisms'!AQ310</f>
        <v>2.6354727480723614</v>
      </c>
      <c r="AT37" s="424">
        <f>'Misc. Data &amp; Mechanisms'!W310</f>
        <v>2.579392807202586</v>
      </c>
      <c r="AU37" s="424">
        <f>'Misc. Data &amp; Mechanisms'!X310</f>
        <v>1.647393299890495</v>
      </c>
      <c r="AV37" s="1460">
        <f>'Misc. Data &amp; Mechanisms'!$B$260</f>
        <v>10.198990303636064</v>
      </c>
      <c r="AW37" s="197">
        <f>IFERROR(IF('Personalized Bill Menu'!$B$30="Yes", IF('Personalized Bill Menu'!$B$34="Natural Gas",VLOOKUP($A37, 'Personalized Bill Menu'!$H$4:$L$93, 2, FALSE), IF('Personalized Bill Menu'!$B$34="Both",VLOOKUP($A37,'Personalized Bill Menu'!$H$4:$P$93, 6, FALSE), 0)), 0),0)</f>
        <v>0</v>
      </c>
      <c r="AX37" s="1343">
        <f>IFERROR(IF('Personalized Bill Menu'!$C$37="Custom", IF('Personalized Bill Menu'!$B$34="Natural Gas",VLOOKUP($A37, 'Personalized Bill Menu'!$H$4:$L$93, 3, FALSE), IF('Personalized Bill Menu'!$B$34="Both",VLOOKUP($A37,'Personalized Bill Menu'!$H$4:$P$93, 7, FALSE), 0)), 0),0)</f>
        <v>0</v>
      </c>
      <c r="AY37" s="1344">
        <f>IFERROR(IF('Personalized Bill Menu'!$C$37="Custom", IF('Personalized Bill Menu'!$B$34="Natural Gas",VLOOKUP($A37, 'Personalized Bill Menu'!$H$4:$L$93, 4, FALSE), IF('Personalized Bill Menu'!$B$34="Both",VLOOKUP($A37,'Personalized Bill Menu'!$H$4:$P$93, 8, FALSE), 0)), 0),0)</f>
        <v>0</v>
      </c>
      <c r="AZ37" s="335"/>
      <c r="BA37" s="335"/>
      <c r="BB37" s="335"/>
    </row>
    <row r="38" spans="1:54" x14ac:dyDescent="0.35">
      <c r="A38" s="427">
        <v>41852</v>
      </c>
      <c r="B38" s="85">
        <f t="shared" si="9"/>
        <v>31</v>
      </c>
      <c r="C38" s="1581">
        <f t="shared" si="10"/>
        <v>2.697764210813121</v>
      </c>
      <c r="D38" s="66">
        <f t="shared" si="11"/>
        <v>23.168138201054866</v>
      </c>
      <c r="E38" s="66">
        <f>(1+$AQ38)*IF(OR('Service Zone Menu'!$X$3="Fort McMurray",AND('Service Zone Menu'!$X$3="Spruce Grove", $A38&lt;DATE(2019, 5, 1))),((((1+$T38)*($P38+$N38)))+($U38*$P38)+((1+$T38+$U38)*($Y38+$Z38+$AA38+$AB38)) + $AO38),($N38+((1+$T38+$U38)*$P38)+((1+$T38+$U38)*($Y38+$Z38+$AA38+$AB38)) + $AO38))</f>
        <v>5.9868480000000002</v>
      </c>
      <c r="F38" s="400">
        <f t="shared" si="12"/>
        <v>62.502174069978103</v>
      </c>
      <c r="G38" s="115">
        <f t="shared" si="13"/>
        <v>9.6121338831271501</v>
      </c>
      <c r="H38" s="66">
        <f t="shared" si="0"/>
        <v>29.308815840228871</v>
      </c>
      <c r="I38" s="66">
        <f t="shared" si="1"/>
        <v>11.636234014650203</v>
      </c>
      <c r="J38" s="66">
        <f t="shared" si="14"/>
        <v>2.0556963286395984</v>
      </c>
      <c r="K38" s="66">
        <f t="shared" si="15"/>
        <v>6.9130000000000003</v>
      </c>
      <c r="L38" s="66">
        <f t="shared" si="16"/>
        <v>0</v>
      </c>
      <c r="M38" s="68">
        <f t="shared" si="17"/>
        <v>2.9762940033322907</v>
      </c>
      <c r="N38" s="273">
        <f>IF($I$2="DRT",VLOOKUP(A38,'Misc. Data &amp; Mechanisms'!$A$1381:$D$1471,2,FALSE),AX38)</f>
        <v>3.5630000000000002</v>
      </c>
      <c r="O38" s="338">
        <f t="shared" si="18"/>
        <v>9.6121338831271501</v>
      </c>
      <c r="P38" s="387">
        <v>0.79800000000000004</v>
      </c>
      <c r="Q38" s="278">
        <v>0.876</v>
      </c>
      <c r="R38" s="338">
        <f t="shared" si="2"/>
        <v>2.1528158402288708</v>
      </c>
      <c r="S38" s="338">
        <f t="shared" si="3"/>
        <v>27.155999999999999</v>
      </c>
      <c r="T38" s="391">
        <f>VLOOKUP($A38,'Misc. Data &amp; Mechanisms'!$A$63:$DY$152,HLOOKUP('Service Zone Menu'!$X$3&amp;"_ATCO-N_NG_Y_1",'Misc. Data &amp; Mechanisms'!$A$55:$DY$62,8,FALSE), FALSE)</f>
        <v>0.32900000000000001</v>
      </c>
      <c r="U38" s="205">
        <f>VLOOKUP($A38,'Misc. Data &amp; Mechanisms'!$A$63:$DY$152,HLOOKUP('Service Zone Menu'!$X$3&amp;"_ATCO-N_NG_Y_2",'Misc. Data &amp; Mechanisms'!$A$55:$DY$62,8,FALSE), FALSE)</f>
        <v>4.2000000000000003E-2</v>
      </c>
      <c r="V38" s="425">
        <f>IF(OR('Service Zone Menu'!$X$3="Fort McMurray",AND('Service Zone Menu'!$X$3="Spruce Grove", $A38&lt;DATE(2019, 5, 1))),$T38*($G38+$H38+$J38), $T38*($H38+$J38))</f>
        <v>10.318924503557726</v>
      </c>
      <c r="W38" s="338">
        <f t="shared" si="19"/>
        <v>1.3173095110924757</v>
      </c>
      <c r="X38" s="426"/>
      <c r="Y38" s="386"/>
      <c r="Z38" s="386"/>
      <c r="AA38" s="278">
        <v>0.76200000000000001</v>
      </c>
      <c r="AB38" s="386"/>
      <c r="AC38" s="386"/>
      <c r="AD38" s="386"/>
      <c r="AE38" s="386"/>
      <c r="AF38" s="425">
        <f t="shared" si="4"/>
        <v>0</v>
      </c>
      <c r="AG38" s="425">
        <f t="shared" si="5"/>
        <v>0</v>
      </c>
      <c r="AH38" s="425">
        <f t="shared" si="6"/>
        <v>2.0556963286395984</v>
      </c>
      <c r="AI38" s="425">
        <f t="shared" si="7"/>
        <v>0</v>
      </c>
      <c r="AJ38" s="425">
        <f t="shared" si="20"/>
        <v>0</v>
      </c>
      <c r="AK38" s="425">
        <f t="shared" si="21"/>
        <v>0</v>
      </c>
      <c r="AL38" s="425">
        <f t="shared" si="22"/>
        <v>0</v>
      </c>
      <c r="AM38" s="200">
        <f>IF($I$2="DRT",VLOOKUP(A38,'Misc. Data &amp; Mechanisms'!$A$1483:$H$1574,6,FALSE),AY38)</f>
        <v>0.223</v>
      </c>
      <c r="AN38" s="333">
        <f t="shared" si="23"/>
        <v>6.9130000000000003</v>
      </c>
      <c r="AO38" s="296"/>
      <c r="AP38" s="333">
        <f t="shared" si="8"/>
        <v>0</v>
      </c>
      <c r="AQ38" s="340">
        <f>5%</f>
        <v>0.05</v>
      </c>
      <c r="AR38" s="341">
        <f>'Misc. Data &amp; Mechanisms'!AL311</f>
        <v>2.7322268136048122</v>
      </c>
      <c r="AS38" s="424">
        <f>'Misc. Data &amp; Mechanisms'!AQ311</f>
        <v>2.965956936091811</v>
      </c>
      <c r="AT38" s="424">
        <f>'Misc. Data &amp; Mechanisms'!W311</f>
        <v>2.697764210813121</v>
      </c>
      <c r="AU38" s="424">
        <f>'Misc. Data &amp; Mechanisms'!X311</f>
        <v>1.7229941376776312</v>
      </c>
      <c r="AV38" s="1460">
        <f>'Misc. Data &amp; Mechanisms'!$B$260</f>
        <v>10.198990303636064</v>
      </c>
      <c r="AW38" s="197">
        <f>IFERROR(IF('Personalized Bill Menu'!$B$30="Yes", IF('Personalized Bill Menu'!$B$34="Natural Gas",VLOOKUP($A38, 'Personalized Bill Menu'!$H$4:$L$93, 2, FALSE), IF('Personalized Bill Menu'!$B$34="Both",VLOOKUP($A38,'Personalized Bill Menu'!$H$4:$P$93, 6, FALSE), 0)), 0),0)</f>
        <v>0</v>
      </c>
      <c r="AX38" s="1343">
        <f>IFERROR(IF('Personalized Bill Menu'!$C$37="Custom", IF('Personalized Bill Menu'!$B$34="Natural Gas",VLOOKUP($A38, 'Personalized Bill Menu'!$H$4:$L$93, 3, FALSE), IF('Personalized Bill Menu'!$B$34="Both",VLOOKUP($A38,'Personalized Bill Menu'!$H$4:$P$93, 7, FALSE), 0)), 0),0)</f>
        <v>0</v>
      </c>
      <c r="AY38" s="1344">
        <f>IFERROR(IF('Personalized Bill Menu'!$C$37="Custom", IF('Personalized Bill Menu'!$B$34="Natural Gas",VLOOKUP($A38, 'Personalized Bill Menu'!$H$4:$L$93, 4, FALSE), IF('Personalized Bill Menu'!$B$34="Both",VLOOKUP($A38,'Personalized Bill Menu'!$H$4:$P$93, 8, FALSE), 0)), 0),0)</f>
        <v>0</v>
      </c>
      <c r="AZ38" s="335"/>
      <c r="BA38" s="335"/>
      <c r="BB38" s="335"/>
    </row>
    <row r="39" spans="1:54" x14ac:dyDescent="0.35">
      <c r="A39" s="427">
        <v>41883</v>
      </c>
      <c r="B39" s="85">
        <f t="shared" si="9"/>
        <v>30</v>
      </c>
      <c r="C39" s="1581">
        <f t="shared" si="10"/>
        <v>5.4730342908115253</v>
      </c>
      <c r="D39" s="66">
        <f t="shared" si="11"/>
        <v>13.958994265210119</v>
      </c>
      <c r="E39" s="66">
        <f>(1+$AQ39)*IF(OR('Service Zone Menu'!$X$3="Fort McMurray",AND('Service Zone Menu'!$X$3="Spruce Grove", $A39&lt;DATE(2019, 5, 1))),((((1+$T39)*($P39+$N39)))+($U39*$P39)+((1+$T39+$U39)*($Y39+$Z39+$AA39+$AB39)) + $AO39),($N39+((1+$T39+$U39)*$P39)+((1+$T39+$U39)*($Y39+$Z39+$AA39+$AB39)) + $AO39))</f>
        <v>5.763198</v>
      </c>
      <c r="F39" s="400">
        <f t="shared" si="12"/>
        <v>76.39805427873641</v>
      </c>
      <c r="G39" s="115">
        <f t="shared" si="13"/>
        <v>18.33466487421861</v>
      </c>
      <c r="H39" s="66">
        <f t="shared" si="0"/>
        <v>30.647481364067598</v>
      </c>
      <c r="I39" s="66">
        <f t="shared" si="1"/>
        <v>12.917453326150079</v>
      </c>
      <c r="J39" s="66">
        <f t="shared" si="14"/>
        <v>4.1704521295983827</v>
      </c>
      <c r="K39" s="66">
        <f t="shared" si="15"/>
        <v>6.69</v>
      </c>
      <c r="L39" s="66">
        <f t="shared" si="16"/>
        <v>0</v>
      </c>
      <c r="M39" s="68">
        <f t="shared" si="17"/>
        <v>3.6380025847017339</v>
      </c>
      <c r="N39" s="273">
        <f>IF($I$2="DRT",VLOOKUP(A39,'Misc. Data &amp; Mechanisms'!$A$1381:$D$1471,2,FALSE),AX39)</f>
        <v>3.35</v>
      </c>
      <c r="O39" s="338">
        <f t="shared" si="18"/>
        <v>18.33466487421861</v>
      </c>
      <c r="P39" s="387">
        <v>0.79800000000000004</v>
      </c>
      <c r="Q39" s="278">
        <v>0.876</v>
      </c>
      <c r="R39" s="338">
        <f t="shared" ref="R39:R96" si="24">$P39*$C39</f>
        <v>4.3674813640675971</v>
      </c>
      <c r="S39" s="338">
        <f t="shared" ref="S39:S96" si="25">$Q39*$B39</f>
        <v>26.28</v>
      </c>
      <c r="T39" s="391">
        <f>VLOOKUP($A39,'Misc. Data &amp; Mechanisms'!$A$63:$DY$152,HLOOKUP('Service Zone Menu'!$X$3&amp;"_ATCO-N_NG_Y_1",'Misc. Data &amp; Mechanisms'!$A$55:$DY$62,8,FALSE), FALSE)</f>
        <v>0.32900000000000001</v>
      </c>
      <c r="U39" s="205">
        <f>VLOOKUP($A39,'Misc. Data &amp; Mechanisms'!$A$63:$DY$152,HLOOKUP('Service Zone Menu'!$X$3&amp;"_ATCO-N_NG_Y_2",'Misc. Data &amp; Mechanisms'!$A$55:$DY$62,8,FALSE), FALSE)</f>
        <v>4.2000000000000003E-2</v>
      </c>
      <c r="V39" s="425">
        <f>IF(OR('Service Zone Menu'!$X$3="Fort McMurray",AND('Service Zone Menu'!$X$3="Spruce Grove", $A39&lt;DATE(2019, 5, 1))),$T39*($G39+$H39+$J39), $T39*($H39+$J39))</f>
        <v>11.455100119416109</v>
      </c>
      <c r="W39" s="338">
        <f t="shared" ref="W39:W96" si="26">$U39*($H39+$J39)</f>
        <v>1.4623532067339713</v>
      </c>
      <c r="X39" s="426"/>
      <c r="Y39" s="386"/>
      <c r="Z39" s="386"/>
      <c r="AA39" s="278">
        <v>0.76200000000000001</v>
      </c>
      <c r="AB39" s="386"/>
      <c r="AC39" s="386"/>
      <c r="AD39" s="386"/>
      <c r="AE39" s="386"/>
      <c r="AF39" s="425">
        <f t="shared" ref="AF39:AF96" si="27">($X39*$B39) +($Y39*$C39)</f>
        <v>0</v>
      </c>
      <c r="AG39" s="425">
        <f t="shared" ref="AG39:AG96" si="28">$Z39*$C39</f>
        <v>0</v>
      </c>
      <c r="AH39" s="425">
        <f t="shared" ref="AH39:AH96" si="29">$AA39*$C39</f>
        <v>4.1704521295983827</v>
      </c>
      <c r="AI39" s="425">
        <f t="shared" ref="AI39:AI96" si="30">$AB39*$C39</f>
        <v>0</v>
      </c>
      <c r="AJ39" s="425">
        <f t="shared" si="20"/>
        <v>0</v>
      </c>
      <c r="AK39" s="425">
        <f t="shared" si="21"/>
        <v>0</v>
      </c>
      <c r="AL39" s="425">
        <f t="shared" si="22"/>
        <v>0</v>
      </c>
      <c r="AM39" s="200">
        <f>IF($I$2="DRT",VLOOKUP(A39,'Misc. Data &amp; Mechanisms'!$A$1483:$H$1574,6,FALSE),AY39)</f>
        <v>0.223</v>
      </c>
      <c r="AN39" s="333">
        <f t="shared" si="23"/>
        <v>6.69</v>
      </c>
      <c r="AO39" s="296"/>
      <c r="AP39" s="333">
        <f t="shared" ref="AP39:AP70" si="31">AO39*C39</f>
        <v>0</v>
      </c>
      <c r="AQ39" s="340">
        <f>5%</f>
        <v>0.05</v>
      </c>
      <c r="AR39" s="341">
        <f>'Misc. Data &amp; Mechanisms'!AL312</f>
        <v>5.5429495955196018</v>
      </c>
      <c r="AS39" s="424">
        <f>'Misc. Data &amp; Mechanisms'!AQ312</f>
        <v>5.6954044717614627</v>
      </c>
      <c r="AT39" s="424">
        <f>'Misc. Data &amp; Mechanisms'!W312</f>
        <v>5.4730342908115253</v>
      </c>
      <c r="AU39" s="424">
        <f>'Misc. Data &amp; Mechanisms'!X312</f>
        <v>3.4954893243003822</v>
      </c>
      <c r="AV39" s="1460">
        <f>'Misc. Data &amp; Mechanisms'!$B$260</f>
        <v>10.198990303636064</v>
      </c>
      <c r="AW39" s="197">
        <f>IFERROR(IF('Personalized Bill Menu'!$B$30="Yes", IF('Personalized Bill Menu'!$B$34="Natural Gas",VLOOKUP($A39, 'Personalized Bill Menu'!$H$4:$L$93, 2, FALSE), IF('Personalized Bill Menu'!$B$34="Both",VLOOKUP($A39,'Personalized Bill Menu'!$H$4:$P$93, 6, FALSE), 0)), 0),0)</f>
        <v>0</v>
      </c>
      <c r="AX39" s="1343">
        <f>IFERROR(IF('Personalized Bill Menu'!$C$37="Custom", IF('Personalized Bill Menu'!$B$34="Natural Gas",VLOOKUP($A39, 'Personalized Bill Menu'!$H$4:$L$93, 3, FALSE), IF('Personalized Bill Menu'!$B$34="Both",VLOOKUP($A39,'Personalized Bill Menu'!$H$4:$P$93, 7, FALSE), 0)), 0),0)</f>
        <v>0</v>
      </c>
      <c r="AY39" s="1344">
        <f>IFERROR(IF('Personalized Bill Menu'!$C$37="Custom", IF('Personalized Bill Menu'!$B$34="Natural Gas",VLOOKUP($A39, 'Personalized Bill Menu'!$H$4:$L$93, 4, FALSE), IF('Personalized Bill Menu'!$B$34="Both",VLOOKUP($A39,'Personalized Bill Menu'!$H$4:$P$93, 8, FALSE), 0)), 0),0)</f>
        <v>0</v>
      </c>
      <c r="AZ39" s="335"/>
      <c r="BA39" s="335"/>
      <c r="BB39" s="335"/>
    </row>
    <row r="40" spans="1:54" x14ac:dyDescent="0.35">
      <c r="A40" s="427">
        <v>41913</v>
      </c>
      <c r="B40" s="85">
        <f t="shared" si="9"/>
        <v>31</v>
      </c>
      <c r="C40" s="1581">
        <f t="shared" si="10"/>
        <v>8.567880682561519</v>
      </c>
      <c r="D40" s="66">
        <f t="shared" si="11"/>
        <v>12.274010162922796</v>
      </c>
      <c r="E40" s="66">
        <f>(1+$AQ40)*IF(OR('Service Zone Menu'!$X$3="Fort McMurray",AND('Service Zone Menu'!$X$3="Spruce Grove", $A40&lt;DATE(2019, 5, 1))),((((1+$T40)*($P40+$N40)))+($U40*$P40)+((1+$T40+$U40)*($Y40+$Z40+$AA40+$AB40)) + $AO40),($N40+((1+$T40+$U40)*$P40)+((1+$T40+$U40)*($Y40+$Z40+$AA40+$AB40)) + $AO40))</f>
        <v>6.8641460999999993</v>
      </c>
      <c r="F40" s="400">
        <f t="shared" si="12"/>
        <v>105.16225457246999</v>
      </c>
      <c r="G40" s="115">
        <f t="shared" si="13"/>
        <v>35.54813695194774</v>
      </c>
      <c r="H40" s="66">
        <f t="shared" si="0"/>
        <v>33.993168784684094</v>
      </c>
      <c r="I40" s="66">
        <f t="shared" si="1"/>
        <v>15.612143063287224</v>
      </c>
      <c r="J40" s="66">
        <f t="shared" si="14"/>
        <v>8.0880793643380731</v>
      </c>
      <c r="K40" s="66">
        <f t="shared" si="15"/>
        <v>6.9130000000000003</v>
      </c>
      <c r="L40" s="66">
        <f t="shared" si="16"/>
        <v>0</v>
      </c>
      <c r="M40" s="68">
        <f t="shared" si="17"/>
        <v>5.0077264082128572</v>
      </c>
      <c r="N40" s="273">
        <f>IF($I$2="DRT",VLOOKUP(A40,'Misc. Data &amp; Mechanisms'!$A$1381:$D$1471,2,FALSE),AX40)</f>
        <v>4.149</v>
      </c>
      <c r="O40" s="333">
        <f t="shared" si="18"/>
        <v>35.54813695194774</v>
      </c>
      <c r="P40" s="387">
        <v>0.79800000000000004</v>
      </c>
      <c r="Q40" s="278">
        <v>0.876</v>
      </c>
      <c r="R40" s="338">
        <f t="shared" si="24"/>
        <v>6.8371687846840929</v>
      </c>
      <c r="S40" s="338">
        <f t="shared" si="25"/>
        <v>27.155999999999999</v>
      </c>
      <c r="T40" s="391">
        <f>VLOOKUP($A40,'Misc. Data &amp; Mechanisms'!$A$63:$DY$152,HLOOKUP('Service Zone Menu'!$X$3&amp;"_ATCO-N_NG_Y_1",'Misc. Data &amp; Mechanisms'!$A$55:$DY$62,8,FALSE), FALSE)</f>
        <v>0.32900000000000001</v>
      </c>
      <c r="U40" s="205">
        <f>VLOOKUP($A40,'Misc. Data &amp; Mechanisms'!$A$63:$DY$152,HLOOKUP('Service Zone Menu'!$X$3&amp;"_ATCO-N_NG_Y_2",'Misc. Data &amp; Mechanisms'!$A$55:$DY$62,8,FALSE), FALSE)</f>
        <v>4.2000000000000003E-2</v>
      </c>
      <c r="V40" s="425">
        <f>IF(OR('Service Zone Menu'!$X$3="Fort McMurray",AND('Service Zone Menu'!$X$3="Spruce Grove", $A40&lt;DATE(2019, 5, 1))),$T40*($G40+$H40+$J40), $T40*($H40+$J40))</f>
        <v>13.844730641028294</v>
      </c>
      <c r="W40" s="338">
        <f t="shared" si="26"/>
        <v>1.7674124222589311</v>
      </c>
      <c r="X40" s="426"/>
      <c r="Y40" s="386"/>
      <c r="Z40" s="386">
        <v>0.32</v>
      </c>
      <c r="AA40" s="278">
        <v>0.76200000000000001</v>
      </c>
      <c r="AB40" s="386">
        <v>-0.13800000000000001</v>
      </c>
      <c r="AC40" s="386"/>
      <c r="AD40" s="386"/>
      <c r="AE40" s="386"/>
      <c r="AF40" s="425">
        <f t="shared" si="27"/>
        <v>0</v>
      </c>
      <c r="AG40" s="425">
        <f t="shared" si="28"/>
        <v>2.7417218184196863</v>
      </c>
      <c r="AH40" s="425">
        <f t="shared" si="29"/>
        <v>6.5287250801118777</v>
      </c>
      <c r="AI40" s="425">
        <f t="shared" si="30"/>
        <v>-1.1823675341934898</v>
      </c>
      <c r="AJ40" s="425">
        <f t="shared" si="20"/>
        <v>0</v>
      </c>
      <c r="AK40" s="425">
        <f t="shared" si="21"/>
        <v>0</v>
      </c>
      <c r="AL40" s="425">
        <f t="shared" si="22"/>
        <v>0</v>
      </c>
      <c r="AM40" s="200">
        <f>IF($I$2="DRT",VLOOKUP(A40,'Misc. Data &amp; Mechanisms'!$A$1483:$H$1574,6,FALSE),AY40)</f>
        <v>0.223</v>
      </c>
      <c r="AN40" s="333">
        <f t="shared" si="23"/>
        <v>6.9130000000000003</v>
      </c>
      <c r="AO40" s="296"/>
      <c r="AP40" s="333">
        <f t="shared" si="31"/>
        <v>0</v>
      </c>
      <c r="AQ40" s="340">
        <f>5%</f>
        <v>0.05</v>
      </c>
      <c r="AR40" s="341">
        <f>'Misc. Data &amp; Mechanisms'!AL313</f>
        <v>8.6773311184247497</v>
      </c>
      <c r="AS40" s="424">
        <f>'Misc. Data &amp; Mechanisms'!AQ313</f>
        <v>8.5784139376618072</v>
      </c>
      <c r="AT40" s="424">
        <f>'Misc. Data &amp; Mechanisms'!W313</f>
        <v>8.567880682561519</v>
      </c>
      <c r="AU40" s="424">
        <f>'Misc. Data &amp; Mechanisms'!X313</f>
        <v>5.472089862117878</v>
      </c>
      <c r="AV40" s="1460">
        <f>'Misc. Data &amp; Mechanisms'!$B$260</f>
        <v>10.198990303636064</v>
      </c>
      <c r="AW40" s="197">
        <f>IFERROR(IF('Personalized Bill Menu'!$B$30="Yes", IF('Personalized Bill Menu'!$B$34="Natural Gas",VLOOKUP($A40, 'Personalized Bill Menu'!$H$4:$L$93, 2, FALSE), IF('Personalized Bill Menu'!$B$34="Both",VLOOKUP($A40,'Personalized Bill Menu'!$H$4:$P$93, 6, FALSE), 0)), 0),0)</f>
        <v>0</v>
      </c>
      <c r="AX40" s="1343">
        <f>IFERROR(IF('Personalized Bill Menu'!$C$37="Custom", IF('Personalized Bill Menu'!$B$34="Natural Gas",VLOOKUP($A40, 'Personalized Bill Menu'!$H$4:$L$93, 3, FALSE), IF('Personalized Bill Menu'!$B$34="Both",VLOOKUP($A40,'Personalized Bill Menu'!$H$4:$P$93, 7, FALSE), 0)), 0),0)</f>
        <v>0</v>
      </c>
      <c r="AY40" s="1344">
        <f>IFERROR(IF('Personalized Bill Menu'!$C$37="Custom", IF('Personalized Bill Menu'!$B$34="Natural Gas",VLOOKUP($A40, 'Personalized Bill Menu'!$H$4:$L$93, 4, FALSE), IF('Personalized Bill Menu'!$B$34="Both",VLOOKUP($A40,'Personalized Bill Menu'!$H$4:$P$93, 8, FALSE), 0)), 0),0)</f>
        <v>0</v>
      </c>
      <c r="AZ40" s="335"/>
      <c r="BA40" s="335"/>
      <c r="BB40" s="335"/>
    </row>
    <row r="41" spans="1:54" x14ac:dyDescent="0.35">
      <c r="A41" s="427">
        <v>41944</v>
      </c>
      <c r="B41" s="85">
        <f t="shared" si="9"/>
        <v>30</v>
      </c>
      <c r="C41" s="1581">
        <f t="shared" si="10"/>
        <v>16.89065971292866</v>
      </c>
      <c r="D41" s="66">
        <f t="shared" si="11"/>
        <v>9.0176720487797599</v>
      </c>
      <c r="E41" s="66">
        <f>(1+$AQ41)*IF(OR('Service Zone Menu'!$X$3="Fort McMurray",AND('Service Zone Menu'!$X$3="Spruce Grove", $A41&lt;DATE(2019, 5, 1))),((((1+$T41)*($P41+$N41)))+($U41*$P41)+((1+$T41+$U41)*($Y41+$Z41+$AA41+$AB41)) + $AO41),($N41+((1+$T41+$U41)*$P41)+((1+$T41+$U41)*($Y41+$Z41+$AA41+$AB41)) + $AO41))</f>
        <v>6.3722379</v>
      </c>
      <c r="F41" s="400">
        <f t="shared" si="12"/>
        <v>152.31442997872713</v>
      </c>
      <c r="G41" s="115">
        <f t="shared" si="13"/>
        <v>62.258971701855039</v>
      </c>
      <c r="H41" s="66">
        <f t="shared" si="0"/>
        <v>39.758746450917073</v>
      </c>
      <c r="I41" s="66">
        <f t="shared" si="1"/>
        <v>20.596423601576976</v>
      </c>
      <c r="J41" s="66">
        <f t="shared" si="14"/>
        <v>15.757220130152941</v>
      </c>
      <c r="K41" s="66">
        <f t="shared" si="15"/>
        <v>6.69</v>
      </c>
      <c r="L41" s="66">
        <f t="shared" si="16"/>
        <v>0</v>
      </c>
      <c r="M41" s="68">
        <f t="shared" si="17"/>
        <v>7.2530680942251013</v>
      </c>
      <c r="N41" s="273">
        <f>IF($I$2="DRT",VLOOKUP(A41,'Misc. Data &amp; Mechanisms'!$A$1381:$D$1471,2,FALSE),AX41)</f>
        <v>3.6859999999999999</v>
      </c>
      <c r="O41" s="338">
        <f t="shared" si="18"/>
        <v>62.258971701855039</v>
      </c>
      <c r="P41" s="387">
        <v>0.79800000000000004</v>
      </c>
      <c r="Q41" s="278">
        <v>0.876</v>
      </c>
      <c r="R41" s="338">
        <f t="shared" si="24"/>
        <v>13.478746450917072</v>
      </c>
      <c r="S41" s="338">
        <f t="shared" si="25"/>
        <v>26.28</v>
      </c>
      <c r="T41" s="391">
        <f>VLOOKUP($A41,'Misc. Data &amp; Mechanisms'!$A$63:$DY$152,HLOOKUP('Service Zone Menu'!$X$3&amp;"_ATCO-N_NG_Y_1",'Misc. Data &amp; Mechanisms'!$A$55:$DY$62,8,FALSE), FALSE)</f>
        <v>0.32900000000000001</v>
      </c>
      <c r="U41" s="205">
        <f>VLOOKUP($A41,'Misc. Data &amp; Mechanisms'!$A$63:$DY$152,HLOOKUP('Service Zone Menu'!$X$3&amp;"_ATCO-N_NG_Y_2",'Misc. Data &amp; Mechanisms'!$A$55:$DY$62,8,FALSE), FALSE)</f>
        <v>4.2000000000000003E-2</v>
      </c>
      <c r="V41" s="425">
        <f>IF(OR('Service Zone Menu'!$X$3="Fort McMurray",AND('Service Zone Menu'!$X$3="Spruce Grove", $A41&lt;DATE(2019, 5, 1))),$T41*($G41+$H41+$J41), $T41*($H41+$J41))</f>
        <v>18.264753005172036</v>
      </c>
      <c r="W41" s="338">
        <f t="shared" si="26"/>
        <v>2.3316705964049409</v>
      </c>
      <c r="X41" s="426">
        <v>-4.0000000000000001E-3</v>
      </c>
      <c r="Y41" s="386">
        <v>-4.0000000000000001E-3</v>
      </c>
      <c r="Z41" s="386">
        <v>0.32</v>
      </c>
      <c r="AA41" s="278">
        <v>0.76200000000000001</v>
      </c>
      <c r="AB41" s="386">
        <v>-0.13800000000000001</v>
      </c>
      <c r="AC41" s="386"/>
      <c r="AD41" s="386"/>
      <c r="AE41" s="386"/>
      <c r="AF41" s="425">
        <f t="shared" si="27"/>
        <v>-0.18756263885171465</v>
      </c>
      <c r="AG41" s="425">
        <f t="shared" si="28"/>
        <v>5.4050111081371712</v>
      </c>
      <c r="AH41" s="425">
        <f t="shared" si="29"/>
        <v>12.870682701251638</v>
      </c>
      <c r="AI41" s="425">
        <f t="shared" si="30"/>
        <v>-2.3309110403841551</v>
      </c>
      <c r="AJ41" s="425">
        <f t="shared" si="20"/>
        <v>0</v>
      </c>
      <c r="AK41" s="425">
        <f t="shared" si="21"/>
        <v>0</v>
      </c>
      <c r="AL41" s="425">
        <f t="shared" si="22"/>
        <v>0</v>
      </c>
      <c r="AM41" s="200">
        <f>IF($I$2="DRT",VLOOKUP(A41,'Misc. Data &amp; Mechanisms'!$A$1483:$H$1574,6,FALSE),AY41)</f>
        <v>0.223</v>
      </c>
      <c r="AN41" s="333">
        <f t="shared" si="23"/>
        <v>6.69</v>
      </c>
      <c r="AO41" s="296"/>
      <c r="AP41" s="333">
        <f t="shared" si="31"/>
        <v>0</v>
      </c>
      <c r="AQ41" s="340">
        <f>5%</f>
        <v>0.05</v>
      </c>
      <c r="AR41" s="341">
        <f>'Misc. Data &amp; Mechanisms'!AL314</f>
        <v>17.106429532338058</v>
      </c>
      <c r="AS41" s="424">
        <f>'Misc. Data &amp; Mechanisms'!AQ314</f>
        <v>16.907322665594272</v>
      </c>
      <c r="AT41" s="424">
        <f>'Misc. Data &amp; Mechanisms'!W314</f>
        <v>16.89065971292866</v>
      </c>
      <c r="AU41" s="424">
        <f>'Misc. Data &amp; Mechanisms'!X314</f>
        <v>10.787639464648457</v>
      </c>
      <c r="AV41" s="1460">
        <f>'Misc. Data &amp; Mechanisms'!$B$260</f>
        <v>10.198990303636064</v>
      </c>
      <c r="AW41" s="197">
        <f>IFERROR(IF('Personalized Bill Menu'!$B$30="Yes", IF('Personalized Bill Menu'!$B$34="Natural Gas",VLOOKUP($A41, 'Personalized Bill Menu'!$H$4:$L$93, 2, FALSE), IF('Personalized Bill Menu'!$B$34="Both",VLOOKUP($A41,'Personalized Bill Menu'!$H$4:$P$93, 6, FALSE), 0)), 0),0)</f>
        <v>0</v>
      </c>
      <c r="AX41" s="1343">
        <f>IFERROR(IF('Personalized Bill Menu'!$C$37="Custom", IF('Personalized Bill Menu'!$B$34="Natural Gas",VLOOKUP($A41, 'Personalized Bill Menu'!$H$4:$L$93, 3, FALSE), IF('Personalized Bill Menu'!$B$34="Both",VLOOKUP($A41,'Personalized Bill Menu'!$H$4:$P$93, 7, FALSE), 0)), 0),0)</f>
        <v>0</v>
      </c>
      <c r="AY41" s="1344">
        <f>IFERROR(IF('Personalized Bill Menu'!$C$37="Custom", IF('Personalized Bill Menu'!$B$34="Natural Gas",VLOOKUP($A41, 'Personalized Bill Menu'!$H$4:$L$93, 4, FALSE), IF('Personalized Bill Menu'!$B$34="Both",VLOOKUP($A41,'Personalized Bill Menu'!$H$4:$P$93, 8, FALSE), 0)), 0),0)</f>
        <v>0</v>
      </c>
      <c r="AZ41" s="335"/>
      <c r="BA41" s="335"/>
      <c r="BB41" s="335"/>
    </row>
    <row r="42" spans="1:54" x14ac:dyDescent="0.35">
      <c r="A42" s="435">
        <v>41974</v>
      </c>
      <c r="B42" s="436">
        <f t="shared" si="9"/>
        <v>31</v>
      </c>
      <c r="C42" s="231">
        <f t="shared" si="10"/>
        <v>19.021730903674392</v>
      </c>
      <c r="D42" s="344">
        <f t="shared" si="11"/>
        <v>8.8618406842145827</v>
      </c>
      <c r="E42" s="344">
        <f>(1+$AQ42)*IF(OR('Service Zone Menu'!$X$3="Fort McMurray",AND('Service Zone Menu'!$X$3="Spruce Grove", $A42&lt;DATE(2019, 5, 1))),((((1+$T42)*($P42+$N42)))+($U42*$P42)+((1+$T42+$U42)*($Y42+$Z42+$AA42+$AB42)) + $AO42),($N42+((1+$T42+$U42)*$P42)+((1+$T42+$U42)*($Y42+$Z42+$AA42+$AB42)) + $AO42))</f>
        <v>6.4344818999999998</v>
      </c>
      <c r="F42" s="437">
        <f t="shared" si="12"/>
        <v>168.56754880636356</v>
      </c>
      <c r="G42" s="343">
        <f t="shared" si="13"/>
        <v>79.586922100973666</v>
      </c>
      <c r="H42" s="344">
        <f t="shared" si="0"/>
        <v>42.335341261132164</v>
      </c>
      <c r="I42" s="344">
        <f t="shared" si="1"/>
        <v>20.035786150343217</v>
      </c>
      <c r="J42" s="344">
        <f t="shared" si="14"/>
        <v>11.669473160278121</v>
      </c>
      <c r="K42" s="344">
        <f t="shared" si="15"/>
        <v>6.9130000000000003</v>
      </c>
      <c r="L42" s="344">
        <f t="shared" si="16"/>
        <v>0</v>
      </c>
      <c r="M42" s="345">
        <f t="shared" si="17"/>
        <v>8.02702613363636</v>
      </c>
      <c r="N42" s="1243">
        <f>IF($I$2="DRT",VLOOKUP(A42,'Misc. Data &amp; Mechanisms'!$A$1381:$D$1471,2,FALSE),AX42)</f>
        <v>4.1840000000000002</v>
      </c>
      <c r="O42" s="349">
        <f t="shared" si="18"/>
        <v>79.586922100973666</v>
      </c>
      <c r="P42" s="438">
        <v>0.79800000000000004</v>
      </c>
      <c r="Q42" s="283">
        <v>0.876</v>
      </c>
      <c r="R42" s="349">
        <f t="shared" si="24"/>
        <v>15.179341261132166</v>
      </c>
      <c r="S42" s="349">
        <f t="shared" si="25"/>
        <v>27.155999999999999</v>
      </c>
      <c r="T42" s="394">
        <f>VLOOKUP($A42,'Misc. Data &amp; Mechanisms'!$A$63:$DY$152,HLOOKUP('Service Zone Menu'!$X$3&amp;"_ATCO-N_NG_Y_1",'Misc. Data &amp; Mechanisms'!$A$55:$DY$62,8,FALSE), FALSE)</f>
        <v>0.32900000000000001</v>
      </c>
      <c r="U42" s="246">
        <f>VLOOKUP($A42,'Misc. Data &amp; Mechanisms'!$A$63:$DY$152,HLOOKUP('Service Zone Menu'!$X$3&amp;"_ATCO-N_NG_Y_2",'Misc. Data &amp; Mechanisms'!$A$55:$DY$62,8,FALSE), FALSE)</f>
        <v>4.2000000000000003E-2</v>
      </c>
      <c r="V42" s="440">
        <f>IF(OR('Service Zone Menu'!$X$3="Fort McMurray",AND('Service Zone Menu'!$X$3="Spruce Grove", $A42&lt;DATE(2019, 5, 1))),$T42*($G42+$H42+$J42), $T42*($H42+$J42))</f>
        <v>17.767583944643984</v>
      </c>
      <c r="W42" s="349">
        <f t="shared" si="26"/>
        <v>2.2682022056992324</v>
      </c>
      <c r="X42" s="439">
        <v>-4.0000000000000001E-3</v>
      </c>
      <c r="Y42" s="399">
        <v>-4.0000000000000001E-3</v>
      </c>
      <c r="Z42" s="399"/>
      <c r="AA42" s="283">
        <v>0.76200000000000001</v>
      </c>
      <c r="AB42" s="399">
        <v>-0.13800000000000001</v>
      </c>
      <c r="AC42" s="399"/>
      <c r="AD42" s="399"/>
      <c r="AE42" s="399"/>
      <c r="AF42" s="440">
        <f t="shared" si="27"/>
        <v>-0.20008692361469757</v>
      </c>
      <c r="AG42" s="440">
        <f t="shared" si="28"/>
        <v>0</v>
      </c>
      <c r="AH42" s="440">
        <f t="shared" si="29"/>
        <v>14.494558948599886</v>
      </c>
      <c r="AI42" s="440">
        <f t="shared" si="30"/>
        <v>-2.6249988647070661</v>
      </c>
      <c r="AJ42" s="440">
        <f t="shared" si="20"/>
        <v>0</v>
      </c>
      <c r="AK42" s="440">
        <f t="shared" si="21"/>
        <v>0</v>
      </c>
      <c r="AL42" s="440">
        <f t="shared" si="22"/>
        <v>0</v>
      </c>
      <c r="AM42" s="239">
        <f>IF($I$2="DRT",VLOOKUP(A42,'Misc. Data &amp; Mechanisms'!$A$1483:$H$1574,6,FALSE),AY42)</f>
        <v>0.223</v>
      </c>
      <c r="AN42" s="346">
        <f t="shared" si="23"/>
        <v>6.9130000000000003</v>
      </c>
      <c r="AO42" s="1501"/>
      <c r="AP42" s="346">
        <f t="shared" si="31"/>
        <v>0</v>
      </c>
      <c r="AQ42" s="351">
        <f>5%</f>
        <v>0.05</v>
      </c>
      <c r="AR42" s="352">
        <f>'Misc. Data &amp; Mechanisms'!AL315</f>
        <v>19.264724102974856</v>
      </c>
      <c r="AS42" s="441">
        <f>'Misc. Data &amp; Mechanisms'!AQ315</f>
        <v>18.539637816487613</v>
      </c>
      <c r="AT42" s="441">
        <f>'Misc. Data &amp; Mechanisms'!W315</f>
        <v>19.021730903674392</v>
      </c>
      <c r="AU42" s="441">
        <f>'Misc. Data &amp; Mechanisms'!X315</f>
        <v>12.148701025889155</v>
      </c>
      <c r="AV42" s="1461">
        <f>'Misc. Data &amp; Mechanisms'!$B$260</f>
        <v>10.198990303636064</v>
      </c>
      <c r="AW42" s="243">
        <f>IFERROR(IF('Personalized Bill Menu'!$B$30="Yes", IF('Personalized Bill Menu'!$B$34="Natural Gas",VLOOKUP($A42, 'Personalized Bill Menu'!$H$4:$L$93, 2, FALSE), IF('Personalized Bill Menu'!$B$34="Both",VLOOKUP($A42,'Personalized Bill Menu'!$H$4:$P$93, 6, FALSE), 0)), 0),0)</f>
        <v>0</v>
      </c>
      <c r="AX42" s="1345">
        <f>IFERROR(IF('Personalized Bill Menu'!$C$37="Custom", IF('Personalized Bill Menu'!$B$34="Natural Gas",VLOOKUP($A42, 'Personalized Bill Menu'!$H$4:$L$93, 3, FALSE), IF('Personalized Bill Menu'!$B$34="Both",VLOOKUP($A42,'Personalized Bill Menu'!$H$4:$P$93, 7, FALSE), 0)), 0),0)</f>
        <v>0</v>
      </c>
      <c r="AY42" s="1346">
        <f>IFERROR(IF('Personalized Bill Menu'!$C$37="Custom", IF('Personalized Bill Menu'!$B$34="Natural Gas",VLOOKUP($A42, 'Personalized Bill Menu'!$H$4:$L$93, 4, FALSE), IF('Personalized Bill Menu'!$B$34="Both",VLOOKUP($A42,'Personalized Bill Menu'!$H$4:$P$93, 8, FALSE), 0)), 0),0)</f>
        <v>0</v>
      </c>
      <c r="AZ42" s="335"/>
      <c r="BA42" s="335"/>
      <c r="BB42" s="335"/>
    </row>
    <row r="43" spans="1:54" x14ac:dyDescent="0.35">
      <c r="A43" s="428">
        <v>42005</v>
      </c>
      <c r="B43" s="429">
        <f t="shared" si="9"/>
        <v>31</v>
      </c>
      <c r="C43" s="212">
        <f t="shared" si="10"/>
        <v>19.243910195955831</v>
      </c>
      <c r="D43" s="353">
        <f t="shared" si="11"/>
        <v>8.285432902064402</v>
      </c>
      <c r="E43" s="353">
        <f>(1+$AQ43)*IF(OR('Service Zone Menu'!$X$3="Fort McMurray",AND('Service Zone Menu'!$X$3="Spruce Grove", $A43&lt;DATE(2019, 5, 1))),((((1+$T43)*($P43+$N43)))+($U43*$P43)+((1+$T43+$U43)*($Y43+$Z43+$AA43+$AB43)) + $AO43),($N43+((1+$T43+$U43)*$P43)+((1+$T43+$U43)*($Y43+$Z43+$AA43+$AB43)) + $AO43))</f>
        <v>5.69130555</v>
      </c>
      <c r="F43" s="430">
        <f t="shared" si="12"/>
        <v>159.44412670194504</v>
      </c>
      <c r="G43" s="356">
        <f t="shared" si="13"/>
        <v>64.178440503512689</v>
      </c>
      <c r="H43" s="353">
        <f t="shared" si="0"/>
        <v>46.89778744577238</v>
      </c>
      <c r="I43" s="353">
        <f t="shared" si="1"/>
        <v>21.85412132838611</v>
      </c>
      <c r="J43" s="353">
        <f t="shared" si="14"/>
        <v>12.008199962276439</v>
      </c>
      <c r="K43" s="353">
        <f t="shared" si="15"/>
        <v>6.9130000000000003</v>
      </c>
      <c r="L43" s="353">
        <f t="shared" si="16"/>
        <v>0</v>
      </c>
      <c r="M43" s="357">
        <f t="shared" si="17"/>
        <v>7.5925774619973829</v>
      </c>
      <c r="N43" s="273">
        <f>IF($I$2="DRT",VLOOKUP(A43,'Misc. Data &amp; Mechanisms'!$A$1381:$D$1471,2,FALSE),AX43)</f>
        <v>3.335</v>
      </c>
      <c r="O43" s="354">
        <f t="shared" si="18"/>
        <v>64.178440503512689</v>
      </c>
      <c r="P43" s="431">
        <v>0.89700000000000002</v>
      </c>
      <c r="Q43" s="288">
        <v>0.95599999999999996</v>
      </c>
      <c r="R43" s="354">
        <f t="shared" si="24"/>
        <v>17.261787445772381</v>
      </c>
      <c r="S43" s="354">
        <f t="shared" si="25"/>
        <v>29.635999999999999</v>
      </c>
      <c r="T43" s="391">
        <f>VLOOKUP($A43,'Misc. Data &amp; Mechanisms'!$A$63:$DY$152,HLOOKUP('Service Zone Menu'!$X$3&amp;"_ATCO-N_NG_Y_1",'Misc. Data &amp; Mechanisms'!$A$55:$DY$62,8,FALSE), FALSE)</f>
        <v>0.32900000000000001</v>
      </c>
      <c r="U43" s="205">
        <f>VLOOKUP($A43,'Misc. Data &amp; Mechanisms'!$A$63:$DY$152,HLOOKUP('Service Zone Menu'!$X$3&amp;"_ATCO-N_NG_Y_2",'Misc. Data &amp; Mechanisms'!$A$55:$DY$62,8,FALSE), FALSE)</f>
        <v>4.2000000000000003E-2</v>
      </c>
      <c r="V43" s="433">
        <f>IF(OR('Service Zone Menu'!$X$3="Fort McMurray",AND('Service Zone Menu'!$X$3="Spruce Grove", $A43&lt;DATE(2019, 5, 1))),$T43*($G43+$H43+$J43), $T43*($H43+$J43))</f>
        <v>19.38006985724806</v>
      </c>
      <c r="W43" s="354">
        <f t="shared" si="26"/>
        <v>2.4740514711380506</v>
      </c>
      <c r="X43" s="432"/>
      <c r="Y43" s="397"/>
      <c r="Z43" s="397"/>
      <c r="AA43" s="288">
        <v>0.76200000000000001</v>
      </c>
      <c r="AB43" s="288">
        <v>-0.13800000000000001</v>
      </c>
      <c r="AC43" s="288"/>
      <c r="AD43" s="288"/>
      <c r="AE43" s="288"/>
      <c r="AF43" s="433">
        <f t="shared" si="27"/>
        <v>0</v>
      </c>
      <c r="AG43" s="433">
        <f t="shared" si="28"/>
        <v>0</v>
      </c>
      <c r="AH43" s="433">
        <f t="shared" si="29"/>
        <v>14.663859569318344</v>
      </c>
      <c r="AI43" s="433">
        <f t="shared" si="30"/>
        <v>-2.6556596070419047</v>
      </c>
      <c r="AJ43" s="433">
        <f t="shared" si="20"/>
        <v>0</v>
      </c>
      <c r="AK43" s="433">
        <f t="shared" si="21"/>
        <v>0</v>
      </c>
      <c r="AL43" s="433">
        <f t="shared" si="22"/>
        <v>0</v>
      </c>
      <c r="AM43" s="200">
        <f>IF($I$2="DRT",VLOOKUP(A43,'Misc. Data &amp; Mechanisms'!$A$1483:$H$1574,6,FALSE),AY43)</f>
        <v>0.223</v>
      </c>
      <c r="AN43" s="333">
        <f t="shared" si="23"/>
        <v>6.9130000000000003</v>
      </c>
      <c r="AO43" s="295"/>
      <c r="AP43" s="355">
        <f t="shared" si="31"/>
        <v>0</v>
      </c>
      <c r="AQ43" s="358">
        <f>5%</f>
        <v>0.05</v>
      </c>
      <c r="AR43" s="359">
        <f>'Misc. Data &amp; Mechanisms'!AL316</f>
        <v>19.489741625768708</v>
      </c>
      <c r="AS43" s="434">
        <f>'Misc. Data &amp; Mechanisms'!AQ316</f>
        <v>18.915629602958987</v>
      </c>
      <c r="AT43" s="434">
        <f>'Misc. Data &amp; Mechanisms'!W316</f>
        <v>19.243910195955831</v>
      </c>
      <c r="AU43" s="434">
        <f>'Misc. Data &amp; Mechanisms'!X316</f>
        <v>12.290601350824854</v>
      </c>
      <c r="AV43" s="1462">
        <f>'Misc. Data &amp; Mechanisms'!$B$260</f>
        <v>10.198990303636064</v>
      </c>
      <c r="AW43" s="197">
        <f>IFERROR(IF('Personalized Bill Menu'!$B$30="Yes", IF('Personalized Bill Menu'!$B$34="Natural Gas",VLOOKUP($A43, 'Personalized Bill Menu'!$H$4:$L$93, 2, FALSE), IF('Personalized Bill Menu'!$B$34="Both",VLOOKUP($A43,'Personalized Bill Menu'!$H$4:$P$93, 6, FALSE), 0)), 0),0)</f>
        <v>0</v>
      </c>
      <c r="AX43" s="1343">
        <f>IFERROR(IF('Personalized Bill Menu'!$C$37="Custom", IF('Personalized Bill Menu'!$B$34="Natural Gas",VLOOKUP($A43, 'Personalized Bill Menu'!$H$4:$L$93, 3, FALSE), IF('Personalized Bill Menu'!$B$34="Both",VLOOKUP($A43,'Personalized Bill Menu'!$H$4:$P$93, 7, FALSE), 0)), 0),0)</f>
        <v>0</v>
      </c>
      <c r="AY43" s="1344">
        <f>IFERROR(IF('Personalized Bill Menu'!$C$37="Custom", IF('Personalized Bill Menu'!$B$34="Natural Gas",VLOOKUP($A43, 'Personalized Bill Menu'!$H$4:$L$93, 4, FALSE), IF('Personalized Bill Menu'!$B$34="Both",VLOOKUP($A43,'Personalized Bill Menu'!$H$4:$P$93, 8, FALSE), 0)), 0),0)</f>
        <v>0</v>
      </c>
      <c r="AZ43" s="335"/>
      <c r="BA43" s="335"/>
      <c r="BB43" s="335"/>
    </row>
    <row r="44" spans="1:54" x14ac:dyDescent="0.35">
      <c r="A44" s="427">
        <v>42036</v>
      </c>
      <c r="B44" s="85">
        <f t="shared" si="9"/>
        <v>28</v>
      </c>
      <c r="C44" s="1581">
        <f t="shared" si="10"/>
        <v>18.196218677288119</v>
      </c>
      <c r="D44" s="66">
        <f t="shared" si="11"/>
        <v>7.2296052549557572</v>
      </c>
      <c r="E44" s="66">
        <f>(1+$AQ44)*IF(OR('Service Zone Menu'!$X$3="Fort McMurray",AND('Service Zone Menu'!$X$3="Spruce Grove", $A44&lt;DATE(2019, 5, 1))),((((1+$T44)*($P44+$N44)))+($U44*$P44)+((1+$T44+$U44)*($Y44+$Z44+$AA44+$AB44)) + $AO44),($N44+((1+$T44+$U44)*$P44)+((1+$T44+$U44)*($Y44+$Z44+$AA44+$AB44)) + $AO44))</f>
        <v>4.7624262000000002</v>
      </c>
      <c r="F44" s="400">
        <f t="shared" si="12"/>
        <v>131.55147816964629</v>
      </c>
      <c r="G44" s="115">
        <f t="shared" si="13"/>
        <v>44.780894164806057</v>
      </c>
      <c r="H44" s="66">
        <f t="shared" si="0"/>
        <v>43.090008153527442</v>
      </c>
      <c r="I44" s="66">
        <f t="shared" si="1"/>
        <v>19.817779293368503</v>
      </c>
      <c r="J44" s="66">
        <f t="shared" si="14"/>
        <v>11.354440454627786</v>
      </c>
      <c r="K44" s="66">
        <f t="shared" si="15"/>
        <v>6.2439999999999998</v>
      </c>
      <c r="L44" s="66">
        <f t="shared" si="16"/>
        <v>0</v>
      </c>
      <c r="M44" s="68">
        <f t="shared" si="17"/>
        <v>6.2643561033164898</v>
      </c>
      <c r="N44" s="273">
        <f>IF($I$2="DRT",VLOOKUP(A44,'Misc. Data &amp; Mechanisms'!$A$1381:$D$1471,2,FALSE),AX44)</f>
        <v>2.4609999999999999</v>
      </c>
      <c r="O44" s="338">
        <f t="shared" si="18"/>
        <v>44.780894164806057</v>
      </c>
      <c r="P44" s="387">
        <v>0.89700000000000002</v>
      </c>
      <c r="Q44" s="278">
        <v>0.95599999999999996</v>
      </c>
      <c r="R44" s="338">
        <f t="shared" si="24"/>
        <v>16.322008153527442</v>
      </c>
      <c r="S44" s="338">
        <f t="shared" si="25"/>
        <v>26.768000000000001</v>
      </c>
      <c r="T44" s="391">
        <f>VLOOKUP($A44,'Misc. Data &amp; Mechanisms'!$A$63:$DY$152,HLOOKUP('Service Zone Menu'!$X$3&amp;"_ATCO-N_NG_Y_1",'Misc. Data &amp; Mechanisms'!$A$55:$DY$62,8,FALSE), FALSE)</f>
        <v>0.32900000000000001</v>
      </c>
      <c r="U44" s="205">
        <f>VLOOKUP($A44,'Misc. Data &amp; Mechanisms'!$A$63:$DY$152,HLOOKUP('Service Zone Menu'!$X$3&amp;"_ATCO-N_NG_Y_2",'Misc. Data &amp; Mechanisms'!$A$55:$DY$62,8,FALSE), FALSE)</f>
        <v>3.5000000000000003E-2</v>
      </c>
      <c r="V44" s="425">
        <f>IF(OR('Service Zone Menu'!$X$3="Fort McMurray",AND('Service Zone Menu'!$X$3="Spruce Grove", $A44&lt;DATE(2019, 5, 1))),$T44*($G44+$H44+$J44), $T44*($H44+$J44))</f>
        <v>17.91222359208307</v>
      </c>
      <c r="W44" s="338">
        <f t="shared" si="26"/>
        <v>1.9055557012854332</v>
      </c>
      <c r="X44" s="426"/>
      <c r="Y44" s="386"/>
      <c r="Z44" s="386"/>
      <c r="AA44" s="278">
        <v>0.76200000000000001</v>
      </c>
      <c r="AB44" s="278">
        <v>-0.13800000000000001</v>
      </c>
      <c r="AC44" s="278"/>
      <c r="AD44" s="278"/>
      <c r="AE44" s="278"/>
      <c r="AF44" s="425">
        <f t="shared" si="27"/>
        <v>0</v>
      </c>
      <c r="AG44" s="425">
        <f t="shared" si="28"/>
        <v>0</v>
      </c>
      <c r="AH44" s="425">
        <f t="shared" si="29"/>
        <v>13.865518632093547</v>
      </c>
      <c r="AI44" s="425">
        <f t="shared" si="30"/>
        <v>-2.5110781774657607</v>
      </c>
      <c r="AJ44" s="425">
        <f t="shared" si="20"/>
        <v>0</v>
      </c>
      <c r="AK44" s="425">
        <f t="shared" si="21"/>
        <v>0</v>
      </c>
      <c r="AL44" s="425">
        <f t="shared" si="22"/>
        <v>0</v>
      </c>
      <c r="AM44" s="200">
        <f>IF($I$2="DRT",VLOOKUP(A44,'Misc. Data &amp; Mechanisms'!$A$1483:$H$1574,6,FALSE),AY44)</f>
        <v>0.223</v>
      </c>
      <c r="AN44" s="333">
        <f t="shared" si="23"/>
        <v>6.2439999999999998</v>
      </c>
      <c r="AO44" s="296"/>
      <c r="AP44" s="333">
        <f t="shared" si="31"/>
        <v>0</v>
      </c>
      <c r="AQ44" s="340">
        <f>5%</f>
        <v>0.05</v>
      </c>
      <c r="AR44" s="341">
        <f>'Misc. Data &amp; Mechanisms'!AL317</f>
        <v>18.428666366405146</v>
      </c>
      <c r="AS44" s="424">
        <f>'Misc. Data &amp; Mechanisms'!AQ317</f>
        <v>17.653089811795009</v>
      </c>
      <c r="AT44" s="424">
        <f>'Misc. Data &amp; Mechanisms'!W317</f>
        <v>18.196218677288119</v>
      </c>
      <c r="AU44" s="424">
        <f>'Misc. Data &amp; Mechanisms'!X317</f>
        <v>11.621467133118349</v>
      </c>
      <c r="AV44" s="1460">
        <f>'Misc. Data &amp; Mechanisms'!$B$260</f>
        <v>10.198990303636064</v>
      </c>
      <c r="AW44" s="197">
        <f>IFERROR(IF('Personalized Bill Menu'!$B$30="Yes", IF('Personalized Bill Menu'!$B$34="Natural Gas",VLOOKUP($A44, 'Personalized Bill Menu'!$H$4:$L$93, 2, FALSE), IF('Personalized Bill Menu'!$B$34="Both",VLOOKUP($A44,'Personalized Bill Menu'!$H$4:$P$93, 6, FALSE), 0)), 0),0)</f>
        <v>0</v>
      </c>
      <c r="AX44" s="1343">
        <f>IFERROR(IF('Personalized Bill Menu'!$C$37="Custom", IF('Personalized Bill Menu'!$B$34="Natural Gas",VLOOKUP($A44, 'Personalized Bill Menu'!$H$4:$L$93, 3, FALSE), IF('Personalized Bill Menu'!$B$34="Both",VLOOKUP($A44,'Personalized Bill Menu'!$H$4:$P$93, 7, FALSE), 0)), 0),0)</f>
        <v>0</v>
      </c>
      <c r="AY44" s="1344">
        <f>IFERROR(IF('Personalized Bill Menu'!$C$37="Custom", IF('Personalized Bill Menu'!$B$34="Natural Gas",VLOOKUP($A44, 'Personalized Bill Menu'!$H$4:$L$93, 4, FALSE), IF('Personalized Bill Menu'!$B$34="Both",VLOOKUP($A44,'Personalized Bill Menu'!$H$4:$P$93, 8, FALSE), 0)), 0),0)</f>
        <v>0</v>
      </c>
      <c r="AZ44" s="335"/>
      <c r="BA44" s="335"/>
      <c r="BB44" s="335"/>
    </row>
    <row r="45" spans="1:54" x14ac:dyDescent="0.35">
      <c r="A45" s="427">
        <v>42064</v>
      </c>
      <c r="B45" s="85">
        <f t="shared" si="9"/>
        <v>31</v>
      </c>
      <c r="C45" s="1581">
        <f t="shared" si="10"/>
        <v>13.34496911183669</v>
      </c>
      <c r="D45" s="66">
        <f t="shared" si="11"/>
        <v>8.6825027812622793</v>
      </c>
      <c r="E45" s="66">
        <f>(1+$AQ45)*IF(OR('Service Zone Menu'!$X$3="Fort McMurray",AND('Service Zone Menu'!$X$3="Spruce Grove", $A45&lt;DATE(2019, 5, 1))),((((1+$T45)*($P45+$N45)))+($U45*$P45)+((1+$T45+$U45)*($Y45+$Z45+$AA45+$AB45)) + $AO45),($N45+((1+$T45+$U45)*$P45)+((1+$T45+$U45)*($Y45+$Z45+$AA45+$AB45)) + $AO45))</f>
        <v>4.9580033999999999</v>
      </c>
      <c r="F45" s="400">
        <f t="shared" si="12"/>
        <v>115.86773142938128</v>
      </c>
      <c r="G45" s="115">
        <f t="shared" si="13"/>
        <v>35.764517219722329</v>
      </c>
      <c r="H45" s="66">
        <f t="shared" si="0"/>
        <v>41.606437293317512</v>
      </c>
      <c r="I45" s="66">
        <f t="shared" si="1"/>
        <v>18.059284428792708</v>
      </c>
      <c r="J45" s="66">
        <f t="shared" si="14"/>
        <v>8.0069814671020136</v>
      </c>
      <c r="K45" s="66">
        <f t="shared" si="15"/>
        <v>6.9130000000000003</v>
      </c>
      <c r="L45" s="66">
        <f t="shared" si="16"/>
        <v>0</v>
      </c>
      <c r="M45" s="68">
        <f t="shared" si="17"/>
        <v>5.5175110204467277</v>
      </c>
      <c r="N45" s="273">
        <f>IF($I$2="DRT",VLOOKUP(A45,'Misc. Data &amp; Mechanisms'!$A$1381:$D$1471,2,FALSE),AX45)</f>
        <v>2.68</v>
      </c>
      <c r="O45" s="338">
        <f t="shared" si="18"/>
        <v>35.764517219722329</v>
      </c>
      <c r="P45" s="387">
        <v>0.89700000000000002</v>
      </c>
      <c r="Q45" s="278">
        <v>0.95599999999999996</v>
      </c>
      <c r="R45" s="338">
        <f t="shared" si="24"/>
        <v>11.970437293317511</v>
      </c>
      <c r="S45" s="338">
        <f t="shared" si="25"/>
        <v>29.635999999999999</v>
      </c>
      <c r="T45" s="391">
        <f>VLOOKUP($A45,'Misc. Data &amp; Mechanisms'!$A$63:$DY$152,HLOOKUP('Service Zone Menu'!$X$3&amp;"_ATCO-N_NG_Y_1",'Misc. Data &amp; Mechanisms'!$A$55:$DY$62,8,FALSE), FALSE)</f>
        <v>0.32900000000000001</v>
      </c>
      <c r="U45" s="205">
        <f>VLOOKUP($A45,'Misc. Data &amp; Mechanisms'!$A$63:$DY$152,HLOOKUP('Service Zone Menu'!$X$3&amp;"_ATCO-N_NG_Y_2",'Misc. Data &amp; Mechanisms'!$A$55:$DY$62,8,FALSE), FALSE)</f>
        <v>3.5000000000000003E-2</v>
      </c>
      <c r="V45" s="425">
        <f>IF(OR('Service Zone Menu'!$X$3="Fort McMurray",AND('Service Zone Menu'!$X$3="Spruce Grove", $A45&lt;DATE(2019, 5, 1))),$T45*($G45+$H45+$J45), $T45*($H45+$J45))</f>
        <v>16.322814772178024</v>
      </c>
      <c r="W45" s="338">
        <f t="shared" si="26"/>
        <v>1.7364696566146836</v>
      </c>
      <c r="X45" s="426"/>
      <c r="Y45" s="386"/>
      <c r="Z45" s="386"/>
      <c r="AA45" s="278">
        <v>0.73799999999999999</v>
      </c>
      <c r="AB45" s="278">
        <v>-0.13800000000000001</v>
      </c>
      <c r="AC45" s="278"/>
      <c r="AD45" s="278"/>
      <c r="AE45" s="278"/>
      <c r="AF45" s="425">
        <f t="shared" si="27"/>
        <v>0</v>
      </c>
      <c r="AG45" s="425">
        <f t="shared" si="28"/>
        <v>0</v>
      </c>
      <c r="AH45" s="425">
        <f t="shared" si="29"/>
        <v>9.8485872045354768</v>
      </c>
      <c r="AI45" s="425">
        <f t="shared" si="30"/>
        <v>-1.8416057374334633</v>
      </c>
      <c r="AJ45" s="425">
        <f t="shared" si="20"/>
        <v>0</v>
      </c>
      <c r="AK45" s="425">
        <f t="shared" si="21"/>
        <v>0</v>
      </c>
      <c r="AL45" s="425">
        <f t="shared" si="22"/>
        <v>0</v>
      </c>
      <c r="AM45" s="200">
        <f>IF($I$2="DRT",VLOOKUP(A45,'Misc. Data &amp; Mechanisms'!$A$1483:$H$1574,6,FALSE),AY45)</f>
        <v>0.223</v>
      </c>
      <c r="AN45" s="333">
        <f t="shared" si="23"/>
        <v>6.9130000000000003</v>
      </c>
      <c r="AO45" s="296"/>
      <c r="AP45" s="333">
        <f t="shared" si="31"/>
        <v>0</v>
      </c>
      <c r="AQ45" s="340">
        <f>5%</f>
        <v>0.05</v>
      </c>
      <c r="AR45" s="341">
        <f>'Misc. Data &amp; Mechanisms'!AL318</f>
        <v>13.515444488418989</v>
      </c>
      <c r="AS45" s="424">
        <f>'Misc. Data &amp; Mechanisms'!AQ318</f>
        <v>13.395570539927183</v>
      </c>
      <c r="AT45" s="424">
        <f>'Misc. Data &amp; Mechanisms'!W318</f>
        <v>13.34496911183669</v>
      </c>
      <c r="AU45" s="424">
        <f>'Misc. Data &amp; Mechanisms'!X318</f>
        <v>8.5230960715626711</v>
      </c>
      <c r="AV45" s="1460">
        <f>'Misc. Data &amp; Mechanisms'!$B$260</f>
        <v>10.198990303636064</v>
      </c>
      <c r="AW45" s="197">
        <f>IFERROR(IF('Personalized Bill Menu'!$B$30="Yes", IF('Personalized Bill Menu'!$B$34="Natural Gas",VLOOKUP($A45, 'Personalized Bill Menu'!$H$4:$L$93, 2, FALSE), IF('Personalized Bill Menu'!$B$34="Both",VLOOKUP($A45,'Personalized Bill Menu'!$H$4:$P$93, 6, FALSE), 0)), 0),0)</f>
        <v>0</v>
      </c>
      <c r="AX45" s="1343">
        <f>IFERROR(IF('Personalized Bill Menu'!$C$37="Custom", IF('Personalized Bill Menu'!$B$34="Natural Gas",VLOOKUP($A45, 'Personalized Bill Menu'!$H$4:$L$93, 3, FALSE), IF('Personalized Bill Menu'!$B$34="Both",VLOOKUP($A45,'Personalized Bill Menu'!$H$4:$P$93, 7, FALSE), 0)), 0),0)</f>
        <v>0</v>
      </c>
      <c r="AY45" s="1344">
        <f>IFERROR(IF('Personalized Bill Menu'!$C$37="Custom", IF('Personalized Bill Menu'!$B$34="Natural Gas",VLOOKUP($A45, 'Personalized Bill Menu'!$H$4:$L$93, 4, FALSE), IF('Personalized Bill Menu'!$B$34="Both",VLOOKUP($A45,'Personalized Bill Menu'!$H$4:$P$93, 8, FALSE), 0)), 0),0)</f>
        <v>0</v>
      </c>
      <c r="AZ45" s="335"/>
      <c r="BA45" s="335"/>
      <c r="BB45" s="335"/>
    </row>
    <row r="46" spans="1:54" x14ac:dyDescent="0.35">
      <c r="A46" s="427">
        <v>42095</v>
      </c>
      <c r="B46" s="85">
        <f t="shared" si="9"/>
        <v>30</v>
      </c>
      <c r="C46" s="1581">
        <f t="shared" si="10"/>
        <v>9.3043824526413541</v>
      </c>
      <c r="D46" s="66">
        <f t="shared" si="11"/>
        <v>10.378559899391611</v>
      </c>
      <c r="E46" s="66">
        <f>(1+$AQ46)*IF(OR('Service Zone Menu'!$X$3="Fort McMurray",AND('Service Zone Menu'!$X$3="Spruce Grove", $A46&lt;DATE(2019, 5, 1))),((((1+$T46)*($P46+$N46)))+($U46*$P46)+((1+$T46+$U46)*($Y46+$Z46+$AA46+$AB46)) + $AO46),($N46+((1+$T46+$U46)*$P46)+((1+$T46+$U46)*($Y46+$Z46+$AA46+$AB46)) + $AO46))</f>
        <v>5.2089533999999995</v>
      </c>
      <c r="F46" s="400">
        <f t="shared" si="12"/>
        <v>96.566090611586517</v>
      </c>
      <c r="G46" s="115">
        <f t="shared" si="13"/>
        <v>27.159492379260112</v>
      </c>
      <c r="H46" s="66">
        <f t="shared" si="0"/>
        <v>37.026031060019292</v>
      </c>
      <c r="I46" s="66">
        <f t="shared" si="1"/>
        <v>15.509552433503893</v>
      </c>
      <c r="J46" s="66">
        <f t="shared" si="14"/>
        <v>5.5826294715848128</v>
      </c>
      <c r="K46" s="66">
        <f t="shared" si="15"/>
        <v>6.69</v>
      </c>
      <c r="L46" s="66">
        <f t="shared" si="16"/>
        <v>0</v>
      </c>
      <c r="M46" s="68">
        <f t="shared" si="17"/>
        <v>4.598385267218406</v>
      </c>
      <c r="N46" s="273">
        <f>IF($I$2="DRT",VLOOKUP(A46,'Misc. Data &amp; Mechanisms'!$A$1381:$D$1471,2,FALSE),AX46)</f>
        <v>2.919</v>
      </c>
      <c r="O46" s="338">
        <f t="shared" si="18"/>
        <v>27.159492379260112</v>
      </c>
      <c r="P46" s="387">
        <v>0.89700000000000002</v>
      </c>
      <c r="Q46" s="278">
        <v>0.95599999999999996</v>
      </c>
      <c r="R46" s="338">
        <f t="shared" si="24"/>
        <v>8.3460310600192944</v>
      </c>
      <c r="S46" s="338">
        <f t="shared" si="25"/>
        <v>28.68</v>
      </c>
      <c r="T46" s="391">
        <f>VLOOKUP($A46,'Misc. Data &amp; Mechanisms'!$A$63:$DY$152,HLOOKUP('Service Zone Menu'!$X$3&amp;"_ATCO-N_NG_Y_1",'Misc. Data &amp; Mechanisms'!$A$55:$DY$62,8,FALSE), FALSE)</f>
        <v>0.32900000000000001</v>
      </c>
      <c r="U46" s="205">
        <f>VLOOKUP($A46,'Misc. Data &amp; Mechanisms'!$A$63:$DY$152,HLOOKUP('Service Zone Menu'!$X$3&amp;"_ATCO-N_NG_Y_2",'Misc. Data &amp; Mechanisms'!$A$55:$DY$62,8,FALSE), FALSE)</f>
        <v>3.5000000000000003E-2</v>
      </c>
      <c r="V46" s="425">
        <f>IF(OR('Service Zone Menu'!$X$3="Fort McMurray",AND('Service Zone Menu'!$X$3="Spruce Grove", $A46&lt;DATE(2019, 5, 1))),$T46*($G46+$H46+$J46), $T46*($H46+$J46))</f>
        <v>14.01824931489775</v>
      </c>
      <c r="W46" s="338">
        <f t="shared" si="26"/>
        <v>1.4913031186061436</v>
      </c>
      <c r="X46" s="426"/>
      <c r="Y46" s="386"/>
      <c r="Z46" s="278"/>
      <c r="AA46" s="278">
        <v>0.73799999999999999</v>
      </c>
      <c r="AB46" s="278">
        <v>-0.13800000000000001</v>
      </c>
      <c r="AC46" s="278"/>
      <c r="AD46" s="278"/>
      <c r="AE46" s="278"/>
      <c r="AF46" s="425">
        <f t="shared" si="27"/>
        <v>0</v>
      </c>
      <c r="AG46" s="425">
        <f t="shared" si="28"/>
        <v>0</v>
      </c>
      <c r="AH46" s="425">
        <f t="shared" si="29"/>
        <v>6.8666342500493194</v>
      </c>
      <c r="AI46" s="425">
        <f t="shared" si="30"/>
        <v>-1.284004778464507</v>
      </c>
      <c r="AJ46" s="425">
        <f t="shared" si="20"/>
        <v>0</v>
      </c>
      <c r="AK46" s="425">
        <f t="shared" si="21"/>
        <v>0</v>
      </c>
      <c r="AL46" s="425">
        <f t="shared" si="22"/>
        <v>0</v>
      </c>
      <c r="AM46" s="200">
        <f>IF($I$2="DRT",VLOOKUP(A46,'Misc. Data &amp; Mechanisms'!$A$1483:$H$1574,6,FALSE),AY46)</f>
        <v>0.223</v>
      </c>
      <c r="AN46" s="333">
        <f t="shared" si="23"/>
        <v>6.69</v>
      </c>
      <c r="AO46" s="296"/>
      <c r="AP46" s="333">
        <f t="shared" si="31"/>
        <v>0</v>
      </c>
      <c r="AQ46" s="340">
        <f>5%</f>
        <v>0.05</v>
      </c>
      <c r="AR46" s="341">
        <f>'Misc. Data &amp; Mechanisms'!AL319</f>
        <v>9.4232413341559536</v>
      </c>
      <c r="AS46" s="424">
        <f>'Misc. Data &amp; Mechanisms'!AQ319</f>
        <v>9.9256518173290829</v>
      </c>
      <c r="AT46" s="424">
        <f>'Misc. Data &amp; Mechanisms'!W319</f>
        <v>9.3043824526413541</v>
      </c>
      <c r="AU46" s="424">
        <f>'Misc. Data &amp; Mechanisms'!X319</f>
        <v>5.9424750155536108</v>
      </c>
      <c r="AV46" s="1460">
        <f>'Misc. Data &amp; Mechanisms'!$B$260</f>
        <v>10.198990303636064</v>
      </c>
      <c r="AW46" s="197">
        <f>IFERROR(IF('Personalized Bill Menu'!$B$30="Yes", IF('Personalized Bill Menu'!$B$34="Natural Gas",VLOOKUP($A46, 'Personalized Bill Menu'!$H$4:$L$93, 2, FALSE), IF('Personalized Bill Menu'!$B$34="Both",VLOOKUP($A46,'Personalized Bill Menu'!$H$4:$P$93, 6, FALSE), 0)), 0),0)</f>
        <v>0</v>
      </c>
      <c r="AX46" s="1343">
        <f>IFERROR(IF('Personalized Bill Menu'!$C$37="Custom", IF('Personalized Bill Menu'!$B$34="Natural Gas",VLOOKUP($A46, 'Personalized Bill Menu'!$H$4:$L$93, 3, FALSE), IF('Personalized Bill Menu'!$B$34="Both",VLOOKUP($A46,'Personalized Bill Menu'!$H$4:$P$93, 7, FALSE), 0)), 0),0)</f>
        <v>0</v>
      </c>
      <c r="AY46" s="1344">
        <f>IFERROR(IF('Personalized Bill Menu'!$C$37="Custom", IF('Personalized Bill Menu'!$B$34="Natural Gas",VLOOKUP($A46, 'Personalized Bill Menu'!$H$4:$L$93, 4, FALSE), IF('Personalized Bill Menu'!$B$34="Both",VLOOKUP($A46,'Personalized Bill Menu'!$H$4:$P$93, 8, FALSE), 0)), 0),0)</f>
        <v>0</v>
      </c>
      <c r="AZ46" s="335"/>
      <c r="BA46" s="335"/>
      <c r="BB46" s="335"/>
    </row>
    <row r="47" spans="1:54" x14ac:dyDescent="0.35">
      <c r="A47" s="427">
        <v>42125</v>
      </c>
      <c r="B47" s="85">
        <f t="shared" si="9"/>
        <v>31</v>
      </c>
      <c r="C47" s="1581">
        <f t="shared" si="10"/>
        <v>5.7522207383062485</v>
      </c>
      <c r="D47" s="66">
        <f t="shared" si="11"/>
        <v>13.080023473380779</v>
      </c>
      <c r="E47" s="66">
        <f>(1+$AQ47)*IF(OR('Service Zone Menu'!$X$3="Fort McMurray",AND('Service Zone Menu'!$X$3="Spruce Grove", $A47&lt;DATE(2019, 5, 1))),((((1+$T47)*($P47+$N47)))+($U47*$P47)+((1+$T47+$U47)*($Y47+$Z47+$AA47+$AB47)) + $AO47),($N47+((1+$T47+$U47)*$P47)+((1+$T47+$U47)*($Y47+$Z47+$AA47+$AB47)) + $AO47))</f>
        <v>4.4393033999999991</v>
      </c>
      <c r="F47" s="400">
        <f t="shared" si="12"/>
        <v>75.239182281113443</v>
      </c>
      <c r="G47" s="115">
        <f t="shared" si="13"/>
        <v>12.574354533937459</v>
      </c>
      <c r="H47" s="66">
        <f t="shared" si="0"/>
        <v>34.795742002260702</v>
      </c>
      <c r="I47" s="66">
        <f t="shared" si="1"/>
        <v>13.921935098068982</v>
      </c>
      <c r="J47" s="66">
        <f t="shared" si="14"/>
        <v>3.4513324429837491</v>
      </c>
      <c r="K47" s="66">
        <f t="shared" si="15"/>
        <v>6.9130000000000003</v>
      </c>
      <c r="L47" s="66">
        <f t="shared" si="16"/>
        <v>0</v>
      </c>
      <c r="M47" s="68">
        <f t="shared" si="17"/>
        <v>3.5828182038625451</v>
      </c>
      <c r="N47" s="273">
        <f>IF($I$2="DRT",VLOOKUP(A47,'Misc. Data &amp; Mechanisms'!$A$1381:$D$1471,2,FALSE),AX47)</f>
        <v>2.1859999999999999</v>
      </c>
      <c r="O47" s="338">
        <f t="shared" si="18"/>
        <v>12.574354533937459</v>
      </c>
      <c r="P47" s="387">
        <v>0.89700000000000002</v>
      </c>
      <c r="Q47" s="278">
        <v>0.95599999999999996</v>
      </c>
      <c r="R47" s="338">
        <f t="shared" si="24"/>
        <v>5.159742002260705</v>
      </c>
      <c r="S47" s="338">
        <f t="shared" si="25"/>
        <v>29.635999999999999</v>
      </c>
      <c r="T47" s="391">
        <f>VLOOKUP($A47,'Misc. Data &amp; Mechanisms'!$A$63:$DY$152,HLOOKUP('Service Zone Menu'!$X$3&amp;"_ATCO-N_NG_Y_1",'Misc. Data &amp; Mechanisms'!$A$55:$DY$62,8,FALSE), FALSE)</f>
        <v>0.32900000000000001</v>
      </c>
      <c r="U47" s="205">
        <f>VLOOKUP($A47,'Misc. Data &amp; Mechanisms'!$A$63:$DY$152,HLOOKUP('Service Zone Menu'!$X$3&amp;"_ATCO-N_NG_Y_2",'Misc. Data &amp; Mechanisms'!$A$55:$DY$62,8,FALSE), FALSE)</f>
        <v>3.5000000000000003E-2</v>
      </c>
      <c r="V47" s="425">
        <f>IF(OR('Service Zone Menu'!$X$3="Fort McMurray",AND('Service Zone Menu'!$X$3="Spruce Grove", $A47&lt;DATE(2019, 5, 1))),$T47*($G47+$H47+$J47), $T47*($H47+$J47))</f>
        <v>12.583287492485425</v>
      </c>
      <c r="W47" s="338">
        <f t="shared" si="26"/>
        <v>1.3386476055835559</v>
      </c>
      <c r="X47" s="426"/>
      <c r="Y47" s="386"/>
      <c r="Z47" s="278"/>
      <c r="AA47" s="278">
        <v>0.73799999999999999</v>
      </c>
      <c r="AB47" s="278">
        <v>-0.13800000000000001</v>
      </c>
      <c r="AC47" s="278"/>
      <c r="AD47" s="278"/>
      <c r="AE47" s="278"/>
      <c r="AF47" s="425">
        <f t="shared" si="27"/>
        <v>0</v>
      </c>
      <c r="AG47" s="425">
        <f t="shared" si="28"/>
        <v>0</v>
      </c>
      <c r="AH47" s="425">
        <f t="shared" si="29"/>
        <v>4.2451389048700117</v>
      </c>
      <c r="AI47" s="425">
        <f t="shared" si="30"/>
        <v>-0.79380646188626236</v>
      </c>
      <c r="AJ47" s="425">
        <f t="shared" si="20"/>
        <v>0</v>
      </c>
      <c r="AK47" s="425">
        <f t="shared" si="21"/>
        <v>0</v>
      </c>
      <c r="AL47" s="425">
        <f t="shared" si="22"/>
        <v>0</v>
      </c>
      <c r="AM47" s="200">
        <f>IF($I$2="DRT",VLOOKUP(A47,'Misc. Data &amp; Mechanisms'!$A$1483:$H$1574,6,FALSE),AY47)</f>
        <v>0.223</v>
      </c>
      <c r="AN47" s="333">
        <f t="shared" si="23"/>
        <v>6.9130000000000003</v>
      </c>
      <c r="AO47" s="296"/>
      <c r="AP47" s="333">
        <f t="shared" si="31"/>
        <v>0</v>
      </c>
      <c r="AQ47" s="340">
        <f>5%</f>
        <v>0.05</v>
      </c>
      <c r="AR47" s="341">
        <f>'Misc. Data &amp; Mechanisms'!AL320</f>
        <v>5.8257025117243293</v>
      </c>
      <c r="AS47" s="424">
        <f>'Misc. Data &amp; Mechanisms'!AQ320</f>
        <v>6.3069608641640134</v>
      </c>
      <c r="AT47" s="424">
        <f>'Misc. Data &amp; Mechanisms'!W320</f>
        <v>5.7522207383062485</v>
      </c>
      <c r="AU47" s="424">
        <f>'Misc. Data &amp; Mechanisms'!X320</f>
        <v>3.6737986852239097</v>
      </c>
      <c r="AV47" s="1460">
        <f>'Misc. Data &amp; Mechanisms'!$B$260</f>
        <v>10.198990303636064</v>
      </c>
      <c r="AW47" s="197">
        <f>IFERROR(IF('Personalized Bill Menu'!$B$30="Yes", IF('Personalized Bill Menu'!$B$34="Natural Gas",VLOOKUP($A47, 'Personalized Bill Menu'!$H$4:$L$93, 2, FALSE), IF('Personalized Bill Menu'!$B$34="Both",VLOOKUP($A47,'Personalized Bill Menu'!$H$4:$P$93, 6, FALSE), 0)), 0),0)</f>
        <v>0</v>
      </c>
      <c r="AX47" s="1343">
        <f>IFERROR(IF('Personalized Bill Menu'!$C$37="Custom", IF('Personalized Bill Menu'!$B$34="Natural Gas",VLOOKUP($A47, 'Personalized Bill Menu'!$H$4:$L$93, 3, FALSE), IF('Personalized Bill Menu'!$B$34="Both",VLOOKUP($A47,'Personalized Bill Menu'!$H$4:$P$93, 7, FALSE), 0)), 0),0)</f>
        <v>0</v>
      </c>
      <c r="AY47" s="1344">
        <f>IFERROR(IF('Personalized Bill Menu'!$C$37="Custom", IF('Personalized Bill Menu'!$B$34="Natural Gas",VLOOKUP($A47, 'Personalized Bill Menu'!$H$4:$L$93, 4, FALSE), IF('Personalized Bill Menu'!$B$34="Both",VLOOKUP($A47,'Personalized Bill Menu'!$H$4:$P$93, 8, FALSE), 0)), 0),0)</f>
        <v>0</v>
      </c>
      <c r="AZ47" s="335"/>
      <c r="BA47" s="335"/>
      <c r="BB47" s="335"/>
    </row>
    <row r="48" spans="1:54" x14ac:dyDescent="0.35">
      <c r="A48" s="427">
        <v>42156</v>
      </c>
      <c r="B48" s="85">
        <f t="shared" si="9"/>
        <v>30</v>
      </c>
      <c r="C48" s="1581">
        <f t="shared" si="10"/>
        <v>2.9957399450361408</v>
      </c>
      <c r="D48" s="66">
        <f t="shared" si="11"/>
        <v>21.844685401611276</v>
      </c>
      <c r="E48" s="66">
        <f>(1+$AQ48)*IF(OR('Service Zone Menu'!$X$3="Fort McMurray",AND('Service Zone Menu'!$X$3="Spruce Grove", $A48&lt;DATE(2019, 5, 1))),((((1+$T48)*($P48+$N48)))+($U48*$P48)+((1+$T48+$U48)*($Y48+$Z48+$AA48+$AB48)) + $AO48),($N48+((1+$T48+$U48)*$P48)+((1+$T48+$U48)*($Y48+$Z48+$AA48+$AB48)) + $AO48))</f>
        <v>5.7885533999999996</v>
      </c>
      <c r="F48" s="400">
        <f t="shared" si="12"/>
        <v>65.440996644354755</v>
      </c>
      <c r="G48" s="115">
        <f t="shared" si="13"/>
        <v>10.398213349220445</v>
      </c>
      <c r="H48" s="66">
        <f t="shared" si="0"/>
        <v>31.367178730697418</v>
      </c>
      <c r="I48" s="66">
        <f t="shared" si="1"/>
        <v>12.071922661969754</v>
      </c>
      <c r="J48" s="66">
        <f t="shared" si="14"/>
        <v>1.7974439670216846</v>
      </c>
      <c r="K48" s="66">
        <f t="shared" si="15"/>
        <v>6.69</v>
      </c>
      <c r="L48" s="66">
        <f t="shared" si="16"/>
        <v>0</v>
      </c>
      <c r="M48" s="68">
        <f t="shared" si="17"/>
        <v>3.116237935445465</v>
      </c>
      <c r="N48" s="273">
        <f>IF($I$2="DRT",VLOOKUP(A48,'Misc. Data &amp; Mechanisms'!$A$1381:$D$1471,2,FALSE),AX48)</f>
        <v>3.4710000000000001</v>
      </c>
      <c r="O48" s="338">
        <f t="shared" si="18"/>
        <v>10.398213349220445</v>
      </c>
      <c r="P48" s="387">
        <v>0.89700000000000002</v>
      </c>
      <c r="Q48" s="278">
        <v>0.95599999999999996</v>
      </c>
      <c r="R48" s="338">
        <f t="shared" si="24"/>
        <v>2.6871787306974184</v>
      </c>
      <c r="S48" s="338">
        <f t="shared" si="25"/>
        <v>28.68</v>
      </c>
      <c r="T48" s="391">
        <f>VLOOKUP($A48,'Misc. Data &amp; Mechanisms'!$A$63:$DY$152,HLOOKUP('Service Zone Menu'!$X$3&amp;"_ATCO-N_NG_Y_1",'Misc. Data &amp; Mechanisms'!$A$55:$DY$62,8,FALSE), FALSE)</f>
        <v>0.32900000000000001</v>
      </c>
      <c r="U48" s="205">
        <f>VLOOKUP($A48,'Misc. Data &amp; Mechanisms'!$A$63:$DY$152,HLOOKUP('Service Zone Menu'!$X$3&amp;"_ATCO-N_NG_Y_2",'Misc. Data &amp; Mechanisms'!$A$55:$DY$62,8,FALSE), FALSE)</f>
        <v>3.5000000000000003E-2</v>
      </c>
      <c r="V48" s="425">
        <f>IF(OR('Service Zone Menu'!$X$3="Fort McMurray",AND('Service Zone Menu'!$X$3="Spruce Grove", $A48&lt;DATE(2019, 5, 1))),$T48*($G48+$H48+$J48), $T48*($H48+$J48))</f>
        <v>10.911160867549585</v>
      </c>
      <c r="W48" s="338">
        <f t="shared" si="26"/>
        <v>1.1607617944201687</v>
      </c>
      <c r="X48" s="426"/>
      <c r="Y48" s="386"/>
      <c r="Z48" s="386"/>
      <c r="AA48" s="278">
        <v>0.73799999999999999</v>
      </c>
      <c r="AB48" s="278">
        <v>-0.13800000000000001</v>
      </c>
      <c r="AC48" s="278"/>
      <c r="AD48" s="278"/>
      <c r="AE48" s="278"/>
      <c r="AF48" s="425">
        <f t="shared" si="27"/>
        <v>0</v>
      </c>
      <c r="AG48" s="425">
        <f t="shared" si="28"/>
        <v>0</v>
      </c>
      <c r="AH48" s="425">
        <f t="shared" si="29"/>
        <v>2.2108560794366721</v>
      </c>
      <c r="AI48" s="425">
        <f t="shared" si="30"/>
        <v>-0.41341211241498749</v>
      </c>
      <c r="AJ48" s="425">
        <f t="shared" si="20"/>
        <v>0</v>
      </c>
      <c r="AK48" s="425">
        <f t="shared" si="21"/>
        <v>0</v>
      </c>
      <c r="AL48" s="425">
        <f t="shared" si="22"/>
        <v>0</v>
      </c>
      <c r="AM48" s="200">
        <f>IF($I$2="DRT",VLOOKUP(A48,'Misc. Data &amp; Mechanisms'!$A$1483:$H$1574,6,FALSE),AY48)</f>
        <v>0.223</v>
      </c>
      <c r="AN48" s="333">
        <f t="shared" si="23"/>
        <v>6.69</v>
      </c>
      <c r="AO48" s="296"/>
      <c r="AP48" s="333">
        <f t="shared" si="31"/>
        <v>0</v>
      </c>
      <c r="AQ48" s="340">
        <f>5%</f>
        <v>0.05</v>
      </c>
      <c r="AR48" s="341">
        <f>'Misc. Data &amp; Mechanisms'!AL321</f>
        <v>3.0340090403778222</v>
      </c>
      <c r="AS48" s="424">
        <f>'Misc. Data &amp; Mechanisms'!AQ321</f>
        <v>3.3189542225144737</v>
      </c>
      <c r="AT48" s="424">
        <f>'Misc. Data &amp; Mechanisms'!W321</f>
        <v>2.9957399450361408</v>
      </c>
      <c r="AU48" s="424">
        <f>'Misc. Data &amp; Mechanisms'!X321</f>
        <v>1.9133037433794973</v>
      </c>
      <c r="AV48" s="1460">
        <f>'Misc. Data &amp; Mechanisms'!$B$260</f>
        <v>10.198990303636064</v>
      </c>
      <c r="AW48" s="197">
        <f>IFERROR(IF('Personalized Bill Menu'!$B$30="Yes", IF('Personalized Bill Menu'!$B$34="Natural Gas",VLOOKUP($A48, 'Personalized Bill Menu'!$H$4:$L$93, 2, FALSE), IF('Personalized Bill Menu'!$B$34="Both",VLOOKUP($A48,'Personalized Bill Menu'!$H$4:$P$93, 6, FALSE), 0)), 0),0)</f>
        <v>0</v>
      </c>
      <c r="AX48" s="1343">
        <f>IFERROR(IF('Personalized Bill Menu'!$C$37="Custom", IF('Personalized Bill Menu'!$B$34="Natural Gas",VLOOKUP($A48, 'Personalized Bill Menu'!$H$4:$L$93, 3, FALSE), IF('Personalized Bill Menu'!$B$34="Both",VLOOKUP($A48,'Personalized Bill Menu'!$H$4:$P$93, 7, FALSE), 0)), 0),0)</f>
        <v>0</v>
      </c>
      <c r="AY48" s="1344">
        <f>IFERROR(IF('Personalized Bill Menu'!$C$37="Custom", IF('Personalized Bill Menu'!$B$34="Natural Gas",VLOOKUP($A48, 'Personalized Bill Menu'!$H$4:$L$93, 4, FALSE), IF('Personalized Bill Menu'!$B$34="Both",VLOOKUP($A48,'Personalized Bill Menu'!$H$4:$P$93, 8, FALSE), 0)), 0),0)</f>
        <v>0</v>
      </c>
      <c r="AZ48" s="335"/>
      <c r="BA48" s="335"/>
      <c r="BB48" s="335"/>
    </row>
    <row r="49" spans="1:54" x14ac:dyDescent="0.35">
      <c r="A49" s="427">
        <v>42186</v>
      </c>
      <c r="B49" s="85">
        <f t="shared" si="9"/>
        <v>31</v>
      </c>
      <c r="C49" s="1581">
        <f t="shared" si="10"/>
        <v>2.392996091652563</v>
      </c>
      <c r="D49" s="66">
        <f t="shared" si="11"/>
        <v>24.82743786622795</v>
      </c>
      <c r="E49" s="66">
        <f>(1+$AQ49)*IF(OR('Service Zone Menu'!$X$3="Fort McMurray",AND('Service Zone Menu'!$X$3="Spruce Grove", $A49&lt;DATE(2019, 5, 1))),((((1+$T49)*($P49+$N49)))+($U49*$P49)+((1+$T49+$U49)*($Y49+$Z49+$AA49+$AB49)) + $AO49),($N49+((1+$T49+$U49)*$P49)+((1+$T49+$U49)*($Y49+$Z49+$AA49+$AB49)) + $AO49))</f>
        <v>4.0571033999999999</v>
      </c>
      <c r="F49" s="400">
        <f t="shared" si="12"/>
        <v>59.411961779630332</v>
      </c>
      <c r="G49" s="115">
        <f t="shared" si="13"/>
        <v>4.3600388789909701</v>
      </c>
      <c r="H49" s="66">
        <f t="shared" si="0"/>
        <v>31.78251749421235</v>
      </c>
      <c r="I49" s="66">
        <f t="shared" si="1"/>
        <v>12.091466714310217</v>
      </c>
      <c r="J49" s="66">
        <f t="shared" si="14"/>
        <v>1.4357976549915377</v>
      </c>
      <c r="K49" s="66">
        <f t="shared" si="15"/>
        <v>6.9130000000000003</v>
      </c>
      <c r="L49" s="66">
        <f t="shared" si="16"/>
        <v>0</v>
      </c>
      <c r="M49" s="68">
        <f t="shared" si="17"/>
        <v>2.8291410371252539</v>
      </c>
      <c r="N49" s="273">
        <f>IF($I$2="DRT",VLOOKUP(A49,'Misc. Data &amp; Mechanisms'!$A$1381:$D$1471,2,FALSE),AX49)</f>
        <v>1.8220000000000001</v>
      </c>
      <c r="O49" s="338">
        <f t="shared" si="18"/>
        <v>4.3600388789909701</v>
      </c>
      <c r="P49" s="387">
        <v>0.89700000000000002</v>
      </c>
      <c r="Q49" s="278">
        <v>0.95599999999999996</v>
      </c>
      <c r="R49" s="338">
        <f t="shared" si="24"/>
        <v>2.1465174942123491</v>
      </c>
      <c r="S49" s="338">
        <f t="shared" si="25"/>
        <v>29.635999999999999</v>
      </c>
      <c r="T49" s="391">
        <f>VLOOKUP($A49,'Misc. Data &amp; Mechanisms'!$A$63:$DY$152,HLOOKUP('Service Zone Menu'!$X$3&amp;"_ATCO-N_NG_Y_1",'Misc. Data &amp; Mechanisms'!$A$55:$DY$62,8,FALSE), FALSE)</f>
        <v>0.32900000000000001</v>
      </c>
      <c r="U49" s="205">
        <f>VLOOKUP($A49,'Misc. Data &amp; Mechanisms'!$A$63:$DY$152,HLOOKUP('Service Zone Menu'!$X$3&amp;"_ATCO-N_NG_Y_2",'Misc. Data &amp; Mechanisms'!$A$55:$DY$62,8,FALSE), FALSE)</f>
        <v>3.5000000000000003E-2</v>
      </c>
      <c r="V49" s="425">
        <f>IF(OR('Service Zone Menu'!$X$3="Fort McMurray",AND('Service Zone Menu'!$X$3="Spruce Grove", $A49&lt;DATE(2019, 5, 1))),$T49*($G49+$H49+$J49), $T49*($H49+$J49))</f>
        <v>10.92882568408808</v>
      </c>
      <c r="W49" s="338">
        <f t="shared" si="26"/>
        <v>1.1626410302221362</v>
      </c>
      <c r="X49" s="426"/>
      <c r="Y49" s="386"/>
      <c r="Z49" s="386"/>
      <c r="AA49" s="278">
        <v>0.73799999999999999</v>
      </c>
      <c r="AB49" s="278">
        <v>-0.13800000000000001</v>
      </c>
      <c r="AC49" s="278"/>
      <c r="AD49" s="278"/>
      <c r="AE49" s="278"/>
      <c r="AF49" s="425">
        <f t="shared" si="27"/>
        <v>0</v>
      </c>
      <c r="AG49" s="425">
        <f t="shared" si="28"/>
        <v>0</v>
      </c>
      <c r="AH49" s="425">
        <f t="shared" si="29"/>
        <v>1.7660311156395914</v>
      </c>
      <c r="AI49" s="425">
        <f t="shared" si="30"/>
        <v>-0.3302334606480537</v>
      </c>
      <c r="AJ49" s="425">
        <f t="shared" si="20"/>
        <v>0</v>
      </c>
      <c r="AK49" s="425">
        <f t="shared" si="21"/>
        <v>0</v>
      </c>
      <c r="AL49" s="425">
        <f t="shared" si="22"/>
        <v>0</v>
      </c>
      <c r="AM49" s="200">
        <f>IF($I$2="DRT",VLOOKUP(A49,'Misc. Data &amp; Mechanisms'!$A$1483:$H$1574,6,FALSE),AY49)</f>
        <v>0.223</v>
      </c>
      <c r="AN49" s="333">
        <f t="shared" si="23"/>
        <v>6.9130000000000003</v>
      </c>
      <c r="AO49" s="296"/>
      <c r="AP49" s="333">
        <f t="shared" si="31"/>
        <v>0</v>
      </c>
      <c r="AQ49" s="340">
        <f>5%</f>
        <v>0.05</v>
      </c>
      <c r="AR49" s="341">
        <f>'Misc. Data &amp; Mechanisms'!AL322</f>
        <v>2.4235654325379308</v>
      </c>
      <c r="AS49" s="424">
        <f>'Misc. Data &amp; Mechanisms'!AQ322</f>
        <v>2.5505895982456868</v>
      </c>
      <c r="AT49" s="424">
        <f>'Misc. Data &amp; Mechanisms'!W322</f>
        <v>2.392996091652563</v>
      </c>
      <c r="AU49" s="424">
        <f>'Misc. Data &amp; Mechanisms'!X322</f>
        <v>1.5283464065824044</v>
      </c>
      <c r="AV49" s="1460">
        <f>'Misc. Data &amp; Mechanisms'!$B$260</f>
        <v>10.198990303636064</v>
      </c>
      <c r="AW49" s="197">
        <f>IFERROR(IF('Personalized Bill Menu'!$B$30="Yes", IF('Personalized Bill Menu'!$B$34="Natural Gas",VLOOKUP($A49, 'Personalized Bill Menu'!$H$4:$L$93, 2, FALSE), IF('Personalized Bill Menu'!$B$34="Both",VLOOKUP($A49,'Personalized Bill Menu'!$H$4:$P$93, 6, FALSE), 0)), 0),0)</f>
        <v>0</v>
      </c>
      <c r="AX49" s="1343">
        <f>IFERROR(IF('Personalized Bill Menu'!$C$37="Custom", IF('Personalized Bill Menu'!$B$34="Natural Gas",VLOOKUP($A49, 'Personalized Bill Menu'!$H$4:$L$93, 3, FALSE), IF('Personalized Bill Menu'!$B$34="Both",VLOOKUP($A49,'Personalized Bill Menu'!$H$4:$P$93, 7, FALSE), 0)), 0),0)</f>
        <v>0</v>
      </c>
      <c r="AY49" s="1344">
        <f>IFERROR(IF('Personalized Bill Menu'!$C$37="Custom", IF('Personalized Bill Menu'!$B$34="Natural Gas",VLOOKUP($A49, 'Personalized Bill Menu'!$H$4:$L$93, 4, FALSE), IF('Personalized Bill Menu'!$B$34="Both",VLOOKUP($A49,'Personalized Bill Menu'!$H$4:$P$93, 8, FALSE), 0)), 0),0)</f>
        <v>0</v>
      </c>
      <c r="AZ49" s="335"/>
      <c r="BA49" s="335"/>
      <c r="BB49" s="335"/>
    </row>
    <row r="50" spans="1:54" x14ac:dyDescent="0.35">
      <c r="A50" s="427">
        <v>42217</v>
      </c>
      <c r="B50" s="85">
        <f t="shared" si="9"/>
        <v>31</v>
      </c>
      <c r="C50" s="1581">
        <f t="shared" si="10"/>
        <v>2.8338291298523459</v>
      </c>
      <c r="D50" s="66">
        <f t="shared" si="11"/>
        <v>23.047485735837142</v>
      </c>
      <c r="E50" s="66">
        <f>(1+$AQ50)*IF(OR('Service Zone Menu'!$X$3="Fort McMurray",AND('Service Zone Menu'!$X$3="Spruce Grove", $A50&lt;DATE(2019, 5, 1))),((((1+$T50)*($P50+$N50)))+($U50*$P50)+((1+$T50+$U50)*($Y50+$Z50+$AA50+$AB50)) + $AO50),($N50+((1+$T50+$U50)*$P50)+((1+$T50+$U50)*($Y50+$Z50+$AA50+$AB50)) + $AO50))</f>
        <v>5.5082033999999993</v>
      </c>
      <c r="F50" s="400">
        <f t="shared" si="12"/>
        <v>65.312636448071729</v>
      </c>
      <c r="G50" s="115">
        <f t="shared" si="13"/>
        <v>9.0795885320469161</v>
      </c>
      <c r="H50" s="66">
        <f t="shared" si="0"/>
        <v>32.177944729477552</v>
      </c>
      <c r="I50" s="66">
        <f t="shared" si="1"/>
        <v>12.331680163489581</v>
      </c>
      <c r="J50" s="66">
        <f t="shared" si="14"/>
        <v>1.7002974779114077</v>
      </c>
      <c r="K50" s="66">
        <f t="shared" si="15"/>
        <v>6.9130000000000003</v>
      </c>
      <c r="L50" s="66">
        <f t="shared" si="16"/>
        <v>0</v>
      </c>
      <c r="M50" s="68">
        <f t="shared" si="17"/>
        <v>3.110125545146273</v>
      </c>
      <c r="N50" s="273">
        <f>IF($I$2="DRT",VLOOKUP(A50,'Misc. Data &amp; Mechanisms'!$A$1381:$D$1471,2,FALSE),AX50)</f>
        <v>3.2040000000000002</v>
      </c>
      <c r="O50" s="338">
        <f t="shared" si="18"/>
        <v>9.0795885320469161</v>
      </c>
      <c r="P50" s="387">
        <v>0.89700000000000002</v>
      </c>
      <c r="Q50" s="278">
        <v>0.95599999999999996</v>
      </c>
      <c r="R50" s="338">
        <f t="shared" si="24"/>
        <v>2.5419447294775543</v>
      </c>
      <c r="S50" s="338">
        <f t="shared" si="25"/>
        <v>29.635999999999999</v>
      </c>
      <c r="T50" s="391">
        <f>VLOOKUP($A50,'Misc. Data &amp; Mechanisms'!$A$63:$DY$152,HLOOKUP('Service Zone Menu'!$X$3&amp;"_ATCO-N_NG_Y_1",'Misc. Data &amp; Mechanisms'!$A$55:$DY$62,8,FALSE), FALSE)</f>
        <v>0.32900000000000001</v>
      </c>
      <c r="U50" s="205">
        <f>VLOOKUP($A50,'Misc. Data &amp; Mechanisms'!$A$63:$DY$152,HLOOKUP('Service Zone Menu'!$X$3&amp;"_ATCO-N_NG_Y_2",'Misc. Data &amp; Mechanisms'!$A$55:$DY$62,8,FALSE), FALSE)</f>
        <v>3.5000000000000003E-2</v>
      </c>
      <c r="V50" s="425">
        <f>IF(OR('Service Zone Menu'!$X$3="Fort McMurray",AND('Service Zone Menu'!$X$3="Spruce Grove", $A50&lt;DATE(2019, 5, 1))),$T50*($G50+$H50+$J50), $T50*($H50+$J50))</f>
        <v>11.145941686230968</v>
      </c>
      <c r="W50" s="338">
        <f t="shared" si="26"/>
        <v>1.1857384772586137</v>
      </c>
      <c r="X50" s="426"/>
      <c r="Y50" s="386"/>
      <c r="Z50" s="386"/>
      <c r="AA50" s="278">
        <v>0.73799999999999999</v>
      </c>
      <c r="AB50" s="386">
        <v>-0.13800000000000001</v>
      </c>
      <c r="AC50" s="386"/>
      <c r="AD50" s="386"/>
      <c r="AE50" s="386"/>
      <c r="AF50" s="425">
        <f t="shared" si="27"/>
        <v>0</v>
      </c>
      <c r="AG50" s="425">
        <f t="shared" si="28"/>
        <v>0</v>
      </c>
      <c r="AH50" s="425">
        <f t="shared" si="29"/>
        <v>2.0913658978310314</v>
      </c>
      <c r="AI50" s="425">
        <f t="shared" si="30"/>
        <v>-0.39106841991962377</v>
      </c>
      <c r="AJ50" s="425">
        <f t="shared" si="20"/>
        <v>0</v>
      </c>
      <c r="AK50" s="425">
        <f t="shared" si="21"/>
        <v>0</v>
      </c>
      <c r="AL50" s="425">
        <f t="shared" si="22"/>
        <v>0</v>
      </c>
      <c r="AM50" s="200">
        <f>IF($I$2="DRT",VLOOKUP(A50,'Misc. Data &amp; Mechanisms'!$A$1483:$H$1574,6,FALSE),AY50)</f>
        <v>0.223</v>
      </c>
      <c r="AN50" s="333">
        <f t="shared" si="23"/>
        <v>6.9130000000000003</v>
      </c>
      <c r="AO50" s="296"/>
      <c r="AP50" s="333">
        <f t="shared" si="31"/>
        <v>0</v>
      </c>
      <c r="AQ50" s="340">
        <f>5%</f>
        <v>0.05</v>
      </c>
      <c r="AR50" s="341">
        <f>'Misc. Data &amp; Mechanisms'!AL323</f>
        <v>2.870029894652391</v>
      </c>
      <c r="AS50" s="424">
        <f>'Misc. Data &amp; Mechanisms'!AQ323</f>
        <v>2.9302752811694925</v>
      </c>
      <c r="AT50" s="424">
        <f>'Misc. Data &amp; Mechanisms'!W323</f>
        <v>2.8338291298523459</v>
      </c>
      <c r="AU50" s="424">
        <f>'Misc. Data &amp; Mechanisms'!X323</f>
        <v>1.8098953786787877</v>
      </c>
      <c r="AV50" s="1460">
        <f>'Misc. Data &amp; Mechanisms'!$B$260</f>
        <v>10.198990303636064</v>
      </c>
      <c r="AW50" s="197">
        <f>IFERROR(IF('Personalized Bill Menu'!$B$30="Yes", IF('Personalized Bill Menu'!$B$34="Natural Gas",VLOOKUP($A50, 'Personalized Bill Menu'!$H$4:$L$93, 2, FALSE), IF('Personalized Bill Menu'!$B$34="Both",VLOOKUP($A50,'Personalized Bill Menu'!$H$4:$P$93, 6, FALSE), 0)), 0),0)</f>
        <v>0</v>
      </c>
      <c r="AX50" s="1343">
        <f>IFERROR(IF('Personalized Bill Menu'!$C$37="Custom", IF('Personalized Bill Menu'!$B$34="Natural Gas",VLOOKUP($A50, 'Personalized Bill Menu'!$H$4:$L$93, 3, FALSE), IF('Personalized Bill Menu'!$B$34="Both",VLOOKUP($A50,'Personalized Bill Menu'!$H$4:$P$93, 7, FALSE), 0)), 0),0)</f>
        <v>0</v>
      </c>
      <c r="AY50" s="1344">
        <f>IFERROR(IF('Personalized Bill Menu'!$C$37="Custom", IF('Personalized Bill Menu'!$B$34="Natural Gas",VLOOKUP($A50, 'Personalized Bill Menu'!$H$4:$L$93, 4, FALSE), IF('Personalized Bill Menu'!$B$34="Both",VLOOKUP($A50,'Personalized Bill Menu'!$H$4:$P$93, 8, FALSE), 0)), 0),0)</f>
        <v>0</v>
      </c>
      <c r="AZ50" s="335"/>
      <c r="BA50" s="335"/>
      <c r="BB50" s="335"/>
    </row>
    <row r="51" spans="1:54" x14ac:dyDescent="0.35">
      <c r="A51" s="427">
        <v>42248</v>
      </c>
      <c r="B51" s="85">
        <f t="shared" si="9"/>
        <v>30</v>
      </c>
      <c r="C51" s="1581">
        <f t="shared" si="10"/>
        <v>6.4069077853975358</v>
      </c>
      <c r="D51" s="66">
        <f t="shared" si="11"/>
        <v>12.908789624089398</v>
      </c>
      <c r="E51" s="66">
        <f>(1+$AQ51)*IF(OR('Service Zone Menu'!$X$3="Fort McMurray",AND('Service Zone Menu'!$X$3="Spruce Grove", $A51&lt;DATE(2019, 5, 1))),((((1+$T51)*($P51+$N51)))+($U51*$P51)+((1+$T51+$U51)*($Y51+$Z51+$AA51+$AB51)) + $AO51),($N51+((1+$T51+$U51)*$P51)+((1+$T51+$U51)*($Y51+$Z51+$AA51+$AB51)) + $AO51))</f>
        <v>5.6426916</v>
      </c>
      <c r="F51" s="400">
        <f t="shared" si="12"/>
        <v>82.705424742637291</v>
      </c>
      <c r="G51" s="115">
        <f t="shared" si="13"/>
        <v>21.514396343364925</v>
      </c>
      <c r="H51" s="66">
        <f t="shared" si="0"/>
        <v>34.426996283501587</v>
      </c>
      <c r="I51" s="66">
        <f t="shared" si="1"/>
        <v>13.493265133281591</v>
      </c>
      <c r="J51" s="66">
        <f t="shared" si="14"/>
        <v>2.6424134233159684</v>
      </c>
      <c r="K51" s="66">
        <f t="shared" si="15"/>
        <v>6.69</v>
      </c>
      <c r="L51" s="66">
        <f t="shared" si="16"/>
        <v>0</v>
      </c>
      <c r="M51" s="68">
        <f t="shared" si="17"/>
        <v>3.9383535591732044</v>
      </c>
      <c r="N51" s="273">
        <f>IF($I$2="DRT",VLOOKUP(A51,'Misc. Data &amp; Mechanisms'!$A$1381:$D$1471,2,FALSE),AX51)</f>
        <v>3.3580000000000001</v>
      </c>
      <c r="O51" s="338">
        <f t="shared" si="18"/>
        <v>21.514396343364925</v>
      </c>
      <c r="P51" s="387">
        <v>0.89700000000000002</v>
      </c>
      <c r="Q51" s="278">
        <v>0.95599999999999996</v>
      </c>
      <c r="R51" s="338">
        <f t="shared" si="24"/>
        <v>5.7469962835015895</v>
      </c>
      <c r="S51" s="338">
        <f t="shared" si="25"/>
        <v>28.68</v>
      </c>
      <c r="T51" s="391">
        <f>VLOOKUP($A51,'Misc. Data &amp; Mechanisms'!$A$63:$DY$152,HLOOKUP('Service Zone Menu'!$X$3&amp;"_ATCO-N_NG_Y_1",'Misc. Data &amp; Mechanisms'!$A$55:$DY$62,8,FALSE), FALSE)</f>
        <v>0.32900000000000001</v>
      </c>
      <c r="U51" s="205">
        <f>VLOOKUP($A51,'Misc. Data &amp; Mechanisms'!$A$63:$DY$152,HLOOKUP('Service Zone Menu'!$X$3&amp;"_ATCO-N_NG_Y_2",'Misc. Data &amp; Mechanisms'!$A$55:$DY$62,8,FALSE), FALSE)</f>
        <v>3.5000000000000003E-2</v>
      </c>
      <c r="V51" s="425">
        <f>IF(OR('Service Zone Menu'!$X$3="Fort McMurray",AND('Service Zone Menu'!$X$3="Spruce Grove", $A51&lt;DATE(2019, 5, 1))),$T51*($G51+$H51+$J51), $T51*($H51+$J51))</f>
        <v>12.195835793542976</v>
      </c>
      <c r="W51" s="338">
        <f t="shared" si="26"/>
        <v>1.2974293397386145</v>
      </c>
      <c r="X51" s="426">
        <v>-3.5999999999999997E-2</v>
      </c>
      <c r="Y51" s="386">
        <v>-1.9E-2</v>
      </c>
      <c r="Z51" s="386"/>
      <c r="AA51" s="278">
        <v>0.73799999999999999</v>
      </c>
      <c r="AB51" s="386">
        <v>-0.13800000000000001</v>
      </c>
      <c r="AC51" s="386"/>
      <c r="AD51" s="386"/>
      <c r="AE51" s="386"/>
      <c r="AF51" s="425">
        <f t="shared" si="27"/>
        <v>-1.201731247922553</v>
      </c>
      <c r="AG51" s="425">
        <f t="shared" si="28"/>
        <v>0</v>
      </c>
      <c r="AH51" s="425">
        <f t="shared" si="29"/>
        <v>4.7282979456233818</v>
      </c>
      <c r="AI51" s="425">
        <f t="shared" si="30"/>
        <v>-0.88415327438486002</v>
      </c>
      <c r="AJ51" s="425">
        <f t="shared" si="20"/>
        <v>0</v>
      </c>
      <c r="AK51" s="425">
        <f t="shared" si="21"/>
        <v>0</v>
      </c>
      <c r="AL51" s="425">
        <f t="shared" si="22"/>
        <v>0</v>
      </c>
      <c r="AM51" s="200">
        <f>IF($I$2="DRT",VLOOKUP(A51,'Misc. Data &amp; Mechanisms'!$A$1483:$H$1574,6,FALSE),AY51)</f>
        <v>0.223</v>
      </c>
      <c r="AN51" s="333">
        <f t="shared" si="23"/>
        <v>6.69</v>
      </c>
      <c r="AO51" s="296"/>
      <c r="AP51" s="333">
        <f t="shared" si="31"/>
        <v>0</v>
      </c>
      <c r="AQ51" s="340">
        <f>5%</f>
        <v>0.05</v>
      </c>
      <c r="AR51" s="341">
        <f>'Misc. Data &amp; Mechanisms'!AL324</f>
        <v>6.4887528618672095</v>
      </c>
      <c r="AS51" s="424">
        <f>'Misc. Data &amp; Mechanisms'!AQ324</f>
        <v>6.1007525590495604</v>
      </c>
      <c r="AT51" s="424">
        <f>'Misc. Data &amp; Mechanisms'!W324</f>
        <v>6.4069077853975358</v>
      </c>
      <c r="AU51" s="424">
        <f>'Misc. Data &amp; Mechanisms'!X324</f>
        <v>4.0919308331820048</v>
      </c>
      <c r="AV51" s="1460">
        <f>'Misc. Data &amp; Mechanisms'!$B$260</f>
        <v>10.198990303636064</v>
      </c>
      <c r="AW51" s="197">
        <f>IFERROR(IF('Personalized Bill Menu'!$B$30="Yes", IF('Personalized Bill Menu'!$B$34="Natural Gas",VLOOKUP($A51, 'Personalized Bill Menu'!$H$4:$L$93, 2, FALSE), IF('Personalized Bill Menu'!$B$34="Both",VLOOKUP($A51,'Personalized Bill Menu'!$H$4:$P$93, 6, FALSE), 0)), 0),0)</f>
        <v>0</v>
      </c>
      <c r="AX51" s="1343">
        <f>IFERROR(IF('Personalized Bill Menu'!$C$37="Custom", IF('Personalized Bill Menu'!$B$34="Natural Gas",VLOOKUP($A51, 'Personalized Bill Menu'!$H$4:$L$93, 3, FALSE), IF('Personalized Bill Menu'!$B$34="Both",VLOOKUP($A51,'Personalized Bill Menu'!$H$4:$P$93, 7, FALSE), 0)), 0),0)</f>
        <v>0</v>
      </c>
      <c r="AY51" s="1344">
        <f>IFERROR(IF('Personalized Bill Menu'!$C$37="Custom", IF('Personalized Bill Menu'!$B$34="Natural Gas",VLOOKUP($A51, 'Personalized Bill Menu'!$H$4:$L$93, 4, FALSE), IF('Personalized Bill Menu'!$B$34="Both",VLOOKUP($A51,'Personalized Bill Menu'!$H$4:$P$93, 8, FALSE), 0)), 0),0)</f>
        <v>0</v>
      </c>
      <c r="AZ51" s="335"/>
      <c r="BA51" s="335"/>
      <c r="BB51" s="335"/>
    </row>
    <row r="52" spans="1:54" x14ac:dyDescent="0.35">
      <c r="A52" s="427">
        <v>42278</v>
      </c>
      <c r="B52" s="85">
        <f t="shared" si="9"/>
        <v>31</v>
      </c>
      <c r="C52" s="1581">
        <f t="shared" si="10"/>
        <v>8.4458269082754391</v>
      </c>
      <c r="D52" s="66">
        <f t="shared" si="11"/>
        <v>10.750646765301616</v>
      </c>
      <c r="E52" s="66">
        <f>(1+$AQ52)*IF(OR('Service Zone Menu'!$X$3="Fort McMurray",AND('Service Zone Menu'!$X$3="Spruce Grove", $A52&lt;DATE(2019, 5, 1))),((((1+$T52)*($P52+$N52)))+($U52*$P52)+((1+$T52+$U52)*($Y52+$Z52+$AA52+$AB52)) + $AO52),($N52+((1+$T52+$U52)*$P52)+((1+$T52+$U52)*($Y52+$Z52+$AA52+$AB52)) + $AO52))</f>
        <v>5.0549351999999992</v>
      </c>
      <c r="F52" s="400">
        <f t="shared" si="12"/>
        <v>90.798101731748687</v>
      </c>
      <c r="G52" s="115">
        <f t="shared" si="13"/>
        <v>22.043608230598895</v>
      </c>
      <c r="H52" s="66">
        <f t="shared" si="0"/>
        <v>37.211906736723066</v>
      </c>
      <c r="I52" s="66">
        <f t="shared" si="1"/>
        <v>15.349318087293412</v>
      </c>
      <c r="J52" s="66">
        <f t="shared" si="14"/>
        <v>4.9565495470500407</v>
      </c>
      <c r="K52" s="66">
        <f t="shared" si="15"/>
        <v>6.9130000000000003</v>
      </c>
      <c r="L52" s="66">
        <f t="shared" si="16"/>
        <v>0</v>
      </c>
      <c r="M52" s="68">
        <f t="shared" si="17"/>
        <v>4.3237191300832709</v>
      </c>
      <c r="N52" s="273">
        <f>IF($I$2="DRT",VLOOKUP(A52,'Misc. Data &amp; Mechanisms'!$A$1381:$D$1471,2,FALSE),AX52)</f>
        <v>2.61</v>
      </c>
      <c r="O52" s="333">
        <f t="shared" si="18"/>
        <v>22.043608230598895</v>
      </c>
      <c r="P52" s="387">
        <v>0.89700000000000002</v>
      </c>
      <c r="Q52" s="278">
        <v>0.95599999999999996</v>
      </c>
      <c r="R52" s="338">
        <f t="shared" si="24"/>
        <v>7.575906736723069</v>
      </c>
      <c r="S52" s="338">
        <f t="shared" si="25"/>
        <v>29.635999999999999</v>
      </c>
      <c r="T52" s="391">
        <f>VLOOKUP($A52,'Misc. Data &amp; Mechanisms'!$A$63:$DY$152,HLOOKUP('Service Zone Menu'!$X$3&amp;"_ATCO-N_NG_Y_1",'Misc. Data &amp; Mechanisms'!$A$55:$DY$62,8,FALSE), FALSE)</f>
        <v>0.32900000000000001</v>
      </c>
      <c r="U52" s="205">
        <f>VLOOKUP($A52,'Misc. Data &amp; Mechanisms'!$A$63:$DY$152,HLOOKUP('Service Zone Menu'!$X$3&amp;"_ATCO-N_NG_Y_2",'Misc. Data &amp; Mechanisms'!$A$55:$DY$62,8,FALSE), FALSE)</f>
        <v>3.5000000000000003E-2</v>
      </c>
      <c r="V52" s="425">
        <f>IF(OR('Service Zone Menu'!$X$3="Fort McMurray",AND('Service Zone Menu'!$X$3="Spruce Grove", $A52&lt;DATE(2019, 5, 1))),$T52*($G52+$H52+$J52), $T52*($H52+$J52))</f>
        <v>13.873422117361352</v>
      </c>
      <c r="W52" s="338">
        <f t="shared" si="26"/>
        <v>1.4758959699320588</v>
      </c>
      <c r="X52" s="426">
        <v>-3.5999999999999997E-2</v>
      </c>
      <c r="Y52" s="386">
        <v>-1.9E-2</v>
      </c>
      <c r="Z52" s="386"/>
      <c r="AA52" s="278">
        <v>0.73799999999999999</v>
      </c>
      <c r="AB52" s="386"/>
      <c r="AC52" s="386"/>
      <c r="AD52" s="386"/>
      <c r="AE52" s="386"/>
      <c r="AF52" s="425">
        <f t="shared" si="27"/>
        <v>-1.2764707112572333</v>
      </c>
      <c r="AG52" s="425">
        <f t="shared" si="28"/>
        <v>0</v>
      </c>
      <c r="AH52" s="425">
        <f t="shared" si="29"/>
        <v>6.233020258307274</v>
      </c>
      <c r="AI52" s="425">
        <f t="shared" si="30"/>
        <v>0</v>
      </c>
      <c r="AJ52" s="425">
        <f t="shared" si="20"/>
        <v>0</v>
      </c>
      <c r="AK52" s="425">
        <f t="shared" si="21"/>
        <v>0</v>
      </c>
      <c r="AL52" s="425">
        <f t="shared" si="22"/>
        <v>0</v>
      </c>
      <c r="AM52" s="200">
        <f>IF($I$2="DRT",VLOOKUP(A52,'Misc. Data &amp; Mechanisms'!$A$1483:$H$1574,6,FALSE),AY52)</f>
        <v>0.223</v>
      </c>
      <c r="AN52" s="333">
        <f t="shared" si="23"/>
        <v>6.9130000000000003</v>
      </c>
      <c r="AO52" s="296"/>
      <c r="AP52" s="333">
        <f t="shared" si="31"/>
        <v>0</v>
      </c>
      <c r="AQ52" s="340">
        <f>5%</f>
        <v>0.05</v>
      </c>
      <c r="AR52" s="341">
        <f>'Misc. Data &amp; Mechanisms'!AL325</f>
        <v>8.5537181675710556</v>
      </c>
      <c r="AS52" s="424">
        <f>'Misc. Data &amp; Mechanisms'!AQ325</f>
        <v>8.2418787141546677</v>
      </c>
      <c r="AT52" s="424">
        <f>'Misc. Data &amp; Mechanisms'!W325</f>
        <v>8.4458269082754391</v>
      </c>
      <c r="AU52" s="424">
        <f>'Misc. Data &amp; Mechanisms'!X325</f>
        <v>5.3941371868123671</v>
      </c>
      <c r="AV52" s="1460">
        <f>'Misc. Data &amp; Mechanisms'!$B$260</f>
        <v>10.198990303636064</v>
      </c>
      <c r="AW52" s="197">
        <f>IFERROR(IF('Personalized Bill Menu'!$B$30="Yes", IF('Personalized Bill Menu'!$B$34="Natural Gas",VLOOKUP($A52, 'Personalized Bill Menu'!$H$4:$L$93, 2, FALSE), IF('Personalized Bill Menu'!$B$34="Both",VLOOKUP($A52,'Personalized Bill Menu'!$H$4:$P$93, 6, FALSE), 0)), 0),0)</f>
        <v>0</v>
      </c>
      <c r="AX52" s="1343">
        <f>IFERROR(IF('Personalized Bill Menu'!$C$37="Custom", IF('Personalized Bill Menu'!$B$34="Natural Gas",VLOOKUP($A52, 'Personalized Bill Menu'!$H$4:$L$93, 3, FALSE), IF('Personalized Bill Menu'!$B$34="Both",VLOOKUP($A52,'Personalized Bill Menu'!$H$4:$P$93, 7, FALSE), 0)), 0),0)</f>
        <v>0</v>
      </c>
      <c r="AY52" s="1344">
        <f>IFERROR(IF('Personalized Bill Menu'!$C$37="Custom", IF('Personalized Bill Menu'!$B$34="Natural Gas",VLOOKUP($A52, 'Personalized Bill Menu'!$H$4:$L$93, 4, FALSE), IF('Personalized Bill Menu'!$B$34="Both",VLOOKUP($A52,'Personalized Bill Menu'!$H$4:$P$93, 8, FALSE), 0)), 0),0)</f>
        <v>0</v>
      </c>
      <c r="AZ52" s="335"/>
      <c r="BA52" s="335"/>
      <c r="BB52" s="335"/>
    </row>
    <row r="53" spans="1:54" x14ac:dyDescent="0.35">
      <c r="A53" s="427">
        <v>42309</v>
      </c>
      <c r="B53" s="85">
        <f t="shared" si="9"/>
        <v>30</v>
      </c>
      <c r="C53" s="1581">
        <f t="shared" si="10"/>
        <v>14.990774689171802</v>
      </c>
      <c r="D53" s="66">
        <f t="shared" si="11"/>
        <v>7.9650931209723241</v>
      </c>
      <c r="E53" s="66">
        <f>(1+$AQ53)*IF(OR('Service Zone Menu'!$X$3="Fort McMurray",AND('Service Zone Menu'!$X$3="Spruce Grove", $A53&lt;DATE(2019, 5, 1))),((((1+$T53)*($P53+$N53)))+($U53*$P53)+((1+$T53+$U53)*($Y53+$Z53+$AA53+$AB53)) + $AO53),($N53+((1+$T53+$U53)*$P53)+((1+$T53+$U53)*($Y53+$Z53+$AA53+$AB53)) + $AO53))</f>
        <v>4.8596351999999996</v>
      </c>
      <c r="F53" s="400">
        <f t="shared" si="12"/>
        <v>119.40291635476835</v>
      </c>
      <c r="G53" s="115">
        <f t="shared" si="13"/>
        <v>36.337637846552447</v>
      </c>
      <c r="H53" s="66">
        <f t="shared" si="0"/>
        <v>42.126724896187106</v>
      </c>
      <c r="I53" s="66">
        <f t="shared" si="1"/>
        <v>18.864333450763393</v>
      </c>
      <c r="J53" s="66">
        <f t="shared" si="14"/>
        <v>9.6983670015145265</v>
      </c>
      <c r="K53" s="66">
        <f t="shared" si="15"/>
        <v>6.69</v>
      </c>
      <c r="L53" s="66">
        <f t="shared" si="16"/>
        <v>0</v>
      </c>
      <c r="M53" s="68">
        <f t="shared" si="17"/>
        <v>5.6858531597508737</v>
      </c>
      <c r="N53" s="273">
        <f>IF($I$2="DRT",VLOOKUP(A53,'Misc. Data &amp; Mechanisms'!$A$1381:$D$1471,2,FALSE),AX53)</f>
        <v>2.4239999999999999</v>
      </c>
      <c r="O53" s="338">
        <f t="shared" si="18"/>
        <v>36.337637846552447</v>
      </c>
      <c r="P53" s="387">
        <v>0.89700000000000002</v>
      </c>
      <c r="Q53" s="278">
        <v>0.95599999999999996</v>
      </c>
      <c r="R53" s="338">
        <f t="shared" si="24"/>
        <v>13.446724896187106</v>
      </c>
      <c r="S53" s="338">
        <f t="shared" si="25"/>
        <v>28.68</v>
      </c>
      <c r="T53" s="391">
        <f>VLOOKUP($A53,'Misc. Data &amp; Mechanisms'!$A$63:$DY$152,HLOOKUP('Service Zone Menu'!$X$3&amp;"_ATCO-N_NG_Y_1",'Misc. Data &amp; Mechanisms'!$A$55:$DY$62,8,FALSE), FALSE)</f>
        <v>0.32900000000000001</v>
      </c>
      <c r="U53" s="205">
        <f>VLOOKUP($A53,'Misc. Data &amp; Mechanisms'!$A$63:$DY$152,HLOOKUP('Service Zone Menu'!$X$3&amp;"_ATCO-N_NG_Y_2",'Misc. Data &amp; Mechanisms'!$A$55:$DY$62,8,FALSE), FALSE)</f>
        <v>3.5000000000000003E-2</v>
      </c>
      <c r="V53" s="425">
        <f>IF(OR('Service Zone Menu'!$X$3="Fort McMurray",AND('Service Zone Menu'!$X$3="Spruce Grove", $A53&lt;DATE(2019, 5, 1))),$T53*($G53+$H53+$J53), $T53*($H53+$J53))</f>
        <v>17.050455234343836</v>
      </c>
      <c r="W53" s="338">
        <f t="shared" si="26"/>
        <v>1.8138782164195573</v>
      </c>
      <c r="X53" s="426">
        <v>-3.5999999999999997E-2</v>
      </c>
      <c r="Y53" s="386">
        <v>-1.9E-2</v>
      </c>
      <c r="Z53" s="386"/>
      <c r="AA53" s="278">
        <v>0.73799999999999999</v>
      </c>
      <c r="AB53" s="386"/>
      <c r="AC53" s="386"/>
      <c r="AD53" s="386"/>
      <c r="AE53" s="386"/>
      <c r="AF53" s="425">
        <f t="shared" si="27"/>
        <v>-1.3648247190942642</v>
      </c>
      <c r="AG53" s="425">
        <f t="shared" si="28"/>
        <v>0</v>
      </c>
      <c r="AH53" s="425">
        <f t="shared" si="29"/>
        <v>11.06319172060879</v>
      </c>
      <c r="AI53" s="425">
        <f t="shared" si="30"/>
        <v>0</v>
      </c>
      <c r="AJ53" s="425">
        <f t="shared" si="20"/>
        <v>0</v>
      </c>
      <c r="AK53" s="425">
        <f t="shared" si="21"/>
        <v>0</v>
      </c>
      <c r="AL53" s="425">
        <f t="shared" si="22"/>
        <v>0</v>
      </c>
      <c r="AM53" s="200">
        <f>IF($I$2="DRT",VLOOKUP(A53,'Misc. Data &amp; Mechanisms'!$A$1483:$H$1574,6,FALSE),AY53)</f>
        <v>0.223</v>
      </c>
      <c r="AN53" s="333">
        <f t="shared" si="23"/>
        <v>6.69</v>
      </c>
      <c r="AO53" s="296"/>
      <c r="AP53" s="333">
        <f t="shared" si="31"/>
        <v>0</v>
      </c>
      <c r="AQ53" s="340">
        <f>5%</f>
        <v>0.05</v>
      </c>
      <c r="AR53" s="341">
        <f>'Misc. Data &amp; Mechanisms'!AL326</f>
        <v>15.182274417569843</v>
      </c>
      <c r="AS53" s="424">
        <f>'Misc. Data &amp; Mechanisms'!AQ326</f>
        <v>14.638170158329318</v>
      </c>
      <c r="AT53" s="424">
        <f>'Misc. Data &amp; Mechanisms'!W326</f>
        <v>14.990774689171802</v>
      </c>
      <c r="AU53" s="424">
        <f>'Misc. Data &amp; Mechanisms'!X326</f>
        <v>9.5742306926461236</v>
      </c>
      <c r="AV53" s="1460">
        <f>'Misc. Data &amp; Mechanisms'!$B$260</f>
        <v>10.198990303636064</v>
      </c>
      <c r="AW53" s="197">
        <f>IFERROR(IF('Personalized Bill Menu'!$B$30="Yes", IF('Personalized Bill Menu'!$B$34="Natural Gas",VLOOKUP($A53, 'Personalized Bill Menu'!$H$4:$L$93, 2, FALSE), IF('Personalized Bill Menu'!$B$34="Both",VLOOKUP($A53,'Personalized Bill Menu'!$H$4:$P$93, 6, FALSE), 0)), 0),0)</f>
        <v>0</v>
      </c>
      <c r="AX53" s="1343">
        <f>IFERROR(IF('Personalized Bill Menu'!$C$37="Custom", IF('Personalized Bill Menu'!$B$34="Natural Gas",VLOOKUP($A53, 'Personalized Bill Menu'!$H$4:$L$93, 3, FALSE), IF('Personalized Bill Menu'!$B$34="Both",VLOOKUP($A53,'Personalized Bill Menu'!$H$4:$P$93, 7, FALSE), 0)), 0),0)</f>
        <v>0</v>
      </c>
      <c r="AY53" s="1344">
        <f>IFERROR(IF('Personalized Bill Menu'!$C$37="Custom", IF('Personalized Bill Menu'!$B$34="Natural Gas",VLOOKUP($A53, 'Personalized Bill Menu'!$H$4:$L$93, 4, FALSE), IF('Personalized Bill Menu'!$B$34="Both",VLOOKUP($A53,'Personalized Bill Menu'!$H$4:$P$93, 8, FALSE), 0)), 0),0)</f>
        <v>0</v>
      </c>
      <c r="AZ53" s="335"/>
      <c r="BA53" s="335"/>
      <c r="BB53" s="335"/>
    </row>
    <row r="54" spans="1:54" x14ac:dyDescent="0.35">
      <c r="A54" s="435">
        <v>42339</v>
      </c>
      <c r="B54" s="436">
        <f t="shared" si="9"/>
        <v>31</v>
      </c>
      <c r="C54" s="231">
        <f t="shared" si="10"/>
        <v>20.59018529484085</v>
      </c>
      <c r="D54" s="344">
        <f t="shared" si="11"/>
        <v>6.9607421982693829</v>
      </c>
      <c r="E54" s="344">
        <f>(1+$AQ54)*IF(OR('Service Zone Menu'!$X$3="Fort McMurray",AND('Service Zone Menu'!$X$3="Spruce Grove", $A54&lt;DATE(2019, 5, 1))),((((1+$T54)*($P54+$N54)))+($U54*$P54)+((1+$T54+$U54)*($Y54+$Z54+$AA54+$AB54)) + $AO54),($N54+((1+$T54+$U54)*$P54)+((1+$T54+$U54)*($Y54+$Z54+$AA54+$AB54)) + $AO54))</f>
        <v>4.6244352000000006</v>
      </c>
      <c r="F54" s="437">
        <f t="shared" si="12"/>
        <v>143.32297165198443</v>
      </c>
      <c r="G54" s="343">
        <f t="shared" si="13"/>
        <v>45.298407648649878</v>
      </c>
      <c r="H54" s="344">
        <f t="shared" si="0"/>
        <v>48.105396209472246</v>
      </c>
      <c r="I54" s="344">
        <f t="shared" si="1"/>
        <v>22.492921154872466</v>
      </c>
      <c r="J54" s="344">
        <f t="shared" si="14"/>
        <v>13.688343226990572</v>
      </c>
      <c r="K54" s="344">
        <f t="shared" si="15"/>
        <v>6.9130000000000003</v>
      </c>
      <c r="L54" s="344">
        <f t="shared" si="16"/>
        <v>0</v>
      </c>
      <c r="M54" s="345">
        <f t="shared" si="17"/>
        <v>6.8249034119992587</v>
      </c>
      <c r="N54" s="1243">
        <f>IF($I$2="DRT",VLOOKUP(A54,'Misc. Data &amp; Mechanisms'!$A$1381:$D$1471,2,FALSE),AX54)</f>
        <v>2.2000000000000002</v>
      </c>
      <c r="O54" s="349">
        <f t="shared" si="18"/>
        <v>45.298407648649878</v>
      </c>
      <c r="P54" s="438">
        <v>0.89700000000000002</v>
      </c>
      <c r="Q54" s="283">
        <v>0.95599999999999996</v>
      </c>
      <c r="R54" s="349">
        <f t="shared" si="24"/>
        <v>18.469396209472244</v>
      </c>
      <c r="S54" s="349">
        <f t="shared" si="25"/>
        <v>29.635999999999999</v>
      </c>
      <c r="T54" s="394">
        <f>VLOOKUP($A54,'Misc. Data &amp; Mechanisms'!$A$63:$DY$152,HLOOKUP('Service Zone Menu'!$X$3&amp;"_ATCO-N_NG_Y_1",'Misc. Data &amp; Mechanisms'!$A$55:$DY$62,8,FALSE), FALSE)</f>
        <v>0.32900000000000001</v>
      </c>
      <c r="U54" s="246">
        <f>VLOOKUP($A54,'Misc. Data &amp; Mechanisms'!$A$63:$DY$152,HLOOKUP('Service Zone Menu'!$X$3&amp;"_ATCO-N_NG_Y_2",'Misc. Data &amp; Mechanisms'!$A$55:$DY$62,8,FALSE), FALSE)</f>
        <v>3.5000000000000003E-2</v>
      </c>
      <c r="V54" s="440">
        <f>IF(OR('Service Zone Menu'!$X$3="Fort McMurray",AND('Service Zone Menu'!$X$3="Spruce Grove", $A54&lt;DATE(2019, 5, 1))),$T54*($G54+$H54+$J54), $T54*($H54+$J54))</f>
        <v>20.330140274596268</v>
      </c>
      <c r="W54" s="349">
        <f t="shared" si="26"/>
        <v>2.1627808802761987</v>
      </c>
      <c r="X54" s="439">
        <v>-3.5999999999999997E-2</v>
      </c>
      <c r="Y54" s="399">
        <v>-1.9E-2</v>
      </c>
      <c r="Z54" s="399"/>
      <c r="AA54" s="283">
        <v>0.73799999999999999</v>
      </c>
      <c r="AB54" s="399"/>
      <c r="AC54" s="399"/>
      <c r="AD54" s="399"/>
      <c r="AE54" s="399"/>
      <c r="AF54" s="440">
        <f t="shared" si="27"/>
        <v>-1.5072135206019761</v>
      </c>
      <c r="AG54" s="440">
        <f t="shared" si="28"/>
        <v>0</v>
      </c>
      <c r="AH54" s="440">
        <f t="shared" si="29"/>
        <v>15.195556747592548</v>
      </c>
      <c r="AI54" s="440">
        <f t="shared" si="30"/>
        <v>0</v>
      </c>
      <c r="AJ54" s="440">
        <f t="shared" si="20"/>
        <v>0</v>
      </c>
      <c r="AK54" s="440">
        <f t="shared" si="21"/>
        <v>0</v>
      </c>
      <c r="AL54" s="440">
        <f t="shared" si="22"/>
        <v>0</v>
      </c>
      <c r="AM54" s="239">
        <f>IF($I$2="DRT",VLOOKUP(A54,'Misc. Data &amp; Mechanisms'!$A$1483:$H$1574,6,FALSE),AY54)</f>
        <v>0.223</v>
      </c>
      <c r="AN54" s="346">
        <f t="shared" si="23"/>
        <v>6.9130000000000003</v>
      </c>
      <c r="AO54" s="1501"/>
      <c r="AP54" s="346">
        <f t="shared" si="31"/>
        <v>0</v>
      </c>
      <c r="AQ54" s="351">
        <f>5%</f>
        <v>0.05</v>
      </c>
      <c r="AR54" s="352">
        <f>'Misc. Data &amp; Mechanisms'!AL327</f>
        <v>20.853214722831353</v>
      </c>
      <c r="AS54" s="441">
        <f>'Misc. Data &amp; Mechanisms'!AQ327</f>
        <v>19.973805123316573</v>
      </c>
      <c r="AT54" s="441">
        <f>'Misc. Data &amp; Mechanisms'!W327</f>
        <v>20.59018529484085</v>
      </c>
      <c r="AU54" s="441">
        <f>'Misc. Data &amp; Mechanisms'!X327</f>
        <v>13.150433390179071</v>
      </c>
      <c r="AV54" s="1461">
        <f>'Misc. Data &amp; Mechanisms'!$B$260</f>
        <v>10.198990303636064</v>
      </c>
      <c r="AW54" s="243">
        <f>IFERROR(IF('Personalized Bill Menu'!$B$30="Yes", IF('Personalized Bill Menu'!$B$34="Natural Gas",VLOOKUP($A54, 'Personalized Bill Menu'!$H$4:$L$93, 2, FALSE), IF('Personalized Bill Menu'!$B$34="Both",VLOOKUP($A54,'Personalized Bill Menu'!$H$4:$P$93, 6, FALSE), 0)), 0),0)</f>
        <v>0</v>
      </c>
      <c r="AX54" s="1345">
        <f>IFERROR(IF('Personalized Bill Menu'!$C$37="Custom", IF('Personalized Bill Menu'!$B$34="Natural Gas",VLOOKUP($A54, 'Personalized Bill Menu'!$H$4:$L$93, 3, FALSE), IF('Personalized Bill Menu'!$B$34="Both",VLOOKUP($A54,'Personalized Bill Menu'!$H$4:$P$93, 7, FALSE), 0)), 0),0)</f>
        <v>0</v>
      </c>
      <c r="AY54" s="1346">
        <f>IFERROR(IF('Personalized Bill Menu'!$C$37="Custom", IF('Personalized Bill Menu'!$B$34="Natural Gas",VLOOKUP($A54, 'Personalized Bill Menu'!$H$4:$L$93, 4, FALSE), IF('Personalized Bill Menu'!$B$34="Both",VLOOKUP($A54,'Personalized Bill Menu'!$H$4:$P$93, 8, FALSE), 0)), 0),0)</f>
        <v>0</v>
      </c>
      <c r="AZ54" s="335"/>
      <c r="BA54" s="335"/>
      <c r="BB54" s="335"/>
    </row>
    <row r="55" spans="1:54" x14ac:dyDescent="0.35">
      <c r="A55" s="428">
        <v>42370</v>
      </c>
      <c r="B55" s="429">
        <f t="shared" si="9"/>
        <v>31</v>
      </c>
      <c r="C55" s="212">
        <f t="shared" si="10"/>
        <v>19.978238248555733</v>
      </c>
      <c r="D55" s="353">
        <f t="shared" si="11"/>
        <v>6.9271517089200083</v>
      </c>
      <c r="E55" s="353">
        <f>(1+$AQ55)*IF(OR('Service Zone Menu'!$X$3="Fort McMurray",AND('Service Zone Menu'!$X$3="Spruce Grove", $A55&lt;DATE(2019, 5, 1))),((((1+$T55)*($P55+$N55)))+($U55*$P55)+((1+$T55+$U55)*($Y55+$Z55+$AA55+$AB55)) + $AO55),($N55+((1+$T55+$U55)*$P55)+((1+$T55+$U55)*($Y55+$Z55+$AA55+$AB55)) + $AO55))</f>
        <v>4.4214995999999998</v>
      </c>
      <c r="F55" s="430">
        <f t="shared" si="12"/>
        <v>138.39228722469392</v>
      </c>
      <c r="G55" s="356">
        <f t="shared" si="13"/>
        <v>40.036389450105688</v>
      </c>
      <c r="H55" s="353">
        <f t="shared" si="0"/>
        <v>47.464849658729051</v>
      </c>
      <c r="I55" s="353">
        <f t="shared" si="1"/>
        <v>22.6439993729634</v>
      </c>
      <c r="J55" s="353">
        <f t="shared" si="14"/>
        <v>14.743939827434131</v>
      </c>
      <c r="K55" s="353">
        <f t="shared" si="15"/>
        <v>6.9130000000000003</v>
      </c>
      <c r="L55" s="353">
        <f t="shared" si="16"/>
        <v>0</v>
      </c>
      <c r="M55" s="357">
        <f t="shared" si="17"/>
        <v>6.5901089154616148</v>
      </c>
      <c r="N55" s="273">
        <f>IF($I$2="DRT",VLOOKUP(A55,'Misc. Data &amp; Mechanisms'!$A$1381:$D$1471,2,FALSE),AX55)</f>
        <v>2.004</v>
      </c>
      <c r="O55" s="354">
        <f t="shared" si="18"/>
        <v>40.036389450105688</v>
      </c>
      <c r="P55" s="431">
        <v>0.88</v>
      </c>
      <c r="Q55" s="288">
        <v>0.96399999999999997</v>
      </c>
      <c r="R55" s="354">
        <f t="shared" si="24"/>
        <v>17.580849658729047</v>
      </c>
      <c r="S55" s="354">
        <f t="shared" si="25"/>
        <v>29.884</v>
      </c>
      <c r="T55" s="391">
        <f>VLOOKUP($A55,'Misc. Data &amp; Mechanisms'!$A$63:$DY$152,HLOOKUP('Service Zone Menu'!$X$3&amp;"_ATCO-N_NG_Y_1",'Misc. Data &amp; Mechanisms'!$A$55:$DY$62,8,FALSE), FALSE)</f>
        <v>0.32900000000000001</v>
      </c>
      <c r="U55" s="205">
        <f>VLOOKUP($A55,'Misc. Data &amp; Mechanisms'!$A$63:$DY$152,HLOOKUP('Service Zone Menu'!$X$3&amp;"_ATCO-N_NG_Y_2",'Misc. Data &amp; Mechanisms'!$A$55:$DY$62,8,FALSE), FALSE)</f>
        <v>3.5000000000000003E-2</v>
      </c>
      <c r="V55" s="433">
        <f>IF(OR('Service Zone Menu'!$X$3="Fort McMurray",AND('Service Zone Menu'!$X$3="Spruce Grove", $A55&lt;DATE(2019, 5, 1))),$T55*($G55+$H55+$J55), $T55*($H55+$J55))</f>
        <v>20.466691740947688</v>
      </c>
      <c r="W55" s="354">
        <f t="shared" si="26"/>
        <v>2.1773076320157116</v>
      </c>
      <c r="X55" s="432"/>
      <c r="Y55" s="397"/>
      <c r="Z55" s="397"/>
      <c r="AA55" s="288">
        <v>0.73799999999999999</v>
      </c>
      <c r="AB55" s="288"/>
      <c r="AC55" s="288"/>
      <c r="AD55" s="288"/>
      <c r="AE55" s="288"/>
      <c r="AF55" s="433">
        <f t="shared" si="27"/>
        <v>0</v>
      </c>
      <c r="AG55" s="433">
        <f t="shared" si="28"/>
        <v>0</v>
      </c>
      <c r="AH55" s="433">
        <f t="shared" si="29"/>
        <v>14.743939827434131</v>
      </c>
      <c r="AI55" s="433">
        <f t="shared" si="30"/>
        <v>0</v>
      </c>
      <c r="AJ55" s="433">
        <f t="shared" si="20"/>
        <v>0</v>
      </c>
      <c r="AK55" s="433">
        <f t="shared" si="21"/>
        <v>0</v>
      </c>
      <c r="AL55" s="433">
        <f t="shared" si="22"/>
        <v>0</v>
      </c>
      <c r="AM55" s="200">
        <f>IF($I$2="DRT",VLOOKUP(A55,'Misc. Data &amp; Mechanisms'!$A$1483:$H$1574,6,FALSE),AY55)</f>
        <v>0.223</v>
      </c>
      <c r="AN55" s="333">
        <f t="shared" si="23"/>
        <v>6.9130000000000003</v>
      </c>
      <c r="AO55" s="295"/>
      <c r="AP55" s="355">
        <f t="shared" si="31"/>
        <v>0</v>
      </c>
      <c r="AQ55" s="358">
        <f>5%</f>
        <v>0.05</v>
      </c>
      <c r="AR55" s="359">
        <f>'Misc. Data &amp; Mechanisms'!AL328</f>
        <v>20.233450355854849</v>
      </c>
      <c r="AS55" s="434">
        <f>'Misc. Data &amp; Mechanisms'!AQ328</f>
        <v>19.784535093903379</v>
      </c>
      <c r="AT55" s="434">
        <f>'Misc. Data &amp; Mechanisms'!W328</f>
        <v>19.978238248555733</v>
      </c>
      <c r="AU55" s="434">
        <f>'Misc. Data &amp; Mechanisms'!X328</f>
        <v>12.759598205587233</v>
      </c>
      <c r="AV55" s="1462">
        <f>'Misc. Data &amp; Mechanisms'!$B$260</f>
        <v>10.198990303636064</v>
      </c>
      <c r="AW55" s="197">
        <f>IFERROR(IF('Personalized Bill Menu'!$B$30="Yes", IF('Personalized Bill Menu'!$B$34="Natural Gas",VLOOKUP($A55, 'Personalized Bill Menu'!$H$4:$L$93, 2, FALSE), IF('Personalized Bill Menu'!$B$34="Both",VLOOKUP($A55,'Personalized Bill Menu'!$H$4:$P$93, 6, FALSE), 0)), 0),0)</f>
        <v>0</v>
      </c>
      <c r="AX55" s="1343">
        <f>IFERROR(IF('Personalized Bill Menu'!$C$37="Custom", IF('Personalized Bill Menu'!$B$34="Natural Gas",VLOOKUP($A55, 'Personalized Bill Menu'!$H$4:$L$93, 3, FALSE), IF('Personalized Bill Menu'!$B$34="Both",VLOOKUP($A55,'Personalized Bill Menu'!$H$4:$P$93, 7, FALSE), 0)), 0),0)</f>
        <v>0</v>
      </c>
      <c r="AY55" s="1344">
        <f>IFERROR(IF('Personalized Bill Menu'!$C$37="Custom", IF('Personalized Bill Menu'!$B$34="Natural Gas",VLOOKUP($A55, 'Personalized Bill Menu'!$H$4:$L$93, 4, FALSE), IF('Personalized Bill Menu'!$B$34="Both",VLOOKUP($A55,'Personalized Bill Menu'!$H$4:$P$93, 8, FALSE), 0)), 0),0)</f>
        <v>0</v>
      </c>
      <c r="AZ55" s="335"/>
      <c r="BA55" s="335"/>
      <c r="BB55" s="335"/>
    </row>
    <row r="56" spans="1:54" x14ac:dyDescent="0.35">
      <c r="A56" s="427">
        <v>42401</v>
      </c>
      <c r="B56" s="85">
        <f t="shared" si="9"/>
        <v>29</v>
      </c>
      <c r="C56" s="1581">
        <f t="shared" si="10"/>
        <v>14.878845766239708</v>
      </c>
      <c r="D56" s="66">
        <f t="shared" si="11"/>
        <v>8.6051799919543814</v>
      </c>
      <c r="E56" s="66">
        <f>(1+$AQ56)*IF(OR('Service Zone Menu'!$X$3="Fort McMurray",AND('Service Zone Menu'!$X$3="Spruce Grove", $A56&lt;DATE(2019, 5, 1))),((((1+$T56)*($P56+$N56)))+($U56*$P56)+((1+$T56+$U56)*($Y56+$Z56+$AA56+$AB56)) + $AO56),($N56+((1+$T56+$U56)*$P56)+((1+$T56+$U56)*($Y56+$Z56+$AA56+$AB56)) + $AO56))</f>
        <v>5.4459929999999996</v>
      </c>
      <c r="F56" s="400">
        <f t="shared" si="12"/>
        <v>128.0351458910211</v>
      </c>
      <c r="G56" s="115">
        <f t="shared" si="13"/>
        <v>44.190171925731939</v>
      </c>
      <c r="H56" s="66">
        <f t="shared" si="0"/>
        <v>41.049384274290944</v>
      </c>
      <c r="I56" s="66">
        <f t="shared" si="1"/>
        <v>19.251089806417063</v>
      </c>
      <c r="J56" s="66">
        <f t="shared" si="14"/>
        <v>10.980588175484904</v>
      </c>
      <c r="K56" s="66">
        <f t="shared" si="15"/>
        <v>6.4670000000000005</v>
      </c>
      <c r="L56" s="66">
        <f t="shared" si="16"/>
        <v>0</v>
      </c>
      <c r="M56" s="68">
        <f t="shared" si="17"/>
        <v>6.0969117090962435</v>
      </c>
      <c r="N56" s="273">
        <f>IF($I$2="DRT",VLOOKUP(A56,'Misc. Data &amp; Mechanisms'!$A$1381:$D$1471,2,FALSE),AX56)</f>
        <v>2.97</v>
      </c>
      <c r="O56" s="338">
        <f t="shared" si="18"/>
        <v>44.190171925731939</v>
      </c>
      <c r="P56" s="387">
        <v>0.88</v>
      </c>
      <c r="Q56" s="278">
        <v>0.96399999999999997</v>
      </c>
      <c r="R56" s="338">
        <f t="shared" si="24"/>
        <v>13.093384274290944</v>
      </c>
      <c r="S56" s="338">
        <f t="shared" si="25"/>
        <v>27.956</v>
      </c>
      <c r="T56" s="391">
        <f>VLOOKUP($A56,'Misc. Data &amp; Mechanisms'!$A$63:$DY$152,HLOOKUP('Service Zone Menu'!$X$3&amp;"_ATCO-N_NG_Y_1",'Misc. Data &amp; Mechanisms'!$A$55:$DY$62,8,FALSE), FALSE)</f>
        <v>0.32900000000000001</v>
      </c>
      <c r="U56" s="205">
        <f>VLOOKUP($A56,'Misc. Data &amp; Mechanisms'!$A$63:$DY$152,HLOOKUP('Service Zone Menu'!$X$3&amp;"_ATCO-N_NG_Y_2",'Misc. Data &amp; Mechanisms'!$A$55:$DY$62,8,FALSE), FALSE)</f>
        <v>4.1000000000000002E-2</v>
      </c>
      <c r="V56" s="425">
        <f>IF(OR('Service Zone Menu'!$X$3="Fort McMurray",AND('Service Zone Menu'!$X$3="Spruce Grove", $A56&lt;DATE(2019, 5, 1))),$T56*($G56+$H56+$J56), $T56*($H56+$J56))</f>
        <v>17.117860935976253</v>
      </c>
      <c r="W56" s="338">
        <f t="shared" si="26"/>
        <v>2.13322887044081</v>
      </c>
      <c r="X56" s="426"/>
      <c r="Y56" s="386"/>
      <c r="Z56" s="386"/>
      <c r="AA56" s="278">
        <v>0.73799999999999999</v>
      </c>
      <c r="AB56" s="278"/>
      <c r="AC56" s="278"/>
      <c r="AD56" s="278"/>
      <c r="AE56" s="278"/>
      <c r="AF56" s="425">
        <f t="shared" si="27"/>
        <v>0</v>
      </c>
      <c r="AG56" s="425">
        <f t="shared" si="28"/>
        <v>0</v>
      </c>
      <c r="AH56" s="425">
        <f t="shared" si="29"/>
        <v>10.980588175484904</v>
      </c>
      <c r="AI56" s="425">
        <f t="shared" si="30"/>
        <v>0</v>
      </c>
      <c r="AJ56" s="425">
        <f t="shared" si="20"/>
        <v>0</v>
      </c>
      <c r="AK56" s="425">
        <f t="shared" si="21"/>
        <v>0</v>
      </c>
      <c r="AL56" s="425">
        <f t="shared" si="22"/>
        <v>0</v>
      </c>
      <c r="AM56" s="200">
        <f>IF($I$2="DRT",VLOOKUP(A56,'Misc. Data &amp; Mechanisms'!$A$1483:$H$1574,6,FALSE),AY56)</f>
        <v>0.223</v>
      </c>
      <c r="AN56" s="333">
        <f t="shared" si="23"/>
        <v>6.4670000000000005</v>
      </c>
      <c r="AO56" s="296"/>
      <c r="AP56" s="333">
        <f t="shared" si="31"/>
        <v>0</v>
      </c>
      <c r="AQ56" s="340">
        <f>5%</f>
        <v>0.05</v>
      </c>
      <c r="AR56" s="341">
        <f>'Misc. Data &amp; Mechanisms'!AL329</f>
        <v>15.06891565803585</v>
      </c>
      <c r="AS56" s="424">
        <f>'Misc. Data &amp; Mechanisms'!AQ329</f>
        <v>14.532611712925958</v>
      </c>
      <c r="AT56" s="424">
        <f>'Misc. Data &amp; Mechanisms'!W329</f>
        <v>14.878845766239708</v>
      </c>
      <c r="AU56" s="424">
        <f>'Misc. Data &amp; Mechanisms'!X329</f>
        <v>9.5027445052040989</v>
      </c>
      <c r="AV56" s="1460">
        <f>'Misc. Data &amp; Mechanisms'!$B$260</f>
        <v>10.198990303636064</v>
      </c>
      <c r="AW56" s="197">
        <f>IFERROR(IF('Personalized Bill Menu'!$B$30="Yes", IF('Personalized Bill Menu'!$B$34="Natural Gas",VLOOKUP($A56, 'Personalized Bill Menu'!$H$4:$L$93, 2, FALSE), IF('Personalized Bill Menu'!$B$34="Both",VLOOKUP($A56,'Personalized Bill Menu'!$H$4:$P$93, 6, FALSE), 0)), 0),0)</f>
        <v>0</v>
      </c>
      <c r="AX56" s="1343">
        <f>IFERROR(IF('Personalized Bill Menu'!$C$37="Custom", IF('Personalized Bill Menu'!$B$34="Natural Gas",VLOOKUP($A56, 'Personalized Bill Menu'!$H$4:$L$93, 3, FALSE), IF('Personalized Bill Menu'!$B$34="Both",VLOOKUP($A56,'Personalized Bill Menu'!$H$4:$P$93, 7, FALSE), 0)), 0),0)</f>
        <v>0</v>
      </c>
      <c r="AY56" s="1344">
        <f>IFERROR(IF('Personalized Bill Menu'!$C$37="Custom", IF('Personalized Bill Menu'!$B$34="Natural Gas",VLOOKUP($A56, 'Personalized Bill Menu'!$H$4:$L$93, 4, FALSE), IF('Personalized Bill Menu'!$B$34="Both",VLOOKUP($A56,'Personalized Bill Menu'!$H$4:$P$93, 8, FALSE), 0)), 0),0)</f>
        <v>0</v>
      </c>
      <c r="AZ56" s="335"/>
      <c r="BA56" s="335"/>
      <c r="BB56" s="335"/>
    </row>
    <row r="57" spans="1:54" x14ac:dyDescent="0.35">
      <c r="A57" s="427">
        <v>42430</v>
      </c>
      <c r="B57" s="85">
        <f t="shared" si="9"/>
        <v>31</v>
      </c>
      <c r="C57" s="1581">
        <f t="shared" si="10"/>
        <v>13.206160273874641</v>
      </c>
      <c r="D57" s="66">
        <f t="shared" si="11"/>
        <v>8.5148678936952198</v>
      </c>
      <c r="E57" s="66">
        <f>(1+$AQ57)*IF(OR('Service Zone Menu'!$X$3="Fort McMurray",AND('Service Zone Menu'!$X$3="Spruce Grove", $A57&lt;DATE(2019, 5, 1))),((((1+$T57)*($P57+$N57)))+($U57*$P57)+((1+$T57+$U57)*($Y57+$Z57+$AA57+$AB57)) + $AO57),($N57+((1+$T57+$U57)*$P57)+((1+$T57+$U57)*($Y57+$Z57+$AA57+$AB57)) + $AO57))</f>
        <v>4.7100690000000007</v>
      </c>
      <c r="F57" s="400">
        <f t="shared" si="12"/>
        <v>112.44871011500844</v>
      </c>
      <c r="G57" s="115">
        <f t="shared" si="13"/>
        <v>28.591336992938597</v>
      </c>
      <c r="H57" s="66">
        <f t="shared" si="0"/>
        <v>41.505421041009683</v>
      </c>
      <c r="I57" s="66">
        <f t="shared" si="1"/>
        <v>19.334437136459147</v>
      </c>
      <c r="J57" s="66">
        <f t="shared" si="14"/>
        <v>10.749814462933957</v>
      </c>
      <c r="K57" s="66">
        <f t="shared" si="15"/>
        <v>6.9130000000000003</v>
      </c>
      <c r="L57" s="66">
        <f t="shared" si="16"/>
        <v>0</v>
      </c>
      <c r="M57" s="68">
        <f t="shared" si="17"/>
        <v>5.3547004816670691</v>
      </c>
      <c r="N57" s="273">
        <f>IF($I$2="DRT",VLOOKUP(A57,'Misc. Data &amp; Mechanisms'!$A$1381:$D$1471,2,FALSE),AX57)</f>
        <v>2.165</v>
      </c>
      <c r="O57" s="338">
        <f t="shared" si="18"/>
        <v>28.591336992938597</v>
      </c>
      <c r="P57" s="387">
        <v>0.88</v>
      </c>
      <c r="Q57" s="278">
        <v>0.96399999999999997</v>
      </c>
      <c r="R57" s="338">
        <f t="shared" si="24"/>
        <v>11.621421041009684</v>
      </c>
      <c r="S57" s="338">
        <f t="shared" si="25"/>
        <v>29.884</v>
      </c>
      <c r="T57" s="391">
        <f>VLOOKUP($A57,'Misc. Data &amp; Mechanisms'!$A$63:$DY$152,HLOOKUP('Service Zone Menu'!$X$3&amp;"_ATCO-N_NG_Y_1",'Misc. Data &amp; Mechanisms'!$A$55:$DY$62,8,FALSE), FALSE)</f>
        <v>0.32900000000000001</v>
      </c>
      <c r="U57" s="205">
        <f>VLOOKUP($A57,'Misc. Data &amp; Mechanisms'!$A$63:$DY$152,HLOOKUP('Service Zone Menu'!$X$3&amp;"_ATCO-N_NG_Y_2",'Misc. Data &amp; Mechanisms'!$A$55:$DY$62,8,FALSE), FALSE)</f>
        <v>4.1000000000000002E-2</v>
      </c>
      <c r="V57" s="425">
        <f>IF(OR('Service Zone Menu'!$X$3="Fort McMurray",AND('Service Zone Menu'!$X$3="Spruce Grove", $A57&lt;DATE(2019, 5, 1))),$T57*($G57+$H57+$J57), $T57*($H57+$J57))</f>
        <v>17.191972480797457</v>
      </c>
      <c r="W57" s="338">
        <f t="shared" si="26"/>
        <v>2.1424646556616893</v>
      </c>
      <c r="X57" s="426"/>
      <c r="Y57" s="386"/>
      <c r="Z57" s="386"/>
      <c r="AA57" s="278">
        <v>0.81399999999999995</v>
      </c>
      <c r="AB57" s="278"/>
      <c r="AC57" s="278"/>
      <c r="AD57" s="278"/>
      <c r="AE57" s="278"/>
      <c r="AF57" s="425">
        <f t="shared" si="27"/>
        <v>0</v>
      </c>
      <c r="AG57" s="425">
        <f t="shared" si="28"/>
        <v>0</v>
      </c>
      <c r="AH57" s="425">
        <f t="shared" si="29"/>
        <v>10.749814462933957</v>
      </c>
      <c r="AI57" s="425">
        <f t="shared" si="30"/>
        <v>0</v>
      </c>
      <c r="AJ57" s="425">
        <f t="shared" si="20"/>
        <v>0</v>
      </c>
      <c r="AK57" s="425">
        <f t="shared" si="21"/>
        <v>0</v>
      </c>
      <c r="AL57" s="425">
        <f t="shared" si="22"/>
        <v>0</v>
      </c>
      <c r="AM57" s="200">
        <f>IF($I$2="DRT",VLOOKUP(A57,'Misc. Data &amp; Mechanisms'!$A$1483:$H$1574,6,FALSE),AY57)</f>
        <v>0.223</v>
      </c>
      <c r="AN57" s="333">
        <f t="shared" si="23"/>
        <v>6.9130000000000003</v>
      </c>
      <c r="AO57" s="296"/>
      <c r="AP57" s="333">
        <f t="shared" si="31"/>
        <v>0</v>
      </c>
      <c r="AQ57" s="340">
        <f>5%</f>
        <v>0.05</v>
      </c>
      <c r="AR57" s="341">
        <f>'Misc. Data &amp; Mechanisms'!AL330</f>
        <v>13.374862436242189</v>
      </c>
      <c r="AS57" s="424">
        <f>'Misc. Data &amp; Mechanisms'!AQ330</f>
        <v>13.124025870796624</v>
      </c>
      <c r="AT57" s="424">
        <f>'Misc. Data &amp; Mechanisms'!W330</f>
        <v>13.206160273874641</v>
      </c>
      <c r="AU57" s="424">
        <f>'Misc. Data &amp; Mechanisms'!X330</f>
        <v>8.4344423585703243</v>
      </c>
      <c r="AV57" s="1460">
        <f>'Misc. Data &amp; Mechanisms'!$B$260</f>
        <v>10.198990303636064</v>
      </c>
      <c r="AW57" s="197">
        <f>IFERROR(IF('Personalized Bill Menu'!$B$30="Yes", IF('Personalized Bill Menu'!$B$34="Natural Gas",VLOOKUP($A57, 'Personalized Bill Menu'!$H$4:$L$93, 2, FALSE), IF('Personalized Bill Menu'!$B$34="Both",VLOOKUP($A57,'Personalized Bill Menu'!$H$4:$P$93, 6, FALSE), 0)), 0),0)</f>
        <v>0</v>
      </c>
      <c r="AX57" s="1343">
        <f>IFERROR(IF('Personalized Bill Menu'!$C$37="Custom", IF('Personalized Bill Menu'!$B$34="Natural Gas",VLOOKUP($A57, 'Personalized Bill Menu'!$H$4:$L$93, 3, FALSE), IF('Personalized Bill Menu'!$B$34="Both",VLOOKUP($A57,'Personalized Bill Menu'!$H$4:$P$93, 7, FALSE), 0)), 0),0)</f>
        <v>0</v>
      </c>
      <c r="AY57" s="1344">
        <f>IFERROR(IF('Personalized Bill Menu'!$C$37="Custom", IF('Personalized Bill Menu'!$B$34="Natural Gas",VLOOKUP($A57, 'Personalized Bill Menu'!$H$4:$L$93, 4, FALSE), IF('Personalized Bill Menu'!$B$34="Both",VLOOKUP($A57,'Personalized Bill Menu'!$H$4:$P$93, 8, FALSE), 0)), 0),0)</f>
        <v>0</v>
      </c>
      <c r="AZ57" s="335"/>
      <c r="BA57" s="335"/>
      <c r="BB57" s="335"/>
    </row>
    <row r="58" spans="1:54" x14ac:dyDescent="0.35">
      <c r="A58" s="427">
        <v>42461</v>
      </c>
      <c r="B58" s="85">
        <f t="shared" si="9"/>
        <v>30</v>
      </c>
      <c r="C58" s="1581">
        <f t="shared" si="10"/>
        <v>7.0906025665614578</v>
      </c>
      <c r="D58" s="66">
        <f t="shared" si="11"/>
        <v>10.315221978956552</v>
      </c>
      <c r="E58" s="66">
        <f>(1+$AQ58)*IF(OR('Service Zone Menu'!$X$3="Fort McMurray",AND('Service Zone Menu'!$X$3="Spruce Grove", $A58&lt;DATE(2019, 5, 1))),((((1+$T58)*($P58+$N58)))+($U58*$P58)+((1+$T58+$U58)*($Y58+$Z58+$AA58+$AB58)) + $AO58),($N58+((1+$T58+$U58)*$P58)+((1+$T58+$U58)*($Y58+$Z58+$AA58+$AB58)) + $AO58))</f>
        <v>3.3419190000000003</v>
      </c>
      <c r="F58" s="400">
        <f t="shared" si="12"/>
        <v>73.141139438640494</v>
      </c>
      <c r="G58" s="115">
        <f t="shared" si="13"/>
        <v>6.1120994123759766</v>
      </c>
      <c r="H58" s="66">
        <f t="shared" si="0"/>
        <v>35.159730258574079</v>
      </c>
      <c r="I58" s="66">
        <f t="shared" si="1"/>
        <v>15.144647876669389</v>
      </c>
      <c r="J58" s="66">
        <f t="shared" si="14"/>
        <v>5.7717504891810263</v>
      </c>
      <c r="K58" s="66">
        <f t="shared" si="15"/>
        <v>7.47</v>
      </c>
      <c r="L58" s="66">
        <f t="shared" si="16"/>
        <v>0</v>
      </c>
      <c r="M58" s="68">
        <f>SUM($AQ58)*SUM($G58:$L58)</f>
        <v>3.4829114018400236</v>
      </c>
      <c r="N58" s="273">
        <f>IF($I$2="DRT",VLOOKUP(A58,'Misc. Data &amp; Mechanisms'!$A$1381:$D$1471,2,FALSE),AX58)</f>
        <v>0.86199999999999999</v>
      </c>
      <c r="O58" s="338">
        <f t="shared" si="18"/>
        <v>6.1120994123759766</v>
      </c>
      <c r="P58" s="387">
        <v>0.88</v>
      </c>
      <c r="Q58" s="278">
        <v>0.96399999999999997</v>
      </c>
      <c r="R58" s="338">
        <f t="shared" si="24"/>
        <v>6.2397302585740828</v>
      </c>
      <c r="S58" s="338">
        <f t="shared" si="25"/>
        <v>28.919999999999998</v>
      </c>
      <c r="T58" s="391">
        <f>VLOOKUP($A58,'Misc. Data &amp; Mechanisms'!$A$63:$DY$152,HLOOKUP('Service Zone Menu'!$X$3&amp;"_ATCO-N_NG_Y_1",'Misc. Data &amp; Mechanisms'!$A$55:$DY$62,8,FALSE), FALSE)</f>
        <v>0.32900000000000001</v>
      </c>
      <c r="U58" s="205">
        <f>VLOOKUP($A58,'Misc. Data &amp; Mechanisms'!$A$63:$DY$152,HLOOKUP('Service Zone Menu'!$X$3&amp;"_ATCO-N_NG_Y_2",'Misc. Data &amp; Mechanisms'!$A$55:$DY$62,8,FALSE), FALSE)</f>
        <v>4.1000000000000002E-2</v>
      </c>
      <c r="V58" s="425">
        <f>IF(OR('Service Zone Menu'!$X$3="Fort McMurray",AND('Service Zone Menu'!$X$3="Spruce Grove", $A58&lt;DATE(2019, 5, 1))),$T58*($G58+$H58+$J58), $T58*($H58+$J58))</f>
        <v>13.466457166011429</v>
      </c>
      <c r="W58" s="338">
        <f t="shared" si="26"/>
        <v>1.6781907106579592</v>
      </c>
      <c r="X58" s="426"/>
      <c r="Y58" s="386"/>
      <c r="Z58" s="278"/>
      <c r="AA58" s="278">
        <v>0.81399999999999995</v>
      </c>
      <c r="AB58" s="278"/>
      <c r="AC58" s="278"/>
      <c r="AD58" s="278"/>
      <c r="AE58" s="278"/>
      <c r="AF58" s="425">
        <f t="shared" si="27"/>
        <v>0</v>
      </c>
      <c r="AG58" s="425">
        <f t="shared" si="28"/>
        <v>0</v>
      </c>
      <c r="AH58" s="425">
        <f t="shared" si="29"/>
        <v>5.7717504891810263</v>
      </c>
      <c r="AI58" s="425">
        <f t="shared" si="30"/>
        <v>0</v>
      </c>
      <c r="AJ58" s="425">
        <f t="shared" si="20"/>
        <v>0</v>
      </c>
      <c r="AK58" s="425">
        <f t="shared" si="21"/>
        <v>0</v>
      </c>
      <c r="AL58" s="425">
        <f t="shared" si="22"/>
        <v>0</v>
      </c>
      <c r="AM58" s="200">
        <f>IF($I$2="DRT",VLOOKUP(A58,'Misc. Data &amp; Mechanisms'!$A$1483:$H$1574,6,FALSE),AY58)</f>
        <v>0.249</v>
      </c>
      <c r="AN58" s="333">
        <f t="shared" si="23"/>
        <v>7.47</v>
      </c>
      <c r="AO58" s="296"/>
      <c r="AP58" s="333">
        <f t="shared" si="31"/>
        <v>0</v>
      </c>
      <c r="AQ58" s="340">
        <f>5%</f>
        <v>0.05</v>
      </c>
      <c r="AR58" s="341">
        <f>'Misc. Data &amp; Mechanisms'!AL331</f>
        <v>7.1811815055308879</v>
      </c>
      <c r="AS58" s="424">
        <f>'Misc. Data &amp; Mechanisms'!AQ331</f>
        <v>7.6471624167395547</v>
      </c>
      <c r="AT58" s="424">
        <f>'Misc. Data &amp; Mechanisms'!W331</f>
        <v>7.0906025665614578</v>
      </c>
      <c r="AU58" s="424">
        <f>'Misc. Data &amp; Mechanisms'!X331</f>
        <v>4.5285894911865059</v>
      </c>
      <c r="AV58" s="1460">
        <f>'Misc. Data &amp; Mechanisms'!$B$260</f>
        <v>10.198990303636064</v>
      </c>
      <c r="AW58" s="197">
        <f>IFERROR(IF('Personalized Bill Menu'!$B$30="Yes", IF('Personalized Bill Menu'!$B$34="Natural Gas",VLOOKUP($A58, 'Personalized Bill Menu'!$H$4:$L$93, 2, FALSE), IF('Personalized Bill Menu'!$B$34="Both",VLOOKUP($A58,'Personalized Bill Menu'!$H$4:$P$93, 6, FALSE), 0)), 0),0)</f>
        <v>0</v>
      </c>
      <c r="AX58" s="1343">
        <f>IFERROR(IF('Personalized Bill Menu'!$C$37="Custom", IF('Personalized Bill Menu'!$B$34="Natural Gas",VLOOKUP($A58, 'Personalized Bill Menu'!$H$4:$L$93, 3, FALSE), IF('Personalized Bill Menu'!$B$34="Both",VLOOKUP($A58,'Personalized Bill Menu'!$H$4:$P$93, 7, FALSE), 0)), 0),0)</f>
        <v>0</v>
      </c>
      <c r="AY58" s="1344">
        <f>IFERROR(IF('Personalized Bill Menu'!$C$37="Custom", IF('Personalized Bill Menu'!$B$34="Natural Gas",VLOOKUP($A58, 'Personalized Bill Menu'!$H$4:$L$93, 4, FALSE), IF('Personalized Bill Menu'!$B$34="Both",VLOOKUP($A58,'Personalized Bill Menu'!$H$4:$P$93, 8, FALSE), 0)), 0),0)</f>
        <v>0</v>
      </c>
      <c r="AZ58" s="335"/>
      <c r="BA58" s="335"/>
      <c r="BB58" s="335"/>
    </row>
    <row r="59" spans="1:54" x14ac:dyDescent="0.35">
      <c r="A59" s="427">
        <v>42491</v>
      </c>
      <c r="B59" s="85">
        <f t="shared" si="9"/>
        <v>31</v>
      </c>
      <c r="C59" s="1581">
        <f t="shared" si="10"/>
        <v>4.6826820141139551</v>
      </c>
      <c r="D59" s="66">
        <f t="shared" si="11"/>
        <v>14.182641724135786</v>
      </c>
      <c r="E59" s="66">
        <f>(1+$AQ59)*IF(OR('Service Zone Menu'!$X$3="Fort McMurray",AND('Service Zone Menu'!$X$3="Spruce Grove", $A59&lt;DATE(2019, 5, 1))),((((1+$T59)*($P59+$N59)))+($U59*$P59)+((1+$T59+$U59)*($Y59+$Z59+$AA59+$AB59)) + $AO59),($N59+((1+$T59+$U59)*$P59)+((1+$T59+$U59)*($Y59+$Z59+$AA59+$AB59)) + $AO59))</f>
        <v>3.2715689999999999</v>
      </c>
      <c r="F59" s="400">
        <f t="shared" si="12"/>
        <v>66.41280131423278</v>
      </c>
      <c r="G59" s="115">
        <f t="shared" si="13"/>
        <v>3.7227322012205946</v>
      </c>
      <c r="H59" s="66">
        <f t="shared" si="0"/>
        <v>34.004760172420283</v>
      </c>
      <c r="I59" s="66">
        <f t="shared" si="1"/>
        <v>13.992091432806346</v>
      </c>
      <c r="J59" s="66">
        <f t="shared" si="14"/>
        <v>3.8117031594887592</v>
      </c>
      <c r="K59" s="66">
        <f t="shared" si="15"/>
        <v>7.7190000000000003</v>
      </c>
      <c r="L59" s="66">
        <f t="shared" si="16"/>
        <v>0</v>
      </c>
      <c r="M59" s="68">
        <f t="shared" si="17"/>
        <v>3.1625143482967992</v>
      </c>
      <c r="N59" s="273">
        <f>IF($I$2="DRT",VLOOKUP(A59,'Misc. Data &amp; Mechanisms'!$A$1381:$D$1471,2,FALSE),AX59)</f>
        <v>0.79500000000000004</v>
      </c>
      <c r="O59" s="338">
        <f t="shared" si="18"/>
        <v>3.7227322012205946</v>
      </c>
      <c r="P59" s="387">
        <v>0.88</v>
      </c>
      <c r="Q59" s="278">
        <v>0.96399999999999997</v>
      </c>
      <c r="R59" s="338">
        <f t="shared" si="24"/>
        <v>4.1207601724202805</v>
      </c>
      <c r="S59" s="338">
        <f t="shared" si="25"/>
        <v>29.884</v>
      </c>
      <c r="T59" s="391">
        <f>VLOOKUP($A59,'Misc. Data &amp; Mechanisms'!$A$63:$DY$152,HLOOKUP('Service Zone Menu'!$X$3&amp;"_ATCO-N_NG_Y_1",'Misc. Data &amp; Mechanisms'!$A$55:$DY$62,8,FALSE), FALSE)</f>
        <v>0.32900000000000001</v>
      </c>
      <c r="U59" s="205">
        <f>VLOOKUP($A59,'Misc. Data &amp; Mechanisms'!$A$63:$DY$152,HLOOKUP('Service Zone Menu'!$X$3&amp;"_ATCO-N_NG_Y_2",'Misc. Data &amp; Mechanisms'!$A$55:$DY$62,8,FALSE), FALSE)</f>
        <v>4.1000000000000002E-2</v>
      </c>
      <c r="V59" s="425">
        <f>IF(OR('Service Zone Menu'!$X$3="Fort McMurray",AND('Service Zone Menu'!$X$3="Spruce Grove", $A59&lt;DATE(2019, 5, 1))),$T59*($G59+$H59+$J59), $T59*($H59+$J59))</f>
        <v>12.441616436198075</v>
      </c>
      <c r="W59" s="338">
        <f t="shared" si="26"/>
        <v>1.5504749966082707</v>
      </c>
      <c r="X59" s="426"/>
      <c r="Y59" s="386"/>
      <c r="Z59" s="278"/>
      <c r="AA59" s="278">
        <v>0.81399999999999995</v>
      </c>
      <c r="AB59" s="278"/>
      <c r="AC59" s="278"/>
      <c r="AD59" s="278"/>
      <c r="AE59" s="278"/>
      <c r="AF59" s="425">
        <f t="shared" si="27"/>
        <v>0</v>
      </c>
      <c r="AG59" s="425">
        <f t="shared" si="28"/>
        <v>0</v>
      </c>
      <c r="AH59" s="425">
        <f t="shared" si="29"/>
        <v>3.8117031594887592</v>
      </c>
      <c r="AI59" s="425">
        <f t="shared" si="30"/>
        <v>0</v>
      </c>
      <c r="AJ59" s="425">
        <f t="shared" si="20"/>
        <v>0</v>
      </c>
      <c r="AK59" s="425">
        <f t="shared" si="21"/>
        <v>0</v>
      </c>
      <c r="AL59" s="425">
        <f t="shared" si="22"/>
        <v>0</v>
      </c>
      <c r="AM59" s="200">
        <f>IF($I$2="DRT",VLOOKUP(A59,'Misc. Data &amp; Mechanisms'!$A$1483:$H$1574,6,FALSE),AY59)</f>
        <v>0.249</v>
      </c>
      <c r="AN59" s="333">
        <f t="shared" si="23"/>
        <v>7.7190000000000003</v>
      </c>
      <c r="AO59" s="296"/>
      <c r="AP59" s="333">
        <f t="shared" si="31"/>
        <v>0</v>
      </c>
      <c r="AQ59" s="340">
        <f>5%</f>
        <v>0.05</v>
      </c>
      <c r="AR59" s="341">
        <f>'Misc. Data &amp; Mechanisms'!AL332</f>
        <v>4.7425009595968026</v>
      </c>
      <c r="AS59" s="424">
        <f>'Misc. Data &amp; Mechanisms'!AQ332</f>
        <v>5.4568344952411101</v>
      </c>
      <c r="AT59" s="424">
        <f>'Misc. Data &amp; Mechanisms'!W332</f>
        <v>4.6826820141139551</v>
      </c>
      <c r="AU59" s="424">
        <f>'Misc. Data &amp; Mechanisms'!X332</f>
        <v>2.9907112069275388</v>
      </c>
      <c r="AV59" s="1460">
        <f>'Misc. Data &amp; Mechanisms'!$B$260</f>
        <v>10.198990303636064</v>
      </c>
      <c r="AW59" s="197">
        <f>IFERROR(IF('Personalized Bill Menu'!$B$30="Yes", IF('Personalized Bill Menu'!$B$34="Natural Gas",VLOOKUP($A59, 'Personalized Bill Menu'!$H$4:$L$93, 2, FALSE), IF('Personalized Bill Menu'!$B$34="Both",VLOOKUP($A59,'Personalized Bill Menu'!$H$4:$P$93, 6, FALSE), 0)), 0),0)</f>
        <v>0</v>
      </c>
      <c r="AX59" s="1343">
        <f>IFERROR(IF('Personalized Bill Menu'!$C$37="Custom", IF('Personalized Bill Menu'!$B$34="Natural Gas",VLOOKUP($A59, 'Personalized Bill Menu'!$H$4:$L$93, 3, FALSE), IF('Personalized Bill Menu'!$B$34="Both",VLOOKUP($A59,'Personalized Bill Menu'!$H$4:$P$93, 7, FALSE), 0)), 0),0)</f>
        <v>0</v>
      </c>
      <c r="AY59" s="1344">
        <f>IFERROR(IF('Personalized Bill Menu'!$C$37="Custom", IF('Personalized Bill Menu'!$B$34="Natural Gas",VLOOKUP($A59, 'Personalized Bill Menu'!$H$4:$L$93, 4, FALSE), IF('Personalized Bill Menu'!$B$34="Both",VLOOKUP($A59,'Personalized Bill Menu'!$H$4:$P$93, 8, FALSE), 0)), 0),0)</f>
        <v>0</v>
      </c>
    </row>
    <row r="60" spans="1:54" x14ac:dyDescent="0.35">
      <c r="A60" s="427">
        <v>42522</v>
      </c>
      <c r="B60" s="85">
        <f t="shared" si="9"/>
        <v>30</v>
      </c>
      <c r="C60" s="1581">
        <f t="shared" si="10"/>
        <v>2.3543111837058399</v>
      </c>
      <c r="D60" s="66">
        <f t="shared" si="11"/>
        <v>24.881381600920264</v>
      </c>
      <c r="E60" s="66">
        <f>(1+$AQ60)*IF(OR('Service Zone Menu'!$X$3="Fort McMurray",AND('Service Zone Menu'!$X$3="Spruce Grove", $A60&lt;DATE(2019, 5, 1))),((((1+$T60)*($P60+$N60)))+($U60*$P60)+((1+$T60+$U60)*($Y60+$Z60+$AA60+$AB60)) + $AO60),($N60+((1+$T60+$U60)*$P60)+((1+$T60+$U60)*($Y60+$Z60+$AA60+$AB60)) + $AO60))</f>
        <v>3.8795189999999997</v>
      </c>
      <c r="F60" s="400">
        <f t="shared" si="12"/>
        <v>58.578514969099295</v>
      </c>
      <c r="G60" s="115">
        <f t="shared" si="13"/>
        <v>3.2348235664118241</v>
      </c>
      <c r="H60" s="66">
        <f t="shared" si="0"/>
        <v>30.991793841661138</v>
      </c>
      <c r="I60" s="66">
        <f t="shared" si="1"/>
        <v>12.176035163723146</v>
      </c>
      <c r="J60" s="66">
        <f t="shared" si="14"/>
        <v>1.9164093035365535</v>
      </c>
      <c r="K60" s="66">
        <f t="shared" si="15"/>
        <v>7.47</v>
      </c>
      <c r="L60" s="66">
        <f t="shared" si="16"/>
        <v>0</v>
      </c>
      <c r="M60" s="68">
        <f t="shared" si="17"/>
        <v>2.7894530937666335</v>
      </c>
      <c r="N60" s="273">
        <f>IF($I$2="DRT",VLOOKUP(A60,'Misc. Data &amp; Mechanisms'!$A$1381:$D$1471,2,FALSE),AX60)</f>
        <v>1.3740000000000001</v>
      </c>
      <c r="O60" s="338">
        <f t="shared" si="18"/>
        <v>3.2348235664118241</v>
      </c>
      <c r="P60" s="387">
        <v>0.88</v>
      </c>
      <c r="Q60" s="278">
        <v>0.96399999999999997</v>
      </c>
      <c r="R60" s="338">
        <f t="shared" si="24"/>
        <v>2.071793841661139</v>
      </c>
      <c r="S60" s="338">
        <f t="shared" si="25"/>
        <v>28.919999999999998</v>
      </c>
      <c r="T60" s="391">
        <f>VLOOKUP($A60,'Misc. Data &amp; Mechanisms'!$A$63:$DY$152,HLOOKUP('Service Zone Menu'!$X$3&amp;"_ATCO-N_NG_Y_1",'Misc. Data &amp; Mechanisms'!$A$55:$DY$62,8,FALSE), FALSE)</f>
        <v>0.32900000000000001</v>
      </c>
      <c r="U60" s="205">
        <f>VLOOKUP($A60,'Misc. Data &amp; Mechanisms'!$A$63:$DY$152,HLOOKUP('Service Zone Menu'!$X$3&amp;"_ATCO-N_NG_Y_2",'Misc. Data &amp; Mechanisms'!$A$55:$DY$62,8,FALSE), FALSE)</f>
        <v>4.1000000000000002E-2</v>
      </c>
      <c r="V60" s="425">
        <f>IF(OR('Service Zone Menu'!$X$3="Fort McMurray",AND('Service Zone Menu'!$X$3="Spruce Grove", $A60&lt;DATE(2019, 5, 1))),$T60*($G60+$H60+$J60), $T60*($H60+$J60))</f>
        <v>10.82679883477004</v>
      </c>
      <c r="W60" s="338">
        <f t="shared" si="26"/>
        <v>1.3492363289531053</v>
      </c>
      <c r="X60" s="426"/>
      <c r="Y60" s="386"/>
      <c r="Z60" s="386"/>
      <c r="AA60" s="278">
        <v>0.81399999999999995</v>
      </c>
      <c r="AB60" s="278"/>
      <c r="AC60" s="278"/>
      <c r="AD60" s="278"/>
      <c r="AE60" s="278"/>
      <c r="AF60" s="425">
        <f t="shared" si="27"/>
        <v>0</v>
      </c>
      <c r="AG60" s="425">
        <f t="shared" si="28"/>
        <v>0</v>
      </c>
      <c r="AH60" s="425">
        <f t="shared" si="29"/>
        <v>1.9164093035365535</v>
      </c>
      <c r="AI60" s="425">
        <f t="shared" si="30"/>
        <v>0</v>
      </c>
      <c r="AJ60" s="425">
        <f t="shared" si="20"/>
        <v>0</v>
      </c>
      <c r="AK60" s="425">
        <f t="shared" si="21"/>
        <v>0</v>
      </c>
      <c r="AL60" s="425">
        <f t="shared" si="22"/>
        <v>0</v>
      </c>
      <c r="AM60" s="200">
        <f>IF($I$2="DRT",VLOOKUP(A60,'Misc. Data &amp; Mechanisms'!$A$1483:$H$1574,6,FALSE),AY60)</f>
        <v>0.249</v>
      </c>
      <c r="AN60" s="333">
        <f t="shared" si="23"/>
        <v>7.47</v>
      </c>
      <c r="AO60" s="296"/>
      <c r="AP60" s="333">
        <f t="shared" si="31"/>
        <v>0</v>
      </c>
      <c r="AQ60" s="340">
        <f>5%</f>
        <v>0.05</v>
      </c>
      <c r="AR60" s="341">
        <f>'Misc. Data &amp; Mechanisms'!AL333</f>
        <v>2.3843863440355992</v>
      </c>
      <c r="AS60" s="424">
        <f>'Misc. Data &amp; Mechanisms'!AQ333</f>
        <v>2.6768602994561568</v>
      </c>
      <c r="AT60" s="424">
        <f>'Misc. Data &amp; Mechanisms'!W333</f>
        <v>2.3543111837058399</v>
      </c>
      <c r="AU60" s="424">
        <f>'Misc. Data &amp; Mechanisms'!X333</f>
        <v>1.5036393290173444</v>
      </c>
      <c r="AV60" s="1460">
        <f>'Misc. Data &amp; Mechanisms'!$B$260</f>
        <v>10.198990303636064</v>
      </c>
      <c r="AW60" s="197">
        <f>IFERROR(IF('Personalized Bill Menu'!$B$30="Yes", IF('Personalized Bill Menu'!$B$34="Natural Gas",VLOOKUP($A60, 'Personalized Bill Menu'!$H$4:$L$93, 2, FALSE), IF('Personalized Bill Menu'!$B$34="Both",VLOOKUP($A60,'Personalized Bill Menu'!$H$4:$P$93, 6, FALSE), 0)), 0),0)</f>
        <v>0</v>
      </c>
      <c r="AX60" s="1343">
        <f>IFERROR(IF('Personalized Bill Menu'!$C$37="Custom", IF('Personalized Bill Menu'!$B$34="Natural Gas",VLOOKUP($A60, 'Personalized Bill Menu'!$H$4:$L$93, 3, FALSE), IF('Personalized Bill Menu'!$B$34="Both",VLOOKUP($A60,'Personalized Bill Menu'!$H$4:$P$93, 7, FALSE), 0)), 0),0)</f>
        <v>0</v>
      </c>
      <c r="AY60" s="1344">
        <f>IFERROR(IF('Personalized Bill Menu'!$C$37="Custom", IF('Personalized Bill Menu'!$B$34="Natural Gas",VLOOKUP($A60, 'Personalized Bill Menu'!$H$4:$L$93, 4, FALSE), IF('Personalized Bill Menu'!$B$34="Both",VLOOKUP($A60,'Personalized Bill Menu'!$H$4:$P$93, 8, FALSE), 0)), 0),0)</f>
        <v>0</v>
      </c>
    </row>
    <row r="61" spans="1:54" x14ac:dyDescent="0.35">
      <c r="A61" s="427">
        <v>42552</v>
      </c>
      <c r="B61" s="85">
        <f t="shared" si="9"/>
        <v>31</v>
      </c>
      <c r="C61" s="1581">
        <f t="shared" si="10"/>
        <v>1.9015080144978764</v>
      </c>
      <c r="D61" s="66">
        <f t="shared" si="11"/>
        <v>31.442058524470781</v>
      </c>
      <c r="E61" s="66">
        <f>(1+$AQ61)*IF(OR('Service Zone Menu'!$X$3="Fort McMurray",AND('Service Zone Menu'!$X$3="Spruce Grove", $A61&lt;DATE(2019, 5, 1))),((((1+$T61)*($P61+$N61)))+($U61*$P61)+((1+$T61+$U61)*($Y61+$Z61+$AA61+$AB61)) + $AO61),($N61+((1+$T61+$U61)*$P61)+((1+$T61+$U61)*($Y61+$Z61+$AA61+$AB61)) + $AO61))</f>
        <v>4.5722879999999995</v>
      </c>
      <c r="F61" s="400">
        <f t="shared" si="12"/>
        <v>59.787326276592466</v>
      </c>
      <c r="G61" s="115">
        <f t="shared" si="13"/>
        <v>3.1013595716460363</v>
      </c>
      <c r="H61" s="66">
        <f t="shared" si="0"/>
        <v>31.557327052758133</v>
      </c>
      <c r="I61" s="66">
        <f t="shared" si="1"/>
        <v>12.455753235144059</v>
      </c>
      <c r="J61" s="66">
        <f t="shared" si="14"/>
        <v>2.1068708800636471</v>
      </c>
      <c r="K61" s="66">
        <f t="shared" si="15"/>
        <v>7.7190000000000003</v>
      </c>
      <c r="L61" s="66">
        <f t="shared" si="16"/>
        <v>0</v>
      </c>
      <c r="M61" s="68">
        <f t="shared" si="17"/>
        <v>2.8470155369805941</v>
      </c>
      <c r="N61" s="273">
        <f>IF($I$2="DRT",VLOOKUP(A61,'Misc. Data &amp; Mechanisms'!$A$1381:$D$1471,2,FALSE),AX61)</f>
        <v>1.631</v>
      </c>
      <c r="O61" s="338">
        <f t="shared" si="18"/>
        <v>3.1013595716460363</v>
      </c>
      <c r="P61" s="387">
        <v>0.88</v>
      </c>
      <c r="Q61" s="278">
        <v>0.96399999999999997</v>
      </c>
      <c r="R61" s="338">
        <f t="shared" si="24"/>
        <v>1.6733270527581312</v>
      </c>
      <c r="S61" s="338">
        <f t="shared" si="25"/>
        <v>29.884</v>
      </c>
      <c r="T61" s="391">
        <f>VLOOKUP($A61,'Misc. Data &amp; Mechanisms'!$A$63:$DY$152,HLOOKUP('Service Zone Menu'!$X$3&amp;"_ATCO-N_NG_Y_1",'Misc. Data &amp; Mechanisms'!$A$55:$DY$62,8,FALSE), FALSE)</f>
        <v>0.32900000000000001</v>
      </c>
      <c r="U61" s="205">
        <f>VLOOKUP($A61,'Misc. Data &amp; Mechanisms'!$A$63:$DY$152,HLOOKUP('Service Zone Menu'!$X$3&amp;"_ATCO-N_NG_Y_2",'Misc. Data &amp; Mechanisms'!$A$55:$DY$62,8,FALSE), FALSE)</f>
        <v>4.1000000000000002E-2</v>
      </c>
      <c r="V61" s="425">
        <f>IF(OR('Service Zone Menu'!$X$3="Fort McMurray",AND('Service Zone Menu'!$X$3="Spruce Grove", $A61&lt;DATE(2019, 5, 1))),$T61*($G61+$H61+$J61), $T61*($H61+$J61))</f>
        <v>11.075521119898365</v>
      </c>
      <c r="W61" s="338">
        <f t="shared" si="26"/>
        <v>1.3802321152456929</v>
      </c>
      <c r="X61" s="426"/>
      <c r="Y61" s="386"/>
      <c r="Z61" s="386"/>
      <c r="AA61" s="278">
        <v>0.81399999999999995</v>
      </c>
      <c r="AB61" s="278">
        <v>0.29399999999999998</v>
      </c>
      <c r="AC61" s="278"/>
      <c r="AD61" s="278"/>
      <c r="AE61" s="278"/>
      <c r="AF61" s="425">
        <f t="shared" si="27"/>
        <v>0</v>
      </c>
      <c r="AG61" s="425">
        <f t="shared" si="28"/>
        <v>0</v>
      </c>
      <c r="AH61" s="425">
        <f t="shared" si="29"/>
        <v>1.5478275238012713</v>
      </c>
      <c r="AI61" s="425">
        <f t="shared" si="30"/>
        <v>0.55904335626237567</v>
      </c>
      <c r="AJ61" s="425">
        <f t="shared" si="20"/>
        <v>0</v>
      </c>
      <c r="AK61" s="425">
        <f t="shared" si="21"/>
        <v>0</v>
      </c>
      <c r="AL61" s="425">
        <f t="shared" si="22"/>
        <v>0</v>
      </c>
      <c r="AM61" s="200">
        <f>IF($I$2="DRT",VLOOKUP(A61,'Misc. Data &amp; Mechanisms'!$A$1483:$H$1574,6,FALSE),AY61)</f>
        <v>0.249</v>
      </c>
      <c r="AN61" s="333">
        <f t="shared" si="23"/>
        <v>7.7190000000000003</v>
      </c>
      <c r="AO61" s="296"/>
      <c r="AP61" s="333">
        <f t="shared" si="31"/>
        <v>0</v>
      </c>
      <c r="AQ61" s="340">
        <f>5%</f>
        <v>0.05</v>
      </c>
      <c r="AR61" s="341">
        <f>'Misc. Data &amp; Mechanisms'!AL334</f>
        <v>1.9257988384128051</v>
      </c>
      <c r="AS61" s="424">
        <f>'Misc. Data &amp; Mechanisms'!AQ334</f>
        <v>2.1860170608535938</v>
      </c>
      <c r="AT61" s="424">
        <f>'Misc. Data &amp; Mechanisms'!W334</f>
        <v>1.9015080144978764</v>
      </c>
      <c r="AU61" s="424">
        <f>'Misc. Data &amp; Mechanisms'!X334</f>
        <v>1.2144453353613816</v>
      </c>
      <c r="AV61" s="1460">
        <f>'Misc. Data &amp; Mechanisms'!$B$260</f>
        <v>10.198990303636064</v>
      </c>
      <c r="AW61" s="197">
        <f>IFERROR(IF('Personalized Bill Menu'!$B$30="Yes", IF('Personalized Bill Menu'!$B$34="Natural Gas",VLOOKUP($A61, 'Personalized Bill Menu'!$H$4:$L$93, 2, FALSE), IF('Personalized Bill Menu'!$B$34="Both",VLOOKUP($A61,'Personalized Bill Menu'!$H$4:$P$93, 6, FALSE), 0)), 0),0)</f>
        <v>0</v>
      </c>
      <c r="AX61" s="1343">
        <f>IFERROR(IF('Personalized Bill Menu'!$C$37="Custom", IF('Personalized Bill Menu'!$B$34="Natural Gas",VLOOKUP($A61, 'Personalized Bill Menu'!$H$4:$L$93, 3, FALSE), IF('Personalized Bill Menu'!$B$34="Both",VLOOKUP($A61,'Personalized Bill Menu'!$H$4:$P$93, 7, FALSE), 0)), 0),0)</f>
        <v>0</v>
      </c>
      <c r="AY61" s="1344">
        <f>IFERROR(IF('Personalized Bill Menu'!$C$37="Custom", IF('Personalized Bill Menu'!$B$34="Natural Gas",VLOOKUP($A61, 'Personalized Bill Menu'!$H$4:$L$93, 4, FALSE), IF('Personalized Bill Menu'!$B$34="Both",VLOOKUP($A61,'Personalized Bill Menu'!$H$4:$P$93, 8, FALSE), 0)), 0),0)</f>
        <v>0</v>
      </c>
    </row>
    <row r="62" spans="1:54" x14ac:dyDescent="0.35">
      <c r="A62" s="427">
        <v>42583</v>
      </c>
      <c r="B62" s="85">
        <f t="shared" si="9"/>
        <v>31</v>
      </c>
      <c r="C62" s="1581">
        <f t="shared" si="10"/>
        <v>2.3591203239301617</v>
      </c>
      <c r="D62" s="66">
        <f t="shared" si="11"/>
        <v>26.9996226385189</v>
      </c>
      <c r="E62" s="66">
        <f>(1+$AQ62)*IF(OR('Service Zone Menu'!$X$3="Fort McMurray",AND('Service Zone Menu'!$X$3="Spruce Grove", $A62&lt;DATE(2019, 5, 1))),((((1+$T62)*($P62+$N62)))+($U62*$P62)+((1+$T62+$U62)*($Y62+$Z62+$AA62+$AB62)) + $AO62),($N62+((1+$T62+$U62)*$P62)+((1+$T62+$U62)*($Y62+$Z62+$AA62+$AB62)) + $AO62))</f>
        <v>5.3419379999999999</v>
      </c>
      <c r="F62" s="400">
        <f t="shared" si="12"/>
        <v>63.695358504974834</v>
      </c>
      <c r="G62" s="115">
        <f t="shared" si="13"/>
        <v>5.5769604457709017</v>
      </c>
      <c r="H62" s="66">
        <f t="shared" si="0"/>
        <v>31.960025885058542</v>
      </c>
      <c r="I62" s="66">
        <f t="shared" si="1"/>
        <v>12.79235454547007</v>
      </c>
      <c r="J62" s="66">
        <f t="shared" si="14"/>
        <v>2.6139053189146191</v>
      </c>
      <c r="K62" s="66">
        <f t="shared" si="15"/>
        <v>7.7190000000000003</v>
      </c>
      <c r="L62" s="66">
        <f t="shared" si="16"/>
        <v>0</v>
      </c>
      <c r="M62" s="68">
        <f t="shared" si="17"/>
        <v>3.0331123097607069</v>
      </c>
      <c r="N62" s="273">
        <f>IF($I$2="DRT",VLOOKUP(A62,'Misc. Data &amp; Mechanisms'!$A$1381:$D$1471,2,FALSE),AX62)</f>
        <v>2.3639999999999999</v>
      </c>
      <c r="O62" s="338">
        <f t="shared" si="18"/>
        <v>5.5769604457709017</v>
      </c>
      <c r="P62" s="387">
        <v>0.88</v>
      </c>
      <c r="Q62" s="278">
        <v>0.96399999999999997</v>
      </c>
      <c r="R62" s="338">
        <f t="shared" si="24"/>
        <v>2.0760258850585425</v>
      </c>
      <c r="S62" s="338">
        <f t="shared" si="25"/>
        <v>29.884</v>
      </c>
      <c r="T62" s="391">
        <f>VLOOKUP($A62,'Misc. Data &amp; Mechanisms'!$A$63:$DY$152,HLOOKUP('Service Zone Menu'!$X$3&amp;"_ATCO-N_NG_Y_1",'Misc. Data &amp; Mechanisms'!$A$55:$DY$62,8,FALSE), FALSE)</f>
        <v>0.32900000000000001</v>
      </c>
      <c r="U62" s="205">
        <f>VLOOKUP($A62,'Misc. Data &amp; Mechanisms'!$A$63:$DY$152,HLOOKUP('Service Zone Menu'!$X$3&amp;"_ATCO-N_NG_Y_2",'Misc. Data &amp; Mechanisms'!$A$55:$DY$62,8,FALSE), FALSE)</f>
        <v>4.1000000000000002E-2</v>
      </c>
      <c r="V62" s="425">
        <f>IF(OR('Service Zone Menu'!$X$3="Fort McMurray",AND('Service Zone Menu'!$X$3="Spruce Grove", $A62&lt;DATE(2019, 5, 1))),$T62*($G62+$H62+$J62), $T62*($H62+$J62))</f>
        <v>11.37482336610717</v>
      </c>
      <c r="W62" s="338">
        <f t="shared" si="26"/>
        <v>1.4175311793628995</v>
      </c>
      <c r="X62" s="426"/>
      <c r="Y62" s="386"/>
      <c r="Z62" s="386"/>
      <c r="AA62" s="278">
        <v>0.81399999999999995</v>
      </c>
      <c r="AB62" s="386">
        <v>0.29399999999999998</v>
      </c>
      <c r="AC62" s="386"/>
      <c r="AD62" s="386"/>
      <c r="AE62" s="386"/>
      <c r="AF62" s="425">
        <f t="shared" si="27"/>
        <v>0</v>
      </c>
      <c r="AG62" s="425">
        <f t="shared" si="28"/>
        <v>0</v>
      </c>
      <c r="AH62" s="425">
        <f t="shared" si="29"/>
        <v>1.9203239436791515</v>
      </c>
      <c r="AI62" s="425">
        <f t="shared" si="30"/>
        <v>0.69358137523546748</v>
      </c>
      <c r="AJ62" s="425">
        <f t="shared" si="20"/>
        <v>0</v>
      </c>
      <c r="AK62" s="425">
        <f t="shared" si="21"/>
        <v>0</v>
      </c>
      <c r="AL62" s="425">
        <f t="shared" si="22"/>
        <v>0</v>
      </c>
      <c r="AM62" s="200">
        <f>IF($I$2="DRT",VLOOKUP(A62,'Misc. Data &amp; Mechanisms'!$A$1483:$H$1574,6,FALSE),AY62)</f>
        <v>0.249</v>
      </c>
      <c r="AN62" s="333">
        <f t="shared" si="23"/>
        <v>7.7190000000000003</v>
      </c>
      <c r="AO62" s="296"/>
      <c r="AP62" s="333">
        <f t="shared" si="31"/>
        <v>0</v>
      </c>
      <c r="AQ62" s="340">
        <f>5%</f>
        <v>0.05</v>
      </c>
      <c r="AR62" s="341">
        <f>'Misc. Data &amp; Mechanisms'!AL335</f>
        <v>2.3892569186464607</v>
      </c>
      <c r="AS62" s="424">
        <f>'Misc. Data &amp; Mechanisms'!AQ335</f>
        <v>2.5135649155232058</v>
      </c>
      <c r="AT62" s="424">
        <f>'Misc. Data &amp; Mechanisms'!W335</f>
        <v>2.3591203239301617</v>
      </c>
      <c r="AU62" s="424">
        <f>'Misc. Data &amp; Mechanisms'!X335</f>
        <v>1.5067108059020047</v>
      </c>
      <c r="AV62" s="1460">
        <f>'Misc. Data &amp; Mechanisms'!$B$260</f>
        <v>10.198990303636064</v>
      </c>
      <c r="AW62" s="197">
        <f>IFERROR(IF('Personalized Bill Menu'!$B$30="Yes", IF('Personalized Bill Menu'!$B$34="Natural Gas",VLOOKUP($A62, 'Personalized Bill Menu'!$H$4:$L$93, 2, FALSE), IF('Personalized Bill Menu'!$B$34="Both",VLOOKUP($A62,'Personalized Bill Menu'!$H$4:$P$93, 6, FALSE), 0)), 0),0)</f>
        <v>0</v>
      </c>
      <c r="AX62" s="1343">
        <f>IFERROR(IF('Personalized Bill Menu'!$C$37="Custom", IF('Personalized Bill Menu'!$B$34="Natural Gas",VLOOKUP($A62, 'Personalized Bill Menu'!$H$4:$L$93, 3, FALSE), IF('Personalized Bill Menu'!$B$34="Both",VLOOKUP($A62,'Personalized Bill Menu'!$H$4:$P$93, 7, FALSE), 0)), 0),0)</f>
        <v>0</v>
      </c>
      <c r="AY62" s="1344">
        <f>IFERROR(IF('Personalized Bill Menu'!$C$37="Custom", IF('Personalized Bill Menu'!$B$34="Natural Gas",VLOOKUP($A62, 'Personalized Bill Menu'!$H$4:$L$93, 4, FALSE), IF('Personalized Bill Menu'!$B$34="Both",VLOOKUP($A62,'Personalized Bill Menu'!$H$4:$P$93, 8, FALSE), 0)), 0),0)</f>
        <v>0</v>
      </c>
    </row>
    <row r="63" spans="1:54" x14ac:dyDescent="0.35">
      <c r="A63" s="427">
        <v>42614</v>
      </c>
      <c r="B63" s="85">
        <f t="shared" si="9"/>
        <v>30</v>
      </c>
      <c r="C63" s="1581">
        <f t="shared" si="10"/>
        <v>4.8421345866435921</v>
      </c>
      <c r="D63" s="66">
        <f t="shared" si="11"/>
        <v>15.72167758026108</v>
      </c>
      <c r="E63" s="66">
        <f>(1+$AQ63)*IF(OR('Service Zone Menu'!$X$3="Fort McMurray",AND('Service Zone Menu'!$X$3="Spruce Grove", $A63&lt;DATE(2019, 5, 1))),((((1+$T63)*($P63+$N63)))+($U63*$P63)+((1+$T63+$U63)*($Y63+$Z63+$AA63+$AB63)) + $AO63),($N63+((1+$T63+$U63)*$P63)+((1+$T63+$U63)*($Y63+$Z63+$AA63+$AB63)) + $AO63))</f>
        <v>5.3498654999999999</v>
      </c>
      <c r="F63" s="400">
        <f t="shared" si="12"/>
        <v>76.126478771441313</v>
      </c>
      <c r="G63" s="115">
        <f t="shared" si="13"/>
        <v>11.383858413199086</v>
      </c>
      <c r="H63" s="66">
        <f t="shared" si="0"/>
        <v>33.181078436246359</v>
      </c>
      <c r="I63" s="66">
        <f t="shared" si="1"/>
        <v>14.488754363507432</v>
      </c>
      <c r="J63" s="66">
        <f t="shared" si="14"/>
        <v>5.9777171408007526</v>
      </c>
      <c r="K63" s="66">
        <f t="shared" si="15"/>
        <v>7.47</v>
      </c>
      <c r="L63" s="66">
        <f t="shared" si="16"/>
        <v>0</v>
      </c>
      <c r="M63" s="68">
        <f t="shared" si="17"/>
        <v>3.6250704176876818</v>
      </c>
      <c r="N63" s="273">
        <f>IF($I$2="DRT",VLOOKUP(A63,'Misc. Data &amp; Mechanisms'!$A$1381:$D$1471,2,FALSE),AX63)</f>
        <v>2.351</v>
      </c>
      <c r="O63" s="338">
        <f t="shared" si="18"/>
        <v>11.383858413199086</v>
      </c>
      <c r="P63" s="387">
        <v>0.88</v>
      </c>
      <c r="Q63" s="278">
        <v>0.96399999999999997</v>
      </c>
      <c r="R63" s="338">
        <f t="shared" si="24"/>
        <v>4.2610784362463612</v>
      </c>
      <c r="S63" s="338">
        <f t="shared" si="25"/>
        <v>28.919999999999998</v>
      </c>
      <c r="T63" s="391">
        <f>VLOOKUP($A63,'Misc. Data &amp; Mechanisms'!$A$63:$DY$152,HLOOKUP('Service Zone Menu'!$X$3&amp;"_ATCO-N_NG_Y_1",'Misc. Data &amp; Mechanisms'!$A$55:$DY$62,8,FALSE), FALSE)</f>
        <v>0.32900000000000001</v>
      </c>
      <c r="U63" s="205">
        <f>VLOOKUP($A63,'Misc. Data &amp; Mechanisms'!$A$63:$DY$152,HLOOKUP('Service Zone Menu'!$X$3&amp;"_ATCO-N_NG_Y_2",'Misc. Data &amp; Mechanisms'!$A$55:$DY$62,8,FALSE), FALSE)</f>
        <v>4.1000000000000002E-2</v>
      </c>
      <c r="V63" s="425">
        <f>IF(OR('Service Zone Menu'!$X$3="Fort McMurray",AND('Service Zone Menu'!$X$3="Spruce Grove", $A63&lt;DATE(2019, 5, 1))),$T63*($G63+$H63+$J63), $T63*($H63+$J63))</f>
        <v>12.883243744848501</v>
      </c>
      <c r="W63" s="338">
        <f t="shared" si="26"/>
        <v>1.6055106186589319</v>
      </c>
      <c r="X63" s="426">
        <v>1.7999999999999999E-2</v>
      </c>
      <c r="Y63" s="386">
        <v>1.4999999999999999E-2</v>
      </c>
      <c r="Z63" s="386"/>
      <c r="AA63" s="278">
        <v>0.81399999999999995</v>
      </c>
      <c r="AB63" s="386">
        <v>0.29399999999999998</v>
      </c>
      <c r="AC63" s="386"/>
      <c r="AD63" s="386"/>
      <c r="AE63" s="386"/>
      <c r="AF63" s="425">
        <f t="shared" si="27"/>
        <v>0.61263201879965379</v>
      </c>
      <c r="AG63" s="425">
        <f t="shared" si="28"/>
        <v>0</v>
      </c>
      <c r="AH63" s="425">
        <f t="shared" si="29"/>
        <v>3.9414975535278836</v>
      </c>
      <c r="AI63" s="425">
        <f t="shared" si="30"/>
        <v>1.423587568473216</v>
      </c>
      <c r="AJ63" s="425">
        <f t="shared" si="20"/>
        <v>0</v>
      </c>
      <c r="AK63" s="425">
        <f t="shared" si="21"/>
        <v>0</v>
      </c>
      <c r="AL63" s="425">
        <f t="shared" si="22"/>
        <v>0</v>
      </c>
      <c r="AM63" s="200">
        <f>IF($I$2="DRT",VLOOKUP(A63,'Misc. Data &amp; Mechanisms'!$A$1483:$H$1574,6,FALSE),AY63)</f>
        <v>0.249</v>
      </c>
      <c r="AN63" s="333">
        <f t="shared" si="23"/>
        <v>7.47</v>
      </c>
      <c r="AO63" s="296"/>
      <c r="AP63" s="333">
        <f t="shared" si="31"/>
        <v>0</v>
      </c>
      <c r="AQ63" s="340">
        <f>5%</f>
        <v>0.05</v>
      </c>
      <c r="AR63" s="341">
        <f>'Misc. Data &amp; Mechanisms'!AL336</f>
        <v>4.9039904598346418</v>
      </c>
      <c r="AS63" s="424">
        <f>'Misc. Data &amp; Mechanisms'!AQ336</f>
        <v>5.0796030530108007</v>
      </c>
      <c r="AT63" s="424">
        <f>'Misc. Data &amp; Mechanisms'!W336</f>
        <v>4.8421345866435921</v>
      </c>
      <c r="AU63" s="424">
        <f>'Misc. Data &amp; Mechanisms'!X336</f>
        <v>3.0925495538835075</v>
      </c>
      <c r="AV63" s="1460">
        <f>'Misc. Data &amp; Mechanisms'!$B$260</f>
        <v>10.198990303636064</v>
      </c>
      <c r="AW63" s="197">
        <f>IFERROR(IF('Personalized Bill Menu'!$B$30="Yes", IF('Personalized Bill Menu'!$B$34="Natural Gas",VLOOKUP($A63, 'Personalized Bill Menu'!$H$4:$L$93, 2, FALSE), IF('Personalized Bill Menu'!$B$34="Both",VLOOKUP($A63,'Personalized Bill Menu'!$H$4:$P$93, 6, FALSE), 0)), 0),0)</f>
        <v>0</v>
      </c>
      <c r="AX63" s="1343">
        <f>IFERROR(IF('Personalized Bill Menu'!$C$37="Custom", IF('Personalized Bill Menu'!$B$34="Natural Gas",VLOOKUP($A63, 'Personalized Bill Menu'!$H$4:$L$93, 3, FALSE), IF('Personalized Bill Menu'!$B$34="Both",VLOOKUP($A63,'Personalized Bill Menu'!$H$4:$P$93, 7, FALSE), 0)), 0),0)</f>
        <v>0</v>
      </c>
      <c r="AY63" s="1344">
        <f>IFERROR(IF('Personalized Bill Menu'!$C$37="Custom", IF('Personalized Bill Menu'!$B$34="Natural Gas",VLOOKUP($A63, 'Personalized Bill Menu'!$H$4:$L$93, 4, FALSE), IF('Personalized Bill Menu'!$B$34="Both",VLOOKUP($A63,'Personalized Bill Menu'!$H$4:$P$93, 8, FALSE), 0)), 0),0)</f>
        <v>0</v>
      </c>
    </row>
    <row r="64" spans="1:54" x14ac:dyDescent="0.35">
      <c r="A64" s="427">
        <v>42644</v>
      </c>
      <c r="B64" s="85">
        <f t="shared" si="9"/>
        <v>31</v>
      </c>
      <c r="C64" s="1581">
        <f t="shared" si="10"/>
        <v>12.38729988307866</v>
      </c>
      <c r="D64" s="66">
        <f t="shared" si="11"/>
        <v>9.8626988300908298</v>
      </c>
      <c r="E64" s="66">
        <f>(1+$AQ64)*IF(OR('Service Zone Menu'!$X$3="Fort McMurray",AND('Service Zone Menu'!$X$3="Spruce Grove", $A64&lt;DATE(2019, 5, 1))),((((1+$T64)*($P64+$N64)))+($U64*$P64)+((1+$T64+$U64)*($Y64+$Z64+$AA64+$AB64)) + $AO64),($N64+((1+$T64+$U64)*$P64)+((1+$T64+$U64)*($Y64+$Z64+$AA64+$AB64)) + $AO64))</f>
        <v>5.6732655000000003</v>
      </c>
      <c r="F64" s="400">
        <f t="shared" si="12"/>
        <v>122.17220806482418</v>
      </c>
      <c r="G64" s="115">
        <f t="shared" si="13"/>
        <v>32.937830389106153</v>
      </c>
      <c r="H64" s="66">
        <f t="shared" si="0"/>
        <v>40.78482389710922</v>
      </c>
      <c r="I64" s="66">
        <f t="shared" si="1"/>
        <v>20.443891816348426</v>
      </c>
      <c r="J64" s="66">
        <f t="shared" si="14"/>
        <v>14.468937768697334</v>
      </c>
      <c r="K64" s="66">
        <f t="shared" si="15"/>
        <v>7.7190000000000003</v>
      </c>
      <c r="L64" s="66">
        <f t="shared" si="16"/>
        <v>0</v>
      </c>
      <c r="M64" s="68">
        <f t="shared" si="17"/>
        <v>5.8177241935630564</v>
      </c>
      <c r="N64" s="273">
        <f>IF($I$2="DRT",VLOOKUP(A64,'Misc. Data &amp; Mechanisms'!$A$1381:$D$1471,2,FALSE),AX64)</f>
        <v>2.6589999999999998</v>
      </c>
      <c r="O64" s="333">
        <f t="shared" si="18"/>
        <v>32.937830389106153</v>
      </c>
      <c r="P64" s="387">
        <v>0.88</v>
      </c>
      <c r="Q64" s="278">
        <v>0.96399999999999997</v>
      </c>
      <c r="R64" s="338">
        <f t="shared" si="24"/>
        <v>10.90082389710922</v>
      </c>
      <c r="S64" s="338">
        <f t="shared" si="25"/>
        <v>29.884</v>
      </c>
      <c r="T64" s="391">
        <f>VLOOKUP($A64,'Misc. Data &amp; Mechanisms'!$A$63:$DY$152,HLOOKUP('Service Zone Menu'!$X$3&amp;"_ATCO-N_NG_Y_1",'Misc. Data &amp; Mechanisms'!$A$55:$DY$62,8,FALSE), FALSE)</f>
        <v>0.32900000000000001</v>
      </c>
      <c r="U64" s="205">
        <f>VLOOKUP($A64,'Misc. Data &amp; Mechanisms'!$A$63:$DY$152,HLOOKUP('Service Zone Menu'!$X$3&amp;"_ATCO-N_NG_Y_2",'Misc. Data &amp; Mechanisms'!$A$55:$DY$62,8,FALSE), FALSE)</f>
        <v>4.1000000000000002E-2</v>
      </c>
      <c r="V64" s="425">
        <f>IF(OR('Service Zone Menu'!$X$3="Fort McMurray",AND('Service Zone Menu'!$X$3="Spruce Grove", $A64&lt;DATE(2019, 5, 1))),$T64*($G64+$H64+$J64), $T64*($H64+$J64))</f>
        <v>18.178487588050356</v>
      </c>
      <c r="W64" s="338">
        <f t="shared" si="26"/>
        <v>2.2654042282980686</v>
      </c>
      <c r="X64" s="426">
        <v>1.7999999999999999E-2</v>
      </c>
      <c r="Y64" s="386">
        <v>1.4999999999999999E-2</v>
      </c>
      <c r="Z64" s="386"/>
      <c r="AA64" s="278">
        <v>0.81399999999999995</v>
      </c>
      <c r="AB64" s="386">
        <v>0.29399999999999998</v>
      </c>
      <c r="AC64" s="386"/>
      <c r="AD64" s="386"/>
      <c r="AE64" s="386"/>
      <c r="AF64" s="425">
        <f t="shared" si="27"/>
        <v>0.74380949824617981</v>
      </c>
      <c r="AG64" s="425">
        <f t="shared" si="28"/>
        <v>0</v>
      </c>
      <c r="AH64" s="425">
        <f t="shared" si="29"/>
        <v>10.083262104826028</v>
      </c>
      <c r="AI64" s="425">
        <f t="shared" si="30"/>
        <v>3.6418661656251259</v>
      </c>
      <c r="AJ64" s="425">
        <f t="shared" si="20"/>
        <v>0</v>
      </c>
      <c r="AK64" s="425">
        <f t="shared" si="21"/>
        <v>0</v>
      </c>
      <c r="AL64" s="425">
        <f t="shared" si="22"/>
        <v>0</v>
      </c>
      <c r="AM64" s="200">
        <f>IF($I$2="DRT",VLOOKUP(A64,'Misc. Data &amp; Mechanisms'!$A$1483:$H$1574,6,FALSE),AY64)</f>
        <v>0.249</v>
      </c>
      <c r="AN64" s="333">
        <f t="shared" si="23"/>
        <v>7.7190000000000003</v>
      </c>
      <c r="AO64" s="296"/>
      <c r="AP64" s="333">
        <f t="shared" si="31"/>
        <v>0</v>
      </c>
      <c r="AQ64" s="340">
        <f>5%</f>
        <v>0.05</v>
      </c>
      <c r="AR64" s="341">
        <f>'Misc. Data &amp; Mechanisms'!AL337</f>
        <v>12.545541509170747</v>
      </c>
      <c r="AS64" s="424">
        <f>'Misc. Data &amp; Mechanisms'!AQ337</f>
        <v>12.142386952783736</v>
      </c>
      <c r="AT64" s="424">
        <f>'Misc. Data &amp; Mechanisms'!W337</f>
        <v>12.38729988307866</v>
      </c>
      <c r="AU64" s="424">
        <f>'Misc. Data &amp; Mechanisms'!X337</f>
        <v>7.911456825860391</v>
      </c>
      <c r="AV64" s="1460">
        <f>'Misc. Data &amp; Mechanisms'!$B$260</f>
        <v>10.198990303636064</v>
      </c>
      <c r="AW64" s="197">
        <f>IFERROR(IF('Personalized Bill Menu'!$B$30="Yes", IF('Personalized Bill Menu'!$B$34="Natural Gas",VLOOKUP($A64, 'Personalized Bill Menu'!$H$4:$L$93, 2, FALSE), IF('Personalized Bill Menu'!$B$34="Both",VLOOKUP($A64,'Personalized Bill Menu'!$H$4:$P$93, 6, FALSE), 0)), 0),0)</f>
        <v>0</v>
      </c>
      <c r="AX64" s="1343">
        <f>IFERROR(IF('Personalized Bill Menu'!$C$37="Custom", IF('Personalized Bill Menu'!$B$34="Natural Gas",VLOOKUP($A64, 'Personalized Bill Menu'!$H$4:$L$93, 3, FALSE), IF('Personalized Bill Menu'!$B$34="Both",VLOOKUP($A64,'Personalized Bill Menu'!$H$4:$P$93, 7, FALSE), 0)), 0),0)</f>
        <v>0</v>
      </c>
      <c r="AY64" s="1344">
        <f>IFERROR(IF('Personalized Bill Menu'!$C$37="Custom", IF('Personalized Bill Menu'!$B$34="Natural Gas",VLOOKUP($A64, 'Personalized Bill Menu'!$H$4:$L$93, 4, FALSE), IF('Personalized Bill Menu'!$B$34="Both",VLOOKUP($A64,'Personalized Bill Menu'!$H$4:$P$93, 8, FALSE), 0)), 0),0)</f>
        <v>0</v>
      </c>
    </row>
    <row r="65" spans="1:51" x14ac:dyDescent="0.35">
      <c r="A65" s="427">
        <v>42675</v>
      </c>
      <c r="B65" s="85">
        <f t="shared" si="9"/>
        <v>30</v>
      </c>
      <c r="C65" s="1581">
        <f t="shared" si="10"/>
        <v>12.3997090064556</v>
      </c>
      <c r="D65" s="66">
        <f t="shared" si="11"/>
        <v>10.399698450938873</v>
      </c>
      <c r="E65" s="66">
        <f>(1+$AQ65)*IF(OR('Service Zone Menu'!$X$3="Fort McMurray",AND('Service Zone Menu'!$X$3="Spruce Grove", $A65&lt;DATE(2019, 5, 1))),((((1+$T65)*($P65+$N65)))+($U65*$P65)+((1+$T65+$U65)*($Y65+$Z65+$AA65+$AB65)) + $AO65),($N65+((1+$T65+$U65)*$P65)+((1+$T65+$U65)*($Y65+$Z65+$AA65+$AB65)) + $AO65))</f>
        <v>6.3494654999999991</v>
      </c>
      <c r="F65" s="400">
        <f t="shared" si="12"/>
        <v>128.9532345465291</v>
      </c>
      <c r="G65" s="115">
        <f t="shared" si="13"/>
        <v>40.956238848322847</v>
      </c>
      <c r="H65" s="66">
        <f t="shared" si="0"/>
        <v>39.831743925680925</v>
      </c>
      <c r="I65" s="66">
        <f t="shared" si="1"/>
        <v>20.08974834177431</v>
      </c>
      <c r="J65" s="66">
        <f t="shared" si="14"/>
        <v>14.464873214249637</v>
      </c>
      <c r="K65" s="66">
        <f t="shared" si="15"/>
        <v>7.47</v>
      </c>
      <c r="L65" s="66">
        <f t="shared" si="16"/>
        <v>0</v>
      </c>
      <c r="M65" s="68">
        <f t="shared" si="17"/>
        <v>6.1406302165013864</v>
      </c>
      <c r="N65" s="273">
        <f>IF($I$2="DRT",VLOOKUP(A65,'Misc. Data &amp; Mechanisms'!$A$1381:$D$1471,2,FALSE),AX65)</f>
        <v>3.3029999999999999</v>
      </c>
      <c r="O65" s="338">
        <f t="shared" si="18"/>
        <v>40.956238848322847</v>
      </c>
      <c r="P65" s="387">
        <v>0.88</v>
      </c>
      <c r="Q65" s="278">
        <v>0.96399999999999997</v>
      </c>
      <c r="R65" s="338">
        <f t="shared" si="24"/>
        <v>10.911743925680929</v>
      </c>
      <c r="S65" s="338">
        <f t="shared" si="25"/>
        <v>28.919999999999998</v>
      </c>
      <c r="T65" s="391">
        <f>VLOOKUP($A65,'Misc. Data &amp; Mechanisms'!$A$63:$DY$152,HLOOKUP('Service Zone Menu'!$X$3&amp;"_ATCO-N_NG_Y_1",'Misc. Data &amp; Mechanisms'!$A$55:$DY$62,8,FALSE), FALSE)</f>
        <v>0.32900000000000001</v>
      </c>
      <c r="U65" s="205">
        <f>VLOOKUP($A65,'Misc. Data &amp; Mechanisms'!$A$63:$DY$152,HLOOKUP('Service Zone Menu'!$X$3&amp;"_ATCO-N_NG_Y_2",'Misc. Data &amp; Mechanisms'!$A$55:$DY$62,8,FALSE), FALSE)</f>
        <v>4.1000000000000002E-2</v>
      </c>
      <c r="V65" s="425">
        <f>IF(OR('Service Zone Menu'!$X$3="Fort McMurray",AND('Service Zone Menu'!$X$3="Spruce Grove", $A65&lt;DATE(2019, 5, 1))),$T65*($G65+$H65+$J65), $T65*($H65+$J65))</f>
        <v>17.863587039037157</v>
      </c>
      <c r="W65" s="338">
        <f t="shared" si="26"/>
        <v>2.226161302737153</v>
      </c>
      <c r="X65" s="426">
        <v>1.7999999999999999E-2</v>
      </c>
      <c r="Y65" s="386">
        <v>1.4999999999999999E-2</v>
      </c>
      <c r="Z65" s="386"/>
      <c r="AA65" s="278">
        <v>0.81399999999999995</v>
      </c>
      <c r="AB65" s="386">
        <v>0.29399999999999998</v>
      </c>
      <c r="AC65" s="386"/>
      <c r="AD65" s="386"/>
      <c r="AE65" s="386"/>
      <c r="AF65" s="425">
        <f t="shared" si="27"/>
        <v>0.72599563509683396</v>
      </c>
      <c r="AG65" s="425">
        <f t="shared" si="28"/>
        <v>0</v>
      </c>
      <c r="AH65" s="425">
        <f t="shared" si="29"/>
        <v>10.093363131254858</v>
      </c>
      <c r="AI65" s="425">
        <f t="shared" si="30"/>
        <v>3.6455144478979462</v>
      </c>
      <c r="AJ65" s="425">
        <f t="shared" si="20"/>
        <v>0</v>
      </c>
      <c r="AK65" s="425">
        <f t="shared" si="21"/>
        <v>0</v>
      </c>
      <c r="AL65" s="425">
        <f t="shared" si="22"/>
        <v>0</v>
      </c>
      <c r="AM65" s="200">
        <f>IF($I$2="DRT",VLOOKUP(A65,'Misc. Data &amp; Mechanisms'!$A$1483:$H$1574,6,FALSE),AY65)</f>
        <v>0.249</v>
      </c>
      <c r="AN65" s="333">
        <f t="shared" si="23"/>
        <v>7.47</v>
      </c>
      <c r="AO65" s="296"/>
      <c r="AP65" s="333">
        <f t="shared" si="31"/>
        <v>0</v>
      </c>
      <c r="AQ65" s="340">
        <f>5%</f>
        <v>0.05</v>
      </c>
      <c r="AR65" s="341">
        <f>'Misc. Data &amp; Mechanisms'!AL338</f>
        <v>12.558109152958114</v>
      </c>
      <c r="AS65" s="424">
        <f>'Misc. Data &amp; Mechanisms'!AQ338</f>
        <v>12.273913126871175</v>
      </c>
      <c r="AT65" s="424">
        <f>'Misc. Data &amp; Mechanisms'!W338</f>
        <v>12.3997090064556</v>
      </c>
      <c r="AU65" s="424">
        <f>'Misc. Data &amp; Mechanisms'!X338</f>
        <v>7.9193822208027989</v>
      </c>
      <c r="AV65" s="1460">
        <f>'Misc. Data &amp; Mechanisms'!$B$260</f>
        <v>10.198990303636064</v>
      </c>
      <c r="AW65" s="197">
        <f>IFERROR(IF('Personalized Bill Menu'!$B$30="Yes", IF('Personalized Bill Menu'!$B$34="Natural Gas",VLOOKUP($A65, 'Personalized Bill Menu'!$H$4:$L$93, 2, FALSE), IF('Personalized Bill Menu'!$B$34="Both",VLOOKUP($A65,'Personalized Bill Menu'!$H$4:$P$93, 6, FALSE), 0)), 0),0)</f>
        <v>0</v>
      </c>
      <c r="AX65" s="1343">
        <f>IFERROR(IF('Personalized Bill Menu'!$C$37="Custom", IF('Personalized Bill Menu'!$B$34="Natural Gas",VLOOKUP($A65, 'Personalized Bill Menu'!$H$4:$L$93, 3, FALSE), IF('Personalized Bill Menu'!$B$34="Both",VLOOKUP($A65,'Personalized Bill Menu'!$H$4:$P$93, 7, FALSE), 0)), 0),0)</f>
        <v>0</v>
      </c>
      <c r="AY65" s="1344">
        <f>IFERROR(IF('Personalized Bill Menu'!$C$37="Custom", IF('Personalized Bill Menu'!$B$34="Natural Gas",VLOOKUP($A65, 'Personalized Bill Menu'!$H$4:$L$93, 4, FALSE), IF('Personalized Bill Menu'!$B$34="Both",VLOOKUP($A65,'Personalized Bill Menu'!$H$4:$P$93, 8, FALSE), 0)), 0),0)</f>
        <v>0</v>
      </c>
    </row>
    <row r="66" spans="1:51" x14ac:dyDescent="0.35">
      <c r="A66" s="435">
        <v>42705</v>
      </c>
      <c r="B66" s="436">
        <f t="shared" si="9"/>
        <v>31</v>
      </c>
      <c r="C66" s="231">
        <f t="shared" si="10"/>
        <v>22.303266085285749</v>
      </c>
      <c r="D66" s="344">
        <f t="shared" si="11"/>
        <v>7.9160891500230548</v>
      </c>
      <c r="E66" s="344">
        <f>(1+$AQ66)*IF(OR('Service Zone Menu'!$X$3="Fort McMurray",AND('Service Zone Menu'!$X$3="Spruce Grove", $A66&lt;DATE(2019, 5, 1))),((((1+$T66)*($P66+$N66)))+($U66*$P66)+((1+$T66+$U66)*($Y66+$Z66+$AA66+$AB66)) + $AO66),($N66+((1+$T66+$U66)*$P66)+((1+$T66+$U66)*($Y66+$Z66+$AA66+$AB66)) + $AO66))</f>
        <v>5.5892654999999998</v>
      </c>
      <c r="F66" s="437">
        <f t="shared" si="12"/>
        <v>176.55464266780768</v>
      </c>
      <c r="G66" s="343">
        <f t="shared" si="13"/>
        <v>57.520123233951949</v>
      </c>
      <c r="H66" s="344">
        <f t="shared" si="0"/>
        <v>49.510874155051461</v>
      </c>
      <c r="I66" s="344">
        <f t="shared" si="1"/>
        <v>27.792713528466123</v>
      </c>
      <c r="J66" s="344">
        <f t="shared" si="14"/>
        <v>25.604567813775898</v>
      </c>
      <c r="K66" s="344">
        <f t="shared" si="15"/>
        <v>7.7190000000000003</v>
      </c>
      <c r="L66" s="344">
        <f t="shared" si="16"/>
        <v>0</v>
      </c>
      <c r="M66" s="345">
        <f t="shared" si="17"/>
        <v>8.4073639365622714</v>
      </c>
      <c r="N66" s="1243">
        <f>IF($I$2="DRT",VLOOKUP(A66,'Misc. Data &amp; Mechanisms'!$A$1381:$D$1471,2,FALSE),AX66)</f>
        <v>2.5790000000000002</v>
      </c>
      <c r="O66" s="349">
        <f t="shared" si="18"/>
        <v>57.520123233951949</v>
      </c>
      <c r="P66" s="438">
        <v>0.88</v>
      </c>
      <c r="Q66" s="283">
        <v>0.96399999999999997</v>
      </c>
      <c r="R66" s="349">
        <f t="shared" si="24"/>
        <v>19.62687415505146</v>
      </c>
      <c r="S66" s="349">
        <f t="shared" si="25"/>
        <v>29.884</v>
      </c>
      <c r="T66" s="394">
        <f>VLOOKUP($A66,'Misc. Data &amp; Mechanisms'!$A$63:$DY$152,HLOOKUP('Service Zone Menu'!$X$3&amp;"_ATCO-N_NG_Y_1",'Misc. Data &amp; Mechanisms'!$A$55:$DY$62,8,FALSE), FALSE)</f>
        <v>0.32900000000000001</v>
      </c>
      <c r="U66" s="246">
        <f>VLOOKUP($A66,'Misc. Data &amp; Mechanisms'!$A$63:$DY$152,HLOOKUP('Service Zone Menu'!$X$3&amp;"_ATCO-N_NG_Y_2",'Misc. Data &amp; Mechanisms'!$A$55:$DY$62,8,FALSE), FALSE)</f>
        <v>4.1000000000000002E-2</v>
      </c>
      <c r="V66" s="440">
        <f>IF(OR('Service Zone Menu'!$X$3="Fort McMurray",AND('Service Zone Menu'!$X$3="Spruce Grove", $A66&lt;DATE(2019, 5, 1))),$T66*($G66+$H66+$J66), $T66*($H66+$J66))</f>
        <v>24.712980407744201</v>
      </c>
      <c r="W66" s="349">
        <f t="shared" si="26"/>
        <v>3.0797331207219218</v>
      </c>
      <c r="X66" s="439">
        <v>1.7999999999999999E-2</v>
      </c>
      <c r="Y66" s="399">
        <v>1.4999999999999999E-2</v>
      </c>
      <c r="Z66" s="399"/>
      <c r="AA66" s="283">
        <v>0.81399999999999995</v>
      </c>
      <c r="AB66" s="399">
        <v>0.29399999999999998</v>
      </c>
      <c r="AC66" s="399"/>
      <c r="AD66" s="399"/>
      <c r="AE66" s="399"/>
      <c r="AF66" s="440">
        <f t="shared" si="27"/>
        <v>0.89254899127928611</v>
      </c>
      <c r="AG66" s="440">
        <f t="shared" si="28"/>
        <v>0</v>
      </c>
      <c r="AH66" s="440">
        <f t="shared" si="29"/>
        <v>18.154858593422599</v>
      </c>
      <c r="AI66" s="440">
        <f t="shared" si="30"/>
        <v>6.5571602290740101</v>
      </c>
      <c r="AJ66" s="440">
        <f t="shared" si="20"/>
        <v>0</v>
      </c>
      <c r="AK66" s="440">
        <f t="shared" si="21"/>
        <v>0</v>
      </c>
      <c r="AL66" s="440">
        <f t="shared" si="22"/>
        <v>0</v>
      </c>
      <c r="AM66" s="239">
        <f>IF($I$2="DRT",VLOOKUP(A66,'Misc. Data &amp; Mechanisms'!$A$1483:$H$1574,6,FALSE),AY66)</f>
        <v>0.249</v>
      </c>
      <c r="AN66" s="346">
        <f t="shared" si="23"/>
        <v>7.7190000000000003</v>
      </c>
      <c r="AO66" s="1501"/>
      <c r="AP66" s="346">
        <f t="shared" si="31"/>
        <v>0</v>
      </c>
      <c r="AQ66" s="351">
        <f>5%</f>
        <v>0.05</v>
      </c>
      <c r="AR66" s="352">
        <f>'Misc. Data &amp; Mechanisms'!AL339</f>
        <v>22.588179272648009</v>
      </c>
      <c r="AS66" s="441">
        <f>'Misc. Data &amp; Mechanisms'!AQ339</f>
        <v>22.394201815157196</v>
      </c>
      <c r="AT66" s="441">
        <f>'Misc. Data &amp; Mechanisms'!W339</f>
        <v>22.303266085285749</v>
      </c>
      <c r="AU66" s="441">
        <f>'Misc. Data &amp; Mechanisms'!X339</f>
        <v>14.244534997530101</v>
      </c>
      <c r="AV66" s="1461">
        <f>'Misc. Data &amp; Mechanisms'!$B$260</f>
        <v>10.198990303636064</v>
      </c>
      <c r="AW66" s="243">
        <f>IFERROR(IF('Personalized Bill Menu'!$B$30="Yes", IF('Personalized Bill Menu'!$B$34="Natural Gas",VLOOKUP($A66, 'Personalized Bill Menu'!$H$4:$L$93, 2, FALSE), IF('Personalized Bill Menu'!$B$34="Both",VLOOKUP($A66,'Personalized Bill Menu'!$H$4:$P$93, 6, FALSE), 0)), 0),0)</f>
        <v>0</v>
      </c>
      <c r="AX66" s="1345">
        <f>IFERROR(IF('Personalized Bill Menu'!$C$37="Custom", IF('Personalized Bill Menu'!$B$34="Natural Gas",VLOOKUP($A66, 'Personalized Bill Menu'!$H$4:$L$93, 3, FALSE), IF('Personalized Bill Menu'!$B$34="Both",VLOOKUP($A66,'Personalized Bill Menu'!$H$4:$P$93, 7, FALSE), 0)), 0),0)</f>
        <v>0</v>
      </c>
      <c r="AY66" s="1346">
        <f>IFERROR(IF('Personalized Bill Menu'!$C$37="Custom", IF('Personalized Bill Menu'!$B$34="Natural Gas",VLOOKUP($A66, 'Personalized Bill Menu'!$H$4:$L$93, 4, FALSE), IF('Personalized Bill Menu'!$B$34="Both",VLOOKUP($A66,'Personalized Bill Menu'!$H$4:$P$93, 8, FALSE), 0)), 0),0)</f>
        <v>0</v>
      </c>
    </row>
    <row r="67" spans="1:51" x14ac:dyDescent="0.35">
      <c r="A67" s="428">
        <v>42736</v>
      </c>
      <c r="B67" s="429">
        <f t="shared" si="9"/>
        <v>31</v>
      </c>
      <c r="C67" s="212">
        <f t="shared" si="10"/>
        <v>19.984260248962322</v>
      </c>
      <c r="D67" s="353">
        <f t="shared" si="11"/>
        <v>10.466249644501048</v>
      </c>
      <c r="E67" s="353">
        <f>(1+$AQ67)*IF(OR('Service Zone Menu'!$X$3="Fort McMurray",AND('Service Zone Menu'!$X$3="Spruce Grove", $A67&lt;DATE(2019, 5, 1))),((((1+$T67)*($P67+$N67)))+($U67*$P67)+((1+$T67+$U67)*($Y67+$Z67+$AA67+$AB67)) + $AO67),($N67+((1+$T67+$U67)*$P67)+((1+$T67+$U67)*($Y67+$Z67+$AA67+$AB67)) + $AO67))</f>
        <v>7.8895004999999996</v>
      </c>
      <c r="F67" s="430">
        <f t="shared" si="12"/>
        <v>209.16025672631832</v>
      </c>
      <c r="G67" s="356">
        <f t="shared" si="13"/>
        <v>74.841054632363893</v>
      </c>
      <c r="H67" s="353">
        <f t="shared" si="0"/>
        <v>48.248755525310898</v>
      </c>
      <c r="I67" s="353">
        <f t="shared" si="1"/>
        <v>26.044786876029626</v>
      </c>
      <c r="J67" s="353">
        <f t="shared" si="14"/>
        <v>22.14256035585025</v>
      </c>
      <c r="K67" s="353">
        <f t="shared" si="15"/>
        <v>7.7190000000000003</v>
      </c>
      <c r="L67" s="353">
        <f t="shared" si="16"/>
        <v>20.204087111700904</v>
      </c>
      <c r="M67" s="357">
        <f t="shared" si="17"/>
        <v>9.9600122250627781</v>
      </c>
      <c r="N67" s="273">
        <f>IF($I$2="DRT",VLOOKUP(A67,'Misc. Data &amp; Mechanisms'!$A$1381:$D$1471,2,FALSE),AX67)</f>
        <v>3.7450000000000001</v>
      </c>
      <c r="O67" s="354">
        <f t="shared" si="18"/>
        <v>74.841054632363893</v>
      </c>
      <c r="P67" s="431">
        <v>0.90500000000000003</v>
      </c>
      <c r="Q67" s="288">
        <v>0.97299999999999998</v>
      </c>
      <c r="R67" s="354">
        <f t="shared" si="24"/>
        <v>18.085755525310901</v>
      </c>
      <c r="S67" s="354">
        <f t="shared" si="25"/>
        <v>30.163</v>
      </c>
      <c r="T67" s="391">
        <f>VLOOKUP($A67,'Misc. Data &amp; Mechanisms'!$A$63:$DY$152,HLOOKUP('Service Zone Menu'!$X$3&amp;"_ATCO-N_NG_Y_1",'Misc. Data &amp; Mechanisms'!$A$55:$DY$62,8,FALSE), FALSE)</f>
        <v>0.32900000000000001</v>
      </c>
      <c r="U67" s="205">
        <f>VLOOKUP($A67,'Misc. Data &amp; Mechanisms'!$A$63:$DY$152,HLOOKUP('Service Zone Menu'!$X$3&amp;"_ATCO-N_NG_Y_2",'Misc. Data &amp; Mechanisms'!$A$55:$DY$62,8,FALSE), FALSE)</f>
        <v>4.1000000000000002E-2</v>
      </c>
      <c r="V67" s="433">
        <f>IF(OR('Service Zone Menu'!$X$3="Fort McMurray",AND('Service Zone Menu'!$X$3="Spruce Grove", $A67&lt;DATE(2019, 5, 1))),$T67*($G67+$H67+$J67), $T67*($H67+$J67))</f>
        <v>23.158742924902018</v>
      </c>
      <c r="W67" s="354">
        <f t="shared" si="26"/>
        <v>2.8860439511276073</v>
      </c>
      <c r="X67" s="432"/>
      <c r="Y67" s="397"/>
      <c r="Z67" s="397"/>
      <c r="AA67" s="288">
        <v>0.81399999999999995</v>
      </c>
      <c r="AB67" s="288">
        <v>0.29399999999999998</v>
      </c>
      <c r="AC67" s="288"/>
      <c r="AD67" s="288"/>
      <c r="AE67" s="288"/>
      <c r="AF67" s="433">
        <f t="shared" si="27"/>
        <v>0</v>
      </c>
      <c r="AG67" s="433">
        <f t="shared" si="28"/>
        <v>0</v>
      </c>
      <c r="AH67" s="433">
        <f t="shared" si="29"/>
        <v>16.267187842655328</v>
      </c>
      <c r="AI67" s="433">
        <f t="shared" si="30"/>
        <v>5.8753725131949226</v>
      </c>
      <c r="AJ67" s="433">
        <f t="shared" si="20"/>
        <v>0</v>
      </c>
      <c r="AK67" s="433">
        <f t="shared" si="21"/>
        <v>0</v>
      </c>
      <c r="AL67" s="433">
        <f t="shared" si="22"/>
        <v>0</v>
      </c>
      <c r="AM67" s="200">
        <f>IF($I$2="DRT",VLOOKUP(A67,'Misc. Data &amp; Mechanisms'!$A$1483:$H$1574,6,FALSE),AY67)</f>
        <v>0.249</v>
      </c>
      <c r="AN67" s="333">
        <f t="shared" si="23"/>
        <v>7.7190000000000003</v>
      </c>
      <c r="AO67" s="295">
        <v>1.0109999999999999</v>
      </c>
      <c r="AP67" s="355">
        <f t="shared" si="31"/>
        <v>20.204087111700904</v>
      </c>
      <c r="AQ67" s="358">
        <f>5%</f>
        <v>0.05</v>
      </c>
      <c r="AR67" s="359">
        <f>'Misc. Data &amp; Mechanisms'!AL340</f>
        <v>20.239549284336615</v>
      </c>
      <c r="AS67" s="434">
        <f>'Misc. Data &amp; Mechanisms'!AQ340</f>
        <v>20.530448595642721</v>
      </c>
      <c r="AT67" s="434">
        <f>'Misc. Data &amp; Mechanisms'!W340</f>
        <v>19.984260248962322</v>
      </c>
      <c r="AU67" s="434">
        <f>'Misc. Data &amp; Mechanisms'!X340</f>
        <v>12.76344430576013</v>
      </c>
      <c r="AV67" s="1462">
        <f>'Misc. Data &amp; Mechanisms'!$B$260</f>
        <v>10.198990303636064</v>
      </c>
      <c r="AW67" s="197">
        <f>IFERROR(IF('Personalized Bill Menu'!$B$30="Yes", IF('Personalized Bill Menu'!$B$34="Natural Gas",VLOOKUP($A67, 'Personalized Bill Menu'!$H$4:$L$93, 2, FALSE), IF('Personalized Bill Menu'!$B$34="Both",VLOOKUP($A67,'Personalized Bill Menu'!$H$4:$P$93, 6, FALSE), 0)), 0),0)</f>
        <v>0</v>
      </c>
      <c r="AX67" s="1343">
        <f>IFERROR(IF('Personalized Bill Menu'!$C$37="Custom", IF('Personalized Bill Menu'!$B$34="Natural Gas",VLOOKUP($A67, 'Personalized Bill Menu'!$H$4:$L$93, 3, FALSE), IF('Personalized Bill Menu'!$B$34="Both",VLOOKUP($A67,'Personalized Bill Menu'!$H$4:$P$93, 7, FALSE), 0)), 0),0)</f>
        <v>0</v>
      </c>
      <c r="AY67" s="1344">
        <f>IFERROR(IF('Personalized Bill Menu'!$C$37="Custom", IF('Personalized Bill Menu'!$B$34="Natural Gas",VLOOKUP($A67, 'Personalized Bill Menu'!$H$4:$L$93, 4, FALSE), IF('Personalized Bill Menu'!$B$34="Both",VLOOKUP($A67,'Personalized Bill Menu'!$H$4:$P$93, 8, FALSE), 0)), 0),0)</f>
        <v>0</v>
      </c>
    </row>
    <row r="68" spans="1:51" x14ac:dyDescent="0.35">
      <c r="A68" s="427">
        <v>42767</v>
      </c>
      <c r="B68" s="85">
        <f t="shared" si="9"/>
        <v>28</v>
      </c>
      <c r="C68" s="1581">
        <f t="shared" si="10"/>
        <v>17.784999764339688</v>
      </c>
      <c r="D68" s="66">
        <f t="shared" si="11"/>
        <v>9.4150219711509511</v>
      </c>
      <c r="E68" s="66">
        <f>(1+$AQ68)*IF(OR('Service Zone Menu'!$X$3="Fort McMurray",AND('Service Zone Menu'!$X$3="Spruce Grove", $A68&lt;DATE(2019, 5, 1))),((((1+$T68)*($P68+$N68)))+($U68*$P68)+((1+$T68+$U68)*($Y68+$Z68+$AA68+$AB68)) + $AO68),($N68+((1+$T68+$U68)*$P68)+((1+$T68+$U68)*($Y68+$Z68+$AA68+$AB68)) + $AO68))</f>
        <v>6.7144412999999998</v>
      </c>
      <c r="F68" s="400">
        <f t="shared" si="12"/>
        <v>167.44616353817264</v>
      </c>
      <c r="G68" s="115">
        <f t="shared" si="13"/>
        <v>46.987969377385454</v>
      </c>
      <c r="H68" s="66">
        <f t="shared" si="0"/>
        <v>43.33942478672742</v>
      </c>
      <c r="I68" s="66">
        <f t="shared" si="1"/>
        <v>23.264728038272917</v>
      </c>
      <c r="J68" s="66">
        <f t="shared" si="14"/>
        <v>20.927779738888376</v>
      </c>
      <c r="K68" s="66">
        <f t="shared" si="15"/>
        <v>6.9719999999999995</v>
      </c>
      <c r="L68" s="66">
        <f t="shared" si="16"/>
        <v>17.980634761747421</v>
      </c>
      <c r="M68" s="68">
        <f t="shared" si="17"/>
        <v>7.9736268351510793</v>
      </c>
      <c r="N68" s="273">
        <f>IF($I$2="DRT",VLOOKUP(A68,'Misc. Data &amp; Mechanisms'!$A$1381:$D$1471,2,FALSE),AX68)</f>
        <v>2.6419999999999999</v>
      </c>
      <c r="O68" s="338">
        <f t="shared" si="18"/>
        <v>46.987969377385454</v>
      </c>
      <c r="P68" s="387">
        <v>0.90500000000000003</v>
      </c>
      <c r="Q68" s="278">
        <v>0.97299999999999998</v>
      </c>
      <c r="R68" s="338">
        <f t="shared" si="24"/>
        <v>16.095424786727417</v>
      </c>
      <c r="S68" s="338">
        <f t="shared" si="25"/>
        <v>27.244</v>
      </c>
      <c r="T68" s="391">
        <f>VLOOKUP($A68,'Misc. Data &amp; Mechanisms'!$A$63:$DY$152,HLOOKUP('Service Zone Menu'!$X$3&amp;"_ATCO-N_NG_Y_1",'Misc. Data &amp; Mechanisms'!$A$55:$DY$62,8,FALSE), FALSE)</f>
        <v>0.32900000000000001</v>
      </c>
      <c r="U68" s="205">
        <f>VLOOKUP($A68,'Misc. Data &amp; Mechanisms'!$A$63:$DY$152,HLOOKUP('Service Zone Menu'!$X$3&amp;"_ATCO-N_NG_Y_2",'Misc. Data &amp; Mechanisms'!$A$55:$DY$62,8,FALSE), FALSE)</f>
        <v>3.3000000000000002E-2</v>
      </c>
      <c r="V68" s="425">
        <f>IF(OR('Service Zone Menu'!$X$3="Fort McMurray",AND('Service Zone Menu'!$X$3="Spruce Grove", $A68&lt;DATE(2019, 5, 1))),$T68*($G68+$H68+$J68), $T68*($H68+$J68))</f>
        <v>21.143910288927596</v>
      </c>
      <c r="W68" s="338">
        <f t="shared" si="26"/>
        <v>2.1208177493453215</v>
      </c>
      <c r="X68" s="426"/>
      <c r="Y68" s="386"/>
      <c r="Z68" s="386"/>
      <c r="AA68" s="278">
        <v>0.81399999999999995</v>
      </c>
      <c r="AB68" s="278">
        <v>0.29399999999999998</v>
      </c>
      <c r="AC68" s="278">
        <v>1.222</v>
      </c>
      <c r="AD68" s="278"/>
      <c r="AE68" s="278"/>
      <c r="AF68" s="425">
        <f t="shared" si="27"/>
        <v>0</v>
      </c>
      <c r="AG68" s="425">
        <f t="shared" si="28"/>
        <v>0</v>
      </c>
      <c r="AH68" s="425">
        <f t="shared" si="29"/>
        <v>14.476989808172505</v>
      </c>
      <c r="AI68" s="425">
        <f t="shared" si="30"/>
        <v>5.2287899307158678</v>
      </c>
      <c r="AJ68" s="425">
        <f t="shared" si="20"/>
        <v>1.222</v>
      </c>
      <c r="AK68" s="425">
        <f t="shared" si="21"/>
        <v>0</v>
      </c>
      <c r="AL68" s="425">
        <f t="shared" si="22"/>
        <v>0</v>
      </c>
      <c r="AM68" s="200">
        <f>IF($I$2="DRT",VLOOKUP(A68,'Misc. Data &amp; Mechanisms'!$A$1483:$H$1574,6,FALSE),AY68)</f>
        <v>0.249</v>
      </c>
      <c r="AN68" s="333">
        <f t="shared" si="23"/>
        <v>6.9719999999999995</v>
      </c>
      <c r="AO68" s="296">
        <v>1.0109999999999999</v>
      </c>
      <c r="AP68" s="333">
        <f t="shared" si="31"/>
        <v>17.980634761747421</v>
      </c>
      <c r="AQ68" s="340">
        <f>5%</f>
        <v>0.05</v>
      </c>
      <c r="AR68" s="341">
        <f>'Misc. Data &amp; Mechanisms'!AL341</f>
        <v>18.012194335337433</v>
      </c>
      <c r="AS68" s="424">
        <f>'Misc. Data &amp; Mechanisms'!AQ341</f>
        <v>18.469031499429875</v>
      </c>
      <c r="AT68" s="424">
        <f>'Misc. Data &amp; Mechanisms'!W341</f>
        <v>17.784999764339688</v>
      </c>
      <c r="AU68" s="424">
        <f>'Misc. Data &amp; Mechanisms'!X341</f>
        <v>11.358831957860108</v>
      </c>
      <c r="AV68" s="1460">
        <f>'Misc. Data &amp; Mechanisms'!$B$260</f>
        <v>10.198990303636064</v>
      </c>
      <c r="AW68" s="197">
        <f>IFERROR(IF('Personalized Bill Menu'!$B$30="Yes", IF('Personalized Bill Menu'!$B$34="Natural Gas",VLOOKUP($A68, 'Personalized Bill Menu'!$H$4:$L$93, 2, FALSE), IF('Personalized Bill Menu'!$B$34="Both",VLOOKUP($A68,'Personalized Bill Menu'!$H$4:$P$93, 6, FALSE), 0)), 0),0)</f>
        <v>0</v>
      </c>
      <c r="AX68" s="1343">
        <f>IFERROR(IF('Personalized Bill Menu'!$C$37="Custom", IF('Personalized Bill Menu'!$B$34="Natural Gas",VLOOKUP($A68, 'Personalized Bill Menu'!$H$4:$L$93, 3, FALSE), IF('Personalized Bill Menu'!$B$34="Both",VLOOKUP($A68,'Personalized Bill Menu'!$H$4:$P$93, 7, FALSE), 0)), 0),0)</f>
        <v>0</v>
      </c>
      <c r="AY68" s="1344">
        <f>IFERROR(IF('Personalized Bill Menu'!$C$37="Custom", IF('Personalized Bill Menu'!$B$34="Natural Gas",VLOOKUP($A68, 'Personalized Bill Menu'!$H$4:$L$93, 4, FALSE), IF('Personalized Bill Menu'!$B$34="Both",VLOOKUP($A68,'Personalized Bill Menu'!$H$4:$P$93, 8, FALSE), 0)), 0),0)</f>
        <v>0</v>
      </c>
    </row>
    <row r="69" spans="1:51" x14ac:dyDescent="0.35">
      <c r="A69" s="427">
        <v>42795</v>
      </c>
      <c r="B69" s="85">
        <f t="shared" si="9"/>
        <v>31</v>
      </c>
      <c r="C69" s="1581">
        <f t="shared" si="10"/>
        <v>18.237996472014942</v>
      </c>
      <c r="D69" s="66">
        <f t="shared" si="11"/>
        <v>8.9253909669689691</v>
      </c>
      <c r="E69" s="66">
        <f>(1+$AQ69)*IF(OR('Service Zone Menu'!$X$3="Fort McMurray",AND('Service Zone Menu'!$X$3="Spruce Grove", $A69&lt;DATE(2019, 5, 1))),((((1+$T69)*($P69+$N69)))+($U69*$P69)+((1+$T69+$U69)*($Y69+$Z69+$AA69+$AB69)) + $AO69),($N69+((1+$T69+$U69)*$P69)+((1+$T69+$U69)*($Y69+$Z69+$AA69+$AB69)) + $AO69))</f>
        <v>6.0783323999999999</v>
      </c>
      <c r="F69" s="400">
        <f t="shared" si="12"/>
        <v>162.7812489669341</v>
      </c>
      <c r="G69" s="115">
        <f t="shared" si="13"/>
        <v>34.378623349748167</v>
      </c>
      <c r="H69" s="66">
        <f t="shared" si="0"/>
        <v>46.668386807173519</v>
      </c>
      <c r="I69" s="66">
        <f t="shared" si="1"/>
        <v>25.115018631374625</v>
      </c>
      <c r="J69" s="66">
        <f t="shared" si="14"/>
        <v>22.710117699386217</v>
      </c>
      <c r="K69" s="66">
        <f t="shared" si="15"/>
        <v>7.7190000000000003</v>
      </c>
      <c r="L69" s="66">
        <f t="shared" si="16"/>
        <v>18.438614433207103</v>
      </c>
      <c r="M69" s="68">
        <f t="shared" si="17"/>
        <v>7.7514880460444822</v>
      </c>
      <c r="N69" s="273">
        <f>IF($I$2="DRT",VLOOKUP(A69,'Misc. Data &amp; Mechanisms'!$A$1381:$D$1471,2,FALSE),AX69)</f>
        <v>1.885</v>
      </c>
      <c r="O69" s="338">
        <f t="shared" si="18"/>
        <v>34.378623349748167</v>
      </c>
      <c r="P69" s="387">
        <v>0.90500000000000003</v>
      </c>
      <c r="Q69" s="278">
        <v>0.97299999999999998</v>
      </c>
      <c r="R69" s="338">
        <f t="shared" si="24"/>
        <v>16.505386807173522</v>
      </c>
      <c r="S69" s="338">
        <f t="shared" si="25"/>
        <v>30.163</v>
      </c>
      <c r="T69" s="391">
        <f>VLOOKUP($A69,'Misc. Data &amp; Mechanisms'!$A$63:$DY$152,HLOOKUP('Service Zone Menu'!$X$3&amp;"_ATCO-N_NG_Y_1",'Misc. Data &amp; Mechanisms'!$A$55:$DY$62,8,FALSE), FALSE)</f>
        <v>0.32900000000000001</v>
      </c>
      <c r="U69" s="205">
        <f>VLOOKUP($A69,'Misc. Data &amp; Mechanisms'!$A$63:$DY$152,HLOOKUP('Service Zone Menu'!$X$3&amp;"_ATCO-N_NG_Y_2",'Misc. Data &amp; Mechanisms'!$A$55:$DY$62,8,FALSE), FALSE)</f>
        <v>3.3000000000000002E-2</v>
      </c>
      <c r="V69" s="425">
        <f>IF(OR('Service Zone Menu'!$X$3="Fort McMurray",AND('Service Zone Menu'!$X$3="Spruce Grove", $A69&lt;DATE(2019, 5, 1))),$T69*($G69+$H69+$J69), $T69*($H69+$J69))</f>
        <v>22.825527982658155</v>
      </c>
      <c r="W69" s="338">
        <f t="shared" si="26"/>
        <v>2.2894906487164715</v>
      </c>
      <c r="X69" s="426"/>
      <c r="Y69" s="386"/>
      <c r="Z69" s="386"/>
      <c r="AA69" s="278">
        <v>0.92500000000000004</v>
      </c>
      <c r="AB69" s="278">
        <v>0.29399999999999998</v>
      </c>
      <c r="AC69" s="278">
        <v>1.222</v>
      </c>
      <c r="AD69" s="278">
        <v>-2.4E-2</v>
      </c>
      <c r="AE69" s="278"/>
      <c r="AF69" s="425">
        <f t="shared" si="27"/>
        <v>0</v>
      </c>
      <c r="AG69" s="425">
        <f t="shared" si="28"/>
        <v>0</v>
      </c>
      <c r="AH69" s="425">
        <f t="shared" si="29"/>
        <v>16.870146736613822</v>
      </c>
      <c r="AI69" s="425">
        <f t="shared" si="30"/>
        <v>5.3619709627723928</v>
      </c>
      <c r="AJ69" s="425">
        <f t="shared" si="20"/>
        <v>1.222</v>
      </c>
      <c r="AK69" s="425">
        <f>AD69*B69</f>
        <v>-0.74399999999999999</v>
      </c>
      <c r="AL69" s="425">
        <f t="shared" si="22"/>
        <v>0</v>
      </c>
      <c r="AM69" s="200">
        <f>IF($I$2="DRT",VLOOKUP(A69,'Misc. Data &amp; Mechanisms'!$A$1483:$H$1574,6,FALSE),AY69)</f>
        <v>0.249</v>
      </c>
      <c r="AN69" s="333">
        <f t="shared" si="23"/>
        <v>7.7190000000000003</v>
      </c>
      <c r="AO69" s="296">
        <v>1.0109999999999999</v>
      </c>
      <c r="AP69" s="333">
        <f t="shared" si="31"/>
        <v>18.438614433207103</v>
      </c>
      <c r="AQ69" s="340">
        <f>5%</f>
        <v>0.05</v>
      </c>
      <c r="AR69" s="341">
        <f>'Misc. Data &amp; Mechanisms'!AL342</f>
        <v>18.470977851785666</v>
      </c>
      <c r="AS69" s="424">
        <f>'Misc. Data &amp; Mechanisms'!AQ342</f>
        <v>17.975545163864641</v>
      </c>
      <c r="AT69" s="424">
        <f>'Misc. Data &amp; Mechanisms'!W342</f>
        <v>18.237996472014942</v>
      </c>
      <c r="AU69" s="424">
        <f>'Misc. Data &amp; Mechanisms'!X342</f>
        <v>11.648149559666562</v>
      </c>
      <c r="AV69" s="1460">
        <f>'Misc. Data &amp; Mechanisms'!$B$260</f>
        <v>10.198990303636064</v>
      </c>
      <c r="AW69" s="197">
        <f>IFERROR(IF('Personalized Bill Menu'!$B$30="Yes", IF('Personalized Bill Menu'!$B$34="Natural Gas",VLOOKUP($A69, 'Personalized Bill Menu'!$H$4:$L$93, 2, FALSE), IF('Personalized Bill Menu'!$B$34="Both",VLOOKUP($A69,'Personalized Bill Menu'!$H$4:$P$93, 6, FALSE), 0)), 0),0)</f>
        <v>0</v>
      </c>
      <c r="AX69" s="1343">
        <f>IFERROR(IF('Personalized Bill Menu'!$C$37="Custom", IF('Personalized Bill Menu'!$B$34="Natural Gas",VLOOKUP($A69, 'Personalized Bill Menu'!$H$4:$L$93, 3, FALSE), IF('Personalized Bill Menu'!$B$34="Both",VLOOKUP($A69,'Personalized Bill Menu'!$H$4:$P$93, 7, FALSE), 0)), 0),0)</f>
        <v>0</v>
      </c>
      <c r="AY69" s="1344">
        <f>IFERROR(IF('Personalized Bill Menu'!$C$37="Custom", IF('Personalized Bill Menu'!$B$34="Natural Gas",VLOOKUP($A69, 'Personalized Bill Menu'!$H$4:$L$93, 4, FALSE), IF('Personalized Bill Menu'!$B$34="Both",VLOOKUP($A69,'Personalized Bill Menu'!$H$4:$P$93, 8, FALSE), 0)), 0),0)</f>
        <v>0</v>
      </c>
    </row>
    <row r="70" spans="1:51" x14ac:dyDescent="0.35">
      <c r="A70" s="427">
        <v>42826</v>
      </c>
      <c r="B70" s="85">
        <f t="shared" si="9"/>
        <v>30</v>
      </c>
      <c r="C70" s="1581">
        <f t="shared" si="10"/>
        <v>10.638748379342678</v>
      </c>
      <c r="D70" s="66">
        <f t="shared" si="11"/>
        <v>11.20799890108198</v>
      </c>
      <c r="E70" s="66">
        <f>(1+$AQ70)*IF(OR('Service Zone Menu'!$X$3="Fort McMurray",AND('Service Zone Menu'!$X$3="Spruce Grove", $A70&lt;DATE(2019, 5, 1))),((((1+$T70)*($P70+$N70)))+($U70*$P70)+((1+$T70+$U70)*($Y70+$Z70+$AA70+$AB70)) + $AO70),($N70+((1+$T70+$U70)*$P70)+((1+$T70+$U70)*($Y70+$Z70+$AA70+$AB70)) + $AO70))</f>
        <v>6.4794324000000003</v>
      </c>
      <c r="F70" s="400">
        <f t="shared" si="12"/>
        <v>119.23908014456043</v>
      </c>
      <c r="G70" s="115">
        <f t="shared" si="13"/>
        <v>24.118042575969849</v>
      </c>
      <c r="H70" s="66">
        <f t="shared" si="0"/>
        <v>38.818067283305119</v>
      </c>
      <c r="I70" s="66">
        <f t="shared" si="1"/>
        <v>18.92850996389603</v>
      </c>
      <c r="J70" s="66">
        <f t="shared" si="14"/>
        <v>13.470634274418725</v>
      </c>
      <c r="K70" s="66">
        <f t="shared" si="15"/>
        <v>7.47</v>
      </c>
      <c r="L70" s="66">
        <f t="shared" si="16"/>
        <v>10.755774611515447</v>
      </c>
      <c r="M70" s="68">
        <f t="shared" si="17"/>
        <v>5.6780514354552594</v>
      </c>
      <c r="N70" s="273">
        <f>IF($I$2="DRT",VLOOKUP(A70,'Misc. Data &amp; Mechanisms'!$A$1381:$D$1471,2,FALSE),AX70)</f>
        <v>2.2669999999999999</v>
      </c>
      <c r="O70" s="338">
        <f t="shared" si="18"/>
        <v>24.118042575969849</v>
      </c>
      <c r="P70" s="387">
        <v>0.90500000000000003</v>
      </c>
      <c r="Q70" s="278">
        <v>0.97299999999999998</v>
      </c>
      <c r="R70" s="338">
        <f t="shared" si="24"/>
        <v>9.6280672833051231</v>
      </c>
      <c r="S70" s="338">
        <f t="shared" si="25"/>
        <v>29.189999999999998</v>
      </c>
      <c r="T70" s="391">
        <f>VLOOKUP($A70,'Misc. Data &amp; Mechanisms'!$A$63:$DY$152,HLOOKUP('Service Zone Menu'!$X$3&amp;"_ATCO-N_NG_Y_1",'Misc. Data &amp; Mechanisms'!$A$55:$DY$62,8,FALSE), FALSE)</f>
        <v>0.32900000000000001</v>
      </c>
      <c r="U70" s="205">
        <f>VLOOKUP($A70,'Misc. Data &amp; Mechanisms'!$A$63:$DY$152,HLOOKUP('Service Zone Menu'!$X$3&amp;"_ATCO-N_NG_Y_2",'Misc. Data &amp; Mechanisms'!$A$55:$DY$62,8,FALSE), FALSE)</f>
        <v>3.3000000000000002E-2</v>
      </c>
      <c r="V70" s="425">
        <f>IF(OR('Service Zone Menu'!$X$3="Fort McMurray",AND('Service Zone Menu'!$X$3="Spruce Grove", $A70&lt;DATE(2019, 5, 1))),$T70*($G70+$H70+$J70), $T70*($H70+$J70))</f>
        <v>17.202982812491143</v>
      </c>
      <c r="W70" s="338">
        <f t="shared" si="26"/>
        <v>1.7255271514048869</v>
      </c>
      <c r="X70" s="426"/>
      <c r="Y70" s="386"/>
      <c r="Z70" s="278"/>
      <c r="AA70" s="278">
        <v>0.92500000000000004</v>
      </c>
      <c r="AB70" s="278">
        <v>0.29399999999999998</v>
      </c>
      <c r="AC70" s="278">
        <v>1.222</v>
      </c>
      <c r="AD70" s="278">
        <v>-2.4E-2</v>
      </c>
      <c r="AE70" s="278"/>
      <c r="AF70" s="425">
        <f t="shared" si="27"/>
        <v>0</v>
      </c>
      <c r="AG70" s="425">
        <f t="shared" si="28"/>
        <v>0</v>
      </c>
      <c r="AH70" s="425">
        <f t="shared" si="29"/>
        <v>9.8408422508919777</v>
      </c>
      <c r="AI70" s="425">
        <f t="shared" si="30"/>
        <v>3.1277920235267471</v>
      </c>
      <c r="AJ70" s="425">
        <f t="shared" si="20"/>
        <v>1.222</v>
      </c>
      <c r="AK70" s="425">
        <f t="shared" si="21"/>
        <v>-0.72</v>
      </c>
      <c r="AL70" s="425">
        <f t="shared" si="22"/>
        <v>0</v>
      </c>
      <c r="AM70" s="200">
        <f>IF($I$2="DRT",VLOOKUP(A70,'Misc. Data &amp; Mechanisms'!$A$1483:$H$1574,6,FALSE),AY70)</f>
        <v>0.249</v>
      </c>
      <c r="AN70" s="333">
        <f t="shared" si="23"/>
        <v>7.47</v>
      </c>
      <c r="AO70" s="296">
        <v>1.0109999999999999</v>
      </c>
      <c r="AP70" s="333">
        <f t="shared" si="31"/>
        <v>10.755774611515447</v>
      </c>
      <c r="AQ70" s="340">
        <f>5%</f>
        <v>0.05</v>
      </c>
      <c r="AR70" s="341">
        <f>'Misc. Data &amp; Mechanisms'!AL343</f>
        <v>10.774653125253563</v>
      </c>
      <c r="AS70" s="424">
        <f>'Misc. Data &amp; Mechanisms'!AQ343</f>
        <v>10.662365274353636</v>
      </c>
      <c r="AT70" s="424">
        <f>'Misc. Data &amp; Mechanisms'!W343</f>
        <v>10.638748379342678</v>
      </c>
      <c r="AU70" s="424">
        <f>'Misc. Data &amp; Mechanisms'!X343</f>
        <v>6.7947009662159914</v>
      </c>
      <c r="AV70" s="1460">
        <f>'Misc. Data &amp; Mechanisms'!$B$260</f>
        <v>10.198990303636064</v>
      </c>
      <c r="AW70" s="197">
        <f>IFERROR(IF('Personalized Bill Menu'!$B$30="Yes", IF('Personalized Bill Menu'!$B$34="Natural Gas",VLOOKUP($A70, 'Personalized Bill Menu'!$H$4:$L$93, 2, FALSE), IF('Personalized Bill Menu'!$B$34="Both",VLOOKUP($A70,'Personalized Bill Menu'!$H$4:$P$93, 6, FALSE), 0)), 0),0)</f>
        <v>0</v>
      </c>
      <c r="AX70" s="1343">
        <f>IFERROR(IF('Personalized Bill Menu'!$C$37="Custom", IF('Personalized Bill Menu'!$B$34="Natural Gas",VLOOKUP($A70, 'Personalized Bill Menu'!$H$4:$L$93, 3, FALSE), IF('Personalized Bill Menu'!$B$34="Both",VLOOKUP($A70,'Personalized Bill Menu'!$H$4:$P$93, 7, FALSE), 0)), 0),0)</f>
        <v>0</v>
      </c>
      <c r="AY70" s="1344">
        <f>IFERROR(IF('Personalized Bill Menu'!$C$37="Custom", IF('Personalized Bill Menu'!$B$34="Natural Gas",VLOOKUP($A70, 'Personalized Bill Menu'!$H$4:$L$93, 4, FALSE), IF('Personalized Bill Menu'!$B$34="Both",VLOOKUP($A70,'Personalized Bill Menu'!$H$4:$P$93, 8, FALSE), 0)), 0),0)</f>
        <v>0</v>
      </c>
    </row>
    <row r="71" spans="1:51" x14ac:dyDescent="0.35">
      <c r="A71" s="427">
        <v>42856</v>
      </c>
      <c r="B71" s="85">
        <f t="shared" si="9"/>
        <v>31</v>
      </c>
      <c r="C71" s="1581">
        <f t="shared" si="10"/>
        <v>4.3372350665601962</v>
      </c>
      <c r="D71" s="66">
        <f t="shared" si="11"/>
        <v>17.700063740818194</v>
      </c>
      <c r="E71" s="66">
        <f>(1+$AQ71)*IF(OR('Service Zone Menu'!$X$3="Fort McMurray",AND('Service Zone Menu'!$X$3="Spruce Grove", $A71&lt;DATE(2019, 5, 1))),((((1+$T71)*($P71+$N71)))+($U71*$P71)+((1+$T71+$U71)*($Y71+$Z71+$AA71+$AB71)) + $AO71),($N71+((1+$T71+$U71)*$P71)+((1+$T71+$U71)*($Y71+$Z71+$AA71+$AB71)) + $AO71))</f>
        <v>5.7282330000000004</v>
      </c>
      <c r="F71" s="400">
        <f t="shared" si="12"/>
        <v>76.769337137027321</v>
      </c>
      <c r="G71" s="115">
        <f t="shared" si="13"/>
        <v>8.4662828499255021</v>
      </c>
      <c r="H71" s="66">
        <f t="shared" ref="H71:H96" si="32">SUM($R71:$S71)</f>
        <v>34.088197735236974</v>
      </c>
      <c r="I71" s="66">
        <f t="shared" ref="I71:I96" si="33">SUM($V71:$W71)</f>
        <v>13.96528674219347</v>
      </c>
      <c r="J71" s="66">
        <f t="shared" si="14"/>
        <v>4.4899424365681817</v>
      </c>
      <c r="K71" s="66">
        <f t="shared" si="15"/>
        <v>7.7190000000000003</v>
      </c>
      <c r="L71" s="66">
        <f t="shared" si="16"/>
        <v>4.3849446522923579</v>
      </c>
      <c r="M71" s="68">
        <f t="shared" si="17"/>
        <v>3.6556827208108249</v>
      </c>
      <c r="N71" s="273">
        <f>IF($I$2="DRT",VLOOKUP(A71,'Misc. Data &amp; Mechanisms'!$A$1381:$D$1471,2,FALSE),AX71)</f>
        <v>1.952</v>
      </c>
      <c r="O71" s="338">
        <f t="shared" si="18"/>
        <v>8.4662828499255021</v>
      </c>
      <c r="P71" s="387">
        <v>0.90500000000000003</v>
      </c>
      <c r="Q71" s="278">
        <v>0.97299999999999998</v>
      </c>
      <c r="R71" s="338">
        <f t="shared" si="24"/>
        <v>3.9251977352369778</v>
      </c>
      <c r="S71" s="338">
        <f t="shared" si="25"/>
        <v>30.163</v>
      </c>
      <c r="T71" s="391">
        <f>VLOOKUP($A71,'Misc. Data &amp; Mechanisms'!$A$63:$DY$152,HLOOKUP('Service Zone Menu'!$X$3&amp;"_ATCO-N_NG_Y_1",'Misc. Data &amp; Mechanisms'!$A$55:$DY$62,8,FALSE), FALSE)</f>
        <v>0.32900000000000001</v>
      </c>
      <c r="U71" s="205">
        <f>VLOOKUP($A71,'Misc. Data &amp; Mechanisms'!$A$63:$DY$152,HLOOKUP('Service Zone Menu'!$X$3&amp;"_ATCO-N_NG_Y_2",'Misc. Data &amp; Mechanisms'!$A$55:$DY$62,8,FALSE), FALSE)</f>
        <v>3.3000000000000002E-2</v>
      </c>
      <c r="V71" s="425">
        <f>IF(OR('Service Zone Menu'!$X$3="Fort McMurray",AND('Service Zone Menu'!$X$3="Spruce Grove", $A71&lt;DATE(2019, 5, 1))),$T71*($G71+$H71+$J71), $T71*($H71+$J71))</f>
        <v>12.692208116523899</v>
      </c>
      <c r="W71" s="338">
        <f t="shared" si="26"/>
        <v>1.2730786256695703</v>
      </c>
      <c r="X71" s="426"/>
      <c r="Y71" s="386"/>
      <c r="Z71" s="278"/>
      <c r="AA71" s="278">
        <v>0.92500000000000004</v>
      </c>
      <c r="AB71" s="278"/>
      <c r="AC71" s="278">
        <v>1.222</v>
      </c>
      <c r="AD71" s="278">
        <v>-2.4E-2</v>
      </c>
      <c r="AE71" s="278"/>
      <c r="AF71" s="425">
        <f t="shared" si="27"/>
        <v>0</v>
      </c>
      <c r="AG71" s="425">
        <f t="shared" si="28"/>
        <v>0</v>
      </c>
      <c r="AH71" s="425">
        <f t="shared" si="29"/>
        <v>4.0119424365681819</v>
      </c>
      <c r="AI71" s="425">
        <f t="shared" si="30"/>
        <v>0</v>
      </c>
      <c r="AJ71" s="425">
        <f t="shared" si="20"/>
        <v>1.222</v>
      </c>
      <c r="AK71" s="425">
        <f t="shared" si="21"/>
        <v>-0.74399999999999999</v>
      </c>
      <c r="AL71" s="425">
        <f t="shared" si="22"/>
        <v>0</v>
      </c>
      <c r="AM71" s="200">
        <f>IF($I$2="DRT",VLOOKUP(A71,'Misc. Data &amp; Mechanisms'!$A$1483:$H$1574,6,FALSE),AY71)</f>
        <v>0.249</v>
      </c>
      <c r="AN71" s="333">
        <f t="shared" si="23"/>
        <v>7.7190000000000003</v>
      </c>
      <c r="AO71" s="296">
        <v>1.0109999999999999</v>
      </c>
      <c r="AP71" s="333">
        <f t="shared" ref="AP71" si="34">AO71*C71</f>
        <v>4.3849446522923579</v>
      </c>
      <c r="AQ71" s="340">
        <f>5%</f>
        <v>0.05</v>
      </c>
      <c r="AR71" s="341">
        <f>'Misc. Data &amp; Mechanisms'!AL344</f>
        <v>4.3926410982341082</v>
      </c>
      <c r="AS71" s="424">
        <f>'Misc. Data &amp; Mechanisms'!AQ344</f>
        <v>4.7148114649840602</v>
      </c>
      <c r="AT71" s="424">
        <f>'Misc. Data &amp; Mechanisms'!W344</f>
        <v>4.3372350665601962</v>
      </c>
      <c r="AU71" s="424">
        <f>'Misc. Data &amp; Mechanisms'!X344</f>
        <v>2.7700829314362712</v>
      </c>
      <c r="AV71" s="1460">
        <f>'Misc. Data &amp; Mechanisms'!$B$260</f>
        <v>10.198990303636064</v>
      </c>
      <c r="AW71" s="197">
        <f>IFERROR(IF('Personalized Bill Menu'!$B$30="Yes", IF('Personalized Bill Menu'!$B$34="Natural Gas",VLOOKUP($A71, 'Personalized Bill Menu'!$H$4:$L$93, 2, FALSE), IF('Personalized Bill Menu'!$B$34="Both",VLOOKUP($A71,'Personalized Bill Menu'!$H$4:$P$93, 6, FALSE), 0)), 0),0)</f>
        <v>0</v>
      </c>
      <c r="AX71" s="1343">
        <f>IFERROR(IF('Personalized Bill Menu'!$C$37="Custom", IF('Personalized Bill Menu'!$B$34="Natural Gas",VLOOKUP($A71, 'Personalized Bill Menu'!$H$4:$L$93, 3, FALSE), IF('Personalized Bill Menu'!$B$34="Both",VLOOKUP($A71,'Personalized Bill Menu'!$H$4:$P$93, 7, FALSE), 0)), 0),0)</f>
        <v>0</v>
      </c>
      <c r="AY71" s="1344">
        <f>IFERROR(IF('Personalized Bill Menu'!$C$37="Custom", IF('Personalized Bill Menu'!$B$34="Natural Gas",VLOOKUP($A71, 'Personalized Bill Menu'!$H$4:$L$93, 4, FALSE), IF('Personalized Bill Menu'!$B$34="Both",VLOOKUP($A71,'Personalized Bill Menu'!$H$4:$P$93, 8, FALSE), 0)), 0),0)</f>
        <v>0</v>
      </c>
    </row>
    <row r="72" spans="1:51" x14ac:dyDescent="0.35">
      <c r="A72" s="427">
        <v>42887</v>
      </c>
      <c r="B72" s="85">
        <f t="shared" ref="B72:B96" si="35">DAY(DATE(YEAR($A72),MONTH($A72)+1,1)-1)</f>
        <v>30</v>
      </c>
      <c r="C72" s="1581">
        <f t="shared" ref="C72:C93" si="36">IFERROR(VLOOKUP($A72,$A$5:$AW$96,MATCH($I$1,$A$5:$AW$5,0),FALSE),0)</f>
        <v>2.7430653276510344</v>
      </c>
      <c r="D72" s="66">
        <f t="shared" ref="D72:D96" si="37">IFERROR($F72/$C72, "")</f>
        <v>23.314730843049183</v>
      </c>
      <c r="E72" s="66">
        <f>(1+$AQ72)*IF(OR('Service Zone Menu'!$X$3="Fort McMurray",AND('Service Zone Menu'!$X$3="Spruce Grove", $A72&lt;DATE(2019, 5, 1))),((((1+$T72)*($P72+$N72)))+($U72*$P72)+((1+$T72+$U72)*($Y72+$Z72+$AA72+$AB72)) + $AO72),($N72+((1+$T72+$U72)*$P72)+((1+$T72+$U72)*($Y72+$Z72+$AA72+$AB72)) + $AO72))</f>
        <v>4.9753829999999999</v>
      </c>
      <c r="F72" s="400">
        <f t="shared" ref="F72:F96" si="38">SUM($G72:$M72)</f>
        <v>63.953829799084382</v>
      </c>
      <c r="G72" s="115">
        <f t="shared" ref="G72:G96" si="39">SUM($O72)</f>
        <v>3.3876856796490276</v>
      </c>
      <c r="H72" s="66">
        <f t="shared" si="32"/>
        <v>31.672474121524182</v>
      </c>
      <c r="I72" s="66">
        <f t="shared" si="33"/>
        <v>12.565675056955703</v>
      </c>
      <c r="J72" s="66">
        <f t="shared" ref="J72:J92" si="40">SUM($AF72:$AL72)</f>
        <v>3.0393354280772069</v>
      </c>
      <c r="K72" s="66">
        <f t="shared" ref="K72:K96" si="41">SUM($AN72)</f>
        <v>7.47</v>
      </c>
      <c r="L72" s="66">
        <f t="shared" ref="L72:L81" si="42">AP72</f>
        <v>2.7732390462551955</v>
      </c>
      <c r="M72" s="68">
        <f t="shared" ref="M72:M96" si="43">SUM($AQ72)*SUM($G72:$L72)</f>
        <v>3.045420466623066</v>
      </c>
      <c r="N72" s="273">
        <f>IF($I$2="DRT",VLOOKUP(A72,'Misc. Data &amp; Mechanisms'!$A$1381:$D$1471,2,FALSE),AX72)</f>
        <v>1.2350000000000001</v>
      </c>
      <c r="O72" s="338">
        <f t="shared" ref="O72:O96" si="44">$N72*$C72</f>
        <v>3.3876856796490276</v>
      </c>
      <c r="P72" s="387">
        <v>0.90500000000000003</v>
      </c>
      <c r="Q72" s="278">
        <v>0.97299999999999998</v>
      </c>
      <c r="R72" s="338">
        <f t="shared" si="24"/>
        <v>2.4824741215241861</v>
      </c>
      <c r="S72" s="338">
        <f t="shared" si="25"/>
        <v>29.189999999999998</v>
      </c>
      <c r="T72" s="391">
        <f>VLOOKUP($A72,'Misc. Data &amp; Mechanisms'!$A$63:$DY$152,HLOOKUP('Service Zone Menu'!$X$3&amp;"_ATCO-N_NG_Y_1",'Misc. Data &amp; Mechanisms'!$A$55:$DY$62,8,FALSE), FALSE)</f>
        <v>0.32900000000000001</v>
      </c>
      <c r="U72" s="205">
        <f>VLOOKUP($A72,'Misc. Data &amp; Mechanisms'!$A$63:$DY$152,HLOOKUP('Service Zone Menu'!$X$3&amp;"_ATCO-N_NG_Y_2",'Misc. Data &amp; Mechanisms'!$A$55:$DY$62,8,FALSE), FALSE)</f>
        <v>3.3000000000000002E-2</v>
      </c>
      <c r="V72" s="425">
        <f>IF(OR('Service Zone Menu'!$X$3="Fort McMurray",AND('Service Zone Menu'!$X$3="Spruce Grove", $A72&lt;DATE(2019, 5, 1))),$T72*($G72+$H72+$J72), $T72*($H72+$J72))</f>
        <v>11.420185341818858</v>
      </c>
      <c r="W72" s="338">
        <f t="shared" si="26"/>
        <v>1.1454897151368459</v>
      </c>
      <c r="X72" s="426"/>
      <c r="Y72" s="386"/>
      <c r="Z72" s="386"/>
      <c r="AA72" s="278">
        <v>0.92500000000000004</v>
      </c>
      <c r="AB72" s="278"/>
      <c r="AC72" s="278">
        <v>1.222</v>
      </c>
      <c r="AD72" s="278">
        <v>-2.4E-2</v>
      </c>
      <c r="AE72" s="278"/>
      <c r="AF72" s="425">
        <f t="shared" si="27"/>
        <v>0</v>
      </c>
      <c r="AG72" s="425">
        <f t="shared" si="28"/>
        <v>0</v>
      </c>
      <c r="AH72" s="425">
        <f t="shared" si="29"/>
        <v>2.5373354280772071</v>
      </c>
      <c r="AI72" s="425">
        <f t="shared" si="30"/>
        <v>0</v>
      </c>
      <c r="AJ72" s="425">
        <f t="shared" ref="AJ72:AJ81" si="45">AC72</f>
        <v>1.222</v>
      </c>
      <c r="AK72" s="425">
        <f t="shared" ref="AK72:AK81" si="46">AD72*B72</f>
        <v>-0.72</v>
      </c>
      <c r="AL72" s="425">
        <f t="shared" ref="AL72:AL92" si="47">AE72*B72</f>
        <v>0</v>
      </c>
      <c r="AM72" s="200">
        <f>IF($I$2="DRT",VLOOKUP(A72,'Misc. Data &amp; Mechanisms'!$A$1483:$H$1574,6,FALSE),AY72)</f>
        <v>0.249</v>
      </c>
      <c r="AN72" s="333">
        <f t="shared" ref="AN72:AN96" si="48">IF($AM$6="$/day", $AM72*$B72, $AM72)</f>
        <v>7.47</v>
      </c>
      <c r="AO72" s="296">
        <v>1.0109999999999999</v>
      </c>
      <c r="AP72" s="333">
        <f t="shared" ref="AP72:AP81" si="49">AO72*C72</f>
        <v>2.7732390462551955</v>
      </c>
      <c r="AQ72" s="340">
        <f>5%</f>
        <v>0.05</v>
      </c>
      <c r="AR72" s="341">
        <f>'Misc. Data &amp; Mechanisms'!AL345</f>
        <v>2.7781066297928572</v>
      </c>
      <c r="AS72" s="424">
        <f>'Misc. Data &amp; Mechanisms'!AQ345</f>
        <v>2.9399826368689084</v>
      </c>
      <c r="AT72" s="424">
        <f>'Misc. Data &amp; Mechanisms'!W345</f>
        <v>2.7430653276510344</v>
      </c>
      <c r="AU72" s="424">
        <f>'Misc. Data &amp; Mechanisms'!X345</f>
        <v>1.7519268214270567</v>
      </c>
      <c r="AV72" s="1460">
        <f>'Misc. Data &amp; Mechanisms'!$B$260</f>
        <v>10.198990303636064</v>
      </c>
      <c r="AW72" s="197">
        <f>IFERROR(IF('Personalized Bill Menu'!$B$30="Yes", IF('Personalized Bill Menu'!$B$34="Natural Gas",VLOOKUP($A72, 'Personalized Bill Menu'!$H$4:$L$93, 2, FALSE), IF('Personalized Bill Menu'!$B$34="Both",VLOOKUP($A72,'Personalized Bill Menu'!$H$4:$P$93, 6, FALSE), 0)), 0),0)</f>
        <v>0</v>
      </c>
      <c r="AX72" s="1343">
        <f>IFERROR(IF('Personalized Bill Menu'!$C$37="Custom", IF('Personalized Bill Menu'!$B$34="Natural Gas",VLOOKUP($A72, 'Personalized Bill Menu'!$H$4:$L$93, 3, FALSE), IF('Personalized Bill Menu'!$B$34="Both",VLOOKUP($A72,'Personalized Bill Menu'!$H$4:$P$93, 7, FALSE), 0)), 0),0)</f>
        <v>0</v>
      </c>
      <c r="AY72" s="1344">
        <f>IFERROR(IF('Personalized Bill Menu'!$C$37="Custom", IF('Personalized Bill Menu'!$B$34="Natural Gas",VLOOKUP($A72, 'Personalized Bill Menu'!$H$4:$L$93, 4, FALSE), IF('Personalized Bill Menu'!$B$34="Both",VLOOKUP($A72,'Personalized Bill Menu'!$H$4:$P$93, 8, FALSE), 0)), 0),0)</f>
        <v>0</v>
      </c>
    </row>
    <row r="73" spans="1:51" x14ac:dyDescent="0.35">
      <c r="A73" s="427">
        <v>42917</v>
      </c>
      <c r="B73" s="85">
        <f t="shared" si="35"/>
        <v>31</v>
      </c>
      <c r="C73" s="1581">
        <f t="shared" si="36"/>
        <v>2.4343085835416143</v>
      </c>
      <c r="D73" s="66">
        <f t="shared" si="37"/>
        <v>27.359161689302884</v>
      </c>
      <c r="E73" s="66">
        <f>(1+$AQ73)*IF(OR('Service Zone Menu'!$X$3="Fort McMurray",AND('Service Zone Menu'!$X$3="Spruce Grove", $A73&lt;DATE(2019, 5, 1))),((((1+$T73)*($P73+$N73)))+($U73*$P73)+((1+$T73+$U73)*($Y73+$Z73+$AA73+$AB73)) + $AO73),($N73+((1+$T73+$U73)*$P73)+((1+$T73+$U73)*($Y73+$Z73+$AA73+$AB73)) + $AO73))</f>
        <v>5.5917330000000005</v>
      </c>
      <c r="F73" s="400">
        <f t="shared" si="38"/>
        <v>66.600642138772898</v>
      </c>
      <c r="G73" s="115">
        <f t="shared" si="39"/>
        <v>4.4353102392128214</v>
      </c>
      <c r="H73" s="66">
        <f t="shared" si="32"/>
        <v>32.366049268105158</v>
      </c>
      <c r="I73" s="66">
        <f t="shared" si="33"/>
        <v>12.974002064252977</v>
      </c>
      <c r="J73" s="66">
        <f t="shared" si="40"/>
        <v>3.4737354397759934</v>
      </c>
      <c r="K73" s="66">
        <f t="shared" si="41"/>
        <v>7.7190000000000003</v>
      </c>
      <c r="L73" s="66">
        <f t="shared" si="42"/>
        <v>2.4610859779605718</v>
      </c>
      <c r="M73" s="68">
        <f t="shared" si="43"/>
        <v>3.1714591494653765</v>
      </c>
      <c r="N73" s="273">
        <f>IF($I$2="DRT",VLOOKUP(A73,'Misc. Data &amp; Mechanisms'!$A$1381:$D$1471,2,FALSE),AX73)</f>
        <v>1.8220000000000001</v>
      </c>
      <c r="O73" s="338">
        <f t="shared" si="44"/>
        <v>4.4353102392128214</v>
      </c>
      <c r="P73" s="387">
        <v>0.90500000000000003</v>
      </c>
      <c r="Q73" s="278">
        <v>0.97299999999999998</v>
      </c>
      <c r="R73" s="338">
        <f t="shared" si="24"/>
        <v>2.2030492681051608</v>
      </c>
      <c r="S73" s="338">
        <f t="shared" si="25"/>
        <v>30.163</v>
      </c>
      <c r="T73" s="391">
        <f>VLOOKUP($A73,'Misc. Data &amp; Mechanisms'!$A$63:$DY$152,HLOOKUP('Service Zone Menu'!$X$3&amp;"_ATCO-N_NG_Y_1",'Misc. Data &amp; Mechanisms'!$A$55:$DY$62,8,FALSE), FALSE)</f>
        <v>0.32900000000000001</v>
      </c>
      <c r="U73" s="205">
        <f>VLOOKUP($A73,'Misc. Data &amp; Mechanisms'!$A$63:$DY$152,HLOOKUP('Service Zone Menu'!$X$3&amp;"_ATCO-N_NG_Y_2",'Misc. Data &amp; Mechanisms'!$A$55:$DY$62,8,FALSE), FALSE)</f>
        <v>3.3000000000000002E-2</v>
      </c>
      <c r="V73" s="425">
        <f>IF(OR('Service Zone Menu'!$X$3="Fort McMurray",AND('Service Zone Menu'!$X$3="Spruce Grove", $A73&lt;DATE(2019, 5, 1))),$T73*($G73+$H73+$J73), $T73*($H73+$J73))</f>
        <v>11.791289168892899</v>
      </c>
      <c r="W73" s="338">
        <f t="shared" si="26"/>
        <v>1.1827128953600781</v>
      </c>
      <c r="X73" s="426"/>
      <c r="Y73" s="386"/>
      <c r="Z73" s="386"/>
      <c r="AA73" s="278">
        <v>0.92500000000000004</v>
      </c>
      <c r="AB73" s="278"/>
      <c r="AC73" s="278">
        <v>1.222</v>
      </c>
      <c r="AD73" s="278"/>
      <c r="AE73" s="278"/>
      <c r="AF73" s="425">
        <f t="shared" si="27"/>
        <v>0</v>
      </c>
      <c r="AG73" s="425">
        <f t="shared" si="28"/>
        <v>0</v>
      </c>
      <c r="AH73" s="425">
        <f t="shared" si="29"/>
        <v>2.2517354397759934</v>
      </c>
      <c r="AI73" s="425">
        <f t="shared" si="30"/>
        <v>0</v>
      </c>
      <c r="AJ73" s="425">
        <f t="shared" si="45"/>
        <v>1.222</v>
      </c>
      <c r="AK73" s="425">
        <f t="shared" si="46"/>
        <v>0</v>
      </c>
      <c r="AL73" s="425">
        <f t="shared" si="47"/>
        <v>0</v>
      </c>
      <c r="AM73" s="200">
        <f>IF($I$2="DRT",VLOOKUP(A73,'Misc. Data &amp; Mechanisms'!$A$1483:$H$1574,6,FALSE),AY73)</f>
        <v>0.249</v>
      </c>
      <c r="AN73" s="333">
        <f t="shared" si="48"/>
        <v>7.7190000000000003</v>
      </c>
      <c r="AO73" s="296">
        <v>1.0109999999999999</v>
      </c>
      <c r="AP73" s="333">
        <f t="shared" si="49"/>
        <v>2.4610859779605718</v>
      </c>
      <c r="AQ73" s="340">
        <f>5%</f>
        <v>0.05</v>
      </c>
      <c r="AR73" s="341">
        <f>'Misc. Data &amp; Mechanisms'!AL346</f>
        <v>2.4654056710671819</v>
      </c>
      <c r="AS73" s="424">
        <f>'Misc. Data &amp; Mechanisms'!AQ346</f>
        <v>2.4785051154381486</v>
      </c>
      <c r="AT73" s="424">
        <f>'Misc. Data &amp; Mechanisms'!W346</f>
        <v>2.4343085835416143</v>
      </c>
      <c r="AU73" s="424">
        <f>'Misc. Data &amp; Mechanisms'!X346</f>
        <v>1.5547316559130848</v>
      </c>
      <c r="AV73" s="1460">
        <f>'Misc. Data &amp; Mechanisms'!$B$260</f>
        <v>10.198990303636064</v>
      </c>
      <c r="AW73" s="197">
        <f>IFERROR(IF('Personalized Bill Menu'!$B$30="Yes", IF('Personalized Bill Menu'!$B$34="Natural Gas",VLOOKUP($A73, 'Personalized Bill Menu'!$H$4:$L$93, 2, FALSE), IF('Personalized Bill Menu'!$B$34="Both",VLOOKUP($A73,'Personalized Bill Menu'!$H$4:$P$93, 6, FALSE), 0)), 0),0)</f>
        <v>0</v>
      </c>
      <c r="AX73" s="1343">
        <f>IFERROR(IF('Personalized Bill Menu'!$C$37="Custom", IF('Personalized Bill Menu'!$B$34="Natural Gas",VLOOKUP($A73, 'Personalized Bill Menu'!$H$4:$L$93, 3, FALSE), IF('Personalized Bill Menu'!$B$34="Both",VLOOKUP($A73,'Personalized Bill Menu'!$H$4:$P$93, 7, FALSE), 0)), 0),0)</f>
        <v>0</v>
      </c>
      <c r="AY73" s="1344">
        <f>IFERROR(IF('Personalized Bill Menu'!$C$37="Custom", IF('Personalized Bill Menu'!$B$34="Natural Gas",VLOOKUP($A73, 'Personalized Bill Menu'!$H$4:$L$93, 4, FALSE), IF('Personalized Bill Menu'!$B$34="Both",VLOOKUP($A73,'Personalized Bill Menu'!$H$4:$P$93, 8, FALSE), 0)), 0),0)</f>
        <v>0</v>
      </c>
    </row>
    <row r="74" spans="1:51" x14ac:dyDescent="0.35">
      <c r="A74" s="427">
        <v>42948</v>
      </c>
      <c r="B74" s="85">
        <f t="shared" si="35"/>
        <v>31</v>
      </c>
      <c r="C74" s="1581">
        <f t="shared" si="36"/>
        <v>2.4149758055898931</v>
      </c>
      <c r="D74" s="66">
        <f t="shared" si="37"/>
        <v>27.341074266249301</v>
      </c>
      <c r="E74" s="66">
        <f>(1+$AQ74)*IF(OR('Service Zone Menu'!$X$3="Fort McMurray",AND('Service Zone Menu'!$X$3="Spruce Grove", $A74&lt;DATE(2019, 5, 1))),((((1+$T74)*($P74+$N74)))+($U74*$P74)+((1+$T74+$U74)*($Y74+$Z74+$AA74+$AB74)) + $AO74),($N74+((1+$T74+$U74)*$P74)+((1+$T74+$U74)*($Y74+$Z74+$AA74+$AB74)) + $AO74))</f>
        <v>6.1230330000000004</v>
      </c>
      <c r="F74" s="400">
        <f t="shared" si="38"/>
        <v>66.028032851828499</v>
      </c>
      <c r="G74" s="115">
        <f t="shared" si="39"/>
        <v>5.6220636754132709</v>
      </c>
      <c r="H74" s="66">
        <f t="shared" si="32"/>
        <v>32.348553104058851</v>
      </c>
      <c r="I74" s="66">
        <f t="shared" si="33"/>
        <v>12.51883087217108</v>
      </c>
      <c r="J74" s="66">
        <f t="shared" si="40"/>
        <v>2.2338526201706514</v>
      </c>
      <c r="K74" s="66">
        <f t="shared" si="41"/>
        <v>7.7190000000000003</v>
      </c>
      <c r="L74" s="66">
        <f t="shared" si="42"/>
        <v>2.4415405394513816</v>
      </c>
      <c r="M74" s="68">
        <f t="shared" si="43"/>
        <v>3.144192040563262</v>
      </c>
      <c r="N74" s="273">
        <f>IF($I$2="DRT",VLOOKUP(A74,'Misc. Data &amp; Mechanisms'!$A$1381:$D$1471,2,FALSE),AX74)</f>
        <v>2.3279999999999998</v>
      </c>
      <c r="O74" s="338">
        <f t="shared" si="44"/>
        <v>5.6220636754132709</v>
      </c>
      <c r="P74" s="387">
        <v>0.90500000000000003</v>
      </c>
      <c r="Q74" s="278">
        <v>0.97299999999999998</v>
      </c>
      <c r="R74" s="338">
        <f t="shared" si="24"/>
        <v>2.1855531040588532</v>
      </c>
      <c r="S74" s="338">
        <f t="shared" si="25"/>
        <v>30.163</v>
      </c>
      <c r="T74" s="391">
        <f>VLOOKUP($A74,'Misc. Data &amp; Mechanisms'!$A$63:$DY$152,HLOOKUP('Service Zone Menu'!$X$3&amp;"_ATCO-N_NG_Y_1",'Misc. Data &amp; Mechanisms'!$A$55:$DY$62,8,FALSE), FALSE)</f>
        <v>0.32900000000000001</v>
      </c>
      <c r="U74" s="205">
        <f>VLOOKUP($A74,'Misc. Data &amp; Mechanisms'!$A$63:$DY$152,HLOOKUP('Service Zone Menu'!$X$3&amp;"_ATCO-N_NG_Y_2",'Misc. Data &amp; Mechanisms'!$A$55:$DY$62,8,FALSE), FALSE)</f>
        <v>3.3000000000000002E-2</v>
      </c>
      <c r="V74" s="425">
        <f>IF(OR('Service Zone Menu'!$X$3="Fort McMurray",AND('Service Zone Menu'!$X$3="Spruce Grove", $A74&lt;DATE(2019, 5, 1))),$T74*($G74+$H74+$J74), $T74*($H74+$J74))</f>
        <v>11.377611483271506</v>
      </c>
      <c r="W74" s="338">
        <f t="shared" si="26"/>
        <v>1.1412193888995736</v>
      </c>
      <c r="X74" s="426"/>
      <c r="Y74" s="386"/>
      <c r="Z74" s="386"/>
      <c r="AA74" s="278">
        <v>0.92500000000000004</v>
      </c>
      <c r="AB74" s="386"/>
      <c r="AC74" s="386"/>
      <c r="AD74" s="386"/>
      <c r="AE74" s="386"/>
      <c r="AF74" s="425">
        <f t="shared" si="27"/>
        <v>0</v>
      </c>
      <c r="AG74" s="425">
        <f t="shared" si="28"/>
        <v>0</v>
      </c>
      <c r="AH74" s="425">
        <f t="shared" si="29"/>
        <v>2.2338526201706514</v>
      </c>
      <c r="AI74" s="425">
        <f t="shared" si="30"/>
        <v>0</v>
      </c>
      <c r="AJ74" s="425">
        <f t="shared" si="45"/>
        <v>0</v>
      </c>
      <c r="AK74" s="425">
        <f t="shared" si="46"/>
        <v>0</v>
      </c>
      <c r="AL74" s="425">
        <f t="shared" si="47"/>
        <v>0</v>
      </c>
      <c r="AM74" s="200">
        <f>IF($I$2="DRT",VLOOKUP(A74,'Misc. Data &amp; Mechanisms'!$A$1483:$H$1574,6,FALSE),AY74)</f>
        <v>0.249</v>
      </c>
      <c r="AN74" s="333">
        <f t="shared" si="48"/>
        <v>7.7190000000000003</v>
      </c>
      <c r="AO74" s="296">
        <v>1.0109999999999999</v>
      </c>
      <c r="AP74" s="333">
        <f t="shared" si="49"/>
        <v>2.4415405394513816</v>
      </c>
      <c r="AQ74" s="340">
        <f>5%</f>
        <v>0.05</v>
      </c>
      <c r="AR74" s="341">
        <f>'Misc. Data &amp; Mechanisms'!AL347</f>
        <v>2.4458259264440447</v>
      </c>
      <c r="AS74" s="424">
        <f>'Misc. Data &amp; Mechanisms'!AQ347</f>
        <v>2.5725644768507392</v>
      </c>
      <c r="AT74" s="424">
        <f>'Misc. Data &amp; Mechanisms'!W347</f>
        <v>2.4149758055898931</v>
      </c>
      <c r="AU74" s="424">
        <f>'Misc. Data &amp; Mechanisms'!X347</f>
        <v>1.5423842969621708</v>
      </c>
      <c r="AV74" s="1460">
        <f>'Misc. Data &amp; Mechanisms'!$B$260</f>
        <v>10.198990303636064</v>
      </c>
      <c r="AW74" s="197">
        <f>IFERROR(IF('Personalized Bill Menu'!$B$30="Yes", IF('Personalized Bill Menu'!$B$34="Natural Gas",VLOOKUP($A74, 'Personalized Bill Menu'!$H$4:$L$93, 2, FALSE), IF('Personalized Bill Menu'!$B$34="Both",VLOOKUP($A74,'Personalized Bill Menu'!$H$4:$P$93, 6, FALSE), 0)), 0),0)</f>
        <v>0</v>
      </c>
      <c r="AX74" s="1343">
        <f>IFERROR(IF('Personalized Bill Menu'!$C$37="Custom", IF('Personalized Bill Menu'!$B$34="Natural Gas",VLOOKUP($A74, 'Personalized Bill Menu'!$H$4:$L$93, 3, FALSE), IF('Personalized Bill Menu'!$B$34="Both",VLOOKUP($A74,'Personalized Bill Menu'!$H$4:$P$93, 7, FALSE), 0)), 0),0)</f>
        <v>0</v>
      </c>
      <c r="AY74" s="1344">
        <f>IFERROR(IF('Personalized Bill Menu'!$C$37="Custom", IF('Personalized Bill Menu'!$B$34="Natural Gas",VLOOKUP($A74, 'Personalized Bill Menu'!$H$4:$L$93, 4, FALSE), IF('Personalized Bill Menu'!$B$34="Both",VLOOKUP($A74,'Personalized Bill Menu'!$H$4:$P$93, 8, FALSE), 0)), 0),0)</f>
        <v>0</v>
      </c>
    </row>
    <row r="75" spans="1:51" x14ac:dyDescent="0.35">
      <c r="A75" s="427">
        <v>42979</v>
      </c>
      <c r="B75" s="85">
        <f t="shared" si="35"/>
        <v>30</v>
      </c>
      <c r="C75" s="1581">
        <f t="shared" si="36"/>
        <v>4.7264283582356157</v>
      </c>
      <c r="D75" s="66">
        <f t="shared" si="37"/>
        <v>15.676001389217127</v>
      </c>
      <c r="E75" s="66">
        <f>(1+$AQ75)*IF(OR('Service Zone Menu'!$X$3="Fort McMurray",AND('Service Zone Menu'!$X$3="Spruce Grove", $A75&lt;DATE(2019, 5, 1))),((((1+$T75)*($P75+$N75)))+($U75*$P75)+((1+$T75+$U75)*($Y75+$Z75+$AA75+$AB75)) + $AO75),($N75+((1+$T75+$U75)*$P75)+((1+$T75+$U75)*($Y75+$Z75+$AA75+$AB75)) + $AO75))</f>
        <v>5.1843329999999996</v>
      </c>
      <c r="F75" s="400">
        <f t="shared" si="38"/>
        <v>74.09149750973674</v>
      </c>
      <c r="G75" s="115">
        <f t="shared" si="39"/>
        <v>6.7776982657098728</v>
      </c>
      <c r="H75" s="66">
        <f t="shared" si="32"/>
        <v>33.467417664203232</v>
      </c>
      <c r="I75" s="66">
        <f t="shared" si="33"/>
        <v>13.697849730196767</v>
      </c>
      <c r="J75" s="66">
        <f t="shared" si="40"/>
        <v>4.3719462313679447</v>
      </c>
      <c r="K75" s="66">
        <f t="shared" si="41"/>
        <v>7.47</v>
      </c>
      <c r="L75" s="66">
        <f t="shared" si="42"/>
        <v>4.7784190701762066</v>
      </c>
      <c r="M75" s="68">
        <f t="shared" si="43"/>
        <v>3.5281665480827016</v>
      </c>
      <c r="N75" s="273">
        <f>IF($I$2="DRT",VLOOKUP(A75,'Misc. Data &amp; Mechanisms'!$A$1381:$D$1471,2,FALSE),AX75)</f>
        <v>1.4339999999999999</v>
      </c>
      <c r="O75" s="338">
        <f t="shared" si="44"/>
        <v>6.7776982657098728</v>
      </c>
      <c r="P75" s="387">
        <v>0.90500000000000003</v>
      </c>
      <c r="Q75" s="278">
        <v>0.97299999999999998</v>
      </c>
      <c r="R75" s="338">
        <f t="shared" si="24"/>
        <v>4.2774176642032327</v>
      </c>
      <c r="S75" s="338">
        <f t="shared" si="25"/>
        <v>29.189999999999998</v>
      </c>
      <c r="T75" s="391">
        <f>VLOOKUP($A75,'Misc. Data &amp; Mechanisms'!$A$63:$DY$152,HLOOKUP('Service Zone Menu'!$X$3&amp;"_ATCO-N_NG_Y_1",'Misc. Data &amp; Mechanisms'!$A$55:$DY$62,8,FALSE), FALSE)</f>
        <v>0.32900000000000001</v>
      </c>
      <c r="U75" s="205">
        <f>VLOOKUP($A75,'Misc. Data &amp; Mechanisms'!$A$63:$DY$152,HLOOKUP('Service Zone Menu'!$X$3&amp;"_ATCO-N_NG_Y_2",'Misc. Data &amp; Mechanisms'!$A$55:$DY$62,8,FALSE), FALSE)</f>
        <v>3.3000000000000002E-2</v>
      </c>
      <c r="V75" s="425">
        <f>IF(OR('Service Zone Menu'!$X$3="Fort McMurray",AND('Service Zone Menu'!$X$3="Spruce Grove", $A75&lt;DATE(2019, 5, 1))),$T75*($G75+$H75+$J75), $T75*($H75+$J75))</f>
        <v>12.449150721642917</v>
      </c>
      <c r="W75" s="338">
        <f t="shared" si="26"/>
        <v>1.2486990085538487</v>
      </c>
      <c r="X75" s="426"/>
      <c r="Y75" s="386"/>
      <c r="Z75" s="386"/>
      <c r="AA75" s="278">
        <v>0.92500000000000004</v>
      </c>
      <c r="AB75" s="386"/>
      <c r="AC75" s="386"/>
      <c r="AD75" s="386"/>
      <c r="AE75" s="386"/>
      <c r="AF75" s="425">
        <f t="shared" si="27"/>
        <v>0</v>
      </c>
      <c r="AG75" s="425">
        <f t="shared" si="28"/>
        <v>0</v>
      </c>
      <c r="AH75" s="425">
        <f t="shared" si="29"/>
        <v>4.3719462313679447</v>
      </c>
      <c r="AI75" s="425">
        <f t="shared" si="30"/>
        <v>0</v>
      </c>
      <c r="AJ75" s="425">
        <f t="shared" si="45"/>
        <v>0</v>
      </c>
      <c r="AK75" s="425">
        <f t="shared" si="46"/>
        <v>0</v>
      </c>
      <c r="AL75" s="425">
        <f t="shared" si="47"/>
        <v>0</v>
      </c>
      <c r="AM75" s="200">
        <f>IF($I$2="DRT",VLOOKUP(A75,'Misc. Data &amp; Mechanisms'!$A$1483:$H$1574,6,FALSE),AY75)</f>
        <v>0.249</v>
      </c>
      <c r="AN75" s="333">
        <f t="shared" si="48"/>
        <v>7.47</v>
      </c>
      <c r="AO75" s="296">
        <v>1.0109999999999999</v>
      </c>
      <c r="AP75" s="333">
        <f t="shared" si="49"/>
        <v>4.7784190701762066</v>
      </c>
      <c r="AQ75" s="340">
        <f>5%</f>
        <v>0.05</v>
      </c>
      <c r="AR75" s="341">
        <f>'Misc. Data &amp; Mechanisms'!AL348</f>
        <v>4.7868061416165304</v>
      </c>
      <c r="AS75" s="424">
        <f>'Misc. Data &amp; Mechanisms'!AQ348</f>
        <v>4.9608520612653884</v>
      </c>
      <c r="AT75" s="424">
        <f>'Misc. Data &amp; Mechanisms'!W348</f>
        <v>4.7264283582356157</v>
      </c>
      <c r="AU75" s="424">
        <f>'Misc. Data &amp; Mechanisms'!X348</f>
        <v>3.0186508964542709</v>
      </c>
      <c r="AV75" s="1460">
        <f>'Misc. Data &amp; Mechanisms'!$B$260</f>
        <v>10.198990303636064</v>
      </c>
      <c r="AW75" s="197">
        <f>IFERROR(IF('Personalized Bill Menu'!$B$30="Yes", IF('Personalized Bill Menu'!$B$34="Natural Gas",VLOOKUP($A75, 'Personalized Bill Menu'!$H$4:$L$93, 2, FALSE), IF('Personalized Bill Menu'!$B$34="Both",VLOOKUP($A75,'Personalized Bill Menu'!$H$4:$P$93, 6, FALSE), 0)), 0),0)</f>
        <v>0</v>
      </c>
      <c r="AX75" s="1343">
        <f>IFERROR(IF('Personalized Bill Menu'!$C$37="Custom", IF('Personalized Bill Menu'!$B$34="Natural Gas",VLOOKUP($A75, 'Personalized Bill Menu'!$H$4:$L$93, 3, FALSE), IF('Personalized Bill Menu'!$B$34="Both",VLOOKUP($A75,'Personalized Bill Menu'!$H$4:$P$93, 7, FALSE), 0)), 0),0)</f>
        <v>0</v>
      </c>
      <c r="AY75" s="1344">
        <f>IFERROR(IF('Personalized Bill Menu'!$C$37="Custom", IF('Personalized Bill Menu'!$B$34="Natural Gas",VLOOKUP($A75, 'Personalized Bill Menu'!$H$4:$L$93, 4, FALSE), IF('Personalized Bill Menu'!$B$34="Both",VLOOKUP($A75,'Personalized Bill Menu'!$H$4:$P$93, 8, FALSE), 0)), 0),0)</f>
        <v>0</v>
      </c>
    </row>
    <row r="76" spans="1:51" x14ac:dyDescent="0.35">
      <c r="A76" s="427">
        <v>43009</v>
      </c>
      <c r="B76" s="85">
        <f t="shared" si="35"/>
        <v>31</v>
      </c>
      <c r="C76" s="1581">
        <f t="shared" si="36"/>
        <v>10.164763005866147</v>
      </c>
      <c r="D76" s="66">
        <f t="shared" si="37"/>
        <v>10.485780810994555</v>
      </c>
      <c r="E76" s="66">
        <f>(1+$AQ76)*IF(OR('Service Zone Menu'!$X$3="Fort McMurray",AND('Service Zone Menu'!$X$3="Spruce Grove", $A76&lt;DATE(2019, 5, 1))),((((1+$T76)*($P76+$N76)))+($U76*$P76)+((1+$T76+$U76)*($Y76+$Z76+$AA76+$AB76)) + $AO76),($N76+((1+$T76+$U76)*$P76)+((1+$T76+$U76)*($Y76+$Z76+$AA76+$AB76)) + $AO76))</f>
        <v>5.4447330000000003</v>
      </c>
      <c r="F76" s="400">
        <f t="shared" si="38"/>
        <v>106.58547687521859</v>
      </c>
      <c r="G76" s="115">
        <f t="shared" si="39"/>
        <v>17.097131375866859</v>
      </c>
      <c r="H76" s="66">
        <f t="shared" si="32"/>
        <v>39.36211052030886</v>
      </c>
      <c r="I76" s="66">
        <f t="shared" si="33"/>
        <v>17.652754900866086</v>
      </c>
      <c r="J76" s="66">
        <f t="shared" si="40"/>
        <v>9.4024057804261876</v>
      </c>
      <c r="K76" s="66">
        <f t="shared" si="41"/>
        <v>7.7190000000000003</v>
      </c>
      <c r="L76" s="66">
        <f t="shared" si="42"/>
        <v>10.276575398930675</v>
      </c>
      <c r="M76" s="68">
        <f t="shared" si="43"/>
        <v>5.0754988988199337</v>
      </c>
      <c r="N76" s="273">
        <f>IF($I$2="DRT",VLOOKUP(A76,'Misc. Data &amp; Mechanisms'!$A$1381:$D$1471,2,FALSE),AX76)</f>
        <v>1.6819999999999999</v>
      </c>
      <c r="O76" s="333">
        <f t="shared" si="44"/>
        <v>17.097131375866859</v>
      </c>
      <c r="P76" s="387">
        <v>0.90500000000000003</v>
      </c>
      <c r="Q76" s="278">
        <v>0.97299999999999998</v>
      </c>
      <c r="R76" s="338">
        <f t="shared" si="24"/>
        <v>9.1991105203088637</v>
      </c>
      <c r="S76" s="338">
        <f t="shared" si="25"/>
        <v>30.163</v>
      </c>
      <c r="T76" s="391">
        <f>VLOOKUP($A76,'Misc. Data &amp; Mechanisms'!$A$63:$DY$152,HLOOKUP('Service Zone Menu'!$X$3&amp;"_ATCO-N_NG_Y_1",'Misc. Data &amp; Mechanisms'!$A$55:$DY$62,8,FALSE), FALSE)</f>
        <v>0.32900000000000001</v>
      </c>
      <c r="U76" s="205">
        <f>VLOOKUP($A76,'Misc. Data &amp; Mechanisms'!$A$63:$DY$152,HLOOKUP('Service Zone Menu'!$X$3&amp;"_ATCO-N_NG_Y_2",'Misc. Data &amp; Mechanisms'!$A$55:$DY$62,8,FALSE), FALSE)</f>
        <v>3.3000000000000002E-2</v>
      </c>
      <c r="V76" s="425">
        <f>IF(OR('Service Zone Menu'!$X$3="Fort McMurray",AND('Service Zone Menu'!$X$3="Spruce Grove", $A76&lt;DATE(2019, 5, 1))),$T76*($G76+$H76+$J76), $T76*($H76+$J76))</f>
        <v>16.043525862941831</v>
      </c>
      <c r="W76" s="338">
        <f t="shared" si="26"/>
        <v>1.6092290379242566</v>
      </c>
      <c r="X76" s="426"/>
      <c r="Y76" s="386"/>
      <c r="Z76" s="386"/>
      <c r="AA76" s="278">
        <v>0.92500000000000004</v>
      </c>
      <c r="AB76" s="386"/>
      <c r="AC76" s="386"/>
      <c r="AD76" s="386"/>
      <c r="AE76" s="386"/>
      <c r="AF76" s="425">
        <f t="shared" si="27"/>
        <v>0</v>
      </c>
      <c r="AG76" s="425">
        <f t="shared" si="28"/>
        <v>0</v>
      </c>
      <c r="AH76" s="425">
        <f t="shared" si="29"/>
        <v>9.4024057804261876</v>
      </c>
      <c r="AI76" s="425">
        <f t="shared" si="30"/>
        <v>0</v>
      </c>
      <c r="AJ76" s="425">
        <f t="shared" si="45"/>
        <v>0</v>
      </c>
      <c r="AK76" s="425">
        <f t="shared" si="46"/>
        <v>0</v>
      </c>
      <c r="AL76" s="425">
        <f t="shared" si="47"/>
        <v>0</v>
      </c>
      <c r="AM76" s="200">
        <f>IF($I$2="DRT",VLOOKUP(A76,'Misc. Data &amp; Mechanisms'!$A$1483:$H$1574,6,FALSE),AY76)</f>
        <v>0.249</v>
      </c>
      <c r="AN76" s="333">
        <f t="shared" si="48"/>
        <v>7.7190000000000003</v>
      </c>
      <c r="AO76" s="296">
        <v>1.0109999999999999</v>
      </c>
      <c r="AP76" s="333">
        <f t="shared" si="49"/>
        <v>10.276575398930675</v>
      </c>
      <c r="AQ76" s="340">
        <f>5%</f>
        <v>0.05</v>
      </c>
      <c r="AR76" s="341">
        <f>'Misc. Data &amp; Mechanisms'!AL349</f>
        <v>10.294612823184785</v>
      </c>
      <c r="AS76" s="424">
        <f>'Misc. Data &amp; Mechanisms'!AQ349</f>
        <v>10.184344619690055</v>
      </c>
      <c r="AT76" s="424">
        <f>'Misc. Data &amp; Mechanisms'!W349</f>
        <v>10.164763005866147</v>
      </c>
      <c r="AU76" s="424">
        <f>'Misc. Data &amp; Mechanisms'!X349</f>
        <v>6.4919784315438989</v>
      </c>
      <c r="AV76" s="1460">
        <f>'Misc. Data &amp; Mechanisms'!$B$260</f>
        <v>10.198990303636064</v>
      </c>
      <c r="AW76" s="197">
        <f>IFERROR(IF('Personalized Bill Menu'!$B$30="Yes", IF('Personalized Bill Menu'!$B$34="Natural Gas",VLOOKUP($A76, 'Personalized Bill Menu'!$H$4:$L$93, 2, FALSE), IF('Personalized Bill Menu'!$B$34="Both",VLOOKUP($A76,'Personalized Bill Menu'!$H$4:$P$93, 6, FALSE), 0)), 0),0)</f>
        <v>0</v>
      </c>
      <c r="AX76" s="1343">
        <f>IFERROR(IF('Personalized Bill Menu'!$C$37="Custom", IF('Personalized Bill Menu'!$B$34="Natural Gas",VLOOKUP($A76, 'Personalized Bill Menu'!$H$4:$L$93, 3, FALSE), IF('Personalized Bill Menu'!$B$34="Both",VLOOKUP($A76,'Personalized Bill Menu'!$H$4:$P$93, 7, FALSE), 0)), 0),0)</f>
        <v>0</v>
      </c>
      <c r="AY76" s="1344">
        <f>IFERROR(IF('Personalized Bill Menu'!$C$37="Custom", IF('Personalized Bill Menu'!$B$34="Natural Gas",VLOOKUP($A76, 'Personalized Bill Menu'!$H$4:$L$93, 4, FALSE), IF('Personalized Bill Menu'!$B$34="Both",VLOOKUP($A76,'Personalized Bill Menu'!$H$4:$P$93, 8, FALSE), 0)), 0),0)</f>
        <v>0</v>
      </c>
    </row>
    <row r="77" spans="1:51" x14ac:dyDescent="0.35">
      <c r="A77" s="427">
        <v>43040</v>
      </c>
      <c r="B77" s="85">
        <f t="shared" si="35"/>
        <v>30</v>
      </c>
      <c r="C77" s="1581">
        <f t="shared" si="36"/>
        <v>19.790011316358921</v>
      </c>
      <c r="D77" s="66">
        <f t="shared" si="37"/>
        <v>8.1005975348375436</v>
      </c>
      <c r="E77" s="66">
        <f>(1+$AQ77)*IF(OR('Service Zone Menu'!$X$3="Fort McMurray",AND('Service Zone Menu'!$X$3="Spruce Grove", $A77&lt;DATE(2019, 5, 1))),((((1+$T77)*($P77+$N77)))+($U77*$P77)+((1+$T77+$U77)*($Y77+$Z77+$AA77+$AB77)) + $AO77),($N77+((1+$T77+$U77)*$P77)+((1+$T77+$U77)*($Y77+$Z77+$AA77+$AB77)) + $AO77))</f>
        <v>5.5948830000000003</v>
      </c>
      <c r="F77" s="400">
        <f t="shared" si="38"/>
        <v>160.31091688370415</v>
      </c>
      <c r="G77" s="115">
        <f t="shared" si="39"/>
        <v>36.116770652355029</v>
      </c>
      <c r="H77" s="66">
        <f t="shared" si="32"/>
        <v>47.099960241304821</v>
      </c>
      <c r="I77" s="66">
        <f t="shared" si="33"/>
        <v>23.676870896635133</v>
      </c>
      <c r="J77" s="66">
        <f t="shared" si="40"/>
        <v>18.305760467632002</v>
      </c>
      <c r="K77" s="66">
        <f t="shared" si="41"/>
        <v>7.47</v>
      </c>
      <c r="L77" s="66">
        <f t="shared" si="42"/>
        <v>20.007701440838868</v>
      </c>
      <c r="M77" s="68">
        <f t="shared" si="43"/>
        <v>7.6338531849382933</v>
      </c>
      <c r="N77" s="273">
        <f>IF($I$2="DRT",VLOOKUP(A77,'Misc. Data &amp; Mechanisms'!$A$1381:$D$1471,2,FALSE),AX77)</f>
        <v>1.825</v>
      </c>
      <c r="O77" s="338">
        <f t="shared" si="44"/>
        <v>36.116770652355029</v>
      </c>
      <c r="P77" s="387">
        <v>0.90500000000000003</v>
      </c>
      <c r="Q77" s="278">
        <v>0.97299999999999998</v>
      </c>
      <c r="R77" s="338">
        <f t="shared" si="24"/>
        <v>17.909960241304823</v>
      </c>
      <c r="S77" s="338">
        <f t="shared" si="25"/>
        <v>29.189999999999998</v>
      </c>
      <c r="T77" s="391">
        <f>VLOOKUP($A77,'Misc. Data &amp; Mechanisms'!$A$63:$DY$152,HLOOKUP('Service Zone Menu'!$X$3&amp;"_ATCO-N_NG_Y_1",'Misc. Data &amp; Mechanisms'!$A$55:$DY$62,8,FALSE), FALSE)</f>
        <v>0.32900000000000001</v>
      </c>
      <c r="U77" s="205">
        <f>VLOOKUP($A77,'Misc. Data &amp; Mechanisms'!$A$63:$DY$152,HLOOKUP('Service Zone Menu'!$X$3&amp;"_ATCO-N_NG_Y_2",'Misc. Data &amp; Mechanisms'!$A$55:$DY$62,8,FALSE), FALSE)</f>
        <v>3.3000000000000002E-2</v>
      </c>
      <c r="V77" s="425">
        <f>IF(OR('Service Zone Menu'!$X$3="Fort McMurray",AND('Service Zone Menu'!$X$3="Spruce Grove", $A77&lt;DATE(2019, 5, 1))),$T77*($G77+$H77+$J77), $T77*($H77+$J77))</f>
        <v>21.518482113240218</v>
      </c>
      <c r="W77" s="338">
        <f t="shared" si="26"/>
        <v>2.1583887833949156</v>
      </c>
      <c r="X77" s="426"/>
      <c r="Y77" s="386"/>
      <c r="Z77" s="386"/>
      <c r="AA77" s="278">
        <v>0.92500000000000004</v>
      </c>
      <c r="AB77" s="386"/>
      <c r="AC77" s="386"/>
      <c r="AD77" s="386"/>
      <c r="AE77" s="386"/>
      <c r="AF77" s="425">
        <f t="shared" si="27"/>
        <v>0</v>
      </c>
      <c r="AG77" s="425">
        <f t="shared" si="28"/>
        <v>0</v>
      </c>
      <c r="AH77" s="425">
        <f t="shared" si="29"/>
        <v>18.305760467632002</v>
      </c>
      <c r="AI77" s="425">
        <f t="shared" si="30"/>
        <v>0</v>
      </c>
      <c r="AJ77" s="425">
        <f t="shared" si="45"/>
        <v>0</v>
      </c>
      <c r="AK77" s="425">
        <f t="shared" si="46"/>
        <v>0</v>
      </c>
      <c r="AL77" s="425">
        <f t="shared" si="47"/>
        <v>0</v>
      </c>
      <c r="AM77" s="200">
        <f>IF($I$2="DRT",VLOOKUP(A77,'Misc. Data &amp; Mechanisms'!$A$1483:$H$1574,6,FALSE),AY77)</f>
        <v>0.249</v>
      </c>
      <c r="AN77" s="333">
        <f t="shared" si="48"/>
        <v>7.47</v>
      </c>
      <c r="AO77" s="296">
        <v>1.0109999999999999</v>
      </c>
      <c r="AP77" s="333">
        <f t="shared" si="49"/>
        <v>20.007701440838868</v>
      </c>
      <c r="AQ77" s="340">
        <f>5%</f>
        <v>0.05</v>
      </c>
      <c r="AR77" s="341">
        <f>'Misc. Data &amp; Mechanisms'!AL350</f>
        <v>20.042818917744214</v>
      </c>
      <c r="AS77" s="424">
        <f>'Misc. Data &amp; Mechanisms'!AQ350</f>
        <v>19.181580192680293</v>
      </c>
      <c r="AT77" s="424">
        <f>'Misc. Data &amp; Mechanisms'!W350</f>
        <v>19.790011316358921</v>
      </c>
      <c r="AU77" s="424">
        <f>'Misc. Data &amp; Mechanisms'!X350</f>
        <v>12.639382398946962</v>
      </c>
      <c r="AV77" s="1460">
        <f>'Misc. Data &amp; Mechanisms'!$B$260</f>
        <v>10.198990303636064</v>
      </c>
      <c r="AW77" s="197">
        <f>IFERROR(IF('Personalized Bill Menu'!$B$30="Yes", IF('Personalized Bill Menu'!$B$34="Natural Gas",VLOOKUP($A77, 'Personalized Bill Menu'!$H$4:$L$93, 2, FALSE), IF('Personalized Bill Menu'!$B$34="Both",VLOOKUP($A77,'Personalized Bill Menu'!$H$4:$P$93, 6, FALSE), 0)), 0),0)</f>
        <v>0</v>
      </c>
      <c r="AX77" s="1343">
        <f>IFERROR(IF('Personalized Bill Menu'!$C$37="Custom", IF('Personalized Bill Menu'!$B$34="Natural Gas",VLOOKUP($A77, 'Personalized Bill Menu'!$H$4:$L$93, 3, FALSE), IF('Personalized Bill Menu'!$B$34="Both",VLOOKUP($A77,'Personalized Bill Menu'!$H$4:$P$93, 7, FALSE), 0)), 0),0)</f>
        <v>0</v>
      </c>
      <c r="AY77" s="1344">
        <f>IFERROR(IF('Personalized Bill Menu'!$C$37="Custom", IF('Personalized Bill Menu'!$B$34="Natural Gas",VLOOKUP($A77, 'Personalized Bill Menu'!$H$4:$L$93, 4, FALSE), IF('Personalized Bill Menu'!$B$34="Both",VLOOKUP($A77,'Personalized Bill Menu'!$H$4:$P$93, 8, FALSE), 0)), 0),0)</f>
        <v>0</v>
      </c>
    </row>
    <row r="78" spans="1:51" x14ac:dyDescent="0.35">
      <c r="A78" s="435">
        <v>43070</v>
      </c>
      <c r="B78" s="436">
        <f t="shared" si="35"/>
        <v>31</v>
      </c>
      <c r="C78" s="231">
        <f t="shared" si="36"/>
        <v>17.273304577124556</v>
      </c>
      <c r="D78" s="344">
        <f t="shared" si="37"/>
        <v>9.0632713213985436</v>
      </c>
      <c r="E78" s="344">
        <f>(1+$AQ78)*IF(OR('Service Zone Menu'!$X$3="Fort McMurray",AND('Service Zone Menu'!$X$3="Spruce Grove", $A78&lt;DATE(2019, 5, 1))),((((1+$T78)*($P78+$N78)))+($U78*$P78)+((1+$T78+$U78)*($Y78+$Z78+$AA78+$AB78)) + $AO78),($N78+((1+$T78+$U78)*$P78)+((1+$T78+$U78)*($Y78+$Z78+$AA78+$AB78)) + $AO78))</f>
        <v>6.0967830000000003</v>
      </c>
      <c r="F78" s="437">
        <f t="shared" si="38"/>
        <v>156.55264599963519</v>
      </c>
      <c r="G78" s="343">
        <f t="shared" si="39"/>
        <v>39.780420441117847</v>
      </c>
      <c r="H78" s="344">
        <f t="shared" si="32"/>
        <v>45.795340642297724</v>
      </c>
      <c r="I78" s="344">
        <f t="shared" si="33"/>
        <v>22.361879350161935</v>
      </c>
      <c r="J78" s="344">
        <f t="shared" si="40"/>
        <v>15.977806733840215</v>
      </c>
      <c r="K78" s="344">
        <f t="shared" si="41"/>
        <v>7.7190000000000003</v>
      </c>
      <c r="L78" s="344">
        <f t="shared" si="42"/>
        <v>17.463310927472925</v>
      </c>
      <c r="M78" s="345">
        <f t="shared" si="43"/>
        <v>7.4548879047445329</v>
      </c>
      <c r="N78" s="1243">
        <f>IF($I$2="DRT",VLOOKUP(A78,'Misc. Data &amp; Mechanisms'!$A$1381:$D$1471,2,FALSE),AX78)</f>
        <v>2.3029999999999999</v>
      </c>
      <c r="O78" s="349">
        <f t="shared" si="44"/>
        <v>39.780420441117847</v>
      </c>
      <c r="P78" s="438">
        <v>0.90500000000000003</v>
      </c>
      <c r="Q78" s="283">
        <v>0.97299999999999998</v>
      </c>
      <c r="R78" s="349">
        <f t="shared" si="24"/>
        <v>15.632340642297724</v>
      </c>
      <c r="S78" s="349">
        <f t="shared" si="25"/>
        <v>30.163</v>
      </c>
      <c r="T78" s="394">
        <f>VLOOKUP($A78,'Misc. Data &amp; Mechanisms'!$A$63:$DY$152,HLOOKUP('Service Zone Menu'!$X$3&amp;"_ATCO-N_NG_Y_1",'Misc. Data &amp; Mechanisms'!$A$55:$DY$62,8,FALSE), FALSE)</f>
        <v>0.32900000000000001</v>
      </c>
      <c r="U78" s="246">
        <f>VLOOKUP($A78,'Misc. Data &amp; Mechanisms'!$A$63:$DY$152,HLOOKUP('Service Zone Menu'!$X$3&amp;"_ATCO-N_NG_Y_2",'Misc. Data &amp; Mechanisms'!$A$55:$DY$62,8,FALSE), FALSE)</f>
        <v>3.3000000000000002E-2</v>
      </c>
      <c r="V78" s="440">
        <f>IF(OR('Service Zone Menu'!$X$3="Fort McMurray",AND('Service Zone Menu'!$X$3="Spruce Grove", $A78&lt;DATE(2019, 5, 1))),$T78*($G78+$H78+$J78), $T78*($H78+$J78))</f>
        <v>20.323365486749385</v>
      </c>
      <c r="W78" s="349">
        <f t="shared" si="26"/>
        <v>2.0385138634125521</v>
      </c>
      <c r="X78" s="439"/>
      <c r="Y78" s="399"/>
      <c r="Z78" s="399"/>
      <c r="AA78" s="283">
        <v>0.92500000000000004</v>
      </c>
      <c r="AB78" s="399"/>
      <c r="AC78" s="399"/>
      <c r="AD78" s="399"/>
      <c r="AE78" s="399"/>
      <c r="AF78" s="440">
        <f t="shared" si="27"/>
        <v>0</v>
      </c>
      <c r="AG78" s="440">
        <f t="shared" si="28"/>
        <v>0</v>
      </c>
      <c r="AH78" s="440">
        <f t="shared" si="29"/>
        <v>15.977806733840215</v>
      </c>
      <c r="AI78" s="440">
        <f t="shared" si="30"/>
        <v>0</v>
      </c>
      <c r="AJ78" s="440">
        <f t="shared" si="45"/>
        <v>0</v>
      </c>
      <c r="AK78" s="440">
        <f t="shared" si="46"/>
        <v>0</v>
      </c>
      <c r="AL78" s="440">
        <f t="shared" si="47"/>
        <v>0</v>
      </c>
      <c r="AM78" s="239">
        <f>IF($I$2="DRT",VLOOKUP(A78,'Misc. Data &amp; Mechanisms'!$A$1483:$H$1574,6,FALSE),AY78)</f>
        <v>0.249</v>
      </c>
      <c r="AN78" s="346">
        <f t="shared" si="48"/>
        <v>7.7190000000000003</v>
      </c>
      <c r="AO78" s="1501">
        <v>1.0109999999999999</v>
      </c>
      <c r="AP78" s="346">
        <f t="shared" si="49"/>
        <v>17.463310927472925</v>
      </c>
      <c r="AQ78" s="351">
        <f>5%</f>
        <v>0.05</v>
      </c>
      <c r="AR78" s="352">
        <f>'Misc. Data &amp; Mechanisms'!AL351</f>
        <v>17.493962495320424</v>
      </c>
      <c r="AS78" s="441">
        <f>'Misc. Data &amp; Mechanisms'!AQ351</f>
        <v>17.677045038204845</v>
      </c>
      <c r="AT78" s="441">
        <f>'Misc. Data &amp; Mechanisms'!W351</f>
        <v>17.273304577124556</v>
      </c>
      <c r="AU78" s="441">
        <f>'Misc. Data &amp; Mechanisms'!X351</f>
        <v>11.032025113764643</v>
      </c>
      <c r="AV78" s="1461">
        <f>'Misc. Data &amp; Mechanisms'!$B$260</f>
        <v>10.198990303636064</v>
      </c>
      <c r="AW78" s="243">
        <f>IFERROR(IF('Personalized Bill Menu'!$B$30="Yes", IF('Personalized Bill Menu'!$B$34="Natural Gas",VLOOKUP($A78, 'Personalized Bill Menu'!$H$4:$L$93, 2, FALSE), IF('Personalized Bill Menu'!$B$34="Both",VLOOKUP($A78,'Personalized Bill Menu'!$H$4:$P$93, 6, FALSE), 0)), 0),0)</f>
        <v>0</v>
      </c>
      <c r="AX78" s="1345">
        <f>IFERROR(IF('Personalized Bill Menu'!$C$37="Custom", IF('Personalized Bill Menu'!$B$34="Natural Gas",VLOOKUP($A78, 'Personalized Bill Menu'!$H$4:$L$93, 3, FALSE), IF('Personalized Bill Menu'!$B$34="Both",VLOOKUP($A78,'Personalized Bill Menu'!$H$4:$P$93, 7, FALSE), 0)), 0),0)</f>
        <v>0</v>
      </c>
      <c r="AY78" s="1346">
        <f>IFERROR(IF('Personalized Bill Menu'!$C$37="Custom", IF('Personalized Bill Menu'!$B$34="Natural Gas",VLOOKUP($A78, 'Personalized Bill Menu'!$H$4:$L$93, 4, FALSE), IF('Personalized Bill Menu'!$B$34="Both",VLOOKUP($A78,'Personalized Bill Menu'!$H$4:$P$93, 8, FALSE), 0)), 0),0)</f>
        <v>0</v>
      </c>
    </row>
    <row r="79" spans="1:51" x14ac:dyDescent="0.35">
      <c r="A79" s="428">
        <v>43101</v>
      </c>
      <c r="B79" s="429">
        <f t="shared" si="35"/>
        <v>31</v>
      </c>
      <c r="C79" s="212">
        <f t="shared" si="36"/>
        <v>21.545033988385047</v>
      </c>
      <c r="D79" s="353">
        <f t="shared" si="37"/>
        <v>8.5948062984280327</v>
      </c>
      <c r="E79" s="353">
        <f>(1+$AQ79)*IF(OR('Service Zone Menu'!$X$3="Fort McMurray",AND('Service Zone Menu'!$X$3="Spruce Grove", $A79&lt;DATE(2019, 5, 1))),((((1+$T79)*($P79+$N79)))+($U79*$P79)+((1+$T79+$U79)*($Y79+$Z79+$AA79+$AB79)) + $AO79),($N79+((1+$T79+$U79)*$P79)+((1+$T79+$U79)*($Y79+$Z79+$AA79+$AB79)) + $AO79))</f>
        <v>6.2164830000000002</v>
      </c>
      <c r="F79" s="430">
        <f t="shared" si="38"/>
        <v>185.17539382321783</v>
      </c>
      <c r="G79" s="356">
        <f t="shared" si="39"/>
        <v>41.172559951803827</v>
      </c>
      <c r="H79" s="353">
        <f t="shared" si="32"/>
        <v>49.661255759488469</v>
      </c>
      <c r="I79" s="353">
        <f t="shared" si="33"/>
        <v>25.191729215945564</v>
      </c>
      <c r="J79" s="353">
        <f t="shared" si="40"/>
        <v>19.929156439256168</v>
      </c>
      <c r="K79" s="353">
        <f t="shared" si="41"/>
        <v>7.7190000000000003</v>
      </c>
      <c r="L79" s="353">
        <f t="shared" si="42"/>
        <v>32.683816560380116</v>
      </c>
      <c r="M79" s="357">
        <f t="shared" si="43"/>
        <v>8.8178758963437058</v>
      </c>
      <c r="N79" s="1244">
        <f>IF($I$2="DRT",VLOOKUP(A79,'Misc. Data &amp; Mechanisms'!$A$1381:$D$1471,2,FALSE),AX79)</f>
        <v>1.911</v>
      </c>
      <c r="O79" s="354">
        <f t="shared" si="44"/>
        <v>41.172559951803827</v>
      </c>
      <c r="P79" s="431">
        <v>0.90500000000000003</v>
      </c>
      <c r="Q79" s="288">
        <v>0.97299999999999998</v>
      </c>
      <c r="R79" s="354">
        <f t="shared" si="24"/>
        <v>19.498255759488469</v>
      </c>
      <c r="S79" s="354">
        <f t="shared" si="25"/>
        <v>30.163</v>
      </c>
      <c r="T79" s="391">
        <f>VLOOKUP($A79,'Misc. Data &amp; Mechanisms'!$A$63:$DY$152,HLOOKUP('Service Zone Menu'!$X$3&amp;"_ATCO-N_NG_Y_1",'Misc. Data &amp; Mechanisms'!$A$55:$DY$62,8,FALSE), FALSE)</f>
        <v>0.32900000000000001</v>
      </c>
      <c r="U79" s="205">
        <f>VLOOKUP($A79,'Misc. Data &amp; Mechanisms'!$A$63:$DY$152,HLOOKUP('Service Zone Menu'!$X$3&amp;"_ATCO-N_NG_Y_2",'Misc. Data &amp; Mechanisms'!$A$55:$DY$62,8,FALSE), FALSE)</f>
        <v>3.3000000000000002E-2</v>
      </c>
      <c r="V79" s="433">
        <f>IF(OR('Service Zone Menu'!$X$3="Fort McMurray",AND('Service Zone Menu'!$X$3="Spruce Grove", $A79&lt;DATE(2019, 5, 1))),$T79*($G79+$H79+$J79), $T79*($H79+$J79))</f>
        <v>22.89524561338699</v>
      </c>
      <c r="W79" s="354">
        <f t="shared" si="26"/>
        <v>2.2964836025585735</v>
      </c>
      <c r="X79" s="432"/>
      <c r="Y79" s="397"/>
      <c r="Z79" s="397"/>
      <c r="AA79" s="288">
        <v>0.92500000000000004</v>
      </c>
      <c r="AB79" s="288"/>
      <c r="AC79" s="288"/>
      <c r="AD79" s="288"/>
      <c r="AE79" s="288"/>
      <c r="AF79" s="433">
        <f t="shared" si="27"/>
        <v>0</v>
      </c>
      <c r="AG79" s="433">
        <f t="shared" si="28"/>
        <v>0</v>
      </c>
      <c r="AH79" s="433">
        <f t="shared" si="29"/>
        <v>19.929156439256168</v>
      </c>
      <c r="AI79" s="433">
        <f t="shared" si="30"/>
        <v>0</v>
      </c>
      <c r="AJ79" s="433">
        <f t="shared" si="45"/>
        <v>0</v>
      </c>
      <c r="AK79" s="433">
        <f t="shared" si="46"/>
        <v>0</v>
      </c>
      <c r="AL79" s="433">
        <f t="shared" si="47"/>
        <v>0</v>
      </c>
      <c r="AM79" s="200">
        <f>IF($I$2="DRT",VLOOKUP(A79,'Misc. Data &amp; Mechanisms'!$A$1483:$H$1574,6,FALSE),AY79)</f>
        <v>0.249</v>
      </c>
      <c r="AN79" s="333">
        <f t="shared" si="48"/>
        <v>7.7190000000000003</v>
      </c>
      <c r="AO79" s="295">
        <v>1.5169999999999999</v>
      </c>
      <c r="AP79" s="355">
        <f t="shared" si="49"/>
        <v>32.683816560380116</v>
      </c>
      <c r="AQ79" s="358">
        <f>5%</f>
        <v>0.05</v>
      </c>
      <c r="AR79" s="359">
        <f>'Misc. Data &amp; Mechanisms'!AL352</f>
        <v>21.820261135924159</v>
      </c>
      <c r="AS79" s="434">
        <f>'Misc. Data &amp; Mechanisms'!AQ352</f>
        <v>21.091427130610185</v>
      </c>
      <c r="AT79" s="434">
        <f>'Misc. Data &amp; Mechanisms'!W352</f>
        <v>21.545033988385047</v>
      </c>
      <c r="AU79" s="434">
        <f>'Misc. Data &amp; Mechanisms'!X352</f>
        <v>13.760271230992416</v>
      </c>
      <c r="AV79" s="1462">
        <f>'Misc. Data &amp; Mechanisms'!$B$260</f>
        <v>10.198990303636064</v>
      </c>
      <c r="AW79" s="197">
        <f>IFERROR(IF('Personalized Bill Menu'!$B$30="Yes", IF('Personalized Bill Menu'!$B$34="Natural Gas",VLOOKUP($A79, 'Personalized Bill Menu'!$H$4:$L$93, 2, FALSE), IF('Personalized Bill Menu'!$B$34="Both",VLOOKUP($A79,'Personalized Bill Menu'!$H$4:$P$93, 6, FALSE), 0)), 0),0)</f>
        <v>0</v>
      </c>
      <c r="AX79" s="1343">
        <f>IFERROR(IF('Personalized Bill Menu'!$C$37="Custom", IF('Personalized Bill Menu'!$B$34="Natural Gas",VLOOKUP($A79, 'Personalized Bill Menu'!$H$4:$L$93, 3, FALSE), IF('Personalized Bill Menu'!$B$34="Both",VLOOKUP($A79,'Personalized Bill Menu'!$H$4:$P$93, 7, FALSE), 0)), 0),0)</f>
        <v>0</v>
      </c>
      <c r="AY79" s="1344">
        <f>IFERROR(IF('Personalized Bill Menu'!$C$37="Custom", IF('Personalized Bill Menu'!$B$34="Natural Gas",VLOOKUP($A79, 'Personalized Bill Menu'!$H$4:$L$93, 4, FALSE), IF('Personalized Bill Menu'!$B$34="Both",VLOOKUP($A79,'Personalized Bill Menu'!$H$4:$P$93, 8, FALSE), 0)), 0),0)</f>
        <v>0</v>
      </c>
    </row>
    <row r="80" spans="1:51" x14ac:dyDescent="0.35">
      <c r="A80" s="427">
        <v>43132</v>
      </c>
      <c r="B80" s="85">
        <f t="shared" si="35"/>
        <v>28</v>
      </c>
      <c r="C80" s="226">
        <f t="shared" si="36"/>
        <v>21.711640327604098</v>
      </c>
      <c r="D80" s="66">
        <f t="shared" si="37"/>
        <v>8.776294692169186</v>
      </c>
      <c r="E80" s="66">
        <f>(1+$AQ80)*IF(OR('Service Zone Menu'!$X$3="Fort McMurray",AND('Service Zone Menu'!$X$3="Spruce Grove", $A80&lt;DATE(2019, 5, 1))),((((1+$T80)*($P80+$N80)))+($U80*$P80)+((1+$T80+$U80)*($Y80+$Z80+$AA80+$AB80)) + $AO80),($N80+((1+$T80+$U80)*$P80)+((1+$T80+$U80)*($Y80+$Z80+$AA80+$AB80)) + $AO80))</f>
        <v>6.6485685000000005</v>
      </c>
      <c r="F80" s="400">
        <f t="shared" si="38"/>
        <v>190.54775376543827</v>
      </c>
      <c r="G80" s="115">
        <f t="shared" si="39"/>
        <v>50.544698682662336</v>
      </c>
      <c r="H80" s="66">
        <f t="shared" si="32"/>
        <v>46.893034496481704</v>
      </c>
      <c r="I80" s="66">
        <f t="shared" si="33"/>
        <v>24.044492346026065</v>
      </c>
      <c r="J80" s="66">
        <f t="shared" si="40"/>
        <v>20.083267303033793</v>
      </c>
      <c r="K80" s="66">
        <f t="shared" si="41"/>
        <v>6.9719999999999995</v>
      </c>
      <c r="L80" s="66">
        <f t="shared" si="42"/>
        <v>32.936558376975412</v>
      </c>
      <c r="M80" s="68">
        <f t="shared" si="43"/>
        <v>9.0737025602589654</v>
      </c>
      <c r="N80" s="273">
        <f>IF($I$2="DRT",VLOOKUP(A80,'Misc. Data &amp; Mechanisms'!$A$1381:$D$1471,2,FALSE),AX80)</f>
        <v>2.3279999999999998</v>
      </c>
      <c r="O80" s="338">
        <f t="shared" si="44"/>
        <v>50.544698682662336</v>
      </c>
      <c r="P80" s="387">
        <v>0.90500000000000003</v>
      </c>
      <c r="Q80" s="278">
        <v>0.97299999999999998</v>
      </c>
      <c r="R80" s="338">
        <f t="shared" si="24"/>
        <v>19.649034496481708</v>
      </c>
      <c r="S80" s="338">
        <f t="shared" si="25"/>
        <v>27.244</v>
      </c>
      <c r="T80" s="391">
        <f>VLOOKUP($A80,'Misc. Data &amp; Mechanisms'!$A$63:$DY$152,HLOOKUP('Service Zone Menu'!$X$3&amp;"_ATCO-N_NG_Y_1",'Misc. Data &amp; Mechanisms'!$A$55:$DY$62,8,FALSE), FALSE)</f>
        <v>0.32900000000000001</v>
      </c>
      <c r="U80" s="205">
        <f>VLOOKUP($A80,'Misc. Data &amp; Mechanisms'!$A$63:$DY$152,HLOOKUP('Service Zone Menu'!$X$3&amp;"_ATCO-N_NG_Y_2",'Misc. Data &amp; Mechanisms'!$A$55:$DY$62,8,FALSE), FALSE)</f>
        <v>0.03</v>
      </c>
      <c r="V80" s="425">
        <f>IF(OR('Service Zone Menu'!$X$3="Fort McMurray",AND('Service Zone Menu'!$X$3="Spruce Grove", $A80&lt;DATE(2019, 5, 1))),$T80*($G80+$H80+$J80), $T80*($H80+$J80))</f>
        <v>22.035203292040599</v>
      </c>
      <c r="W80" s="338">
        <f t="shared" si="26"/>
        <v>2.0092890539854649</v>
      </c>
      <c r="X80" s="426"/>
      <c r="Y80" s="386"/>
      <c r="Z80" s="386"/>
      <c r="AA80" s="278">
        <v>0.92500000000000004</v>
      </c>
      <c r="AB80" s="278"/>
      <c r="AC80" s="278"/>
      <c r="AD80" s="278"/>
      <c r="AE80" s="278"/>
      <c r="AF80" s="425">
        <f t="shared" si="27"/>
        <v>0</v>
      </c>
      <c r="AG80" s="425">
        <f t="shared" si="28"/>
        <v>0</v>
      </c>
      <c r="AH80" s="425">
        <f t="shared" si="29"/>
        <v>20.083267303033793</v>
      </c>
      <c r="AI80" s="425">
        <f t="shared" si="30"/>
        <v>0</v>
      </c>
      <c r="AJ80" s="425">
        <f t="shared" si="45"/>
        <v>0</v>
      </c>
      <c r="AK80" s="425">
        <f t="shared" si="46"/>
        <v>0</v>
      </c>
      <c r="AL80" s="425">
        <f t="shared" si="47"/>
        <v>0</v>
      </c>
      <c r="AM80" s="200">
        <f>IF($I$2="DRT",VLOOKUP(A80,'Misc. Data &amp; Mechanisms'!$A$1483:$H$1574,6,FALSE),AY80)</f>
        <v>0.249</v>
      </c>
      <c r="AN80" s="333">
        <f t="shared" si="48"/>
        <v>6.9719999999999995</v>
      </c>
      <c r="AO80" s="296">
        <v>1.5169999999999999</v>
      </c>
      <c r="AP80" s="333">
        <f t="shared" si="49"/>
        <v>32.936558376975412</v>
      </c>
      <c r="AQ80" s="340">
        <f>5%</f>
        <v>0.05</v>
      </c>
      <c r="AR80" s="341">
        <f>'Misc. Data &amp; Mechanisms'!AL353</f>
        <v>21.988995788680796</v>
      </c>
      <c r="AS80" s="424">
        <f>'Misc. Data &amp; Mechanisms'!AQ353</f>
        <v>22.137487627087168</v>
      </c>
      <c r="AT80" s="424">
        <f>'Misc. Data &amp; Mechanisms'!W353</f>
        <v>21.711640327604098</v>
      </c>
      <c r="AU80" s="424">
        <f>'Misc. Data &amp; Mechanisms'!X353</f>
        <v>13.866678508775911</v>
      </c>
      <c r="AV80" s="1460">
        <f>'Misc. Data &amp; Mechanisms'!$B$260</f>
        <v>10.198990303636064</v>
      </c>
      <c r="AW80" s="197">
        <f>IFERROR(IF('Personalized Bill Menu'!$B$30="Yes", IF('Personalized Bill Menu'!$B$34="Natural Gas",VLOOKUP($A80, 'Personalized Bill Menu'!$H$4:$L$93, 2, FALSE), IF('Personalized Bill Menu'!$B$34="Both",VLOOKUP($A80,'Personalized Bill Menu'!$H$4:$P$93, 6, FALSE), 0)), 0),0)</f>
        <v>0</v>
      </c>
      <c r="AX80" s="1343">
        <f>IFERROR(IF('Personalized Bill Menu'!$C$37="Custom", IF('Personalized Bill Menu'!$B$34="Natural Gas",VLOOKUP($A80, 'Personalized Bill Menu'!$H$4:$L$93, 3, FALSE), IF('Personalized Bill Menu'!$B$34="Both",VLOOKUP($A80,'Personalized Bill Menu'!$H$4:$P$93, 7, FALSE), 0)), 0),0)</f>
        <v>0</v>
      </c>
      <c r="AY80" s="1344">
        <f>IFERROR(IF('Personalized Bill Menu'!$C$37="Custom", IF('Personalized Bill Menu'!$B$34="Natural Gas",VLOOKUP($A80, 'Personalized Bill Menu'!$H$4:$L$93, 4, FALSE), IF('Personalized Bill Menu'!$B$34="Both",VLOOKUP($A80,'Personalized Bill Menu'!$H$4:$P$93, 8, FALSE), 0)), 0),0)</f>
        <v>0</v>
      </c>
    </row>
    <row r="81" spans="1:51" x14ac:dyDescent="0.35">
      <c r="A81" s="427">
        <v>43160</v>
      </c>
      <c r="B81" s="85">
        <f t="shared" si="35"/>
        <v>31</v>
      </c>
      <c r="C81" s="226">
        <f t="shared" si="36"/>
        <v>16.340844656301599</v>
      </c>
      <c r="D81" s="66">
        <f t="shared" si="37"/>
        <v>8.6272249363632607</v>
      </c>
      <c r="E81" s="66">
        <f>(1+$AQ81)*IF(OR('Service Zone Menu'!$X$3="Fort McMurray",AND('Service Zone Menu'!$X$3="Spruce Grove", $A81&lt;DATE(2019, 5, 1))),((((1+$T81)*($P81+$N81)))+($U81*$P81)+((1+$T81+$U81)*($Y81+$Z81+$AA81+$AB81)) + $AO81),($N81+((1+$T81+$U81)*$P81)+((1+$T81+$U81)*($Y81+$Z81+$AA81+$AB81)) + $AO81))</f>
        <v>5.4972739500000003</v>
      </c>
      <c r="F81" s="400">
        <f t="shared" si="38"/>
        <v>140.97614250008348</v>
      </c>
      <c r="G81" s="115">
        <f t="shared" si="39"/>
        <v>28.31868378937067</v>
      </c>
      <c r="H81" s="66">
        <f t="shared" si="32"/>
        <v>44.951464413952948</v>
      </c>
      <c r="I81" s="66">
        <f t="shared" si="33"/>
        <v>19.399273681385537</v>
      </c>
      <c r="J81" s="66">
        <f t="shared" si="40"/>
        <v>9.0855096289036901</v>
      </c>
      <c r="K81" s="66">
        <f t="shared" si="41"/>
        <v>7.7190000000000003</v>
      </c>
      <c r="L81" s="66">
        <f t="shared" si="42"/>
        <v>24.789061343609525</v>
      </c>
      <c r="M81" s="68">
        <f>SUM($AQ81)*SUM($G81:$L81)</f>
        <v>6.7131496428611186</v>
      </c>
      <c r="N81" s="273">
        <f>IF($I$2="DRT",VLOOKUP(A81,'Misc. Data &amp; Mechanisms'!$A$1381:$D$1471,2,FALSE),AX81)</f>
        <v>1.7330000000000001</v>
      </c>
      <c r="O81" s="338">
        <f t="shared" si="44"/>
        <v>28.31868378937067</v>
      </c>
      <c r="P81" s="387">
        <v>0.90500000000000003</v>
      </c>
      <c r="Q81" s="278">
        <v>0.97299999999999998</v>
      </c>
      <c r="R81" s="338">
        <f t="shared" si="24"/>
        <v>14.788464413952948</v>
      </c>
      <c r="S81" s="338">
        <f t="shared" si="25"/>
        <v>30.163</v>
      </c>
      <c r="T81" s="391">
        <f>VLOOKUP($A81,'Misc. Data &amp; Mechanisms'!$A$63:$DY$152,HLOOKUP('Service Zone Menu'!$X$3&amp;"_ATCO-N_NG_Y_1",'Misc. Data &amp; Mechanisms'!$A$55:$DY$62,8,FALSE), FALSE)</f>
        <v>0.32900000000000001</v>
      </c>
      <c r="U81" s="205">
        <f>VLOOKUP($A81,'Misc. Data &amp; Mechanisms'!$A$63:$DY$152,HLOOKUP('Service Zone Menu'!$X$3&amp;"_ATCO-N_NG_Y_2",'Misc. Data &amp; Mechanisms'!$A$55:$DY$62,8,FALSE), FALSE)</f>
        <v>0.03</v>
      </c>
      <c r="V81" s="425">
        <f>IF(OR('Service Zone Menu'!$X$3="Fort McMurray",AND('Service Zone Menu'!$X$3="Spruce Grove", $A81&lt;DATE(2019, 5, 1))),$T81*($G81+$H81+$J81), $T81*($H81+$J81))</f>
        <v>17.778164460099838</v>
      </c>
      <c r="W81" s="338">
        <f t="shared" si="26"/>
        <v>1.6211092212856992</v>
      </c>
      <c r="X81" s="426"/>
      <c r="Y81" s="386"/>
      <c r="Z81" s="386"/>
      <c r="AA81" s="278">
        <v>0.55600000000000005</v>
      </c>
      <c r="AB81" s="278"/>
      <c r="AC81" s="278"/>
      <c r="AD81" s="278"/>
      <c r="AE81" s="278"/>
      <c r="AF81" s="425">
        <f t="shared" si="27"/>
        <v>0</v>
      </c>
      <c r="AG81" s="425">
        <f t="shared" si="28"/>
        <v>0</v>
      </c>
      <c r="AH81" s="425">
        <f t="shared" si="29"/>
        <v>9.0855096289036901</v>
      </c>
      <c r="AI81" s="425">
        <f t="shared" si="30"/>
        <v>0</v>
      </c>
      <c r="AJ81" s="425">
        <f t="shared" si="45"/>
        <v>0</v>
      </c>
      <c r="AK81" s="425">
        <f t="shared" si="46"/>
        <v>0</v>
      </c>
      <c r="AL81" s="425">
        <f t="shared" si="47"/>
        <v>0</v>
      </c>
      <c r="AM81" s="200">
        <f>IF($I$2="DRT",VLOOKUP(A81,'Misc. Data &amp; Mechanisms'!$A$1483:$H$1574,6,FALSE),AY81)</f>
        <v>0.249</v>
      </c>
      <c r="AN81" s="333">
        <f t="shared" si="48"/>
        <v>7.7190000000000003</v>
      </c>
      <c r="AO81" s="296">
        <v>1.5169999999999999</v>
      </c>
      <c r="AP81" s="333">
        <f t="shared" si="49"/>
        <v>24.789061343609525</v>
      </c>
      <c r="AQ81" s="340">
        <f>5%</f>
        <v>0.05</v>
      </c>
      <c r="AR81" s="341">
        <f>'Misc. Data &amp; Mechanisms'!AL354</f>
        <v>16.549590860441182</v>
      </c>
      <c r="AS81" s="424">
        <f>'Misc. Data &amp; Mechanisms'!AQ354</f>
        <v>16.971699948483135</v>
      </c>
      <c r="AT81" s="424">
        <f>'Misc. Data &amp; Mechanisms'!W354</f>
        <v>16.340844656301599</v>
      </c>
      <c r="AU81" s="424">
        <f>'Misc. Data &amp; Mechanisms'!X354</f>
        <v>10.436486418886245</v>
      </c>
      <c r="AV81" s="1460">
        <f>'Misc. Data &amp; Mechanisms'!$B$260</f>
        <v>10.198990303636064</v>
      </c>
      <c r="AW81" s="197">
        <f>IFERROR(IF('Personalized Bill Menu'!$B$30="Yes", IF('Personalized Bill Menu'!$B$34="Natural Gas",VLOOKUP($A81, 'Personalized Bill Menu'!$H$4:$L$93, 2, FALSE), IF('Personalized Bill Menu'!$B$34="Both",VLOOKUP($A81,'Personalized Bill Menu'!$H$4:$P$93, 6, FALSE), 0)), 0),0)</f>
        <v>0</v>
      </c>
      <c r="AX81" s="1343">
        <f>IFERROR(IF('Personalized Bill Menu'!$C$37="Custom", IF('Personalized Bill Menu'!$B$34="Natural Gas",VLOOKUP($A81, 'Personalized Bill Menu'!$H$4:$L$93, 3, FALSE), IF('Personalized Bill Menu'!$B$34="Both",VLOOKUP($A81,'Personalized Bill Menu'!$H$4:$P$93, 7, FALSE), 0)), 0),0)</f>
        <v>0</v>
      </c>
      <c r="AY81" s="1344">
        <f>IFERROR(IF('Personalized Bill Menu'!$C$37="Custom", IF('Personalized Bill Menu'!$B$34="Natural Gas",VLOOKUP($A81, 'Personalized Bill Menu'!$H$4:$L$93, 4, FALSE), IF('Personalized Bill Menu'!$B$34="Both",VLOOKUP($A81,'Personalized Bill Menu'!$H$4:$P$93, 8, FALSE), 0)), 0),0)</f>
        <v>0</v>
      </c>
    </row>
    <row r="82" spans="1:51" x14ac:dyDescent="0.35">
      <c r="A82" s="427">
        <v>43191</v>
      </c>
      <c r="B82" s="85">
        <f t="shared" si="35"/>
        <v>30</v>
      </c>
      <c r="C82" s="226">
        <f t="shared" si="36"/>
        <v>12.463395822746936</v>
      </c>
      <c r="D82" s="66">
        <f t="shared" si="37"/>
        <v>9.0069647171545775</v>
      </c>
      <c r="E82" s="66">
        <f>(1+$AQ82)*IF(OR('Service Zone Menu'!$X$3="Fort McMurray",AND('Service Zone Menu'!$X$3="Spruce Grove", $A82&lt;DATE(2019, 5, 1))),((((1+$T82)*($P82+$N82)))+($U82*$P82)+((1+$T82+$U82)*($Y82+$Z82+$AA82+$AB82)) + $AO82),($N82+((1+$T82+$U82)*$P82)+((1+$T82+$U82)*($Y82+$Z82+$AA82+$AB82)) + $AO82))</f>
        <v>5.4718534500000002</v>
      </c>
      <c r="F82" s="400">
        <f t="shared" si="38"/>
        <v>112.2573664314134</v>
      </c>
      <c r="G82" s="115">
        <f t="shared" si="39"/>
        <v>24.515499583343225</v>
      </c>
      <c r="H82" s="66">
        <f t="shared" si="32"/>
        <v>34.291328013264057</v>
      </c>
      <c r="I82" s="66">
        <f t="shared" si="33"/>
        <v>14.798330416565376</v>
      </c>
      <c r="J82" s="66">
        <f t="shared" si="40"/>
        <v>6.9296480774472968</v>
      </c>
      <c r="K82" s="66">
        <f t="shared" si="41"/>
        <v>7.47</v>
      </c>
      <c r="L82" s="66">
        <f t="shared" ref="L82:L84" si="50">AP82</f>
        <v>18.906971463107102</v>
      </c>
      <c r="M82" s="68">
        <f t="shared" si="43"/>
        <v>5.3455888776863532</v>
      </c>
      <c r="N82" s="273">
        <f>IF($I$2="DRT",VLOOKUP(A82,'Misc. Data &amp; Mechanisms'!$A$1381:$D$1471,2,FALSE),AX82)</f>
        <v>1.9670000000000001</v>
      </c>
      <c r="O82" s="333">
        <f t="shared" si="44"/>
        <v>24.515499583343225</v>
      </c>
      <c r="P82" s="387">
        <v>0.71499999999999997</v>
      </c>
      <c r="Q82" s="278">
        <v>0.84599999999999997</v>
      </c>
      <c r="R82" s="338">
        <f t="shared" si="24"/>
        <v>8.9113280132640593</v>
      </c>
      <c r="S82" s="338">
        <f t="shared" si="25"/>
        <v>25.38</v>
      </c>
      <c r="T82" s="391">
        <f>VLOOKUP($A82,'Misc. Data &amp; Mechanisms'!$A$63:$DY$152,HLOOKUP('Service Zone Menu'!$X$3&amp;"_ATCO-N_NG_Y_1",'Misc. Data &amp; Mechanisms'!$A$55:$DY$62,8,FALSE), FALSE)</f>
        <v>0.32900000000000001</v>
      </c>
      <c r="U82" s="205">
        <f>VLOOKUP($A82,'Misc. Data &amp; Mechanisms'!$A$63:$DY$152,HLOOKUP('Service Zone Menu'!$X$3&amp;"_ATCO-N_NG_Y_2",'Misc. Data &amp; Mechanisms'!$A$55:$DY$62,8,FALSE), FALSE)</f>
        <v>0.03</v>
      </c>
      <c r="V82" s="425">
        <f>IF(OR('Service Zone Menu'!$X$3="Fort McMurray",AND('Service Zone Menu'!$X$3="Spruce Grove", $A82&lt;DATE(2019, 5, 1))),$T82*($G82+$H82+$J82), $T82*($H82+$J82))</f>
        <v>13.561701133844036</v>
      </c>
      <c r="W82" s="333">
        <f t="shared" si="26"/>
        <v>1.2366292827213405</v>
      </c>
      <c r="X82" s="446"/>
      <c r="Y82" s="446"/>
      <c r="Z82" s="446"/>
      <c r="AA82" s="278">
        <v>0.55600000000000005</v>
      </c>
      <c r="AB82" s="446"/>
      <c r="AC82" s="446"/>
      <c r="AD82" s="446"/>
      <c r="AE82" s="446"/>
      <c r="AF82" s="425">
        <f t="shared" si="27"/>
        <v>0</v>
      </c>
      <c r="AG82" s="425">
        <f t="shared" si="28"/>
        <v>0</v>
      </c>
      <c r="AH82" s="425">
        <f t="shared" si="29"/>
        <v>6.9296480774472968</v>
      </c>
      <c r="AI82" s="425">
        <f t="shared" si="30"/>
        <v>0</v>
      </c>
      <c r="AJ82" s="425">
        <f t="shared" ref="AJ82:AJ84" si="51">AC82</f>
        <v>0</v>
      </c>
      <c r="AK82" s="425">
        <f t="shared" ref="AK82:AK84" si="52">AD82*B82</f>
        <v>0</v>
      </c>
      <c r="AL82" s="552">
        <f t="shared" si="47"/>
        <v>0</v>
      </c>
      <c r="AM82" s="200">
        <f>IF($I$2="DRT",VLOOKUP(A82,'Misc. Data &amp; Mechanisms'!$A$1483:$H$1574,6,FALSE),AY82)</f>
        <v>0.249</v>
      </c>
      <c r="AN82" s="333">
        <f t="shared" si="48"/>
        <v>7.47</v>
      </c>
      <c r="AO82" s="296">
        <v>1.5169999999999999</v>
      </c>
      <c r="AP82" s="333">
        <f t="shared" ref="AP82:AP84" si="53">AO82*C82</f>
        <v>18.906971463107102</v>
      </c>
      <c r="AQ82" s="340">
        <f>5%</f>
        <v>0.05</v>
      </c>
      <c r="AR82" s="341">
        <f>'Misc. Data &amp; Mechanisms'!AL355</f>
        <v>12.622609536811847</v>
      </c>
      <c r="AS82" s="424">
        <f>'Misc. Data &amp; Mechanisms'!AQ355</f>
        <v>12.796653982772801</v>
      </c>
      <c r="AT82" s="424">
        <f>'Misc. Data &amp; Mechanisms'!W355</f>
        <v>12.463395822746936</v>
      </c>
      <c r="AU82" s="424">
        <f>'Misc. Data &amp; Mechanisms'!X355</f>
        <v>7.960057388290565</v>
      </c>
      <c r="AV82" s="1460">
        <f>'Misc. Data &amp; Mechanisms'!$B$260</f>
        <v>10.198990303636064</v>
      </c>
      <c r="AW82" s="197">
        <f>IFERROR(IF('Personalized Bill Menu'!$B$30="Yes", IF('Personalized Bill Menu'!$B$34="Natural Gas",VLOOKUP($A82, 'Personalized Bill Menu'!$H$4:$L$93, 2, FALSE), IF('Personalized Bill Menu'!$B$34="Both",VLOOKUP($A82,'Personalized Bill Menu'!$H$4:$P$93, 6, FALSE), 0)), 0),0)</f>
        <v>0</v>
      </c>
      <c r="AX82" s="1343">
        <f>IFERROR(IF('Personalized Bill Menu'!$C$37="Custom", IF('Personalized Bill Menu'!$B$34="Natural Gas",VLOOKUP($A82, 'Personalized Bill Menu'!$H$4:$L$93, 3, FALSE), IF('Personalized Bill Menu'!$B$34="Both",VLOOKUP($A82,'Personalized Bill Menu'!$H$4:$P$93, 7, FALSE), 0)), 0),0)</f>
        <v>0</v>
      </c>
      <c r="AY82" s="1344">
        <f>IFERROR(IF('Personalized Bill Menu'!$C$37="Custom", IF('Personalized Bill Menu'!$B$34="Natural Gas",VLOOKUP($A82, 'Personalized Bill Menu'!$H$4:$L$93, 4, FALSE), IF('Personalized Bill Menu'!$B$34="Both",VLOOKUP($A82,'Personalized Bill Menu'!$H$4:$P$93, 8, FALSE), 0)), 0),0)</f>
        <v>0</v>
      </c>
    </row>
    <row r="83" spans="1:51" x14ac:dyDescent="0.35">
      <c r="A83" s="427">
        <v>43221</v>
      </c>
      <c r="B83" s="85">
        <f t="shared" si="35"/>
        <v>31</v>
      </c>
      <c r="C83" s="226">
        <f t="shared" si="36"/>
        <v>3.660351385203866</v>
      </c>
      <c r="D83" s="66">
        <f t="shared" si="37"/>
        <v>16.883142003163805</v>
      </c>
      <c r="E83" s="66">
        <f>(1+$AQ83)*IF(OR('Service Zone Menu'!$X$3="Fort McMurray",AND('Service Zone Menu'!$X$3="Spruce Grove", $A83&lt;DATE(2019, 5, 1))),((((1+$T83)*($P83+$N83)))+($U83*$P83)+((1+$T83+$U83)*($Y83+$Z83+$AA83+$AB83)) + $AO83),($N83+((1+$T83+$U83)*$P83)+((1+$T83+$U83)*($Y83+$Z83+$AA83+$AB83)) + $AO83))</f>
        <v>4.444953449999999</v>
      </c>
      <c r="F83" s="400">
        <f t="shared" si="38"/>
        <v>61.798232217874201</v>
      </c>
      <c r="G83" s="115">
        <f t="shared" si="39"/>
        <v>3.6200875199666234</v>
      </c>
      <c r="H83" s="66">
        <f t="shared" si="32"/>
        <v>28.843151240420763</v>
      </c>
      <c r="I83" s="66">
        <f t="shared" si="33"/>
        <v>11.085312073203285</v>
      </c>
      <c r="J83" s="66">
        <f t="shared" si="40"/>
        <v>2.0351553701733498</v>
      </c>
      <c r="K83" s="66">
        <f t="shared" si="41"/>
        <v>7.7190000000000003</v>
      </c>
      <c r="L83" s="66">
        <f t="shared" si="50"/>
        <v>5.552753051354264</v>
      </c>
      <c r="M83" s="68">
        <f t="shared" si="43"/>
        <v>2.9427729627559143</v>
      </c>
      <c r="N83" s="273">
        <f>IF($I$2="DRT",VLOOKUP(A83,'Misc. Data &amp; Mechanisms'!$A$1381:$D$1471,2,FALSE),AX83)</f>
        <v>0.98899999999999999</v>
      </c>
      <c r="O83" s="333">
        <f t="shared" si="44"/>
        <v>3.6200875199666234</v>
      </c>
      <c r="P83" s="387">
        <v>0.71499999999999997</v>
      </c>
      <c r="Q83" s="278">
        <v>0.84599999999999997</v>
      </c>
      <c r="R83" s="338">
        <f t="shared" si="24"/>
        <v>2.617151240420764</v>
      </c>
      <c r="S83" s="338">
        <f t="shared" si="25"/>
        <v>26.225999999999999</v>
      </c>
      <c r="T83" s="391">
        <f>VLOOKUP($A83,'Misc. Data &amp; Mechanisms'!$A$63:$DY$152,HLOOKUP('Service Zone Menu'!$X$3&amp;"_ATCO-N_NG_Y_1",'Misc. Data &amp; Mechanisms'!$A$55:$DY$62,8,FALSE), FALSE)</f>
        <v>0.32900000000000001</v>
      </c>
      <c r="U83" s="205">
        <f>VLOOKUP($A83,'Misc. Data &amp; Mechanisms'!$A$63:$DY$152,HLOOKUP('Service Zone Menu'!$X$3&amp;"_ATCO-N_NG_Y_2",'Misc. Data &amp; Mechanisms'!$A$55:$DY$62,8,FALSE), FALSE)</f>
        <v>0.03</v>
      </c>
      <c r="V83" s="425">
        <f>IF(OR('Service Zone Menu'!$X$3="Fort McMurray",AND('Service Zone Menu'!$X$3="Spruce Grove", $A83&lt;DATE(2019, 5, 1))),$T83*($G83+$H83+$J83), $T83*($H83+$J83))</f>
        <v>10.158962874885463</v>
      </c>
      <c r="W83" s="333">
        <f t="shared" si="26"/>
        <v>0.92634919831782336</v>
      </c>
      <c r="X83" s="446"/>
      <c r="Y83" s="446"/>
      <c r="Z83" s="446"/>
      <c r="AA83" s="278">
        <v>0.55600000000000005</v>
      </c>
      <c r="AB83" s="446"/>
      <c r="AC83" s="446"/>
      <c r="AD83" s="446"/>
      <c r="AE83" s="446"/>
      <c r="AF83" s="425">
        <f t="shared" si="27"/>
        <v>0</v>
      </c>
      <c r="AG83" s="425">
        <f t="shared" si="28"/>
        <v>0</v>
      </c>
      <c r="AH83" s="425">
        <f t="shared" si="29"/>
        <v>2.0351553701733498</v>
      </c>
      <c r="AI83" s="425">
        <f t="shared" si="30"/>
        <v>0</v>
      </c>
      <c r="AJ83" s="425">
        <f t="shared" si="51"/>
        <v>0</v>
      </c>
      <c r="AK83" s="425">
        <f t="shared" si="52"/>
        <v>0</v>
      </c>
      <c r="AL83" s="552">
        <f t="shared" si="47"/>
        <v>0</v>
      </c>
      <c r="AM83" s="200">
        <f>IF($I$2="DRT",VLOOKUP(A83,'Misc. Data &amp; Mechanisms'!$A$1483:$H$1574,6,FALSE),AY83)</f>
        <v>0.249</v>
      </c>
      <c r="AN83" s="333">
        <f t="shared" si="48"/>
        <v>7.7190000000000003</v>
      </c>
      <c r="AO83" s="296">
        <v>1.5169999999999999</v>
      </c>
      <c r="AP83" s="333">
        <f t="shared" si="53"/>
        <v>5.552753051354264</v>
      </c>
      <c r="AQ83" s="340">
        <f>5%</f>
        <v>0.05</v>
      </c>
      <c r="AR83" s="341">
        <f>'Misc. Data &amp; Mechanisms'!AL356</f>
        <v>3.7071105628075594</v>
      </c>
      <c r="AS83" s="424">
        <f>'Misc. Data &amp; Mechanisms'!AQ356</f>
        <v>4.014746237667608</v>
      </c>
      <c r="AT83" s="424">
        <f>'Misc. Data &amp; Mechanisms'!W356</f>
        <v>3.660351385203866</v>
      </c>
      <c r="AU83" s="424">
        <f>'Misc. Data &amp; Mechanisms'!X356</f>
        <v>2.3377743515418516</v>
      </c>
      <c r="AV83" s="1460">
        <f>'Misc. Data &amp; Mechanisms'!$B$260</f>
        <v>10.198990303636064</v>
      </c>
      <c r="AW83" s="197">
        <f>IFERROR(IF('Personalized Bill Menu'!$B$30="Yes", IF('Personalized Bill Menu'!$B$34="Natural Gas",VLOOKUP($A83, 'Personalized Bill Menu'!$H$4:$L$93, 2, FALSE), IF('Personalized Bill Menu'!$B$34="Both",VLOOKUP($A83,'Personalized Bill Menu'!$H$4:$P$93, 6, FALSE), 0)), 0),0)</f>
        <v>0</v>
      </c>
      <c r="AX83" s="1343">
        <f>IFERROR(IF('Personalized Bill Menu'!$C$37="Custom", IF('Personalized Bill Menu'!$B$34="Natural Gas",VLOOKUP($A83, 'Personalized Bill Menu'!$H$4:$L$93, 3, FALSE), IF('Personalized Bill Menu'!$B$34="Both",VLOOKUP($A83,'Personalized Bill Menu'!$H$4:$P$93, 7, FALSE), 0)), 0),0)</f>
        <v>0</v>
      </c>
      <c r="AY83" s="1344">
        <f>IFERROR(IF('Personalized Bill Menu'!$C$37="Custom", IF('Personalized Bill Menu'!$B$34="Natural Gas",VLOOKUP($A83, 'Personalized Bill Menu'!$H$4:$L$93, 4, FALSE), IF('Personalized Bill Menu'!$B$34="Both",VLOOKUP($A83,'Personalized Bill Menu'!$H$4:$P$93, 8, FALSE), 0)), 0),0)</f>
        <v>0</v>
      </c>
    </row>
    <row r="84" spans="1:51" x14ac:dyDescent="0.35">
      <c r="A84" s="427">
        <v>43252</v>
      </c>
      <c r="B84" s="85">
        <f t="shared" si="35"/>
        <v>30</v>
      </c>
      <c r="C84" s="226">
        <f t="shared" si="36"/>
        <v>2.9034203436448998</v>
      </c>
      <c r="D84" s="66">
        <f t="shared" si="37"/>
        <v>19.152733512883881</v>
      </c>
      <c r="E84" s="66">
        <f>(1+$AQ84)*IF(OR('Service Zone Menu'!$X$3="Fort McMurray",AND('Service Zone Menu'!$X$3="Spruce Grove", $A84&lt;DATE(2019, 5, 1))),((((1+$T84)*($P84+$N84)))+($U84*$P84)+((1+$T84+$U84)*($Y84+$Z84+$AA84+$AB84)) + $AO84),($N84+((1+$T84+$U84)*$P84)+((1+$T84+$U84)*($Y84+$Z84+$AA84+$AB84)) + $AO84))</f>
        <v>3.9777034499999999</v>
      </c>
      <c r="F84" s="400">
        <f t="shared" si="38"/>
        <v>55.608436117716508</v>
      </c>
      <c r="G84" s="115">
        <f t="shared" si="39"/>
        <v>1.5794606669428255</v>
      </c>
      <c r="H84" s="66">
        <f t="shared" si="32"/>
        <v>27.455945545706101</v>
      </c>
      <c r="I84" s="66">
        <f t="shared" si="33"/>
        <v>10.436218765181387</v>
      </c>
      <c r="J84" s="66">
        <f t="shared" si="40"/>
        <v>1.6143017110665645</v>
      </c>
      <c r="K84" s="66">
        <f t="shared" si="41"/>
        <v>7.47</v>
      </c>
      <c r="L84" s="66">
        <f t="shared" si="50"/>
        <v>4.4044886613093128</v>
      </c>
      <c r="M84" s="68">
        <f t="shared" si="43"/>
        <v>2.6480207675103102</v>
      </c>
      <c r="N84" s="273">
        <f>IF($I$2="DRT",VLOOKUP(A84,'Misc. Data &amp; Mechanisms'!$A$1381:$D$1471,2,FALSE),AX84)</f>
        <v>0.54400000000000004</v>
      </c>
      <c r="O84" s="333">
        <f t="shared" si="44"/>
        <v>1.5794606669428255</v>
      </c>
      <c r="P84" s="387">
        <v>0.71499999999999997</v>
      </c>
      <c r="Q84" s="278">
        <v>0.84599999999999997</v>
      </c>
      <c r="R84" s="338">
        <f t="shared" si="24"/>
        <v>2.0759455457061033</v>
      </c>
      <c r="S84" s="338">
        <f t="shared" si="25"/>
        <v>25.38</v>
      </c>
      <c r="T84" s="391">
        <f>VLOOKUP($A84,'Misc. Data &amp; Mechanisms'!$A$63:$DY$152,HLOOKUP('Service Zone Menu'!$X$3&amp;"_ATCO-N_NG_Y_1",'Misc. Data &amp; Mechanisms'!$A$55:$DY$62,8,FALSE), FALSE)</f>
        <v>0.32900000000000001</v>
      </c>
      <c r="U84" s="205">
        <f>VLOOKUP($A84,'Misc. Data &amp; Mechanisms'!$A$63:$DY$152,HLOOKUP('Service Zone Menu'!$X$3&amp;"_ATCO-N_NG_Y_2",'Misc. Data &amp; Mechanisms'!$A$55:$DY$62,8,FALSE), FALSE)</f>
        <v>0.03</v>
      </c>
      <c r="V84" s="425">
        <f>IF(OR('Service Zone Menu'!$X$3="Fort McMurray",AND('Service Zone Menu'!$X$3="Spruce Grove", $A84&lt;DATE(2019, 5, 1))),$T84*($G84+$H84+$J84), $T84*($H84+$J84))</f>
        <v>9.5641113474782067</v>
      </c>
      <c r="W84" s="333">
        <f t="shared" si="26"/>
        <v>0.8721074177031799</v>
      </c>
      <c r="X84" s="446"/>
      <c r="Y84" s="446"/>
      <c r="Z84" s="446"/>
      <c r="AA84" s="278">
        <v>0.55600000000000005</v>
      </c>
      <c r="AB84" s="446"/>
      <c r="AC84" s="446"/>
      <c r="AD84" s="446"/>
      <c r="AE84" s="446"/>
      <c r="AF84" s="425">
        <f t="shared" si="27"/>
        <v>0</v>
      </c>
      <c r="AG84" s="425">
        <f t="shared" si="28"/>
        <v>0</v>
      </c>
      <c r="AH84" s="425">
        <f t="shared" si="29"/>
        <v>1.6143017110665645</v>
      </c>
      <c r="AI84" s="425">
        <f t="shared" si="30"/>
        <v>0</v>
      </c>
      <c r="AJ84" s="425">
        <f t="shared" si="51"/>
        <v>0</v>
      </c>
      <c r="AK84" s="425">
        <f t="shared" si="52"/>
        <v>0</v>
      </c>
      <c r="AL84" s="552">
        <f t="shared" si="47"/>
        <v>0</v>
      </c>
      <c r="AM84" s="200">
        <f>IF($I$2="DRT",VLOOKUP(A84,'Misc. Data &amp; Mechanisms'!$A$1483:$H$1574,6,FALSE),AY84)</f>
        <v>0.249</v>
      </c>
      <c r="AN84" s="333">
        <f t="shared" si="48"/>
        <v>7.47</v>
      </c>
      <c r="AO84" s="296">
        <v>1.5169999999999999</v>
      </c>
      <c r="AP84" s="333">
        <f t="shared" si="53"/>
        <v>4.4044886613093128</v>
      </c>
      <c r="AQ84" s="340">
        <f>5%</f>
        <v>0.05</v>
      </c>
      <c r="AR84" s="341">
        <f>'Misc. Data &amp; Mechanisms'!AL357</f>
        <v>2.9405101017636017</v>
      </c>
      <c r="AS84" s="424">
        <f>'Misc. Data &amp; Mechanisms'!AQ357</f>
        <v>3.079796351634791</v>
      </c>
      <c r="AT84" s="424">
        <f>'Misc. Data &amp; Mechanisms'!W357</f>
        <v>2.9034203436448998</v>
      </c>
      <c r="AU84" s="424">
        <f>'Misc. Data &amp; Mechanisms'!X357</f>
        <v>1.8543415363221576</v>
      </c>
      <c r="AV84" s="1460">
        <f>'Misc. Data &amp; Mechanisms'!$B$260</f>
        <v>10.198990303636064</v>
      </c>
      <c r="AW84" s="197">
        <f>IFERROR(IF('Personalized Bill Menu'!$B$30="Yes", IF('Personalized Bill Menu'!$B$34="Natural Gas",VLOOKUP($A84, 'Personalized Bill Menu'!$H$4:$L$93, 2, FALSE), IF('Personalized Bill Menu'!$B$34="Both",VLOOKUP($A84,'Personalized Bill Menu'!$H$4:$P$93, 6, FALSE), 0)), 0),0)</f>
        <v>0</v>
      </c>
      <c r="AX84" s="1343">
        <f>IFERROR(IF('Personalized Bill Menu'!$C$37="Custom", IF('Personalized Bill Menu'!$B$34="Natural Gas",VLOOKUP($A84, 'Personalized Bill Menu'!$H$4:$L$93, 3, FALSE), IF('Personalized Bill Menu'!$B$34="Both",VLOOKUP($A84,'Personalized Bill Menu'!$H$4:$P$93, 7, FALSE), 0)), 0),0)</f>
        <v>0</v>
      </c>
      <c r="AY84" s="1344">
        <f>IFERROR(IF('Personalized Bill Menu'!$C$37="Custom", IF('Personalized Bill Menu'!$B$34="Natural Gas",VLOOKUP($A84, 'Personalized Bill Menu'!$H$4:$L$93, 4, FALSE), IF('Personalized Bill Menu'!$B$34="Both",VLOOKUP($A84,'Personalized Bill Menu'!$H$4:$P$93, 8, FALSE), 0)), 0),0)</f>
        <v>0</v>
      </c>
    </row>
    <row r="85" spans="1:51" x14ac:dyDescent="0.35">
      <c r="A85" s="427">
        <v>43282</v>
      </c>
      <c r="B85" s="85">
        <f t="shared" si="35"/>
        <v>31</v>
      </c>
      <c r="C85" s="226">
        <f t="shared" si="36"/>
        <v>2.5580698483095481</v>
      </c>
      <c r="D85" s="66">
        <f t="shared" si="37"/>
        <v>22.76360237507388</v>
      </c>
      <c r="E85" s="66">
        <f>(1+$AQ85)*IF(OR('Service Zone Menu'!$X$3="Fort McMurray",AND('Service Zone Menu'!$X$3="Spruce Grove", $A85&lt;DATE(2019, 5, 1))),((((1+$T85)*($P85+$N85)))+($U85*$P85)+((1+$T85+$U85)*($Y85+$Z85+$AA85+$AB85)) + $AO85),($N85+((1+$T85+$U85)*$P85)+((1+$T85+$U85)*($Y85+$Z85+$AA85+$AB85)) + $AO85))</f>
        <v>4.9657534500000002</v>
      </c>
      <c r="F85" s="400">
        <f t="shared" si="38"/>
        <v>58.230884874584113</v>
      </c>
      <c r="G85" s="115">
        <f t="shared" si="39"/>
        <v>3.7987337247396793</v>
      </c>
      <c r="H85" s="66">
        <f t="shared" si="32"/>
        <v>28.055019941541325</v>
      </c>
      <c r="I85" s="66">
        <f t="shared" si="33"/>
        <v>10.582353133015316</v>
      </c>
      <c r="J85" s="66">
        <f t="shared" si="40"/>
        <v>1.4222868356601088</v>
      </c>
      <c r="K85" s="66">
        <f t="shared" si="41"/>
        <v>7.7190000000000003</v>
      </c>
      <c r="L85" s="66">
        <f t="shared" ref="L85:L87" si="54">AP85</f>
        <v>3.8805919598855843</v>
      </c>
      <c r="M85" s="68">
        <f t="shared" si="43"/>
        <v>2.7728992797421008</v>
      </c>
      <c r="N85" s="273">
        <f>IF($I$2="DRT",VLOOKUP(A85,'Misc. Data &amp; Mechanisms'!$A$1381:$D$1471,2,FALSE),AX85)</f>
        <v>1.4850000000000001</v>
      </c>
      <c r="O85" s="333">
        <f t="shared" si="44"/>
        <v>3.7987337247396793</v>
      </c>
      <c r="P85" s="445">
        <v>0.71499999999999997</v>
      </c>
      <c r="Q85" s="445">
        <v>0.84599999999999997</v>
      </c>
      <c r="R85" s="338">
        <f t="shared" si="24"/>
        <v>1.8290199415413269</v>
      </c>
      <c r="S85" s="338">
        <f t="shared" si="25"/>
        <v>26.225999999999999</v>
      </c>
      <c r="T85" s="391">
        <f>VLOOKUP($A85,'Misc. Data &amp; Mechanisms'!$A$63:$DY$152,HLOOKUP('Service Zone Menu'!$X$3&amp;"_ATCO-N_NG_Y_1",'Misc. Data &amp; Mechanisms'!$A$55:$DY$62,8,FALSE), FALSE)</f>
        <v>0.32900000000000001</v>
      </c>
      <c r="U85" s="205">
        <f>VLOOKUP($A85,'Misc. Data &amp; Mechanisms'!$A$63:$DY$152,HLOOKUP('Service Zone Menu'!$X$3&amp;"_ATCO-N_NG_Y_2",'Misc. Data &amp; Mechanisms'!$A$55:$DY$62,8,FALSE), FALSE)</f>
        <v>0.03</v>
      </c>
      <c r="V85" s="425">
        <f>IF(OR('Service Zone Menu'!$X$3="Fort McMurray",AND('Service Zone Menu'!$X$3="Spruce Grove", $A85&lt;DATE(2019, 5, 1))),$T85*($G85+$H85+$J85), $T85*($H85+$J85))</f>
        <v>9.6980339296992728</v>
      </c>
      <c r="W85" s="333">
        <f t="shared" si="26"/>
        <v>0.88431920331604297</v>
      </c>
      <c r="X85" s="446"/>
      <c r="Y85" s="446"/>
      <c r="Z85" s="446"/>
      <c r="AA85" s="445">
        <v>0.55600000000000005</v>
      </c>
      <c r="AB85" s="446"/>
      <c r="AC85" s="446"/>
      <c r="AD85" s="446"/>
      <c r="AE85" s="446"/>
      <c r="AF85" s="425">
        <f t="shared" si="27"/>
        <v>0</v>
      </c>
      <c r="AG85" s="425">
        <f t="shared" si="28"/>
        <v>0</v>
      </c>
      <c r="AH85" s="425">
        <f t="shared" si="29"/>
        <v>1.4222868356601088</v>
      </c>
      <c r="AI85" s="425">
        <f t="shared" si="30"/>
        <v>0</v>
      </c>
      <c r="AJ85" s="425">
        <f t="shared" ref="AJ85:AJ87" si="55">AC85</f>
        <v>0</v>
      </c>
      <c r="AK85" s="425">
        <f t="shared" ref="AK85:AK87" si="56">AD85*B85</f>
        <v>0</v>
      </c>
      <c r="AL85" s="552">
        <f t="shared" si="47"/>
        <v>0</v>
      </c>
      <c r="AM85" s="200">
        <f>IF($I$2="DRT",VLOOKUP(A85,'Misc. Data &amp; Mechanisms'!$A$1483:$H$1574,6,FALSE),AY85)</f>
        <v>0.249</v>
      </c>
      <c r="AN85" s="333">
        <f t="shared" si="48"/>
        <v>7.7190000000000003</v>
      </c>
      <c r="AO85" s="445">
        <v>1.5169999999999999</v>
      </c>
      <c r="AP85" s="333">
        <f t="shared" ref="AP85:AP87" si="57">AO85*C85</f>
        <v>3.8805919598855843</v>
      </c>
      <c r="AQ85" s="340">
        <f>5%</f>
        <v>0.05</v>
      </c>
      <c r="AR85" s="341">
        <f>'Misc. Data &amp; Mechanisms'!AL358</f>
        <v>2.5907479247486758</v>
      </c>
      <c r="AS85" s="449">
        <f>'Misc. Data &amp; Mechanisms'!AQ358</f>
        <v>2.6838016525899304</v>
      </c>
      <c r="AT85" s="449">
        <f>'Misc. Data &amp; Mechanisms'!W358</f>
        <v>2.5580698483095481</v>
      </c>
      <c r="AU85" s="449">
        <f>'Misc. Data &amp; Mechanisms'!X358</f>
        <v>1.6337748624364774</v>
      </c>
      <c r="AV85" s="1460">
        <f>'Misc. Data &amp; Mechanisms'!$B$260</f>
        <v>10.198990303636064</v>
      </c>
      <c r="AW85" s="197">
        <f>IFERROR(IF('Personalized Bill Menu'!$B$30="Yes", IF('Personalized Bill Menu'!$B$34="Natural Gas",VLOOKUP($A85, 'Personalized Bill Menu'!$H$4:$L$93, 2, FALSE), IF('Personalized Bill Menu'!$B$34="Both",VLOOKUP($A85,'Personalized Bill Menu'!$H$4:$P$93, 6, FALSE), 0)), 0),0)</f>
        <v>0</v>
      </c>
      <c r="AX85" s="1343">
        <f>IFERROR(IF('Personalized Bill Menu'!$C$37="Custom", IF('Personalized Bill Menu'!$B$34="Natural Gas",VLOOKUP($A85, 'Personalized Bill Menu'!$H$4:$L$93, 3, FALSE), IF('Personalized Bill Menu'!$B$34="Both",VLOOKUP($A85,'Personalized Bill Menu'!$H$4:$P$93, 7, FALSE), 0)), 0),0)</f>
        <v>0</v>
      </c>
      <c r="AY85" s="1344">
        <f>IFERROR(IF('Personalized Bill Menu'!$C$37="Custom", IF('Personalized Bill Menu'!$B$34="Natural Gas",VLOOKUP($A85, 'Personalized Bill Menu'!$H$4:$L$93, 4, FALSE), IF('Personalized Bill Menu'!$B$34="Both",VLOOKUP($A85,'Personalized Bill Menu'!$H$4:$P$93, 8, FALSE), 0)), 0),0)</f>
        <v>0</v>
      </c>
    </row>
    <row r="86" spans="1:51" x14ac:dyDescent="0.35">
      <c r="A86" s="427">
        <v>43313</v>
      </c>
      <c r="B86" s="85">
        <f t="shared" si="35"/>
        <v>31</v>
      </c>
      <c r="C86" s="226">
        <f t="shared" si="36"/>
        <v>3.223601213371726</v>
      </c>
      <c r="D86" s="66">
        <f t="shared" si="37"/>
        <v>18.747882145586182</v>
      </c>
      <c r="E86" s="66">
        <f>(1+$AQ86)*IF(OR('Service Zone Menu'!$X$3="Fort McMurray",AND('Service Zone Menu'!$X$3="Spruce Grove", $A86&lt;DATE(2019, 5, 1))),((((1+$T86)*($P86+$N86)))+($U86*$P86)+((1+$T86+$U86)*($Y86+$Z86+$AA86+$AB86)) + $AO86),($N86+((1+$T86+$U86)*$P86)+((1+$T86+$U86)*($Y86+$Z86+$AA86+$AB86)) + $AO86))</f>
        <v>4.6245034500000006</v>
      </c>
      <c r="F86" s="400">
        <f t="shared" si="38"/>
        <v>60.435695632661734</v>
      </c>
      <c r="G86" s="115">
        <f t="shared" si="39"/>
        <v>3.7393774075112018</v>
      </c>
      <c r="H86" s="66">
        <f t="shared" si="32"/>
        <v>28.530874867560783</v>
      </c>
      <c r="I86" s="66">
        <f t="shared" si="33"/>
        <v>10.886027774048172</v>
      </c>
      <c r="J86" s="66">
        <f t="shared" si="40"/>
        <v>1.7923222746346799</v>
      </c>
      <c r="K86" s="66">
        <f t="shared" si="41"/>
        <v>7.7190000000000003</v>
      </c>
      <c r="L86" s="66">
        <f t="shared" si="54"/>
        <v>4.8902030406849084</v>
      </c>
      <c r="M86" s="68">
        <f t="shared" si="43"/>
        <v>2.8778902682219876</v>
      </c>
      <c r="N86" s="273">
        <f>IF($I$2="DRT",VLOOKUP(A86,'Misc. Data &amp; Mechanisms'!$A$1381:$D$1471,2,FALSE),AX86)</f>
        <v>1.1599999999999999</v>
      </c>
      <c r="O86" s="333">
        <f t="shared" si="44"/>
        <v>3.7393774075112018</v>
      </c>
      <c r="P86" s="445">
        <v>0.71499999999999997</v>
      </c>
      <c r="Q86" s="445">
        <v>0.84599999999999997</v>
      </c>
      <c r="R86" s="338">
        <f t="shared" si="24"/>
        <v>2.304874867560784</v>
      </c>
      <c r="S86" s="338">
        <f t="shared" si="25"/>
        <v>26.225999999999999</v>
      </c>
      <c r="T86" s="391">
        <f>VLOOKUP($A86,'Misc. Data &amp; Mechanisms'!$A$63:$DY$152,HLOOKUP('Service Zone Menu'!$X$3&amp;"_ATCO-N_NG_Y_1",'Misc. Data &amp; Mechanisms'!$A$55:$DY$62,8,FALSE), FALSE)</f>
        <v>0.32900000000000001</v>
      </c>
      <c r="U86" s="205">
        <f>VLOOKUP($A86,'Misc. Data &amp; Mechanisms'!$A$63:$DY$152,HLOOKUP('Service Zone Menu'!$X$3&amp;"_ATCO-N_NG_Y_2",'Misc. Data &amp; Mechanisms'!$A$55:$DY$62,8,FALSE), FALSE)</f>
        <v>0.03</v>
      </c>
      <c r="V86" s="425">
        <f>IF(OR('Service Zone Menu'!$X$3="Fort McMurray",AND('Service Zone Menu'!$X$3="Spruce Grove", $A86&lt;DATE(2019, 5, 1))),$T86*($G86+$H86+$J86), $T86*($H86+$J86))</f>
        <v>9.9763318597823076</v>
      </c>
      <c r="W86" s="333">
        <f t="shared" si="26"/>
        <v>0.90969591426586383</v>
      </c>
      <c r="X86" s="446"/>
      <c r="Y86" s="446"/>
      <c r="Z86" s="446"/>
      <c r="AA86" s="445">
        <v>0.55600000000000005</v>
      </c>
      <c r="AB86" s="446"/>
      <c r="AC86" s="446"/>
      <c r="AD86" s="446"/>
      <c r="AE86" s="446"/>
      <c r="AF86" s="425">
        <f t="shared" si="27"/>
        <v>0</v>
      </c>
      <c r="AG86" s="425">
        <f t="shared" si="28"/>
        <v>0</v>
      </c>
      <c r="AH86" s="425">
        <f t="shared" si="29"/>
        <v>1.7923222746346799</v>
      </c>
      <c r="AI86" s="425">
        <f t="shared" si="30"/>
        <v>0</v>
      </c>
      <c r="AJ86" s="425">
        <f t="shared" si="55"/>
        <v>0</v>
      </c>
      <c r="AK86" s="425">
        <f t="shared" si="56"/>
        <v>0</v>
      </c>
      <c r="AL86" s="552">
        <f t="shared" si="47"/>
        <v>0</v>
      </c>
      <c r="AM86" s="200">
        <f>IF($I$2="DRT",VLOOKUP(A86,'Misc. Data &amp; Mechanisms'!$A$1483:$H$1574,6,FALSE),AY86)</f>
        <v>0.249</v>
      </c>
      <c r="AN86" s="333">
        <f t="shared" si="48"/>
        <v>7.7190000000000003</v>
      </c>
      <c r="AO86" s="445">
        <v>1.5169999999999999</v>
      </c>
      <c r="AP86" s="333">
        <f t="shared" si="57"/>
        <v>4.8902030406849084</v>
      </c>
      <c r="AQ86" s="340">
        <f>5%</f>
        <v>0.05</v>
      </c>
      <c r="AR86" s="341">
        <f>'Misc. Data &amp; Mechanisms'!AL359</f>
        <v>3.2647811236581625</v>
      </c>
      <c r="AS86" s="449">
        <f>'Misc. Data &amp; Mechanisms'!AQ359</f>
        <v>3.2561512109550792</v>
      </c>
      <c r="AT86" s="449">
        <f>'Misc. Data &amp; Mechanisms'!W359</f>
        <v>3.223601213371726</v>
      </c>
      <c r="AU86" s="449">
        <f>'Misc. Data &amp; Mechanisms'!X359</f>
        <v>2.0588330034876927</v>
      </c>
      <c r="AV86" s="1460">
        <f>'Misc. Data &amp; Mechanisms'!$B$260</f>
        <v>10.198990303636064</v>
      </c>
      <c r="AW86" s="197">
        <f>IFERROR(IF('Personalized Bill Menu'!$B$30="Yes", IF('Personalized Bill Menu'!$B$34="Natural Gas",VLOOKUP($A86, 'Personalized Bill Menu'!$H$4:$L$93, 2, FALSE), IF('Personalized Bill Menu'!$B$34="Both",VLOOKUP($A86,'Personalized Bill Menu'!$H$4:$P$93, 6, FALSE), 0)), 0),0)</f>
        <v>0</v>
      </c>
      <c r="AX86" s="1343">
        <f>IFERROR(IF('Personalized Bill Menu'!$C$37="Custom", IF('Personalized Bill Menu'!$B$34="Natural Gas",VLOOKUP($A86, 'Personalized Bill Menu'!$H$4:$L$93, 3, FALSE), IF('Personalized Bill Menu'!$B$34="Both",VLOOKUP($A86,'Personalized Bill Menu'!$H$4:$P$93, 7, FALSE), 0)), 0),0)</f>
        <v>0</v>
      </c>
      <c r="AY86" s="1344">
        <f>IFERROR(IF('Personalized Bill Menu'!$C$37="Custom", IF('Personalized Bill Menu'!$B$34="Natural Gas",VLOOKUP($A86, 'Personalized Bill Menu'!$H$4:$L$93, 4, FALSE), IF('Personalized Bill Menu'!$B$34="Both",VLOOKUP($A86,'Personalized Bill Menu'!$H$4:$P$93, 8, FALSE), 0)), 0),0)</f>
        <v>0</v>
      </c>
    </row>
    <row r="87" spans="1:51" x14ac:dyDescent="0.35">
      <c r="A87" s="427">
        <v>43344</v>
      </c>
      <c r="B87" s="85">
        <f t="shared" si="35"/>
        <v>30</v>
      </c>
      <c r="C87" s="226">
        <f t="shared" si="36"/>
        <v>8.0971321584513181</v>
      </c>
      <c r="D87" s="66">
        <f t="shared" si="37"/>
        <v>10.234923324889994</v>
      </c>
      <c r="E87" s="66">
        <f>(1+$AQ87)*IF(OR('Service Zone Menu'!$X$3="Fort McMurray",AND('Service Zone Menu'!$X$3="Spruce Grove", $A87&lt;DATE(2019, 5, 1))),((((1+$T87)*($P87+$N87)))+($U87*$P87)+((1+$T87+$U87)*($Y87+$Z87+$AA87+$AB87)) + $AO87),($N87+((1+$T87+$U87)*$P87)+((1+$T87+$U87)*($Y87+$Z87+$AA87+$AB87)) + $AO87))</f>
        <v>4.7935534500000001</v>
      </c>
      <c r="F87" s="400">
        <f t="shared" si="38"/>
        <v>82.873526793250264</v>
      </c>
      <c r="G87" s="115">
        <f t="shared" si="39"/>
        <v>10.696311581314191</v>
      </c>
      <c r="H87" s="66">
        <f t="shared" si="32"/>
        <v>31.169449493292692</v>
      </c>
      <c r="I87" s="66">
        <f t="shared" si="33"/>
        <v>12.806052335447594</v>
      </c>
      <c r="J87" s="66">
        <f t="shared" si="40"/>
        <v>4.5020054800989335</v>
      </c>
      <c r="K87" s="66">
        <f t="shared" si="41"/>
        <v>7.47</v>
      </c>
      <c r="L87" s="66">
        <f t="shared" si="54"/>
        <v>12.283349484370648</v>
      </c>
      <c r="M87" s="68">
        <f t="shared" si="43"/>
        <v>3.9463584187262031</v>
      </c>
      <c r="N87" s="273">
        <f>IF($I$2="DRT",VLOOKUP(A87,'Misc. Data &amp; Mechanisms'!$A$1381:$D$1471,2,FALSE),AX87)</f>
        <v>1.321</v>
      </c>
      <c r="O87" s="333">
        <f t="shared" si="44"/>
        <v>10.696311581314191</v>
      </c>
      <c r="P87" s="445">
        <v>0.71499999999999997</v>
      </c>
      <c r="Q87" s="445">
        <v>0.84599999999999997</v>
      </c>
      <c r="R87" s="338">
        <f t="shared" si="24"/>
        <v>5.7894494932926923</v>
      </c>
      <c r="S87" s="338">
        <f t="shared" si="25"/>
        <v>25.38</v>
      </c>
      <c r="T87" s="391">
        <f>VLOOKUP($A87,'Misc. Data &amp; Mechanisms'!$A$63:$DY$152,HLOOKUP('Service Zone Menu'!$X$3&amp;"_ATCO-N_NG_Y_1",'Misc. Data &amp; Mechanisms'!$A$55:$DY$62,8,FALSE), FALSE)</f>
        <v>0.32900000000000001</v>
      </c>
      <c r="U87" s="205">
        <f>VLOOKUP($A87,'Misc. Data &amp; Mechanisms'!$A$63:$DY$152,HLOOKUP('Service Zone Menu'!$X$3&amp;"_ATCO-N_NG_Y_2",'Misc. Data &amp; Mechanisms'!$A$55:$DY$62,8,FALSE), FALSE)</f>
        <v>0.03</v>
      </c>
      <c r="V87" s="425">
        <f>IF(OR('Service Zone Menu'!$X$3="Fort McMurray",AND('Service Zone Menu'!$X$3="Spruce Grove", $A87&lt;DATE(2019, 5, 1))),$T87*($G87+$H87+$J87), $T87*($H87+$J87))</f>
        <v>11.735908686245846</v>
      </c>
      <c r="W87" s="333">
        <f t="shared" si="26"/>
        <v>1.0701436492017486</v>
      </c>
      <c r="X87" s="446"/>
      <c r="Y87" s="446"/>
      <c r="Z87" s="446"/>
      <c r="AA87" s="445">
        <v>0.55600000000000005</v>
      </c>
      <c r="AB87" s="446"/>
      <c r="AC87" s="446"/>
      <c r="AD87" s="446"/>
      <c r="AE87" s="446"/>
      <c r="AF87" s="425">
        <f t="shared" si="27"/>
        <v>0</v>
      </c>
      <c r="AG87" s="425">
        <f t="shared" si="28"/>
        <v>0</v>
      </c>
      <c r="AH87" s="425">
        <f t="shared" si="29"/>
        <v>4.5020054800989335</v>
      </c>
      <c r="AI87" s="425">
        <f t="shared" si="30"/>
        <v>0</v>
      </c>
      <c r="AJ87" s="425">
        <f t="shared" si="55"/>
        <v>0</v>
      </c>
      <c r="AK87" s="425">
        <f t="shared" si="56"/>
        <v>0</v>
      </c>
      <c r="AL87" s="552">
        <f t="shared" si="47"/>
        <v>0</v>
      </c>
      <c r="AM87" s="200">
        <f>IF($I$2="DRT",VLOOKUP(A87,'Misc. Data &amp; Mechanisms'!$A$1483:$H$1574,6,FALSE),AY87)</f>
        <v>0.249</v>
      </c>
      <c r="AN87" s="333">
        <f t="shared" si="48"/>
        <v>7.47</v>
      </c>
      <c r="AO87" s="445">
        <v>1.5169999999999999</v>
      </c>
      <c r="AP87" s="333">
        <f t="shared" si="57"/>
        <v>12.283349484370648</v>
      </c>
      <c r="AQ87" s="340">
        <f>5%</f>
        <v>0.05</v>
      </c>
      <c r="AR87" s="341">
        <f>'Misc. Data &amp; Mechanisms'!AL360</f>
        <v>8.2005690148711867</v>
      </c>
      <c r="AS87" s="449">
        <f>'Misc. Data &amp; Mechanisms'!AQ360</f>
        <v>7.996989798454579</v>
      </c>
      <c r="AT87" s="449">
        <f>'Misc. Data &amp; Mechanisms'!W360</f>
        <v>8.0971321584513181</v>
      </c>
      <c r="AU87" s="449">
        <f>'Misc. Data &amp; Mechanisms'!X360</f>
        <v>5.1714346217113034</v>
      </c>
      <c r="AV87" s="1460">
        <f>'Misc. Data &amp; Mechanisms'!$B$260</f>
        <v>10.198990303636064</v>
      </c>
      <c r="AW87" s="197">
        <f>IFERROR(IF('Personalized Bill Menu'!$B$30="Yes", IF('Personalized Bill Menu'!$B$34="Natural Gas",VLOOKUP($A87, 'Personalized Bill Menu'!$H$4:$L$93, 2, FALSE), IF('Personalized Bill Menu'!$B$34="Both",VLOOKUP($A87,'Personalized Bill Menu'!$H$4:$P$93, 6, FALSE), 0)), 0),0)</f>
        <v>0</v>
      </c>
      <c r="AX87" s="1343">
        <f>IFERROR(IF('Personalized Bill Menu'!$C$37="Custom", IF('Personalized Bill Menu'!$B$34="Natural Gas",VLOOKUP($A87, 'Personalized Bill Menu'!$H$4:$L$93, 3, FALSE), IF('Personalized Bill Menu'!$B$34="Both",VLOOKUP($A87,'Personalized Bill Menu'!$H$4:$P$93, 7, FALSE), 0)), 0),0)</f>
        <v>0</v>
      </c>
      <c r="AY87" s="1344">
        <f>IFERROR(IF('Personalized Bill Menu'!$C$37="Custom", IF('Personalized Bill Menu'!$B$34="Natural Gas",VLOOKUP($A87, 'Personalized Bill Menu'!$H$4:$L$93, 4, FALSE), IF('Personalized Bill Menu'!$B$34="Both",VLOOKUP($A87,'Personalized Bill Menu'!$H$4:$P$93, 8, FALSE), 0)), 0),0)</f>
        <v>0</v>
      </c>
    </row>
    <row r="88" spans="1:51" x14ac:dyDescent="0.35">
      <c r="A88" s="427">
        <v>43374</v>
      </c>
      <c r="B88" s="85">
        <f t="shared" si="35"/>
        <v>31</v>
      </c>
      <c r="C88" s="226">
        <f t="shared" si="36"/>
        <v>10.938043863438779</v>
      </c>
      <c r="D88" s="66">
        <f t="shared" si="37"/>
        <v>9.0254139383985326</v>
      </c>
      <c r="E88" s="66">
        <f>(1+$AQ88)*IF(OR('Service Zone Menu'!$X$3="Fort McMurray",AND('Service Zone Menu'!$X$3="Spruce Grove", $A88&lt;DATE(2019, 5, 1))),((((1+$T88)*($P88+$N88)))+($U88*$P88)+((1+$T88+$U88)*($Y88+$Z88+$AA88+$AB88)) + $AO88),($N88+((1+$T88+$U88)*$P88)+((1+$T88+$U88)*($Y88+$Z88+$AA88+$AB88)) + $AO88))</f>
        <v>4.7946034499999994</v>
      </c>
      <c r="F88" s="400">
        <f t="shared" si="38"/>
        <v>98.720373543894894</v>
      </c>
      <c r="G88" s="115">
        <f t="shared" si="39"/>
        <v>14.460093987466067</v>
      </c>
      <c r="H88" s="66">
        <f t="shared" si="32"/>
        <v>34.046701362358725</v>
      </c>
      <c r="I88" s="66">
        <f t="shared" si="33"/>
        <v>14.406043096404616</v>
      </c>
      <c r="J88" s="66">
        <f t="shared" si="40"/>
        <v>6.0815523880719615</v>
      </c>
      <c r="K88" s="66">
        <f t="shared" si="41"/>
        <v>8.4320000000000004</v>
      </c>
      <c r="L88" s="66">
        <f t="shared" ref="L88:L90" si="58">AP88</f>
        <v>16.593012540836625</v>
      </c>
      <c r="M88" s="68">
        <f t="shared" si="43"/>
        <v>4.7009701687568999</v>
      </c>
      <c r="N88" s="273">
        <f>IF($I$2="DRT",VLOOKUP(A88,'Misc. Data &amp; Mechanisms'!$A$1381:$D$1471,2,FALSE),AX88)</f>
        <v>1.3220000000000001</v>
      </c>
      <c r="O88" s="333">
        <f t="shared" si="44"/>
        <v>14.460093987466067</v>
      </c>
      <c r="P88" s="445">
        <v>0.71499999999999997</v>
      </c>
      <c r="Q88" s="445">
        <v>0.84599999999999997</v>
      </c>
      <c r="R88" s="338">
        <f t="shared" si="24"/>
        <v>7.8207013623587267</v>
      </c>
      <c r="S88" s="338">
        <f t="shared" si="25"/>
        <v>26.225999999999999</v>
      </c>
      <c r="T88" s="391">
        <f>VLOOKUP($A88,'Misc. Data &amp; Mechanisms'!$A$63:$DY$152,HLOOKUP('Service Zone Menu'!$X$3&amp;"_ATCO-N_NG_Y_1",'Misc. Data &amp; Mechanisms'!$A$55:$DY$62,8,FALSE), FALSE)</f>
        <v>0.32900000000000001</v>
      </c>
      <c r="U88" s="205">
        <f>VLOOKUP($A88,'Misc. Data &amp; Mechanisms'!$A$63:$DY$152,HLOOKUP('Service Zone Menu'!$X$3&amp;"_ATCO-N_NG_Y_2",'Misc. Data &amp; Mechanisms'!$A$55:$DY$62,8,FALSE), FALSE)</f>
        <v>0.03</v>
      </c>
      <c r="V88" s="425">
        <f>IF(OR('Service Zone Menu'!$X$3="Fort McMurray",AND('Service Zone Menu'!$X$3="Spruce Grove", $A88&lt;DATE(2019, 5, 1))),$T88*($G88+$H88+$J88), $T88*($H88+$J88))</f>
        <v>13.202195483891696</v>
      </c>
      <c r="W88" s="333">
        <f t="shared" si="26"/>
        <v>1.2038476125129205</v>
      </c>
      <c r="X88" s="426"/>
      <c r="Y88" s="386"/>
      <c r="Z88" s="386"/>
      <c r="AA88" s="445">
        <v>0.55600000000000005</v>
      </c>
      <c r="AB88" s="278"/>
      <c r="AC88" s="278"/>
      <c r="AD88" s="278"/>
      <c r="AE88" s="278"/>
      <c r="AF88" s="425">
        <f t="shared" si="27"/>
        <v>0</v>
      </c>
      <c r="AG88" s="425">
        <f t="shared" si="28"/>
        <v>0</v>
      </c>
      <c r="AH88" s="425">
        <f t="shared" si="29"/>
        <v>6.0815523880719615</v>
      </c>
      <c r="AI88" s="425">
        <f t="shared" si="30"/>
        <v>0</v>
      </c>
      <c r="AJ88" s="425">
        <f t="shared" ref="AJ88:AJ90" si="59">AC88</f>
        <v>0</v>
      </c>
      <c r="AK88" s="425">
        <f t="shared" ref="AK88:AK90" si="60">AD88*B88</f>
        <v>0</v>
      </c>
      <c r="AL88" s="552">
        <f t="shared" si="47"/>
        <v>0</v>
      </c>
      <c r="AM88" s="200">
        <f>IF($I$2="DRT",VLOOKUP(A88,'Misc. Data &amp; Mechanisms'!$A$1483:$H$1574,6,FALSE),AY88)</f>
        <v>0.27200000000000002</v>
      </c>
      <c r="AN88" s="333">
        <f t="shared" si="48"/>
        <v>8.4320000000000004</v>
      </c>
      <c r="AO88" s="445">
        <v>1.5169999999999999</v>
      </c>
      <c r="AP88" s="333">
        <f t="shared" ref="AP88:AP96" si="61">AO88*C88</f>
        <v>16.593012540836625</v>
      </c>
      <c r="AQ88" s="340">
        <f>5%</f>
        <v>0.05</v>
      </c>
      <c r="AR88" s="341">
        <f>'Misc. Data &amp; Mechanisms'!AL361</f>
        <v>11.077771961051198</v>
      </c>
      <c r="AS88" s="449">
        <f>'Misc. Data &amp; Mechanisms'!AQ361</f>
        <v>11.208007627363536</v>
      </c>
      <c r="AT88" s="449">
        <f>'Misc. Data &amp; Mechanisms'!W361</f>
        <v>10.938043863438779</v>
      </c>
      <c r="AU88" s="449">
        <f>'Misc. Data &amp; Mechanisms'!X361</f>
        <v>6.9858534629627478</v>
      </c>
      <c r="AV88" s="1460">
        <f>'Misc. Data &amp; Mechanisms'!$B$260</f>
        <v>10.198990303636064</v>
      </c>
      <c r="AW88" s="197">
        <f>IFERROR(IF('Personalized Bill Menu'!$B$30="Yes", IF('Personalized Bill Menu'!$B$34="Natural Gas",VLOOKUP($A88, 'Personalized Bill Menu'!$H$4:$L$93, 2, FALSE), IF('Personalized Bill Menu'!$B$34="Both",VLOOKUP($A88,'Personalized Bill Menu'!$H$4:$P$93, 6, FALSE), 0)), 0),0)</f>
        <v>0</v>
      </c>
      <c r="AX88" s="1343">
        <f>IFERROR(IF('Personalized Bill Menu'!$C$37="Custom", IF('Personalized Bill Menu'!$B$34="Natural Gas",VLOOKUP($A88, 'Personalized Bill Menu'!$H$4:$L$93, 3, FALSE), IF('Personalized Bill Menu'!$B$34="Both",VLOOKUP($A88,'Personalized Bill Menu'!$H$4:$P$93, 7, FALSE), 0)), 0),0)</f>
        <v>0</v>
      </c>
      <c r="AY88" s="1344">
        <f>IFERROR(IF('Personalized Bill Menu'!$C$37="Custom", IF('Personalized Bill Menu'!$B$34="Natural Gas",VLOOKUP($A88, 'Personalized Bill Menu'!$H$4:$L$93, 4, FALSE), IF('Personalized Bill Menu'!$B$34="Both",VLOOKUP($A88,'Personalized Bill Menu'!$H$4:$P$93, 8, FALSE), 0)), 0),0)</f>
        <v>0</v>
      </c>
    </row>
    <row r="89" spans="1:51" x14ac:dyDescent="0.35">
      <c r="A89" s="427">
        <v>43405</v>
      </c>
      <c r="B89" s="85">
        <f t="shared" si="35"/>
        <v>30</v>
      </c>
      <c r="C89" s="226">
        <f t="shared" si="36"/>
        <v>15.083397888883695</v>
      </c>
      <c r="D89" s="66">
        <f t="shared" si="37"/>
        <v>8.8630451181980074</v>
      </c>
      <c r="E89" s="66">
        <f>(1+$AQ89)*IF(OR('Service Zone Menu'!$X$3="Fort McMurray",AND('Service Zone Menu'!$X$3="Spruce Grove", $A89&lt;DATE(2019, 5, 1))),((((1+$T89)*($P89+$N89)))+($U89*$P89)+((1+$T89+$U89)*($Y89+$Z89+$AA89+$AB89)) + $AO89),($N89+((1+$T89+$U89)*$P89)+((1+$T89+$U89)*($Y89+$Z89+$AA89+$AB89)) + $AO89))</f>
        <v>5.8939534500000006</v>
      </c>
      <c r="F89" s="400">
        <f t="shared" si="38"/>
        <v>133.68483602490878</v>
      </c>
      <c r="G89" s="115">
        <f t="shared" si="39"/>
        <v>35.73256959876548</v>
      </c>
      <c r="H89" s="66">
        <f t="shared" si="32"/>
        <v>36.164629490551839</v>
      </c>
      <c r="I89" s="66">
        <f t="shared" si="33"/>
        <v>15.993808539320852</v>
      </c>
      <c r="J89" s="66">
        <f t="shared" si="40"/>
        <v>8.386369226219335</v>
      </c>
      <c r="K89" s="66">
        <f t="shared" si="41"/>
        <v>8.16</v>
      </c>
      <c r="L89" s="66">
        <f t="shared" si="58"/>
        <v>22.881514597436563</v>
      </c>
      <c r="M89" s="68">
        <f t="shared" si="43"/>
        <v>6.3659445726147039</v>
      </c>
      <c r="N89" s="273">
        <f>IF($I$2="DRT",VLOOKUP(A89,'Misc. Data &amp; Mechanisms'!$A$1381:$D$1471,2,FALSE),AX89)</f>
        <v>2.3690000000000002</v>
      </c>
      <c r="O89" s="333">
        <f t="shared" si="44"/>
        <v>35.73256959876548</v>
      </c>
      <c r="P89" s="445">
        <v>0.71499999999999997</v>
      </c>
      <c r="Q89" s="445">
        <v>0.84599999999999997</v>
      </c>
      <c r="R89" s="338">
        <f t="shared" si="24"/>
        <v>10.784629490551842</v>
      </c>
      <c r="S89" s="338">
        <f t="shared" si="25"/>
        <v>25.38</v>
      </c>
      <c r="T89" s="391">
        <f>VLOOKUP($A89,'Misc. Data &amp; Mechanisms'!$A$63:$DY$152,HLOOKUP('Service Zone Menu'!$X$3&amp;"_ATCO-N_NG_Y_1",'Misc. Data &amp; Mechanisms'!$A$55:$DY$62,8,FALSE), FALSE)</f>
        <v>0.32900000000000001</v>
      </c>
      <c r="U89" s="205">
        <f>VLOOKUP($A89,'Misc. Data &amp; Mechanisms'!$A$63:$DY$152,HLOOKUP('Service Zone Menu'!$X$3&amp;"_ATCO-N_NG_Y_2",'Misc. Data &amp; Mechanisms'!$A$55:$DY$62,8,FALSE), FALSE)</f>
        <v>0.03</v>
      </c>
      <c r="V89" s="425">
        <f>IF(OR('Service Zone Menu'!$X$3="Fort McMurray",AND('Service Zone Menu'!$X$3="Spruce Grove", $A89&lt;DATE(2019, 5, 1))),$T89*($G89+$H89+$J89), $T89*($H89+$J89))</f>
        <v>14.657278577817717</v>
      </c>
      <c r="W89" s="333">
        <f t="shared" si="26"/>
        <v>1.3365299615031352</v>
      </c>
      <c r="X89" s="426"/>
      <c r="Y89" s="386"/>
      <c r="Z89" s="386"/>
      <c r="AA89" s="445">
        <v>0.55600000000000005</v>
      </c>
      <c r="AB89" s="278"/>
      <c r="AC89" s="278"/>
      <c r="AD89" s="278"/>
      <c r="AE89" s="278"/>
      <c r="AF89" s="425">
        <f t="shared" si="27"/>
        <v>0</v>
      </c>
      <c r="AG89" s="425">
        <f t="shared" si="28"/>
        <v>0</v>
      </c>
      <c r="AH89" s="425">
        <f t="shared" si="29"/>
        <v>8.386369226219335</v>
      </c>
      <c r="AI89" s="425">
        <f t="shared" si="30"/>
        <v>0</v>
      </c>
      <c r="AJ89" s="425">
        <f t="shared" si="59"/>
        <v>0</v>
      </c>
      <c r="AK89" s="425">
        <f t="shared" si="60"/>
        <v>0</v>
      </c>
      <c r="AL89" s="552">
        <f t="shared" si="47"/>
        <v>0</v>
      </c>
      <c r="AM89" s="200">
        <f>IF($I$2="DRT",VLOOKUP(A89,'Misc. Data &amp; Mechanisms'!$A$1483:$H$1574,6,FALSE),AY89)</f>
        <v>0.27200000000000002</v>
      </c>
      <c r="AN89" s="333">
        <f t="shared" si="48"/>
        <v>8.16</v>
      </c>
      <c r="AO89" s="445">
        <v>1.5169999999999999</v>
      </c>
      <c r="AP89" s="333">
        <f t="shared" si="61"/>
        <v>22.881514597436563</v>
      </c>
      <c r="AQ89" s="340">
        <f>5%</f>
        <v>0.05</v>
      </c>
      <c r="AR89" s="341">
        <f>'Misc. Data &amp; Mechanisms'!AL362</f>
        <v>15.276080832823025</v>
      </c>
      <c r="AS89" s="449">
        <f>'Misc. Data &amp; Mechanisms'!AQ362</f>
        <v>14.940756408765644</v>
      </c>
      <c r="AT89" s="449">
        <f>'Misc. Data &amp; Mechanisms'!W362</f>
        <v>15.083397888883695</v>
      </c>
      <c r="AU89" s="449">
        <f>'Misc. Data &amp; Mechanisms'!X362</f>
        <v>9.6333868003136782</v>
      </c>
      <c r="AV89" s="1460">
        <f>'Misc. Data &amp; Mechanisms'!$B$260</f>
        <v>10.198990303636064</v>
      </c>
      <c r="AW89" s="197">
        <f>IFERROR(IF('Personalized Bill Menu'!$B$30="Yes", IF('Personalized Bill Menu'!$B$34="Natural Gas",VLOOKUP($A89, 'Personalized Bill Menu'!$H$4:$L$93, 2, FALSE), IF('Personalized Bill Menu'!$B$34="Both",VLOOKUP($A89,'Personalized Bill Menu'!$H$4:$P$93, 6, FALSE), 0)), 0),0)</f>
        <v>0</v>
      </c>
      <c r="AX89" s="1343">
        <f>IFERROR(IF('Personalized Bill Menu'!$C$37="Custom", IF('Personalized Bill Menu'!$B$34="Natural Gas",VLOOKUP($A89, 'Personalized Bill Menu'!$H$4:$L$93, 3, FALSE), IF('Personalized Bill Menu'!$B$34="Both",VLOOKUP($A89,'Personalized Bill Menu'!$H$4:$P$93, 7, FALSE), 0)), 0),0)</f>
        <v>0</v>
      </c>
      <c r="AY89" s="1344">
        <f>IFERROR(IF('Personalized Bill Menu'!$C$37="Custom", IF('Personalized Bill Menu'!$B$34="Natural Gas",VLOOKUP($A89, 'Personalized Bill Menu'!$H$4:$L$93, 4, FALSE), IF('Personalized Bill Menu'!$B$34="Both",VLOOKUP($A89,'Personalized Bill Menu'!$H$4:$P$93, 8, FALSE), 0)), 0),0)</f>
        <v>0</v>
      </c>
    </row>
    <row r="90" spans="1:51" x14ac:dyDescent="0.35">
      <c r="A90" s="435">
        <v>43435</v>
      </c>
      <c r="B90" s="436">
        <f t="shared" si="35"/>
        <v>31</v>
      </c>
      <c r="C90" s="231">
        <f t="shared" si="36"/>
        <v>18.833652993619268</v>
      </c>
      <c r="D90" s="344">
        <f t="shared" si="37"/>
        <v>7.9678364722383472</v>
      </c>
      <c r="E90" s="344">
        <f>(1+$AQ90)*IF(OR('Service Zone Menu'!$X$3="Fort McMurray",AND('Service Zone Menu'!$X$3="Spruce Grove", $A90&lt;DATE(2019, 5, 1))),((((1+$T90)*($P90+$N90)))+($U90*$P90)+((1+$T90+$U90)*($Y90+$Z90+$AA90+$AB90)) + $AO90),($N90+((1+$T90+$U90)*$P90)+((1+$T90+$U90)*($Y90+$Z90+$AA90+$AB90)) + $AO90))</f>
        <v>5.5107034500000003</v>
      </c>
      <c r="F90" s="437">
        <f t="shared" si="38"/>
        <v>150.06346722804054</v>
      </c>
      <c r="G90" s="343">
        <f t="shared" si="39"/>
        <v>37.742640599213011</v>
      </c>
      <c r="H90" s="344">
        <f t="shared" si="32"/>
        <v>39.69206189043777</v>
      </c>
      <c r="I90" s="344">
        <f t="shared" si="33"/>
        <v>18.008722690805541</v>
      </c>
      <c r="J90" s="344">
        <f t="shared" si="40"/>
        <v>10.471511064452313</v>
      </c>
      <c r="K90" s="344">
        <f t="shared" si="41"/>
        <v>8.4320000000000004</v>
      </c>
      <c r="L90" s="344">
        <f t="shared" si="58"/>
        <v>28.570651591320427</v>
      </c>
      <c r="M90" s="345">
        <f t="shared" si="43"/>
        <v>7.1458793918114543</v>
      </c>
      <c r="N90" s="1243">
        <f>IF($I$2="DRT",VLOOKUP(A90,'Misc. Data &amp; Mechanisms'!$A$1381:$D$1471,2,FALSE),AX90)</f>
        <v>2.004</v>
      </c>
      <c r="O90" s="346">
        <f t="shared" si="44"/>
        <v>37.742640599213011</v>
      </c>
      <c r="P90" s="1501">
        <v>0.71499999999999997</v>
      </c>
      <c r="Q90" s="1501">
        <v>0.84599999999999997</v>
      </c>
      <c r="R90" s="349">
        <f t="shared" si="24"/>
        <v>13.466061890437775</v>
      </c>
      <c r="S90" s="349">
        <f t="shared" si="25"/>
        <v>26.225999999999999</v>
      </c>
      <c r="T90" s="394">
        <f>VLOOKUP($A90,'Misc. Data &amp; Mechanisms'!$A$63:$DY$152,HLOOKUP('Service Zone Menu'!$X$3&amp;"_ATCO-N_NG_Y_1",'Misc. Data &amp; Mechanisms'!$A$55:$DY$62,8,FALSE), FALSE)</f>
        <v>0.32900000000000001</v>
      </c>
      <c r="U90" s="246">
        <f>VLOOKUP($A90,'Misc. Data &amp; Mechanisms'!$A$63:$DY$152,HLOOKUP('Service Zone Menu'!$X$3&amp;"_ATCO-N_NG_Y_2",'Misc. Data &amp; Mechanisms'!$A$55:$DY$62,8,FALSE), FALSE)</f>
        <v>0.03</v>
      </c>
      <c r="V90" s="440">
        <f>IF(OR('Service Zone Menu'!$X$3="Fort McMurray",AND('Service Zone Menu'!$X$3="Spruce Grove", $A90&lt;DATE(2019, 5, 1))),$T90*($G90+$H90+$J90), $T90*($H90+$J90))</f>
        <v>16.50381550215884</v>
      </c>
      <c r="W90" s="346">
        <f t="shared" si="26"/>
        <v>1.5049071886467025</v>
      </c>
      <c r="X90" s="439"/>
      <c r="Y90" s="399"/>
      <c r="Z90" s="399"/>
      <c r="AA90" s="1501">
        <v>0.55600000000000005</v>
      </c>
      <c r="AB90" s="283"/>
      <c r="AC90" s="283"/>
      <c r="AD90" s="283"/>
      <c r="AE90" s="283"/>
      <c r="AF90" s="440">
        <f t="shared" si="27"/>
        <v>0</v>
      </c>
      <c r="AG90" s="440">
        <f t="shared" si="28"/>
        <v>0</v>
      </c>
      <c r="AH90" s="440">
        <f t="shared" si="29"/>
        <v>10.471511064452313</v>
      </c>
      <c r="AI90" s="440">
        <f t="shared" si="30"/>
        <v>0</v>
      </c>
      <c r="AJ90" s="440">
        <f t="shared" si="59"/>
        <v>0</v>
      </c>
      <c r="AK90" s="440">
        <f t="shared" si="60"/>
        <v>0</v>
      </c>
      <c r="AL90" s="558">
        <f t="shared" si="47"/>
        <v>0</v>
      </c>
      <c r="AM90" s="239">
        <f>IF($I$2="DRT",VLOOKUP(A90,'Misc. Data &amp; Mechanisms'!$A$1483:$H$1574,6,FALSE),AY90)</f>
        <v>0.27200000000000002</v>
      </c>
      <c r="AN90" s="346">
        <f t="shared" si="48"/>
        <v>8.4320000000000004</v>
      </c>
      <c r="AO90" s="1501">
        <v>1.5169999999999999</v>
      </c>
      <c r="AP90" s="346">
        <f t="shared" si="61"/>
        <v>28.570651591320427</v>
      </c>
      <c r="AQ90" s="351">
        <f>5%</f>
        <v>0.05</v>
      </c>
      <c r="AR90" s="352">
        <f>'Misc. Data &amp; Mechanisms'!AL363</f>
        <v>19.074243590690024</v>
      </c>
      <c r="AS90" s="1566">
        <f>'Misc. Data &amp; Mechanisms'!AQ363</f>
        <v>18.333729949125683</v>
      </c>
      <c r="AT90" s="1566">
        <f>'Misc. Data &amp; Mechanisms'!W363</f>
        <v>18.833652993619268</v>
      </c>
      <c r="AU90" s="1566">
        <f>'Misc. Data &amp; Mechanisms'!X363</f>
        <v>12.028580395942045</v>
      </c>
      <c r="AV90" s="1461">
        <f>'Misc. Data &amp; Mechanisms'!$B$260</f>
        <v>10.198990303636064</v>
      </c>
      <c r="AW90" s="243">
        <f>IFERROR(IF('Personalized Bill Menu'!$B$30="Yes", IF('Personalized Bill Menu'!$B$34="Natural Gas",VLOOKUP($A90, 'Personalized Bill Menu'!$H$4:$L$93, 2, FALSE), IF('Personalized Bill Menu'!$B$34="Both",VLOOKUP($A90,'Personalized Bill Menu'!$H$4:$P$93, 6, FALSE), 0)), 0),0)</f>
        <v>0</v>
      </c>
      <c r="AX90" s="1560">
        <f>IFERROR(IF('Personalized Bill Menu'!$C$37="Custom", IF('Personalized Bill Menu'!$B$34="Natural Gas",VLOOKUP($A90, 'Personalized Bill Menu'!$H$4:$L$93, 3, FALSE), IF('Personalized Bill Menu'!$B$34="Both",VLOOKUP($A90,'Personalized Bill Menu'!$H$4:$P$93, 7, FALSE), 0)), 0),0)</f>
        <v>0</v>
      </c>
      <c r="AY90" s="1346">
        <f>IFERROR(IF('Personalized Bill Menu'!$C$37="Custom", IF('Personalized Bill Menu'!$B$34="Natural Gas",VLOOKUP($A90, 'Personalized Bill Menu'!$H$4:$L$93, 4, FALSE), IF('Personalized Bill Menu'!$B$34="Both",VLOOKUP($A90,'Personalized Bill Menu'!$H$4:$P$93, 8, FALSE), 0)), 0),0)</f>
        <v>0</v>
      </c>
    </row>
    <row r="91" spans="1:51" x14ac:dyDescent="0.35">
      <c r="A91" s="428">
        <v>43466</v>
      </c>
      <c r="B91" s="429">
        <f t="shared" si="35"/>
        <v>31</v>
      </c>
      <c r="C91" s="212">
        <f t="shared" si="36"/>
        <v>19.036964477860536</v>
      </c>
      <c r="D91" s="353">
        <f t="shared" si="37"/>
        <v>8.0006246477763643</v>
      </c>
      <c r="E91" s="353">
        <f>(1+$AQ91)*IF(OR('Service Zone Menu'!$X$3="Fort McMurray",AND('Service Zone Menu'!$X$3="Spruce Grove", $A91&lt;DATE(2019, 5, 1))),((((1+$T91)*($P91+$N91)))+($U91*$P91)+((1+$T91+$U91)*($Y91+$Z91+$AA91+$AB91)) + $AO91),($N91+((1+$T91+$U91)*$P91)+((1+$T91+$U91)*($Y91+$Z91+$AA91+$AB91)) + $AO91))</f>
        <v>5.2585680000000004</v>
      </c>
      <c r="F91" s="430">
        <f t="shared" si="38"/>
        <v>152.30760722041413</v>
      </c>
      <c r="G91" s="356">
        <f t="shared" si="39"/>
        <v>28.84100118395871</v>
      </c>
      <c r="H91" s="353">
        <f t="shared" si="32"/>
        <v>44.935271948270014</v>
      </c>
      <c r="I91" s="353">
        <f t="shared" si="33"/>
        <v>21.726854590272591</v>
      </c>
      <c r="J91" s="353">
        <f t="shared" si="40"/>
        <v>12.240661184026276</v>
      </c>
      <c r="K91" s="353">
        <f t="shared" si="41"/>
        <v>8.4320000000000004</v>
      </c>
      <c r="L91" s="353">
        <f t="shared" ref="L91:L93" si="62">AP91</f>
        <v>28.879075112914432</v>
      </c>
      <c r="M91" s="357">
        <f t="shared" si="43"/>
        <v>7.2527432009721018</v>
      </c>
      <c r="N91" s="1244">
        <f>IF($I$2="DRT",VLOOKUP(A91,'Misc. Data &amp; Mechanisms'!$A$1381:$D$1471,2,FALSE),AX91)</f>
        <v>1.5149999999999999</v>
      </c>
      <c r="O91" s="354">
        <f t="shared" si="44"/>
        <v>28.84100118395871</v>
      </c>
      <c r="P91" s="431">
        <v>0.84599999999999997</v>
      </c>
      <c r="Q91" s="288">
        <v>0.93</v>
      </c>
      <c r="R91" s="354">
        <f t="shared" si="24"/>
        <v>16.105271948270012</v>
      </c>
      <c r="S91" s="354">
        <f t="shared" si="25"/>
        <v>28.830000000000002</v>
      </c>
      <c r="T91" s="391">
        <f>VLOOKUP($A91,'Misc. Data &amp; Mechanisms'!$A$63:$DY$152,HLOOKUP('Service Zone Menu'!$X$3&amp;"_ATCO-N_NG_Y_1",'Misc. Data &amp; Mechanisms'!$A$55:$DY$62,8,FALSE), FALSE)</f>
        <v>0.35</v>
      </c>
      <c r="U91" s="205">
        <f>VLOOKUP($A91,'Misc. Data &amp; Mechanisms'!$A$63:$DY$152,HLOOKUP('Service Zone Menu'!$X$3&amp;"_ATCO-N_NG_Y_2",'Misc. Data &amp; Mechanisms'!$A$55:$DY$62,8,FALSE), FALSE)</f>
        <v>0.03</v>
      </c>
      <c r="V91" s="433">
        <f>IF(OR('Service Zone Menu'!$X$3="Fort McMurray",AND('Service Zone Menu'!$X$3="Spruce Grove", $A91&lt;DATE(2019, 5, 1))),$T91*($G91+$H91+$J91), $T91*($H91+$J91))</f>
        <v>20.011576596303701</v>
      </c>
      <c r="W91" s="354">
        <f t="shared" si="26"/>
        <v>1.7152779939688887</v>
      </c>
      <c r="X91" s="432">
        <v>3.5000000000000003E-2</v>
      </c>
      <c r="Y91" s="397">
        <v>0.03</v>
      </c>
      <c r="Z91" s="397"/>
      <c r="AA91" s="288">
        <v>0.55600000000000005</v>
      </c>
      <c r="AB91" s="288"/>
      <c r="AC91" s="288"/>
      <c r="AD91" s="288"/>
      <c r="AE91" s="288"/>
      <c r="AF91" s="433">
        <f t="shared" si="27"/>
        <v>1.6561089343358164</v>
      </c>
      <c r="AG91" s="433">
        <f t="shared" si="28"/>
        <v>0</v>
      </c>
      <c r="AH91" s="433">
        <f t="shared" si="29"/>
        <v>10.584552249690459</v>
      </c>
      <c r="AI91" s="433">
        <f t="shared" si="30"/>
        <v>0</v>
      </c>
      <c r="AJ91" s="433">
        <f t="shared" ref="AJ91:AJ93" si="63">AC91</f>
        <v>0</v>
      </c>
      <c r="AK91" s="433">
        <f t="shared" ref="AK91:AK93" si="64">AD91*B91</f>
        <v>0</v>
      </c>
      <c r="AL91" s="433">
        <f t="shared" si="47"/>
        <v>0</v>
      </c>
      <c r="AM91" s="200">
        <f>IF($I$2="DRT",VLOOKUP(A91,'Misc. Data &amp; Mechanisms'!$A$1483:$H$1574,6,FALSE),AY91)</f>
        <v>0.27200000000000002</v>
      </c>
      <c r="AN91" s="333">
        <f t="shared" si="48"/>
        <v>8.4320000000000004</v>
      </c>
      <c r="AO91" s="295">
        <v>1.5169999999999999</v>
      </c>
      <c r="AP91" s="355">
        <f t="shared" si="61"/>
        <v>28.879075112914432</v>
      </c>
      <c r="AQ91" s="358">
        <f>5%</f>
        <v>0.05</v>
      </c>
      <c r="AR91" s="359">
        <f>'Misc. Data &amp; Mechanisms'!AL364</f>
        <v>19.280152278532821</v>
      </c>
      <c r="AS91" s="434">
        <f>'Misc. Data &amp; Mechanisms'!AQ364</f>
        <v>18.609494087583368</v>
      </c>
      <c r="AT91" s="434">
        <f>'Misc. Data &amp; Mechanisms'!W364</f>
        <v>19.036964477860536</v>
      </c>
      <c r="AU91" s="434">
        <f>'Misc. Data &amp; Mechanisms'!X364</f>
        <v>12.158430326512761</v>
      </c>
      <c r="AV91" s="1462">
        <f>'Misc. Data &amp; Mechanisms'!$B$260</f>
        <v>10.198990303636064</v>
      </c>
      <c r="AW91" s="197">
        <f>IFERROR(IF('Personalized Bill Menu'!$B$30="Yes", IF('Personalized Bill Menu'!$B$34="Natural Gas",VLOOKUP($A91, 'Personalized Bill Menu'!$H$4:$L$93, 2, FALSE), IF('Personalized Bill Menu'!$B$34="Both",VLOOKUP($A91,'Personalized Bill Menu'!$H$4:$P$93, 6, FALSE), 0)), 0),0)</f>
        <v>0</v>
      </c>
      <c r="AX91" s="1343">
        <f>IFERROR(IF('Personalized Bill Menu'!$C$37="Custom", IF('Personalized Bill Menu'!$B$34="Natural Gas",VLOOKUP($A91, 'Personalized Bill Menu'!$H$4:$L$93, 3, FALSE), IF('Personalized Bill Menu'!$B$34="Both",VLOOKUP($A91,'Personalized Bill Menu'!$H$4:$P$93, 7, FALSE), 0)), 0),0)</f>
        <v>0</v>
      </c>
      <c r="AY91" s="1344">
        <f>IFERROR(IF('Personalized Bill Menu'!$C$37="Custom", IF('Personalized Bill Menu'!$B$34="Natural Gas",VLOOKUP($A91, 'Personalized Bill Menu'!$H$4:$L$93, 4, FALSE), IF('Personalized Bill Menu'!$B$34="Both",VLOOKUP($A91,'Personalized Bill Menu'!$H$4:$P$93, 8, FALSE), 0)), 0),0)</f>
        <v>0</v>
      </c>
    </row>
    <row r="92" spans="1:51" x14ac:dyDescent="0.35">
      <c r="A92" s="427">
        <v>43497</v>
      </c>
      <c r="B92" s="85">
        <f t="shared" si="35"/>
        <v>28</v>
      </c>
      <c r="C92" s="226">
        <f t="shared" si="36"/>
        <v>25.865968042351199</v>
      </c>
      <c r="D92" s="66">
        <f t="shared" si="37"/>
        <v>7.7499059677534712</v>
      </c>
      <c r="E92" s="66">
        <f>(1+$AQ92)*IF(OR('Service Zone Menu'!$X$3="Fort McMurray",AND('Service Zone Menu'!$X$3="Spruce Grove", $A92&lt;DATE(2019, 5, 1))),((((1+$T92)*($P92+$N92)))+($U92*$P92)+((1+$T92+$U92)*($Y92+$Z92+$AA92+$AB92)) + $AO92),($N92+((1+$T92+$U92)*$P92)+((1+$T92+$U92)*($Y92+$Z92+$AA92+$AB92)) + $AO92))</f>
        <v>5.772354</v>
      </c>
      <c r="F92" s="400">
        <f t="shared" si="38"/>
        <v>200.45882009313812</v>
      </c>
      <c r="G92" s="115">
        <f t="shared" si="39"/>
        <v>51.473276404278884</v>
      </c>
      <c r="H92" s="66">
        <f t="shared" si="32"/>
        <v>47.92260896382912</v>
      </c>
      <c r="I92" s="66">
        <f t="shared" si="33"/>
        <v>25.977145832292297</v>
      </c>
      <c r="J92" s="66">
        <f t="shared" si="40"/>
        <v>18.685457272817807</v>
      </c>
      <c r="K92" s="66">
        <f t="shared" si="41"/>
        <v>7.6160000000000005</v>
      </c>
      <c r="L92" s="66">
        <f t="shared" si="62"/>
        <v>39.238673520246763</v>
      </c>
      <c r="M92" s="68">
        <f t="shared" si="43"/>
        <v>9.5456580996732452</v>
      </c>
      <c r="N92" s="273">
        <f>IF($I$2="DRT",VLOOKUP(A92,'Misc. Data &amp; Mechanisms'!$A$1381:$D$1471,2,FALSE),AX92)</f>
        <v>1.99</v>
      </c>
      <c r="O92" s="338">
        <f t="shared" si="44"/>
        <v>51.473276404278884</v>
      </c>
      <c r="P92" s="387">
        <v>0.84599999999999997</v>
      </c>
      <c r="Q92" s="278">
        <v>0.93</v>
      </c>
      <c r="R92" s="338">
        <f t="shared" si="24"/>
        <v>21.882608963829114</v>
      </c>
      <c r="S92" s="338">
        <f t="shared" si="25"/>
        <v>26.040000000000003</v>
      </c>
      <c r="T92" s="391">
        <f>VLOOKUP($A92,'Misc. Data &amp; Mechanisms'!$A$63:$DY$152,HLOOKUP('Service Zone Menu'!$X$3&amp;"_ATCO-N_NG_Y_1",'Misc. Data &amp; Mechanisms'!$A$55:$DY$62,8,FALSE), FALSE)</f>
        <v>0.35</v>
      </c>
      <c r="U92" s="205">
        <f>VLOOKUP($A92,'Misc. Data &amp; Mechanisms'!$A$63:$DY$152,HLOOKUP('Service Zone Menu'!$X$3&amp;"_ATCO-N_NG_Y_2",'Misc. Data &amp; Mechanisms'!$A$55:$DY$62,8,FALSE), FALSE)</f>
        <v>0.04</v>
      </c>
      <c r="V92" s="425">
        <f>IF(OR('Service Zone Menu'!$X$3="Fort McMurray",AND('Service Zone Menu'!$X$3="Spruce Grove", $A92&lt;DATE(2019, 5, 1))),$T92*($G92+$H92+$J92), $T92*($H92+$J92))</f>
        <v>23.312823182826421</v>
      </c>
      <c r="W92" s="338">
        <f t="shared" si="26"/>
        <v>2.6643226494658769</v>
      </c>
      <c r="X92" s="426">
        <v>3.5000000000000003E-2</v>
      </c>
      <c r="Y92" s="386">
        <v>0.03</v>
      </c>
      <c r="Z92" s="386"/>
      <c r="AA92" s="278">
        <v>0.55600000000000005</v>
      </c>
      <c r="AB92" s="278"/>
      <c r="AC92" s="278"/>
      <c r="AD92" s="278"/>
      <c r="AE92" s="278">
        <v>9.0999999999999998E-2</v>
      </c>
      <c r="AF92" s="425">
        <f t="shared" si="27"/>
        <v>1.7559790412705361</v>
      </c>
      <c r="AG92" s="425">
        <f t="shared" si="28"/>
        <v>0</v>
      </c>
      <c r="AH92" s="425">
        <f t="shared" si="29"/>
        <v>14.381478231547268</v>
      </c>
      <c r="AI92" s="425">
        <f t="shared" si="30"/>
        <v>0</v>
      </c>
      <c r="AJ92" s="425">
        <f t="shared" si="63"/>
        <v>0</v>
      </c>
      <c r="AK92" s="425">
        <f t="shared" si="64"/>
        <v>0</v>
      </c>
      <c r="AL92" s="425">
        <f t="shared" si="47"/>
        <v>2.548</v>
      </c>
      <c r="AM92" s="200">
        <f>IF($I$2="DRT",VLOOKUP(A92,'Misc. Data &amp; Mechanisms'!$A$1483:$H$1574,6,FALSE),AY92)</f>
        <v>0.27200000000000002</v>
      </c>
      <c r="AN92" s="333">
        <f t="shared" si="48"/>
        <v>7.6160000000000005</v>
      </c>
      <c r="AO92" s="296">
        <v>1.5169999999999999</v>
      </c>
      <c r="AP92" s="333">
        <f t="shared" si="61"/>
        <v>39.238673520246763</v>
      </c>
      <c r="AQ92" s="340">
        <f>5%</f>
        <v>0.05</v>
      </c>
      <c r="AR92" s="341">
        <f>'Misc. Data &amp; Mechanisms'!AL365</f>
        <v>26.196392984194969</v>
      </c>
      <c r="AS92" s="424">
        <f>'Misc. Data &amp; Mechanisms'!AQ365</f>
        <v>26.259910858269127</v>
      </c>
      <c r="AT92" s="424">
        <f>'Misc. Data &amp; Mechanisms'!W365</f>
        <v>25.865968042351199</v>
      </c>
      <c r="AU92" s="424">
        <f>'Misc. Data &amp; Mechanisms'!X365</f>
        <v>16.519943115745967</v>
      </c>
      <c r="AV92" s="1460">
        <f>'Misc. Data &amp; Mechanisms'!$B$260</f>
        <v>10.198990303636064</v>
      </c>
      <c r="AW92" s="197">
        <f>IFERROR(IF('Personalized Bill Menu'!$B$30="Yes", IF('Personalized Bill Menu'!$B$34="Natural Gas",VLOOKUP($A92, 'Personalized Bill Menu'!$H$4:$L$93, 2, FALSE), IF('Personalized Bill Menu'!$B$34="Both",VLOOKUP($A92,'Personalized Bill Menu'!$H$4:$P$93, 6, FALSE), 0)), 0),0)</f>
        <v>0</v>
      </c>
      <c r="AX92" s="1343">
        <f>IFERROR(IF('Personalized Bill Menu'!$C$37="Custom", IF('Personalized Bill Menu'!$B$34="Natural Gas",VLOOKUP($A92, 'Personalized Bill Menu'!$H$4:$L$93, 3, FALSE), IF('Personalized Bill Menu'!$B$34="Both",VLOOKUP($A92,'Personalized Bill Menu'!$H$4:$P$93, 7, FALSE), 0)), 0),0)</f>
        <v>0</v>
      </c>
      <c r="AY92" s="1344">
        <f>IFERROR(IF('Personalized Bill Menu'!$C$37="Custom", IF('Personalized Bill Menu'!$B$34="Natural Gas",VLOOKUP($A92, 'Personalized Bill Menu'!$H$4:$L$93, 4, FALSE), IF('Personalized Bill Menu'!$B$34="Both",VLOOKUP($A92,'Personalized Bill Menu'!$H$4:$P$93, 8, FALSE), 0)), 0),0)</f>
        <v>0</v>
      </c>
    </row>
    <row r="93" spans="1:51" x14ac:dyDescent="0.35">
      <c r="A93" s="427">
        <v>43525</v>
      </c>
      <c r="B93" s="85">
        <f t="shared" si="35"/>
        <v>31</v>
      </c>
      <c r="C93" s="226">
        <f t="shared" si="36"/>
        <v>15.306960489283114</v>
      </c>
      <c r="D93" s="66">
        <f t="shared" si="37"/>
        <v>11.314152175895089</v>
      </c>
      <c r="E93" s="66">
        <f>(1+$AQ93)*IF(OR('Service Zone Menu'!$X$3="Fort McMurray",AND('Service Zone Menu'!$X$3="Spruce Grove", $A93&lt;DATE(2019, 5, 1))),((((1+$T93)*($P93+$N93)))+($U93*$P93)+((1+$T93+$U93)*($Y93+$Z93+$AA93+$AB93)) + $AO93),($N93+((1+$T93+$U93)*$P93)+((1+$T93+$U93)*($Y93+$Z93+$AA93+$AB93)) + $AO93))</f>
        <v>7.6144110000000005</v>
      </c>
      <c r="F93" s="400">
        <f t="shared" si="38"/>
        <v>173.18528032616268</v>
      </c>
      <c r="G93" s="115">
        <f t="shared" si="39"/>
        <v>48.676134355920304</v>
      </c>
      <c r="H93" s="66">
        <f t="shared" si="32"/>
        <v>41.779688573933512</v>
      </c>
      <c r="I93" s="66">
        <f t="shared" si="33"/>
        <v>23.739375417927921</v>
      </c>
      <c r="J93" s="66">
        <f>SUM($AF93:$AL93)</f>
        <v>19.090504805368852</v>
      </c>
      <c r="K93" s="66">
        <f t="shared" si="41"/>
        <v>8.4320000000000004</v>
      </c>
      <c r="L93" s="66">
        <f t="shared" si="62"/>
        <v>23.220659062242483</v>
      </c>
      <c r="M93" s="68">
        <f t="shared" si="43"/>
        <v>8.2469181107696521</v>
      </c>
      <c r="N93" s="273">
        <f>IF($I$2="DRT",VLOOKUP(A93,'Misc. Data &amp; Mechanisms'!$A$1381:$D$1471,2,FALSE),AX93)</f>
        <v>3.18</v>
      </c>
      <c r="O93" s="338">
        <f t="shared" si="44"/>
        <v>48.676134355920304</v>
      </c>
      <c r="P93" s="387">
        <v>0.84599999999999997</v>
      </c>
      <c r="Q93" s="278">
        <v>0.93</v>
      </c>
      <c r="R93" s="338">
        <f t="shared" si="24"/>
        <v>12.949688573933514</v>
      </c>
      <c r="S93" s="338">
        <f t="shared" si="25"/>
        <v>28.830000000000002</v>
      </c>
      <c r="T93" s="391">
        <f>VLOOKUP($A93,'Misc. Data &amp; Mechanisms'!$A$63:$DY$152,HLOOKUP('Service Zone Menu'!$X$3&amp;"_ATCO-N_NG_Y_1",'Misc. Data &amp; Mechanisms'!$A$55:$DY$62,8,FALSE), FALSE)</f>
        <v>0.35</v>
      </c>
      <c r="U93" s="205">
        <f>VLOOKUP($A93,'Misc. Data &amp; Mechanisms'!$A$63:$DY$152,HLOOKUP('Service Zone Menu'!$X$3&amp;"_ATCO-N_NG_Y_2",'Misc. Data &amp; Mechanisms'!$A$55:$DY$62,8,FALSE), FALSE)</f>
        <v>0.04</v>
      </c>
      <c r="V93" s="425">
        <f>IF(OR('Service Zone Menu'!$X$3="Fort McMurray",AND('Service Zone Menu'!$X$3="Spruce Grove", $A93&lt;DATE(2019, 5, 1))),$T93*($G93+$H93+$J93), $T93*($H93+$J93))</f>
        <v>21.304567682755827</v>
      </c>
      <c r="W93" s="338">
        <f t="shared" si="26"/>
        <v>2.4348077351720945</v>
      </c>
      <c r="X93" s="426">
        <v>3.5000000000000003E-2</v>
      </c>
      <c r="Y93" s="386">
        <v>0.03</v>
      </c>
      <c r="Z93" s="386"/>
      <c r="AA93" s="278">
        <v>0.96199999999999997</v>
      </c>
      <c r="AB93" s="278"/>
      <c r="AC93" s="278"/>
      <c r="AD93" s="278"/>
      <c r="AE93" s="278">
        <v>9.0999999999999998E-2</v>
      </c>
      <c r="AF93" s="425">
        <f t="shared" si="27"/>
        <v>1.5442088146784936</v>
      </c>
      <c r="AG93" s="425">
        <f t="shared" si="28"/>
        <v>0</v>
      </c>
      <c r="AH93" s="425">
        <f t="shared" si="29"/>
        <v>14.725295990690356</v>
      </c>
      <c r="AI93" s="425">
        <f t="shared" si="30"/>
        <v>0</v>
      </c>
      <c r="AJ93" s="425">
        <f t="shared" si="63"/>
        <v>0</v>
      </c>
      <c r="AK93" s="425">
        <f t="shared" si="64"/>
        <v>0</v>
      </c>
      <c r="AL93" s="425">
        <f>AE93*B93</f>
        <v>2.8209999999999997</v>
      </c>
      <c r="AM93" s="200">
        <f>IF($I$2="DRT",VLOOKUP(A93,'Misc. Data &amp; Mechanisms'!$A$1483:$H$1574,6,FALSE),AY93)</f>
        <v>0.27200000000000002</v>
      </c>
      <c r="AN93" s="333">
        <f t="shared" si="48"/>
        <v>8.4320000000000004</v>
      </c>
      <c r="AO93" s="296">
        <v>1.5169999999999999</v>
      </c>
      <c r="AP93" s="333">
        <f t="shared" si="61"/>
        <v>23.220659062242483</v>
      </c>
      <c r="AQ93" s="340">
        <f>5%</f>
        <v>0.05</v>
      </c>
      <c r="AR93" s="341">
        <f>'Misc. Data &amp; Mechanisms'!AL366</f>
        <v>15.50249933481153</v>
      </c>
      <c r="AS93" s="424">
        <f>'Misc. Data &amp; Mechanisms'!AQ366</f>
        <v>15.797501851450116</v>
      </c>
      <c r="AT93" s="424">
        <f>'Misc. Data &amp; Mechanisms'!W366</f>
        <v>15.306960489283114</v>
      </c>
      <c r="AU93" s="424">
        <f>'Misc. Data &amp; Mechanisms'!X366</f>
        <v>9.7761706093464422</v>
      </c>
      <c r="AV93" s="1460">
        <f>'Misc. Data &amp; Mechanisms'!$B$260</f>
        <v>10.198990303636064</v>
      </c>
      <c r="AW93" s="197">
        <f>IFERROR(IF('Personalized Bill Menu'!$B$30="Yes", IF('Personalized Bill Menu'!$B$34="Natural Gas",VLOOKUP($A93, 'Personalized Bill Menu'!$H$4:$L$93, 2, FALSE), IF('Personalized Bill Menu'!$B$34="Both",VLOOKUP($A93,'Personalized Bill Menu'!$H$4:$P$93, 6, FALSE), 0)), 0),0)</f>
        <v>0</v>
      </c>
      <c r="AX93" s="1343">
        <f>IFERROR(IF('Personalized Bill Menu'!$C$37="Custom", IF('Personalized Bill Menu'!$B$34="Natural Gas",VLOOKUP($A93, 'Personalized Bill Menu'!$H$4:$L$93, 3, FALSE), IF('Personalized Bill Menu'!$B$34="Both",VLOOKUP($A93,'Personalized Bill Menu'!$H$4:$P$93, 7, FALSE), 0)), 0),0)</f>
        <v>0</v>
      </c>
      <c r="AY93" s="1344">
        <f>IFERROR(IF('Personalized Bill Menu'!$C$37="Custom", IF('Personalized Bill Menu'!$B$34="Natural Gas",VLOOKUP($A93, 'Personalized Bill Menu'!$H$4:$L$93, 4, FALSE), IF('Personalized Bill Menu'!$B$34="Both",VLOOKUP($A93,'Personalized Bill Menu'!$H$4:$P$93, 8, FALSE), 0)), 0),0)</f>
        <v>0</v>
      </c>
    </row>
    <row r="94" spans="1:51" x14ac:dyDescent="0.35">
      <c r="A94" s="427">
        <v>43556</v>
      </c>
      <c r="B94" s="85">
        <f t="shared" si="35"/>
        <v>30</v>
      </c>
      <c r="C94" s="1581">
        <f>IFERROR(VLOOKUP($A94,$A$5:$AW$96,MATCH($I$1,$A$5:$AW$5,0),FALSE),0)</f>
        <v>9.1362742097982412</v>
      </c>
      <c r="D94" s="66">
        <f t="shared" si="37"/>
        <v>13.308522550124463</v>
      </c>
      <c r="E94" s="66">
        <f>(1+$AQ94)*IF(OR('Service Zone Menu'!$X$3="Fort McMurray",AND('Service Zone Menu'!$X$3="Spruce Grove", $A94&lt;DATE(2019, 5, 1))),((((1+$T94)*($P94+$N94)))+($U94*$P94)+((1+$T94+$U94)*($Y94+$Z94+$AA94+$AB94)) + $AO94),($N94+((1+$T94+$U94)*$P94)+((1+$T94+$U94)*($Y94+$Z94+$AA94+$AB94)) + $AO94))</f>
        <v>7.3099109999999996</v>
      </c>
      <c r="F94" s="400">
        <f t="shared" si="38"/>
        <v>121.59031134522046</v>
      </c>
      <c r="G94" s="115">
        <f t="shared" si="39"/>
        <v>26.403832466316917</v>
      </c>
      <c r="H94" s="66">
        <f t="shared" si="32"/>
        <v>35.629287981489313</v>
      </c>
      <c r="I94" s="66">
        <f t="shared" si="33"/>
        <v>18.904264079067577</v>
      </c>
      <c r="J94" s="66">
        <f t="shared" ref="J94:J96" si="65">SUM($AF94:$AL94)</f>
        <v>12.843184016119855</v>
      </c>
      <c r="K94" s="66">
        <f t="shared" si="41"/>
        <v>8.16</v>
      </c>
      <c r="L94" s="66">
        <f t="shared" ref="L94:L96" si="66">AP94</f>
        <v>13.859727976263931</v>
      </c>
      <c r="M94" s="68">
        <f t="shared" si="43"/>
        <v>5.7900148259628788</v>
      </c>
      <c r="N94" s="273">
        <f>IF($I$2="DRT",VLOOKUP(A94,'Misc. Data &amp; Mechanisms'!$A$1381:$D$1471,2,FALSE),AX94)</f>
        <v>2.89</v>
      </c>
      <c r="O94" s="333">
        <f t="shared" si="44"/>
        <v>26.403832466316917</v>
      </c>
      <c r="P94" s="445">
        <v>0.84599999999999997</v>
      </c>
      <c r="Q94" s="445">
        <v>0.93</v>
      </c>
      <c r="R94" s="338">
        <f t="shared" si="24"/>
        <v>7.7292879814893123</v>
      </c>
      <c r="S94" s="338">
        <f t="shared" si="25"/>
        <v>27.900000000000002</v>
      </c>
      <c r="T94" s="391">
        <f>VLOOKUP($A94,'Misc. Data &amp; Mechanisms'!$A$63:$DY$152,HLOOKUP('Service Zone Menu'!$X$3&amp;"_ATCO-N_NG_Y_1",'Misc. Data &amp; Mechanisms'!$A$55:$DY$62,8,FALSE), FALSE)</f>
        <v>0.35</v>
      </c>
      <c r="U94" s="205">
        <f>VLOOKUP($A94,'Misc. Data &amp; Mechanisms'!$A$63:$DY$152,HLOOKUP('Service Zone Menu'!$X$3&amp;"_ATCO-N_NG_Y_2",'Misc. Data &amp; Mechanisms'!$A$55:$DY$62,8,FALSE), FALSE)</f>
        <v>0.04</v>
      </c>
      <c r="V94" s="425">
        <f>IF(OR('Service Zone Menu'!$X$3="Fort McMurray",AND('Service Zone Menu'!$X$3="Spruce Grove", $A94&lt;DATE(2019, 5, 1))),$T94*($G94+$H94+$J94), $T94*($H94+$J94))</f>
        <v>16.965365199163209</v>
      </c>
      <c r="W94" s="338">
        <f t="shared" si="26"/>
        <v>1.9388988799043667</v>
      </c>
      <c r="X94" s="426">
        <v>3.5000000000000003E-2</v>
      </c>
      <c r="Y94" s="386">
        <v>0.03</v>
      </c>
      <c r="Z94" s="446"/>
      <c r="AA94" s="278">
        <v>0.96199999999999997</v>
      </c>
      <c r="AB94" s="446"/>
      <c r="AC94" s="446"/>
      <c r="AD94" s="446"/>
      <c r="AE94" s="278">
        <v>9.0999999999999998E-2</v>
      </c>
      <c r="AF94" s="425">
        <f t="shared" si="27"/>
        <v>1.3240882262939473</v>
      </c>
      <c r="AG94" s="425">
        <f t="shared" si="28"/>
        <v>0</v>
      </c>
      <c r="AH94" s="425">
        <f t="shared" si="29"/>
        <v>8.7890957898259074</v>
      </c>
      <c r="AI94" s="425">
        <f t="shared" si="30"/>
        <v>0</v>
      </c>
      <c r="AJ94" s="425">
        <f t="shared" ref="AJ94:AJ96" si="67">AC94</f>
        <v>0</v>
      </c>
      <c r="AK94" s="425">
        <f t="shared" ref="AK94:AK96" si="68">AD94*B94</f>
        <v>0</v>
      </c>
      <c r="AL94" s="425">
        <f t="shared" ref="AL94:AL96" si="69">AE94*B94</f>
        <v>2.73</v>
      </c>
      <c r="AM94" s="200">
        <f>IF($I$2="DRT",VLOOKUP(A94,'Misc. Data &amp; Mechanisms'!$A$1483:$H$1574,6,FALSE),AY94)</f>
        <v>0.27200000000000002</v>
      </c>
      <c r="AN94" s="333">
        <f t="shared" si="48"/>
        <v>8.16</v>
      </c>
      <c r="AO94" s="296">
        <v>1.5169999999999999</v>
      </c>
      <c r="AP94" s="333">
        <f t="shared" si="61"/>
        <v>13.859727976263931</v>
      </c>
      <c r="AQ94" s="340">
        <f>5%</f>
        <v>0.05</v>
      </c>
      <c r="AR94" s="341">
        <f>'Misc. Data &amp; Mechanisms'!AL367</f>
        <v>9.2529855916996819</v>
      </c>
      <c r="AS94" s="424">
        <f>'Misc. Data &amp; Mechanisms'!AQ367</f>
        <v>9.4447781777164028</v>
      </c>
      <c r="AT94" s="424">
        <f>'Misc. Data &amp; Mechanisms'!W367</f>
        <v>9.1362742097982412</v>
      </c>
      <c r="AU94" s="424">
        <f>'Misc. Data &amp; Mechanisms'!X367</f>
        <v>5.8351085097066555</v>
      </c>
      <c r="AV94" s="1460">
        <f>'Misc. Data &amp; Mechanisms'!$B$260</f>
        <v>10.198990303636064</v>
      </c>
      <c r="AW94" s="197">
        <f>IFERROR(IF('Personalized Bill Menu'!$B$30="Yes", IF('Personalized Bill Menu'!$B$34="Natural Gas",VLOOKUP($A94, 'Personalized Bill Menu'!$H$4:$L$93, 2, FALSE), IF('Personalized Bill Menu'!$B$34="Both",VLOOKUP($A94,'Personalized Bill Menu'!$H$4:$P$93, 6, FALSE), 0)), 0),0)</f>
        <v>0</v>
      </c>
      <c r="AX94" s="1343">
        <f>IFERROR(IF('Personalized Bill Menu'!$C$37="Custom", IF('Personalized Bill Menu'!$B$34="Natural Gas",VLOOKUP($A94, 'Personalized Bill Menu'!$H$4:$L$93, 3, FALSE), IF('Personalized Bill Menu'!$B$34="Both",VLOOKUP($A94,'Personalized Bill Menu'!$H$4:$P$93, 7, FALSE), 0)), 0),0)</f>
        <v>0</v>
      </c>
      <c r="AY94" s="1344">
        <f>IFERROR(IF('Personalized Bill Menu'!$C$37="Custom", IF('Personalized Bill Menu'!$B$34="Natural Gas",VLOOKUP($A94, 'Personalized Bill Menu'!$H$4:$L$93, 4, FALSE), IF('Personalized Bill Menu'!$B$34="Both",VLOOKUP($A94,'Personalized Bill Menu'!$H$4:$P$93, 8, FALSE), 0)), 0),0)</f>
        <v>0</v>
      </c>
    </row>
    <row r="95" spans="1:51" x14ac:dyDescent="0.35">
      <c r="A95" s="427">
        <v>43586</v>
      </c>
      <c r="B95" s="85">
        <f t="shared" si="35"/>
        <v>31</v>
      </c>
      <c r="C95" s="1581">
        <f t="shared" ref="C95:C96" si="70">IFERROR(VLOOKUP($A95,$A$5:$AW$96,MATCH($I$1,$A$5:$AW$5,0),FALSE),0)</f>
        <v>5.5920044500849162</v>
      </c>
      <c r="D95" s="66">
        <f t="shared" si="37"/>
        <v>16.699175978281964</v>
      </c>
      <c r="E95" s="66">
        <f>(1+$AQ95)*IF(OR('Service Zone Menu'!$X$3="Fort McMurray",AND('Service Zone Menu'!$X$3="Spruce Grove", $A95&lt;DATE(2019, 5, 1))),((((1+$T95)*($P95+$N95)))+($U95*$P95)+((1+$T95+$U95)*($Y95+$Z95+$AA95+$AB95)) + $AO95),($N95+((1+$T95+$U95)*$P95)+((1+$T95+$U95)*($Y95+$Z95+$AA95+$AB95)) + $AO95))</f>
        <v>6.5718964838709679</v>
      </c>
      <c r="F95" s="400">
        <f t="shared" si="38"/>
        <v>93.381866383303873</v>
      </c>
      <c r="G95" s="115">
        <f t="shared" si="39"/>
        <v>12.777730168444034</v>
      </c>
      <c r="H95" s="66">
        <f t="shared" si="32"/>
        <v>33.560835764771838</v>
      </c>
      <c r="I95" s="66">
        <f t="shared" si="33"/>
        <v>16.775500629909867</v>
      </c>
      <c r="J95" s="66">
        <f t="shared" si="65"/>
        <v>9.4532684144842367</v>
      </c>
      <c r="K95" s="66">
        <f t="shared" si="41"/>
        <v>8.4320000000000004</v>
      </c>
      <c r="L95" s="66">
        <f t="shared" si="66"/>
        <v>7.9357758636317959</v>
      </c>
      <c r="M95" s="68">
        <f t="shared" si="43"/>
        <v>4.446755542062089</v>
      </c>
      <c r="N95" s="273">
        <f>IF($I$2="DRT",VLOOKUP(A95,'Misc. Data &amp; Mechanisms'!$A$1381:$D$1471,2,FALSE),AX95)</f>
        <v>2.2850000000000001</v>
      </c>
      <c r="O95" s="333">
        <f t="shared" si="44"/>
        <v>12.777730168444034</v>
      </c>
      <c r="P95" s="445">
        <v>0.84599999999999997</v>
      </c>
      <c r="Q95" s="445">
        <v>0.93</v>
      </c>
      <c r="R95" s="338">
        <f t="shared" si="24"/>
        <v>4.7308357647718386</v>
      </c>
      <c r="S95" s="338">
        <f t="shared" si="25"/>
        <v>28.830000000000002</v>
      </c>
      <c r="T95" s="391">
        <f>VLOOKUP($A95,'Misc. Data &amp; Mechanisms'!$A$63:$DY$152,HLOOKUP('Service Zone Menu'!$X$3&amp;"_ATCO-N_NG_Y_1",'Misc. Data &amp; Mechanisms'!$A$55:$DY$62,8,FALSE), FALSE)</f>
        <v>0.35</v>
      </c>
      <c r="U95" s="205">
        <f>VLOOKUP($A95,'Misc. Data &amp; Mechanisms'!$A$63:$DY$152,HLOOKUP('Service Zone Menu'!$X$3&amp;"_ATCO-N_NG_Y_2",'Misc. Data &amp; Mechanisms'!$A$55:$DY$62,8,FALSE), FALSE)</f>
        <v>0.04</v>
      </c>
      <c r="V95" s="425">
        <f>IF(OR('Service Zone Menu'!$X$3="Fort McMurray",AND('Service Zone Menu'!$X$3="Spruce Grove", $A95&lt;DATE(2019, 5, 1))),$T95*($G95+$H95+$J95), $T95*($H95+$J95))</f>
        <v>15.054936462739624</v>
      </c>
      <c r="W95" s="338">
        <f t="shared" si="26"/>
        <v>1.720564167170243</v>
      </c>
      <c r="X95" s="426">
        <v>3.5000000000000003E-2</v>
      </c>
      <c r="Y95" s="386">
        <v>0.03</v>
      </c>
      <c r="Z95" s="446"/>
      <c r="AA95" s="278">
        <v>0.96199999999999997</v>
      </c>
      <c r="AB95" s="446"/>
      <c r="AC95" s="446"/>
      <c r="AD95" s="446"/>
      <c r="AE95" s="278">
        <v>9.0999999999999998E-2</v>
      </c>
      <c r="AF95" s="425">
        <f t="shared" si="27"/>
        <v>1.2527601335025476</v>
      </c>
      <c r="AG95" s="425">
        <f t="shared" si="28"/>
        <v>0</v>
      </c>
      <c r="AH95" s="425">
        <f t="shared" si="29"/>
        <v>5.379508280981689</v>
      </c>
      <c r="AI95" s="425">
        <f t="shared" si="30"/>
        <v>0</v>
      </c>
      <c r="AJ95" s="425">
        <f t="shared" si="67"/>
        <v>0</v>
      </c>
      <c r="AK95" s="425">
        <f t="shared" si="68"/>
        <v>0</v>
      </c>
      <c r="AL95" s="425">
        <f t="shared" si="69"/>
        <v>2.8209999999999997</v>
      </c>
      <c r="AM95" s="200">
        <f>IF($I$2="DRT",VLOOKUP(A95,'Misc. Data &amp; Mechanisms'!$A$1483:$H$1574,6,FALSE),AY95)</f>
        <v>0.27200000000000002</v>
      </c>
      <c r="AN95" s="333">
        <f t="shared" si="48"/>
        <v>8.4320000000000004</v>
      </c>
      <c r="AO95" s="296">
        <f>((29/31)*1.517)+((2/31)*0)</f>
        <v>1.4191290322580643</v>
      </c>
      <c r="AP95" s="333">
        <f t="shared" si="61"/>
        <v>7.9357758636317959</v>
      </c>
      <c r="AQ95" s="340">
        <f>5%</f>
        <v>0.05</v>
      </c>
      <c r="AR95" s="341">
        <f>'Misc. Data &amp; Mechanisms'!AL368</f>
        <v>5.6634395397047612</v>
      </c>
      <c r="AS95" s="424">
        <f>'Misc. Data &amp; Mechanisms'!AQ368</f>
        <v>6.3638808061315242</v>
      </c>
      <c r="AT95" s="424">
        <f>'Misc. Data &amp; Mechanisms'!W368</f>
        <v>5.5920044500849162</v>
      </c>
      <c r="AU95" s="424">
        <f>'Misc. Data &amp; Mechanisms'!X368</f>
        <v>3.5714725722673508</v>
      </c>
      <c r="AV95" s="1460">
        <f>'Misc. Data &amp; Mechanisms'!$B$260</f>
        <v>10.198990303636064</v>
      </c>
      <c r="AW95" s="197">
        <f>IFERROR(IF('Personalized Bill Menu'!$B$30="Yes", IF('Personalized Bill Menu'!$B$34="Natural Gas",VLOOKUP($A95, 'Personalized Bill Menu'!$H$4:$L$93, 2, FALSE), IF('Personalized Bill Menu'!$B$34="Both",VLOOKUP($A95,'Personalized Bill Menu'!$H$4:$P$93, 6, FALSE), 0)), 0),0)</f>
        <v>0</v>
      </c>
      <c r="AX95" s="1343">
        <f>IFERROR(IF('Personalized Bill Menu'!$C$37="Custom", IF('Personalized Bill Menu'!$B$34="Natural Gas",VLOOKUP($A95, 'Personalized Bill Menu'!$H$4:$L$93, 3, FALSE), IF('Personalized Bill Menu'!$B$34="Both",VLOOKUP($A95,'Personalized Bill Menu'!$H$4:$P$93, 7, FALSE), 0)), 0),0)</f>
        <v>0</v>
      </c>
      <c r="AY95" s="1344">
        <f>IFERROR(IF('Personalized Bill Menu'!$C$37="Custom", IF('Personalized Bill Menu'!$B$34="Natural Gas",VLOOKUP($A95, 'Personalized Bill Menu'!$H$4:$L$93, 4, FALSE), IF('Personalized Bill Menu'!$B$34="Both",VLOOKUP($A95,'Personalized Bill Menu'!$H$4:$P$93, 8, FALSE), 0)), 0),0)</f>
        <v>0</v>
      </c>
    </row>
    <row r="96" spans="1:51" x14ac:dyDescent="0.35">
      <c r="A96" s="427">
        <v>43617</v>
      </c>
      <c r="B96" s="85">
        <f t="shared" si="35"/>
        <v>30</v>
      </c>
      <c r="C96" s="1581">
        <f t="shared" si="70"/>
        <v>3.4329266036515111</v>
      </c>
      <c r="D96" s="66">
        <f t="shared" si="37"/>
        <v>19.030311942637528</v>
      </c>
      <c r="E96" s="66">
        <f>(1+$AQ96)*IF(OR('Service Zone Menu'!$X$3="Fort McMurray",AND('Service Zone Menu'!$X$3="Spruce Grove", $A96&lt;DATE(2019, 5, 1))),((((1+$T96)*($P96+$N96)))+($U96*$P96)+((1+$T96+$U96)*($Y96+$Z96+$AA96+$AB96)) + $AO96),($N96+((1+$T96+$U96)*$P96)+((1+$T96+$U96)*($Y96+$Z96+$AA96+$AB96)) + $AO96))</f>
        <v>3.0658110000000001</v>
      </c>
      <c r="F96" s="400">
        <f t="shared" si="38"/>
        <v>65.329664143667443</v>
      </c>
      <c r="G96" s="115">
        <f t="shared" si="39"/>
        <v>1.2530182103328016</v>
      </c>
      <c r="H96" s="66">
        <f t="shared" si="32"/>
        <v>30.804255906689182</v>
      </c>
      <c r="I96" s="66">
        <f t="shared" si="33"/>
        <v>14.815990448029478</v>
      </c>
      <c r="J96" s="66">
        <f t="shared" si="65"/>
        <v>7.1854631908222988</v>
      </c>
      <c r="K96" s="66">
        <f t="shared" si="41"/>
        <v>8.16</v>
      </c>
      <c r="L96" s="66">
        <f t="shared" si="66"/>
        <v>0</v>
      </c>
      <c r="M96" s="68">
        <f t="shared" si="43"/>
        <v>3.110936387793688</v>
      </c>
      <c r="N96" s="273">
        <f>IF($I$2="DRT",VLOOKUP(A96,'Misc. Data &amp; Mechanisms'!$A$1381:$D$1471,2,FALSE),AX96)</f>
        <v>0.36499999999999999</v>
      </c>
      <c r="O96" s="333">
        <f t="shared" si="44"/>
        <v>1.2530182103328016</v>
      </c>
      <c r="P96" s="445">
        <v>0.84599999999999997</v>
      </c>
      <c r="Q96" s="445">
        <v>0.93</v>
      </c>
      <c r="R96" s="338">
        <f t="shared" si="24"/>
        <v>2.9042559066891784</v>
      </c>
      <c r="S96" s="338">
        <f t="shared" si="25"/>
        <v>27.900000000000002</v>
      </c>
      <c r="T96" s="391">
        <f>VLOOKUP($A96,'Misc. Data &amp; Mechanisms'!$A$63:$DY$152,HLOOKUP('Service Zone Menu'!$X$3&amp;"_ATCO-N_NG_Y_1",'Misc. Data &amp; Mechanisms'!$A$55:$DY$62,8,FALSE), FALSE)</f>
        <v>0.35</v>
      </c>
      <c r="U96" s="205">
        <f>VLOOKUP($A96,'Misc. Data &amp; Mechanisms'!$A$63:$DY$152,HLOOKUP('Service Zone Menu'!$X$3&amp;"_ATCO-N_NG_Y_2",'Misc. Data &amp; Mechanisms'!$A$55:$DY$62,8,FALSE), FALSE)</f>
        <v>0.04</v>
      </c>
      <c r="V96" s="425">
        <f>IF(OR('Service Zone Menu'!$X$3="Fort McMurray",AND('Service Zone Menu'!$X$3="Spruce Grove", $A96&lt;DATE(2019, 5, 1))),$T96*($G96+$H96+$J96), $T96*($H96+$J96))</f>
        <v>13.296401684129018</v>
      </c>
      <c r="W96" s="338">
        <f t="shared" si="26"/>
        <v>1.5195887639004593</v>
      </c>
      <c r="X96" s="426">
        <v>3.5000000000000003E-2</v>
      </c>
      <c r="Y96" s="386">
        <v>0.03</v>
      </c>
      <c r="Z96" s="446"/>
      <c r="AA96" s="278">
        <v>0.96199999999999997</v>
      </c>
      <c r="AB96" s="446"/>
      <c r="AC96" s="446"/>
      <c r="AD96" s="446"/>
      <c r="AE96" s="278">
        <v>9.0999999999999998E-2</v>
      </c>
      <c r="AF96" s="425">
        <f t="shared" si="27"/>
        <v>1.1529877981095453</v>
      </c>
      <c r="AG96" s="425">
        <f t="shared" si="28"/>
        <v>0</v>
      </c>
      <c r="AH96" s="425">
        <f t="shared" si="29"/>
        <v>3.3024753927127537</v>
      </c>
      <c r="AI96" s="425">
        <f t="shared" si="30"/>
        <v>0</v>
      </c>
      <c r="AJ96" s="425">
        <f t="shared" si="67"/>
        <v>0</v>
      </c>
      <c r="AK96" s="425">
        <f t="shared" si="68"/>
        <v>0</v>
      </c>
      <c r="AL96" s="425">
        <f t="shared" si="69"/>
        <v>2.73</v>
      </c>
      <c r="AM96" s="200">
        <f>IF($I$2="DRT",VLOOKUP(A96,'Misc. Data &amp; Mechanisms'!$A$1483:$H$1574,6,FALSE),AY96)</f>
        <v>0.27200000000000002</v>
      </c>
      <c r="AN96" s="333">
        <f t="shared" si="48"/>
        <v>8.16</v>
      </c>
      <c r="AO96" s="444"/>
      <c r="AP96" s="333">
        <f t="shared" si="61"/>
        <v>0</v>
      </c>
      <c r="AQ96" s="340">
        <f>5%</f>
        <v>0.05</v>
      </c>
      <c r="AR96" s="341">
        <f>'Misc. Data &amp; Mechanisms'!AL369</f>
        <v>3.4767805422131075</v>
      </c>
      <c r="AS96" s="424">
        <f>'Misc. Data &amp; Mechanisms'!AQ369</f>
        <v>3.6190554790336229</v>
      </c>
      <c r="AT96" s="424">
        <f>'Misc. Data &amp; Mechanisms'!W369</f>
        <v>3.4329266036515111</v>
      </c>
      <c r="AU96" s="424">
        <f>'Misc. Data &amp; Mechanisms'!X369</f>
        <v>2.1925238645620357</v>
      </c>
      <c r="AV96" s="1460">
        <f>'Misc. Data &amp; Mechanisms'!$B$260</f>
        <v>10.198990303636064</v>
      </c>
      <c r="AW96" s="197">
        <f>IFERROR(IF('Personalized Bill Menu'!$B$30="Yes", IF('Personalized Bill Menu'!$B$34="Natural Gas",VLOOKUP($A96, 'Personalized Bill Menu'!$H$4:$L$93, 2, FALSE), IF('Personalized Bill Menu'!$B$34="Both",VLOOKUP($A96,'Personalized Bill Menu'!$H$4:$P$93, 6, FALSE), 0)), 0),0)</f>
        <v>0</v>
      </c>
      <c r="AX96" s="1343">
        <f>IFERROR(IF('Personalized Bill Menu'!$C$37="Custom", IF('Personalized Bill Menu'!$B$34="Natural Gas",VLOOKUP($A96, 'Personalized Bill Menu'!$H$4:$L$93, 3, FALSE), IF('Personalized Bill Menu'!$B$34="Both",VLOOKUP($A96,'Personalized Bill Menu'!$H$4:$P$93, 7, FALSE), 0)), 0),0)</f>
        <v>0</v>
      </c>
      <c r="AY96" s="1344">
        <f>IFERROR(IF('Personalized Bill Menu'!$C$37="Custom", IF('Personalized Bill Menu'!$B$34="Natural Gas",VLOOKUP($A96, 'Personalized Bill Menu'!$H$4:$L$93, 4, FALSE), IF('Personalized Bill Menu'!$B$34="Both",VLOOKUP($A96,'Personalized Bill Menu'!$H$4:$P$93, 8, FALSE), 0)), 0),0)</f>
        <v>0</v>
      </c>
    </row>
    <row r="97" spans="1:48" x14ac:dyDescent="0.35">
      <c r="A97" s="442"/>
      <c r="B97" s="117"/>
      <c r="C97" s="117"/>
      <c r="D97" s="443"/>
      <c r="E97" s="443"/>
      <c r="F97" s="444"/>
      <c r="G97" s="444"/>
      <c r="H97" s="444"/>
      <c r="I97" s="444"/>
      <c r="J97" s="444"/>
      <c r="K97" s="444"/>
      <c r="L97" s="444"/>
      <c r="M97" s="444"/>
      <c r="N97" s="445"/>
      <c r="O97" s="444"/>
      <c r="P97" s="445"/>
      <c r="Q97" s="445"/>
      <c r="R97" s="444"/>
      <c r="S97" s="444"/>
      <c r="T97" s="446"/>
      <c r="U97" s="446"/>
      <c r="V97" s="444"/>
      <c r="W97" s="444"/>
      <c r="X97" s="446"/>
      <c r="Y97" s="446"/>
      <c r="Z97" s="446"/>
      <c r="AA97" s="446"/>
      <c r="AB97" s="446"/>
      <c r="AC97" s="446"/>
      <c r="AD97" s="446"/>
      <c r="AE97" s="446"/>
      <c r="AF97" s="444"/>
      <c r="AG97" s="444"/>
      <c r="AH97" s="444"/>
      <c r="AI97" s="444"/>
      <c r="AJ97" s="444"/>
      <c r="AK97" s="444"/>
      <c r="AL97" s="444"/>
      <c r="AM97" s="445"/>
      <c r="AN97" s="444"/>
      <c r="AO97" s="444"/>
      <c r="AP97" s="444"/>
      <c r="AQ97" s="447"/>
      <c r="AR97" s="448"/>
      <c r="AS97" s="448"/>
      <c r="AT97" s="449"/>
      <c r="AU97" s="449"/>
      <c r="AV97" s="449"/>
    </row>
    <row r="98" spans="1:48" x14ac:dyDescent="0.35">
      <c r="A98" s="442"/>
      <c r="B98" s="117"/>
      <c r="C98" s="117"/>
      <c r="D98" s="443"/>
      <c r="E98" s="443"/>
      <c r="F98" s="444"/>
      <c r="G98" s="444"/>
      <c r="H98" s="444"/>
      <c r="I98" s="444"/>
      <c r="J98" s="444"/>
      <c r="K98" s="444"/>
      <c r="L98" s="444"/>
      <c r="M98" s="444"/>
      <c r="N98" s="445"/>
      <c r="O98" s="444"/>
      <c r="P98" s="445"/>
      <c r="Q98" s="445"/>
      <c r="R98" s="444"/>
      <c r="S98" s="444"/>
      <c r="T98" s="446"/>
      <c r="U98" s="446"/>
      <c r="V98" s="444"/>
      <c r="W98" s="444"/>
      <c r="X98" s="446"/>
      <c r="Y98" s="446"/>
      <c r="Z98" s="446"/>
      <c r="AA98" s="446"/>
      <c r="AB98" s="446"/>
      <c r="AC98" s="446"/>
      <c r="AD98" s="446"/>
      <c r="AE98" s="446"/>
      <c r="AF98" s="444"/>
      <c r="AG98" s="444"/>
      <c r="AH98" s="444"/>
      <c r="AI98" s="444"/>
      <c r="AJ98" s="444"/>
      <c r="AK98" s="444"/>
      <c r="AL98" s="444"/>
      <c r="AM98" s="445"/>
      <c r="AN98" s="444"/>
      <c r="AO98" s="444"/>
      <c r="AP98" s="444"/>
      <c r="AQ98" s="447"/>
      <c r="AR98" s="448"/>
      <c r="AS98" s="448"/>
      <c r="AT98" s="449"/>
      <c r="AU98" s="449"/>
      <c r="AV98" s="449"/>
    </row>
    <row r="99" spans="1:48" x14ac:dyDescent="0.35">
      <c r="A99" s="442"/>
      <c r="B99" s="117"/>
      <c r="C99" s="117"/>
      <c r="D99" s="443"/>
      <c r="E99" s="443"/>
      <c r="F99" s="444"/>
      <c r="G99" s="444"/>
      <c r="H99" s="444"/>
      <c r="I99" s="444"/>
      <c r="J99" s="444"/>
      <c r="K99" s="444"/>
      <c r="L99" s="444"/>
      <c r="M99" s="444"/>
      <c r="N99" s="445"/>
      <c r="O99" s="444"/>
      <c r="P99" s="445"/>
      <c r="Q99" s="445"/>
      <c r="R99" s="444"/>
      <c r="S99" s="444"/>
      <c r="T99" s="446"/>
      <c r="U99" s="446"/>
      <c r="V99" s="444"/>
      <c r="W99" s="444"/>
      <c r="X99" s="446"/>
      <c r="Y99" s="446"/>
      <c r="Z99" s="446"/>
      <c r="AA99" s="446"/>
      <c r="AB99" s="446"/>
      <c r="AC99" s="446"/>
      <c r="AD99" s="446"/>
      <c r="AE99" s="446"/>
      <c r="AF99" s="444"/>
      <c r="AG99" s="444"/>
      <c r="AH99" s="444"/>
      <c r="AI99" s="444"/>
      <c r="AJ99" s="444"/>
      <c r="AK99" s="444"/>
      <c r="AL99" s="444"/>
      <c r="AM99" s="445"/>
      <c r="AN99" s="444"/>
      <c r="AO99" s="444"/>
      <c r="AP99" s="444"/>
      <c r="AQ99" s="447"/>
      <c r="AR99" s="448"/>
      <c r="AS99" s="448"/>
      <c r="AT99" s="449"/>
      <c r="AU99" s="449"/>
      <c r="AV99" s="449"/>
    </row>
    <row r="100" spans="1:48" x14ac:dyDescent="0.35">
      <c r="A100" s="442"/>
      <c r="B100" s="117"/>
      <c r="C100" s="117"/>
      <c r="D100" s="443"/>
      <c r="E100" s="443"/>
      <c r="F100" s="444"/>
      <c r="G100" s="444"/>
      <c r="H100" s="444"/>
      <c r="I100" s="444"/>
      <c r="J100" s="444"/>
      <c r="K100" s="444"/>
      <c r="L100" s="444"/>
      <c r="M100" s="444"/>
      <c r="N100" s="445"/>
      <c r="O100" s="444"/>
      <c r="P100" s="445"/>
      <c r="Q100" s="445"/>
      <c r="R100" s="444"/>
      <c r="S100" s="444"/>
      <c r="T100" s="446"/>
      <c r="U100" s="446"/>
      <c r="V100" s="444"/>
      <c r="W100" s="444"/>
      <c r="X100" s="446"/>
      <c r="Y100" s="446"/>
      <c r="Z100" s="446"/>
      <c r="AA100" s="446"/>
      <c r="AB100" s="446"/>
      <c r="AC100" s="446"/>
      <c r="AD100" s="446"/>
      <c r="AE100" s="446"/>
      <c r="AF100" s="444"/>
      <c r="AG100" s="444"/>
      <c r="AH100" s="444"/>
      <c r="AI100" s="444"/>
      <c r="AJ100" s="444"/>
      <c r="AK100" s="444"/>
      <c r="AL100" s="444"/>
      <c r="AM100" s="445"/>
      <c r="AN100" s="444"/>
      <c r="AO100" s="444"/>
      <c r="AP100" s="444"/>
      <c r="AQ100" s="447"/>
      <c r="AR100" s="448"/>
      <c r="AS100" s="448"/>
      <c r="AT100" s="449"/>
      <c r="AU100" s="449"/>
      <c r="AV100" s="449"/>
    </row>
    <row r="101" spans="1:48" x14ac:dyDescent="0.35">
      <c r="A101" s="442"/>
      <c r="B101" s="117"/>
      <c r="C101" s="117"/>
      <c r="D101" s="443"/>
      <c r="E101" s="443"/>
      <c r="F101" s="444"/>
      <c r="G101" s="444"/>
      <c r="H101" s="444"/>
      <c r="I101" s="444"/>
      <c r="J101" s="444"/>
      <c r="K101" s="444"/>
      <c r="L101" s="444"/>
      <c r="M101" s="444"/>
      <c r="N101" s="445"/>
      <c r="O101" s="444"/>
      <c r="P101" s="445"/>
      <c r="Q101" s="445"/>
      <c r="R101" s="444"/>
      <c r="S101" s="444"/>
      <c r="T101" s="446"/>
      <c r="U101" s="446"/>
      <c r="V101" s="444"/>
      <c r="W101" s="444"/>
      <c r="X101" s="446"/>
      <c r="Y101" s="446"/>
      <c r="Z101" s="446"/>
      <c r="AA101" s="446"/>
      <c r="AB101" s="446"/>
      <c r="AC101" s="446"/>
      <c r="AD101" s="446"/>
      <c r="AE101" s="446"/>
      <c r="AF101" s="444"/>
      <c r="AG101" s="444"/>
      <c r="AH101" s="444"/>
      <c r="AI101" s="444"/>
      <c r="AJ101" s="444"/>
      <c r="AK101" s="444"/>
      <c r="AL101" s="444"/>
      <c r="AM101" s="445"/>
      <c r="AN101" s="444"/>
      <c r="AO101" s="444"/>
      <c r="AP101" s="444"/>
      <c r="AQ101" s="447"/>
      <c r="AR101" s="448"/>
      <c r="AS101" s="448"/>
      <c r="AT101" s="449"/>
      <c r="AU101" s="449"/>
      <c r="AV101" s="449"/>
    </row>
    <row r="102" spans="1:48" x14ac:dyDescent="0.35">
      <c r="A102" s="442"/>
      <c r="B102" s="117"/>
      <c r="C102" s="117"/>
      <c r="D102" s="443"/>
      <c r="E102" s="443"/>
      <c r="F102" s="444"/>
      <c r="G102" s="444"/>
      <c r="H102" s="444"/>
      <c r="I102" s="444"/>
      <c r="J102" s="444"/>
      <c r="K102" s="444"/>
      <c r="L102" s="444"/>
      <c r="M102" s="444"/>
      <c r="N102" s="445"/>
      <c r="O102" s="444"/>
      <c r="P102" s="445"/>
      <c r="Q102" s="445"/>
      <c r="R102" s="444"/>
      <c r="S102" s="444"/>
      <c r="T102" s="446"/>
      <c r="U102" s="446"/>
      <c r="V102" s="444"/>
      <c r="W102" s="444"/>
      <c r="X102" s="446"/>
      <c r="Y102" s="446"/>
      <c r="Z102" s="446"/>
      <c r="AA102" s="446"/>
      <c r="AB102" s="446"/>
      <c r="AC102" s="446"/>
      <c r="AD102" s="446"/>
      <c r="AE102" s="446"/>
      <c r="AF102" s="444"/>
      <c r="AG102" s="444"/>
      <c r="AH102" s="444"/>
      <c r="AI102" s="444"/>
      <c r="AJ102" s="444"/>
      <c r="AK102" s="444"/>
      <c r="AL102" s="444"/>
      <c r="AM102" s="445"/>
      <c r="AN102" s="444"/>
      <c r="AO102" s="444"/>
      <c r="AP102" s="444"/>
      <c r="AQ102" s="447"/>
      <c r="AR102" s="448"/>
      <c r="AS102" s="448"/>
      <c r="AT102" s="449"/>
      <c r="AU102" s="449"/>
      <c r="AV102" s="449"/>
    </row>
    <row r="103" spans="1:48" x14ac:dyDescent="0.35">
      <c r="A103" s="442"/>
      <c r="B103" s="117"/>
      <c r="C103" s="117"/>
      <c r="D103" s="443"/>
      <c r="E103" s="443"/>
      <c r="F103" s="444"/>
      <c r="G103" s="444"/>
      <c r="H103" s="444"/>
      <c r="I103" s="444"/>
      <c r="J103" s="444"/>
      <c r="K103" s="444"/>
      <c r="L103" s="444"/>
      <c r="M103" s="444"/>
      <c r="N103" s="445"/>
      <c r="O103" s="444"/>
      <c r="P103" s="445"/>
      <c r="Q103" s="445"/>
      <c r="R103" s="444"/>
      <c r="S103" s="444"/>
      <c r="T103" s="446"/>
      <c r="U103" s="446"/>
      <c r="V103" s="444"/>
      <c r="W103" s="444"/>
      <c r="X103" s="446"/>
      <c r="Y103" s="446"/>
      <c r="Z103" s="446"/>
      <c r="AA103" s="446"/>
      <c r="AB103" s="446"/>
      <c r="AC103" s="446"/>
      <c r="AD103" s="446"/>
      <c r="AE103" s="446"/>
      <c r="AF103" s="444"/>
      <c r="AG103" s="444"/>
      <c r="AH103" s="444"/>
      <c r="AI103" s="444"/>
      <c r="AJ103" s="444"/>
      <c r="AK103" s="444"/>
      <c r="AL103" s="444"/>
      <c r="AM103" s="445"/>
      <c r="AN103" s="444"/>
      <c r="AO103" s="444"/>
      <c r="AP103" s="444"/>
      <c r="AQ103" s="447"/>
      <c r="AR103" s="448"/>
      <c r="AS103" s="448"/>
      <c r="AT103" s="449"/>
      <c r="AU103" s="449"/>
      <c r="AV103" s="449"/>
    </row>
    <row r="104" spans="1:48" x14ac:dyDescent="0.35">
      <c r="A104" s="442"/>
      <c r="B104" s="117"/>
      <c r="C104" s="117"/>
      <c r="D104" s="443"/>
      <c r="E104" s="443"/>
      <c r="F104" s="444"/>
      <c r="G104" s="444"/>
      <c r="H104" s="444"/>
      <c r="I104" s="444"/>
      <c r="J104" s="444"/>
      <c r="K104" s="444"/>
      <c r="L104" s="444"/>
      <c r="M104" s="444"/>
      <c r="N104" s="445"/>
      <c r="O104" s="444"/>
      <c r="P104" s="445"/>
      <c r="Q104" s="445"/>
      <c r="R104" s="444"/>
      <c r="S104" s="444"/>
      <c r="T104" s="446"/>
      <c r="U104" s="446"/>
      <c r="V104" s="444"/>
      <c r="W104" s="444"/>
      <c r="X104" s="446"/>
      <c r="Y104" s="446"/>
      <c r="Z104" s="446"/>
      <c r="AA104" s="446"/>
      <c r="AB104" s="446"/>
      <c r="AC104" s="446"/>
      <c r="AD104" s="446"/>
      <c r="AE104" s="446"/>
      <c r="AF104" s="444"/>
      <c r="AG104" s="444"/>
      <c r="AH104" s="444"/>
      <c r="AI104" s="444"/>
      <c r="AJ104" s="444"/>
      <c r="AK104" s="444"/>
      <c r="AL104" s="444"/>
      <c r="AM104" s="445"/>
      <c r="AN104" s="444"/>
      <c r="AO104" s="444"/>
      <c r="AP104" s="444"/>
      <c r="AQ104" s="447"/>
      <c r="AR104" s="448"/>
      <c r="AS104" s="448"/>
      <c r="AT104" s="449"/>
      <c r="AU104" s="449"/>
      <c r="AV104" s="449"/>
    </row>
    <row r="105" spans="1:48" x14ac:dyDescent="0.35">
      <c r="A105" s="442"/>
      <c r="B105" s="117"/>
      <c r="C105" s="117"/>
      <c r="D105" s="443"/>
      <c r="E105" s="443"/>
      <c r="F105" s="444"/>
      <c r="G105" s="444"/>
      <c r="H105" s="444"/>
      <c r="I105" s="444"/>
      <c r="J105" s="444"/>
      <c r="K105" s="444"/>
      <c r="L105" s="444"/>
      <c r="M105" s="444"/>
      <c r="N105" s="445"/>
      <c r="O105" s="444"/>
      <c r="P105" s="445"/>
      <c r="Q105" s="445"/>
      <c r="R105" s="444"/>
      <c r="S105" s="444"/>
      <c r="T105" s="446"/>
      <c r="U105" s="446"/>
      <c r="V105" s="444"/>
      <c r="W105" s="444"/>
      <c r="X105" s="446"/>
      <c r="Y105" s="446"/>
      <c r="Z105" s="446"/>
      <c r="AA105" s="446"/>
      <c r="AB105" s="446"/>
      <c r="AC105" s="446"/>
      <c r="AD105" s="446"/>
      <c r="AE105" s="446"/>
      <c r="AF105" s="444"/>
      <c r="AG105" s="444"/>
      <c r="AH105" s="444"/>
      <c r="AI105" s="444"/>
      <c r="AJ105" s="444"/>
      <c r="AK105" s="444"/>
      <c r="AL105" s="444"/>
      <c r="AM105" s="445"/>
      <c r="AN105" s="444"/>
      <c r="AO105" s="444"/>
      <c r="AP105" s="444"/>
      <c r="AQ105" s="447"/>
      <c r="AR105" s="448"/>
      <c r="AS105" s="448"/>
      <c r="AT105" s="449"/>
      <c r="AU105" s="449"/>
      <c r="AV105" s="449"/>
    </row>
    <row r="106" spans="1:48" x14ac:dyDescent="0.35">
      <c r="A106" s="442"/>
      <c r="B106" s="117"/>
      <c r="C106" s="117"/>
      <c r="D106" s="443"/>
      <c r="E106" s="443"/>
      <c r="F106" s="444"/>
      <c r="G106" s="444"/>
      <c r="H106" s="444"/>
      <c r="I106" s="444"/>
      <c r="J106" s="444"/>
      <c r="K106" s="444"/>
      <c r="L106" s="444"/>
      <c r="M106" s="444"/>
      <c r="N106" s="445"/>
      <c r="O106" s="444"/>
      <c r="P106" s="445"/>
      <c r="Q106" s="445"/>
      <c r="R106" s="444"/>
      <c r="S106" s="444"/>
      <c r="T106" s="446"/>
      <c r="U106" s="446"/>
      <c r="V106" s="444"/>
      <c r="W106" s="444"/>
      <c r="X106" s="446"/>
      <c r="Y106" s="446"/>
      <c r="Z106" s="446"/>
      <c r="AA106" s="446"/>
      <c r="AB106" s="446"/>
      <c r="AC106" s="446"/>
      <c r="AD106" s="446"/>
      <c r="AE106" s="446"/>
      <c r="AF106" s="444"/>
      <c r="AG106" s="444"/>
      <c r="AH106" s="444"/>
      <c r="AI106" s="444"/>
      <c r="AJ106" s="444"/>
      <c r="AK106" s="444"/>
      <c r="AL106" s="444"/>
      <c r="AM106" s="445"/>
      <c r="AN106" s="444"/>
      <c r="AO106" s="444"/>
      <c r="AP106" s="444"/>
      <c r="AQ106" s="447"/>
      <c r="AR106" s="448"/>
      <c r="AS106" s="448"/>
      <c r="AT106" s="449"/>
      <c r="AU106" s="449"/>
      <c r="AV106" s="449"/>
    </row>
    <row r="107" spans="1:48" x14ac:dyDescent="0.35">
      <c r="A107" s="442"/>
      <c r="B107" s="117"/>
      <c r="C107" s="117"/>
      <c r="D107" s="443"/>
      <c r="E107" s="443"/>
      <c r="F107" s="444"/>
      <c r="G107" s="444"/>
      <c r="H107" s="444"/>
      <c r="I107" s="444"/>
      <c r="J107" s="444"/>
      <c r="K107" s="444"/>
      <c r="L107" s="444"/>
      <c r="M107" s="444"/>
      <c r="N107" s="445"/>
      <c r="O107" s="444"/>
      <c r="P107" s="445"/>
      <c r="Q107" s="445"/>
      <c r="R107" s="444"/>
      <c r="S107" s="444"/>
      <c r="T107" s="446"/>
      <c r="U107" s="446"/>
      <c r="V107" s="444"/>
      <c r="W107" s="444"/>
      <c r="X107" s="446"/>
      <c r="Y107" s="446"/>
      <c r="Z107" s="446"/>
      <c r="AA107" s="446"/>
      <c r="AB107" s="446"/>
      <c r="AC107" s="446"/>
      <c r="AD107" s="446"/>
      <c r="AE107" s="446"/>
      <c r="AF107" s="444"/>
      <c r="AG107" s="444"/>
      <c r="AH107" s="444"/>
      <c r="AI107" s="444"/>
      <c r="AJ107" s="444"/>
      <c r="AK107" s="444"/>
      <c r="AL107" s="444"/>
      <c r="AM107" s="445"/>
      <c r="AN107" s="444"/>
      <c r="AO107" s="444"/>
      <c r="AP107" s="444"/>
      <c r="AQ107" s="447"/>
      <c r="AR107" s="448"/>
      <c r="AS107" s="448"/>
      <c r="AT107" s="449"/>
      <c r="AU107" s="449"/>
      <c r="AV107" s="449"/>
    </row>
    <row r="108" spans="1:48" x14ac:dyDescent="0.35">
      <c r="A108" s="442"/>
      <c r="B108" s="117"/>
      <c r="C108" s="117"/>
      <c r="D108" s="443"/>
      <c r="E108" s="443"/>
      <c r="F108" s="444"/>
      <c r="G108" s="444"/>
      <c r="H108" s="444"/>
      <c r="I108" s="444"/>
      <c r="J108" s="444"/>
      <c r="K108" s="444"/>
      <c r="L108" s="444"/>
      <c r="M108" s="444"/>
      <c r="N108" s="445"/>
      <c r="O108" s="444"/>
      <c r="P108" s="445"/>
      <c r="Q108" s="445"/>
      <c r="R108" s="444"/>
      <c r="S108" s="444"/>
      <c r="T108" s="446"/>
      <c r="U108" s="446"/>
      <c r="V108" s="444"/>
      <c r="W108" s="444"/>
      <c r="X108" s="446"/>
      <c r="Y108" s="446"/>
      <c r="Z108" s="446"/>
      <c r="AA108" s="446"/>
      <c r="AB108" s="446"/>
      <c r="AC108" s="446"/>
      <c r="AD108" s="446"/>
      <c r="AE108" s="446"/>
      <c r="AF108" s="444"/>
      <c r="AG108" s="444"/>
      <c r="AH108" s="444"/>
      <c r="AI108" s="444"/>
      <c r="AJ108" s="444"/>
      <c r="AK108" s="444"/>
      <c r="AL108" s="444"/>
      <c r="AM108" s="445"/>
      <c r="AN108" s="444"/>
      <c r="AO108" s="444"/>
      <c r="AP108" s="444"/>
      <c r="AQ108" s="447"/>
      <c r="AR108" s="448"/>
      <c r="AS108" s="448"/>
      <c r="AT108" s="449"/>
      <c r="AU108" s="449"/>
      <c r="AV108" s="449"/>
    </row>
    <row r="109" spans="1:48" x14ac:dyDescent="0.35">
      <c r="A109" s="442"/>
      <c r="B109" s="117"/>
      <c r="C109" s="117"/>
      <c r="D109" s="443"/>
      <c r="E109" s="443"/>
      <c r="F109" s="444"/>
      <c r="G109" s="444"/>
      <c r="H109" s="444"/>
      <c r="I109" s="444"/>
      <c r="J109" s="444"/>
      <c r="K109" s="444"/>
      <c r="L109" s="444"/>
      <c r="M109" s="444"/>
      <c r="N109" s="445"/>
      <c r="O109" s="444"/>
      <c r="P109" s="445"/>
      <c r="Q109" s="445"/>
      <c r="R109" s="444"/>
      <c r="S109" s="444"/>
      <c r="T109" s="446"/>
      <c r="U109" s="446"/>
      <c r="V109" s="444"/>
      <c r="W109" s="444"/>
      <c r="X109" s="446"/>
      <c r="Y109" s="446"/>
      <c r="Z109" s="446"/>
      <c r="AA109" s="446"/>
      <c r="AB109" s="446"/>
      <c r="AC109" s="446"/>
      <c r="AD109" s="446"/>
      <c r="AE109" s="446"/>
      <c r="AF109" s="444"/>
      <c r="AG109" s="444"/>
      <c r="AH109" s="444"/>
      <c r="AI109" s="444"/>
      <c r="AJ109" s="444"/>
      <c r="AK109" s="444"/>
      <c r="AL109" s="444"/>
      <c r="AM109" s="445"/>
      <c r="AN109" s="444"/>
      <c r="AO109" s="444"/>
      <c r="AP109" s="444"/>
      <c r="AQ109" s="447"/>
      <c r="AR109" s="448"/>
      <c r="AS109" s="448"/>
      <c r="AT109" s="449"/>
      <c r="AU109" s="449"/>
      <c r="AV109" s="449"/>
    </row>
    <row r="110" spans="1:48" x14ac:dyDescent="0.35">
      <c r="A110" s="442"/>
      <c r="B110" s="117"/>
      <c r="C110" s="117"/>
      <c r="D110" s="443"/>
      <c r="E110" s="443"/>
      <c r="F110" s="444"/>
      <c r="G110" s="444"/>
      <c r="H110" s="444"/>
      <c r="I110" s="444"/>
      <c r="J110" s="444"/>
      <c r="K110" s="444"/>
      <c r="L110" s="444"/>
      <c r="M110" s="444"/>
      <c r="N110" s="445"/>
      <c r="O110" s="444"/>
      <c r="P110" s="445"/>
      <c r="Q110" s="445"/>
      <c r="R110" s="444"/>
      <c r="S110" s="444"/>
      <c r="T110" s="446"/>
      <c r="U110" s="446"/>
      <c r="V110" s="444"/>
      <c r="W110" s="444"/>
      <c r="X110" s="446"/>
      <c r="Y110" s="446"/>
      <c r="Z110" s="446"/>
      <c r="AA110" s="446"/>
      <c r="AB110" s="446"/>
      <c r="AC110" s="446"/>
      <c r="AD110" s="446"/>
      <c r="AE110" s="446"/>
      <c r="AF110" s="444"/>
      <c r="AG110" s="444"/>
      <c r="AH110" s="444"/>
      <c r="AI110" s="444"/>
      <c r="AJ110" s="444"/>
      <c r="AK110" s="444"/>
      <c r="AL110" s="444"/>
      <c r="AM110" s="445"/>
      <c r="AN110" s="444"/>
      <c r="AO110" s="444"/>
      <c r="AP110" s="444"/>
      <c r="AQ110" s="447"/>
      <c r="AR110" s="448"/>
      <c r="AS110" s="448"/>
      <c r="AT110" s="449"/>
      <c r="AU110" s="449"/>
      <c r="AV110" s="449"/>
    </row>
    <row r="111" spans="1:48" x14ac:dyDescent="0.35">
      <c r="A111" s="442"/>
      <c r="B111" s="117"/>
      <c r="C111" s="117"/>
      <c r="D111" s="443"/>
      <c r="E111" s="443"/>
      <c r="F111" s="444"/>
      <c r="G111" s="444"/>
      <c r="H111" s="444"/>
      <c r="I111" s="444"/>
      <c r="J111" s="444"/>
      <c r="K111" s="444"/>
      <c r="L111" s="444"/>
      <c r="M111" s="444"/>
      <c r="N111" s="445"/>
      <c r="O111" s="444"/>
      <c r="P111" s="445"/>
      <c r="Q111" s="445"/>
      <c r="R111" s="444"/>
      <c r="S111" s="444"/>
      <c r="T111" s="446"/>
      <c r="U111" s="446"/>
      <c r="V111" s="444"/>
      <c r="W111" s="444"/>
      <c r="X111" s="446"/>
      <c r="Y111" s="446"/>
      <c r="Z111" s="446"/>
      <c r="AA111" s="446"/>
      <c r="AB111" s="446"/>
      <c r="AC111" s="446"/>
      <c r="AD111" s="446"/>
      <c r="AE111" s="446"/>
      <c r="AF111" s="444"/>
      <c r="AG111" s="444"/>
      <c r="AH111" s="444"/>
      <c r="AI111" s="444"/>
      <c r="AJ111" s="444"/>
      <c r="AK111" s="444"/>
      <c r="AL111" s="444"/>
      <c r="AM111" s="445"/>
      <c r="AN111" s="444"/>
      <c r="AO111" s="444"/>
      <c r="AP111" s="444"/>
      <c r="AQ111" s="447"/>
      <c r="AR111" s="448"/>
      <c r="AS111" s="448"/>
      <c r="AT111" s="449"/>
      <c r="AU111" s="449"/>
      <c r="AV111" s="449"/>
    </row>
    <row r="112" spans="1:48" x14ac:dyDescent="0.35">
      <c r="A112" s="442"/>
      <c r="B112" s="117"/>
      <c r="C112" s="117"/>
      <c r="D112" s="443"/>
      <c r="E112" s="443"/>
      <c r="F112" s="444"/>
      <c r="G112" s="444"/>
      <c r="H112" s="444"/>
      <c r="I112" s="444"/>
      <c r="J112" s="444"/>
      <c r="K112" s="444"/>
      <c r="L112" s="444"/>
      <c r="M112" s="444"/>
      <c r="N112" s="445"/>
      <c r="O112" s="444"/>
      <c r="P112" s="445"/>
      <c r="Q112" s="445"/>
      <c r="R112" s="444"/>
      <c r="S112" s="444"/>
      <c r="T112" s="446"/>
      <c r="U112" s="446"/>
      <c r="V112" s="444"/>
      <c r="W112" s="444"/>
      <c r="X112" s="446"/>
      <c r="Y112" s="446"/>
      <c r="Z112" s="446"/>
      <c r="AA112" s="446"/>
      <c r="AB112" s="446"/>
      <c r="AC112" s="446"/>
      <c r="AD112" s="446"/>
      <c r="AE112" s="446"/>
      <c r="AF112" s="444"/>
      <c r="AG112" s="444"/>
      <c r="AH112" s="444"/>
      <c r="AI112" s="444"/>
      <c r="AJ112" s="444"/>
      <c r="AK112" s="444"/>
      <c r="AL112" s="444"/>
      <c r="AM112" s="445"/>
      <c r="AN112" s="444"/>
      <c r="AO112" s="444"/>
      <c r="AP112" s="444"/>
      <c r="AQ112" s="447"/>
      <c r="AR112" s="448"/>
      <c r="AS112" s="448"/>
      <c r="AT112" s="449"/>
      <c r="AU112" s="449"/>
      <c r="AV112" s="449"/>
    </row>
    <row r="113" spans="1:48" x14ac:dyDescent="0.35">
      <c r="A113" s="442"/>
      <c r="B113" s="117"/>
      <c r="C113" s="117"/>
      <c r="D113" s="443"/>
      <c r="E113" s="443"/>
      <c r="F113" s="444"/>
      <c r="G113" s="444"/>
      <c r="H113" s="444"/>
      <c r="I113" s="444"/>
      <c r="J113" s="444"/>
      <c r="K113" s="444"/>
      <c r="L113" s="444"/>
      <c r="M113" s="444"/>
      <c r="N113" s="445"/>
      <c r="O113" s="444"/>
      <c r="P113" s="445"/>
      <c r="Q113" s="445"/>
      <c r="R113" s="444"/>
      <c r="S113" s="444"/>
      <c r="T113" s="446"/>
      <c r="U113" s="446"/>
      <c r="V113" s="444"/>
      <c r="W113" s="444"/>
      <c r="X113" s="446"/>
      <c r="Y113" s="446"/>
      <c r="Z113" s="446"/>
      <c r="AA113" s="446"/>
      <c r="AB113" s="446"/>
      <c r="AC113" s="446"/>
      <c r="AD113" s="446"/>
      <c r="AE113" s="446"/>
      <c r="AF113" s="444"/>
      <c r="AG113" s="444"/>
      <c r="AH113" s="444"/>
      <c r="AI113" s="444"/>
      <c r="AJ113" s="444"/>
      <c r="AK113" s="444"/>
      <c r="AL113" s="444"/>
      <c r="AM113" s="445"/>
      <c r="AN113" s="444"/>
      <c r="AO113" s="444"/>
      <c r="AP113" s="444"/>
      <c r="AQ113" s="447"/>
      <c r="AR113" s="448"/>
      <c r="AS113" s="448"/>
      <c r="AT113" s="449"/>
      <c r="AU113" s="449"/>
      <c r="AV113" s="449"/>
    </row>
    <row r="114" spans="1:48" x14ac:dyDescent="0.35">
      <c r="A114" s="442"/>
      <c r="B114" s="117"/>
      <c r="C114" s="117"/>
      <c r="D114" s="443"/>
      <c r="E114" s="443"/>
      <c r="F114" s="444"/>
      <c r="G114" s="444"/>
      <c r="H114" s="444"/>
      <c r="I114" s="444"/>
      <c r="J114" s="444"/>
      <c r="K114" s="444"/>
      <c r="L114" s="444"/>
      <c r="M114" s="444"/>
      <c r="N114" s="445"/>
      <c r="O114" s="444"/>
      <c r="P114" s="445"/>
      <c r="Q114" s="445"/>
      <c r="R114" s="444"/>
      <c r="S114" s="444"/>
      <c r="T114" s="446"/>
      <c r="U114" s="446"/>
      <c r="V114" s="444"/>
      <c r="W114" s="444"/>
      <c r="X114" s="446"/>
      <c r="Y114" s="446"/>
      <c r="Z114" s="446"/>
      <c r="AA114" s="446"/>
      <c r="AB114" s="446"/>
      <c r="AC114" s="446"/>
      <c r="AD114" s="446"/>
      <c r="AE114" s="446"/>
      <c r="AF114" s="444"/>
      <c r="AG114" s="444"/>
      <c r="AH114" s="444"/>
      <c r="AI114" s="444"/>
      <c r="AJ114" s="444"/>
      <c r="AK114" s="444"/>
      <c r="AL114" s="444"/>
      <c r="AM114" s="445"/>
      <c r="AN114" s="444"/>
      <c r="AO114" s="444"/>
      <c r="AP114" s="444"/>
      <c r="AQ114" s="447"/>
      <c r="AR114" s="448"/>
      <c r="AS114" s="448"/>
      <c r="AT114" s="449"/>
      <c r="AU114" s="449"/>
      <c r="AV114" s="449"/>
    </row>
    <row r="115" spans="1:48" x14ac:dyDescent="0.35">
      <c r="A115" s="442"/>
      <c r="B115" s="117"/>
      <c r="C115" s="117"/>
      <c r="D115" s="443"/>
      <c r="E115" s="443"/>
      <c r="F115" s="444"/>
      <c r="G115" s="444"/>
      <c r="H115" s="444"/>
      <c r="I115" s="444"/>
      <c r="J115" s="444"/>
      <c r="K115" s="444"/>
      <c r="L115" s="444"/>
      <c r="M115" s="444"/>
      <c r="N115" s="445"/>
      <c r="O115" s="444"/>
      <c r="P115" s="445"/>
      <c r="Q115" s="445"/>
      <c r="R115" s="444"/>
      <c r="S115" s="444"/>
      <c r="T115" s="446"/>
      <c r="U115" s="446"/>
      <c r="V115" s="444"/>
      <c r="W115" s="444"/>
      <c r="X115" s="446"/>
      <c r="Y115" s="446"/>
      <c r="Z115" s="446"/>
      <c r="AA115" s="446"/>
      <c r="AB115" s="446"/>
      <c r="AC115" s="446"/>
      <c r="AD115" s="446"/>
      <c r="AE115" s="446"/>
      <c r="AF115" s="444"/>
      <c r="AG115" s="444"/>
      <c r="AH115" s="444"/>
      <c r="AI115" s="444"/>
      <c r="AJ115" s="444"/>
      <c r="AK115" s="444"/>
      <c r="AL115" s="444"/>
      <c r="AM115" s="445"/>
      <c r="AN115" s="444"/>
      <c r="AO115" s="444"/>
      <c r="AP115" s="444"/>
      <c r="AQ115" s="447"/>
      <c r="AR115" s="448"/>
      <c r="AS115" s="448"/>
      <c r="AT115" s="449"/>
      <c r="AU115" s="449"/>
      <c r="AV115" s="449"/>
    </row>
    <row r="116" spans="1:48" x14ac:dyDescent="0.35">
      <c r="A116" s="442"/>
      <c r="B116" s="117"/>
      <c r="C116" s="117"/>
      <c r="D116" s="443"/>
      <c r="E116" s="443"/>
      <c r="F116" s="444"/>
      <c r="G116" s="444"/>
      <c r="H116" s="444"/>
      <c r="I116" s="444"/>
      <c r="J116" s="444"/>
      <c r="K116" s="444"/>
      <c r="L116" s="444"/>
      <c r="M116" s="444"/>
      <c r="N116" s="445"/>
      <c r="O116" s="444"/>
      <c r="P116" s="445"/>
      <c r="Q116" s="445"/>
      <c r="R116" s="444"/>
      <c r="S116" s="444"/>
      <c r="T116" s="446"/>
      <c r="U116" s="446"/>
      <c r="V116" s="444"/>
      <c r="W116" s="444"/>
      <c r="X116" s="446"/>
      <c r="Y116" s="446"/>
      <c r="Z116" s="446"/>
      <c r="AA116" s="446"/>
      <c r="AB116" s="446"/>
      <c r="AC116" s="446"/>
      <c r="AD116" s="446"/>
      <c r="AE116" s="446"/>
      <c r="AF116" s="444"/>
      <c r="AG116" s="444"/>
      <c r="AH116" s="444"/>
      <c r="AI116" s="444"/>
      <c r="AJ116" s="444"/>
      <c r="AK116" s="444"/>
      <c r="AL116" s="444"/>
      <c r="AM116" s="445"/>
      <c r="AN116" s="444"/>
      <c r="AO116" s="444"/>
      <c r="AP116" s="444"/>
      <c r="AQ116" s="447"/>
      <c r="AR116" s="448"/>
      <c r="AS116" s="448"/>
      <c r="AT116" s="449"/>
      <c r="AU116" s="449"/>
      <c r="AV116" s="449"/>
    </row>
    <row r="117" spans="1:48" x14ac:dyDescent="0.35">
      <c r="A117" s="442"/>
      <c r="B117" s="117"/>
      <c r="C117" s="117"/>
      <c r="D117" s="443"/>
      <c r="E117" s="443"/>
      <c r="F117" s="444"/>
      <c r="G117" s="444"/>
      <c r="H117" s="444"/>
      <c r="I117" s="444"/>
      <c r="J117" s="444"/>
      <c r="K117" s="444"/>
      <c r="L117" s="444"/>
      <c r="M117" s="444"/>
      <c r="N117" s="445"/>
      <c r="O117" s="444"/>
      <c r="P117" s="445"/>
      <c r="Q117" s="445"/>
      <c r="R117" s="444"/>
      <c r="S117" s="444"/>
      <c r="T117" s="446"/>
      <c r="U117" s="446"/>
      <c r="V117" s="444"/>
      <c r="W117" s="444"/>
      <c r="X117" s="446"/>
      <c r="Y117" s="446"/>
      <c r="Z117" s="446"/>
      <c r="AA117" s="446"/>
      <c r="AB117" s="446"/>
      <c r="AC117" s="446"/>
      <c r="AD117" s="446"/>
      <c r="AE117" s="446"/>
      <c r="AF117" s="444"/>
      <c r="AG117" s="444"/>
      <c r="AH117" s="444"/>
      <c r="AI117" s="444"/>
      <c r="AJ117" s="444"/>
      <c r="AK117" s="444"/>
      <c r="AL117" s="444"/>
      <c r="AM117" s="445"/>
      <c r="AN117" s="444"/>
      <c r="AO117" s="444"/>
      <c r="AP117" s="444"/>
      <c r="AQ117" s="447"/>
      <c r="AR117" s="448"/>
      <c r="AS117" s="448"/>
      <c r="AT117" s="449"/>
      <c r="AU117" s="449"/>
      <c r="AV117" s="449"/>
    </row>
    <row r="118" spans="1:48" x14ac:dyDescent="0.35">
      <c r="A118" s="442"/>
      <c r="B118" s="117"/>
      <c r="C118" s="117"/>
      <c r="D118" s="443"/>
      <c r="E118" s="443"/>
      <c r="F118" s="444"/>
      <c r="G118" s="444"/>
      <c r="H118" s="444"/>
      <c r="I118" s="444"/>
      <c r="J118" s="444"/>
      <c r="K118" s="444"/>
      <c r="L118" s="444"/>
      <c r="M118" s="444"/>
      <c r="N118" s="445"/>
      <c r="O118" s="444"/>
      <c r="P118" s="445"/>
      <c r="Q118" s="445"/>
      <c r="R118" s="444"/>
      <c r="S118" s="444"/>
      <c r="T118" s="446"/>
      <c r="U118" s="446"/>
      <c r="V118" s="444"/>
      <c r="W118" s="444"/>
      <c r="X118" s="446"/>
      <c r="Y118" s="446"/>
      <c r="Z118" s="446"/>
      <c r="AA118" s="446"/>
      <c r="AB118" s="446"/>
      <c r="AC118" s="446"/>
      <c r="AD118" s="446"/>
      <c r="AE118" s="446"/>
      <c r="AF118" s="444"/>
      <c r="AG118" s="444"/>
      <c r="AH118" s="444"/>
      <c r="AI118" s="444"/>
      <c r="AJ118" s="444"/>
      <c r="AK118" s="444"/>
      <c r="AL118" s="444"/>
      <c r="AM118" s="445"/>
      <c r="AN118" s="444"/>
      <c r="AO118" s="444"/>
      <c r="AP118" s="444"/>
      <c r="AQ118" s="447"/>
      <c r="AR118" s="448"/>
      <c r="AS118" s="448"/>
      <c r="AT118" s="449"/>
      <c r="AU118" s="449"/>
      <c r="AV118" s="449"/>
    </row>
    <row r="119" spans="1:48" x14ac:dyDescent="0.35">
      <c r="A119" s="442"/>
      <c r="B119" s="117"/>
      <c r="C119" s="117"/>
      <c r="D119" s="443"/>
      <c r="E119" s="443"/>
      <c r="F119" s="444"/>
      <c r="G119" s="444"/>
      <c r="H119" s="444"/>
      <c r="I119" s="444"/>
      <c r="J119" s="444"/>
      <c r="K119" s="444"/>
      <c r="L119" s="444"/>
      <c r="M119" s="444"/>
      <c r="N119" s="445"/>
      <c r="O119" s="444"/>
      <c r="P119" s="445"/>
      <c r="Q119" s="445"/>
      <c r="R119" s="444"/>
      <c r="S119" s="444"/>
      <c r="T119" s="446"/>
      <c r="U119" s="446"/>
      <c r="V119" s="444"/>
      <c r="W119" s="444"/>
      <c r="X119" s="446"/>
      <c r="Y119" s="446"/>
      <c r="Z119" s="446"/>
      <c r="AA119" s="446"/>
      <c r="AB119" s="446"/>
      <c r="AC119" s="446"/>
      <c r="AD119" s="446"/>
      <c r="AE119" s="446"/>
      <c r="AF119" s="444"/>
      <c r="AG119" s="444"/>
      <c r="AH119" s="444"/>
      <c r="AI119" s="444"/>
      <c r="AJ119" s="444"/>
      <c r="AK119" s="444"/>
      <c r="AL119" s="444"/>
      <c r="AM119" s="445"/>
      <c r="AN119" s="444"/>
      <c r="AO119" s="444"/>
      <c r="AP119" s="444"/>
      <c r="AQ119" s="447"/>
      <c r="AR119" s="448"/>
      <c r="AS119" s="448"/>
      <c r="AT119" s="449"/>
      <c r="AU119" s="449"/>
      <c r="AV119" s="449"/>
    </row>
    <row r="120" spans="1:48" x14ac:dyDescent="0.35">
      <c r="A120" s="442"/>
      <c r="B120" s="117"/>
      <c r="C120" s="117"/>
      <c r="D120" s="443"/>
      <c r="E120" s="443"/>
      <c r="F120" s="444"/>
      <c r="G120" s="444"/>
      <c r="H120" s="444"/>
      <c r="I120" s="444"/>
      <c r="J120" s="444"/>
      <c r="K120" s="444"/>
      <c r="L120" s="444"/>
      <c r="M120" s="444"/>
      <c r="N120" s="445"/>
      <c r="O120" s="444"/>
      <c r="P120" s="445"/>
      <c r="Q120" s="445"/>
      <c r="R120" s="444"/>
      <c r="S120" s="444"/>
      <c r="T120" s="446"/>
      <c r="U120" s="446"/>
      <c r="V120" s="444"/>
      <c r="W120" s="444"/>
      <c r="X120" s="446"/>
      <c r="Y120" s="446"/>
      <c r="Z120" s="446"/>
      <c r="AA120" s="446"/>
      <c r="AB120" s="446"/>
      <c r="AC120" s="446"/>
      <c r="AD120" s="446"/>
      <c r="AE120" s="446"/>
      <c r="AF120" s="444"/>
      <c r="AG120" s="444"/>
      <c r="AH120" s="444"/>
      <c r="AI120" s="444"/>
      <c r="AJ120" s="444"/>
      <c r="AK120" s="444"/>
      <c r="AL120" s="444"/>
      <c r="AM120" s="445"/>
      <c r="AN120" s="444"/>
      <c r="AO120" s="444"/>
      <c r="AP120" s="444"/>
      <c r="AQ120" s="447"/>
      <c r="AR120" s="448"/>
      <c r="AS120" s="448"/>
      <c r="AT120" s="449"/>
      <c r="AU120" s="449"/>
      <c r="AV120" s="449"/>
    </row>
    <row r="121" spans="1:48" x14ac:dyDescent="0.35">
      <c r="A121" s="442"/>
      <c r="B121" s="117"/>
      <c r="C121" s="117"/>
      <c r="D121" s="443"/>
      <c r="E121" s="443"/>
      <c r="F121" s="444"/>
      <c r="G121" s="444"/>
      <c r="H121" s="444"/>
      <c r="I121" s="444"/>
      <c r="J121" s="444"/>
      <c r="K121" s="444"/>
      <c r="L121" s="444"/>
      <c r="M121" s="444"/>
      <c r="N121" s="445"/>
      <c r="O121" s="444"/>
      <c r="P121" s="445"/>
      <c r="Q121" s="445"/>
      <c r="R121" s="444"/>
      <c r="S121" s="444"/>
      <c r="T121" s="446"/>
      <c r="U121" s="446"/>
      <c r="V121" s="444"/>
      <c r="W121" s="444"/>
      <c r="X121" s="446"/>
      <c r="Y121" s="446"/>
      <c r="Z121" s="446"/>
      <c r="AA121" s="446"/>
      <c r="AB121" s="446"/>
      <c r="AC121" s="446"/>
      <c r="AD121" s="446"/>
      <c r="AE121" s="446"/>
      <c r="AF121" s="444"/>
      <c r="AG121" s="444"/>
      <c r="AH121" s="444"/>
      <c r="AI121" s="444"/>
      <c r="AJ121" s="444"/>
      <c r="AK121" s="444"/>
      <c r="AL121" s="444"/>
      <c r="AM121" s="445"/>
      <c r="AN121" s="444"/>
      <c r="AO121" s="444"/>
      <c r="AP121" s="444"/>
      <c r="AQ121" s="447"/>
      <c r="AR121" s="448"/>
      <c r="AS121" s="448"/>
      <c r="AT121" s="449"/>
      <c r="AU121" s="449"/>
      <c r="AV121" s="449"/>
    </row>
    <row r="122" spans="1:48" x14ac:dyDescent="0.35">
      <c r="A122" s="442"/>
      <c r="B122" s="117"/>
      <c r="C122" s="117"/>
      <c r="D122" s="443"/>
      <c r="E122" s="443"/>
      <c r="F122" s="444"/>
      <c r="G122" s="444"/>
      <c r="H122" s="444"/>
      <c r="I122" s="444"/>
      <c r="J122" s="444"/>
      <c r="K122" s="444"/>
      <c r="L122" s="444"/>
      <c r="M122" s="444"/>
      <c r="N122" s="445"/>
      <c r="O122" s="444"/>
      <c r="P122" s="445"/>
      <c r="Q122" s="445"/>
      <c r="R122" s="444"/>
      <c r="S122" s="444"/>
      <c r="T122" s="446"/>
      <c r="U122" s="446"/>
      <c r="V122" s="444"/>
      <c r="W122" s="444"/>
      <c r="X122" s="446"/>
      <c r="Y122" s="446"/>
      <c r="Z122" s="446"/>
      <c r="AA122" s="446"/>
      <c r="AB122" s="446"/>
      <c r="AC122" s="446"/>
      <c r="AD122" s="446"/>
      <c r="AE122" s="446"/>
      <c r="AF122" s="444"/>
      <c r="AG122" s="444"/>
      <c r="AH122" s="444"/>
      <c r="AI122" s="444"/>
      <c r="AJ122" s="444"/>
      <c r="AK122" s="444"/>
      <c r="AL122" s="444"/>
      <c r="AM122" s="445"/>
      <c r="AN122" s="444"/>
      <c r="AO122" s="444"/>
      <c r="AP122" s="444"/>
      <c r="AQ122" s="447"/>
      <c r="AR122" s="448"/>
      <c r="AS122" s="448"/>
      <c r="AT122" s="449"/>
      <c r="AU122" s="449"/>
      <c r="AV122" s="449"/>
    </row>
    <row r="123" spans="1:48" x14ac:dyDescent="0.35">
      <c r="A123" s="442"/>
      <c r="B123" s="117"/>
      <c r="C123" s="117"/>
      <c r="D123" s="443"/>
      <c r="E123" s="443"/>
      <c r="F123" s="444"/>
      <c r="G123" s="444"/>
      <c r="H123" s="444"/>
      <c r="I123" s="444"/>
      <c r="J123" s="444"/>
      <c r="K123" s="444"/>
      <c r="L123" s="444"/>
      <c r="M123" s="444"/>
      <c r="N123" s="445"/>
      <c r="O123" s="444"/>
      <c r="P123" s="445"/>
      <c r="Q123" s="445"/>
      <c r="R123" s="444"/>
      <c r="S123" s="444"/>
      <c r="T123" s="446"/>
      <c r="U123" s="446"/>
      <c r="V123" s="444"/>
      <c r="W123" s="444"/>
      <c r="X123" s="446"/>
      <c r="Y123" s="446"/>
      <c r="Z123" s="446"/>
      <c r="AA123" s="446"/>
      <c r="AB123" s="446"/>
      <c r="AC123" s="446"/>
      <c r="AD123" s="446"/>
      <c r="AE123" s="446"/>
      <c r="AF123" s="444"/>
      <c r="AG123" s="444"/>
      <c r="AH123" s="444"/>
      <c r="AI123" s="444"/>
      <c r="AJ123" s="444"/>
      <c r="AK123" s="444"/>
      <c r="AL123" s="444"/>
      <c r="AM123" s="445"/>
      <c r="AN123" s="444"/>
      <c r="AO123" s="444"/>
      <c r="AP123" s="444"/>
      <c r="AQ123" s="447"/>
      <c r="AR123" s="448"/>
      <c r="AS123" s="448"/>
      <c r="AT123" s="449"/>
      <c r="AU123" s="449"/>
      <c r="AV123" s="449"/>
    </row>
    <row r="124" spans="1:48" x14ac:dyDescent="0.35">
      <c r="A124" s="442"/>
      <c r="B124" s="117"/>
      <c r="C124" s="117"/>
      <c r="D124" s="443"/>
      <c r="E124" s="443"/>
      <c r="F124" s="444"/>
      <c r="G124" s="444"/>
      <c r="H124" s="444"/>
      <c r="I124" s="444"/>
      <c r="J124" s="444"/>
      <c r="K124" s="444"/>
      <c r="L124" s="444"/>
      <c r="M124" s="444"/>
      <c r="N124" s="445"/>
      <c r="O124" s="444"/>
      <c r="P124" s="445"/>
      <c r="Q124" s="445"/>
      <c r="R124" s="444"/>
      <c r="S124" s="444"/>
      <c r="T124" s="446"/>
      <c r="U124" s="446"/>
      <c r="V124" s="444"/>
      <c r="W124" s="444"/>
      <c r="X124" s="446"/>
      <c r="Y124" s="446"/>
      <c r="Z124" s="446"/>
      <c r="AA124" s="446"/>
      <c r="AB124" s="446"/>
      <c r="AC124" s="446"/>
      <c r="AD124" s="446"/>
      <c r="AE124" s="446"/>
      <c r="AF124" s="444"/>
      <c r="AG124" s="444"/>
      <c r="AH124" s="444"/>
      <c r="AI124" s="444"/>
      <c r="AJ124" s="444"/>
      <c r="AK124" s="444"/>
      <c r="AL124" s="444"/>
      <c r="AM124" s="445"/>
      <c r="AN124" s="444"/>
      <c r="AO124" s="444"/>
      <c r="AP124" s="444"/>
      <c r="AQ124" s="447"/>
      <c r="AR124" s="448"/>
      <c r="AS124" s="448"/>
      <c r="AT124" s="449"/>
      <c r="AU124" s="449"/>
      <c r="AV124" s="449"/>
    </row>
    <row r="125" spans="1:48" x14ac:dyDescent="0.35">
      <c r="A125" s="442"/>
      <c r="B125" s="117"/>
      <c r="C125" s="117"/>
      <c r="D125" s="443"/>
      <c r="E125" s="443"/>
      <c r="F125" s="444"/>
      <c r="G125" s="444"/>
      <c r="H125" s="444"/>
      <c r="I125" s="444"/>
      <c r="J125" s="444"/>
      <c r="K125" s="444"/>
      <c r="L125" s="444"/>
      <c r="M125" s="444"/>
      <c r="N125" s="445"/>
      <c r="O125" s="444"/>
      <c r="P125" s="445"/>
      <c r="Q125" s="445"/>
      <c r="R125" s="444"/>
      <c r="S125" s="444"/>
      <c r="T125" s="446"/>
      <c r="U125" s="446"/>
      <c r="V125" s="444"/>
      <c r="W125" s="444"/>
      <c r="X125" s="446"/>
      <c r="Y125" s="446"/>
      <c r="Z125" s="446"/>
      <c r="AA125" s="446"/>
      <c r="AB125" s="446"/>
      <c r="AC125" s="446"/>
      <c r="AD125" s="446"/>
      <c r="AE125" s="446"/>
      <c r="AF125" s="444"/>
      <c r="AG125" s="444"/>
      <c r="AH125" s="444"/>
      <c r="AI125" s="444"/>
      <c r="AJ125" s="444"/>
      <c r="AK125" s="444"/>
      <c r="AL125" s="444"/>
      <c r="AM125" s="445"/>
      <c r="AN125" s="444"/>
      <c r="AO125" s="444"/>
      <c r="AP125" s="444"/>
      <c r="AQ125" s="447"/>
      <c r="AR125" s="448"/>
      <c r="AS125" s="448"/>
      <c r="AT125" s="449"/>
      <c r="AU125" s="449"/>
      <c r="AV125" s="449"/>
    </row>
    <row r="126" spans="1:48" x14ac:dyDescent="0.35">
      <c r="A126" s="442"/>
      <c r="B126" s="117"/>
      <c r="C126" s="117"/>
      <c r="D126" s="443"/>
      <c r="E126" s="443"/>
      <c r="F126" s="444"/>
      <c r="G126" s="444"/>
      <c r="H126" s="444"/>
      <c r="I126" s="444"/>
      <c r="J126" s="444"/>
      <c r="K126" s="444"/>
      <c r="L126" s="444"/>
      <c r="M126" s="444"/>
      <c r="N126" s="445"/>
      <c r="O126" s="444"/>
      <c r="P126" s="445"/>
      <c r="Q126" s="445"/>
      <c r="R126" s="444"/>
      <c r="S126" s="444"/>
      <c r="T126" s="446"/>
      <c r="U126" s="446"/>
      <c r="V126" s="444"/>
      <c r="W126" s="444"/>
      <c r="X126" s="446"/>
      <c r="Y126" s="446"/>
      <c r="Z126" s="446"/>
      <c r="AA126" s="446"/>
      <c r="AB126" s="446"/>
      <c r="AC126" s="446"/>
      <c r="AD126" s="446"/>
      <c r="AE126" s="446"/>
      <c r="AF126" s="444"/>
      <c r="AG126" s="444"/>
      <c r="AH126" s="444"/>
      <c r="AI126" s="444"/>
      <c r="AJ126" s="444"/>
      <c r="AK126" s="444"/>
      <c r="AL126" s="444"/>
      <c r="AM126" s="445"/>
      <c r="AN126" s="444"/>
      <c r="AO126" s="444"/>
      <c r="AP126" s="444"/>
      <c r="AQ126" s="447"/>
      <c r="AR126" s="448"/>
      <c r="AS126" s="448"/>
      <c r="AT126" s="449"/>
      <c r="AU126" s="449"/>
      <c r="AV126" s="449"/>
    </row>
    <row r="127" spans="1:48" x14ac:dyDescent="0.35">
      <c r="A127" s="442"/>
      <c r="B127" s="117"/>
      <c r="C127" s="117"/>
      <c r="D127" s="443"/>
      <c r="E127" s="443"/>
      <c r="F127" s="444"/>
      <c r="G127" s="444"/>
      <c r="H127" s="444"/>
      <c r="I127" s="444"/>
      <c r="J127" s="444"/>
      <c r="K127" s="444"/>
      <c r="L127" s="444"/>
      <c r="M127" s="444"/>
      <c r="N127" s="445"/>
      <c r="O127" s="444"/>
      <c r="P127" s="445"/>
      <c r="Q127" s="445"/>
      <c r="R127" s="444"/>
      <c r="S127" s="444"/>
      <c r="T127" s="446"/>
      <c r="U127" s="446"/>
      <c r="V127" s="444"/>
      <c r="W127" s="444"/>
      <c r="X127" s="446"/>
      <c r="Y127" s="446"/>
      <c r="Z127" s="446"/>
      <c r="AA127" s="446"/>
      <c r="AB127" s="446"/>
      <c r="AC127" s="446"/>
      <c r="AD127" s="446"/>
      <c r="AE127" s="446"/>
      <c r="AF127" s="444"/>
      <c r="AG127" s="444"/>
      <c r="AH127" s="444"/>
      <c r="AI127" s="444"/>
      <c r="AJ127" s="444"/>
      <c r="AK127" s="444"/>
      <c r="AL127" s="444"/>
      <c r="AM127" s="445"/>
      <c r="AN127" s="444"/>
      <c r="AO127" s="444"/>
      <c r="AP127" s="444"/>
      <c r="AQ127" s="447"/>
      <c r="AR127" s="448"/>
      <c r="AS127" s="448"/>
      <c r="AT127" s="449"/>
      <c r="AU127" s="449"/>
      <c r="AV127" s="449"/>
    </row>
    <row r="128" spans="1:48" x14ac:dyDescent="0.35">
      <c r="A128" s="442"/>
      <c r="B128" s="117"/>
      <c r="C128" s="117"/>
      <c r="D128" s="443"/>
      <c r="E128" s="443"/>
      <c r="F128" s="444"/>
      <c r="G128" s="444"/>
      <c r="H128" s="444"/>
      <c r="I128" s="444"/>
      <c r="J128" s="444"/>
      <c r="K128" s="444"/>
      <c r="L128" s="444"/>
      <c r="M128" s="444"/>
      <c r="N128" s="445"/>
      <c r="O128" s="444"/>
      <c r="P128" s="445"/>
      <c r="Q128" s="445"/>
      <c r="R128" s="444"/>
      <c r="S128" s="444"/>
      <c r="T128" s="446"/>
      <c r="U128" s="446"/>
      <c r="V128" s="444"/>
      <c r="W128" s="444"/>
      <c r="X128" s="446"/>
      <c r="Y128" s="446"/>
      <c r="Z128" s="446"/>
      <c r="AA128" s="446"/>
      <c r="AB128" s="446"/>
      <c r="AC128" s="446"/>
      <c r="AD128" s="446"/>
      <c r="AE128" s="446"/>
      <c r="AF128" s="444"/>
      <c r="AG128" s="444"/>
      <c r="AH128" s="444"/>
      <c r="AI128" s="444"/>
      <c r="AJ128" s="444"/>
      <c r="AK128" s="444"/>
      <c r="AL128" s="444"/>
      <c r="AM128" s="445"/>
      <c r="AN128" s="444"/>
      <c r="AO128" s="444"/>
      <c r="AP128" s="444"/>
      <c r="AQ128" s="447"/>
      <c r="AR128" s="448"/>
      <c r="AS128" s="448"/>
      <c r="AT128" s="449"/>
      <c r="AU128" s="449"/>
      <c r="AV128" s="449"/>
    </row>
    <row r="129" spans="1:48" x14ac:dyDescent="0.35">
      <c r="A129" s="442"/>
      <c r="B129" s="117"/>
      <c r="C129" s="117"/>
      <c r="D129" s="443"/>
      <c r="E129" s="443"/>
      <c r="F129" s="444"/>
      <c r="G129" s="444"/>
      <c r="H129" s="444"/>
      <c r="I129" s="444"/>
      <c r="J129" s="444"/>
      <c r="K129" s="444"/>
      <c r="L129" s="444"/>
      <c r="M129" s="444"/>
      <c r="N129" s="445"/>
      <c r="O129" s="444"/>
      <c r="P129" s="445"/>
      <c r="Q129" s="445"/>
      <c r="R129" s="444"/>
      <c r="S129" s="444"/>
      <c r="T129" s="446"/>
      <c r="U129" s="446"/>
      <c r="V129" s="444"/>
      <c r="W129" s="444"/>
      <c r="X129" s="446"/>
      <c r="Y129" s="446"/>
      <c r="Z129" s="446"/>
      <c r="AA129" s="446"/>
      <c r="AB129" s="446"/>
      <c r="AC129" s="446"/>
      <c r="AD129" s="446"/>
      <c r="AE129" s="446"/>
      <c r="AF129" s="444"/>
      <c r="AG129" s="444"/>
      <c r="AH129" s="444"/>
      <c r="AI129" s="444"/>
      <c r="AJ129" s="444"/>
      <c r="AK129" s="444"/>
      <c r="AL129" s="444"/>
      <c r="AM129" s="445"/>
      <c r="AN129" s="444"/>
      <c r="AO129" s="444"/>
      <c r="AP129" s="444"/>
      <c r="AQ129" s="447"/>
      <c r="AR129" s="448"/>
      <c r="AS129" s="448"/>
      <c r="AT129" s="449"/>
      <c r="AU129" s="449"/>
      <c r="AV129" s="449"/>
    </row>
    <row r="130" spans="1:48" x14ac:dyDescent="0.35">
      <c r="A130" s="442"/>
      <c r="B130" s="117"/>
      <c r="C130" s="117"/>
      <c r="D130" s="443"/>
      <c r="E130" s="443"/>
      <c r="F130" s="444"/>
      <c r="G130" s="444"/>
      <c r="H130" s="444"/>
      <c r="I130" s="444"/>
      <c r="J130" s="444"/>
      <c r="K130" s="444"/>
      <c r="L130" s="444"/>
      <c r="M130" s="444"/>
      <c r="N130" s="445"/>
      <c r="O130" s="444"/>
      <c r="P130" s="445"/>
      <c r="Q130" s="445"/>
      <c r="R130" s="444"/>
      <c r="S130" s="444"/>
      <c r="T130" s="446"/>
      <c r="U130" s="446"/>
      <c r="V130" s="444"/>
      <c r="W130" s="444"/>
      <c r="X130" s="446"/>
      <c r="Y130" s="446"/>
      <c r="Z130" s="446"/>
      <c r="AA130" s="446"/>
      <c r="AB130" s="446"/>
      <c r="AC130" s="446"/>
      <c r="AD130" s="446"/>
      <c r="AE130" s="446"/>
      <c r="AF130" s="444"/>
      <c r="AG130" s="444"/>
      <c r="AH130" s="444"/>
      <c r="AI130" s="444"/>
      <c r="AJ130" s="444"/>
      <c r="AK130" s="444"/>
      <c r="AL130" s="444"/>
      <c r="AM130" s="445"/>
      <c r="AN130" s="444"/>
      <c r="AO130" s="444"/>
      <c r="AP130" s="444"/>
      <c r="AQ130" s="447"/>
      <c r="AR130" s="448"/>
      <c r="AS130" s="448"/>
      <c r="AT130" s="449"/>
      <c r="AU130" s="449"/>
      <c r="AV130" s="449"/>
    </row>
    <row r="131" spans="1:48" x14ac:dyDescent="0.35">
      <c r="A131" s="442"/>
      <c r="B131" s="117"/>
      <c r="C131" s="117"/>
      <c r="D131" s="443"/>
      <c r="E131" s="443"/>
      <c r="F131" s="444"/>
      <c r="G131" s="444"/>
      <c r="H131" s="444"/>
      <c r="I131" s="444"/>
      <c r="J131" s="444"/>
      <c r="K131" s="444"/>
      <c r="L131" s="444"/>
      <c r="M131" s="444"/>
      <c r="N131" s="445"/>
      <c r="O131" s="444"/>
      <c r="P131" s="445"/>
      <c r="Q131" s="445"/>
      <c r="R131" s="444"/>
      <c r="S131" s="444"/>
      <c r="T131" s="446"/>
      <c r="U131" s="446"/>
      <c r="V131" s="444"/>
      <c r="W131" s="444"/>
      <c r="X131" s="446"/>
      <c r="Y131" s="446"/>
      <c r="Z131" s="446"/>
      <c r="AA131" s="446"/>
      <c r="AB131" s="446"/>
      <c r="AC131" s="446"/>
      <c r="AD131" s="446"/>
      <c r="AE131" s="446"/>
      <c r="AF131" s="444"/>
      <c r="AG131" s="444"/>
      <c r="AH131" s="444"/>
      <c r="AI131" s="444"/>
      <c r="AJ131" s="444"/>
      <c r="AK131" s="444"/>
      <c r="AL131" s="444"/>
      <c r="AM131" s="445"/>
      <c r="AN131" s="444"/>
      <c r="AO131" s="444"/>
      <c r="AP131" s="444"/>
      <c r="AQ131" s="447"/>
      <c r="AR131" s="448"/>
      <c r="AS131" s="448"/>
      <c r="AT131" s="449"/>
      <c r="AU131" s="449"/>
      <c r="AV131" s="449"/>
    </row>
    <row r="132" spans="1:48" x14ac:dyDescent="0.35">
      <c r="A132" s="442"/>
      <c r="B132" s="117"/>
      <c r="C132" s="117"/>
      <c r="D132" s="443"/>
      <c r="E132" s="443"/>
      <c r="F132" s="444"/>
      <c r="G132" s="444"/>
      <c r="H132" s="444"/>
      <c r="I132" s="444"/>
      <c r="J132" s="444"/>
      <c r="K132" s="444"/>
      <c r="L132" s="444"/>
      <c r="M132" s="444"/>
      <c r="N132" s="445"/>
      <c r="O132" s="444"/>
      <c r="P132" s="445"/>
      <c r="Q132" s="445"/>
      <c r="R132" s="444"/>
      <c r="S132" s="444"/>
      <c r="T132" s="446"/>
      <c r="U132" s="446"/>
      <c r="V132" s="444"/>
      <c r="W132" s="444"/>
      <c r="X132" s="446"/>
      <c r="Y132" s="446"/>
      <c r="Z132" s="446"/>
      <c r="AA132" s="446"/>
      <c r="AB132" s="446"/>
      <c r="AC132" s="446"/>
      <c r="AD132" s="446"/>
      <c r="AE132" s="446"/>
      <c r="AF132" s="444"/>
      <c r="AG132" s="444"/>
      <c r="AH132" s="444"/>
      <c r="AI132" s="444"/>
      <c r="AJ132" s="444"/>
      <c r="AK132" s="444"/>
      <c r="AL132" s="444"/>
      <c r="AM132" s="445"/>
      <c r="AN132" s="444"/>
      <c r="AO132" s="444"/>
      <c r="AP132" s="444"/>
      <c r="AQ132" s="447"/>
      <c r="AR132" s="448"/>
      <c r="AS132" s="448"/>
      <c r="AT132" s="449"/>
      <c r="AU132" s="449"/>
      <c r="AV132" s="449"/>
    </row>
    <row r="133" spans="1:48" x14ac:dyDescent="0.35">
      <c r="A133" s="442"/>
      <c r="B133" s="117"/>
      <c r="C133" s="117"/>
      <c r="D133" s="443"/>
      <c r="E133" s="443"/>
      <c r="F133" s="444"/>
      <c r="G133" s="444"/>
      <c r="H133" s="444"/>
      <c r="I133" s="444"/>
      <c r="J133" s="444"/>
      <c r="K133" s="444"/>
      <c r="L133" s="444"/>
      <c r="M133" s="444"/>
      <c r="N133" s="445"/>
      <c r="O133" s="444"/>
      <c r="P133" s="445"/>
      <c r="Q133" s="445"/>
      <c r="R133" s="444"/>
      <c r="S133" s="444"/>
      <c r="T133" s="446"/>
      <c r="U133" s="446"/>
      <c r="V133" s="444"/>
      <c r="W133" s="444"/>
      <c r="X133" s="446"/>
      <c r="Y133" s="446"/>
      <c r="Z133" s="446"/>
      <c r="AA133" s="446"/>
      <c r="AB133" s="446"/>
      <c r="AC133" s="446"/>
      <c r="AD133" s="446"/>
      <c r="AE133" s="446"/>
      <c r="AF133" s="444"/>
      <c r="AG133" s="444"/>
      <c r="AH133" s="444"/>
      <c r="AI133" s="444"/>
      <c r="AJ133" s="444"/>
      <c r="AK133" s="444"/>
      <c r="AL133" s="444"/>
      <c r="AM133" s="445"/>
      <c r="AN133" s="444"/>
      <c r="AO133" s="444"/>
      <c r="AP133" s="444"/>
      <c r="AQ133" s="447"/>
      <c r="AR133" s="448"/>
      <c r="AS133" s="448"/>
      <c r="AT133" s="449"/>
      <c r="AU133" s="449"/>
      <c r="AV133" s="449"/>
    </row>
    <row r="134" spans="1:48" x14ac:dyDescent="0.35">
      <c r="A134" s="442"/>
      <c r="B134" s="117"/>
      <c r="C134" s="117"/>
      <c r="D134" s="443"/>
      <c r="E134" s="443"/>
      <c r="F134" s="444"/>
      <c r="G134" s="444"/>
      <c r="H134" s="444"/>
      <c r="I134" s="444"/>
      <c r="J134" s="444"/>
      <c r="K134" s="444"/>
      <c r="L134" s="444"/>
      <c r="M134" s="444"/>
      <c r="N134" s="445"/>
      <c r="O134" s="444"/>
      <c r="P134" s="445"/>
      <c r="Q134" s="445"/>
      <c r="R134" s="444"/>
      <c r="S134" s="444"/>
      <c r="T134" s="446"/>
      <c r="U134" s="446"/>
      <c r="V134" s="444"/>
      <c r="W134" s="444"/>
      <c r="X134" s="446"/>
      <c r="Y134" s="446"/>
      <c r="Z134" s="446"/>
      <c r="AA134" s="446"/>
      <c r="AB134" s="446"/>
      <c r="AC134" s="446"/>
      <c r="AD134" s="446"/>
      <c r="AE134" s="446"/>
      <c r="AF134" s="444"/>
      <c r="AG134" s="444"/>
      <c r="AH134" s="444"/>
      <c r="AI134" s="444"/>
      <c r="AJ134" s="444"/>
      <c r="AK134" s="444"/>
      <c r="AL134" s="444"/>
      <c r="AM134" s="445"/>
      <c r="AN134" s="444"/>
      <c r="AO134" s="444"/>
      <c r="AP134" s="444"/>
      <c r="AQ134" s="447"/>
      <c r="AR134" s="448"/>
      <c r="AS134" s="448"/>
      <c r="AT134" s="449"/>
      <c r="AU134" s="449"/>
      <c r="AV134" s="449"/>
    </row>
    <row r="135" spans="1:48" x14ac:dyDescent="0.35">
      <c r="A135" s="442"/>
      <c r="B135" s="117"/>
      <c r="C135" s="117"/>
      <c r="D135" s="443"/>
      <c r="E135" s="443"/>
      <c r="F135" s="444"/>
      <c r="G135" s="444"/>
      <c r="H135" s="444"/>
      <c r="I135" s="444"/>
      <c r="J135" s="444"/>
      <c r="K135" s="444"/>
      <c r="L135" s="444"/>
      <c r="M135" s="444"/>
      <c r="N135" s="445"/>
      <c r="O135" s="444"/>
      <c r="P135" s="445"/>
      <c r="Q135" s="445"/>
      <c r="R135" s="444"/>
      <c r="S135" s="444"/>
      <c r="T135" s="446"/>
      <c r="U135" s="446"/>
      <c r="V135" s="444"/>
      <c r="W135" s="444"/>
      <c r="X135" s="446"/>
      <c r="Y135" s="446"/>
      <c r="Z135" s="446"/>
      <c r="AA135" s="446"/>
      <c r="AB135" s="446"/>
      <c r="AC135" s="446"/>
      <c r="AD135" s="446"/>
      <c r="AE135" s="446"/>
      <c r="AF135" s="444"/>
      <c r="AG135" s="444"/>
      <c r="AH135" s="444"/>
      <c r="AI135" s="444"/>
      <c r="AJ135" s="444"/>
      <c r="AK135" s="444"/>
      <c r="AL135" s="444"/>
      <c r="AM135" s="445"/>
      <c r="AN135" s="444"/>
      <c r="AO135" s="444"/>
      <c r="AP135" s="444"/>
      <c r="AQ135" s="447"/>
      <c r="AR135" s="448"/>
      <c r="AS135" s="448"/>
      <c r="AT135" s="449"/>
      <c r="AU135" s="449"/>
      <c r="AV135" s="449"/>
    </row>
    <row r="136" spans="1:48" x14ac:dyDescent="0.35">
      <c r="A136" s="442"/>
      <c r="B136" s="117"/>
      <c r="C136" s="117"/>
      <c r="D136" s="443"/>
      <c r="E136" s="443"/>
      <c r="F136" s="444"/>
      <c r="G136" s="444"/>
      <c r="H136" s="444"/>
      <c r="I136" s="444"/>
      <c r="J136" s="444"/>
      <c r="K136" s="444"/>
      <c r="L136" s="444"/>
      <c r="M136" s="444"/>
      <c r="N136" s="445"/>
      <c r="O136" s="444"/>
      <c r="P136" s="445"/>
      <c r="Q136" s="445"/>
      <c r="R136" s="444"/>
      <c r="S136" s="444"/>
      <c r="T136" s="446"/>
      <c r="U136" s="446"/>
      <c r="V136" s="444"/>
      <c r="W136" s="444"/>
      <c r="X136" s="446"/>
      <c r="Y136" s="446"/>
      <c r="Z136" s="446"/>
      <c r="AA136" s="446"/>
      <c r="AB136" s="446"/>
      <c r="AC136" s="446"/>
      <c r="AD136" s="446"/>
      <c r="AE136" s="446"/>
      <c r="AF136" s="444"/>
      <c r="AG136" s="444"/>
      <c r="AH136" s="444"/>
      <c r="AI136" s="444"/>
      <c r="AJ136" s="444"/>
      <c r="AK136" s="444"/>
      <c r="AL136" s="444"/>
      <c r="AM136" s="445"/>
      <c r="AN136" s="444"/>
      <c r="AO136" s="444"/>
      <c r="AP136" s="444"/>
      <c r="AQ136" s="447"/>
      <c r="AR136" s="448"/>
      <c r="AS136" s="448"/>
      <c r="AT136" s="449"/>
      <c r="AU136" s="449"/>
      <c r="AV136" s="449"/>
    </row>
    <row r="137" spans="1:48" x14ac:dyDescent="0.35">
      <c r="A137" s="442"/>
      <c r="B137" s="117"/>
      <c r="C137" s="117"/>
      <c r="D137" s="443"/>
      <c r="E137" s="443"/>
      <c r="F137" s="444"/>
      <c r="G137" s="444"/>
      <c r="H137" s="444"/>
      <c r="I137" s="444"/>
      <c r="J137" s="444"/>
      <c r="K137" s="444"/>
      <c r="L137" s="444"/>
      <c r="M137" s="444"/>
      <c r="N137" s="445"/>
      <c r="O137" s="444"/>
      <c r="P137" s="445"/>
      <c r="Q137" s="445"/>
      <c r="R137" s="444"/>
      <c r="S137" s="444"/>
      <c r="T137" s="446"/>
      <c r="U137" s="446"/>
      <c r="V137" s="444"/>
      <c r="W137" s="444"/>
      <c r="X137" s="446"/>
      <c r="Y137" s="446"/>
      <c r="Z137" s="446"/>
      <c r="AA137" s="446"/>
      <c r="AB137" s="446"/>
      <c r="AC137" s="446"/>
      <c r="AD137" s="446"/>
      <c r="AE137" s="446"/>
      <c r="AF137" s="444"/>
      <c r="AG137" s="444"/>
      <c r="AH137" s="444"/>
      <c r="AI137" s="444"/>
      <c r="AJ137" s="444"/>
      <c r="AK137" s="444"/>
      <c r="AL137" s="444"/>
      <c r="AM137" s="445"/>
      <c r="AN137" s="444"/>
      <c r="AO137" s="444"/>
      <c r="AP137" s="444"/>
      <c r="AQ137" s="447"/>
      <c r="AR137" s="448"/>
      <c r="AS137" s="448"/>
      <c r="AT137" s="449"/>
      <c r="AU137" s="449"/>
      <c r="AV137" s="449"/>
    </row>
    <row r="138" spans="1:48" x14ac:dyDescent="0.35">
      <c r="A138" s="442"/>
      <c r="B138" s="117"/>
      <c r="C138" s="117"/>
      <c r="D138" s="443"/>
      <c r="E138" s="443"/>
      <c r="F138" s="444"/>
      <c r="G138" s="444"/>
      <c r="H138" s="444"/>
      <c r="I138" s="444"/>
      <c r="J138" s="444"/>
      <c r="K138" s="444"/>
      <c r="L138" s="444"/>
      <c r="M138" s="444"/>
      <c r="N138" s="445"/>
      <c r="O138" s="444"/>
      <c r="P138" s="445"/>
      <c r="Q138" s="445"/>
      <c r="R138" s="444"/>
      <c r="S138" s="444"/>
      <c r="T138" s="446"/>
      <c r="U138" s="446"/>
      <c r="V138" s="444"/>
      <c r="W138" s="444"/>
      <c r="X138" s="446"/>
      <c r="Y138" s="446"/>
      <c r="Z138" s="446"/>
      <c r="AA138" s="446"/>
      <c r="AB138" s="446"/>
      <c r="AC138" s="446"/>
      <c r="AD138" s="446"/>
      <c r="AE138" s="446"/>
      <c r="AF138" s="444"/>
      <c r="AG138" s="444"/>
      <c r="AH138" s="444"/>
      <c r="AI138" s="444"/>
      <c r="AJ138" s="444"/>
      <c r="AK138" s="444"/>
      <c r="AL138" s="444"/>
      <c r="AM138" s="445"/>
      <c r="AN138" s="444"/>
      <c r="AO138" s="444"/>
      <c r="AP138" s="444"/>
      <c r="AQ138" s="447"/>
      <c r="AR138" s="448"/>
      <c r="AS138" s="448"/>
      <c r="AT138" s="449"/>
      <c r="AU138" s="449"/>
      <c r="AV138" s="449"/>
    </row>
    <row r="139" spans="1:48" x14ac:dyDescent="0.35">
      <c r="A139" s="442"/>
      <c r="B139" s="117"/>
      <c r="C139" s="117"/>
      <c r="D139" s="443"/>
      <c r="E139" s="443"/>
      <c r="F139" s="444"/>
      <c r="G139" s="444"/>
      <c r="H139" s="444"/>
      <c r="I139" s="444"/>
      <c r="J139" s="444"/>
      <c r="K139" s="444"/>
      <c r="L139" s="444"/>
      <c r="M139" s="444"/>
      <c r="N139" s="445"/>
      <c r="O139" s="444"/>
      <c r="P139" s="445"/>
      <c r="Q139" s="445"/>
      <c r="R139" s="444"/>
      <c r="S139" s="444"/>
      <c r="T139" s="446"/>
      <c r="U139" s="446"/>
      <c r="V139" s="444"/>
      <c r="W139" s="444"/>
      <c r="X139" s="446"/>
      <c r="Y139" s="446"/>
      <c r="Z139" s="446"/>
      <c r="AA139" s="446"/>
      <c r="AB139" s="446"/>
      <c r="AC139" s="446"/>
      <c r="AD139" s="446"/>
      <c r="AE139" s="446"/>
      <c r="AF139" s="444"/>
      <c r="AG139" s="444"/>
      <c r="AH139" s="444"/>
      <c r="AI139" s="444"/>
      <c r="AJ139" s="444"/>
      <c r="AK139" s="444"/>
      <c r="AL139" s="444"/>
      <c r="AM139" s="445"/>
      <c r="AN139" s="444"/>
      <c r="AO139" s="444"/>
      <c r="AP139" s="444"/>
      <c r="AQ139" s="447"/>
      <c r="AR139" s="448"/>
      <c r="AS139" s="448"/>
      <c r="AT139" s="449"/>
      <c r="AU139" s="449"/>
      <c r="AV139" s="449"/>
    </row>
    <row r="140" spans="1:48" x14ac:dyDescent="0.35">
      <c r="A140" s="442"/>
      <c r="B140" s="117"/>
      <c r="C140" s="117"/>
      <c r="D140" s="443"/>
      <c r="E140" s="443"/>
      <c r="F140" s="444"/>
      <c r="G140" s="444"/>
      <c r="H140" s="444"/>
      <c r="I140" s="444"/>
      <c r="J140" s="444"/>
      <c r="K140" s="444"/>
      <c r="L140" s="444"/>
      <c r="M140" s="444"/>
      <c r="N140" s="445"/>
      <c r="O140" s="444"/>
      <c r="P140" s="445"/>
      <c r="Q140" s="445"/>
      <c r="R140" s="444"/>
      <c r="S140" s="444"/>
      <c r="T140" s="446"/>
      <c r="U140" s="446"/>
      <c r="V140" s="444"/>
      <c r="W140" s="444"/>
      <c r="X140" s="446"/>
      <c r="Y140" s="446"/>
      <c r="Z140" s="446"/>
      <c r="AA140" s="446"/>
      <c r="AB140" s="446"/>
      <c r="AC140" s="446"/>
      <c r="AD140" s="446"/>
      <c r="AE140" s="446"/>
      <c r="AF140" s="444"/>
      <c r="AG140" s="444"/>
      <c r="AH140" s="444"/>
      <c r="AI140" s="444"/>
      <c r="AJ140" s="444"/>
      <c r="AK140" s="444"/>
      <c r="AL140" s="444"/>
      <c r="AM140" s="445"/>
      <c r="AN140" s="444"/>
      <c r="AO140" s="444"/>
      <c r="AP140" s="444"/>
      <c r="AQ140" s="447"/>
      <c r="AR140" s="448"/>
      <c r="AS140" s="448"/>
      <c r="AT140" s="449"/>
      <c r="AU140" s="449"/>
      <c r="AV140" s="449"/>
    </row>
    <row r="141" spans="1:48" x14ac:dyDescent="0.35">
      <c r="A141" s="442"/>
      <c r="B141" s="117"/>
      <c r="C141" s="117"/>
      <c r="D141" s="443"/>
      <c r="E141" s="443"/>
      <c r="F141" s="444"/>
      <c r="G141" s="444"/>
      <c r="H141" s="444"/>
      <c r="I141" s="444"/>
      <c r="J141" s="444"/>
      <c r="K141" s="444"/>
      <c r="L141" s="444"/>
      <c r="M141" s="444"/>
      <c r="N141" s="445"/>
      <c r="O141" s="444"/>
      <c r="P141" s="445"/>
      <c r="Q141" s="445"/>
      <c r="R141" s="444"/>
      <c r="S141" s="444"/>
      <c r="T141" s="446"/>
      <c r="U141" s="446"/>
      <c r="V141" s="444"/>
      <c r="W141" s="444"/>
      <c r="X141" s="446"/>
      <c r="Y141" s="446"/>
      <c r="Z141" s="446"/>
      <c r="AA141" s="446"/>
      <c r="AB141" s="446"/>
      <c r="AC141" s="446"/>
      <c r="AD141" s="446"/>
      <c r="AE141" s="446"/>
      <c r="AF141" s="444"/>
      <c r="AG141" s="444"/>
      <c r="AH141" s="444"/>
      <c r="AI141" s="444"/>
      <c r="AJ141" s="444"/>
      <c r="AK141" s="444"/>
      <c r="AL141" s="444"/>
      <c r="AM141" s="445"/>
      <c r="AN141" s="444"/>
      <c r="AO141" s="444"/>
      <c r="AP141" s="444"/>
      <c r="AQ141" s="447"/>
      <c r="AR141" s="448"/>
      <c r="AS141" s="448"/>
      <c r="AT141" s="449"/>
      <c r="AU141" s="449"/>
      <c r="AV141" s="449"/>
    </row>
    <row r="142" spans="1:48" x14ac:dyDescent="0.35">
      <c r="A142" s="442"/>
      <c r="B142" s="117"/>
      <c r="C142" s="117"/>
      <c r="D142" s="443"/>
      <c r="E142" s="443"/>
      <c r="F142" s="444"/>
      <c r="G142" s="444"/>
      <c r="H142" s="444"/>
      <c r="I142" s="444"/>
      <c r="J142" s="444"/>
      <c r="K142" s="444"/>
      <c r="L142" s="444"/>
      <c r="M142" s="444"/>
      <c r="N142" s="445"/>
      <c r="O142" s="444"/>
      <c r="P142" s="445"/>
      <c r="Q142" s="445"/>
      <c r="R142" s="444"/>
      <c r="S142" s="444"/>
      <c r="T142" s="446"/>
      <c r="U142" s="446"/>
      <c r="V142" s="444"/>
      <c r="W142" s="444"/>
      <c r="X142" s="446"/>
      <c r="Y142" s="446"/>
      <c r="Z142" s="446"/>
      <c r="AA142" s="446"/>
      <c r="AB142" s="446"/>
      <c r="AC142" s="446"/>
      <c r="AD142" s="446"/>
      <c r="AE142" s="446"/>
      <c r="AF142" s="444"/>
      <c r="AG142" s="444"/>
      <c r="AH142" s="444"/>
      <c r="AI142" s="444"/>
      <c r="AJ142" s="444"/>
      <c r="AK142" s="444"/>
      <c r="AL142" s="444"/>
      <c r="AM142" s="445"/>
      <c r="AN142" s="444"/>
      <c r="AO142" s="444"/>
      <c r="AP142" s="444"/>
      <c r="AQ142" s="447"/>
      <c r="AR142" s="448"/>
      <c r="AS142" s="448"/>
      <c r="AT142" s="449"/>
      <c r="AU142" s="449"/>
      <c r="AV142" s="449"/>
    </row>
    <row r="143" spans="1:48" x14ac:dyDescent="0.35">
      <c r="A143" s="442"/>
      <c r="B143" s="117"/>
      <c r="C143" s="117"/>
      <c r="D143" s="443"/>
      <c r="E143" s="443"/>
      <c r="F143" s="444"/>
      <c r="G143" s="444"/>
      <c r="H143" s="444"/>
      <c r="I143" s="444"/>
      <c r="J143" s="444"/>
      <c r="K143" s="444"/>
      <c r="L143" s="444"/>
      <c r="M143" s="444"/>
      <c r="N143" s="445"/>
      <c r="O143" s="444"/>
      <c r="P143" s="445"/>
      <c r="Q143" s="445"/>
      <c r="R143" s="444"/>
      <c r="S143" s="444"/>
      <c r="T143" s="446"/>
      <c r="U143" s="446"/>
      <c r="V143" s="444"/>
      <c r="W143" s="444"/>
      <c r="X143" s="446"/>
      <c r="Y143" s="446"/>
      <c r="Z143" s="446"/>
      <c r="AA143" s="446"/>
      <c r="AB143" s="446"/>
      <c r="AC143" s="446"/>
      <c r="AD143" s="446"/>
      <c r="AE143" s="446"/>
      <c r="AF143" s="444"/>
      <c r="AG143" s="444"/>
      <c r="AH143" s="444"/>
      <c r="AI143" s="444"/>
      <c r="AJ143" s="444"/>
      <c r="AK143" s="444"/>
      <c r="AL143" s="444"/>
      <c r="AM143" s="445"/>
      <c r="AN143" s="444"/>
      <c r="AO143" s="444"/>
      <c r="AP143" s="444"/>
      <c r="AQ143" s="447"/>
      <c r="AR143" s="448"/>
      <c r="AS143" s="448"/>
      <c r="AT143" s="449"/>
      <c r="AU143" s="449"/>
      <c r="AV143" s="449"/>
    </row>
    <row r="144" spans="1:48" x14ac:dyDescent="0.35">
      <c r="A144" s="442"/>
      <c r="B144" s="117"/>
      <c r="C144" s="117"/>
      <c r="D144" s="443"/>
      <c r="E144" s="443"/>
      <c r="F144" s="444"/>
      <c r="G144" s="444"/>
      <c r="H144" s="444"/>
      <c r="I144" s="444"/>
      <c r="J144" s="444"/>
      <c r="K144" s="444"/>
      <c r="L144" s="444"/>
      <c r="M144" s="444"/>
      <c r="N144" s="445"/>
      <c r="O144" s="444"/>
      <c r="P144" s="445"/>
      <c r="Q144" s="445"/>
      <c r="R144" s="444"/>
      <c r="S144" s="444"/>
      <c r="T144" s="446"/>
      <c r="U144" s="446"/>
      <c r="V144" s="444"/>
      <c r="W144" s="444"/>
      <c r="X144" s="446"/>
      <c r="Y144" s="446"/>
      <c r="Z144" s="446"/>
      <c r="AA144" s="446"/>
      <c r="AB144" s="446"/>
      <c r="AC144" s="446"/>
      <c r="AD144" s="446"/>
      <c r="AE144" s="446"/>
      <c r="AF144" s="444"/>
      <c r="AG144" s="444"/>
      <c r="AH144" s="444"/>
      <c r="AI144" s="444"/>
      <c r="AJ144" s="444"/>
      <c r="AK144" s="444"/>
      <c r="AL144" s="444"/>
      <c r="AM144" s="445"/>
      <c r="AN144" s="444"/>
      <c r="AO144" s="444"/>
      <c r="AP144" s="444"/>
      <c r="AQ144" s="447"/>
      <c r="AR144" s="448"/>
      <c r="AS144" s="448"/>
      <c r="AT144" s="449"/>
      <c r="AU144" s="449"/>
      <c r="AV144" s="449"/>
    </row>
    <row r="145" spans="1:48" x14ac:dyDescent="0.35">
      <c r="A145" s="442"/>
      <c r="B145" s="117"/>
      <c r="C145" s="117"/>
      <c r="D145" s="443"/>
      <c r="E145" s="443"/>
      <c r="F145" s="444"/>
      <c r="G145" s="444"/>
      <c r="H145" s="444"/>
      <c r="I145" s="444"/>
      <c r="J145" s="444"/>
      <c r="K145" s="444"/>
      <c r="L145" s="444"/>
      <c r="M145" s="444"/>
      <c r="N145" s="445"/>
      <c r="O145" s="444"/>
      <c r="P145" s="445"/>
      <c r="Q145" s="445"/>
      <c r="R145" s="444"/>
      <c r="S145" s="444"/>
      <c r="T145" s="446"/>
      <c r="U145" s="446"/>
      <c r="V145" s="444"/>
      <c r="W145" s="444"/>
      <c r="X145" s="446"/>
      <c r="Y145" s="446"/>
      <c r="Z145" s="446"/>
      <c r="AA145" s="446"/>
      <c r="AB145" s="446"/>
      <c r="AC145" s="446"/>
      <c r="AD145" s="446"/>
      <c r="AE145" s="446"/>
      <c r="AF145" s="444"/>
      <c r="AG145" s="444"/>
      <c r="AH145" s="444"/>
      <c r="AI145" s="444"/>
      <c r="AJ145" s="444"/>
      <c r="AK145" s="444"/>
      <c r="AL145" s="444"/>
      <c r="AM145" s="445"/>
      <c r="AN145" s="444"/>
      <c r="AO145" s="444"/>
      <c r="AP145" s="444"/>
      <c r="AQ145" s="447"/>
      <c r="AR145" s="448"/>
      <c r="AS145" s="448"/>
      <c r="AT145" s="449"/>
      <c r="AU145" s="449"/>
      <c r="AV145" s="449"/>
    </row>
    <row r="146" spans="1:48" x14ac:dyDescent="0.35">
      <c r="A146" s="442"/>
      <c r="B146" s="117"/>
      <c r="C146" s="117"/>
      <c r="D146" s="443"/>
      <c r="E146" s="443"/>
      <c r="F146" s="444"/>
      <c r="G146" s="444"/>
      <c r="H146" s="444"/>
      <c r="I146" s="444"/>
      <c r="J146" s="444"/>
      <c r="K146" s="444"/>
      <c r="L146" s="444"/>
      <c r="M146" s="444"/>
      <c r="N146" s="445"/>
      <c r="O146" s="444"/>
      <c r="P146" s="445"/>
      <c r="Q146" s="445"/>
      <c r="R146" s="444"/>
      <c r="S146" s="444"/>
      <c r="T146" s="446"/>
      <c r="U146" s="446"/>
      <c r="V146" s="444"/>
      <c r="W146" s="444"/>
      <c r="X146" s="446"/>
      <c r="Y146" s="446"/>
      <c r="Z146" s="446"/>
      <c r="AA146" s="446"/>
      <c r="AB146" s="446"/>
      <c r="AC146" s="446"/>
      <c r="AD146" s="446"/>
      <c r="AE146" s="446"/>
      <c r="AF146" s="444"/>
      <c r="AG146" s="444"/>
      <c r="AH146" s="444"/>
      <c r="AI146" s="444"/>
      <c r="AJ146" s="444"/>
      <c r="AK146" s="444"/>
      <c r="AL146" s="444"/>
      <c r="AM146" s="445"/>
      <c r="AN146" s="444"/>
      <c r="AO146" s="444"/>
      <c r="AP146" s="444"/>
      <c r="AQ146" s="447"/>
      <c r="AR146" s="448"/>
      <c r="AS146" s="448"/>
      <c r="AT146" s="449"/>
      <c r="AU146" s="449"/>
      <c r="AV146" s="449"/>
    </row>
    <row r="147" spans="1:48" x14ac:dyDescent="0.35">
      <c r="A147" s="442"/>
      <c r="B147" s="117"/>
      <c r="C147" s="117"/>
      <c r="D147" s="443"/>
      <c r="E147" s="443"/>
      <c r="F147" s="444"/>
      <c r="G147" s="444"/>
      <c r="H147" s="444"/>
      <c r="I147" s="444"/>
      <c r="J147" s="444"/>
      <c r="K147" s="444"/>
      <c r="L147" s="444"/>
      <c r="M147" s="444"/>
      <c r="N147" s="445"/>
      <c r="O147" s="444"/>
      <c r="P147" s="445"/>
      <c r="Q147" s="445"/>
      <c r="R147" s="444"/>
      <c r="S147" s="444"/>
      <c r="T147" s="446"/>
      <c r="U147" s="446"/>
      <c r="V147" s="444"/>
      <c r="W147" s="444"/>
      <c r="X147" s="446"/>
      <c r="Y147" s="446"/>
      <c r="Z147" s="446"/>
      <c r="AA147" s="446"/>
      <c r="AB147" s="446"/>
      <c r="AC147" s="446"/>
      <c r="AD147" s="446"/>
      <c r="AE147" s="446"/>
      <c r="AF147" s="444"/>
      <c r="AG147" s="444"/>
      <c r="AH147" s="444"/>
      <c r="AI147" s="444"/>
      <c r="AJ147" s="444"/>
      <c r="AK147" s="444"/>
      <c r="AL147" s="444"/>
      <c r="AM147" s="445"/>
      <c r="AN147" s="444"/>
      <c r="AO147" s="444"/>
      <c r="AP147" s="444"/>
      <c r="AQ147" s="447"/>
      <c r="AR147" s="448"/>
      <c r="AS147" s="448"/>
      <c r="AT147" s="449"/>
      <c r="AU147" s="449"/>
      <c r="AV147" s="449"/>
    </row>
    <row r="148" spans="1:48" x14ac:dyDescent="0.35">
      <c r="A148" s="442"/>
      <c r="B148" s="117"/>
      <c r="C148" s="117"/>
      <c r="D148" s="443"/>
      <c r="E148" s="443"/>
      <c r="F148" s="444"/>
      <c r="G148" s="444"/>
      <c r="H148" s="444"/>
      <c r="I148" s="444"/>
      <c r="J148" s="444"/>
      <c r="K148" s="444"/>
      <c r="L148" s="444"/>
      <c r="M148" s="444"/>
      <c r="N148" s="445"/>
      <c r="O148" s="444"/>
      <c r="P148" s="445"/>
      <c r="Q148" s="445"/>
      <c r="R148" s="444"/>
      <c r="S148" s="444"/>
      <c r="T148" s="446"/>
      <c r="U148" s="446"/>
      <c r="V148" s="444"/>
      <c r="W148" s="444"/>
      <c r="X148" s="446"/>
      <c r="Y148" s="446"/>
      <c r="Z148" s="446"/>
      <c r="AA148" s="446"/>
      <c r="AB148" s="446"/>
      <c r="AC148" s="446"/>
      <c r="AD148" s="446"/>
      <c r="AE148" s="446"/>
      <c r="AF148" s="444"/>
      <c r="AG148" s="444"/>
      <c r="AH148" s="444"/>
      <c r="AI148" s="444"/>
      <c r="AJ148" s="444"/>
      <c r="AK148" s="444"/>
      <c r="AL148" s="444"/>
      <c r="AM148" s="445"/>
      <c r="AN148" s="444"/>
      <c r="AO148" s="444"/>
      <c r="AP148" s="444"/>
      <c r="AQ148" s="447"/>
      <c r="AR148" s="448"/>
      <c r="AS148" s="448"/>
      <c r="AT148" s="449"/>
      <c r="AU148" s="449"/>
      <c r="AV148" s="449"/>
    </row>
    <row r="149" spans="1:48" x14ac:dyDescent="0.35">
      <c r="A149" s="442"/>
      <c r="B149" s="117"/>
      <c r="C149" s="117"/>
      <c r="D149" s="443"/>
      <c r="E149" s="443"/>
      <c r="F149" s="444"/>
      <c r="G149" s="444"/>
      <c r="H149" s="444"/>
      <c r="I149" s="444"/>
      <c r="J149" s="444"/>
      <c r="K149" s="444"/>
      <c r="L149" s="444"/>
      <c r="M149" s="444"/>
      <c r="N149" s="445"/>
      <c r="O149" s="444"/>
      <c r="P149" s="445"/>
      <c r="Q149" s="445"/>
      <c r="R149" s="444"/>
      <c r="S149" s="444"/>
      <c r="T149" s="446"/>
      <c r="U149" s="446"/>
      <c r="V149" s="444"/>
      <c r="W149" s="444"/>
      <c r="X149" s="446"/>
      <c r="Y149" s="446"/>
      <c r="Z149" s="446"/>
      <c r="AA149" s="446"/>
      <c r="AB149" s="446"/>
      <c r="AC149" s="446"/>
      <c r="AD149" s="446"/>
      <c r="AE149" s="446"/>
      <c r="AF149" s="444"/>
      <c r="AG149" s="444"/>
      <c r="AH149" s="444"/>
      <c r="AI149" s="444"/>
      <c r="AJ149" s="444"/>
      <c r="AK149" s="444"/>
      <c r="AL149" s="444"/>
      <c r="AM149" s="445"/>
      <c r="AN149" s="444"/>
      <c r="AO149" s="444"/>
      <c r="AP149" s="444"/>
      <c r="AQ149" s="447"/>
      <c r="AR149" s="448"/>
      <c r="AS149" s="448"/>
      <c r="AT149" s="449"/>
      <c r="AU149" s="449"/>
      <c r="AV149" s="449"/>
    </row>
    <row r="150" spans="1:48" x14ac:dyDescent="0.35">
      <c r="A150" s="442"/>
      <c r="B150" s="117"/>
      <c r="C150" s="117"/>
      <c r="D150" s="443"/>
      <c r="E150" s="443"/>
      <c r="F150" s="444"/>
      <c r="G150" s="444"/>
      <c r="H150" s="444"/>
      <c r="I150" s="444"/>
      <c r="J150" s="444"/>
      <c r="K150" s="444"/>
      <c r="L150" s="444"/>
      <c r="M150" s="444"/>
      <c r="N150" s="445"/>
      <c r="O150" s="444"/>
      <c r="P150" s="445"/>
      <c r="Q150" s="445"/>
      <c r="R150" s="444"/>
      <c r="S150" s="444"/>
      <c r="T150" s="446"/>
      <c r="U150" s="446"/>
      <c r="V150" s="444"/>
      <c r="W150" s="444"/>
      <c r="X150" s="446"/>
      <c r="Y150" s="446"/>
      <c r="Z150" s="446"/>
      <c r="AA150" s="446"/>
      <c r="AB150" s="446"/>
      <c r="AC150" s="446"/>
      <c r="AD150" s="446"/>
      <c r="AE150" s="446"/>
      <c r="AF150" s="444"/>
      <c r="AG150" s="444"/>
      <c r="AH150" s="444"/>
      <c r="AI150" s="444"/>
      <c r="AJ150" s="444"/>
      <c r="AK150" s="444"/>
      <c r="AL150" s="444"/>
      <c r="AM150" s="445"/>
      <c r="AN150" s="444"/>
      <c r="AO150" s="444"/>
      <c r="AP150" s="444"/>
      <c r="AQ150" s="447"/>
      <c r="AR150" s="448"/>
      <c r="AS150" s="448"/>
      <c r="AT150" s="449"/>
      <c r="AU150" s="449"/>
      <c r="AV150" s="449"/>
    </row>
    <row r="151" spans="1:48" x14ac:dyDescent="0.35">
      <c r="A151" s="442"/>
      <c r="B151" s="117"/>
      <c r="C151" s="117"/>
      <c r="D151" s="443"/>
      <c r="E151" s="443"/>
      <c r="F151" s="444"/>
      <c r="G151" s="444"/>
      <c r="H151" s="444"/>
      <c r="I151" s="444"/>
      <c r="J151" s="444"/>
      <c r="K151" s="444"/>
      <c r="L151" s="444"/>
      <c r="M151" s="444"/>
      <c r="N151" s="445"/>
      <c r="O151" s="444"/>
      <c r="P151" s="445"/>
      <c r="Q151" s="445"/>
      <c r="R151" s="444"/>
      <c r="S151" s="444"/>
      <c r="T151" s="446"/>
      <c r="U151" s="446"/>
      <c r="V151" s="444"/>
      <c r="W151" s="444"/>
      <c r="X151" s="446"/>
      <c r="Y151" s="446"/>
      <c r="Z151" s="446"/>
      <c r="AA151" s="446"/>
      <c r="AB151" s="446"/>
      <c r="AC151" s="446"/>
      <c r="AD151" s="446"/>
      <c r="AE151" s="446"/>
      <c r="AF151" s="444"/>
      <c r="AG151" s="444"/>
      <c r="AH151" s="444"/>
      <c r="AI151" s="444"/>
      <c r="AJ151" s="444"/>
      <c r="AK151" s="444"/>
      <c r="AL151" s="444"/>
      <c r="AM151" s="445"/>
      <c r="AN151" s="444"/>
      <c r="AO151" s="444"/>
      <c r="AP151" s="444"/>
      <c r="AQ151" s="447"/>
      <c r="AR151" s="448"/>
      <c r="AS151" s="448"/>
      <c r="AT151" s="449"/>
      <c r="AU151" s="449"/>
      <c r="AV151" s="449"/>
    </row>
    <row r="152" spans="1:48" x14ac:dyDescent="0.35">
      <c r="A152" s="442"/>
      <c r="B152" s="117"/>
      <c r="C152" s="117"/>
      <c r="D152" s="443"/>
      <c r="E152" s="443"/>
      <c r="F152" s="444"/>
      <c r="G152" s="444"/>
      <c r="H152" s="444"/>
      <c r="I152" s="444"/>
      <c r="J152" s="444"/>
      <c r="K152" s="444"/>
      <c r="L152" s="444"/>
      <c r="M152" s="444"/>
      <c r="N152" s="445"/>
      <c r="O152" s="444"/>
      <c r="P152" s="445"/>
      <c r="Q152" s="445"/>
      <c r="R152" s="444"/>
      <c r="S152" s="444"/>
      <c r="T152" s="446"/>
      <c r="U152" s="446"/>
      <c r="V152" s="444"/>
      <c r="W152" s="444"/>
      <c r="X152" s="446"/>
      <c r="Y152" s="446"/>
      <c r="Z152" s="446"/>
      <c r="AA152" s="446"/>
      <c r="AB152" s="446"/>
      <c r="AC152" s="446"/>
      <c r="AD152" s="446"/>
      <c r="AE152" s="446"/>
      <c r="AF152" s="444"/>
      <c r="AG152" s="444"/>
      <c r="AH152" s="444"/>
      <c r="AI152" s="444"/>
      <c r="AJ152" s="444"/>
      <c r="AK152" s="444"/>
      <c r="AL152" s="444"/>
      <c r="AM152" s="445"/>
      <c r="AN152" s="444"/>
      <c r="AO152" s="444"/>
      <c r="AP152" s="444"/>
      <c r="AQ152" s="447"/>
      <c r="AR152" s="448"/>
      <c r="AS152" s="448"/>
      <c r="AT152" s="449"/>
      <c r="AU152" s="449"/>
      <c r="AV152" s="449"/>
    </row>
    <row r="153" spans="1:48" x14ac:dyDescent="0.35">
      <c r="A153" s="442"/>
      <c r="B153" s="117"/>
      <c r="C153" s="117"/>
      <c r="D153" s="443"/>
      <c r="E153" s="443"/>
      <c r="F153" s="444"/>
      <c r="G153" s="444"/>
      <c r="H153" s="444"/>
      <c r="I153" s="444"/>
      <c r="J153" s="444"/>
      <c r="K153" s="444"/>
      <c r="L153" s="444"/>
      <c r="M153" s="444"/>
      <c r="N153" s="445"/>
      <c r="O153" s="444"/>
      <c r="P153" s="445"/>
      <c r="Q153" s="445"/>
      <c r="R153" s="444"/>
      <c r="S153" s="444"/>
      <c r="T153" s="446"/>
      <c r="U153" s="446"/>
      <c r="V153" s="444"/>
      <c r="W153" s="444"/>
      <c r="X153" s="446"/>
      <c r="Y153" s="446"/>
      <c r="Z153" s="446"/>
      <c r="AA153" s="446"/>
      <c r="AB153" s="446"/>
      <c r="AC153" s="446"/>
      <c r="AD153" s="446"/>
      <c r="AE153" s="446"/>
      <c r="AF153" s="444"/>
      <c r="AG153" s="444"/>
      <c r="AH153" s="444"/>
      <c r="AI153" s="444"/>
      <c r="AJ153" s="444"/>
      <c r="AK153" s="444"/>
      <c r="AL153" s="444"/>
      <c r="AM153" s="445"/>
      <c r="AN153" s="444"/>
      <c r="AO153" s="444"/>
      <c r="AP153" s="444"/>
      <c r="AQ153" s="447"/>
      <c r="AR153" s="448"/>
      <c r="AS153" s="448"/>
      <c r="AT153" s="449"/>
      <c r="AU153" s="449"/>
      <c r="AV153" s="449"/>
    </row>
    <row r="154" spans="1:48" x14ac:dyDescent="0.35">
      <c r="A154" s="442"/>
      <c r="B154" s="117"/>
      <c r="C154" s="117"/>
      <c r="D154" s="443"/>
      <c r="E154" s="443"/>
      <c r="F154" s="444"/>
      <c r="G154" s="444"/>
      <c r="H154" s="444"/>
      <c r="I154" s="444"/>
      <c r="J154" s="444"/>
      <c r="K154" s="444"/>
      <c r="L154" s="444"/>
      <c r="M154" s="444"/>
      <c r="N154" s="445"/>
      <c r="O154" s="444"/>
      <c r="P154" s="445"/>
      <c r="Q154" s="445"/>
      <c r="R154" s="444"/>
      <c r="S154" s="444"/>
      <c r="T154" s="446"/>
      <c r="U154" s="446"/>
      <c r="V154" s="444"/>
      <c r="W154" s="444"/>
      <c r="X154" s="446"/>
      <c r="Y154" s="446"/>
      <c r="Z154" s="446"/>
      <c r="AA154" s="446"/>
      <c r="AB154" s="446"/>
      <c r="AC154" s="446"/>
      <c r="AD154" s="446"/>
      <c r="AE154" s="446"/>
      <c r="AF154" s="444"/>
      <c r="AG154" s="444"/>
      <c r="AH154" s="444"/>
      <c r="AI154" s="444"/>
      <c r="AJ154" s="444"/>
      <c r="AK154" s="444"/>
      <c r="AL154" s="444"/>
      <c r="AM154" s="445"/>
      <c r="AN154" s="444"/>
      <c r="AO154" s="444"/>
      <c r="AP154" s="444"/>
      <c r="AQ154" s="447"/>
      <c r="AR154" s="448"/>
      <c r="AS154" s="448"/>
      <c r="AT154" s="449"/>
      <c r="AU154" s="449"/>
      <c r="AV154" s="449"/>
    </row>
    <row r="155" spans="1:48" x14ac:dyDescent="0.35">
      <c r="A155" s="442"/>
      <c r="B155" s="117"/>
      <c r="C155" s="117"/>
      <c r="D155" s="443"/>
      <c r="E155" s="443"/>
      <c r="F155" s="444"/>
      <c r="G155" s="444"/>
      <c r="H155" s="444"/>
      <c r="I155" s="444"/>
      <c r="J155" s="444"/>
      <c r="K155" s="444"/>
      <c r="L155" s="444"/>
      <c r="M155" s="444"/>
      <c r="N155" s="445"/>
      <c r="O155" s="444"/>
      <c r="P155" s="445"/>
      <c r="Q155" s="445"/>
      <c r="R155" s="444"/>
      <c r="S155" s="444"/>
      <c r="T155" s="446"/>
      <c r="U155" s="446"/>
      <c r="V155" s="444"/>
      <c r="W155" s="444"/>
      <c r="X155" s="446"/>
      <c r="Y155" s="446"/>
      <c r="Z155" s="446"/>
      <c r="AA155" s="446"/>
      <c r="AB155" s="446"/>
      <c r="AC155" s="446"/>
      <c r="AD155" s="446"/>
      <c r="AE155" s="446"/>
      <c r="AF155" s="444"/>
      <c r="AG155" s="444"/>
      <c r="AH155" s="444"/>
      <c r="AI155" s="444"/>
      <c r="AJ155" s="444"/>
      <c r="AK155" s="444"/>
      <c r="AL155" s="444"/>
      <c r="AM155" s="445"/>
      <c r="AN155" s="444"/>
      <c r="AO155" s="444"/>
      <c r="AP155" s="444"/>
      <c r="AQ155" s="447"/>
      <c r="AR155" s="448"/>
      <c r="AS155" s="448"/>
      <c r="AT155" s="449"/>
      <c r="AU155" s="449"/>
      <c r="AV155" s="449"/>
    </row>
    <row r="156" spans="1:48" x14ac:dyDescent="0.35">
      <c r="A156" s="442"/>
      <c r="B156" s="117"/>
      <c r="C156" s="117"/>
      <c r="D156" s="443"/>
      <c r="E156" s="443"/>
      <c r="F156" s="444"/>
      <c r="G156" s="444"/>
      <c r="H156" s="444"/>
      <c r="I156" s="444"/>
      <c r="J156" s="444"/>
      <c r="K156" s="444"/>
      <c r="L156" s="444"/>
      <c r="M156" s="444"/>
      <c r="N156" s="445"/>
      <c r="O156" s="444"/>
      <c r="P156" s="445"/>
      <c r="Q156" s="445"/>
      <c r="R156" s="444"/>
      <c r="S156" s="444"/>
      <c r="T156" s="446"/>
      <c r="U156" s="446"/>
      <c r="V156" s="444"/>
      <c r="W156" s="444"/>
      <c r="X156" s="446"/>
      <c r="Y156" s="446"/>
      <c r="Z156" s="446"/>
      <c r="AA156" s="446"/>
      <c r="AB156" s="446"/>
      <c r="AC156" s="446"/>
      <c r="AD156" s="446"/>
      <c r="AE156" s="446"/>
      <c r="AF156" s="444"/>
      <c r="AG156" s="444"/>
      <c r="AH156" s="444"/>
      <c r="AI156" s="444"/>
      <c r="AJ156" s="444"/>
      <c r="AK156" s="444"/>
      <c r="AL156" s="444"/>
      <c r="AM156" s="445"/>
      <c r="AN156" s="444"/>
      <c r="AO156" s="444"/>
      <c r="AP156" s="444"/>
      <c r="AQ156" s="447"/>
      <c r="AR156" s="448"/>
      <c r="AS156" s="448"/>
      <c r="AT156" s="449"/>
      <c r="AU156" s="449"/>
      <c r="AV156" s="449"/>
    </row>
    <row r="157" spans="1:48" x14ac:dyDescent="0.35">
      <c r="A157" s="442"/>
      <c r="B157" s="117"/>
      <c r="C157" s="117"/>
      <c r="D157" s="443"/>
      <c r="E157" s="443"/>
      <c r="F157" s="444"/>
      <c r="G157" s="444"/>
      <c r="H157" s="444"/>
      <c r="I157" s="444"/>
      <c r="J157" s="444"/>
      <c r="K157" s="444"/>
      <c r="L157" s="444"/>
      <c r="M157" s="444"/>
      <c r="N157" s="445"/>
      <c r="O157" s="444"/>
      <c r="P157" s="445"/>
      <c r="Q157" s="445"/>
      <c r="R157" s="444"/>
      <c r="S157" s="444"/>
      <c r="T157" s="446"/>
      <c r="U157" s="446"/>
      <c r="V157" s="444"/>
      <c r="W157" s="444"/>
      <c r="X157" s="446"/>
      <c r="Y157" s="446"/>
      <c r="Z157" s="446"/>
      <c r="AA157" s="446"/>
      <c r="AB157" s="446"/>
      <c r="AC157" s="446"/>
      <c r="AD157" s="446"/>
      <c r="AE157" s="446"/>
      <c r="AF157" s="444"/>
      <c r="AG157" s="444"/>
      <c r="AH157" s="444"/>
      <c r="AI157" s="444"/>
      <c r="AJ157" s="444"/>
      <c r="AK157" s="444"/>
      <c r="AL157" s="444"/>
      <c r="AM157" s="445"/>
      <c r="AN157" s="444"/>
      <c r="AO157" s="444"/>
      <c r="AP157" s="444"/>
      <c r="AQ157" s="447"/>
      <c r="AR157" s="448"/>
      <c r="AS157" s="448"/>
      <c r="AT157" s="449"/>
      <c r="AU157" s="449"/>
      <c r="AV157" s="449"/>
    </row>
    <row r="158" spans="1:48" x14ac:dyDescent="0.35">
      <c r="A158" s="442"/>
      <c r="B158" s="117"/>
      <c r="C158" s="117"/>
      <c r="D158" s="443"/>
      <c r="E158" s="443"/>
      <c r="F158" s="444"/>
      <c r="G158" s="444"/>
      <c r="H158" s="444"/>
      <c r="I158" s="444"/>
      <c r="J158" s="444"/>
      <c r="K158" s="444"/>
      <c r="L158" s="444"/>
      <c r="M158" s="444"/>
      <c r="N158" s="445"/>
      <c r="O158" s="444"/>
      <c r="P158" s="445"/>
      <c r="Q158" s="445"/>
      <c r="R158" s="444"/>
      <c r="S158" s="444"/>
      <c r="T158" s="446"/>
      <c r="U158" s="446"/>
      <c r="V158" s="444"/>
      <c r="W158" s="444"/>
      <c r="X158" s="446"/>
      <c r="Y158" s="446"/>
      <c r="Z158" s="446"/>
      <c r="AA158" s="446"/>
      <c r="AB158" s="446"/>
      <c r="AC158" s="446"/>
      <c r="AD158" s="446"/>
      <c r="AE158" s="446"/>
      <c r="AF158" s="444"/>
      <c r="AG158" s="444"/>
      <c r="AH158" s="444"/>
      <c r="AI158" s="444"/>
      <c r="AJ158" s="444"/>
      <c r="AK158" s="444"/>
      <c r="AL158" s="444"/>
      <c r="AM158" s="445"/>
      <c r="AN158" s="444"/>
      <c r="AO158" s="444"/>
      <c r="AP158" s="444"/>
      <c r="AQ158" s="447"/>
      <c r="AR158" s="448"/>
      <c r="AS158" s="448"/>
      <c r="AT158" s="449"/>
      <c r="AU158" s="449"/>
      <c r="AV158" s="449"/>
    </row>
    <row r="159" spans="1:48" x14ac:dyDescent="0.35">
      <c r="A159" s="442"/>
      <c r="B159" s="117"/>
      <c r="C159" s="117"/>
      <c r="D159" s="443"/>
      <c r="E159" s="443"/>
      <c r="F159" s="444"/>
      <c r="G159" s="444"/>
      <c r="H159" s="444"/>
      <c r="I159" s="444"/>
      <c r="J159" s="444"/>
      <c r="K159" s="444"/>
      <c r="L159" s="444"/>
      <c r="M159" s="444"/>
      <c r="N159" s="445"/>
      <c r="O159" s="444"/>
      <c r="P159" s="445"/>
      <c r="Q159" s="445"/>
      <c r="R159" s="444"/>
      <c r="S159" s="444"/>
      <c r="T159" s="446"/>
      <c r="U159" s="446"/>
      <c r="V159" s="444"/>
      <c r="W159" s="444"/>
      <c r="X159" s="446"/>
      <c r="Y159" s="446"/>
      <c r="Z159" s="446"/>
      <c r="AA159" s="446"/>
      <c r="AB159" s="446"/>
      <c r="AC159" s="446"/>
      <c r="AD159" s="446"/>
      <c r="AE159" s="446"/>
      <c r="AF159" s="444"/>
      <c r="AG159" s="444"/>
      <c r="AH159" s="444"/>
      <c r="AI159" s="444"/>
      <c r="AJ159" s="444"/>
      <c r="AK159" s="444"/>
      <c r="AL159" s="444"/>
      <c r="AM159" s="445"/>
      <c r="AN159" s="444"/>
      <c r="AO159" s="444"/>
      <c r="AP159" s="444"/>
      <c r="AQ159" s="447"/>
      <c r="AR159" s="448"/>
      <c r="AS159" s="448"/>
      <c r="AT159" s="449"/>
      <c r="AU159" s="449"/>
      <c r="AV159" s="449"/>
    </row>
    <row r="160" spans="1:48" x14ac:dyDescent="0.35">
      <c r="A160" s="442"/>
      <c r="B160" s="117"/>
      <c r="C160" s="117"/>
      <c r="D160" s="443"/>
      <c r="E160" s="443"/>
      <c r="F160" s="444"/>
      <c r="G160" s="444"/>
      <c r="H160" s="444"/>
      <c r="I160" s="444"/>
      <c r="J160" s="444"/>
      <c r="K160" s="444"/>
      <c r="L160" s="444"/>
      <c r="M160" s="444"/>
      <c r="N160" s="445"/>
      <c r="O160" s="444"/>
      <c r="P160" s="445"/>
      <c r="Q160" s="445"/>
      <c r="R160" s="444"/>
      <c r="S160" s="444"/>
      <c r="T160" s="446"/>
      <c r="U160" s="446"/>
      <c r="V160" s="444"/>
      <c r="W160" s="444"/>
      <c r="X160" s="446"/>
      <c r="Y160" s="446"/>
      <c r="Z160" s="446"/>
      <c r="AA160" s="446"/>
      <c r="AB160" s="446"/>
      <c r="AC160" s="446"/>
      <c r="AD160" s="446"/>
      <c r="AE160" s="446"/>
      <c r="AF160" s="444"/>
      <c r="AG160" s="444"/>
      <c r="AH160" s="444"/>
      <c r="AI160" s="444"/>
      <c r="AJ160" s="444"/>
      <c r="AK160" s="444"/>
      <c r="AL160" s="444"/>
      <c r="AM160" s="445"/>
      <c r="AN160" s="444"/>
      <c r="AO160" s="444"/>
      <c r="AP160" s="444"/>
      <c r="AQ160" s="447"/>
      <c r="AR160" s="448"/>
      <c r="AS160" s="448"/>
      <c r="AT160" s="449"/>
      <c r="AU160" s="449"/>
      <c r="AV160" s="449"/>
    </row>
    <row r="161" spans="1:48" x14ac:dyDescent="0.35">
      <c r="A161" s="442"/>
      <c r="B161" s="117"/>
      <c r="C161" s="117"/>
      <c r="D161" s="443"/>
      <c r="E161" s="443"/>
      <c r="F161" s="444"/>
      <c r="G161" s="444"/>
      <c r="H161" s="444"/>
      <c r="I161" s="444"/>
      <c r="J161" s="444"/>
      <c r="K161" s="444"/>
      <c r="L161" s="444"/>
      <c r="M161" s="444"/>
      <c r="N161" s="445"/>
      <c r="O161" s="444"/>
      <c r="P161" s="445"/>
      <c r="Q161" s="445"/>
      <c r="R161" s="444"/>
      <c r="S161" s="444"/>
      <c r="T161" s="446"/>
      <c r="U161" s="446"/>
      <c r="V161" s="444"/>
      <c r="W161" s="444"/>
      <c r="X161" s="446"/>
      <c r="Y161" s="446"/>
      <c r="Z161" s="446"/>
      <c r="AA161" s="446"/>
      <c r="AB161" s="446"/>
      <c r="AC161" s="446"/>
      <c r="AD161" s="446"/>
      <c r="AE161" s="446"/>
      <c r="AF161" s="444"/>
      <c r="AG161" s="444"/>
      <c r="AH161" s="444"/>
      <c r="AI161" s="444"/>
      <c r="AJ161" s="444"/>
      <c r="AK161" s="444"/>
      <c r="AL161" s="444"/>
      <c r="AM161" s="445"/>
      <c r="AN161" s="444"/>
      <c r="AO161" s="444"/>
      <c r="AP161" s="444"/>
      <c r="AQ161" s="447"/>
      <c r="AR161" s="448"/>
      <c r="AS161" s="448"/>
      <c r="AT161" s="449"/>
      <c r="AU161" s="449"/>
      <c r="AV161" s="449"/>
    </row>
    <row r="162" spans="1:48" x14ac:dyDescent="0.35">
      <c r="A162" s="442"/>
      <c r="B162" s="117"/>
      <c r="C162" s="117"/>
      <c r="D162" s="443"/>
      <c r="E162" s="443"/>
      <c r="F162" s="444"/>
      <c r="G162" s="444"/>
      <c r="H162" s="444"/>
      <c r="I162" s="444"/>
      <c r="J162" s="444"/>
      <c r="K162" s="444"/>
      <c r="L162" s="444"/>
      <c r="M162" s="444"/>
      <c r="N162" s="445"/>
      <c r="O162" s="444"/>
      <c r="P162" s="445"/>
      <c r="Q162" s="445"/>
      <c r="R162" s="444"/>
      <c r="S162" s="444"/>
      <c r="T162" s="446"/>
      <c r="U162" s="446"/>
      <c r="V162" s="444"/>
      <c r="W162" s="444"/>
      <c r="X162" s="446"/>
      <c r="Y162" s="446"/>
      <c r="Z162" s="446"/>
      <c r="AA162" s="446"/>
      <c r="AB162" s="446"/>
      <c r="AC162" s="446"/>
      <c r="AD162" s="446"/>
      <c r="AE162" s="446"/>
      <c r="AF162" s="444"/>
      <c r="AG162" s="444"/>
      <c r="AH162" s="444"/>
      <c r="AI162" s="444"/>
      <c r="AJ162" s="444"/>
      <c r="AK162" s="444"/>
      <c r="AL162" s="444"/>
      <c r="AM162" s="445"/>
      <c r="AN162" s="444"/>
      <c r="AO162" s="444"/>
      <c r="AP162" s="444"/>
      <c r="AQ162" s="447"/>
      <c r="AR162" s="448"/>
      <c r="AS162" s="448"/>
      <c r="AT162" s="449"/>
      <c r="AU162" s="449"/>
      <c r="AV162" s="449"/>
    </row>
    <row r="163" spans="1:48" x14ac:dyDescent="0.35">
      <c r="A163" s="442"/>
      <c r="B163" s="117"/>
      <c r="C163" s="117"/>
      <c r="D163" s="443"/>
      <c r="E163" s="443"/>
      <c r="F163" s="444"/>
      <c r="G163" s="444"/>
      <c r="H163" s="444"/>
      <c r="I163" s="444"/>
      <c r="J163" s="444"/>
      <c r="K163" s="444"/>
      <c r="L163" s="444"/>
      <c r="M163" s="444"/>
      <c r="N163" s="445"/>
      <c r="O163" s="444"/>
      <c r="P163" s="445"/>
      <c r="Q163" s="445"/>
      <c r="R163" s="444"/>
      <c r="S163" s="444"/>
      <c r="T163" s="446"/>
      <c r="U163" s="446"/>
      <c r="V163" s="444"/>
      <c r="W163" s="444"/>
      <c r="X163" s="446"/>
      <c r="Y163" s="446"/>
      <c r="Z163" s="446"/>
      <c r="AA163" s="446"/>
      <c r="AB163" s="446"/>
      <c r="AC163" s="446"/>
      <c r="AD163" s="446"/>
      <c r="AE163" s="446"/>
      <c r="AF163" s="444"/>
      <c r="AG163" s="444"/>
      <c r="AH163" s="444"/>
      <c r="AI163" s="444"/>
      <c r="AJ163" s="444"/>
      <c r="AK163" s="444"/>
      <c r="AL163" s="444"/>
      <c r="AM163" s="445"/>
      <c r="AN163" s="444"/>
      <c r="AO163" s="444"/>
      <c r="AP163" s="444"/>
      <c r="AQ163" s="447"/>
      <c r="AR163" s="448"/>
      <c r="AS163" s="448"/>
      <c r="AT163" s="449"/>
      <c r="AU163" s="449"/>
      <c r="AV163" s="449"/>
    </row>
    <row r="164" spans="1:48" x14ac:dyDescent="0.35">
      <c r="A164" s="442"/>
      <c r="B164" s="117"/>
      <c r="C164" s="117"/>
      <c r="D164" s="443"/>
      <c r="E164" s="443"/>
      <c r="F164" s="444"/>
      <c r="G164" s="444"/>
      <c r="H164" s="444"/>
      <c r="I164" s="444"/>
      <c r="J164" s="444"/>
      <c r="K164" s="444"/>
      <c r="L164" s="444"/>
      <c r="M164" s="444"/>
      <c r="N164" s="445"/>
      <c r="O164" s="444"/>
      <c r="P164" s="445"/>
      <c r="Q164" s="445"/>
      <c r="R164" s="444"/>
      <c r="S164" s="444"/>
      <c r="T164" s="446"/>
      <c r="U164" s="446"/>
      <c r="V164" s="444"/>
      <c r="W164" s="444"/>
      <c r="X164" s="446"/>
      <c r="Y164" s="446"/>
      <c r="Z164" s="446"/>
      <c r="AA164" s="446"/>
      <c r="AB164" s="446"/>
      <c r="AC164" s="446"/>
      <c r="AD164" s="446"/>
      <c r="AE164" s="446"/>
      <c r="AF164" s="444"/>
      <c r="AG164" s="444"/>
      <c r="AH164" s="444"/>
      <c r="AI164" s="444"/>
      <c r="AJ164" s="444"/>
      <c r="AK164" s="444"/>
      <c r="AL164" s="444"/>
      <c r="AM164" s="445"/>
      <c r="AN164" s="444"/>
      <c r="AO164" s="444"/>
      <c r="AP164" s="444"/>
      <c r="AQ164" s="447"/>
      <c r="AR164" s="448"/>
      <c r="AS164" s="448"/>
      <c r="AT164" s="449"/>
      <c r="AU164" s="449"/>
      <c r="AV164" s="449"/>
    </row>
    <row r="165" spans="1:48" x14ac:dyDescent="0.35">
      <c r="A165" s="442"/>
      <c r="B165" s="117"/>
      <c r="C165" s="117"/>
      <c r="D165" s="443"/>
      <c r="E165" s="443"/>
      <c r="F165" s="444"/>
      <c r="G165" s="444"/>
      <c r="H165" s="444"/>
      <c r="I165" s="444"/>
      <c r="J165" s="444"/>
      <c r="K165" s="444"/>
      <c r="L165" s="444"/>
      <c r="M165" s="444"/>
      <c r="N165" s="445"/>
      <c r="O165" s="444"/>
      <c r="P165" s="445"/>
      <c r="Q165" s="445"/>
      <c r="R165" s="444"/>
      <c r="S165" s="444"/>
      <c r="T165" s="446"/>
      <c r="U165" s="446"/>
      <c r="V165" s="444"/>
      <c r="W165" s="444"/>
      <c r="X165" s="446"/>
      <c r="Y165" s="446"/>
      <c r="Z165" s="446"/>
      <c r="AA165" s="446"/>
      <c r="AB165" s="446"/>
      <c r="AC165" s="446"/>
      <c r="AD165" s="446"/>
      <c r="AE165" s="446"/>
      <c r="AF165" s="444"/>
      <c r="AG165" s="444"/>
      <c r="AH165" s="444"/>
      <c r="AI165" s="444"/>
      <c r="AJ165" s="444"/>
      <c r="AK165" s="444"/>
      <c r="AL165" s="444"/>
      <c r="AM165" s="445"/>
      <c r="AN165" s="444"/>
      <c r="AO165" s="444"/>
      <c r="AP165" s="444"/>
      <c r="AQ165" s="447"/>
      <c r="AR165" s="448"/>
      <c r="AS165" s="448"/>
      <c r="AT165" s="449"/>
      <c r="AU165" s="449"/>
      <c r="AV165" s="449"/>
    </row>
    <row r="166" spans="1:48" x14ac:dyDescent="0.35">
      <c r="A166" s="442"/>
      <c r="B166" s="117"/>
      <c r="C166" s="117"/>
      <c r="D166" s="443"/>
      <c r="E166" s="443"/>
      <c r="F166" s="444"/>
      <c r="G166" s="444"/>
      <c r="H166" s="444"/>
      <c r="I166" s="444"/>
      <c r="J166" s="444"/>
      <c r="K166" s="444"/>
      <c r="L166" s="444"/>
      <c r="M166" s="444"/>
      <c r="N166" s="445"/>
      <c r="O166" s="444"/>
      <c r="P166" s="445"/>
      <c r="Q166" s="445"/>
      <c r="R166" s="444"/>
      <c r="S166" s="444"/>
      <c r="T166" s="446"/>
      <c r="U166" s="446"/>
      <c r="V166" s="444"/>
      <c r="W166" s="444"/>
      <c r="X166" s="446"/>
      <c r="Y166" s="446"/>
      <c r="Z166" s="446"/>
      <c r="AA166" s="446"/>
      <c r="AB166" s="446"/>
      <c r="AC166" s="446"/>
      <c r="AD166" s="446"/>
      <c r="AE166" s="446"/>
      <c r="AF166" s="444"/>
      <c r="AG166" s="444"/>
      <c r="AH166" s="444"/>
      <c r="AI166" s="444"/>
      <c r="AJ166" s="444"/>
      <c r="AK166" s="444"/>
      <c r="AL166" s="444"/>
      <c r="AM166" s="445"/>
      <c r="AN166" s="444"/>
      <c r="AO166" s="444"/>
      <c r="AP166" s="444"/>
      <c r="AQ166" s="447"/>
      <c r="AR166" s="448"/>
      <c r="AS166" s="448"/>
      <c r="AT166" s="449"/>
      <c r="AU166" s="449"/>
      <c r="AV166" s="449"/>
    </row>
    <row r="167" spans="1:48" x14ac:dyDescent="0.35">
      <c r="A167" s="442"/>
      <c r="B167" s="117"/>
      <c r="C167" s="117"/>
      <c r="D167" s="443"/>
      <c r="E167" s="443"/>
      <c r="F167" s="444"/>
      <c r="G167" s="444"/>
      <c r="H167" s="444"/>
      <c r="I167" s="444"/>
      <c r="J167" s="444"/>
      <c r="K167" s="444"/>
      <c r="L167" s="444"/>
      <c r="M167" s="444"/>
      <c r="N167" s="445"/>
      <c r="O167" s="444"/>
      <c r="P167" s="445"/>
      <c r="Q167" s="445"/>
      <c r="R167" s="444"/>
      <c r="S167" s="444"/>
      <c r="T167" s="446"/>
      <c r="U167" s="446"/>
      <c r="V167" s="444"/>
      <c r="W167" s="444"/>
      <c r="X167" s="446"/>
      <c r="Y167" s="446"/>
      <c r="Z167" s="446"/>
      <c r="AA167" s="446"/>
      <c r="AB167" s="446"/>
      <c r="AC167" s="446"/>
      <c r="AD167" s="446"/>
      <c r="AE167" s="446"/>
      <c r="AF167" s="444"/>
      <c r="AG167" s="444"/>
      <c r="AH167" s="444"/>
      <c r="AI167" s="444"/>
      <c r="AJ167" s="444"/>
      <c r="AK167" s="444"/>
      <c r="AL167" s="444"/>
      <c r="AM167" s="445"/>
      <c r="AN167" s="444"/>
      <c r="AO167" s="444"/>
      <c r="AP167" s="444"/>
      <c r="AQ167" s="447"/>
      <c r="AR167" s="448"/>
      <c r="AS167" s="448"/>
      <c r="AT167" s="449"/>
      <c r="AU167" s="449"/>
      <c r="AV167" s="449"/>
    </row>
    <row r="168" spans="1:48" x14ac:dyDescent="0.35">
      <c r="A168" s="442"/>
      <c r="B168" s="117"/>
      <c r="C168" s="117"/>
      <c r="D168" s="443"/>
      <c r="E168" s="443"/>
      <c r="F168" s="444"/>
      <c r="G168" s="444"/>
      <c r="H168" s="444"/>
      <c r="I168" s="444"/>
      <c r="J168" s="444"/>
      <c r="K168" s="444"/>
      <c r="L168" s="444"/>
      <c r="M168" s="444"/>
      <c r="N168" s="445"/>
      <c r="O168" s="444"/>
      <c r="P168" s="445"/>
      <c r="Q168" s="445"/>
      <c r="R168" s="444"/>
      <c r="S168" s="444"/>
      <c r="T168" s="446"/>
      <c r="U168" s="446"/>
      <c r="V168" s="444"/>
      <c r="W168" s="444"/>
      <c r="X168" s="446"/>
      <c r="Y168" s="446"/>
      <c r="Z168" s="446"/>
      <c r="AA168" s="446"/>
      <c r="AB168" s="446"/>
      <c r="AC168" s="446"/>
      <c r="AD168" s="446"/>
      <c r="AE168" s="446"/>
      <c r="AF168" s="444"/>
      <c r="AG168" s="444"/>
      <c r="AH168" s="444"/>
      <c r="AI168" s="444"/>
      <c r="AJ168" s="444"/>
      <c r="AK168" s="444"/>
      <c r="AL168" s="444"/>
      <c r="AM168" s="445"/>
      <c r="AN168" s="444"/>
      <c r="AO168" s="444"/>
      <c r="AP168" s="444"/>
      <c r="AQ168" s="447"/>
      <c r="AR168" s="448"/>
      <c r="AS168" s="448"/>
      <c r="AT168" s="449"/>
      <c r="AU168" s="449"/>
      <c r="AV168" s="449"/>
    </row>
    <row r="169" spans="1:48" x14ac:dyDescent="0.35">
      <c r="A169" s="442"/>
      <c r="B169" s="117"/>
      <c r="C169" s="117"/>
      <c r="D169" s="443"/>
      <c r="E169" s="443"/>
      <c r="F169" s="444"/>
      <c r="G169" s="444"/>
      <c r="H169" s="444"/>
      <c r="I169" s="444"/>
      <c r="J169" s="444"/>
      <c r="K169" s="444"/>
      <c r="L169" s="444"/>
      <c r="M169" s="444"/>
      <c r="N169" s="445"/>
      <c r="O169" s="444"/>
      <c r="P169" s="445"/>
      <c r="Q169" s="445"/>
      <c r="R169" s="444"/>
      <c r="S169" s="444"/>
      <c r="T169" s="446"/>
      <c r="U169" s="446"/>
      <c r="V169" s="444"/>
      <c r="W169" s="444"/>
      <c r="X169" s="446"/>
      <c r="Y169" s="446"/>
      <c r="Z169" s="446"/>
      <c r="AA169" s="446"/>
      <c r="AB169" s="446"/>
      <c r="AC169" s="446"/>
      <c r="AD169" s="446"/>
      <c r="AE169" s="446"/>
      <c r="AF169" s="444"/>
      <c r="AG169" s="444"/>
      <c r="AH169" s="444"/>
      <c r="AI169" s="444"/>
      <c r="AJ169" s="444"/>
      <c r="AK169" s="444"/>
      <c r="AL169" s="444"/>
      <c r="AM169" s="445"/>
      <c r="AN169" s="444"/>
      <c r="AO169" s="444"/>
      <c r="AP169" s="444"/>
      <c r="AQ169" s="447"/>
      <c r="AR169" s="448"/>
      <c r="AS169" s="448"/>
      <c r="AT169" s="449"/>
      <c r="AU169" s="449"/>
      <c r="AV169" s="449"/>
    </row>
    <row r="170" spans="1:48" x14ac:dyDescent="0.35">
      <c r="A170" s="442"/>
      <c r="B170" s="117"/>
      <c r="C170" s="117"/>
      <c r="D170" s="443"/>
      <c r="E170" s="443"/>
      <c r="F170" s="444"/>
      <c r="G170" s="444"/>
      <c r="H170" s="444"/>
      <c r="I170" s="444"/>
      <c r="J170" s="444"/>
      <c r="K170" s="444"/>
      <c r="L170" s="444"/>
      <c r="M170" s="444"/>
      <c r="N170" s="445"/>
      <c r="O170" s="444"/>
      <c r="P170" s="445"/>
      <c r="Q170" s="445"/>
      <c r="R170" s="444"/>
      <c r="S170" s="444"/>
      <c r="T170" s="446"/>
      <c r="U170" s="446"/>
      <c r="V170" s="444"/>
      <c r="W170" s="444"/>
      <c r="X170" s="446"/>
      <c r="Y170" s="446"/>
      <c r="Z170" s="446"/>
      <c r="AA170" s="446"/>
      <c r="AB170" s="446"/>
      <c r="AC170" s="446"/>
      <c r="AD170" s="446"/>
      <c r="AE170" s="446"/>
      <c r="AF170" s="444"/>
      <c r="AG170" s="444"/>
      <c r="AH170" s="444"/>
      <c r="AI170" s="444"/>
      <c r="AJ170" s="444"/>
      <c r="AK170" s="444"/>
      <c r="AL170" s="444"/>
      <c r="AM170" s="445"/>
      <c r="AN170" s="444"/>
      <c r="AO170" s="444"/>
      <c r="AP170" s="444"/>
      <c r="AQ170" s="447"/>
      <c r="AR170" s="448"/>
      <c r="AS170" s="448"/>
      <c r="AT170" s="449"/>
      <c r="AU170" s="449"/>
      <c r="AV170" s="449"/>
    </row>
    <row r="171" spans="1:48" x14ac:dyDescent="0.35">
      <c r="A171" s="442"/>
      <c r="B171" s="117"/>
      <c r="C171" s="117"/>
      <c r="D171" s="443"/>
      <c r="E171" s="443"/>
      <c r="F171" s="444"/>
      <c r="G171" s="444"/>
      <c r="H171" s="444"/>
      <c r="I171" s="444"/>
      <c r="J171" s="444"/>
      <c r="K171" s="444"/>
      <c r="L171" s="444"/>
      <c r="M171" s="444"/>
      <c r="N171" s="445"/>
      <c r="O171" s="444"/>
      <c r="P171" s="445"/>
      <c r="Q171" s="445"/>
      <c r="R171" s="444"/>
      <c r="S171" s="444"/>
      <c r="T171" s="446"/>
      <c r="U171" s="446"/>
      <c r="V171" s="444"/>
      <c r="W171" s="444"/>
      <c r="X171" s="446"/>
      <c r="Y171" s="446"/>
      <c r="Z171" s="446"/>
      <c r="AA171" s="446"/>
      <c r="AB171" s="446"/>
      <c r="AC171" s="446"/>
      <c r="AD171" s="446"/>
      <c r="AE171" s="446"/>
      <c r="AF171" s="444"/>
      <c r="AG171" s="444"/>
      <c r="AH171" s="444"/>
      <c r="AI171" s="444"/>
      <c r="AJ171" s="444"/>
      <c r="AK171" s="444"/>
      <c r="AL171" s="444"/>
      <c r="AM171" s="445"/>
      <c r="AN171" s="444"/>
      <c r="AO171" s="444"/>
      <c r="AP171" s="444"/>
      <c r="AQ171" s="447"/>
      <c r="AR171" s="448"/>
      <c r="AS171" s="448"/>
      <c r="AT171" s="449"/>
      <c r="AU171" s="449"/>
      <c r="AV171" s="449"/>
    </row>
    <row r="172" spans="1:48" x14ac:dyDescent="0.35">
      <c r="A172" s="442"/>
      <c r="B172" s="117"/>
      <c r="C172" s="117"/>
      <c r="D172" s="443"/>
      <c r="E172" s="443"/>
      <c r="F172" s="444"/>
      <c r="G172" s="444"/>
      <c r="H172" s="444"/>
      <c r="I172" s="444"/>
      <c r="J172" s="444"/>
      <c r="K172" s="444"/>
      <c r="L172" s="444"/>
      <c r="M172" s="444"/>
      <c r="N172" s="445"/>
      <c r="O172" s="444"/>
      <c r="P172" s="445"/>
      <c r="Q172" s="445"/>
      <c r="R172" s="444"/>
      <c r="S172" s="444"/>
      <c r="T172" s="446"/>
      <c r="U172" s="446"/>
      <c r="V172" s="444"/>
      <c r="W172" s="444"/>
      <c r="X172" s="446"/>
      <c r="Y172" s="446"/>
      <c r="Z172" s="446"/>
      <c r="AA172" s="446"/>
      <c r="AB172" s="446"/>
      <c r="AC172" s="446"/>
      <c r="AD172" s="446"/>
      <c r="AE172" s="446"/>
      <c r="AF172" s="444"/>
      <c r="AG172" s="444"/>
      <c r="AH172" s="444"/>
      <c r="AI172" s="444"/>
      <c r="AJ172" s="444"/>
      <c r="AK172" s="444"/>
      <c r="AL172" s="444"/>
      <c r="AM172" s="445"/>
      <c r="AN172" s="444"/>
      <c r="AO172" s="444"/>
      <c r="AP172" s="444"/>
      <c r="AQ172" s="447"/>
      <c r="AR172" s="448"/>
      <c r="AS172" s="448"/>
      <c r="AT172" s="449"/>
      <c r="AU172" s="449"/>
      <c r="AV172" s="449"/>
    </row>
    <row r="173" spans="1:48" x14ac:dyDescent="0.35">
      <c r="A173" s="442"/>
      <c r="B173" s="117"/>
      <c r="C173" s="117"/>
      <c r="D173" s="443"/>
      <c r="E173" s="443"/>
      <c r="F173" s="444"/>
      <c r="G173" s="444"/>
      <c r="H173" s="444"/>
      <c r="I173" s="444"/>
      <c r="J173" s="444"/>
      <c r="K173" s="444"/>
      <c r="L173" s="444"/>
      <c r="M173" s="444"/>
      <c r="N173" s="445"/>
      <c r="O173" s="444"/>
      <c r="P173" s="445"/>
      <c r="Q173" s="445"/>
      <c r="R173" s="444"/>
      <c r="S173" s="444"/>
      <c r="T173" s="446"/>
      <c r="U173" s="446"/>
      <c r="V173" s="444"/>
      <c r="W173" s="444"/>
      <c r="X173" s="446"/>
      <c r="Y173" s="446"/>
      <c r="Z173" s="446"/>
      <c r="AA173" s="446"/>
      <c r="AB173" s="446"/>
      <c r="AC173" s="446"/>
      <c r="AD173" s="446"/>
      <c r="AE173" s="446"/>
      <c r="AF173" s="444"/>
      <c r="AG173" s="444"/>
      <c r="AH173" s="444"/>
      <c r="AI173" s="444"/>
      <c r="AJ173" s="444"/>
      <c r="AK173" s="444"/>
      <c r="AL173" s="444"/>
      <c r="AM173" s="445"/>
      <c r="AN173" s="444"/>
      <c r="AO173" s="444"/>
      <c r="AP173" s="444"/>
      <c r="AQ173" s="447"/>
      <c r="AR173" s="448"/>
      <c r="AS173" s="448"/>
      <c r="AT173" s="449"/>
      <c r="AU173" s="449"/>
      <c r="AV173" s="449"/>
    </row>
    <row r="174" spans="1:48" x14ac:dyDescent="0.35">
      <c r="A174" s="442"/>
      <c r="B174" s="117"/>
      <c r="C174" s="117"/>
      <c r="D174" s="443"/>
      <c r="E174" s="443"/>
      <c r="F174" s="444"/>
      <c r="G174" s="444"/>
      <c r="H174" s="444"/>
      <c r="I174" s="444"/>
      <c r="J174" s="444"/>
      <c r="K174" s="444"/>
      <c r="L174" s="444"/>
      <c r="M174" s="444"/>
      <c r="N174" s="445"/>
      <c r="O174" s="444"/>
      <c r="P174" s="445"/>
      <c r="Q174" s="445"/>
      <c r="R174" s="444"/>
      <c r="S174" s="444"/>
      <c r="T174" s="446"/>
      <c r="U174" s="446"/>
      <c r="V174" s="444"/>
      <c r="W174" s="444"/>
      <c r="X174" s="446"/>
      <c r="Y174" s="446"/>
      <c r="Z174" s="446"/>
      <c r="AA174" s="446"/>
      <c r="AB174" s="446"/>
      <c r="AC174" s="446"/>
      <c r="AD174" s="446"/>
      <c r="AE174" s="446"/>
      <c r="AF174" s="444"/>
      <c r="AG174" s="444"/>
      <c r="AH174" s="444"/>
      <c r="AI174" s="444"/>
      <c r="AJ174" s="444"/>
      <c r="AK174" s="444"/>
      <c r="AL174" s="444"/>
      <c r="AM174" s="445"/>
      <c r="AN174" s="444"/>
      <c r="AO174" s="444"/>
      <c r="AP174" s="444"/>
      <c r="AQ174" s="447"/>
      <c r="AR174" s="448"/>
      <c r="AS174" s="448"/>
      <c r="AT174" s="449"/>
      <c r="AU174" s="449"/>
      <c r="AV174" s="449"/>
    </row>
    <row r="175" spans="1:48" x14ac:dyDescent="0.35">
      <c r="A175" s="442"/>
      <c r="B175" s="117"/>
      <c r="C175" s="117"/>
      <c r="D175" s="443"/>
      <c r="E175" s="443"/>
      <c r="F175" s="444"/>
      <c r="G175" s="444"/>
      <c r="H175" s="444"/>
      <c r="I175" s="444"/>
      <c r="J175" s="444"/>
      <c r="K175" s="444"/>
      <c r="L175" s="444"/>
      <c r="M175" s="444"/>
      <c r="N175" s="445"/>
      <c r="O175" s="444"/>
      <c r="P175" s="445"/>
      <c r="Q175" s="445"/>
      <c r="R175" s="444"/>
      <c r="S175" s="444"/>
      <c r="T175" s="446"/>
      <c r="U175" s="446"/>
      <c r="V175" s="444"/>
      <c r="W175" s="444"/>
      <c r="X175" s="446"/>
      <c r="Y175" s="446"/>
      <c r="Z175" s="446"/>
      <c r="AA175" s="446"/>
      <c r="AB175" s="446"/>
      <c r="AC175" s="446"/>
      <c r="AD175" s="446"/>
      <c r="AE175" s="446"/>
      <c r="AF175" s="444"/>
      <c r="AG175" s="444"/>
      <c r="AH175" s="444"/>
      <c r="AI175" s="444"/>
      <c r="AJ175" s="444"/>
      <c r="AK175" s="444"/>
      <c r="AL175" s="444"/>
      <c r="AM175" s="445"/>
      <c r="AN175" s="444"/>
      <c r="AO175" s="444"/>
      <c r="AP175" s="444"/>
      <c r="AQ175" s="447"/>
      <c r="AR175" s="448"/>
      <c r="AS175" s="448"/>
      <c r="AT175" s="449"/>
      <c r="AU175" s="449"/>
      <c r="AV175" s="449"/>
    </row>
    <row r="176" spans="1:48" x14ac:dyDescent="0.35">
      <c r="A176" s="442"/>
      <c r="B176" s="117"/>
      <c r="C176" s="117"/>
      <c r="D176" s="443"/>
      <c r="E176" s="443"/>
      <c r="F176" s="444"/>
      <c r="G176" s="444"/>
      <c r="H176" s="444"/>
      <c r="I176" s="444"/>
      <c r="J176" s="444"/>
      <c r="K176" s="444"/>
      <c r="L176" s="444"/>
      <c r="M176" s="444"/>
      <c r="N176" s="445"/>
      <c r="O176" s="444"/>
      <c r="P176" s="445"/>
      <c r="Q176" s="445"/>
      <c r="R176" s="444"/>
      <c r="S176" s="444"/>
      <c r="T176" s="446"/>
      <c r="U176" s="446"/>
      <c r="V176" s="444"/>
      <c r="W176" s="444"/>
      <c r="X176" s="446"/>
      <c r="Y176" s="446"/>
      <c r="Z176" s="446"/>
      <c r="AA176" s="446"/>
      <c r="AB176" s="446"/>
      <c r="AC176" s="446"/>
      <c r="AD176" s="446"/>
      <c r="AE176" s="446"/>
      <c r="AF176" s="444"/>
      <c r="AG176" s="444"/>
      <c r="AH176" s="444"/>
      <c r="AI176" s="444"/>
      <c r="AJ176" s="444"/>
      <c r="AK176" s="444"/>
      <c r="AL176" s="444"/>
      <c r="AM176" s="445"/>
      <c r="AN176" s="444"/>
      <c r="AO176" s="444"/>
      <c r="AP176" s="444"/>
      <c r="AQ176" s="447"/>
      <c r="AR176" s="448"/>
      <c r="AS176" s="448"/>
      <c r="AT176" s="449"/>
      <c r="AU176" s="449"/>
      <c r="AV176" s="449"/>
    </row>
    <row r="177" spans="1:48" x14ac:dyDescent="0.35">
      <c r="A177" s="442"/>
      <c r="B177" s="117"/>
      <c r="C177" s="117"/>
      <c r="D177" s="443"/>
      <c r="E177" s="443"/>
      <c r="F177" s="444"/>
      <c r="G177" s="444"/>
      <c r="H177" s="444"/>
      <c r="I177" s="444"/>
      <c r="J177" s="444"/>
      <c r="K177" s="444"/>
      <c r="L177" s="444"/>
      <c r="M177" s="444"/>
      <c r="N177" s="445"/>
      <c r="O177" s="444"/>
      <c r="P177" s="445"/>
      <c r="Q177" s="445"/>
      <c r="R177" s="444"/>
      <c r="S177" s="444"/>
      <c r="T177" s="446"/>
      <c r="U177" s="446"/>
      <c r="V177" s="444"/>
      <c r="W177" s="444"/>
      <c r="X177" s="446"/>
      <c r="Y177" s="446"/>
      <c r="Z177" s="446"/>
      <c r="AA177" s="446"/>
      <c r="AB177" s="446"/>
      <c r="AC177" s="446"/>
      <c r="AD177" s="446"/>
      <c r="AE177" s="446"/>
      <c r="AF177" s="444"/>
      <c r="AG177" s="444"/>
      <c r="AH177" s="444"/>
      <c r="AI177" s="444"/>
      <c r="AJ177" s="444"/>
      <c r="AK177" s="444"/>
      <c r="AL177" s="444"/>
      <c r="AM177" s="445"/>
      <c r="AN177" s="444"/>
      <c r="AO177" s="444"/>
      <c r="AP177" s="444"/>
      <c r="AQ177" s="447"/>
      <c r="AR177" s="448"/>
      <c r="AS177" s="448"/>
      <c r="AT177" s="449"/>
      <c r="AU177" s="449"/>
      <c r="AV177" s="449"/>
    </row>
    <row r="178" spans="1:48" x14ac:dyDescent="0.35">
      <c r="A178" s="442"/>
      <c r="B178" s="117"/>
      <c r="C178" s="117"/>
      <c r="D178" s="443"/>
      <c r="E178" s="443"/>
      <c r="F178" s="444"/>
      <c r="G178" s="444"/>
      <c r="H178" s="444"/>
      <c r="I178" s="444"/>
      <c r="J178" s="444"/>
      <c r="K178" s="444"/>
      <c r="L178" s="444"/>
      <c r="M178" s="444"/>
      <c r="N178" s="445"/>
      <c r="O178" s="444"/>
      <c r="P178" s="445"/>
      <c r="Q178" s="445"/>
      <c r="R178" s="444"/>
      <c r="S178" s="444"/>
      <c r="T178" s="446"/>
      <c r="U178" s="446"/>
      <c r="V178" s="444"/>
      <c r="W178" s="444"/>
      <c r="X178" s="446"/>
      <c r="Y178" s="446"/>
      <c r="Z178" s="446"/>
      <c r="AA178" s="446"/>
      <c r="AB178" s="446"/>
      <c r="AC178" s="446"/>
      <c r="AD178" s="446"/>
      <c r="AE178" s="446"/>
      <c r="AF178" s="444"/>
      <c r="AG178" s="444"/>
      <c r="AH178" s="444"/>
      <c r="AI178" s="444"/>
      <c r="AJ178" s="444"/>
      <c r="AK178" s="444"/>
      <c r="AL178" s="444"/>
      <c r="AM178" s="445"/>
      <c r="AN178" s="444"/>
      <c r="AO178" s="444"/>
      <c r="AP178" s="444"/>
      <c r="AQ178" s="447"/>
      <c r="AR178" s="448"/>
      <c r="AS178" s="448"/>
      <c r="AT178" s="449"/>
      <c r="AU178" s="449"/>
      <c r="AV178" s="449"/>
    </row>
    <row r="179" spans="1:48" x14ac:dyDescent="0.35">
      <c r="A179" s="442"/>
      <c r="B179" s="117"/>
      <c r="C179" s="117"/>
      <c r="D179" s="443"/>
      <c r="E179" s="443"/>
      <c r="F179" s="444"/>
      <c r="G179" s="444"/>
      <c r="H179" s="444"/>
      <c r="I179" s="444"/>
      <c r="J179" s="444"/>
      <c r="K179" s="444"/>
      <c r="L179" s="444"/>
      <c r="M179" s="444"/>
      <c r="N179" s="445"/>
      <c r="O179" s="444"/>
      <c r="P179" s="445"/>
      <c r="Q179" s="445"/>
      <c r="R179" s="444"/>
      <c r="S179" s="444"/>
      <c r="T179" s="446"/>
      <c r="U179" s="446"/>
      <c r="V179" s="444"/>
      <c r="W179" s="444"/>
      <c r="X179" s="446"/>
      <c r="Y179" s="446"/>
      <c r="Z179" s="446"/>
      <c r="AA179" s="446"/>
      <c r="AB179" s="446"/>
      <c r="AC179" s="446"/>
      <c r="AD179" s="446"/>
      <c r="AE179" s="446"/>
      <c r="AF179" s="444"/>
      <c r="AG179" s="444"/>
      <c r="AH179" s="444"/>
      <c r="AI179" s="444"/>
      <c r="AJ179" s="444"/>
      <c r="AK179" s="444"/>
      <c r="AL179" s="444"/>
      <c r="AM179" s="445"/>
      <c r="AN179" s="444"/>
      <c r="AO179" s="444"/>
      <c r="AP179" s="444"/>
      <c r="AQ179" s="447"/>
      <c r="AR179" s="448"/>
      <c r="AS179" s="448"/>
      <c r="AT179" s="449"/>
      <c r="AU179" s="449"/>
      <c r="AV179" s="449"/>
    </row>
    <row r="180" spans="1:48" x14ac:dyDescent="0.35">
      <c r="A180" s="442"/>
      <c r="B180" s="117"/>
      <c r="C180" s="117"/>
      <c r="D180" s="443"/>
      <c r="E180" s="443"/>
      <c r="F180" s="444"/>
      <c r="G180" s="444"/>
      <c r="H180" s="444"/>
      <c r="I180" s="444"/>
      <c r="J180" s="444"/>
      <c r="K180" s="444"/>
      <c r="L180" s="444"/>
      <c r="M180" s="444"/>
      <c r="N180" s="445"/>
      <c r="O180" s="444"/>
      <c r="P180" s="445"/>
      <c r="Q180" s="445"/>
      <c r="R180" s="444"/>
      <c r="S180" s="444"/>
      <c r="T180" s="446"/>
      <c r="U180" s="446"/>
      <c r="V180" s="444"/>
      <c r="W180" s="444"/>
      <c r="X180" s="446"/>
      <c r="Y180" s="446"/>
      <c r="Z180" s="446"/>
      <c r="AA180" s="446"/>
      <c r="AB180" s="446"/>
      <c r="AC180" s="446"/>
      <c r="AD180" s="446"/>
      <c r="AE180" s="446"/>
      <c r="AF180" s="444"/>
      <c r="AG180" s="444"/>
      <c r="AH180" s="444"/>
      <c r="AI180" s="444"/>
      <c r="AJ180" s="444"/>
      <c r="AK180" s="444"/>
      <c r="AL180" s="444"/>
      <c r="AM180" s="445"/>
      <c r="AN180" s="444"/>
      <c r="AO180" s="444"/>
      <c r="AP180" s="444"/>
      <c r="AQ180" s="447"/>
      <c r="AR180" s="448"/>
      <c r="AS180" s="448"/>
      <c r="AT180" s="449"/>
      <c r="AU180" s="449"/>
      <c r="AV180" s="449"/>
    </row>
    <row r="181" spans="1:48" x14ac:dyDescent="0.35">
      <c r="A181" s="442"/>
      <c r="B181" s="117"/>
      <c r="C181" s="117"/>
      <c r="D181" s="443"/>
      <c r="E181" s="443"/>
      <c r="F181" s="444"/>
      <c r="G181" s="444"/>
      <c r="H181" s="444"/>
      <c r="I181" s="444"/>
      <c r="J181" s="444"/>
      <c r="K181" s="444"/>
      <c r="L181" s="444"/>
      <c r="M181" s="444"/>
      <c r="N181" s="445"/>
      <c r="O181" s="444"/>
      <c r="P181" s="445"/>
      <c r="Q181" s="445"/>
      <c r="R181" s="444"/>
      <c r="S181" s="444"/>
      <c r="T181" s="446"/>
      <c r="U181" s="446"/>
      <c r="V181" s="444"/>
      <c r="W181" s="444"/>
      <c r="X181" s="446"/>
      <c r="Y181" s="446"/>
      <c r="Z181" s="446"/>
      <c r="AA181" s="446"/>
      <c r="AB181" s="446"/>
      <c r="AC181" s="446"/>
      <c r="AD181" s="446"/>
      <c r="AE181" s="446"/>
      <c r="AF181" s="444"/>
      <c r="AG181" s="444"/>
      <c r="AH181" s="444"/>
      <c r="AI181" s="444"/>
      <c r="AJ181" s="444"/>
      <c r="AK181" s="444"/>
      <c r="AL181" s="444"/>
      <c r="AM181" s="445"/>
      <c r="AN181" s="444"/>
      <c r="AO181" s="444"/>
      <c r="AP181" s="444"/>
      <c r="AQ181" s="447"/>
      <c r="AR181" s="448"/>
      <c r="AS181" s="448"/>
      <c r="AT181" s="449"/>
      <c r="AU181" s="449"/>
      <c r="AV181" s="449"/>
    </row>
    <row r="182" spans="1:48" x14ac:dyDescent="0.35">
      <c r="A182" s="442"/>
      <c r="B182" s="117"/>
      <c r="C182" s="117"/>
      <c r="D182" s="443"/>
      <c r="E182" s="443"/>
      <c r="F182" s="444"/>
      <c r="G182" s="444"/>
      <c r="H182" s="444"/>
      <c r="I182" s="444"/>
      <c r="J182" s="444"/>
      <c r="K182" s="444"/>
      <c r="L182" s="444"/>
      <c r="M182" s="444"/>
      <c r="N182" s="445"/>
      <c r="O182" s="444"/>
      <c r="P182" s="445"/>
      <c r="Q182" s="445"/>
      <c r="R182" s="444"/>
      <c r="S182" s="444"/>
      <c r="T182" s="446"/>
      <c r="U182" s="446"/>
      <c r="V182" s="444"/>
      <c r="W182" s="444"/>
      <c r="X182" s="446"/>
      <c r="Y182" s="446"/>
      <c r="Z182" s="446"/>
      <c r="AA182" s="446"/>
      <c r="AB182" s="446"/>
      <c r="AC182" s="446"/>
      <c r="AD182" s="446"/>
      <c r="AE182" s="446"/>
      <c r="AF182" s="444"/>
      <c r="AG182" s="444"/>
      <c r="AH182" s="444"/>
      <c r="AI182" s="444"/>
      <c r="AJ182" s="444"/>
      <c r="AK182" s="444"/>
      <c r="AL182" s="444"/>
      <c r="AM182" s="445"/>
      <c r="AN182" s="444"/>
      <c r="AO182" s="444"/>
      <c r="AP182" s="444"/>
      <c r="AQ182" s="447"/>
      <c r="AR182" s="448"/>
      <c r="AS182" s="448"/>
      <c r="AT182" s="449"/>
      <c r="AU182" s="449"/>
      <c r="AV182" s="449"/>
    </row>
    <row r="183" spans="1:48" x14ac:dyDescent="0.35">
      <c r="A183" s="442"/>
      <c r="B183" s="117"/>
      <c r="C183" s="117"/>
      <c r="D183" s="443"/>
      <c r="E183" s="443"/>
      <c r="F183" s="444"/>
      <c r="G183" s="444"/>
      <c r="H183" s="444"/>
      <c r="I183" s="444"/>
      <c r="J183" s="444"/>
      <c r="K183" s="444"/>
      <c r="L183" s="444"/>
      <c r="M183" s="444"/>
      <c r="N183" s="445"/>
      <c r="O183" s="444"/>
      <c r="P183" s="445"/>
      <c r="Q183" s="445"/>
      <c r="R183" s="444"/>
      <c r="S183" s="444"/>
      <c r="T183" s="446"/>
      <c r="U183" s="446"/>
      <c r="V183" s="444"/>
      <c r="W183" s="444"/>
      <c r="X183" s="446"/>
      <c r="Y183" s="446"/>
      <c r="Z183" s="446"/>
      <c r="AA183" s="446"/>
      <c r="AB183" s="446"/>
      <c r="AC183" s="446"/>
      <c r="AD183" s="446"/>
      <c r="AE183" s="446"/>
      <c r="AF183" s="444"/>
      <c r="AG183" s="444"/>
      <c r="AH183" s="444"/>
      <c r="AI183" s="444"/>
      <c r="AJ183" s="444"/>
      <c r="AK183" s="444"/>
      <c r="AL183" s="444"/>
      <c r="AM183" s="445"/>
      <c r="AN183" s="444"/>
      <c r="AO183" s="444"/>
      <c r="AP183" s="444"/>
      <c r="AQ183" s="447"/>
      <c r="AR183" s="448"/>
      <c r="AS183" s="448"/>
      <c r="AT183" s="449"/>
      <c r="AU183" s="449"/>
      <c r="AV183" s="449"/>
    </row>
    <row r="184" spans="1:48" x14ac:dyDescent="0.35">
      <c r="A184" s="442"/>
      <c r="B184" s="117"/>
      <c r="C184" s="117"/>
      <c r="D184" s="443"/>
      <c r="E184" s="443"/>
      <c r="F184" s="444"/>
      <c r="G184" s="444"/>
      <c r="H184" s="444"/>
      <c r="I184" s="444"/>
      <c r="J184" s="444"/>
      <c r="K184" s="444"/>
      <c r="L184" s="444"/>
      <c r="M184" s="444"/>
      <c r="N184" s="445"/>
      <c r="O184" s="444"/>
      <c r="P184" s="445"/>
      <c r="Q184" s="445"/>
      <c r="R184" s="444"/>
      <c r="S184" s="444"/>
      <c r="T184" s="446"/>
      <c r="U184" s="446"/>
      <c r="V184" s="444"/>
      <c r="W184" s="444"/>
      <c r="X184" s="446"/>
      <c r="Y184" s="446"/>
      <c r="Z184" s="446"/>
      <c r="AA184" s="446"/>
      <c r="AB184" s="446"/>
      <c r="AC184" s="446"/>
      <c r="AD184" s="446"/>
      <c r="AE184" s="446"/>
      <c r="AF184" s="444"/>
      <c r="AG184" s="444"/>
      <c r="AH184" s="444"/>
      <c r="AI184" s="444"/>
      <c r="AJ184" s="444"/>
      <c r="AK184" s="444"/>
      <c r="AL184" s="444"/>
      <c r="AM184" s="445"/>
      <c r="AN184" s="444"/>
      <c r="AO184" s="444"/>
      <c r="AP184" s="444"/>
      <c r="AQ184" s="447"/>
      <c r="AR184" s="448"/>
      <c r="AS184" s="448"/>
      <c r="AT184" s="449"/>
      <c r="AU184" s="449"/>
      <c r="AV184" s="449"/>
    </row>
    <row r="185" spans="1:48" x14ac:dyDescent="0.35">
      <c r="A185" s="442"/>
      <c r="B185" s="117"/>
      <c r="C185" s="117"/>
      <c r="D185" s="443"/>
      <c r="E185" s="443"/>
      <c r="F185" s="444"/>
      <c r="G185" s="444"/>
      <c r="H185" s="444"/>
      <c r="I185" s="444"/>
      <c r="J185" s="444"/>
      <c r="K185" s="444"/>
      <c r="L185" s="444"/>
      <c r="M185" s="444"/>
      <c r="N185" s="445"/>
      <c r="O185" s="444"/>
      <c r="P185" s="445"/>
      <c r="Q185" s="445"/>
      <c r="R185" s="444"/>
      <c r="S185" s="444"/>
      <c r="T185" s="446"/>
      <c r="U185" s="446"/>
      <c r="V185" s="444"/>
      <c r="W185" s="444"/>
      <c r="X185" s="446"/>
      <c r="Y185" s="446"/>
      <c r="Z185" s="446"/>
      <c r="AA185" s="446"/>
      <c r="AB185" s="446"/>
      <c r="AC185" s="446"/>
      <c r="AD185" s="446"/>
      <c r="AE185" s="446"/>
      <c r="AF185" s="444"/>
      <c r="AG185" s="444"/>
      <c r="AH185" s="444"/>
      <c r="AI185" s="444"/>
      <c r="AJ185" s="444"/>
      <c r="AK185" s="444"/>
      <c r="AL185" s="444"/>
      <c r="AM185" s="445"/>
      <c r="AN185" s="444"/>
      <c r="AO185" s="444"/>
      <c r="AP185" s="444"/>
      <c r="AQ185" s="447"/>
      <c r="AR185" s="448"/>
      <c r="AS185" s="448"/>
      <c r="AT185" s="449"/>
      <c r="AU185" s="449"/>
      <c r="AV185" s="449"/>
    </row>
    <row r="186" spans="1:48" x14ac:dyDescent="0.35">
      <c r="A186" s="442"/>
      <c r="B186" s="117"/>
      <c r="C186" s="117"/>
      <c r="D186" s="443"/>
      <c r="E186" s="443"/>
      <c r="F186" s="444"/>
      <c r="G186" s="444"/>
      <c r="H186" s="444"/>
      <c r="I186" s="444"/>
      <c r="J186" s="444"/>
      <c r="K186" s="444"/>
      <c r="L186" s="444"/>
      <c r="M186" s="444"/>
      <c r="N186" s="445"/>
      <c r="O186" s="444"/>
      <c r="P186" s="445"/>
      <c r="Q186" s="445"/>
      <c r="R186" s="444"/>
      <c r="S186" s="444"/>
      <c r="T186" s="446"/>
      <c r="U186" s="446"/>
      <c r="V186" s="444"/>
      <c r="W186" s="444"/>
      <c r="X186" s="446"/>
      <c r="Y186" s="446"/>
      <c r="Z186" s="446"/>
      <c r="AA186" s="446"/>
      <c r="AB186" s="446"/>
      <c r="AC186" s="446"/>
      <c r="AD186" s="446"/>
      <c r="AE186" s="446"/>
      <c r="AF186" s="444"/>
      <c r="AG186" s="444"/>
      <c r="AH186" s="444"/>
      <c r="AI186" s="444"/>
      <c r="AJ186" s="444"/>
      <c r="AK186" s="444"/>
      <c r="AL186" s="444"/>
      <c r="AM186" s="445"/>
      <c r="AN186" s="444"/>
      <c r="AO186" s="444"/>
      <c r="AP186" s="444"/>
      <c r="AQ186" s="447"/>
      <c r="AR186" s="448"/>
      <c r="AS186" s="448"/>
      <c r="AT186" s="449"/>
      <c r="AU186" s="449"/>
      <c r="AV186" s="449"/>
    </row>
    <row r="187" spans="1:48" x14ac:dyDescent="0.35">
      <c r="A187" s="442"/>
      <c r="B187" s="117"/>
      <c r="C187" s="117"/>
      <c r="D187" s="443"/>
      <c r="E187" s="443"/>
      <c r="F187" s="444"/>
      <c r="G187" s="444"/>
      <c r="H187" s="444"/>
      <c r="I187" s="444"/>
      <c r="J187" s="444"/>
      <c r="K187" s="444"/>
      <c r="L187" s="444"/>
      <c r="M187" s="444"/>
      <c r="N187" s="445"/>
      <c r="O187" s="444"/>
      <c r="P187" s="445"/>
      <c r="Q187" s="445"/>
      <c r="R187" s="444"/>
      <c r="S187" s="444"/>
      <c r="T187" s="446"/>
      <c r="U187" s="446"/>
      <c r="V187" s="444"/>
      <c r="W187" s="444"/>
      <c r="X187" s="446"/>
      <c r="Y187" s="446"/>
      <c r="Z187" s="446"/>
      <c r="AA187" s="446"/>
      <c r="AB187" s="446"/>
      <c r="AC187" s="446"/>
      <c r="AD187" s="446"/>
      <c r="AE187" s="446"/>
      <c r="AF187" s="444"/>
      <c r="AG187" s="444"/>
      <c r="AH187" s="444"/>
      <c r="AI187" s="444"/>
      <c r="AJ187" s="444"/>
      <c r="AK187" s="444"/>
      <c r="AL187" s="444"/>
      <c r="AM187" s="445"/>
      <c r="AN187" s="444"/>
      <c r="AO187" s="444"/>
      <c r="AP187" s="444"/>
      <c r="AQ187" s="447"/>
      <c r="AR187" s="448"/>
      <c r="AS187" s="448"/>
      <c r="AT187" s="449"/>
      <c r="AU187" s="449"/>
      <c r="AV187" s="449"/>
    </row>
    <row r="188" spans="1:48" x14ac:dyDescent="0.35">
      <c r="A188" s="442"/>
      <c r="B188" s="117"/>
      <c r="C188" s="117"/>
      <c r="D188" s="443"/>
      <c r="E188" s="443"/>
      <c r="F188" s="444"/>
      <c r="G188" s="444"/>
      <c r="H188" s="444"/>
      <c r="I188" s="444"/>
      <c r="J188" s="444"/>
      <c r="K188" s="444"/>
      <c r="L188" s="444"/>
      <c r="M188" s="444"/>
      <c r="N188" s="445"/>
      <c r="O188" s="444"/>
      <c r="P188" s="445"/>
      <c r="Q188" s="445"/>
      <c r="R188" s="444"/>
      <c r="S188" s="444"/>
      <c r="T188" s="446"/>
      <c r="U188" s="446"/>
      <c r="V188" s="444"/>
      <c r="W188" s="444"/>
      <c r="X188" s="446"/>
      <c r="Y188" s="446"/>
      <c r="Z188" s="446"/>
      <c r="AA188" s="446"/>
      <c r="AB188" s="446"/>
      <c r="AC188" s="446"/>
      <c r="AD188" s="446"/>
      <c r="AE188" s="446"/>
      <c r="AF188" s="444"/>
      <c r="AG188" s="444"/>
      <c r="AH188" s="444"/>
      <c r="AI188" s="444"/>
      <c r="AJ188" s="444"/>
      <c r="AK188" s="444"/>
      <c r="AL188" s="444"/>
      <c r="AM188" s="445"/>
      <c r="AN188" s="444"/>
      <c r="AO188" s="444"/>
      <c r="AP188" s="444"/>
      <c r="AQ188" s="447"/>
      <c r="AR188" s="448"/>
      <c r="AS188" s="448"/>
      <c r="AT188" s="449"/>
      <c r="AU188" s="449"/>
      <c r="AV188" s="449"/>
    </row>
    <row r="189" spans="1:48" x14ac:dyDescent="0.35">
      <c r="A189" s="442"/>
      <c r="B189" s="117"/>
      <c r="C189" s="117"/>
      <c r="D189" s="443"/>
      <c r="E189" s="443"/>
      <c r="F189" s="444"/>
      <c r="G189" s="444"/>
      <c r="H189" s="444"/>
      <c r="I189" s="444"/>
      <c r="J189" s="444"/>
      <c r="K189" s="444"/>
      <c r="L189" s="444"/>
      <c r="M189" s="444"/>
      <c r="N189" s="445"/>
      <c r="O189" s="444"/>
      <c r="P189" s="445"/>
      <c r="Q189" s="445"/>
      <c r="R189" s="444"/>
      <c r="S189" s="444"/>
      <c r="T189" s="446"/>
      <c r="U189" s="446"/>
      <c r="V189" s="444"/>
      <c r="W189" s="444"/>
      <c r="X189" s="446"/>
      <c r="Y189" s="446"/>
      <c r="Z189" s="446"/>
      <c r="AA189" s="446"/>
      <c r="AB189" s="446"/>
      <c r="AC189" s="446"/>
      <c r="AD189" s="446"/>
      <c r="AE189" s="446"/>
      <c r="AF189" s="444"/>
      <c r="AG189" s="444"/>
      <c r="AH189" s="444"/>
      <c r="AI189" s="444"/>
      <c r="AJ189" s="444"/>
      <c r="AK189" s="444"/>
      <c r="AL189" s="444"/>
      <c r="AM189" s="445"/>
      <c r="AN189" s="444"/>
      <c r="AO189" s="444"/>
      <c r="AP189" s="444"/>
      <c r="AQ189" s="447"/>
      <c r="AR189" s="448"/>
      <c r="AS189" s="448"/>
      <c r="AT189" s="449"/>
      <c r="AU189" s="449"/>
      <c r="AV189" s="449"/>
    </row>
    <row r="190" spans="1:48" x14ac:dyDescent="0.35">
      <c r="A190" s="442"/>
      <c r="B190" s="117"/>
      <c r="C190" s="117"/>
      <c r="D190" s="443"/>
      <c r="E190" s="443"/>
      <c r="F190" s="444"/>
      <c r="G190" s="444"/>
      <c r="H190" s="444"/>
      <c r="I190" s="444"/>
      <c r="J190" s="444"/>
      <c r="K190" s="444"/>
      <c r="L190" s="444"/>
      <c r="M190" s="444"/>
      <c r="N190" s="445"/>
      <c r="O190" s="444"/>
      <c r="P190" s="445"/>
      <c r="Q190" s="445"/>
      <c r="R190" s="444"/>
      <c r="S190" s="444"/>
      <c r="T190" s="446"/>
      <c r="U190" s="446"/>
      <c r="V190" s="444"/>
      <c r="W190" s="444"/>
      <c r="X190" s="446"/>
      <c r="Y190" s="446"/>
      <c r="Z190" s="446"/>
      <c r="AA190" s="446"/>
      <c r="AB190" s="446"/>
      <c r="AC190" s="446"/>
      <c r="AD190" s="446"/>
      <c r="AE190" s="446"/>
      <c r="AF190" s="444"/>
      <c r="AG190" s="444"/>
      <c r="AH190" s="444"/>
      <c r="AI190" s="444"/>
      <c r="AJ190" s="444"/>
      <c r="AK190" s="444"/>
      <c r="AL190" s="444"/>
      <c r="AM190" s="445"/>
      <c r="AN190" s="444"/>
      <c r="AO190" s="444"/>
      <c r="AP190" s="444"/>
      <c r="AQ190" s="447"/>
      <c r="AR190" s="448"/>
      <c r="AS190" s="448"/>
      <c r="AT190" s="449"/>
      <c r="AU190" s="449"/>
      <c r="AV190" s="449"/>
    </row>
    <row r="191" spans="1:48" x14ac:dyDescent="0.35">
      <c r="A191" s="442"/>
      <c r="B191" s="117"/>
      <c r="C191" s="117"/>
      <c r="D191" s="443"/>
      <c r="E191" s="443"/>
      <c r="F191" s="444"/>
      <c r="G191" s="444"/>
      <c r="H191" s="444"/>
      <c r="I191" s="444"/>
      <c r="J191" s="444"/>
      <c r="K191" s="444"/>
      <c r="L191" s="444"/>
      <c r="M191" s="444"/>
      <c r="N191" s="445"/>
      <c r="O191" s="444"/>
      <c r="P191" s="445"/>
      <c r="Q191" s="445"/>
      <c r="R191" s="444"/>
      <c r="S191" s="444"/>
      <c r="T191" s="446"/>
      <c r="U191" s="446"/>
      <c r="V191" s="444"/>
      <c r="W191" s="444"/>
      <c r="X191" s="446"/>
      <c r="Y191" s="446"/>
      <c r="Z191" s="446"/>
      <c r="AA191" s="446"/>
      <c r="AB191" s="446"/>
      <c r="AC191" s="446"/>
      <c r="AD191" s="446"/>
      <c r="AE191" s="446"/>
      <c r="AF191" s="444"/>
      <c r="AG191" s="444"/>
      <c r="AH191" s="444"/>
      <c r="AI191" s="444"/>
      <c r="AJ191" s="444"/>
      <c r="AK191" s="444"/>
      <c r="AL191" s="444"/>
      <c r="AM191" s="445"/>
      <c r="AN191" s="444"/>
      <c r="AO191" s="444"/>
      <c r="AP191" s="444"/>
      <c r="AQ191" s="447"/>
      <c r="AR191" s="448"/>
      <c r="AS191" s="448"/>
      <c r="AT191" s="449"/>
      <c r="AU191" s="449"/>
      <c r="AV191" s="449"/>
    </row>
    <row r="192" spans="1:48" x14ac:dyDescent="0.35">
      <c r="A192" s="442"/>
      <c r="B192" s="117"/>
      <c r="C192" s="117"/>
      <c r="D192" s="443"/>
      <c r="E192" s="443"/>
      <c r="F192" s="444"/>
      <c r="G192" s="444"/>
      <c r="H192" s="444"/>
      <c r="I192" s="444"/>
      <c r="J192" s="444"/>
      <c r="K192" s="444"/>
      <c r="L192" s="444"/>
      <c r="M192" s="444"/>
      <c r="N192" s="445"/>
      <c r="O192" s="444"/>
      <c r="P192" s="445"/>
      <c r="Q192" s="445"/>
      <c r="R192" s="444"/>
      <c r="S192" s="444"/>
      <c r="T192" s="446"/>
      <c r="U192" s="446"/>
      <c r="V192" s="444"/>
      <c r="W192" s="444"/>
      <c r="X192" s="446"/>
      <c r="Y192" s="446"/>
      <c r="Z192" s="446"/>
      <c r="AA192" s="446"/>
      <c r="AB192" s="446"/>
      <c r="AC192" s="446"/>
      <c r="AD192" s="446"/>
      <c r="AE192" s="446"/>
      <c r="AF192" s="444"/>
      <c r="AG192" s="444"/>
      <c r="AH192" s="444"/>
      <c r="AI192" s="444"/>
      <c r="AJ192" s="444"/>
      <c r="AK192" s="444"/>
      <c r="AL192" s="444"/>
      <c r="AM192" s="445"/>
      <c r="AN192" s="444"/>
      <c r="AO192" s="444"/>
      <c r="AP192" s="444"/>
      <c r="AQ192" s="447"/>
      <c r="AR192" s="448"/>
      <c r="AS192" s="448"/>
      <c r="AT192" s="449"/>
      <c r="AU192" s="449"/>
      <c r="AV192" s="449"/>
    </row>
    <row r="193" spans="1:48" x14ac:dyDescent="0.35">
      <c r="A193" s="442"/>
      <c r="B193" s="117"/>
      <c r="C193" s="117"/>
      <c r="D193" s="443"/>
      <c r="E193" s="443"/>
      <c r="F193" s="444"/>
      <c r="G193" s="444"/>
      <c r="H193" s="444"/>
      <c r="I193" s="444"/>
      <c r="J193" s="444"/>
      <c r="K193" s="444"/>
      <c r="L193" s="444"/>
      <c r="M193" s="444"/>
      <c r="N193" s="445"/>
      <c r="O193" s="444"/>
      <c r="P193" s="445"/>
      <c r="Q193" s="445"/>
      <c r="R193" s="444"/>
      <c r="S193" s="444"/>
      <c r="T193" s="446"/>
      <c r="U193" s="446"/>
      <c r="V193" s="444"/>
      <c r="W193" s="444"/>
      <c r="X193" s="446"/>
      <c r="Y193" s="446"/>
      <c r="Z193" s="446"/>
      <c r="AA193" s="446"/>
      <c r="AB193" s="446"/>
      <c r="AC193" s="446"/>
      <c r="AD193" s="446"/>
      <c r="AE193" s="446"/>
      <c r="AF193" s="444"/>
      <c r="AG193" s="444"/>
      <c r="AH193" s="444"/>
      <c r="AI193" s="444"/>
      <c r="AJ193" s="444"/>
      <c r="AK193" s="444"/>
      <c r="AL193" s="444"/>
      <c r="AM193" s="445"/>
      <c r="AN193" s="444"/>
      <c r="AO193" s="444"/>
      <c r="AP193" s="444"/>
      <c r="AQ193" s="447"/>
      <c r="AR193" s="448"/>
      <c r="AS193" s="448"/>
      <c r="AT193" s="449"/>
      <c r="AU193" s="449"/>
      <c r="AV193" s="449"/>
    </row>
    <row r="194" spans="1:48" x14ac:dyDescent="0.35">
      <c r="A194" s="442"/>
      <c r="B194" s="117"/>
      <c r="C194" s="117"/>
      <c r="D194" s="443"/>
      <c r="E194" s="443"/>
      <c r="F194" s="444"/>
      <c r="G194" s="444"/>
      <c r="H194" s="444"/>
      <c r="I194" s="444"/>
      <c r="J194" s="444"/>
      <c r="K194" s="444"/>
      <c r="L194" s="444"/>
      <c r="M194" s="444"/>
      <c r="N194" s="445"/>
      <c r="O194" s="444"/>
      <c r="P194" s="445"/>
      <c r="Q194" s="445"/>
      <c r="R194" s="444"/>
      <c r="S194" s="444"/>
      <c r="T194" s="446"/>
      <c r="U194" s="446"/>
      <c r="V194" s="444"/>
      <c r="W194" s="444"/>
      <c r="X194" s="446"/>
      <c r="Y194" s="446"/>
      <c r="Z194" s="446"/>
      <c r="AA194" s="446"/>
      <c r="AB194" s="446"/>
      <c r="AC194" s="446"/>
      <c r="AD194" s="446"/>
      <c r="AE194" s="446"/>
      <c r="AF194" s="444"/>
      <c r="AG194" s="444"/>
      <c r="AH194" s="444"/>
      <c r="AI194" s="444"/>
      <c r="AJ194" s="444"/>
      <c r="AK194" s="444"/>
      <c r="AL194" s="444"/>
      <c r="AM194" s="445"/>
      <c r="AN194" s="444"/>
      <c r="AO194" s="444"/>
      <c r="AP194" s="444"/>
      <c r="AQ194" s="447"/>
      <c r="AR194" s="448"/>
      <c r="AS194" s="448"/>
      <c r="AT194" s="449"/>
      <c r="AU194" s="449"/>
      <c r="AV194" s="449"/>
    </row>
    <row r="195" spans="1:48" x14ac:dyDescent="0.35">
      <c r="A195" s="442"/>
      <c r="B195" s="117"/>
      <c r="C195" s="117"/>
      <c r="D195" s="443"/>
      <c r="E195" s="443"/>
      <c r="F195" s="444"/>
      <c r="G195" s="444"/>
      <c r="H195" s="444"/>
      <c r="I195" s="444"/>
      <c r="J195" s="444"/>
      <c r="K195" s="444"/>
      <c r="L195" s="444"/>
      <c r="M195" s="444"/>
      <c r="N195" s="445"/>
      <c r="O195" s="444"/>
      <c r="P195" s="445"/>
      <c r="Q195" s="445"/>
      <c r="R195" s="444"/>
      <c r="S195" s="444"/>
      <c r="T195" s="446"/>
      <c r="U195" s="446"/>
      <c r="V195" s="444"/>
      <c r="W195" s="444"/>
      <c r="X195" s="446"/>
      <c r="Y195" s="446"/>
      <c r="Z195" s="446"/>
      <c r="AA195" s="446"/>
      <c r="AB195" s="446"/>
      <c r="AC195" s="446"/>
      <c r="AD195" s="446"/>
      <c r="AE195" s="446"/>
      <c r="AF195" s="444"/>
      <c r="AG195" s="444"/>
      <c r="AH195" s="444"/>
      <c r="AI195" s="444"/>
      <c r="AJ195" s="444"/>
      <c r="AK195" s="444"/>
      <c r="AL195" s="444"/>
      <c r="AM195" s="445"/>
      <c r="AN195" s="444"/>
      <c r="AO195" s="444"/>
      <c r="AP195" s="444"/>
      <c r="AQ195" s="447"/>
      <c r="AR195" s="448"/>
      <c r="AS195" s="448"/>
      <c r="AT195" s="449"/>
      <c r="AU195" s="449"/>
      <c r="AV195" s="449"/>
    </row>
    <row r="196" spans="1:48" x14ac:dyDescent="0.35">
      <c r="A196" s="442"/>
      <c r="B196" s="117"/>
      <c r="C196" s="117"/>
      <c r="D196" s="443"/>
      <c r="E196" s="443"/>
      <c r="F196" s="444"/>
      <c r="G196" s="444"/>
      <c r="H196" s="444"/>
      <c r="I196" s="444"/>
      <c r="J196" s="444"/>
      <c r="K196" s="444"/>
      <c r="L196" s="444"/>
      <c r="M196" s="444"/>
      <c r="N196" s="445"/>
      <c r="O196" s="444"/>
      <c r="P196" s="445"/>
      <c r="Q196" s="445"/>
      <c r="R196" s="444"/>
      <c r="S196" s="444"/>
      <c r="T196" s="446"/>
      <c r="U196" s="446"/>
      <c r="V196" s="444"/>
      <c r="W196" s="444"/>
      <c r="X196" s="446"/>
      <c r="Y196" s="446"/>
      <c r="Z196" s="446"/>
      <c r="AA196" s="446"/>
      <c r="AB196" s="446"/>
      <c r="AC196" s="446"/>
      <c r="AD196" s="446"/>
      <c r="AE196" s="446"/>
      <c r="AF196" s="444"/>
      <c r="AG196" s="444"/>
      <c r="AH196" s="444"/>
      <c r="AI196" s="444"/>
      <c r="AJ196" s="444"/>
      <c r="AK196" s="444"/>
      <c r="AL196" s="444"/>
      <c r="AM196" s="445"/>
      <c r="AN196" s="444"/>
      <c r="AO196" s="444"/>
      <c r="AP196" s="444"/>
      <c r="AQ196" s="447"/>
      <c r="AR196" s="448"/>
      <c r="AS196" s="448"/>
      <c r="AT196" s="449"/>
      <c r="AU196" s="449"/>
      <c r="AV196" s="449"/>
    </row>
    <row r="197" spans="1:48" x14ac:dyDescent="0.35">
      <c r="A197" s="442"/>
      <c r="B197" s="117"/>
      <c r="C197" s="117"/>
      <c r="D197" s="443"/>
      <c r="E197" s="443"/>
      <c r="F197" s="444"/>
      <c r="G197" s="444"/>
      <c r="H197" s="444"/>
      <c r="I197" s="444"/>
      <c r="J197" s="444"/>
      <c r="K197" s="444"/>
      <c r="L197" s="444"/>
      <c r="M197" s="444"/>
      <c r="N197" s="445"/>
      <c r="O197" s="444"/>
      <c r="P197" s="445"/>
      <c r="Q197" s="445"/>
      <c r="R197" s="444"/>
      <c r="S197" s="444"/>
      <c r="T197" s="446"/>
      <c r="U197" s="446"/>
      <c r="V197" s="444"/>
      <c r="W197" s="444"/>
      <c r="X197" s="446"/>
      <c r="Y197" s="446"/>
      <c r="Z197" s="446"/>
      <c r="AA197" s="446"/>
      <c r="AB197" s="446"/>
      <c r="AC197" s="446"/>
      <c r="AD197" s="446"/>
      <c r="AE197" s="446"/>
      <c r="AF197" s="444"/>
      <c r="AG197" s="444"/>
      <c r="AH197" s="444"/>
      <c r="AI197" s="444"/>
      <c r="AJ197" s="444"/>
      <c r="AK197" s="444"/>
      <c r="AL197" s="444"/>
      <c r="AM197" s="445"/>
      <c r="AN197" s="444"/>
      <c r="AO197" s="444"/>
      <c r="AP197" s="444"/>
      <c r="AQ197" s="447"/>
      <c r="AR197" s="448"/>
      <c r="AS197" s="448"/>
      <c r="AT197" s="449"/>
      <c r="AU197" s="449"/>
      <c r="AV197" s="449"/>
    </row>
    <row r="198" spans="1:48" x14ac:dyDescent="0.35">
      <c r="A198" s="442"/>
      <c r="B198" s="117"/>
      <c r="C198" s="117"/>
      <c r="D198" s="443"/>
      <c r="E198" s="443"/>
      <c r="F198" s="444"/>
      <c r="G198" s="444"/>
      <c r="H198" s="444"/>
      <c r="I198" s="444"/>
      <c r="J198" s="444"/>
      <c r="K198" s="444"/>
      <c r="L198" s="444"/>
      <c r="M198" s="444"/>
      <c r="N198" s="445"/>
      <c r="O198" s="444"/>
      <c r="P198" s="445"/>
      <c r="Q198" s="445"/>
      <c r="R198" s="444"/>
      <c r="S198" s="444"/>
      <c r="T198" s="446"/>
      <c r="U198" s="446"/>
      <c r="V198" s="444"/>
      <c r="W198" s="444"/>
      <c r="X198" s="446"/>
      <c r="Y198" s="446"/>
      <c r="Z198" s="446"/>
      <c r="AA198" s="446"/>
      <c r="AB198" s="446"/>
      <c r="AC198" s="446"/>
      <c r="AD198" s="446"/>
      <c r="AE198" s="446"/>
      <c r="AF198" s="444"/>
      <c r="AG198" s="444"/>
      <c r="AH198" s="444"/>
      <c r="AI198" s="444"/>
      <c r="AJ198" s="444"/>
      <c r="AK198" s="444"/>
      <c r="AL198" s="444"/>
      <c r="AM198" s="445"/>
      <c r="AN198" s="444"/>
      <c r="AO198" s="444"/>
      <c r="AP198" s="444"/>
      <c r="AQ198" s="447"/>
      <c r="AR198" s="448"/>
      <c r="AS198" s="448"/>
      <c r="AT198" s="449"/>
      <c r="AU198" s="449"/>
      <c r="AV198" s="449"/>
    </row>
  </sheetData>
  <sheetProtection sheet="1" objects="1" scenarios="1"/>
  <mergeCells count="32">
    <mergeCell ref="O5:O6"/>
    <mergeCell ref="R5:R6"/>
    <mergeCell ref="S5:S6"/>
    <mergeCell ref="V5:V6"/>
    <mergeCell ref="W5:W6"/>
    <mergeCell ref="T4:W4"/>
    <mergeCell ref="AM4:AN4"/>
    <mergeCell ref="A1:D1"/>
    <mergeCell ref="A2:D2"/>
    <mergeCell ref="F1:H1"/>
    <mergeCell ref="I1:K1"/>
    <mergeCell ref="A4:F4"/>
    <mergeCell ref="G4:M4"/>
    <mergeCell ref="N4:O4"/>
    <mergeCell ref="P4:S4"/>
    <mergeCell ref="N1:O1"/>
    <mergeCell ref="N2:O2"/>
    <mergeCell ref="F2:H2"/>
    <mergeCell ref="I2:K2"/>
    <mergeCell ref="X4:AL4"/>
    <mergeCell ref="AX4:AY4"/>
    <mergeCell ref="AJ5:AJ6"/>
    <mergeCell ref="AK5:AK6"/>
    <mergeCell ref="AO4:AP4"/>
    <mergeCell ref="AP5:AP6"/>
    <mergeCell ref="AR4:AW4"/>
    <mergeCell ref="AG5:AG6"/>
    <mergeCell ref="AH5:AH6"/>
    <mergeCell ref="AI5:AI6"/>
    <mergeCell ref="AN5:AN6"/>
    <mergeCell ref="AF5:AF6"/>
    <mergeCell ref="AL5:AL6"/>
  </mergeCells>
  <hyperlinks>
    <hyperlink ref="N2" location="'Elec. Analysis'!A1" display="Go to Electricity Analysis"/>
    <hyperlink ref="N2:O2" location="'NG Analysis'!A1" display="Go to Natural Gas Analysis"/>
    <hyperlink ref="N1" location="'Regional Menu'!A1" display="Return to Regional Menu"/>
    <hyperlink ref="N1:O1" location="'Service Zone Menu'!A1" display="Return to Service Zone Menu"/>
  </hyperlinks>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9" tint="-0.499984740745262"/>
  </sheetPr>
  <dimension ref="A1:BD257"/>
  <sheetViews>
    <sheetView zoomScale="80" zoomScaleNormal="80" workbookViewId="0">
      <selection sqref="A1:D1"/>
    </sheetView>
  </sheetViews>
  <sheetFormatPr defaultColWidth="9.1796875" defaultRowHeight="14.5" x14ac:dyDescent="0.35"/>
  <cols>
    <col min="1" max="1" width="8.54296875" style="121" bestFit="1" customWidth="1"/>
    <col min="2" max="2" width="10.1796875" style="108" bestFit="1" customWidth="1"/>
    <col min="3" max="3" width="14.81640625" style="108" bestFit="1" customWidth="1"/>
    <col min="4" max="4" width="15.54296875" style="124" bestFit="1" customWidth="1"/>
    <col min="5" max="5" width="15" style="124" bestFit="1" customWidth="1"/>
    <col min="6" max="6" width="17.1796875" style="123" bestFit="1" customWidth="1"/>
    <col min="7" max="7" width="14.26953125" style="123" bestFit="1" customWidth="1"/>
    <col min="8" max="8" width="12.81640625" style="123" bestFit="1" customWidth="1"/>
    <col min="9" max="9" width="16.7265625" style="123" bestFit="1" customWidth="1"/>
    <col min="10" max="10" width="11.453125" style="123" bestFit="1" customWidth="1"/>
    <col min="11" max="11" width="16.26953125" style="123" bestFit="1" customWidth="1"/>
    <col min="12" max="12" width="16.26953125" style="123" customWidth="1"/>
    <col min="13" max="13" width="7.453125" style="123" customWidth="1"/>
    <col min="14" max="14" width="13.26953125" style="402" customWidth="1"/>
    <col min="15" max="15" width="16.26953125" style="123" bestFit="1" customWidth="1"/>
    <col min="16" max="16" width="19.26953125" style="402" bestFit="1" customWidth="1"/>
    <col min="17" max="17" width="16" style="402" bestFit="1" customWidth="1"/>
    <col min="18" max="19" width="12.81640625" style="123" bestFit="1" customWidth="1"/>
    <col min="20" max="20" width="16" style="126" customWidth="1"/>
    <col min="21" max="21" width="20.26953125" style="126" bestFit="1" customWidth="1"/>
    <col min="22" max="22" width="18" style="123" bestFit="1" customWidth="1"/>
    <col min="23" max="23" width="20.54296875" style="123" bestFit="1" customWidth="1"/>
    <col min="24" max="24" width="13.81640625" style="402" bestFit="1" customWidth="1"/>
    <col min="25" max="25" width="16.54296875" style="402" bestFit="1" customWidth="1"/>
    <col min="26" max="27" width="15" style="402" bestFit="1" customWidth="1"/>
    <col min="28" max="28" width="15.26953125" style="402" bestFit="1" customWidth="1"/>
    <col min="29" max="29" width="11.26953125" style="402" bestFit="1" customWidth="1"/>
    <col min="30" max="32" width="11.26953125" style="402" customWidth="1"/>
    <col min="33" max="33" width="10.7265625" style="125" bestFit="1" customWidth="1"/>
    <col min="34" max="34" width="14.7265625" style="125" bestFit="1" customWidth="1"/>
    <col min="35" max="35" width="10" style="123" bestFit="1" customWidth="1"/>
    <col min="36" max="36" width="17" style="123" bestFit="1" customWidth="1"/>
    <col min="37" max="37" width="17.7265625" style="123" bestFit="1" customWidth="1"/>
    <col min="38" max="40" width="17.7265625" style="123" customWidth="1"/>
    <col min="41" max="41" width="16.26953125" style="524" bestFit="1" customWidth="1"/>
    <col min="42" max="42" width="16.26953125" style="525" bestFit="1" customWidth="1"/>
    <col min="43" max="44" width="16.26953125" style="525" customWidth="1"/>
    <col min="45" max="45" width="8" style="195" bestFit="1" customWidth="1"/>
    <col min="46" max="46" width="15.26953125" style="526" bestFit="1" customWidth="1"/>
    <col min="47" max="47" width="15.26953125" style="526" customWidth="1"/>
    <col min="48" max="50" width="15.26953125" style="527" bestFit="1" customWidth="1"/>
    <col min="51" max="51" width="14.81640625" style="108" bestFit="1" customWidth="1"/>
    <col min="52" max="52" width="13.26953125" style="108" customWidth="1"/>
    <col min="53" max="53" width="17.1796875" style="108" customWidth="1"/>
    <col min="54" max="16384" width="9.1796875" style="108"/>
  </cols>
  <sheetData>
    <row r="1" spans="1:56" ht="15.75" x14ac:dyDescent="0.25">
      <c r="A1" s="2079" t="s">
        <v>83</v>
      </c>
      <c r="B1" s="2079"/>
      <c r="C1" s="2079"/>
      <c r="D1" s="2079"/>
      <c r="E1" s="452"/>
      <c r="F1" s="2077" t="s">
        <v>245</v>
      </c>
      <c r="G1" s="2078"/>
      <c r="H1" s="2078"/>
      <c r="I1" s="2080" t="str">
        <f>'Service Zone Menu'!$S$4</f>
        <v>Detached Home Consumption</v>
      </c>
      <c r="J1" s="2080"/>
      <c r="K1" s="2081"/>
      <c r="L1" s="1215"/>
      <c r="M1" s="453"/>
      <c r="N1" s="2075" t="s">
        <v>479</v>
      </c>
      <c r="O1" s="2075"/>
      <c r="P1" s="454"/>
      <c r="Q1" s="454"/>
      <c r="R1" s="455"/>
      <c r="S1" s="455"/>
      <c r="T1" s="456"/>
      <c r="U1" s="456"/>
      <c r="V1" s="455"/>
      <c r="W1" s="455"/>
      <c r="X1" s="457"/>
      <c r="Y1" s="457"/>
      <c r="Z1" s="457"/>
      <c r="AA1" s="457"/>
      <c r="AB1" s="457"/>
      <c r="AC1" s="457"/>
      <c r="AD1" s="457"/>
      <c r="AE1" s="457"/>
      <c r="AF1" s="457"/>
      <c r="AG1" s="457"/>
      <c r="AH1" s="457"/>
      <c r="AI1" s="455"/>
      <c r="AJ1" s="455"/>
      <c r="AK1" s="455"/>
      <c r="AL1" s="455"/>
      <c r="AM1" s="455"/>
      <c r="AN1" s="455"/>
      <c r="AO1" s="457"/>
      <c r="AP1" s="455"/>
      <c r="AQ1" s="455"/>
      <c r="AR1" s="455"/>
      <c r="AS1" s="458"/>
      <c r="AT1" s="459"/>
      <c r="AU1" s="459"/>
      <c r="AV1" s="460"/>
      <c r="AW1" s="460"/>
      <c r="AX1" s="460"/>
      <c r="AY1" s="460"/>
      <c r="AZ1" s="455"/>
      <c r="BA1" s="1205"/>
    </row>
    <row r="2" spans="1:56" ht="38.25" customHeight="1" thickBot="1" x14ac:dyDescent="0.25">
      <c r="A2" s="2085" t="str">
        <f>"ATCO-S Service Zone ("&amp; 'Service Zone Menu'!$X$4 &amp;")"</f>
        <v>ATCO-S Service Zone (Calgary)</v>
      </c>
      <c r="B2" s="2085"/>
      <c r="C2" s="2085"/>
      <c r="D2" s="2085"/>
      <c r="E2" s="1196"/>
      <c r="F2" s="2086" t="s">
        <v>569</v>
      </c>
      <c r="G2" s="2087"/>
      <c r="H2" s="2087"/>
      <c r="I2" s="2088" t="str">
        <f>'Service Zone Menu'!$AB$4</f>
        <v>DRT</v>
      </c>
      <c r="J2" s="2088"/>
      <c r="K2" s="2089"/>
      <c r="L2" s="1215"/>
      <c r="M2" s="463"/>
      <c r="N2" s="2075" t="s">
        <v>366</v>
      </c>
      <c r="O2" s="2075"/>
      <c r="P2" s="464"/>
      <c r="Q2" s="464"/>
      <c r="R2" s="455"/>
      <c r="S2" s="455"/>
      <c r="T2" s="456"/>
      <c r="U2" s="456"/>
      <c r="V2" s="455"/>
      <c r="W2" s="455"/>
      <c r="X2" s="457"/>
      <c r="Y2" s="457"/>
      <c r="Z2" s="457"/>
      <c r="AA2" s="457"/>
      <c r="AB2" s="457"/>
      <c r="AC2" s="457"/>
      <c r="AD2" s="457"/>
      <c r="AE2" s="457"/>
      <c r="AF2" s="457"/>
      <c r="AG2" s="457"/>
      <c r="AH2" s="457"/>
      <c r="AI2" s="455"/>
      <c r="AJ2" s="455"/>
      <c r="AK2" s="455"/>
      <c r="AL2" s="455"/>
      <c r="AM2" s="455"/>
      <c r="AN2" s="455"/>
      <c r="AO2" s="457"/>
      <c r="AP2" s="455"/>
      <c r="AQ2" s="455"/>
      <c r="AR2" s="455"/>
      <c r="AS2" s="458"/>
      <c r="AT2" s="457"/>
      <c r="AU2" s="457"/>
      <c r="AV2" s="1197"/>
      <c r="AW2" s="1197"/>
      <c r="AX2" s="1197"/>
      <c r="AY2" s="1197"/>
      <c r="AZ2" s="455"/>
      <c r="BA2" s="1205"/>
    </row>
    <row r="3" spans="1:56" s="335" customFormat="1" ht="12.75" customHeight="1" x14ac:dyDescent="0.2">
      <c r="A3" s="1124"/>
      <c r="B3" s="1124"/>
      <c r="C3" s="1124"/>
      <c r="D3" s="1124"/>
      <c r="E3" s="1124"/>
      <c r="F3" s="461"/>
      <c r="G3" s="462"/>
      <c r="H3" s="462"/>
      <c r="I3" s="462"/>
      <c r="J3" s="463"/>
      <c r="K3" s="463"/>
      <c r="L3" s="463"/>
      <c r="M3" s="463"/>
      <c r="N3" s="1123"/>
      <c r="O3" s="1123"/>
      <c r="P3" s="464"/>
      <c r="Q3" s="464"/>
      <c r="R3" s="455"/>
      <c r="S3" s="455"/>
      <c r="T3" s="456"/>
      <c r="U3" s="456"/>
      <c r="V3" s="455"/>
      <c r="W3" s="455"/>
      <c r="X3" s="457"/>
      <c r="Y3" s="457"/>
      <c r="Z3" s="457"/>
      <c r="AA3" s="457"/>
      <c r="AB3" s="457"/>
      <c r="AC3" s="457"/>
      <c r="AD3" s="457"/>
      <c r="AE3" s="457"/>
      <c r="AF3" s="457"/>
      <c r="AG3" s="457"/>
      <c r="AH3" s="457"/>
      <c r="AI3" s="455"/>
      <c r="AJ3" s="455"/>
      <c r="AK3" s="455"/>
      <c r="AL3" s="455"/>
      <c r="AM3" s="455"/>
      <c r="AN3" s="455"/>
      <c r="AO3" s="457"/>
      <c r="AP3" s="455"/>
      <c r="AQ3" s="455"/>
      <c r="AR3" s="455"/>
      <c r="AS3" s="458"/>
      <c r="AT3" s="465"/>
      <c r="AU3" s="465"/>
      <c r="AV3" s="466"/>
      <c r="AW3" s="466"/>
      <c r="AX3" s="466"/>
      <c r="AY3" s="466"/>
      <c r="AZ3" s="1206"/>
      <c r="BA3" s="1207"/>
    </row>
    <row r="4" spans="1:56" s="469" customFormat="1" ht="24" customHeight="1" x14ac:dyDescent="0.2">
      <c r="A4" s="2073" t="s">
        <v>3</v>
      </c>
      <c r="B4" s="2073"/>
      <c r="C4" s="2073"/>
      <c r="D4" s="2073"/>
      <c r="E4" s="2073"/>
      <c r="F4" s="2082"/>
      <c r="G4" s="2083" t="s">
        <v>4</v>
      </c>
      <c r="H4" s="2073"/>
      <c r="I4" s="2073"/>
      <c r="J4" s="2073"/>
      <c r="K4" s="2073"/>
      <c r="L4" s="2073"/>
      <c r="M4" s="2084"/>
      <c r="N4" s="2071" t="s">
        <v>5</v>
      </c>
      <c r="O4" s="2072"/>
      <c r="P4" s="2073" t="s">
        <v>7</v>
      </c>
      <c r="Q4" s="2073"/>
      <c r="R4" s="2073"/>
      <c r="S4" s="2072"/>
      <c r="T4" s="2074" t="s">
        <v>8</v>
      </c>
      <c r="U4" s="2073"/>
      <c r="V4" s="2076"/>
      <c r="W4" s="2072"/>
      <c r="X4" s="2074" t="s">
        <v>9</v>
      </c>
      <c r="Y4" s="2073"/>
      <c r="Z4" s="2073"/>
      <c r="AA4" s="2073"/>
      <c r="AB4" s="2073"/>
      <c r="AC4" s="2073"/>
      <c r="AD4" s="2073"/>
      <c r="AE4" s="2073"/>
      <c r="AF4" s="2073"/>
      <c r="AG4" s="2073"/>
      <c r="AH4" s="2073"/>
      <c r="AI4" s="2073"/>
      <c r="AJ4" s="2073"/>
      <c r="AK4" s="2073"/>
      <c r="AL4" s="2073"/>
      <c r="AM4" s="2073"/>
      <c r="AN4" s="2072"/>
      <c r="AO4" s="2073" t="s">
        <v>10</v>
      </c>
      <c r="AP4" s="2072"/>
      <c r="AQ4" s="1724" t="s">
        <v>570</v>
      </c>
      <c r="AR4" s="1751"/>
      <c r="AS4" s="467" t="s">
        <v>11</v>
      </c>
      <c r="AT4" s="2074" t="s">
        <v>12</v>
      </c>
      <c r="AU4" s="2073"/>
      <c r="AV4" s="2073"/>
      <c r="AW4" s="2073"/>
      <c r="AX4" s="2073"/>
      <c r="AY4" s="2072"/>
      <c r="AZ4" s="1747" t="s">
        <v>558</v>
      </c>
      <c r="BA4" s="1726"/>
      <c r="BB4" s="468"/>
      <c r="BC4" s="468"/>
      <c r="BD4" s="468"/>
    </row>
    <row r="5" spans="1:56" s="479" customFormat="1" ht="73.5" customHeight="1" x14ac:dyDescent="0.35">
      <c r="A5" s="470" t="s">
        <v>13</v>
      </c>
      <c r="B5" s="470" t="s">
        <v>14</v>
      </c>
      <c r="C5" s="470" t="s">
        <v>12</v>
      </c>
      <c r="D5" s="50" t="s">
        <v>541</v>
      </c>
      <c r="E5" s="50" t="s">
        <v>545</v>
      </c>
      <c r="F5" s="471" t="s">
        <v>626</v>
      </c>
      <c r="G5" s="472" t="s">
        <v>15</v>
      </c>
      <c r="H5" s="470" t="s">
        <v>17</v>
      </c>
      <c r="I5" s="470" t="s">
        <v>18</v>
      </c>
      <c r="J5" s="470" t="s">
        <v>19</v>
      </c>
      <c r="K5" s="470" t="s">
        <v>20</v>
      </c>
      <c r="L5" s="1118" t="s">
        <v>573</v>
      </c>
      <c r="M5" s="473" t="s">
        <v>21</v>
      </c>
      <c r="N5" s="474" t="str">
        <f>IF($I$2&lt;&gt;"Custom", "DRT Rate (Rider F)", "Custom Energy Rate")</f>
        <v>DRT Rate (Rider F)</v>
      </c>
      <c r="O5" s="2092" t="s">
        <v>23</v>
      </c>
      <c r="P5" s="53" t="s">
        <v>442</v>
      </c>
      <c r="Q5" s="90" t="s">
        <v>443</v>
      </c>
      <c r="R5" s="2090" t="s">
        <v>105</v>
      </c>
      <c r="S5" s="1752" t="s">
        <v>104</v>
      </c>
      <c r="T5" s="475" t="s">
        <v>299</v>
      </c>
      <c r="U5" s="475" t="s">
        <v>300</v>
      </c>
      <c r="V5" s="2090" t="s">
        <v>301</v>
      </c>
      <c r="W5" s="1752" t="s">
        <v>308</v>
      </c>
      <c r="X5" s="476" t="s">
        <v>116</v>
      </c>
      <c r="Y5" s="52" t="s">
        <v>88</v>
      </c>
      <c r="Z5" s="476" t="s">
        <v>86</v>
      </c>
      <c r="AA5" s="476" t="s">
        <v>87</v>
      </c>
      <c r="AB5" s="476" t="s">
        <v>449</v>
      </c>
      <c r="AC5" s="476" t="s">
        <v>90</v>
      </c>
      <c r="AD5" s="90" t="s">
        <v>562</v>
      </c>
      <c r="AE5" s="90" t="s">
        <v>563</v>
      </c>
      <c r="AF5" s="90" t="s">
        <v>669</v>
      </c>
      <c r="AG5" s="2090" t="s">
        <v>94</v>
      </c>
      <c r="AH5" s="2090" t="s">
        <v>120</v>
      </c>
      <c r="AI5" s="2090" t="s">
        <v>197</v>
      </c>
      <c r="AJ5" s="2090" t="s">
        <v>89</v>
      </c>
      <c r="AK5" s="2090" t="s">
        <v>198</v>
      </c>
      <c r="AL5" s="1729" t="s">
        <v>564</v>
      </c>
      <c r="AM5" s="1729" t="s">
        <v>565</v>
      </c>
      <c r="AN5" s="1731" t="s">
        <v>670</v>
      </c>
      <c r="AO5" s="89" t="str">
        <f>IF($I$2&lt;&gt;"Custom", "DRT Provider (DERS) Administration Rate", "Custom Administration Rate")</f>
        <v>DRT Provider (DERS) Administration Rate</v>
      </c>
      <c r="AP5" s="1752" t="s">
        <v>307</v>
      </c>
      <c r="AQ5" s="474" t="s">
        <v>571</v>
      </c>
      <c r="AR5" s="1752" t="s">
        <v>572</v>
      </c>
      <c r="AS5" s="475" t="s">
        <v>30</v>
      </c>
      <c r="AT5" s="477" t="s">
        <v>93</v>
      </c>
      <c r="AU5" s="90" t="s">
        <v>524</v>
      </c>
      <c r="AV5" s="166" t="s">
        <v>337</v>
      </c>
      <c r="AW5" s="166" t="s">
        <v>338</v>
      </c>
      <c r="AX5" s="166" t="s">
        <v>605</v>
      </c>
      <c r="AY5" s="167" t="s">
        <v>374</v>
      </c>
      <c r="AZ5" s="1150" t="s">
        <v>559</v>
      </c>
      <c r="BA5" s="1151" t="s">
        <v>560</v>
      </c>
      <c r="BB5" s="478"/>
      <c r="BC5" s="478"/>
      <c r="BD5" s="478"/>
    </row>
    <row r="6" spans="1:56" s="479" customFormat="1" x14ac:dyDescent="0.35">
      <c r="A6" s="480"/>
      <c r="B6" s="480"/>
      <c r="C6" s="481" t="s">
        <v>91</v>
      </c>
      <c r="D6" s="58" t="s">
        <v>92</v>
      </c>
      <c r="E6" s="58" t="s">
        <v>92</v>
      </c>
      <c r="F6" s="482" t="s">
        <v>34</v>
      </c>
      <c r="G6" s="483"/>
      <c r="H6" s="480"/>
      <c r="I6" s="480"/>
      <c r="J6" s="480"/>
      <c r="K6" s="480"/>
      <c r="L6" s="480"/>
      <c r="M6" s="484"/>
      <c r="N6" s="481" t="s">
        <v>92</v>
      </c>
      <c r="O6" s="1753"/>
      <c r="P6" s="485" t="s">
        <v>92</v>
      </c>
      <c r="Q6" s="481" t="s">
        <v>35</v>
      </c>
      <c r="R6" s="2091"/>
      <c r="S6" s="1753"/>
      <c r="T6" s="486" t="s">
        <v>36</v>
      </c>
      <c r="U6" s="486" t="s">
        <v>36</v>
      </c>
      <c r="V6" s="2091"/>
      <c r="W6" s="1753"/>
      <c r="X6" s="481" t="s">
        <v>92</v>
      </c>
      <c r="Y6" s="57" t="s">
        <v>92</v>
      </c>
      <c r="Z6" s="481" t="s">
        <v>35</v>
      </c>
      <c r="AA6" s="481" t="s">
        <v>92</v>
      </c>
      <c r="AB6" s="481" t="s">
        <v>92</v>
      </c>
      <c r="AC6" s="481" t="s">
        <v>92</v>
      </c>
      <c r="AD6" s="57" t="s">
        <v>34</v>
      </c>
      <c r="AE6" s="57" t="s">
        <v>35</v>
      </c>
      <c r="AF6" s="57" t="s">
        <v>35</v>
      </c>
      <c r="AG6" s="2091"/>
      <c r="AH6" s="2091"/>
      <c r="AI6" s="2091"/>
      <c r="AJ6" s="2091"/>
      <c r="AK6" s="2091"/>
      <c r="AL6" s="1730"/>
      <c r="AM6" s="1730"/>
      <c r="AN6" s="1732"/>
      <c r="AO6" s="485" t="str">
        <f>IF($I$2&lt;&gt;"Custom", "$/day", $BA$6)</f>
        <v>$/day</v>
      </c>
      <c r="AP6" s="1753"/>
      <c r="AQ6" s="1213" t="s">
        <v>92</v>
      </c>
      <c r="AR6" s="1753"/>
      <c r="AS6" s="487" t="s">
        <v>36</v>
      </c>
      <c r="AT6" s="485" t="s">
        <v>91</v>
      </c>
      <c r="AU6" s="57" t="s">
        <v>91</v>
      </c>
      <c r="AV6" s="481" t="s">
        <v>91</v>
      </c>
      <c r="AW6" s="481" t="s">
        <v>91</v>
      </c>
      <c r="AX6" s="272" t="s">
        <v>91</v>
      </c>
      <c r="AY6" s="272" t="s">
        <v>91</v>
      </c>
      <c r="AZ6" s="172" t="s">
        <v>92</v>
      </c>
      <c r="BA6" s="1152" t="str">
        <f>'Natural Gas Bill'!$AO$6</f>
        <v>$/day</v>
      </c>
      <c r="BB6" s="478"/>
      <c r="BC6" s="478"/>
      <c r="BD6" s="478"/>
    </row>
    <row r="7" spans="1:56" s="469" customFormat="1" ht="15" x14ac:dyDescent="0.25">
      <c r="A7" s="1255">
        <v>40909</v>
      </c>
      <c r="B7" s="1256">
        <f>DAY(DATE(YEAR($A7),MONTH($A7)+1,1)-1)</f>
        <v>31</v>
      </c>
      <c r="C7" s="1581">
        <f>IFERROR(VLOOKUP($A7,$A$5:$AY$96,MATCH($I$1,$A$5:$AY$5,0),FALSE),0)</f>
        <v>16.955826922722459</v>
      </c>
      <c r="D7" s="65">
        <f>IFERROR($F7/$C7, "")</f>
        <v>6.5273380655722315</v>
      </c>
      <c r="E7" s="65">
        <f>(1+$AS7)*IF(OR('Service Zone Menu'!$X$4="Calgary",AND('Service Zone Menu'!$X$4="Okotoks", $A7&lt;DATE(2019, 1, 1))),((1+$T7)*($N7+$P7+($X7+$Y7+$AA7+$AB7+$AC7))) + ($U7*($P7+($X7+$Y7+$AA7+$AB7+$AC7))) + $AQ7, ((1+$T7)*($P7+($Y7+$AA7+$AB7+$AC7)))+ ($U7*($P7+($X7+$Y7+$AA7+$AB7+$AC7)))+$N7+$X7 + $AQ7)</f>
        <v>4.4717886149999995</v>
      </c>
      <c r="F7" s="1257">
        <f>SUM($G7:$M7)</f>
        <v>110.67641450594077</v>
      </c>
      <c r="G7" s="1258">
        <f>SUM($O7)</f>
        <v>50.138380210490304</v>
      </c>
      <c r="H7" s="1259">
        <f t="shared" ref="H7:H70" si="0">SUM($R7:$S7)</f>
        <v>31.644508365155986</v>
      </c>
      <c r="I7" s="1259">
        <f>SUM($V7:$W7)</f>
        <v>9.8484244584817446</v>
      </c>
      <c r="J7" s="1259">
        <f>SUM($AG7:$AN7)</f>
        <v>6.8617960191488887</v>
      </c>
      <c r="K7" s="1259">
        <f>SUM($AP7)</f>
        <v>6.9130000000000003</v>
      </c>
      <c r="L7" s="1259">
        <f>AR7</f>
        <v>0</v>
      </c>
      <c r="M7" s="1260">
        <f>SUM($AS7)*SUM($G7:$L7)</f>
        <v>5.2703054526638464</v>
      </c>
      <c r="N7" s="273">
        <f>IF($I$2="DRT",VLOOKUP(A7,'Misc. Data &amp; Mechanisms'!$A$1381:$D$1471,3,FALSE),AZ7)</f>
        <v>2.9569999999999999</v>
      </c>
      <c r="O7" s="423">
        <f>$N7*$C7</f>
        <v>50.138380210490304</v>
      </c>
      <c r="P7" s="418">
        <v>0.64500000000000002</v>
      </c>
      <c r="Q7" s="421">
        <v>0.66800000000000004</v>
      </c>
      <c r="R7" s="423">
        <f t="shared" ref="R7:R38" si="1">$P7*$C7</f>
        <v>10.936508365155985</v>
      </c>
      <c r="S7" s="423">
        <f t="shared" ref="S7:S38" si="2">$Q7*$B7</f>
        <v>20.708000000000002</v>
      </c>
      <c r="T7" s="419">
        <f>VLOOKUP($A7,'Misc. Data &amp; Mechanisms'!$A$63:$DY$152,HLOOKUP('Service Zone Menu'!$X$4&amp;"_ATCO-S_NG_Y_1",'Misc. Data &amp; Mechanisms'!$A$55:$DY$62,8,FALSE), FALSE)</f>
        <v>0.1111</v>
      </c>
      <c r="U7" s="420">
        <f>VLOOKUP($A7,'Misc. Data &amp; Mechanisms'!$A$63:$DY$152,HLOOKUP('Service Zone Menu'!$X$4&amp;"_ATCO-S_NG_Y_2",'Misc. Data &amp; Mechanisms'!$A$55:$DY$62,8,FALSE), FALSE)</f>
        <v>0</v>
      </c>
      <c r="V7" s="423">
        <f>IF(OR('Service Zone Menu'!$X$4="Calgary",AND('Service Zone Menu'!$X$4="Okotoks", $A7&lt;DATE(2019, 1, 1))),$T7*($H7+$G7+$J7),$T7*($H7+$J7-$AG7))</f>
        <v>9.8484244584817446</v>
      </c>
      <c r="W7" s="423">
        <f t="shared" ref="W7:W38" si="3">$U7*($H7+$J7)</f>
        <v>0</v>
      </c>
      <c r="X7" s="1261"/>
      <c r="Y7" s="422"/>
      <c r="Z7" s="421">
        <v>9.5000000000000001E-2</v>
      </c>
      <c r="AA7" s="421">
        <v>9.0999999999999998E-2</v>
      </c>
      <c r="AB7" s="421">
        <v>0.28499999999999998</v>
      </c>
      <c r="AC7" s="421">
        <v>-0.14499999999999999</v>
      </c>
      <c r="AD7" s="421"/>
      <c r="AE7" s="421"/>
      <c r="AF7" s="421"/>
      <c r="AG7" s="549">
        <f t="shared" ref="AG7:AG38" si="4">$X7*$C7</f>
        <v>0</v>
      </c>
      <c r="AH7" s="549">
        <f t="shared" ref="AH7:AH38" si="5">$Y7*$C7</f>
        <v>0</v>
      </c>
      <c r="AI7" s="423">
        <f t="shared" ref="AI7:AI38" si="6">($Z7*$B7) +($AA7*$C7)</f>
        <v>4.4879802499677437</v>
      </c>
      <c r="AJ7" s="423">
        <f t="shared" ref="AJ7:AJ38" si="7">$AB7*$C7</f>
        <v>4.8324106729759002</v>
      </c>
      <c r="AK7" s="423">
        <f t="shared" ref="AK7:AK38" si="8">$AC7*$C7</f>
        <v>-2.4585949037947561</v>
      </c>
      <c r="AL7" s="423">
        <f>AD7</f>
        <v>0</v>
      </c>
      <c r="AM7" s="423">
        <f>AE7*B7</f>
        <v>0</v>
      </c>
      <c r="AN7" s="423">
        <f>AF7*B7</f>
        <v>0</v>
      </c>
      <c r="AO7" s="188">
        <f>IF($I$2="DRT",VLOOKUP(A7,'Misc. Data &amp; Mechanisms'!$A$1483:$H$1574,7,FALSE),BA7)</f>
        <v>0.223</v>
      </c>
      <c r="AP7" s="547">
        <f>IF($AO$6="$/day", $AO7*$B7, $AO7)</f>
        <v>6.9130000000000003</v>
      </c>
      <c r="AQ7" s="1502"/>
      <c r="AR7" s="551">
        <f>AQ7*C7</f>
        <v>0</v>
      </c>
      <c r="AS7" s="1262">
        <f>5%</f>
        <v>0.05</v>
      </c>
      <c r="AT7" s="341">
        <f>'Misc. Data &amp; Mechanisms'!AM280</f>
        <v>17.172429220988668</v>
      </c>
      <c r="AU7" s="1090">
        <f>'Misc. Data &amp; Mechanisms'!AQ280</f>
        <v>17.846708158240407</v>
      </c>
      <c r="AV7" s="1094">
        <f>'Misc. Data &amp; Mechanisms'!Z280</f>
        <v>16.955826922722459</v>
      </c>
      <c r="AW7" s="1094">
        <f>'Misc. Data &amp; Mechanisms'!AA280</f>
        <v>10.829260122226119</v>
      </c>
      <c r="AX7" s="1459">
        <f>'Misc. Data &amp; Mechanisms'!$B$260</f>
        <v>10.198990303636064</v>
      </c>
      <c r="AY7" s="1254">
        <f>IFERROR(IF('Personalized Bill Menu'!$B$30="Yes", IF('Personalized Bill Menu'!$B$34="Natural Gas",VLOOKUP($A7, 'Personalized Bill Menu'!$H$4:$L$93, 2, FALSE), IF('Personalized Bill Menu'!$B$34="Both",VLOOKUP($A7,'Personalized Bill Menu'!$H$4:$P$93, 6, FALSE), 0)), 0),0)</f>
        <v>0</v>
      </c>
      <c r="AZ7" s="1343">
        <f>IFERROR(IF('Personalized Bill Menu'!$C$37="Custom", IF('Personalized Bill Menu'!$B$34="Natural Gas",VLOOKUP($A7, 'Personalized Bill Menu'!$H$4:$L$93, 3, FALSE), IF('Personalized Bill Menu'!$B$34="Both",VLOOKUP($A7,'Personalized Bill Menu'!$H$4:$P$93, 7, FALSE), 0)), 0),0)</f>
        <v>0</v>
      </c>
      <c r="BA7" s="1344">
        <f>IFERROR(IF('Personalized Bill Menu'!$C$37="Custom", IF('Personalized Bill Menu'!$B$34="Natural Gas",VLOOKUP($A7, 'Personalized Bill Menu'!$H$4:$L$93, 4, FALSE), IF('Personalized Bill Menu'!$B$34="Both",VLOOKUP($A7,'Personalized Bill Menu'!$H$4:$P$93, 8, FALSE), 0)), 0),0)</f>
        <v>0</v>
      </c>
      <c r="BB7" s="468"/>
      <c r="BC7" s="468"/>
      <c r="BD7" s="468"/>
    </row>
    <row r="8" spans="1:56" s="469" customFormat="1" ht="15" x14ac:dyDescent="0.25">
      <c r="A8" s="496">
        <v>40940</v>
      </c>
      <c r="B8" s="497">
        <f t="shared" ref="B8:B71" si="9">DAY(DATE(YEAR($A8),MONTH($A8)+1,1)-1)</f>
        <v>29</v>
      </c>
      <c r="C8" s="1581">
        <f t="shared" ref="C8:C71" si="10">IFERROR(VLOOKUP($A8,$A$5:$AY$96,MATCH($I$1,$A$5:$AY$5,0),FALSE),0)</f>
        <v>15.590669862509053</v>
      </c>
      <c r="D8" s="66">
        <f t="shared" ref="D8:D71" si="11">IFERROR($F8/$C8, "")</f>
        <v>5.5212757894660855</v>
      </c>
      <c r="E8" s="66">
        <f>(1+$AS8)*IF(OR('Service Zone Menu'!$X$4="Calgary",AND('Service Zone Menu'!$X$4="Okotoks", $A8&lt;DATE(2019, 1, 1))),((1+$T8)*($N8+$P8+($X8+$Y8+$AA8+$AB8+$AC8))) + ($U8*($P8+($X8+$Y8+$AA8+$AB8+$AC8))) + $AQ8, ((1+$T8)*($P8+($Y8+$AA8+$AB8+$AC8)))+ ($U8*($P8+($X8+$Y8+$AA8+$AB8+$AC8)))+$N8+$X8 + $AQ8)</f>
        <v>3.4299656999999999</v>
      </c>
      <c r="F8" s="488">
        <f t="shared" ref="F8:F71" si="12">SUM($G8:$M8)</f>
        <v>86.080388053429772</v>
      </c>
      <c r="G8" s="489">
        <f t="shared" ref="G8:G71" si="13">SUM($O8)</f>
        <v>32.179142596218689</v>
      </c>
      <c r="H8" s="490">
        <f t="shared" si="0"/>
        <v>29.427982061318339</v>
      </c>
      <c r="I8" s="490">
        <f t="shared" ref="I8:I71" si="14">SUM($V8:$W8)</f>
        <v>7.5507525598707828</v>
      </c>
      <c r="J8" s="490">
        <f t="shared" ref="J8:J71" si="15">SUM($AG8:$AN8)</f>
        <v>6.3564447382395901</v>
      </c>
      <c r="K8" s="490">
        <f t="shared" ref="K8:K71" si="16">SUM($AP8)</f>
        <v>6.4670000000000005</v>
      </c>
      <c r="L8" s="490">
        <f t="shared" ref="L8:L71" si="17">AR8</f>
        <v>0</v>
      </c>
      <c r="M8" s="491">
        <f t="shared" ref="M8:M71" si="18">SUM($AS8)*SUM($G8:$L8)</f>
        <v>4.0990660977823703</v>
      </c>
      <c r="N8" s="273">
        <f>IF($I$2="DRT",VLOOKUP(A8,'Misc. Data &amp; Mechanisms'!$A$1381:$D$1471,3,FALSE),AZ8)</f>
        <v>2.0640000000000001</v>
      </c>
      <c r="O8" s="425">
        <f t="shared" ref="O8:O71" si="19">$N8*$C8</f>
        <v>32.179142596218689</v>
      </c>
      <c r="P8" s="387">
        <v>0.64500000000000002</v>
      </c>
      <c r="Q8" s="278">
        <v>0.66800000000000004</v>
      </c>
      <c r="R8" s="425">
        <f t="shared" si="1"/>
        <v>10.055982061318339</v>
      </c>
      <c r="S8" s="425">
        <f t="shared" si="2"/>
        <v>19.372</v>
      </c>
      <c r="T8" s="391">
        <f>VLOOKUP($A8,'Misc. Data &amp; Mechanisms'!$A$63:$DY$152,HLOOKUP('Service Zone Menu'!$X$4&amp;"_ATCO-S_NG_Y_1",'Misc. Data &amp; Mechanisms'!$A$55:$DY$62,8,FALSE), FALSE)</f>
        <v>0.1111</v>
      </c>
      <c r="U8" s="205">
        <f>VLOOKUP($A8,'Misc. Data &amp; Mechanisms'!$A$63:$DY$152,HLOOKUP('Service Zone Menu'!$X$4&amp;"_ATCO-S_NG_Y_2",'Misc. Data &amp; Mechanisms'!$A$55:$DY$62,8,FALSE), FALSE)</f>
        <v>0</v>
      </c>
      <c r="V8" s="425">
        <f>IF(OR('Service Zone Menu'!$X$4="Calgary",AND('Service Zone Menu'!$X$4="Okotoks", $A8&lt;DATE(2019, 1, 1))),$T8*($H8+$G8+$J8),$T8*($H8+$J8-$AG8))</f>
        <v>7.5507525598707828</v>
      </c>
      <c r="W8" s="425">
        <f t="shared" si="3"/>
        <v>0</v>
      </c>
      <c r="X8" s="426"/>
      <c r="Y8" s="386"/>
      <c r="Z8" s="278">
        <v>9.5000000000000001E-2</v>
      </c>
      <c r="AA8" s="278">
        <v>9.0999999999999998E-2</v>
      </c>
      <c r="AB8" s="278">
        <v>0.28499999999999998</v>
      </c>
      <c r="AC8" s="278">
        <v>-0.14499999999999999</v>
      </c>
      <c r="AD8" s="278"/>
      <c r="AE8" s="278"/>
      <c r="AF8" s="278"/>
      <c r="AG8" s="492">
        <f t="shared" si="4"/>
        <v>0</v>
      </c>
      <c r="AH8" s="492">
        <f t="shared" si="5"/>
        <v>0</v>
      </c>
      <c r="AI8" s="425">
        <f t="shared" si="6"/>
        <v>4.1737509574883234</v>
      </c>
      <c r="AJ8" s="425">
        <f t="shared" si="7"/>
        <v>4.4433409108150794</v>
      </c>
      <c r="AK8" s="425">
        <f t="shared" si="8"/>
        <v>-2.2606471300638127</v>
      </c>
      <c r="AL8" s="425">
        <f t="shared" ref="AL8:AL71" si="20">AD8</f>
        <v>0</v>
      </c>
      <c r="AM8" s="425">
        <f t="shared" ref="AM8:AM71" si="21">AE8*B8</f>
        <v>0</v>
      </c>
      <c r="AN8" s="425">
        <f t="shared" ref="AN8:AN71" si="22">AF8*B8</f>
        <v>0</v>
      </c>
      <c r="AO8" s="200">
        <f>IF($I$2="DRT",VLOOKUP(A8,'Misc. Data &amp; Mechanisms'!$A$1483:$H$1574,7,FALSE),BA8)</f>
        <v>0.223</v>
      </c>
      <c r="AP8" s="552">
        <f t="shared" ref="AP8:AP71" si="23">IF($AO$6="$/day", $AO8*$B8, $AO8)</f>
        <v>6.4670000000000005</v>
      </c>
      <c r="AQ8" s="290"/>
      <c r="AR8" s="494">
        <f t="shared" ref="AR8:AR71" si="24">AQ8*C8</f>
        <v>0</v>
      </c>
      <c r="AS8" s="495">
        <f>5%</f>
        <v>0.05</v>
      </c>
      <c r="AT8" s="341">
        <f>'Misc. Data &amp; Mechanisms'!AM281</f>
        <v>15.789832954885497</v>
      </c>
      <c r="AU8" s="424">
        <f>'Misc. Data &amp; Mechanisms'!AQ281</f>
        <v>16.317492615781951</v>
      </c>
      <c r="AV8" s="1087">
        <f>'Misc. Data &amp; Mechanisms'!Z281</f>
        <v>15.590669862509053</v>
      </c>
      <c r="AW8" s="1087">
        <f>'Misc. Data &amp; Mechanisms'!AA281</f>
        <v>9.9573686491577682</v>
      </c>
      <c r="AX8" s="1460">
        <f>'Misc. Data &amp; Mechanisms'!$B$260</f>
        <v>10.198990303636064</v>
      </c>
      <c r="AY8" s="197">
        <f>IFERROR(IF('Personalized Bill Menu'!$B$30="Yes", IF('Personalized Bill Menu'!$B$34="Natural Gas",VLOOKUP($A8, 'Personalized Bill Menu'!$H$4:$L$93, 2, FALSE), IF('Personalized Bill Menu'!$B$34="Both",VLOOKUP($A8,'Personalized Bill Menu'!$H$4:$P$93, 6, FALSE), 0)), 0),0)</f>
        <v>0</v>
      </c>
      <c r="AZ8" s="1343">
        <f>IFERROR(IF('Personalized Bill Menu'!$C$37="Custom", IF('Personalized Bill Menu'!$B$34="Natural Gas",VLOOKUP($A8, 'Personalized Bill Menu'!$H$4:$L$93, 3, FALSE), IF('Personalized Bill Menu'!$B$34="Both",VLOOKUP($A8,'Personalized Bill Menu'!$H$4:$P$93, 7, FALSE), 0)), 0),0)</f>
        <v>0</v>
      </c>
      <c r="BA8" s="1344">
        <f>IFERROR(IF('Personalized Bill Menu'!$C$37="Custom", IF('Personalized Bill Menu'!$B$34="Natural Gas",VLOOKUP($A8, 'Personalized Bill Menu'!$H$4:$L$93, 4, FALSE), IF('Personalized Bill Menu'!$B$34="Both",VLOOKUP($A8,'Personalized Bill Menu'!$H$4:$P$93, 8, FALSE), 0)), 0),0)</f>
        <v>0</v>
      </c>
      <c r="BB8" s="468"/>
      <c r="BC8" s="468"/>
      <c r="BD8" s="468"/>
    </row>
    <row r="9" spans="1:56" s="469" customFormat="1" ht="15" x14ac:dyDescent="0.25">
      <c r="A9" s="496">
        <v>40969</v>
      </c>
      <c r="B9" s="497">
        <f t="shared" si="9"/>
        <v>31</v>
      </c>
      <c r="C9" s="1581">
        <f t="shared" si="10"/>
        <v>12.508593180345372</v>
      </c>
      <c r="D9" s="66">
        <f t="shared" si="11"/>
        <v>6.2571663813488927</v>
      </c>
      <c r="E9" s="66">
        <f>(1+$AS9)*IF(OR('Service Zone Menu'!$X$4="Calgary",AND('Service Zone Menu'!$X$4="Okotoks", $A9&lt;DATE(2019, 1, 1))),((1+$T9)*($N9+$P9+($X9+$Y9+$AA9+$AB9+$AC9))) + ($U9*($P9+($X9+$Y9+$AA9+$AB9+$AC9))) + $AQ9, ((1+$T9)*($P9+($Y9+$AA9+$AB9+$AC9)))+ ($U9*($P9+($X9+$Y9+$AA9+$AB9+$AC9)))+$N9+$X9 + $AQ9)</f>
        <v>3.470798625</v>
      </c>
      <c r="F9" s="488">
        <f t="shared" si="12"/>
        <v>78.268348726027085</v>
      </c>
      <c r="G9" s="489">
        <f t="shared" si="13"/>
        <v>26.255537085544937</v>
      </c>
      <c r="H9" s="490">
        <f t="shared" si="0"/>
        <v>28.776042601322764</v>
      </c>
      <c r="I9" s="490">
        <f t="shared" si="14"/>
        <v>6.7622197894507039</v>
      </c>
      <c r="J9" s="490">
        <f t="shared" si="15"/>
        <v>5.8344850246597808</v>
      </c>
      <c r="K9" s="490">
        <f t="shared" si="16"/>
        <v>6.9130000000000003</v>
      </c>
      <c r="L9" s="490">
        <f t="shared" si="17"/>
        <v>0</v>
      </c>
      <c r="M9" s="491">
        <f t="shared" si="18"/>
        <v>3.7270642250489092</v>
      </c>
      <c r="N9" s="273">
        <f>IF($I$2="DRT",VLOOKUP(A9,'Misc. Data &amp; Mechanisms'!$A$1381:$D$1471,3,FALSE),AZ9)</f>
        <v>2.0990000000000002</v>
      </c>
      <c r="O9" s="425">
        <f t="shared" si="19"/>
        <v>26.255537085544937</v>
      </c>
      <c r="P9" s="387">
        <v>0.64500000000000002</v>
      </c>
      <c r="Q9" s="278">
        <v>0.66800000000000004</v>
      </c>
      <c r="R9" s="425">
        <f t="shared" si="1"/>
        <v>8.0680426013227642</v>
      </c>
      <c r="S9" s="425">
        <f t="shared" si="2"/>
        <v>20.708000000000002</v>
      </c>
      <c r="T9" s="391">
        <f>VLOOKUP($A9,'Misc. Data &amp; Mechanisms'!$A$63:$DY$152,HLOOKUP('Service Zone Menu'!$X$4&amp;"_ATCO-S_NG_Y_1",'Misc. Data &amp; Mechanisms'!$A$55:$DY$62,8,FALSE), FALSE)</f>
        <v>0.1111</v>
      </c>
      <c r="U9" s="205">
        <f>VLOOKUP($A9,'Misc. Data &amp; Mechanisms'!$A$63:$DY$152,HLOOKUP('Service Zone Menu'!$X$4&amp;"_ATCO-S_NG_Y_2",'Misc. Data &amp; Mechanisms'!$A$55:$DY$62,8,FALSE), FALSE)</f>
        <v>0</v>
      </c>
      <c r="V9" s="425">
        <f>IF(OR('Service Zone Menu'!$X$4="Calgary",AND('Service Zone Menu'!$X$4="Okotoks", $A9&lt;DATE(2019, 1, 1))),$T9*($H9+$G9+$J9),$T9*($H9+$J9-$AG9))</f>
        <v>6.7622197894507039</v>
      </c>
      <c r="W9" s="425">
        <f t="shared" si="3"/>
        <v>0</v>
      </c>
      <c r="X9" s="426"/>
      <c r="Y9" s="386"/>
      <c r="Z9" s="278">
        <v>9.5000000000000001E-2</v>
      </c>
      <c r="AA9" s="278">
        <v>9.0999999999999998E-2</v>
      </c>
      <c r="AB9" s="278">
        <v>0.28499999999999998</v>
      </c>
      <c r="AC9" s="278">
        <v>-0.14499999999999999</v>
      </c>
      <c r="AD9" s="278"/>
      <c r="AE9" s="278"/>
      <c r="AF9" s="278"/>
      <c r="AG9" s="492">
        <f t="shared" si="4"/>
        <v>0</v>
      </c>
      <c r="AH9" s="492">
        <f t="shared" si="5"/>
        <v>0</v>
      </c>
      <c r="AI9" s="425">
        <f t="shared" si="6"/>
        <v>4.0832819794114288</v>
      </c>
      <c r="AJ9" s="425">
        <f t="shared" si="7"/>
        <v>3.5649490563984307</v>
      </c>
      <c r="AK9" s="425">
        <f t="shared" si="8"/>
        <v>-1.8137460111500787</v>
      </c>
      <c r="AL9" s="425">
        <f t="shared" si="20"/>
        <v>0</v>
      </c>
      <c r="AM9" s="425">
        <f t="shared" si="21"/>
        <v>0</v>
      </c>
      <c r="AN9" s="425">
        <f t="shared" si="22"/>
        <v>0</v>
      </c>
      <c r="AO9" s="200">
        <f>IF($I$2="DRT",VLOOKUP(A9,'Misc. Data &amp; Mechanisms'!$A$1483:$H$1574,7,FALSE),BA9)</f>
        <v>0.223</v>
      </c>
      <c r="AP9" s="552">
        <f t="shared" si="23"/>
        <v>6.9130000000000003</v>
      </c>
      <c r="AQ9" s="290"/>
      <c r="AR9" s="494">
        <f t="shared" si="24"/>
        <v>0</v>
      </c>
      <c r="AS9" s="495">
        <f>5%</f>
        <v>0.05</v>
      </c>
      <c r="AT9" s="341">
        <f>'Misc. Data &amp; Mechanisms'!AM282</f>
        <v>12.668384268287475</v>
      </c>
      <c r="AU9" s="424">
        <f>'Misc. Data &amp; Mechanisms'!AQ282</f>
        <v>13.251533626668136</v>
      </c>
      <c r="AV9" s="1087">
        <f>'Misc. Data &amp; Mechanisms'!Z282</f>
        <v>12.508593180345372</v>
      </c>
      <c r="AW9" s="1087">
        <f>'Misc. Data &amp; Mechanisms'!AA282</f>
        <v>7.988923803623857</v>
      </c>
      <c r="AX9" s="1460">
        <f>'Misc. Data &amp; Mechanisms'!$B$260</f>
        <v>10.198990303636064</v>
      </c>
      <c r="AY9" s="197">
        <f>IFERROR(IF('Personalized Bill Menu'!$B$30="Yes", IF('Personalized Bill Menu'!$B$34="Natural Gas",VLOOKUP($A9, 'Personalized Bill Menu'!$H$4:$L$93, 2, FALSE), IF('Personalized Bill Menu'!$B$34="Both",VLOOKUP($A9,'Personalized Bill Menu'!$H$4:$P$93, 6, FALSE), 0)), 0),0)</f>
        <v>0</v>
      </c>
      <c r="AZ9" s="1343">
        <f>IFERROR(IF('Personalized Bill Menu'!$C$37="Custom", IF('Personalized Bill Menu'!$B$34="Natural Gas",VLOOKUP($A9, 'Personalized Bill Menu'!$H$4:$L$93, 3, FALSE), IF('Personalized Bill Menu'!$B$34="Both",VLOOKUP($A9,'Personalized Bill Menu'!$H$4:$P$93, 7, FALSE), 0)), 0),0)</f>
        <v>0</v>
      </c>
      <c r="BA9" s="1344">
        <f>IFERROR(IF('Personalized Bill Menu'!$C$37="Custom", IF('Personalized Bill Menu'!$B$34="Natural Gas",VLOOKUP($A9, 'Personalized Bill Menu'!$H$4:$L$93, 4, FALSE), IF('Personalized Bill Menu'!$B$34="Both",VLOOKUP($A9,'Personalized Bill Menu'!$H$4:$P$93, 8, FALSE), 0)), 0),0)</f>
        <v>0</v>
      </c>
      <c r="BB9" s="468"/>
      <c r="BC9" s="468"/>
      <c r="BD9" s="468"/>
    </row>
    <row r="10" spans="1:56" s="469" customFormat="1" ht="15" x14ac:dyDescent="0.25">
      <c r="A10" s="496">
        <v>41000</v>
      </c>
      <c r="B10" s="497">
        <f t="shared" si="9"/>
        <v>30</v>
      </c>
      <c r="C10" s="1581">
        <f t="shared" si="10"/>
        <v>9.733329308349191</v>
      </c>
      <c r="D10" s="66">
        <f t="shared" si="11"/>
        <v>6.4706368654019935</v>
      </c>
      <c r="E10" s="66">
        <f>(1+$AS10)*IF(OR('Service Zone Menu'!$X$4="Calgary",AND('Service Zone Menu'!$X$4="Okotoks", $A10&lt;DATE(2019, 1, 1))),((1+$T10)*($N10+$P10+($X10+$Y10+$AA10+$AB10+$AC10))) + ($U10*($P10+($X10+$Y10+$AA10+$AB10+$AC10))) + $AQ10, ((1+$T10)*($P10+($Y10+$AA10+$AB10+$AC10)))+ ($U10*($P10+($X10+$Y10+$AA10+$AB10+$AC10)))+$N10+$X10 + $AQ10)</f>
        <v>3.0053032799999997</v>
      </c>
      <c r="F10" s="488">
        <f t="shared" si="12"/>
        <v>62.98083944570196</v>
      </c>
      <c r="G10" s="489">
        <f t="shared" si="13"/>
        <v>16.546659824193625</v>
      </c>
      <c r="H10" s="490">
        <f t="shared" si="0"/>
        <v>26.317997403885229</v>
      </c>
      <c r="I10" s="490">
        <f t="shared" si="14"/>
        <v>5.3286955547419659</v>
      </c>
      <c r="J10" s="490">
        <f t="shared" si="15"/>
        <v>5.0983990702286626</v>
      </c>
      <c r="K10" s="490">
        <f t="shared" si="16"/>
        <v>6.69</v>
      </c>
      <c r="L10" s="490">
        <f t="shared" si="17"/>
        <v>0</v>
      </c>
      <c r="M10" s="491">
        <f t="shared" si="18"/>
        <v>2.9990875926524745</v>
      </c>
      <c r="N10" s="273">
        <f>IF($I$2="DRT",VLOOKUP(A10,'Misc. Data &amp; Mechanisms'!$A$1381:$D$1471,3,FALSE),AZ10)</f>
        <v>1.7</v>
      </c>
      <c r="O10" s="425">
        <f t="shared" si="19"/>
        <v>16.546659824193625</v>
      </c>
      <c r="P10" s="387">
        <v>0.64500000000000002</v>
      </c>
      <c r="Q10" s="278">
        <v>0.66800000000000004</v>
      </c>
      <c r="R10" s="425">
        <f t="shared" si="1"/>
        <v>6.2779974038852284</v>
      </c>
      <c r="S10" s="425">
        <f t="shared" si="2"/>
        <v>20.040000000000003</v>
      </c>
      <c r="T10" s="391">
        <f>VLOOKUP($A10,'Misc. Data &amp; Mechanisms'!$A$63:$DY$152,HLOOKUP('Service Zone Menu'!$X$4&amp;"_ATCO-S_NG_Y_1",'Misc. Data &amp; Mechanisms'!$A$55:$DY$62,8,FALSE), FALSE)</f>
        <v>0.1111</v>
      </c>
      <c r="U10" s="205">
        <f>VLOOKUP($A10,'Misc. Data &amp; Mechanisms'!$A$63:$DY$152,HLOOKUP('Service Zone Menu'!$X$4&amp;"_ATCO-S_NG_Y_2",'Misc. Data &amp; Mechanisms'!$A$55:$DY$62,8,FALSE), FALSE)</f>
        <v>0</v>
      </c>
      <c r="V10" s="425">
        <f>IF(OR('Service Zone Menu'!$X$4="Calgary",AND('Service Zone Menu'!$X$4="Okotoks", $A10&lt;DATE(2019, 1, 1))),$T10*($H10+$G10+$J10),$T10*($H10+$J10-$AG10))</f>
        <v>5.3286955547419659</v>
      </c>
      <c r="W10" s="425">
        <f t="shared" si="3"/>
        <v>0</v>
      </c>
      <c r="X10" s="426"/>
      <c r="Y10" s="386"/>
      <c r="Z10" s="278">
        <v>9.5000000000000001E-2</v>
      </c>
      <c r="AA10" s="278">
        <v>9.0999999999999998E-2</v>
      </c>
      <c r="AB10" s="278">
        <v>0.28499999999999998</v>
      </c>
      <c r="AC10" s="278">
        <v>-0.14499999999999999</v>
      </c>
      <c r="AD10" s="278"/>
      <c r="AE10" s="278"/>
      <c r="AF10" s="278"/>
      <c r="AG10" s="492">
        <f t="shared" si="4"/>
        <v>0</v>
      </c>
      <c r="AH10" s="492">
        <f t="shared" si="5"/>
        <v>0</v>
      </c>
      <c r="AI10" s="425">
        <f t="shared" si="6"/>
        <v>3.7357329670597763</v>
      </c>
      <c r="AJ10" s="425">
        <f t="shared" si="7"/>
        <v>2.7739988528795192</v>
      </c>
      <c r="AK10" s="425">
        <f t="shared" si="8"/>
        <v>-1.4113327497106325</v>
      </c>
      <c r="AL10" s="425">
        <f t="shared" si="20"/>
        <v>0</v>
      </c>
      <c r="AM10" s="425">
        <f t="shared" si="21"/>
        <v>0</v>
      </c>
      <c r="AN10" s="425">
        <f t="shared" si="22"/>
        <v>0</v>
      </c>
      <c r="AO10" s="200">
        <f>IF($I$2="DRT",VLOOKUP(A10,'Misc. Data &amp; Mechanisms'!$A$1483:$H$1574,7,FALSE),BA10)</f>
        <v>0.223</v>
      </c>
      <c r="AP10" s="552">
        <f t="shared" si="23"/>
        <v>6.69</v>
      </c>
      <c r="AQ10" s="290"/>
      <c r="AR10" s="494">
        <f t="shared" si="24"/>
        <v>0</v>
      </c>
      <c r="AS10" s="495">
        <f>5%</f>
        <v>0.05</v>
      </c>
      <c r="AT10" s="341">
        <f>'Misc. Data &amp; Mechanisms'!AM283</f>
        <v>9.8576677736790668</v>
      </c>
      <c r="AU10" s="424">
        <f>'Misc. Data &amp; Mechanisms'!AQ283</f>
        <v>9.8128754259218063</v>
      </c>
      <c r="AV10" s="1087">
        <f>'Misc. Data &amp; Mechanisms'!Z283</f>
        <v>9.733329308349191</v>
      </c>
      <c r="AW10" s="1087">
        <f>'Misc. Data &amp; Mechanisms'!AA283</f>
        <v>6.2164325818959618</v>
      </c>
      <c r="AX10" s="1460">
        <f>'Misc. Data &amp; Mechanisms'!$B$260</f>
        <v>10.198990303636064</v>
      </c>
      <c r="AY10" s="197">
        <f>IFERROR(IF('Personalized Bill Menu'!$B$30="Yes", IF('Personalized Bill Menu'!$B$34="Natural Gas",VLOOKUP($A10, 'Personalized Bill Menu'!$H$4:$L$93, 2, FALSE), IF('Personalized Bill Menu'!$B$34="Both",VLOOKUP($A10,'Personalized Bill Menu'!$H$4:$P$93, 6, FALSE), 0)), 0),0)</f>
        <v>0</v>
      </c>
      <c r="AZ10" s="1343">
        <f>IFERROR(IF('Personalized Bill Menu'!$C$37="Custom", IF('Personalized Bill Menu'!$B$34="Natural Gas",VLOOKUP($A10, 'Personalized Bill Menu'!$H$4:$L$93, 3, FALSE), IF('Personalized Bill Menu'!$B$34="Both",VLOOKUP($A10,'Personalized Bill Menu'!$H$4:$P$93, 7, FALSE), 0)), 0),0)</f>
        <v>0</v>
      </c>
      <c r="BA10" s="1344">
        <f>IFERROR(IF('Personalized Bill Menu'!$C$37="Custom", IF('Personalized Bill Menu'!$B$34="Natural Gas",VLOOKUP($A10, 'Personalized Bill Menu'!$H$4:$L$93, 4, FALSE), IF('Personalized Bill Menu'!$B$34="Both",VLOOKUP($A10,'Personalized Bill Menu'!$H$4:$P$93, 8, FALSE), 0)), 0),0)</f>
        <v>0</v>
      </c>
      <c r="BB10" s="468"/>
      <c r="BC10" s="468"/>
      <c r="BD10" s="468"/>
    </row>
    <row r="11" spans="1:56" s="469" customFormat="1" ht="15" x14ac:dyDescent="0.25">
      <c r="A11" s="496">
        <v>41030</v>
      </c>
      <c r="B11" s="497">
        <f t="shared" si="9"/>
        <v>31</v>
      </c>
      <c r="C11" s="1581">
        <f t="shared" si="10"/>
        <v>6.8593521950446235</v>
      </c>
      <c r="D11" s="66">
        <f t="shared" si="11"/>
        <v>6.844990961056916</v>
      </c>
      <c r="E11" s="66">
        <f>(1+$AS11)*IF(OR('Service Zone Menu'!$X$4="Calgary",AND('Service Zone Menu'!$X$4="Okotoks", $A11&lt;DATE(2019, 1, 1))),((1+$T11)*($N11+$P11+($X11+$Y11+$AA11+$AB11+$AC11))) + ($U11*($P11+($X11+$Y11+$AA11+$AB11+$AC11))) + $AQ11, ((1+$T11)*($P11+($Y11+$AA11+$AB11+$AC11)))+ ($U11*($P11+($X11+$Y11+$AA11+$AB11+$AC11)))+$N11+$X11 + $AQ11)</f>
        <v>2.6179738199999996</v>
      </c>
      <c r="F11" s="488">
        <f t="shared" si="12"/>
        <v>46.952203773786366</v>
      </c>
      <c r="G11" s="489">
        <f t="shared" si="13"/>
        <v>9.1297977716043928</v>
      </c>
      <c r="H11" s="490">
        <f t="shared" si="0"/>
        <v>25.132282165803783</v>
      </c>
      <c r="I11" s="490">
        <f>SUM($V11:$W11)</f>
        <v>3.7799982207830634</v>
      </c>
      <c r="J11" s="490">
        <f t="shared" si="15"/>
        <v>-0.23869361172804116</v>
      </c>
      <c r="K11" s="490">
        <f t="shared" si="16"/>
        <v>6.9130000000000003</v>
      </c>
      <c r="L11" s="490">
        <f t="shared" si="17"/>
        <v>0</v>
      </c>
      <c r="M11" s="491">
        <f t="shared" si="18"/>
        <v>2.2358192273231601</v>
      </c>
      <c r="N11" s="273">
        <f>IF($I$2="DRT",VLOOKUP(A11,'Misc. Data &amp; Mechanisms'!$A$1381:$D$1471,3,FALSE),AZ11)</f>
        <v>1.331</v>
      </c>
      <c r="O11" s="425">
        <f t="shared" si="19"/>
        <v>9.1297977716043928</v>
      </c>
      <c r="P11" s="387">
        <v>0.64500000000000002</v>
      </c>
      <c r="Q11" s="278">
        <v>0.66800000000000004</v>
      </c>
      <c r="R11" s="425">
        <f t="shared" si="1"/>
        <v>4.4242821658037821</v>
      </c>
      <c r="S11" s="425">
        <f t="shared" si="2"/>
        <v>20.708000000000002</v>
      </c>
      <c r="T11" s="391">
        <f>VLOOKUP($A11,'Misc. Data &amp; Mechanisms'!$A$63:$DY$152,HLOOKUP('Service Zone Menu'!$X$4&amp;"_ATCO-S_NG_Y_1",'Misc. Data &amp; Mechanisms'!$A$55:$DY$62,8,FALSE), FALSE)</f>
        <v>0.1111</v>
      </c>
      <c r="U11" s="205">
        <f>VLOOKUP($A11,'Misc. Data &amp; Mechanisms'!$A$63:$DY$152,HLOOKUP('Service Zone Menu'!$X$4&amp;"_ATCO-S_NG_Y_2",'Misc. Data &amp; Mechanisms'!$A$55:$DY$62,8,FALSE), FALSE)</f>
        <v>0</v>
      </c>
      <c r="V11" s="425">
        <f>IF(OR('Service Zone Menu'!$X$4="Calgary",AND('Service Zone Menu'!$X$4="Okotoks", $A11&lt;DATE(2019, 1, 1))),$T11*($H11+$G11+$J11),$T11*($H11+$J11-$AG11))</f>
        <v>3.7799982207830634</v>
      </c>
      <c r="W11" s="425">
        <f t="shared" si="3"/>
        <v>0</v>
      </c>
      <c r="X11" s="426"/>
      <c r="Y11" s="386"/>
      <c r="Z11" s="278">
        <v>-6.7000000000000004E-2</v>
      </c>
      <c r="AA11" s="278">
        <v>-6.4000000000000001E-2</v>
      </c>
      <c r="AB11" s="278">
        <v>0.47699999999999998</v>
      </c>
      <c r="AC11" s="278">
        <v>-0.14499999999999999</v>
      </c>
      <c r="AD11" s="278"/>
      <c r="AE11" s="278"/>
      <c r="AF11" s="278"/>
      <c r="AG11" s="492">
        <f t="shared" si="4"/>
        <v>0</v>
      </c>
      <c r="AH11" s="492">
        <f t="shared" si="5"/>
        <v>0</v>
      </c>
      <c r="AI11" s="425">
        <f t="shared" si="6"/>
        <v>-2.515998540482856</v>
      </c>
      <c r="AJ11" s="425">
        <f t="shared" si="7"/>
        <v>3.2719109970362852</v>
      </c>
      <c r="AK11" s="425">
        <f t="shared" si="8"/>
        <v>-0.99460606828147036</v>
      </c>
      <c r="AL11" s="425">
        <f t="shared" si="20"/>
        <v>0</v>
      </c>
      <c r="AM11" s="425">
        <f t="shared" si="21"/>
        <v>0</v>
      </c>
      <c r="AN11" s="425">
        <f t="shared" si="22"/>
        <v>0</v>
      </c>
      <c r="AO11" s="200">
        <f>IF($I$2="DRT",VLOOKUP(A11,'Misc. Data &amp; Mechanisms'!$A$1483:$H$1574,7,FALSE),BA11)</f>
        <v>0.223</v>
      </c>
      <c r="AP11" s="552">
        <f t="shared" si="23"/>
        <v>6.9130000000000003</v>
      </c>
      <c r="AQ11" s="290"/>
      <c r="AR11" s="494">
        <f t="shared" si="24"/>
        <v>0</v>
      </c>
      <c r="AS11" s="495">
        <f>5%</f>
        <v>0.05</v>
      </c>
      <c r="AT11" s="341">
        <f>'Misc. Data &amp; Mechanisms'!AM284</f>
        <v>6.9469770249532719</v>
      </c>
      <c r="AU11" s="424">
        <f>'Misc. Data &amp; Mechanisms'!AQ284</f>
        <v>6.0815659574468084</v>
      </c>
      <c r="AV11" s="1087">
        <f>'Misc. Data &amp; Mechanisms'!Z284</f>
        <v>6.8593521950446235</v>
      </c>
      <c r="AW11" s="1087">
        <f>'Misc. Data &amp; Mechanisms'!AA284</f>
        <v>4.3808956961312342</v>
      </c>
      <c r="AX11" s="1460">
        <f>'Misc. Data &amp; Mechanisms'!$B$260</f>
        <v>10.198990303636064</v>
      </c>
      <c r="AY11" s="197">
        <f>IFERROR(IF('Personalized Bill Menu'!$B$30="Yes", IF('Personalized Bill Menu'!$B$34="Natural Gas",VLOOKUP($A11, 'Personalized Bill Menu'!$H$4:$L$93, 2, FALSE), IF('Personalized Bill Menu'!$B$34="Both",VLOOKUP($A11,'Personalized Bill Menu'!$H$4:$P$93, 6, FALSE), 0)), 0),0)</f>
        <v>0</v>
      </c>
      <c r="AZ11" s="1343">
        <f>IFERROR(IF('Personalized Bill Menu'!$C$37="Custom", IF('Personalized Bill Menu'!$B$34="Natural Gas",VLOOKUP($A11, 'Personalized Bill Menu'!$H$4:$L$93, 3, FALSE), IF('Personalized Bill Menu'!$B$34="Both",VLOOKUP($A11,'Personalized Bill Menu'!$H$4:$P$93, 7, FALSE), 0)), 0),0)</f>
        <v>0</v>
      </c>
      <c r="BA11" s="1344">
        <f>IFERROR(IF('Personalized Bill Menu'!$C$37="Custom", IF('Personalized Bill Menu'!$B$34="Natural Gas",VLOOKUP($A11, 'Personalized Bill Menu'!$H$4:$L$93, 4, FALSE), IF('Personalized Bill Menu'!$B$34="Both",VLOOKUP($A11,'Personalized Bill Menu'!$H$4:$P$93, 8, FALSE), 0)), 0),0)</f>
        <v>0</v>
      </c>
      <c r="BB11" s="468"/>
      <c r="BC11" s="468"/>
      <c r="BD11" s="468"/>
    </row>
    <row r="12" spans="1:56" s="469" customFormat="1" ht="15" x14ac:dyDescent="0.25">
      <c r="A12" s="496">
        <v>41061</v>
      </c>
      <c r="B12" s="497">
        <f t="shared" si="9"/>
        <v>30</v>
      </c>
      <c r="C12" s="1581">
        <f t="shared" si="10"/>
        <v>3.7578718591467029</v>
      </c>
      <c r="D12" s="66">
        <f t="shared" si="11"/>
        <v>11.737927162167207</v>
      </c>
      <c r="E12" s="66">
        <f>(1+$AS12)*IF(OR('Service Zone Menu'!$X$4="Calgary",AND('Service Zone Menu'!$X$4="Okotoks", $A12&lt;DATE(2019, 1, 1))),((1+$T12)*($N12+$P12+($X12+$Y12+$AA12+$AB12+$AC12))) + ($U12*($P12+($X12+$Y12+$AA12+$AB12+$AC12))) + $AQ12, ((1+$T12)*($P12+($Y12+$AA12+$AB12+$AC12)))+ ($U12*($P12+($X12+$Y12+$AA12+$AB12+$AC12)))+$N12+$X12 + $AQ12)</f>
        <v>4.2711239550000011</v>
      </c>
      <c r="F12" s="488">
        <f t="shared" si="12"/>
        <v>44.109626167421865</v>
      </c>
      <c r="G12" s="489">
        <f t="shared" si="13"/>
        <v>10.32663186893514</v>
      </c>
      <c r="H12" s="490">
        <f t="shared" si="0"/>
        <v>22.463827349149625</v>
      </c>
      <c r="I12" s="490">
        <f t="shared" si="14"/>
        <v>3.5315989021609382</v>
      </c>
      <c r="J12" s="490">
        <f t="shared" si="15"/>
        <v>-1.0028903417486839</v>
      </c>
      <c r="K12" s="490">
        <f t="shared" si="16"/>
        <v>6.69</v>
      </c>
      <c r="L12" s="490">
        <f t="shared" si="17"/>
        <v>0</v>
      </c>
      <c r="M12" s="491">
        <f t="shared" si="18"/>
        <v>2.1004583889248507</v>
      </c>
      <c r="N12" s="273">
        <f>IF($I$2="DRT",VLOOKUP(A12,'Misc. Data &amp; Mechanisms'!$A$1381:$D$1471,3,FALSE),AZ12)</f>
        <v>2.7480000000000002</v>
      </c>
      <c r="O12" s="425">
        <f t="shared" si="19"/>
        <v>10.32663186893514</v>
      </c>
      <c r="P12" s="387">
        <v>0.64500000000000002</v>
      </c>
      <c r="Q12" s="278">
        <v>0.66800000000000004</v>
      </c>
      <c r="R12" s="425">
        <f t="shared" si="1"/>
        <v>2.4238273491496236</v>
      </c>
      <c r="S12" s="425">
        <f t="shared" si="2"/>
        <v>20.040000000000003</v>
      </c>
      <c r="T12" s="391">
        <f>VLOOKUP($A12,'Misc. Data &amp; Mechanisms'!$A$63:$DY$152,HLOOKUP('Service Zone Menu'!$X$4&amp;"_ATCO-S_NG_Y_1",'Misc. Data &amp; Mechanisms'!$A$55:$DY$62,8,FALSE), FALSE)</f>
        <v>0.1111</v>
      </c>
      <c r="U12" s="205">
        <f>VLOOKUP($A12,'Misc. Data &amp; Mechanisms'!$A$63:$DY$152,HLOOKUP('Service Zone Menu'!$X$4&amp;"_ATCO-S_NG_Y_2",'Misc. Data &amp; Mechanisms'!$A$55:$DY$62,8,FALSE), FALSE)</f>
        <v>0</v>
      </c>
      <c r="V12" s="425">
        <f>IF(OR('Service Zone Menu'!$X$4="Calgary",AND('Service Zone Menu'!$X$4="Okotoks", $A12&lt;DATE(2019, 1, 1))),$T12*($H12+$G12+$J12),$T12*($H12+$J12-$AG12))</f>
        <v>3.5315989021609382</v>
      </c>
      <c r="W12" s="425">
        <f t="shared" si="3"/>
        <v>0</v>
      </c>
      <c r="X12" s="426"/>
      <c r="Y12" s="386"/>
      <c r="Z12" s="278">
        <v>-6.7000000000000004E-2</v>
      </c>
      <c r="AA12" s="278">
        <v>-6.4000000000000001E-2</v>
      </c>
      <c r="AB12" s="278">
        <v>0.47699999999999998</v>
      </c>
      <c r="AC12" s="278">
        <v>-0.14499999999999999</v>
      </c>
      <c r="AD12" s="278"/>
      <c r="AE12" s="278"/>
      <c r="AF12" s="278"/>
      <c r="AG12" s="492">
        <f t="shared" si="4"/>
        <v>0</v>
      </c>
      <c r="AH12" s="492">
        <f t="shared" si="5"/>
        <v>0</v>
      </c>
      <c r="AI12" s="425">
        <f t="shared" si="6"/>
        <v>-2.2505037989853891</v>
      </c>
      <c r="AJ12" s="425">
        <f t="shared" si="7"/>
        <v>1.7925048768129772</v>
      </c>
      <c r="AK12" s="425">
        <f t="shared" si="8"/>
        <v>-0.54489141957627185</v>
      </c>
      <c r="AL12" s="425">
        <f t="shared" si="20"/>
        <v>0</v>
      </c>
      <c r="AM12" s="425">
        <f t="shared" si="21"/>
        <v>0</v>
      </c>
      <c r="AN12" s="425">
        <f t="shared" si="22"/>
        <v>0</v>
      </c>
      <c r="AO12" s="200">
        <f>IF($I$2="DRT",VLOOKUP(A12,'Misc. Data &amp; Mechanisms'!$A$1483:$H$1574,7,FALSE),BA12)</f>
        <v>0.223</v>
      </c>
      <c r="AP12" s="552">
        <f t="shared" si="23"/>
        <v>6.69</v>
      </c>
      <c r="AQ12" s="290"/>
      <c r="AR12" s="494">
        <f t="shared" si="24"/>
        <v>0</v>
      </c>
      <c r="AS12" s="495">
        <f>5%</f>
        <v>0.05</v>
      </c>
      <c r="AT12" s="341">
        <f>'Misc. Data &amp; Mechanisms'!AM285</f>
        <v>3.8058768125465456</v>
      </c>
      <c r="AU12" s="424">
        <f>'Misc. Data &amp; Mechanisms'!AQ285</f>
        <v>3.2517214370748424</v>
      </c>
      <c r="AV12" s="1087">
        <f>'Misc. Data &amp; Mechanisms'!Z285</f>
        <v>3.7578718591467029</v>
      </c>
      <c r="AW12" s="1087">
        <f>'Misc. Data &amp; Mechanisms'!AA285</f>
        <v>2.4000582250670353</v>
      </c>
      <c r="AX12" s="1460">
        <f>'Misc. Data &amp; Mechanisms'!$B$260</f>
        <v>10.198990303636064</v>
      </c>
      <c r="AY12" s="197">
        <f>IFERROR(IF('Personalized Bill Menu'!$B$30="Yes", IF('Personalized Bill Menu'!$B$34="Natural Gas",VLOOKUP($A12, 'Personalized Bill Menu'!$H$4:$L$93, 2, FALSE), IF('Personalized Bill Menu'!$B$34="Both",VLOOKUP($A12,'Personalized Bill Menu'!$H$4:$P$93, 6, FALSE), 0)), 0),0)</f>
        <v>0</v>
      </c>
      <c r="AZ12" s="1343">
        <f>IFERROR(IF('Personalized Bill Menu'!$C$37="Custom", IF('Personalized Bill Menu'!$B$34="Natural Gas",VLOOKUP($A12, 'Personalized Bill Menu'!$H$4:$L$93, 3, FALSE), IF('Personalized Bill Menu'!$B$34="Both",VLOOKUP($A12,'Personalized Bill Menu'!$H$4:$P$93, 7, FALSE), 0)), 0),0)</f>
        <v>0</v>
      </c>
      <c r="BA12" s="1344">
        <f>IFERROR(IF('Personalized Bill Menu'!$C$37="Custom", IF('Personalized Bill Menu'!$B$34="Natural Gas",VLOOKUP($A12, 'Personalized Bill Menu'!$H$4:$L$93, 4, FALSE), IF('Personalized Bill Menu'!$B$34="Both",VLOOKUP($A12,'Personalized Bill Menu'!$H$4:$P$93, 8, FALSE), 0)), 0),0)</f>
        <v>0</v>
      </c>
      <c r="BB12" s="468"/>
      <c r="BC12" s="468"/>
      <c r="BD12" s="468"/>
    </row>
    <row r="13" spans="1:56" s="469" customFormat="1" ht="15" x14ac:dyDescent="0.25">
      <c r="A13" s="496">
        <v>41091</v>
      </c>
      <c r="B13" s="497">
        <f t="shared" si="9"/>
        <v>31</v>
      </c>
      <c r="C13" s="1581">
        <f t="shared" si="10"/>
        <v>2.6288830750628787</v>
      </c>
      <c r="D13" s="66">
        <f t="shared" si="11"/>
        <v>14.672710008114057</v>
      </c>
      <c r="E13" s="66">
        <f>(1+$AS13)*IF(OR('Service Zone Menu'!$X$4="Calgary",AND('Service Zone Menu'!$X$4="Okotoks", $A13&lt;DATE(2019, 1, 1))),((1+$T13)*($N13+$P13+($X13+$Y13+$AA13+$AB13+$AC13))) + ($U13*($P13+($X13+$Y13+$AA13+$AB13+$AC13))) + $AQ13, ((1+$T13)*($P13+($Y13+$AA13+$AB13+$AC13)))+ ($U13*($P13+($X13+$Y13+$AA13+$AB13+$AC13)))+$N13+$X13 + $AQ13)</f>
        <v>3.6434635650000002</v>
      </c>
      <c r="F13" s="488">
        <f t="shared" si="12"/>
        <v>38.572839005636759</v>
      </c>
      <c r="G13" s="489">
        <f t="shared" si="13"/>
        <v>5.8098315958889621</v>
      </c>
      <c r="H13" s="490">
        <f t="shared" si="0"/>
        <v>22.403629583415558</v>
      </c>
      <c r="I13" s="490">
        <f t="shared" si="14"/>
        <v>2.9820353048041142</v>
      </c>
      <c r="J13" s="490">
        <f t="shared" si="15"/>
        <v>-1.3724593358831485</v>
      </c>
      <c r="K13" s="490">
        <f t="shared" si="16"/>
        <v>6.9130000000000003</v>
      </c>
      <c r="L13" s="490">
        <f t="shared" si="17"/>
        <v>0</v>
      </c>
      <c r="M13" s="491">
        <f t="shared" si="18"/>
        <v>1.8368018574112743</v>
      </c>
      <c r="N13" s="273">
        <f>IF($I$2="DRT",VLOOKUP(A13,'Misc. Data &amp; Mechanisms'!$A$1381:$D$1471,3,FALSE),AZ13)</f>
        <v>2.21</v>
      </c>
      <c r="O13" s="425">
        <f t="shared" si="19"/>
        <v>5.8098315958889621</v>
      </c>
      <c r="P13" s="387">
        <v>0.64500000000000002</v>
      </c>
      <c r="Q13" s="278">
        <v>0.66800000000000004</v>
      </c>
      <c r="R13" s="425">
        <f t="shared" si="1"/>
        <v>1.6956295834155568</v>
      </c>
      <c r="S13" s="425">
        <f t="shared" si="2"/>
        <v>20.708000000000002</v>
      </c>
      <c r="T13" s="391">
        <f>VLOOKUP($A13,'Misc. Data &amp; Mechanisms'!$A$63:$DY$152,HLOOKUP('Service Zone Menu'!$X$4&amp;"_ATCO-S_NG_Y_1",'Misc. Data &amp; Mechanisms'!$A$55:$DY$62,8,FALSE), FALSE)</f>
        <v>0.1111</v>
      </c>
      <c r="U13" s="205">
        <f>VLOOKUP($A13,'Misc. Data &amp; Mechanisms'!$A$63:$DY$152,HLOOKUP('Service Zone Menu'!$X$4&amp;"_ATCO-S_NG_Y_2",'Misc. Data &amp; Mechanisms'!$A$55:$DY$62,8,FALSE), FALSE)</f>
        <v>0</v>
      </c>
      <c r="V13" s="425">
        <f>IF(OR('Service Zone Menu'!$X$4="Calgary",AND('Service Zone Menu'!$X$4="Okotoks", $A13&lt;DATE(2019, 1, 1))),$T13*($H13+$G13+$J13),$T13*($H13+$J13-$AG13))</f>
        <v>2.9820353048041142</v>
      </c>
      <c r="W13" s="425">
        <f t="shared" si="3"/>
        <v>0</v>
      </c>
      <c r="X13" s="426"/>
      <c r="Y13" s="386"/>
      <c r="Z13" s="278">
        <v>-6.7000000000000004E-2</v>
      </c>
      <c r="AA13" s="278">
        <v>-6.4000000000000001E-2</v>
      </c>
      <c r="AB13" s="278">
        <v>0.47699999999999998</v>
      </c>
      <c r="AC13" s="278">
        <v>-0.14499999999999999</v>
      </c>
      <c r="AD13" s="278"/>
      <c r="AE13" s="278"/>
      <c r="AF13" s="278"/>
      <c r="AG13" s="492">
        <f t="shared" si="4"/>
        <v>0</v>
      </c>
      <c r="AH13" s="492">
        <f t="shared" si="5"/>
        <v>0</v>
      </c>
      <c r="AI13" s="425">
        <f t="shared" si="6"/>
        <v>-2.2452485168040242</v>
      </c>
      <c r="AJ13" s="425">
        <f t="shared" si="7"/>
        <v>1.2539772268049931</v>
      </c>
      <c r="AK13" s="425">
        <f t="shared" si="8"/>
        <v>-0.38118804588411737</v>
      </c>
      <c r="AL13" s="425">
        <f t="shared" si="20"/>
        <v>0</v>
      </c>
      <c r="AM13" s="425">
        <f t="shared" si="21"/>
        <v>0</v>
      </c>
      <c r="AN13" s="425">
        <f t="shared" si="22"/>
        <v>0</v>
      </c>
      <c r="AO13" s="200">
        <f>IF($I$2="DRT",VLOOKUP(A13,'Misc. Data &amp; Mechanisms'!$A$1483:$H$1574,7,FALSE),BA13)</f>
        <v>0.223</v>
      </c>
      <c r="AP13" s="552">
        <f t="shared" si="23"/>
        <v>6.9130000000000003</v>
      </c>
      <c r="AQ13" s="290"/>
      <c r="AR13" s="494">
        <f t="shared" si="24"/>
        <v>0</v>
      </c>
      <c r="AS13" s="495">
        <f>5%</f>
        <v>0.05</v>
      </c>
      <c r="AT13" s="341">
        <f>'Misc. Data &amp; Mechanisms'!AM286</f>
        <v>2.6624657554315183</v>
      </c>
      <c r="AU13" s="424">
        <f>'Misc. Data &amp; Mechanisms'!AQ286</f>
        <v>2.6376208810888251</v>
      </c>
      <c r="AV13" s="1087">
        <f>'Misc. Data &amp; Mechanisms'!Z286</f>
        <v>2.6288830750628787</v>
      </c>
      <c r="AW13" s="1087">
        <f>'Misc. Data &amp; Mechanisms'!AA286</f>
        <v>1.6790014890174754</v>
      </c>
      <c r="AX13" s="1460">
        <f>'Misc. Data &amp; Mechanisms'!$B$260</f>
        <v>10.198990303636064</v>
      </c>
      <c r="AY13" s="197">
        <f>IFERROR(IF('Personalized Bill Menu'!$B$30="Yes", IF('Personalized Bill Menu'!$B$34="Natural Gas",VLOOKUP($A13, 'Personalized Bill Menu'!$H$4:$L$93, 2, FALSE), IF('Personalized Bill Menu'!$B$34="Both",VLOOKUP($A13,'Personalized Bill Menu'!$H$4:$P$93, 6, FALSE), 0)), 0),0)</f>
        <v>0</v>
      </c>
      <c r="AZ13" s="1343">
        <f>IFERROR(IF('Personalized Bill Menu'!$C$37="Custom", IF('Personalized Bill Menu'!$B$34="Natural Gas",VLOOKUP($A13, 'Personalized Bill Menu'!$H$4:$L$93, 3, FALSE), IF('Personalized Bill Menu'!$B$34="Both",VLOOKUP($A13,'Personalized Bill Menu'!$H$4:$P$93, 7, FALSE), 0)), 0),0)</f>
        <v>0</v>
      </c>
      <c r="BA13" s="1344">
        <f>IFERROR(IF('Personalized Bill Menu'!$C$37="Custom", IF('Personalized Bill Menu'!$B$34="Natural Gas",VLOOKUP($A13, 'Personalized Bill Menu'!$H$4:$L$93, 4, FALSE), IF('Personalized Bill Menu'!$B$34="Both",VLOOKUP($A13,'Personalized Bill Menu'!$H$4:$P$93, 8, FALSE), 0)), 0),0)</f>
        <v>0</v>
      </c>
      <c r="BB13" s="468"/>
      <c r="BC13" s="468"/>
      <c r="BD13" s="468"/>
    </row>
    <row r="14" spans="1:56" s="469" customFormat="1" ht="15" x14ac:dyDescent="0.25">
      <c r="A14" s="496">
        <v>41122</v>
      </c>
      <c r="B14" s="497">
        <f t="shared" si="9"/>
        <v>31</v>
      </c>
      <c r="C14" s="1581">
        <f t="shared" si="10"/>
        <v>3.0892805662191671</v>
      </c>
      <c r="D14" s="66">
        <f t="shared" si="11"/>
        <v>13.170179495471734</v>
      </c>
      <c r="E14" s="66">
        <f>(1+$AS14)*IF(OR('Service Zone Menu'!$X$4="Calgary",AND('Service Zone Menu'!$X$4="Okotoks", $A14&lt;DATE(2019, 1, 1))),((1+$T14)*($N14+$P14+($X14+$Y14+$AA14+$AB14+$AC14))) + ($U14*($P14+($X14+$Y14+$AA14+$AB14+$AC14))) + $AQ14, ((1+$T14)*($P14+($Y14+$AA14+$AB14+$AC14)))+ ($U14*($P14+($X14+$Y14+$AA14+$AB14+$AC14)))+$N14+$X14 + $AQ14)</f>
        <v>3.7846288199999996</v>
      </c>
      <c r="F14" s="488">
        <f t="shared" si="12"/>
        <v>40.686379568978985</v>
      </c>
      <c r="G14" s="489">
        <f t="shared" si="13"/>
        <v>6.753167317755099</v>
      </c>
      <c r="H14" s="490">
        <f t="shared" si="0"/>
        <v>22.700585965211364</v>
      </c>
      <c r="I14" s="490">
        <f t="shared" si="14"/>
        <v>3.1833067660221444</v>
      </c>
      <c r="J14" s="490">
        <f t="shared" si="15"/>
        <v>-0.80112712615148407</v>
      </c>
      <c r="K14" s="490">
        <f t="shared" si="16"/>
        <v>6.9130000000000003</v>
      </c>
      <c r="L14" s="490">
        <f t="shared" si="17"/>
        <v>0</v>
      </c>
      <c r="M14" s="491">
        <f t="shared" si="18"/>
        <v>1.9374466461418565</v>
      </c>
      <c r="N14" s="273">
        <f>IF($I$2="DRT",VLOOKUP(A14,'Misc. Data &amp; Mechanisms'!$A$1381:$D$1471,3,FALSE),AZ14)</f>
        <v>2.1859999999999999</v>
      </c>
      <c r="O14" s="425">
        <f t="shared" si="19"/>
        <v>6.753167317755099</v>
      </c>
      <c r="P14" s="387">
        <v>0.64500000000000002</v>
      </c>
      <c r="Q14" s="278">
        <v>0.66800000000000004</v>
      </c>
      <c r="R14" s="425">
        <f t="shared" si="1"/>
        <v>1.9925859652113629</v>
      </c>
      <c r="S14" s="425">
        <f t="shared" si="2"/>
        <v>20.708000000000002</v>
      </c>
      <c r="T14" s="391">
        <f>VLOOKUP($A14,'Misc. Data &amp; Mechanisms'!$A$63:$DY$152,HLOOKUP('Service Zone Menu'!$X$4&amp;"_ATCO-S_NG_Y_1",'Misc. Data &amp; Mechanisms'!$A$55:$DY$62,8,FALSE), FALSE)</f>
        <v>0.1111</v>
      </c>
      <c r="U14" s="205">
        <f>VLOOKUP($A14,'Misc. Data &amp; Mechanisms'!$A$63:$DY$152,HLOOKUP('Service Zone Menu'!$X$4&amp;"_ATCO-S_NG_Y_2",'Misc. Data &amp; Mechanisms'!$A$55:$DY$62,8,FALSE), FALSE)</f>
        <v>0</v>
      </c>
      <c r="V14" s="425">
        <f>IF(OR('Service Zone Menu'!$X$4="Calgary",AND('Service Zone Menu'!$X$4="Okotoks", $A14&lt;DATE(2019, 1, 1))),$T14*($H14+$G14+$J14),$T14*($H14+$J14-$AG14))</f>
        <v>3.1833067660221444</v>
      </c>
      <c r="W14" s="425">
        <f t="shared" si="3"/>
        <v>0</v>
      </c>
      <c r="X14" s="426"/>
      <c r="Y14" s="386"/>
      <c r="Z14" s="278">
        <v>-6.7000000000000004E-2</v>
      </c>
      <c r="AA14" s="278">
        <v>-6.4000000000000001E-2</v>
      </c>
      <c r="AB14" s="278">
        <v>0.47699999999999998</v>
      </c>
      <c r="AC14" s="386"/>
      <c r="AD14" s="386"/>
      <c r="AE14" s="386"/>
      <c r="AF14" s="386"/>
      <c r="AG14" s="492">
        <f t="shared" si="4"/>
        <v>0</v>
      </c>
      <c r="AH14" s="492">
        <f t="shared" si="5"/>
        <v>0</v>
      </c>
      <c r="AI14" s="425">
        <f t="shared" si="6"/>
        <v>-2.2747139562380267</v>
      </c>
      <c r="AJ14" s="425">
        <f t="shared" si="7"/>
        <v>1.4735868300865427</v>
      </c>
      <c r="AK14" s="425">
        <f t="shared" si="8"/>
        <v>0</v>
      </c>
      <c r="AL14" s="425">
        <f t="shared" si="20"/>
        <v>0</v>
      </c>
      <c r="AM14" s="425">
        <f t="shared" si="21"/>
        <v>0</v>
      </c>
      <c r="AN14" s="425">
        <f t="shared" si="22"/>
        <v>0</v>
      </c>
      <c r="AO14" s="200">
        <f>IF($I$2="DRT",VLOOKUP(A14,'Misc. Data &amp; Mechanisms'!$A$1483:$H$1574,7,FALSE),BA14)</f>
        <v>0.223</v>
      </c>
      <c r="AP14" s="552">
        <f t="shared" si="23"/>
        <v>6.9130000000000003</v>
      </c>
      <c r="AQ14" s="290"/>
      <c r="AR14" s="494">
        <f t="shared" si="24"/>
        <v>0</v>
      </c>
      <c r="AS14" s="495">
        <f>5%</f>
        <v>0.05</v>
      </c>
      <c r="AT14" s="341">
        <f>'Misc. Data &amp; Mechanisms'!AM287</f>
        <v>3.1287445967074405</v>
      </c>
      <c r="AU14" s="424">
        <f>'Misc. Data &amp; Mechanisms'!AQ287</f>
        <v>2.8528753773539699</v>
      </c>
      <c r="AV14" s="1087">
        <f>'Misc. Data &amp; Mechanisms'!Z287</f>
        <v>3.0892805662191671</v>
      </c>
      <c r="AW14" s="1087">
        <f>'Misc. Data &amp; Mechanisms'!AA287</f>
        <v>1.9730457850624139</v>
      </c>
      <c r="AX14" s="1460">
        <f>'Misc. Data &amp; Mechanisms'!$B$260</f>
        <v>10.198990303636064</v>
      </c>
      <c r="AY14" s="197">
        <f>IFERROR(IF('Personalized Bill Menu'!$B$30="Yes", IF('Personalized Bill Menu'!$B$34="Natural Gas",VLOOKUP($A14, 'Personalized Bill Menu'!$H$4:$L$93, 2, FALSE), IF('Personalized Bill Menu'!$B$34="Both",VLOOKUP($A14,'Personalized Bill Menu'!$H$4:$P$93, 6, FALSE), 0)), 0),0)</f>
        <v>0</v>
      </c>
      <c r="AZ14" s="1343">
        <f>IFERROR(IF('Personalized Bill Menu'!$C$37="Custom", IF('Personalized Bill Menu'!$B$34="Natural Gas",VLOOKUP($A14, 'Personalized Bill Menu'!$H$4:$L$93, 3, FALSE), IF('Personalized Bill Menu'!$B$34="Both",VLOOKUP($A14,'Personalized Bill Menu'!$H$4:$P$93, 7, FALSE), 0)), 0),0)</f>
        <v>0</v>
      </c>
      <c r="BA14" s="1344">
        <f>IFERROR(IF('Personalized Bill Menu'!$C$37="Custom", IF('Personalized Bill Menu'!$B$34="Natural Gas",VLOOKUP($A14, 'Personalized Bill Menu'!$H$4:$L$93, 4, FALSE), IF('Personalized Bill Menu'!$B$34="Both",VLOOKUP($A14,'Personalized Bill Menu'!$H$4:$P$93, 8, FALSE), 0)), 0),0)</f>
        <v>0</v>
      </c>
      <c r="BB14" s="468"/>
      <c r="BC14" s="468"/>
      <c r="BD14" s="468"/>
    </row>
    <row r="15" spans="1:56" s="469" customFormat="1" ht="15" x14ac:dyDescent="0.25">
      <c r="A15" s="496">
        <v>41153</v>
      </c>
      <c r="B15" s="497">
        <f t="shared" si="9"/>
        <v>30</v>
      </c>
      <c r="C15" s="1581">
        <f t="shared" si="10"/>
        <v>3.2815686387127947</v>
      </c>
      <c r="D15" s="66">
        <f t="shared" si="11"/>
        <v>11.769373367986123</v>
      </c>
      <c r="E15" s="66">
        <f>(1+$AS15)*IF(OR('Service Zone Menu'!$X$4="Calgary",AND('Service Zone Menu'!$X$4="Okotoks", $A15&lt;DATE(2019, 1, 1))),((1+$T15)*($N15+$P15+($X15+$Y15+$AA15+$AB15+$AC15))) + ($U15*($P15+($X15+$Y15+$AA15+$AB15+$AC15))) + $AQ15, ((1+$T15)*($P15+($Y15+$AA15+$AB15+$AC15)))+ ($U15*($P15+($X15+$Y15+$AA15+$AB15+$AC15)))+$N15+$X15 + $AQ15)</f>
        <v>3.218801145</v>
      </c>
      <c r="F15" s="488">
        <f t="shared" si="12"/>
        <v>38.62200654168484</v>
      </c>
      <c r="G15" s="489">
        <f t="shared" si="13"/>
        <v>5.5819482544504639</v>
      </c>
      <c r="H15" s="490">
        <f t="shared" si="0"/>
        <v>22.156611771969757</v>
      </c>
      <c r="I15" s="490">
        <f t="shared" si="14"/>
        <v>3.0090154988245761</v>
      </c>
      <c r="J15" s="490">
        <f t="shared" si="15"/>
        <v>-0.65471215221161616</v>
      </c>
      <c r="K15" s="490">
        <f t="shared" si="16"/>
        <v>6.69</v>
      </c>
      <c r="L15" s="490">
        <f t="shared" si="17"/>
        <v>0</v>
      </c>
      <c r="M15" s="491">
        <f t="shared" si="18"/>
        <v>1.8391431686516591</v>
      </c>
      <c r="N15" s="273">
        <f>IF($I$2="DRT",VLOOKUP(A15,'Misc. Data &amp; Mechanisms'!$A$1381:$D$1471,3,FALSE),AZ15)</f>
        <v>1.7010000000000001</v>
      </c>
      <c r="O15" s="425">
        <f t="shared" si="19"/>
        <v>5.5819482544504639</v>
      </c>
      <c r="P15" s="387">
        <v>0.64500000000000002</v>
      </c>
      <c r="Q15" s="278">
        <v>0.66800000000000004</v>
      </c>
      <c r="R15" s="425">
        <f t="shared" si="1"/>
        <v>2.1166117719697528</v>
      </c>
      <c r="S15" s="425">
        <f t="shared" si="2"/>
        <v>20.040000000000003</v>
      </c>
      <c r="T15" s="391">
        <f>VLOOKUP($A15,'Misc. Data &amp; Mechanisms'!$A$63:$DY$152,HLOOKUP('Service Zone Menu'!$X$4&amp;"_ATCO-S_NG_Y_1",'Misc. Data &amp; Mechanisms'!$A$55:$DY$62,8,FALSE), FALSE)</f>
        <v>0.1111</v>
      </c>
      <c r="U15" s="205">
        <f>VLOOKUP($A15,'Misc. Data &amp; Mechanisms'!$A$63:$DY$152,HLOOKUP('Service Zone Menu'!$X$4&amp;"_ATCO-S_NG_Y_2",'Misc. Data &amp; Mechanisms'!$A$55:$DY$62,8,FALSE), FALSE)</f>
        <v>0</v>
      </c>
      <c r="V15" s="425">
        <f>IF(OR('Service Zone Menu'!$X$4="Calgary",AND('Service Zone Menu'!$X$4="Okotoks", $A15&lt;DATE(2019, 1, 1))),$T15*($H15+$G15+$J15),$T15*($H15+$J15-$AG15))</f>
        <v>3.0090154988245761</v>
      </c>
      <c r="W15" s="425">
        <f t="shared" si="3"/>
        <v>0</v>
      </c>
      <c r="X15" s="426"/>
      <c r="Y15" s="386"/>
      <c r="Z15" s="278">
        <v>-6.7000000000000004E-2</v>
      </c>
      <c r="AA15" s="278">
        <v>-6.4000000000000001E-2</v>
      </c>
      <c r="AB15" s="278">
        <v>0.47699999999999998</v>
      </c>
      <c r="AC15" s="386"/>
      <c r="AD15" s="386"/>
      <c r="AE15" s="386"/>
      <c r="AF15" s="386"/>
      <c r="AG15" s="492">
        <f t="shared" si="4"/>
        <v>0</v>
      </c>
      <c r="AH15" s="492">
        <f t="shared" si="5"/>
        <v>0</v>
      </c>
      <c r="AI15" s="425">
        <f t="shared" si="6"/>
        <v>-2.2200203928776192</v>
      </c>
      <c r="AJ15" s="425">
        <f t="shared" si="7"/>
        <v>1.565308240666003</v>
      </c>
      <c r="AK15" s="425">
        <f t="shared" si="8"/>
        <v>0</v>
      </c>
      <c r="AL15" s="425">
        <f t="shared" si="20"/>
        <v>0</v>
      </c>
      <c r="AM15" s="425">
        <f t="shared" si="21"/>
        <v>0</v>
      </c>
      <c r="AN15" s="425">
        <f t="shared" si="22"/>
        <v>0</v>
      </c>
      <c r="AO15" s="200">
        <f>IF($I$2="DRT",VLOOKUP(A15,'Misc. Data &amp; Mechanisms'!$A$1483:$H$1574,7,FALSE),BA15)</f>
        <v>0.223</v>
      </c>
      <c r="AP15" s="552">
        <f t="shared" si="23"/>
        <v>6.69</v>
      </c>
      <c r="AQ15" s="290"/>
      <c r="AR15" s="494">
        <f t="shared" si="24"/>
        <v>0</v>
      </c>
      <c r="AS15" s="495">
        <f>5%</f>
        <v>0.05</v>
      </c>
      <c r="AT15" s="341">
        <f>'Misc. Data &amp; Mechanisms'!AM288</f>
        <v>3.3234890541725073</v>
      </c>
      <c r="AU15" s="424">
        <f>'Misc. Data &amp; Mechanisms'!AQ288</f>
        <v>3.1838910976324981</v>
      </c>
      <c r="AV15" s="1087">
        <f>'Misc. Data &amp; Mechanisms'!Z288</f>
        <v>3.2815686387127947</v>
      </c>
      <c r="AW15" s="1087">
        <f>'Misc. Data &amp; Mechanisms'!AA288</f>
        <v>2.0958553398500035</v>
      </c>
      <c r="AX15" s="1460">
        <f>'Misc. Data &amp; Mechanisms'!$B$260</f>
        <v>10.198990303636064</v>
      </c>
      <c r="AY15" s="197">
        <f>IFERROR(IF('Personalized Bill Menu'!$B$30="Yes", IF('Personalized Bill Menu'!$B$34="Natural Gas",VLOOKUP($A15, 'Personalized Bill Menu'!$H$4:$L$93, 2, FALSE), IF('Personalized Bill Menu'!$B$34="Both",VLOOKUP($A15,'Personalized Bill Menu'!$H$4:$P$93, 6, FALSE), 0)), 0),0)</f>
        <v>0</v>
      </c>
      <c r="AZ15" s="1343">
        <f>IFERROR(IF('Personalized Bill Menu'!$C$37="Custom", IF('Personalized Bill Menu'!$B$34="Natural Gas",VLOOKUP($A15, 'Personalized Bill Menu'!$H$4:$L$93, 3, FALSE), IF('Personalized Bill Menu'!$B$34="Both",VLOOKUP($A15,'Personalized Bill Menu'!$H$4:$P$93, 7, FALSE), 0)), 0),0)</f>
        <v>0</v>
      </c>
      <c r="BA15" s="1344">
        <f>IFERROR(IF('Personalized Bill Menu'!$C$37="Custom", IF('Personalized Bill Menu'!$B$34="Natural Gas",VLOOKUP($A15, 'Personalized Bill Menu'!$H$4:$L$93, 4, FALSE), IF('Personalized Bill Menu'!$B$34="Both",VLOOKUP($A15,'Personalized Bill Menu'!$H$4:$P$93, 8, FALSE), 0)), 0),0)</f>
        <v>0</v>
      </c>
      <c r="BB15" s="468"/>
      <c r="BC15" s="468"/>
      <c r="BD15" s="468"/>
    </row>
    <row r="16" spans="1:56" s="469" customFormat="1" ht="15" x14ac:dyDescent="0.25">
      <c r="A16" s="496">
        <v>41183</v>
      </c>
      <c r="B16" s="497">
        <f t="shared" si="9"/>
        <v>31</v>
      </c>
      <c r="C16" s="1581">
        <f t="shared" si="10"/>
        <v>12.414546391241233</v>
      </c>
      <c r="D16" s="66">
        <f t="shared" si="11"/>
        <v>6.5833251863595734</v>
      </c>
      <c r="E16" s="66">
        <f>(1+$AS16)*IF(OR('Service Zone Menu'!$X$4="Calgary",AND('Service Zone Menu'!$X$4="Okotoks", $A16&lt;DATE(2019, 1, 1))),((1+$T16)*($N16+$P16+($X16+$Y16+$AA16+$AB16+$AC16))) + ($U16*($P16+($X16+$Y16+$AA16+$AB16+$AC16))) + $AQ16, ((1+$T16)*($P16+($Y16+$AA16+$AB16+$AC16)))+ ($U16*($P16+($X16+$Y16+$AA16+$AB16+$AC16)))+$N16+$X16 + $AQ16)</f>
        <v>4.2477908550000008</v>
      </c>
      <c r="F16" s="488">
        <f t="shared" si="12"/>
        <v>81.728995934687759</v>
      </c>
      <c r="G16" s="489">
        <f t="shared" si="13"/>
        <v>32.066773328576105</v>
      </c>
      <c r="H16" s="490">
        <f t="shared" si="0"/>
        <v>28.715382422350597</v>
      </c>
      <c r="I16" s="490">
        <f t="shared" si="14"/>
        <v>7.0917755749075866</v>
      </c>
      <c r="J16" s="490">
        <f t="shared" si="15"/>
        <v>3.0502076595826288</v>
      </c>
      <c r="K16" s="490">
        <f t="shared" si="16"/>
        <v>6.9130000000000003</v>
      </c>
      <c r="L16" s="490">
        <f t="shared" si="17"/>
        <v>0</v>
      </c>
      <c r="M16" s="491">
        <f t="shared" si="18"/>
        <v>3.8918569492708457</v>
      </c>
      <c r="N16" s="273">
        <f>IF($I$2="DRT",VLOOKUP(A16,'Misc. Data &amp; Mechanisms'!$A$1381:$D$1471,3,FALSE),AZ16)</f>
        <v>2.5830000000000002</v>
      </c>
      <c r="O16" s="425">
        <f t="shared" si="19"/>
        <v>32.066773328576105</v>
      </c>
      <c r="P16" s="387">
        <v>0.64500000000000002</v>
      </c>
      <c r="Q16" s="278">
        <v>0.66800000000000004</v>
      </c>
      <c r="R16" s="425">
        <f t="shared" si="1"/>
        <v>8.0073824223505952</v>
      </c>
      <c r="S16" s="425">
        <f t="shared" si="2"/>
        <v>20.708000000000002</v>
      </c>
      <c r="T16" s="391">
        <f>VLOOKUP($A16,'Misc. Data &amp; Mechanisms'!$A$63:$DY$152,HLOOKUP('Service Zone Menu'!$X$4&amp;"_ATCO-S_NG_Y_1",'Misc. Data &amp; Mechanisms'!$A$55:$DY$62,8,FALSE), FALSE)</f>
        <v>0.1111</v>
      </c>
      <c r="U16" s="205">
        <f>VLOOKUP($A16,'Misc. Data &amp; Mechanisms'!$A$63:$DY$152,HLOOKUP('Service Zone Menu'!$X$4&amp;"_ATCO-S_NG_Y_2",'Misc. Data &amp; Mechanisms'!$A$55:$DY$62,8,FALSE), FALSE)</f>
        <v>0</v>
      </c>
      <c r="V16" s="425">
        <f>IF(OR('Service Zone Menu'!$X$4="Calgary",AND('Service Zone Menu'!$X$4="Okotoks", $A16&lt;DATE(2019, 1, 1))),$T16*($H16+$G16+$J16),$T16*($H16+$J16-$AG16))</f>
        <v>7.0917755749075866</v>
      </c>
      <c r="W16" s="425">
        <f t="shared" si="3"/>
        <v>0</v>
      </c>
      <c r="X16" s="426"/>
      <c r="Y16" s="386"/>
      <c r="Z16" s="278">
        <v>-6.7000000000000004E-2</v>
      </c>
      <c r="AA16" s="278">
        <v>-6.4000000000000001E-2</v>
      </c>
      <c r="AB16" s="278">
        <v>0.47699999999999998</v>
      </c>
      <c r="AC16" s="386"/>
      <c r="AD16" s="386"/>
      <c r="AE16" s="386"/>
      <c r="AF16" s="386"/>
      <c r="AG16" s="492">
        <f t="shared" si="4"/>
        <v>0</v>
      </c>
      <c r="AH16" s="492">
        <f t="shared" si="5"/>
        <v>0</v>
      </c>
      <c r="AI16" s="425">
        <f t="shared" si="6"/>
        <v>-2.8715309690394388</v>
      </c>
      <c r="AJ16" s="425">
        <f t="shared" si="7"/>
        <v>5.9217386286220677</v>
      </c>
      <c r="AK16" s="425">
        <f t="shared" si="8"/>
        <v>0</v>
      </c>
      <c r="AL16" s="425">
        <f t="shared" si="20"/>
        <v>0</v>
      </c>
      <c r="AM16" s="425">
        <f t="shared" si="21"/>
        <v>0</v>
      </c>
      <c r="AN16" s="425">
        <f t="shared" si="22"/>
        <v>0</v>
      </c>
      <c r="AO16" s="200">
        <f>IF($I$2="DRT",VLOOKUP(A16,'Misc. Data &amp; Mechanisms'!$A$1483:$H$1574,7,FALSE),BA16)</f>
        <v>0.223</v>
      </c>
      <c r="AP16" s="552">
        <f t="shared" si="23"/>
        <v>6.9130000000000003</v>
      </c>
      <c r="AQ16" s="290"/>
      <c r="AR16" s="494">
        <f t="shared" si="24"/>
        <v>0</v>
      </c>
      <c r="AS16" s="495">
        <f>5%</f>
        <v>0.05</v>
      </c>
      <c r="AT16" s="341">
        <f>'Misc. Data &amp; Mechanisms'!AM289</f>
        <v>12.573136077992032</v>
      </c>
      <c r="AU16" s="424">
        <f>'Misc. Data &amp; Mechanisms'!AQ289</f>
        <v>12.137511372775048</v>
      </c>
      <c r="AV16" s="1087">
        <f>'Misc. Data &amp; Mechanisms'!Z289</f>
        <v>12.414546391241233</v>
      </c>
      <c r="AW16" s="1087">
        <f>'Misc. Data &amp; Mechanisms'!AA289</f>
        <v>7.9288584852226638</v>
      </c>
      <c r="AX16" s="1460">
        <f>'Misc. Data &amp; Mechanisms'!$B$260</f>
        <v>10.198990303636064</v>
      </c>
      <c r="AY16" s="197">
        <f>IFERROR(IF('Personalized Bill Menu'!$B$30="Yes", IF('Personalized Bill Menu'!$B$34="Natural Gas",VLOOKUP($A16, 'Personalized Bill Menu'!$H$4:$L$93, 2, FALSE), IF('Personalized Bill Menu'!$B$34="Both",VLOOKUP($A16,'Personalized Bill Menu'!$H$4:$P$93, 6, FALSE), 0)), 0),0)</f>
        <v>0</v>
      </c>
      <c r="AZ16" s="1343">
        <f>IFERROR(IF('Personalized Bill Menu'!$C$37="Custom", IF('Personalized Bill Menu'!$B$34="Natural Gas",VLOOKUP($A16, 'Personalized Bill Menu'!$H$4:$L$93, 3, FALSE), IF('Personalized Bill Menu'!$B$34="Both",VLOOKUP($A16,'Personalized Bill Menu'!$H$4:$P$93, 7, FALSE), 0)), 0),0)</f>
        <v>0</v>
      </c>
      <c r="BA16" s="1344">
        <f>IFERROR(IF('Personalized Bill Menu'!$C$37="Custom", IF('Personalized Bill Menu'!$B$34="Natural Gas",VLOOKUP($A16, 'Personalized Bill Menu'!$H$4:$L$93, 4, FALSE), IF('Personalized Bill Menu'!$B$34="Both",VLOOKUP($A16,'Personalized Bill Menu'!$H$4:$P$93, 8, FALSE), 0)), 0),0)</f>
        <v>0</v>
      </c>
      <c r="BB16" s="468"/>
      <c r="BC16" s="468"/>
      <c r="BD16" s="468"/>
    </row>
    <row r="17" spans="1:56" s="469" customFormat="1" ht="15" x14ac:dyDescent="0.25">
      <c r="A17" s="496">
        <v>41214</v>
      </c>
      <c r="B17" s="497">
        <f t="shared" si="9"/>
        <v>30</v>
      </c>
      <c r="C17" s="1581">
        <f t="shared" si="10"/>
        <v>16.022770401470297</v>
      </c>
      <c r="D17" s="66">
        <f t="shared" si="11"/>
        <v>7.153992668665575</v>
      </c>
      <c r="E17" s="66">
        <f>(1+$AS17)*IF(OR('Service Zone Menu'!$X$4="Calgary",AND('Service Zone Menu'!$X$4="Okotoks", $A17&lt;DATE(2019, 1, 1))),((1+$T17)*($N17+$P17+($X17+$Y17+$AA17+$AB17+$AC17))) + ($U17*($P17+($X17+$Y17+$AA17+$AB17+$AC17))) + $AQ17, ((1+$T17)*($P17+($Y17+$AA17+$AB17+$AC17)))+ ($U17*($P17+($X17+$Y17+$AA17+$AB17+$AC17)))+$N17+$X17 + $AQ17)</f>
        <v>5.4027793050000001</v>
      </c>
      <c r="F17" s="488">
        <f t="shared" si="12"/>
        <v>114.62678198383027</v>
      </c>
      <c r="G17" s="489">
        <f t="shared" si="13"/>
        <v>57.249358644453366</v>
      </c>
      <c r="H17" s="490">
        <f t="shared" si="0"/>
        <v>30.374686908948345</v>
      </c>
      <c r="I17" s="490">
        <f t="shared" si="14"/>
        <v>10.246914064915114</v>
      </c>
      <c r="J17" s="490">
        <f t="shared" si="15"/>
        <v>4.6074041758072317</v>
      </c>
      <c r="K17" s="490">
        <f t="shared" si="16"/>
        <v>6.69</v>
      </c>
      <c r="L17" s="490">
        <f t="shared" si="17"/>
        <v>0</v>
      </c>
      <c r="M17" s="491">
        <f t="shared" si="18"/>
        <v>5.4584181897062036</v>
      </c>
      <c r="N17" s="273">
        <f>IF($I$2="DRT",VLOOKUP(A17,'Misc. Data &amp; Mechanisms'!$A$1381:$D$1471,3,FALSE),AZ17)</f>
        <v>3.573</v>
      </c>
      <c r="O17" s="425">
        <f t="shared" si="19"/>
        <v>57.249358644453366</v>
      </c>
      <c r="P17" s="387">
        <v>0.64500000000000002</v>
      </c>
      <c r="Q17" s="278">
        <v>0.66800000000000004</v>
      </c>
      <c r="R17" s="425">
        <f t="shared" si="1"/>
        <v>10.334686908948342</v>
      </c>
      <c r="S17" s="425">
        <f t="shared" si="2"/>
        <v>20.040000000000003</v>
      </c>
      <c r="T17" s="391">
        <f>VLOOKUP($A17,'Misc. Data &amp; Mechanisms'!$A$63:$DY$152,HLOOKUP('Service Zone Menu'!$X$4&amp;"_ATCO-S_NG_Y_1",'Misc. Data &amp; Mechanisms'!$A$55:$DY$62,8,FALSE), FALSE)</f>
        <v>0.1111</v>
      </c>
      <c r="U17" s="205">
        <f>VLOOKUP($A17,'Misc. Data &amp; Mechanisms'!$A$63:$DY$152,HLOOKUP('Service Zone Menu'!$X$4&amp;"_ATCO-S_NG_Y_2",'Misc. Data &amp; Mechanisms'!$A$55:$DY$62,8,FALSE), FALSE)</f>
        <v>0</v>
      </c>
      <c r="V17" s="425">
        <f>IF(OR('Service Zone Menu'!$X$4="Calgary",AND('Service Zone Menu'!$X$4="Okotoks", $A17&lt;DATE(2019, 1, 1))),$T17*($H17+$G17+$J17),$T17*($H17+$J17-$AG17))</f>
        <v>10.246914064915114</v>
      </c>
      <c r="W17" s="425">
        <f t="shared" si="3"/>
        <v>0</v>
      </c>
      <c r="X17" s="426"/>
      <c r="Y17" s="386"/>
      <c r="Z17" s="278">
        <v>-6.7000000000000004E-2</v>
      </c>
      <c r="AA17" s="278">
        <v>-6.4000000000000001E-2</v>
      </c>
      <c r="AB17" s="278">
        <v>0.47699999999999998</v>
      </c>
      <c r="AC17" s="386"/>
      <c r="AD17" s="386"/>
      <c r="AE17" s="386"/>
      <c r="AF17" s="386"/>
      <c r="AG17" s="492">
        <f t="shared" si="4"/>
        <v>0</v>
      </c>
      <c r="AH17" s="492">
        <f t="shared" si="5"/>
        <v>0</v>
      </c>
      <c r="AI17" s="425">
        <f t="shared" si="6"/>
        <v>-3.0354573056940994</v>
      </c>
      <c r="AJ17" s="425">
        <f t="shared" si="7"/>
        <v>7.6428614815013312</v>
      </c>
      <c r="AK17" s="425">
        <f t="shared" si="8"/>
        <v>0</v>
      </c>
      <c r="AL17" s="425">
        <f t="shared" si="20"/>
        <v>0</v>
      </c>
      <c r="AM17" s="425">
        <f t="shared" si="21"/>
        <v>0</v>
      </c>
      <c r="AN17" s="425">
        <f t="shared" si="22"/>
        <v>0</v>
      </c>
      <c r="AO17" s="200">
        <f>IF($I$2="DRT",VLOOKUP(A17,'Misc. Data &amp; Mechanisms'!$A$1483:$H$1574,7,FALSE),BA17)</f>
        <v>0.223</v>
      </c>
      <c r="AP17" s="552">
        <f t="shared" si="23"/>
        <v>6.69</v>
      </c>
      <c r="AQ17" s="290"/>
      <c r="AR17" s="494">
        <f t="shared" si="24"/>
        <v>0</v>
      </c>
      <c r="AS17" s="495">
        <f>5%</f>
        <v>0.05</v>
      </c>
      <c r="AT17" s="341">
        <f>'Misc. Data &amp; Mechanisms'!AM290</f>
        <v>16.227453364404965</v>
      </c>
      <c r="AU17" s="424">
        <f>'Misc. Data &amp; Mechanisms'!AQ290</f>
        <v>17.55422683228494</v>
      </c>
      <c r="AV17" s="1087">
        <f>'Misc. Data &amp; Mechanisms'!Z290</f>
        <v>16.022770401470297</v>
      </c>
      <c r="AW17" s="1087">
        <f>'Misc. Data &amp; Mechanisms'!AA290</f>
        <v>10.233340393661402</v>
      </c>
      <c r="AX17" s="1460">
        <f>'Misc. Data &amp; Mechanisms'!$B$260</f>
        <v>10.198990303636064</v>
      </c>
      <c r="AY17" s="197">
        <f>IFERROR(IF('Personalized Bill Menu'!$B$30="Yes", IF('Personalized Bill Menu'!$B$34="Natural Gas",VLOOKUP($A17, 'Personalized Bill Menu'!$H$4:$L$93, 2, FALSE), IF('Personalized Bill Menu'!$B$34="Both",VLOOKUP($A17,'Personalized Bill Menu'!$H$4:$P$93, 6, FALSE), 0)), 0),0)</f>
        <v>0</v>
      </c>
      <c r="AZ17" s="1343">
        <f>IFERROR(IF('Personalized Bill Menu'!$C$37="Custom", IF('Personalized Bill Menu'!$B$34="Natural Gas",VLOOKUP($A17, 'Personalized Bill Menu'!$H$4:$L$93, 3, FALSE), IF('Personalized Bill Menu'!$B$34="Both",VLOOKUP($A17,'Personalized Bill Menu'!$H$4:$P$93, 7, FALSE), 0)), 0),0)</f>
        <v>0</v>
      </c>
      <c r="BA17" s="1344">
        <f>IFERROR(IF('Personalized Bill Menu'!$C$37="Custom", IF('Personalized Bill Menu'!$B$34="Natural Gas",VLOOKUP($A17, 'Personalized Bill Menu'!$H$4:$L$93, 4, FALSE), IF('Personalized Bill Menu'!$B$34="Both",VLOOKUP($A17,'Personalized Bill Menu'!$H$4:$P$93, 8, FALSE), 0)), 0),0)</f>
        <v>0</v>
      </c>
      <c r="BB17" s="468"/>
      <c r="BC17" s="468"/>
      <c r="BD17" s="468"/>
    </row>
    <row r="18" spans="1:56" s="469" customFormat="1" ht="15" x14ac:dyDescent="0.25">
      <c r="A18" s="508">
        <v>41244</v>
      </c>
      <c r="B18" s="509">
        <f t="shared" si="9"/>
        <v>31</v>
      </c>
      <c r="C18" s="231">
        <f t="shared" si="10"/>
        <v>21.388281285725743</v>
      </c>
      <c r="D18" s="344">
        <f t="shared" si="11"/>
        <v>6.3526922718821366</v>
      </c>
      <c r="E18" s="344">
        <f>(1+$AS18)*IF(OR('Service Zone Menu'!$X$4="Calgary",AND('Service Zone Menu'!$X$4="Okotoks", $A18&lt;DATE(2019, 1, 1))),((1+$T18)*($N18+$P18+($X18+$Y18+$AA18+$AB18+$AC18))) + ($U18*($P18+($X18+$Y18+$AA18+$AB18+$AC18))) + $AQ18, ((1+$T18)*($P18+($Y18+$AA18+$AB18+$AC18)))+ ($U18*($P18+($X18+$Y18+$AA18+$AB18+$AC18)))+$N18+$X18 + $AQ18)</f>
        <v>5.1052822799999991</v>
      </c>
      <c r="F18" s="510">
        <f t="shared" si="12"/>
        <v>135.87316923267124</v>
      </c>
      <c r="G18" s="511">
        <f t="shared" si="13"/>
        <v>75.757292314040583</v>
      </c>
      <c r="H18" s="512">
        <f t="shared" si="0"/>
        <v>34.503441429293105</v>
      </c>
      <c r="I18" s="512">
        <f>SUM($V18:$W18)</f>
        <v>12.247899410493913</v>
      </c>
      <c r="J18" s="512">
        <f t="shared" si="15"/>
        <v>-1.8614836997835837E-2</v>
      </c>
      <c r="K18" s="512">
        <f t="shared" si="16"/>
        <v>6.9130000000000003</v>
      </c>
      <c r="L18" s="512">
        <f t="shared" si="17"/>
        <v>0</v>
      </c>
      <c r="M18" s="513">
        <f t="shared" si="18"/>
        <v>6.4701509158414883</v>
      </c>
      <c r="N18" s="1243">
        <f>IF($I$2="DRT",VLOOKUP(A18,'Misc. Data &amp; Mechanisms'!$A$1381:$D$1471,3,FALSE),AZ18)</f>
        <v>3.5419999999999998</v>
      </c>
      <c r="O18" s="440">
        <f t="shared" si="19"/>
        <v>75.757292314040583</v>
      </c>
      <c r="P18" s="438">
        <v>0.64500000000000002</v>
      </c>
      <c r="Q18" s="283">
        <v>0.66800000000000004</v>
      </c>
      <c r="R18" s="440">
        <f t="shared" si="1"/>
        <v>13.795441429293104</v>
      </c>
      <c r="S18" s="440">
        <f t="shared" si="2"/>
        <v>20.708000000000002</v>
      </c>
      <c r="T18" s="394">
        <f>VLOOKUP($A18,'Misc. Data &amp; Mechanisms'!$A$63:$DY$152,HLOOKUP('Service Zone Menu'!$X$4&amp;"_ATCO-S_NG_Y_1",'Misc. Data &amp; Mechanisms'!$A$55:$DY$62,8,FALSE), FALSE)</f>
        <v>0.1111</v>
      </c>
      <c r="U18" s="246">
        <f>VLOOKUP($A18,'Misc. Data &amp; Mechanisms'!$A$63:$DY$152,HLOOKUP('Service Zone Menu'!$X$4&amp;"_ATCO-S_NG_Y_2",'Misc. Data &amp; Mechanisms'!$A$55:$DY$62,8,FALSE), FALSE)</f>
        <v>0</v>
      </c>
      <c r="V18" s="440">
        <f>IF(OR('Service Zone Menu'!$X$4="Calgary",AND('Service Zone Menu'!$X$4="Okotoks", $A18&lt;DATE(2019, 1, 1))),$T18*($H18+$G18+$J18),$T18*($H18+$J18-$AG18))</f>
        <v>12.247899410493913</v>
      </c>
      <c r="W18" s="440">
        <f t="shared" si="3"/>
        <v>0</v>
      </c>
      <c r="X18" s="439">
        <v>-0.161</v>
      </c>
      <c r="Y18" s="399"/>
      <c r="Z18" s="283">
        <v>-0.13100000000000001</v>
      </c>
      <c r="AA18" s="283">
        <v>-0.127</v>
      </c>
      <c r="AB18" s="283">
        <v>0.47699999999999998</v>
      </c>
      <c r="AC18" s="399"/>
      <c r="AD18" s="399"/>
      <c r="AE18" s="399"/>
      <c r="AF18" s="399"/>
      <c r="AG18" s="514">
        <f t="shared" si="4"/>
        <v>-3.4435132870018448</v>
      </c>
      <c r="AH18" s="514">
        <f t="shared" si="5"/>
        <v>0</v>
      </c>
      <c r="AI18" s="440">
        <f t="shared" si="6"/>
        <v>-6.7773117232871698</v>
      </c>
      <c r="AJ18" s="440">
        <f t="shared" si="7"/>
        <v>10.20221017329118</v>
      </c>
      <c r="AK18" s="440">
        <f t="shared" si="8"/>
        <v>0</v>
      </c>
      <c r="AL18" s="440">
        <f t="shared" si="20"/>
        <v>0</v>
      </c>
      <c r="AM18" s="440">
        <f t="shared" si="21"/>
        <v>0</v>
      </c>
      <c r="AN18" s="440">
        <f t="shared" si="22"/>
        <v>0</v>
      </c>
      <c r="AO18" s="239">
        <f>IF($I$2="DRT",VLOOKUP(A18,'Misc. Data &amp; Mechanisms'!$A$1483:$H$1574,7,FALSE),BA18)</f>
        <v>0.223</v>
      </c>
      <c r="AP18" s="558">
        <f t="shared" si="23"/>
        <v>6.9130000000000003</v>
      </c>
      <c r="AQ18" s="292"/>
      <c r="AR18" s="516">
        <f t="shared" si="24"/>
        <v>0</v>
      </c>
      <c r="AS18" s="517">
        <f>5%</f>
        <v>0.05</v>
      </c>
      <c r="AT18" s="352">
        <f>'Misc. Data &amp; Mechanisms'!AM291</f>
        <v>21.661505995058203</v>
      </c>
      <c r="AU18" s="441">
        <f>'Misc. Data &amp; Mechanisms'!AQ291</f>
        <v>23.059498623787203</v>
      </c>
      <c r="AV18" s="1089">
        <f>'Misc. Data &amp; Mechanisms'!Z291</f>
        <v>21.388281285725743</v>
      </c>
      <c r="AW18" s="1089">
        <f>'Misc. Data &amp; Mechanisms'!AA291</f>
        <v>13.660157223005891</v>
      </c>
      <c r="AX18" s="1461">
        <f>'Misc. Data &amp; Mechanisms'!$B$260</f>
        <v>10.198990303636064</v>
      </c>
      <c r="AY18" s="243">
        <f>IFERROR(IF('Personalized Bill Menu'!$B$30="Yes", IF('Personalized Bill Menu'!$B$34="Natural Gas",VLOOKUP($A18, 'Personalized Bill Menu'!$H$4:$L$93, 2, FALSE), IF('Personalized Bill Menu'!$B$34="Both",VLOOKUP($A18,'Personalized Bill Menu'!$H$4:$P$93, 6, FALSE), 0)), 0),0)</f>
        <v>0</v>
      </c>
      <c r="AZ18" s="1345">
        <f>IFERROR(IF('Personalized Bill Menu'!$C$37="Custom", IF('Personalized Bill Menu'!$B$34="Natural Gas",VLOOKUP($A18, 'Personalized Bill Menu'!$H$4:$L$93, 3, FALSE), IF('Personalized Bill Menu'!$B$34="Both",VLOOKUP($A18,'Personalized Bill Menu'!$H$4:$P$93, 7, FALSE), 0)), 0),0)</f>
        <v>0</v>
      </c>
      <c r="BA18" s="1346">
        <f>IFERROR(IF('Personalized Bill Menu'!$C$37="Custom", IF('Personalized Bill Menu'!$B$34="Natural Gas",VLOOKUP($A18, 'Personalized Bill Menu'!$H$4:$L$93, 4, FALSE), IF('Personalized Bill Menu'!$B$34="Both",VLOOKUP($A18,'Personalized Bill Menu'!$H$4:$P$93, 8, FALSE), 0)), 0),0)</f>
        <v>0</v>
      </c>
      <c r="BB18" s="468"/>
      <c r="BC18" s="468"/>
      <c r="BD18" s="468"/>
    </row>
    <row r="19" spans="1:56" s="469" customFormat="1" ht="15" x14ac:dyDescent="0.25">
      <c r="A19" s="498">
        <v>41275</v>
      </c>
      <c r="B19" s="499">
        <f t="shared" si="9"/>
        <v>31</v>
      </c>
      <c r="C19" s="212">
        <f t="shared" si="10"/>
        <v>17.728016094174261</v>
      </c>
      <c r="D19" s="353">
        <f t="shared" si="11"/>
        <v>6.703825981763706</v>
      </c>
      <c r="E19" s="353">
        <f>(1+$AS19)*IF(OR('Service Zone Menu'!$X$4="Calgary",AND('Service Zone Menu'!$X$4="Okotoks", $A19&lt;DATE(2019, 1, 1))),((1+$T19)*($N19+$P19+($X19+$Y19+$AA19+$AB19+$AC19))) + ($U19*($P19+($X19+$Y19+$AA19+$AB19+$AC19))) + $AQ19, ((1+$T19)*($P19+($Y19+$AA19+$AB19+$AC19)))+ ($U19*($P19+($X19+$Y19+$AA19+$AB19+$AC19)))+$N19+$X19 + $AQ19)</f>
        <v>4.7704522949999992</v>
      </c>
      <c r="F19" s="500">
        <f t="shared" si="12"/>
        <v>118.84553489725054</v>
      </c>
      <c r="G19" s="501">
        <f t="shared" si="13"/>
        <v>51.712622946706318</v>
      </c>
      <c r="H19" s="502">
        <f t="shared" si="0"/>
        <v>35.477971185451111</v>
      </c>
      <c r="I19" s="502">
        <f t="shared" si="14"/>
        <v>10.626365902588628</v>
      </c>
      <c r="J19" s="502">
        <f t="shared" si="15"/>
        <v>8.4562636769211217</v>
      </c>
      <c r="K19" s="502">
        <f t="shared" si="16"/>
        <v>6.9130000000000003</v>
      </c>
      <c r="L19" s="502">
        <f t="shared" si="17"/>
        <v>0</v>
      </c>
      <c r="M19" s="503">
        <f t="shared" si="18"/>
        <v>5.6593111855833591</v>
      </c>
      <c r="N19" s="273">
        <f>IF($I$2="DRT",VLOOKUP(A19,'Misc. Data &amp; Mechanisms'!$A$1381:$D$1471,3,FALSE),AZ19)</f>
        <v>2.9169999999999998</v>
      </c>
      <c r="O19" s="433">
        <f t="shared" si="19"/>
        <v>51.712622946706318</v>
      </c>
      <c r="P19" s="431">
        <v>0.69499999999999995</v>
      </c>
      <c r="Q19" s="288">
        <v>0.747</v>
      </c>
      <c r="R19" s="433">
        <f t="shared" si="1"/>
        <v>12.320971185451111</v>
      </c>
      <c r="S19" s="433">
        <f t="shared" si="2"/>
        <v>23.157</v>
      </c>
      <c r="T19" s="391">
        <f>VLOOKUP($A19,'Misc. Data &amp; Mechanisms'!$A$63:$DY$152,HLOOKUP('Service Zone Menu'!$X$4&amp;"_ATCO-S_NG_Y_1",'Misc. Data &amp; Mechanisms'!$A$55:$DY$62,8,FALSE), FALSE)</f>
        <v>0.1111</v>
      </c>
      <c r="U19" s="205">
        <f>VLOOKUP($A19,'Misc. Data &amp; Mechanisms'!$A$63:$DY$152,HLOOKUP('Service Zone Menu'!$X$4&amp;"_ATCO-S_NG_Y_2",'Misc. Data &amp; Mechanisms'!$A$55:$DY$62,8,FALSE), FALSE)</f>
        <v>0</v>
      </c>
      <c r="V19" s="433">
        <f>IF(OR('Service Zone Menu'!$X$4="Calgary",AND('Service Zone Menu'!$X$4="Okotoks", $A19&lt;DATE(2019, 1, 1))),$T19*($H19+$G19+$J19),$T19*($H19+$J19-$AG19))</f>
        <v>10.626365902588628</v>
      </c>
      <c r="W19" s="433">
        <f t="shared" si="3"/>
        <v>0</v>
      </c>
      <c r="X19" s="432"/>
      <c r="Y19" s="397"/>
      <c r="Z19" s="397"/>
      <c r="AA19" s="397"/>
      <c r="AB19" s="397">
        <v>0.47699999999999998</v>
      </c>
      <c r="AC19" s="397"/>
      <c r="AD19" s="397"/>
      <c r="AE19" s="397"/>
      <c r="AF19" s="397"/>
      <c r="AG19" s="504">
        <f t="shared" si="4"/>
        <v>0</v>
      </c>
      <c r="AH19" s="504">
        <f t="shared" si="5"/>
        <v>0</v>
      </c>
      <c r="AI19" s="433">
        <f t="shared" si="6"/>
        <v>0</v>
      </c>
      <c r="AJ19" s="433">
        <f t="shared" si="7"/>
        <v>8.4562636769211217</v>
      </c>
      <c r="AK19" s="433">
        <f t="shared" si="8"/>
        <v>0</v>
      </c>
      <c r="AL19" s="433">
        <f t="shared" si="20"/>
        <v>0</v>
      </c>
      <c r="AM19" s="433">
        <f t="shared" si="21"/>
        <v>0</v>
      </c>
      <c r="AN19" s="433">
        <f t="shared" si="22"/>
        <v>0</v>
      </c>
      <c r="AO19" s="200">
        <f>IF($I$2="DRT",VLOOKUP(A19,'Misc. Data &amp; Mechanisms'!$A$1483:$H$1574,7,FALSE),BA19)</f>
        <v>0.223</v>
      </c>
      <c r="AP19" s="555">
        <f t="shared" si="23"/>
        <v>6.9130000000000003</v>
      </c>
      <c r="AQ19" s="286"/>
      <c r="AR19" s="506">
        <f t="shared" si="24"/>
        <v>0</v>
      </c>
      <c r="AS19" s="507">
        <f>5%</f>
        <v>0.05</v>
      </c>
      <c r="AT19" s="341">
        <f>'Misc. Data &amp; Mechanisms'!AM292</f>
        <v>17.954482726984285</v>
      </c>
      <c r="AU19" s="434">
        <f>'Misc. Data &amp; Mechanisms'!AQ292</f>
        <v>19.649007000163369</v>
      </c>
      <c r="AV19" s="1088">
        <f>'Misc. Data &amp; Mechanisms'!Z292</f>
        <v>17.728016094174261</v>
      </c>
      <c r="AW19" s="1088">
        <f>'Misc. Data &amp; Mechanisms'!AA292</f>
        <v>11.322437921181569</v>
      </c>
      <c r="AX19" s="1462">
        <f>'Misc. Data &amp; Mechanisms'!$B$260</f>
        <v>10.198990303636064</v>
      </c>
      <c r="AY19" s="197">
        <f>IFERROR(IF('Personalized Bill Menu'!$B$30="Yes", IF('Personalized Bill Menu'!$B$34="Natural Gas",VLOOKUP($A19, 'Personalized Bill Menu'!$H$4:$L$93, 2, FALSE), IF('Personalized Bill Menu'!$B$34="Both",VLOOKUP($A19,'Personalized Bill Menu'!$H$4:$P$93, 6, FALSE), 0)), 0),0)</f>
        <v>0</v>
      </c>
      <c r="AZ19" s="1343">
        <f>IFERROR(IF('Personalized Bill Menu'!$C$37="Custom", IF('Personalized Bill Menu'!$B$34="Natural Gas",VLOOKUP($A19, 'Personalized Bill Menu'!$H$4:$L$93, 3, FALSE), IF('Personalized Bill Menu'!$B$34="Both",VLOOKUP($A19,'Personalized Bill Menu'!$H$4:$P$93, 7, FALSE), 0)), 0),0)</f>
        <v>0</v>
      </c>
      <c r="BA19" s="1344">
        <f>IFERROR(IF('Personalized Bill Menu'!$C$37="Custom", IF('Personalized Bill Menu'!$B$34="Natural Gas",VLOOKUP($A19, 'Personalized Bill Menu'!$H$4:$L$93, 4, FALSE), IF('Personalized Bill Menu'!$B$34="Both",VLOOKUP($A19,'Personalized Bill Menu'!$H$4:$P$93, 8, FALSE), 0)), 0),0)</f>
        <v>0</v>
      </c>
      <c r="BB19" s="468"/>
      <c r="BC19" s="468"/>
      <c r="BD19" s="468"/>
    </row>
    <row r="20" spans="1:56" s="469" customFormat="1" ht="15" x14ac:dyDescent="0.25">
      <c r="A20" s="496">
        <v>41306</v>
      </c>
      <c r="B20" s="497">
        <f t="shared" si="9"/>
        <v>28</v>
      </c>
      <c r="C20" s="1581">
        <f t="shared" si="10"/>
        <v>12.907658869082555</v>
      </c>
      <c r="D20" s="66">
        <f t="shared" si="11"/>
        <v>7.5608659574597397</v>
      </c>
      <c r="E20" s="66">
        <f>(1+$AS20)*IF(OR('Service Zone Menu'!$X$4="Calgary",AND('Service Zone Menu'!$X$4="Okotoks", $A20&lt;DATE(2019, 1, 1))),((1+$T20)*($N20+$P20+($X20+$Y20+$AA20+$AB20+$AC20))) + ($U20*($P20+($X20+$Y20+$AA20+$AB20+$AC20))) + $AQ20, ((1+$T20)*($P20+($Y20+$AA20+$AB20+$AC20)))+ ($U20*($P20+($X20+$Y20+$AA20+$AB20+$AC20)))+$N20+$X20 + $AQ20)</f>
        <v>5.1624483750000003</v>
      </c>
      <c r="F20" s="488">
        <f t="shared" si="12"/>
        <v>97.593078533749576</v>
      </c>
      <c r="G20" s="489">
        <f t="shared" si="13"/>
        <v>41.988614301125551</v>
      </c>
      <c r="H20" s="490">
        <f t="shared" si="0"/>
        <v>29.886822914012377</v>
      </c>
      <c r="I20" s="490">
        <f t="shared" si="14"/>
        <v>8.6693985840711942</v>
      </c>
      <c r="J20" s="490">
        <f t="shared" si="15"/>
        <v>6.1569532805523783</v>
      </c>
      <c r="K20" s="490">
        <f t="shared" si="16"/>
        <v>6.2439999999999998</v>
      </c>
      <c r="L20" s="490">
        <f t="shared" si="17"/>
        <v>0</v>
      </c>
      <c r="M20" s="491">
        <f t="shared" si="18"/>
        <v>4.6472894539880754</v>
      </c>
      <c r="N20" s="273">
        <f>IF($I$2="DRT",VLOOKUP(A20,'Misc. Data &amp; Mechanisms'!$A$1381:$D$1471,3,FALSE),AZ20)</f>
        <v>3.2530000000000001</v>
      </c>
      <c r="O20" s="425">
        <f t="shared" si="19"/>
        <v>41.988614301125551</v>
      </c>
      <c r="P20" s="387">
        <v>0.69499999999999995</v>
      </c>
      <c r="Q20" s="278">
        <v>0.747</v>
      </c>
      <c r="R20" s="425">
        <f t="shared" si="1"/>
        <v>8.9708229140123752</v>
      </c>
      <c r="S20" s="425">
        <f t="shared" si="2"/>
        <v>20.916</v>
      </c>
      <c r="T20" s="391">
        <f>VLOOKUP($A20,'Misc. Data &amp; Mechanisms'!$A$63:$DY$152,HLOOKUP('Service Zone Menu'!$X$4&amp;"_ATCO-S_NG_Y_1",'Misc. Data &amp; Mechanisms'!$A$55:$DY$62,8,FALSE), FALSE)</f>
        <v>0.1111</v>
      </c>
      <c r="U20" s="205">
        <f>VLOOKUP($A20,'Misc. Data &amp; Mechanisms'!$A$63:$DY$152,HLOOKUP('Service Zone Menu'!$X$4&amp;"_ATCO-S_NG_Y_2",'Misc. Data &amp; Mechanisms'!$A$55:$DY$62,8,FALSE), FALSE)</f>
        <v>0</v>
      </c>
      <c r="V20" s="425">
        <f>IF(OR('Service Zone Menu'!$X$4="Calgary",AND('Service Zone Menu'!$X$4="Okotoks", $A20&lt;DATE(2019, 1, 1))),$T20*($H20+$G20+$J20),$T20*($H20+$J20-$AG20))</f>
        <v>8.6693985840711942</v>
      </c>
      <c r="W20" s="425">
        <f t="shared" si="3"/>
        <v>0</v>
      </c>
      <c r="X20" s="426"/>
      <c r="Y20" s="386"/>
      <c r="Z20" s="386"/>
      <c r="AA20" s="386"/>
      <c r="AB20" s="386">
        <v>0.47699999999999998</v>
      </c>
      <c r="AC20" s="386"/>
      <c r="AD20" s="386"/>
      <c r="AE20" s="386"/>
      <c r="AF20" s="386"/>
      <c r="AG20" s="492">
        <f t="shared" si="4"/>
        <v>0</v>
      </c>
      <c r="AH20" s="492">
        <f t="shared" si="5"/>
        <v>0</v>
      </c>
      <c r="AI20" s="425">
        <f t="shared" si="6"/>
        <v>0</v>
      </c>
      <c r="AJ20" s="425">
        <f t="shared" si="7"/>
        <v>6.1569532805523783</v>
      </c>
      <c r="AK20" s="425">
        <f t="shared" si="8"/>
        <v>0</v>
      </c>
      <c r="AL20" s="425">
        <f t="shared" si="20"/>
        <v>0</v>
      </c>
      <c r="AM20" s="425">
        <f t="shared" si="21"/>
        <v>0</v>
      </c>
      <c r="AN20" s="425">
        <f t="shared" si="22"/>
        <v>0</v>
      </c>
      <c r="AO20" s="200">
        <f>IF($I$2="DRT",VLOOKUP(A20,'Misc. Data &amp; Mechanisms'!$A$1483:$H$1574,7,FALSE),BA20)</f>
        <v>0.223</v>
      </c>
      <c r="AP20" s="552">
        <f t="shared" si="23"/>
        <v>6.2439999999999998</v>
      </c>
      <c r="AQ20" s="290"/>
      <c r="AR20" s="494">
        <f t="shared" si="24"/>
        <v>0</v>
      </c>
      <c r="AS20" s="495">
        <f>5%</f>
        <v>0.05</v>
      </c>
      <c r="AT20" s="341">
        <f>'Misc. Data &amp; Mechanisms'!AM293</f>
        <v>13.072547823718724</v>
      </c>
      <c r="AU20" s="424">
        <f>'Misc. Data &amp; Mechanisms'!AQ293</f>
        <v>14.409232709924963</v>
      </c>
      <c r="AV20" s="1087">
        <f>'Misc. Data &amp; Mechanisms'!Z293</f>
        <v>12.907658869082555</v>
      </c>
      <c r="AW20" s="1087">
        <f>'Misc. Data &amp; Mechanisms'!AA293</f>
        <v>8.2437970202995317</v>
      </c>
      <c r="AX20" s="1460">
        <f>'Misc. Data &amp; Mechanisms'!$B$260</f>
        <v>10.198990303636064</v>
      </c>
      <c r="AY20" s="197">
        <f>IFERROR(IF('Personalized Bill Menu'!$B$30="Yes", IF('Personalized Bill Menu'!$B$34="Natural Gas",VLOOKUP($A20, 'Personalized Bill Menu'!$H$4:$L$93, 2, FALSE), IF('Personalized Bill Menu'!$B$34="Both",VLOOKUP($A20,'Personalized Bill Menu'!$H$4:$P$93, 6, FALSE), 0)), 0),0)</f>
        <v>0</v>
      </c>
      <c r="AZ20" s="1343">
        <f>IFERROR(IF('Personalized Bill Menu'!$C$37="Custom", IF('Personalized Bill Menu'!$B$34="Natural Gas",VLOOKUP($A20, 'Personalized Bill Menu'!$H$4:$L$93, 3, FALSE), IF('Personalized Bill Menu'!$B$34="Both",VLOOKUP($A20,'Personalized Bill Menu'!$H$4:$P$93, 7, FALSE), 0)), 0),0)</f>
        <v>0</v>
      </c>
      <c r="BA20" s="1344">
        <f>IFERROR(IF('Personalized Bill Menu'!$C$37="Custom", IF('Personalized Bill Menu'!$B$34="Natural Gas",VLOOKUP($A20, 'Personalized Bill Menu'!$H$4:$L$93, 4, FALSE), IF('Personalized Bill Menu'!$B$34="Both",VLOOKUP($A20,'Personalized Bill Menu'!$H$4:$P$93, 8, FALSE), 0)), 0),0)</f>
        <v>0</v>
      </c>
      <c r="BB20" s="468"/>
      <c r="BC20" s="468"/>
      <c r="BD20" s="468"/>
    </row>
    <row r="21" spans="1:56" s="469" customFormat="1" ht="15" x14ac:dyDescent="0.25">
      <c r="A21" s="496">
        <v>41334</v>
      </c>
      <c r="B21" s="497">
        <f t="shared" si="9"/>
        <v>31</v>
      </c>
      <c r="C21" s="1581">
        <f t="shared" si="10"/>
        <v>15.132218796418558</v>
      </c>
      <c r="D21" s="66">
        <f t="shared" si="11"/>
        <v>7.0098126002568559</v>
      </c>
      <c r="E21" s="66">
        <f>(1+$AS21)*IF(OR('Service Zone Menu'!$X$4="Calgary",AND('Service Zone Menu'!$X$4="Okotoks", $A21&lt;DATE(2019, 1, 1))),((1+$T21)*($N21+$P21+($X21+$Y21+$AA21+$AB21+$AC21))) + ($U21*($P21+($X21+$Y21+$AA21+$AB21+$AC21))) + $AQ21, ((1+$T21)*($P21+($Y21+$AA21+$AB21+$AC21)))+ ($U21*($P21+($X21+$Y21+$AA21+$AB21+$AC21)))+$N21+$X21 + $AQ21)</f>
        <v>4.7447858849999998</v>
      </c>
      <c r="F21" s="488">
        <f t="shared" si="12"/>
        <v>106.07401798897844</v>
      </c>
      <c r="G21" s="489">
        <f t="shared" si="13"/>
        <v>43.036030257014374</v>
      </c>
      <c r="H21" s="490">
        <f t="shared" si="0"/>
        <v>33.673892063510898</v>
      </c>
      <c r="I21" s="490">
        <f t="shared" si="14"/>
        <v>9.410140430183306</v>
      </c>
      <c r="J21" s="490">
        <f t="shared" si="15"/>
        <v>7.9898115245089985</v>
      </c>
      <c r="K21" s="490">
        <f t="shared" si="16"/>
        <v>6.9130000000000003</v>
      </c>
      <c r="L21" s="490">
        <f t="shared" si="17"/>
        <v>0</v>
      </c>
      <c r="M21" s="491">
        <f t="shared" si="18"/>
        <v>5.0511437137608786</v>
      </c>
      <c r="N21" s="273">
        <f>IF($I$2="DRT",VLOOKUP(A21,'Misc. Data &amp; Mechanisms'!$A$1381:$D$1471,3,FALSE),AZ21)</f>
        <v>2.8439999999999999</v>
      </c>
      <c r="O21" s="425">
        <f t="shared" si="19"/>
        <v>43.036030257014374</v>
      </c>
      <c r="P21" s="387">
        <v>0.69499999999999995</v>
      </c>
      <c r="Q21" s="278">
        <v>0.747</v>
      </c>
      <c r="R21" s="425">
        <f t="shared" si="1"/>
        <v>10.516892063510896</v>
      </c>
      <c r="S21" s="425">
        <f t="shared" si="2"/>
        <v>23.157</v>
      </c>
      <c r="T21" s="391">
        <f>VLOOKUP($A21,'Misc. Data &amp; Mechanisms'!$A$63:$DY$152,HLOOKUP('Service Zone Menu'!$X$4&amp;"_ATCO-S_NG_Y_1",'Misc. Data &amp; Mechanisms'!$A$55:$DY$62,8,FALSE), FALSE)</f>
        <v>0.1111</v>
      </c>
      <c r="U21" s="205">
        <f>VLOOKUP($A21,'Misc. Data &amp; Mechanisms'!$A$63:$DY$152,HLOOKUP('Service Zone Menu'!$X$4&amp;"_ATCO-S_NG_Y_2",'Misc. Data &amp; Mechanisms'!$A$55:$DY$62,8,FALSE), FALSE)</f>
        <v>0</v>
      </c>
      <c r="V21" s="425">
        <f>IF(OR('Service Zone Menu'!$X$4="Calgary",AND('Service Zone Menu'!$X$4="Okotoks", $A21&lt;DATE(2019, 1, 1))),$T21*($H21+$G21+$J21),$T21*($H21+$J21-$AG21))</f>
        <v>9.410140430183306</v>
      </c>
      <c r="W21" s="425">
        <f t="shared" si="3"/>
        <v>0</v>
      </c>
      <c r="X21" s="426"/>
      <c r="Y21" s="386"/>
      <c r="Z21" s="386"/>
      <c r="AA21" s="386"/>
      <c r="AB21" s="386">
        <v>0.52800000000000002</v>
      </c>
      <c r="AC21" s="386"/>
      <c r="AD21" s="386"/>
      <c r="AE21" s="386"/>
      <c r="AF21" s="386"/>
      <c r="AG21" s="492">
        <f t="shared" si="4"/>
        <v>0</v>
      </c>
      <c r="AH21" s="492">
        <f t="shared" si="5"/>
        <v>0</v>
      </c>
      <c r="AI21" s="425">
        <f t="shared" si="6"/>
        <v>0</v>
      </c>
      <c r="AJ21" s="425">
        <f t="shared" si="7"/>
        <v>7.9898115245089985</v>
      </c>
      <c r="AK21" s="425">
        <f t="shared" si="8"/>
        <v>0</v>
      </c>
      <c r="AL21" s="425">
        <f t="shared" si="20"/>
        <v>0</v>
      </c>
      <c r="AM21" s="425">
        <f t="shared" si="21"/>
        <v>0</v>
      </c>
      <c r="AN21" s="425">
        <f t="shared" si="22"/>
        <v>0</v>
      </c>
      <c r="AO21" s="200">
        <f>IF($I$2="DRT",VLOOKUP(A21,'Misc. Data &amp; Mechanisms'!$A$1483:$H$1574,7,FALSE),BA21)</f>
        <v>0.223</v>
      </c>
      <c r="AP21" s="552">
        <f t="shared" si="23"/>
        <v>6.9130000000000003</v>
      </c>
      <c r="AQ21" s="290"/>
      <c r="AR21" s="494">
        <f t="shared" si="24"/>
        <v>0</v>
      </c>
      <c r="AS21" s="495">
        <f>5%</f>
        <v>0.05</v>
      </c>
      <c r="AT21" s="341">
        <f>'Misc. Data &amp; Mechanisms'!AM294</f>
        <v>15.325525403292387</v>
      </c>
      <c r="AU21" s="424">
        <f>'Misc. Data &amp; Mechanisms'!AQ294</f>
        <v>16.064872239178541</v>
      </c>
      <c r="AV21" s="1087">
        <f>'Misc. Data &amp; Mechanisms'!Z294</f>
        <v>15.132218796418558</v>
      </c>
      <c r="AW21" s="1087">
        <f>'Misc. Data &amp; Mechanisms'!AA294</f>
        <v>9.6645674858389405</v>
      </c>
      <c r="AX21" s="1460">
        <f>'Misc. Data &amp; Mechanisms'!$B$260</f>
        <v>10.198990303636064</v>
      </c>
      <c r="AY21" s="197">
        <f>IFERROR(IF('Personalized Bill Menu'!$B$30="Yes", IF('Personalized Bill Menu'!$B$34="Natural Gas",VLOOKUP($A21, 'Personalized Bill Menu'!$H$4:$L$93, 2, FALSE), IF('Personalized Bill Menu'!$B$34="Both",VLOOKUP($A21,'Personalized Bill Menu'!$H$4:$P$93, 6, FALSE), 0)), 0),0)</f>
        <v>0</v>
      </c>
      <c r="AZ21" s="1343">
        <f>IFERROR(IF('Personalized Bill Menu'!$C$37="Custom", IF('Personalized Bill Menu'!$B$34="Natural Gas",VLOOKUP($A21, 'Personalized Bill Menu'!$H$4:$L$93, 3, FALSE), IF('Personalized Bill Menu'!$B$34="Both",VLOOKUP($A21,'Personalized Bill Menu'!$H$4:$P$93, 7, FALSE), 0)), 0),0)</f>
        <v>0</v>
      </c>
      <c r="BA21" s="1344">
        <f>IFERROR(IF('Personalized Bill Menu'!$C$37="Custom", IF('Personalized Bill Menu'!$B$34="Natural Gas",VLOOKUP($A21, 'Personalized Bill Menu'!$H$4:$L$93, 4, FALSE), IF('Personalized Bill Menu'!$B$34="Both",VLOOKUP($A21,'Personalized Bill Menu'!$H$4:$P$93, 8, FALSE), 0)), 0),0)</f>
        <v>0</v>
      </c>
      <c r="BB21" s="468"/>
      <c r="BC21" s="468"/>
      <c r="BD21" s="468"/>
    </row>
    <row r="22" spans="1:56" s="469" customFormat="1" ht="15" x14ac:dyDescent="0.25">
      <c r="A22" s="496">
        <v>41365</v>
      </c>
      <c r="B22" s="497">
        <f t="shared" si="9"/>
        <v>30</v>
      </c>
      <c r="C22" s="1581">
        <f t="shared" si="10"/>
        <v>11.951872910186294</v>
      </c>
      <c r="D22" s="66">
        <f t="shared" si="11"/>
        <v>8.3235080265320871</v>
      </c>
      <c r="E22" s="66">
        <f>(1+$AS22)*IF(OR('Service Zone Menu'!$X$4="Calgary",AND('Service Zone Menu'!$X$4="Okotoks", $A22&lt;DATE(2019, 1, 1))),((1+$T22)*($N22+$P22+($X22+$Y22+$AA22+$AB22+$AC22))) + ($U22*($P22+($X22+$Y22+$AA22+$AB22+$AC22))) + $AQ22, ((1+$T22)*($P22+($Y22+$AA22+$AB22+$AC22)))+ ($U22*($P22+($X22+$Y22+$AA22+$AB22+$AC22)))+$N22+$X22 + $AQ22)</f>
        <v>5.4867784649999987</v>
      </c>
      <c r="F22" s="488">
        <f t="shared" si="12"/>
        <v>99.481510100027037</v>
      </c>
      <c r="G22" s="489">
        <f t="shared" si="13"/>
        <v>41.49690274416681</v>
      </c>
      <c r="H22" s="490">
        <f t="shared" si="0"/>
        <v>31.442166655860966</v>
      </c>
      <c r="I22" s="490">
        <f t="shared" si="14"/>
        <v>8.8046370367529434</v>
      </c>
      <c r="J22" s="490">
        <f t="shared" si="15"/>
        <v>6.3105888965783636</v>
      </c>
      <c r="K22" s="490">
        <f t="shared" si="16"/>
        <v>6.69</v>
      </c>
      <c r="L22" s="490">
        <f t="shared" si="17"/>
        <v>0</v>
      </c>
      <c r="M22" s="491">
        <f t="shared" si="18"/>
        <v>4.7372147666679538</v>
      </c>
      <c r="N22" s="273">
        <f>IF($I$2="DRT",VLOOKUP(A22,'Misc. Data &amp; Mechanisms'!$A$1381:$D$1471,3,FALSE),AZ22)</f>
        <v>3.472</v>
      </c>
      <c r="O22" s="425">
        <f t="shared" si="19"/>
        <v>41.49690274416681</v>
      </c>
      <c r="P22" s="387">
        <v>0.70299999999999996</v>
      </c>
      <c r="Q22" s="278">
        <v>0.76800000000000002</v>
      </c>
      <c r="R22" s="425">
        <f t="shared" si="1"/>
        <v>8.4021666558609649</v>
      </c>
      <c r="S22" s="425">
        <f t="shared" si="2"/>
        <v>23.04</v>
      </c>
      <c r="T22" s="391">
        <f>VLOOKUP($A22,'Misc. Data &amp; Mechanisms'!$A$63:$DY$152,HLOOKUP('Service Zone Menu'!$X$4&amp;"_ATCO-S_NG_Y_1",'Misc. Data &amp; Mechanisms'!$A$55:$DY$62,8,FALSE), FALSE)</f>
        <v>0.1111</v>
      </c>
      <c r="U22" s="205">
        <f>VLOOKUP($A22,'Misc. Data &amp; Mechanisms'!$A$63:$DY$152,HLOOKUP('Service Zone Menu'!$X$4&amp;"_ATCO-S_NG_Y_2",'Misc. Data &amp; Mechanisms'!$A$55:$DY$62,8,FALSE), FALSE)</f>
        <v>0</v>
      </c>
      <c r="V22" s="425">
        <f>IF(OR('Service Zone Menu'!$X$4="Calgary",AND('Service Zone Menu'!$X$4="Okotoks", $A22&lt;DATE(2019, 1, 1))),$T22*($H22+$G22+$J22),$T22*($H22+$J22-$AG22))</f>
        <v>8.8046370367529434</v>
      </c>
      <c r="W22" s="425">
        <f t="shared" si="3"/>
        <v>0</v>
      </c>
      <c r="X22" s="426"/>
      <c r="Y22" s="386"/>
      <c r="Z22" s="386"/>
      <c r="AA22" s="386"/>
      <c r="AB22" s="386">
        <v>0.52800000000000002</v>
      </c>
      <c r="AC22" s="386"/>
      <c r="AD22" s="386"/>
      <c r="AE22" s="386"/>
      <c r="AF22" s="386"/>
      <c r="AG22" s="492">
        <f t="shared" si="4"/>
        <v>0</v>
      </c>
      <c r="AH22" s="492">
        <f t="shared" si="5"/>
        <v>0</v>
      </c>
      <c r="AI22" s="425">
        <f t="shared" si="6"/>
        <v>0</v>
      </c>
      <c r="AJ22" s="425">
        <f t="shared" si="7"/>
        <v>6.3105888965783636</v>
      </c>
      <c r="AK22" s="425">
        <f t="shared" si="8"/>
        <v>0</v>
      </c>
      <c r="AL22" s="425">
        <f t="shared" si="20"/>
        <v>0</v>
      </c>
      <c r="AM22" s="425">
        <f t="shared" si="21"/>
        <v>0</v>
      </c>
      <c r="AN22" s="425">
        <f t="shared" si="22"/>
        <v>0</v>
      </c>
      <c r="AO22" s="200">
        <f>IF($I$2="DRT",VLOOKUP(A22,'Misc. Data &amp; Mechanisms'!$A$1483:$H$1574,7,FALSE),BA22)</f>
        <v>0.223</v>
      </c>
      <c r="AP22" s="552">
        <f t="shared" si="23"/>
        <v>6.69</v>
      </c>
      <c r="AQ22" s="290"/>
      <c r="AR22" s="494">
        <f t="shared" si="24"/>
        <v>0</v>
      </c>
      <c r="AS22" s="495">
        <f>5%</f>
        <v>0.05</v>
      </c>
      <c r="AT22" s="341">
        <f>'Misc. Data &amp; Mechanisms'!AM295</f>
        <v>12.104552172172788</v>
      </c>
      <c r="AU22" s="424">
        <f>'Misc. Data &amp; Mechanisms'!AQ295</f>
        <v>12.325330349994104</v>
      </c>
      <c r="AV22" s="1087">
        <f>'Misc. Data &amp; Mechanisms'!Z295</f>
        <v>11.951872910186294</v>
      </c>
      <c r="AW22" s="1087">
        <f>'Misc. Data &amp; Mechanisms'!AA295</f>
        <v>7.633360571683256</v>
      </c>
      <c r="AX22" s="1460">
        <f>'Misc. Data &amp; Mechanisms'!$B$260</f>
        <v>10.198990303636064</v>
      </c>
      <c r="AY22" s="197">
        <f>IFERROR(IF('Personalized Bill Menu'!$B$30="Yes", IF('Personalized Bill Menu'!$B$34="Natural Gas",VLOOKUP($A22, 'Personalized Bill Menu'!$H$4:$L$93, 2, FALSE), IF('Personalized Bill Menu'!$B$34="Both",VLOOKUP($A22,'Personalized Bill Menu'!$H$4:$P$93, 6, FALSE), 0)), 0),0)</f>
        <v>0</v>
      </c>
      <c r="AZ22" s="1343">
        <f>IFERROR(IF('Personalized Bill Menu'!$C$37="Custom", IF('Personalized Bill Menu'!$B$34="Natural Gas",VLOOKUP($A22, 'Personalized Bill Menu'!$H$4:$L$93, 3, FALSE), IF('Personalized Bill Menu'!$B$34="Both",VLOOKUP($A22,'Personalized Bill Menu'!$H$4:$P$93, 7, FALSE), 0)), 0),0)</f>
        <v>0</v>
      </c>
      <c r="BA22" s="1344">
        <f>IFERROR(IF('Personalized Bill Menu'!$C$37="Custom", IF('Personalized Bill Menu'!$B$34="Natural Gas",VLOOKUP($A22, 'Personalized Bill Menu'!$H$4:$L$93, 4, FALSE), IF('Personalized Bill Menu'!$B$34="Both",VLOOKUP($A22,'Personalized Bill Menu'!$H$4:$P$93, 8, FALSE), 0)), 0),0)</f>
        <v>0</v>
      </c>
      <c r="BB22" s="468"/>
      <c r="BC22" s="468"/>
      <c r="BD22" s="468"/>
    </row>
    <row r="23" spans="1:56" s="469" customFormat="1" ht="15" x14ac:dyDescent="0.25">
      <c r="A23" s="496">
        <v>41395</v>
      </c>
      <c r="B23" s="497">
        <f t="shared" si="9"/>
        <v>31</v>
      </c>
      <c r="C23" s="1581">
        <f t="shared" si="10"/>
        <v>5.0917294193510614</v>
      </c>
      <c r="D23" s="66">
        <f t="shared" si="11"/>
        <v>13.153746906099812</v>
      </c>
      <c r="E23" s="66">
        <f>(1+$AS23)*IF(OR('Service Zone Menu'!$X$4="Calgary",AND('Service Zone Menu'!$X$4="Okotoks", $A23&lt;DATE(2019, 1, 1))),((1+$T23)*($N23+$P23+($X23+$Y23+$AA23+$AB23+$AC23))) + ($U23*($P23+($X23+$Y23+$AA23+$AB23+$AC23))) + $AQ23, ((1+$T23)*($P23+($Y23+$AA23+$AB23+$AC23)))+ ($U23*($P23+($X23+$Y23+$AA23+$AB23+$AC23)))+$N23+$X23 + $AQ23)</f>
        <v>6.2731039350000009</v>
      </c>
      <c r="F23" s="488">
        <f t="shared" si="12"/>
        <v>66.975320096486413</v>
      </c>
      <c r="G23" s="489">
        <f t="shared" si="13"/>
        <v>21.1103101726295</v>
      </c>
      <c r="H23" s="490">
        <f t="shared" si="0"/>
        <v>27.387485781803797</v>
      </c>
      <c r="I23" s="490">
        <f t="shared" si="14"/>
        <v>5.6867900516602088</v>
      </c>
      <c r="J23" s="490">
        <f t="shared" si="15"/>
        <v>2.6884331334173606</v>
      </c>
      <c r="K23" s="490">
        <f t="shared" si="16"/>
        <v>6.9130000000000003</v>
      </c>
      <c r="L23" s="490">
        <f t="shared" si="17"/>
        <v>0</v>
      </c>
      <c r="M23" s="491">
        <f t="shared" si="18"/>
        <v>3.1893009569755435</v>
      </c>
      <c r="N23" s="273">
        <f>IF($I$2="DRT",VLOOKUP(A23,'Misc. Data &amp; Mechanisms'!$A$1381:$D$1471,3,FALSE),AZ23)</f>
        <v>4.1459999999999999</v>
      </c>
      <c r="O23" s="425">
        <f t="shared" si="19"/>
        <v>21.1103101726295</v>
      </c>
      <c r="P23" s="387">
        <v>0.70299999999999996</v>
      </c>
      <c r="Q23" s="278">
        <v>0.76800000000000002</v>
      </c>
      <c r="R23" s="425">
        <f t="shared" si="1"/>
        <v>3.579485781803796</v>
      </c>
      <c r="S23" s="425">
        <f t="shared" si="2"/>
        <v>23.808</v>
      </c>
      <c r="T23" s="391">
        <f>VLOOKUP($A23,'Misc. Data &amp; Mechanisms'!$A$63:$DY$152,HLOOKUP('Service Zone Menu'!$X$4&amp;"_ATCO-S_NG_Y_1",'Misc. Data &amp; Mechanisms'!$A$55:$DY$62,8,FALSE), FALSE)</f>
        <v>0.1111</v>
      </c>
      <c r="U23" s="205">
        <f>VLOOKUP($A23,'Misc. Data &amp; Mechanisms'!$A$63:$DY$152,HLOOKUP('Service Zone Menu'!$X$4&amp;"_ATCO-S_NG_Y_2",'Misc. Data &amp; Mechanisms'!$A$55:$DY$62,8,FALSE), FALSE)</f>
        <v>0</v>
      </c>
      <c r="V23" s="425">
        <f>IF(OR('Service Zone Menu'!$X$4="Calgary",AND('Service Zone Menu'!$X$4="Okotoks", $A23&lt;DATE(2019, 1, 1))),$T23*($H23+$G23+$J23),$T23*($H23+$J23-$AG23))</f>
        <v>5.6867900516602088</v>
      </c>
      <c r="W23" s="425">
        <f t="shared" si="3"/>
        <v>0</v>
      </c>
      <c r="X23" s="426"/>
      <c r="Y23" s="386"/>
      <c r="Z23" s="386"/>
      <c r="AA23" s="386"/>
      <c r="AB23" s="386">
        <v>0.52800000000000002</v>
      </c>
      <c r="AC23" s="386"/>
      <c r="AD23" s="386"/>
      <c r="AE23" s="386"/>
      <c r="AF23" s="386"/>
      <c r="AG23" s="492">
        <f t="shared" si="4"/>
        <v>0</v>
      </c>
      <c r="AH23" s="492">
        <f t="shared" si="5"/>
        <v>0</v>
      </c>
      <c r="AI23" s="425">
        <f t="shared" si="6"/>
        <v>0</v>
      </c>
      <c r="AJ23" s="425">
        <f t="shared" si="7"/>
        <v>2.6884331334173606</v>
      </c>
      <c r="AK23" s="425">
        <f t="shared" si="8"/>
        <v>0</v>
      </c>
      <c r="AL23" s="425">
        <f t="shared" si="20"/>
        <v>0</v>
      </c>
      <c r="AM23" s="425">
        <f t="shared" si="21"/>
        <v>0</v>
      </c>
      <c r="AN23" s="425">
        <f t="shared" si="22"/>
        <v>0</v>
      </c>
      <c r="AO23" s="200">
        <f>IF($I$2="DRT",VLOOKUP(A23,'Misc. Data &amp; Mechanisms'!$A$1483:$H$1574,7,FALSE),BA23)</f>
        <v>0.223</v>
      </c>
      <c r="AP23" s="552">
        <f t="shared" si="23"/>
        <v>6.9130000000000003</v>
      </c>
      <c r="AQ23" s="290"/>
      <c r="AR23" s="494">
        <f t="shared" si="24"/>
        <v>0</v>
      </c>
      <c r="AS23" s="495">
        <f>5%</f>
        <v>0.05</v>
      </c>
      <c r="AT23" s="341">
        <f>'Misc. Data &amp; Mechanisms'!AM296</f>
        <v>5.1567737430167595</v>
      </c>
      <c r="AU23" s="424">
        <f>'Misc. Data &amp; Mechanisms'!AQ296</f>
        <v>4.6848623516035648</v>
      </c>
      <c r="AV23" s="1087">
        <f>'Misc. Data &amp; Mechanisms'!Z296</f>
        <v>5.0917294193510614</v>
      </c>
      <c r="AW23" s="1087">
        <f>'Misc. Data &amp; Mechanisms'!AA296</f>
        <v>3.2519594948360488</v>
      </c>
      <c r="AX23" s="1460">
        <f>'Misc. Data &amp; Mechanisms'!$B$260</f>
        <v>10.198990303636064</v>
      </c>
      <c r="AY23" s="197">
        <f>IFERROR(IF('Personalized Bill Menu'!$B$30="Yes", IF('Personalized Bill Menu'!$B$34="Natural Gas",VLOOKUP($A23, 'Personalized Bill Menu'!$H$4:$L$93, 2, FALSE), IF('Personalized Bill Menu'!$B$34="Both",VLOOKUP($A23,'Personalized Bill Menu'!$H$4:$P$93, 6, FALSE), 0)), 0),0)</f>
        <v>0</v>
      </c>
      <c r="AZ23" s="1343">
        <f>IFERROR(IF('Personalized Bill Menu'!$C$37="Custom", IF('Personalized Bill Menu'!$B$34="Natural Gas",VLOOKUP($A23, 'Personalized Bill Menu'!$H$4:$L$93, 3, FALSE), IF('Personalized Bill Menu'!$B$34="Both",VLOOKUP($A23,'Personalized Bill Menu'!$H$4:$P$93, 7, FALSE), 0)), 0),0)</f>
        <v>0</v>
      </c>
      <c r="BA23" s="1344">
        <f>IFERROR(IF('Personalized Bill Menu'!$C$37="Custom", IF('Personalized Bill Menu'!$B$34="Natural Gas",VLOOKUP($A23, 'Personalized Bill Menu'!$H$4:$L$93, 4, FALSE), IF('Personalized Bill Menu'!$B$34="Both",VLOOKUP($A23,'Personalized Bill Menu'!$H$4:$P$93, 8, FALSE), 0)), 0),0)</f>
        <v>0</v>
      </c>
      <c r="BB23" s="468"/>
      <c r="BC23" s="468"/>
      <c r="BD23" s="468"/>
    </row>
    <row r="24" spans="1:56" s="469" customFormat="1" ht="15" x14ac:dyDescent="0.25">
      <c r="A24" s="496">
        <v>41426</v>
      </c>
      <c r="B24" s="497">
        <f t="shared" si="9"/>
        <v>30</v>
      </c>
      <c r="C24" s="1581">
        <f t="shared" si="10"/>
        <v>3.6507685773041474</v>
      </c>
      <c r="D24" s="66">
        <f t="shared" si="11"/>
        <v>15.72681053662938</v>
      </c>
      <c r="E24" s="66">
        <f>(1+$AS24)*IF(OR('Service Zone Menu'!$X$4="Calgary",AND('Service Zone Menu'!$X$4="Okotoks", $A24&lt;DATE(2019, 1, 1))),((1+$T24)*($N24+$P24+($X24+$Y24+$AA24+$AB24+$AC24))) + ($U24*($P24+($X24+$Y24+$AA24+$AB24+$AC24))) + $AQ24, ((1+$T24)*($P24+($Y24+$AA24+$AB24+$AC24)))+ ($U24*($P24+($X24+$Y24+$AA24+$AB24+$AC24)))+$N24+$X24 + $AQ24)</f>
        <v>6.4399356000000001</v>
      </c>
      <c r="F24" s="488">
        <f t="shared" si="12"/>
        <v>57.414945728342317</v>
      </c>
      <c r="G24" s="489">
        <f t="shared" si="13"/>
        <v>15.658146428057487</v>
      </c>
      <c r="H24" s="490">
        <f t="shared" si="0"/>
        <v>25.606490309844816</v>
      </c>
      <c r="I24" s="490">
        <f t="shared" si="14"/>
        <v>4.7986581469404683</v>
      </c>
      <c r="J24" s="490">
        <f t="shared" si="15"/>
        <v>1.9276058088165899</v>
      </c>
      <c r="K24" s="490">
        <f t="shared" si="16"/>
        <v>6.69</v>
      </c>
      <c r="L24" s="490">
        <f t="shared" si="17"/>
        <v>0</v>
      </c>
      <c r="M24" s="491">
        <f t="shared" si="18"/>
        <v>2.7340450346829677</v>
      </c>
      <c r="N24" s="273">
        <f>IF($I$2="DRT",VLOOKUP(A24,'Misc. Data &amp; Mechanisms'!$A$1381:$D$1471,3,FALSE),AZ24)</f>
        <v>4.2889999999999997</v>
      </c>
      <c r="O24" s="425">
        <f t="shared" si="19"/>
        <v>15.658146428057487</v>
      </c>
      <c r="P24" s="387">
        <v>0.70299999999999996</v>
      </c>
      <c r="Q24" s="278">
        <v>0.76800000000000002</v>
      </c>
      <c r="R24" s="425">
        <f t="shared" si="1"/>
        <v>2.5664903098448155</v>
      </c>
      <c r="S24" s="425">
        <f t="shared" si="2"/>
        <v>23.04</v>
      </c>
      <c r="T24" s="391">
        <f>VLOOKUP($A24,'Misc. Data &amp; Mechanisms'!$A$63:$DY$152,HLOOKUP('Service Zone Menu'!$X$4&amp;"_ATCO-S_NG_Y_1",'Misc. Data &amp; Mechanisms'!$A$55:$DY$62,8,FALSE), FALSE)</f>
        <v>0.1111</v>
      </c>
      <c r="U24" s="205">
        <f>VLOOKUP($A24,'Misc. Data &amp; Mechanisms'!$A$63:$DY$152,HLOOKUP('Service Zone Menu'!$X$4&amp;"_ATCO-S_NG_Y_2",'Misc. Data &amp; Mechanisms'!$A$55:$DY$62,8,FALSE), FALSE)</f>
        <v>0</v>
      </c>
      <c r="V24" s="425">
        <f>IF(OR('Service Zone Menu'!$X$4="Calgary",AND('Service Zone Menu'!$X$4="Okotoks", $A24&lt;DATE(2019, 1, 1))),$T24*($H24+$G24+$J24),$T24*($H24+$J24-$AG24))</f>
        <v>4.7986581469404683</v>
      </c>
      <c r="W24" s="425">
        <f t="shared" si="3"/>
        <v>0</v>
      </c>
      <c r="X24" s="426"/>
      <c r="Y24" s="386"/>
      <c r="Z24" s="386"/>
      <c r="AA24" s="386"/>
      <c r="AB24" s="386">
        <v>0.52800000000000002</v>
      </c>
      <c r="AC24" s="386"/>
      <c r="AD24" s="386"/>
      <c r="AE24" s="386"/>
      <c r="AF24" s="386"/>
      <c r="AG24" s="492">
        <f t="shared" si="4"/>
        <v>0</v>
      </c>
      <c r="AH24" s="492">
        <f t="shared" si="5"/>
        <v>0</v>
      </c>
      <c r="AI24" s="425">
        <f t="shared" si="6"/>
        <v>0</v>
      </c>
      <c r="AJ24" s="425">
        <f t="shared" si="7"/>
        <v>1.9276058088165899</v>
      </c>
      <c r="AK24" s="425">
        <f t="shared" si="8"/>
        <v>0</v>
      </c>
      <c r="AL24" s="425">
        <f t="shared" si="20"/>
        <v>0</v>
      </c>
      <c r="AM24" s="425">
        <f t="shared" si="21"/>
        <v>0</v>
      </c>
      <c r="AN24" s="425">
        <f t="shared" si="22"/>
        <v>0</v>
      </c>
      <c r="AO24" s="200">
        <f>IF($I$2="DRT",VLOOKUP(A24,'Misc. Data &amp; Mechanisms'!$A$1483:$H$1574,7,FALSE),BA24)</f>
        <v>0.223</v>
      </c>
      <c r="AP24" s="552">
        <f t="shared" si="23"/>
        <v>6.69</v>
      </c>
      <c r="AQ24" s="290"/>
      <c r="AR24" s="494">
        <f t="shared" si="24"/>
        <v>0</v>
      </c>
      <c r="AS24" s="495">
        <f>5%</f>
        <v>0.05</v>
      </c>
      <c r="AT24" s="341">
        <f>'Misc. Data &amp; Mechanisms'!AM297</f>
        <v>3.6974053392790198</v>
      </c>
      <c r="AU24" s="424">
        <f>'Misc. Data &amp; Mechanisms'!AQ297</f>
        <v>3.2449834042177264</v>
      </c>
      <c r="AV24" s="1087">
        <f>'Misc. Data &amp; Mechanisms'!Z297</f>
        <v>3.6507685773041474</v>
      </c>
      <c r="AW24" s="1087">
        <f>'Misc. Data &amp; Mechanisms'!AA297</f>
        <v>2.3316540531971977</v>
      </c>
      <c r="AX24" s="1460">
        <f>'Misc. Data &amp; Mechanisms'!$B$260</f>
        <v>10.198990303636064</v>
      </c>
      <c r="AY24" s="197">
        <f>IFERROR(IF('Personalized Bill Menu'!$B$30="Yes", IF('Personalized Bill Menu'!$B$34="Natural Gas",VLOOKUP($A24, 'Personalized Bill Menu'!$H$4:$L$93, 2, FALSE), IF('Personalized Bill Menu'!$B$34="Both",VLOOKUP($A24,'Personalized Bill Menu'!$H$4:$P$93, 6, FALSE), 0)), 0),0)</f>
        <v>0</v>
      </c>
      <c r="AZ24" s="1343">
        <f>IFERROR(IF('Personalized Bill Menu'!$C$37="Custom", IF('Personalized Bill Menu'!$B$34="Natural Gas",VLOOKUP($A24, 'Personalized Bill Menu'!$H$4:$L$93, 3, FALSE), IF('Personalized Bill Menu'!$B$34="Both",VLOOKUP($A24,'Personalized Bill Menu'!$H$4:$P$93, 7, FALSE), 0)), 0),0)</f>
        <v>0</v>
      </c>
      <c r="BA24" s="1344">
        <f>IFERROR(IF('Personalized Bill Menu'!$C$37="Custom", IF('Personalized Bill Menu'!$B$34="Natural Gas",VLOOKUP($A24, 'Personalized Bill Menu'!$H$4:$L$93, 4, FALSE), IF('Personalized Bill Menu'!$B$34="Both",VLOOKUP($A24,'Personalized Bill Menu'!$H$4:$P$93, 8, FALSE), 0)), 0),0)</f>
        <v>0</v>
      </c>
      <c r="BB24" s="468"/>
      <c r="BC24" s="468"/>
      <c r="BD24" s="468"/>
    </row>
    <row r="25" spans="1:56" s="469" customFormat="1" x14ac:dyDescent="0.35">
      <c r="A25" s="496">
        <v>41456</v>
      </c>
      <c r="B25" s="497">
        <f t="shared" si="9"/>
        <v>31</v>
      </c>
      <c r="C25" s="1581">
        <f t="shared" si="10"/>
        <v>3.0114309199989338</v>
      </c>
      <c r="D25" s="66">
        <f t="shared" si="11"/>
        <v>16.483580585497378</v>
      </c>
      <c r="E25" s="66">
        <f>(1+$AS25)*IF(OR('Service Zone Menu'!$X$4="Calgary",AND('Service Zone Menu'!$X$4="Okotoks", $A25&lt;DATE(2019, 1, 1))),((1+$T25)*($N25+$P25+($X25+$Y25+$AA25+$AB25+$AC25))) + ($U25*($P25+($X25+$Y25+$AA25+$AB25+$AC25))) + $AQ25, ((1+$T25)*($P25+($Y25+$AA25+$AB25+$AC25)))+ ($U25*($P25+($X25+$Y25+$AA25+$AB25+$AC25)))+$N25+$X25 + $AQ25)</f>
        <v>4.8497848350000003</v>
      </c>
      <c r="F25" s="488">
        <f t="shared" si="12"/>
        <v>49.639164247460933</v>
      </c>
      <c r="G25" s="489">
        <f t="shared" si="13"/>
        <v>8.8114468719168801</v>
      </c>
      <c r="H25" s="490">
        <f t="shared" si="0"/>
        <v>25.925035936759251</v>
      </c>
      <c r="I25" s="490">
        <f t="shared" si="14"/>
        <v>4.0358761869557922</v>
      </c>
      <c r="J25" s="490">
        <f t="shared" si="15"/>
        <v>1.5900355257594372</v>
      </c>
      <c r="K25" s="490">
        <f t="shared" si="16"/>
        <v>6.9130000000000003</v>
      </c>
      <c r="L25" s="490">
        <f t="shared" si="17"/>
        <v>0</v>
      </c>
      <c r="M25" s="491">
        <f t="shared" si="18"/>
        <v>2.363769726069568</v>
      </c>
      <c r="N25" s="273">
        <f>IF($I$2="DRT",VLOOKUP(A25,'Misc. Data &amp; Mechanisms'!$A$1381:$D$1471,3,FALSE),AZ25)</f>
        <v>2.9260000000000002</v>
      </c>
      <c r="O25" s="425">
        <f t="shared" si="19"/>
        <v>8.8114468719168801</v>
      </c>
      <c r="P25" s="387">
        <v>0.70299999999999996</v>
      </c>
      <c r="Q25" s="278">
        <v>0.76800000000000002</v>
      </c>
      <c r="R25" s="425">
        <f t="shared" si="1"/>
        <v>2.1170359367592502</v>
      </c>
      <c r="S25" s="425">
        <f t="shared" si="2"/>
        <v>23.808</v>
      </c>
      <c r="T25" s="391">
        <f>VLOOKUP($A25,'Misc. Data &amp; Mechanisms'!$A$63:$DY$152,HLOOKUP('Service Zone Menu'!$X$4&amp;"_ATCO-S_NG_Y_1",'Misc. Data &amp; Mechanisms'!$A$55:$DY$62,8,FALSE), FALSE)</f>
        <v>0.1111</v>
      </c>
      <c r="U25" s="205">
        <f>VLOOKUP($A25,'Misc. Data &amp; Mechanisms'!$A$63:$DY$152,HLOOKUP('Service Zone Menu'!$X$4&amp;"_ATCO-S_NG_Y_2",'Misc. Data &amp; Mechanisms'!$A$55:$DY$62,8,FALSE), FALSE)</f>
        <v>0</v>
      </c>
      <c r="V25" s="425">
        <f>IF(OR('Service Zone Menu'!$X$4="Calgary",AND('Service Zone Menu'!$X$4="Okotoks", $A25&lt;DATE(2019, 1, 1))),$T25*($H25+$G25+$J25),$T25*($H25+$J25-$AG25))</f>
        <v>4.0358761869557922</v>
      </c>
      <c r="W25" s="425">
        <f t="shared" si="3"/>
        <v>0</v>
      </c>
      <c r="X25" s="426"/>
      <c r="Y25" s="386"/>
      <c r="Z25" s="386"/>
      <c r="AA25" s="386"/>
      <c r="AB25" s="386">
        <v>0.52800000000000002</v>
      </c>
      <c r="AC25" s="386"/>
      <c r="AD25" s="386"/>
      <c r="AE25" s="386"/>
      <c r="AF25" s="386"/>
      <c r="AG25" s="492">
        <f t="shared" si="4"/>
        <v>0</v>
      </c>
      <c r="AH25" s="492">
        <f t="shared" si="5"/>
        <v>0</v>
      </c>
      <c r="AI25" s="425">
        <f t="shared" si="6"/>
        <v>0</v>
      </c>
      <c r="AJ25" s="425">
        <f t="shared" si="7"/>
        <v>1.5900355257594372</v>
      </c>
      <c r="AK25" s="425">
        <f t="shared" si="8"/>
        <v>0</v>
      </c>
      <c r="AL25" s="425">
        <f t="shared" si="20"/>
        <v>0</v>
      </c>
      <c r="AM25" s="425">
        <f t="shared" si="21"/>
        <v>0</v>
      </c>
      <c r="AN25" s="425">
        <f t="shared" si="22"/>
        <v>0</v>
      </c>
      <c r="AO25" s="200">
        <f>IF($I$2="DRT",VLOOKUP(A25,'Misc. Data &amp; Mechanisms'!$A$1483:$H$1574,7,FALSE),BA25)</f>
        <v>0.223</v>
      </c>
      <c r="AP25" s="552">
        <f t="shared" si="23"/>
        <v>6.9130000000000003</v>
      </c>
      <c r="AQ25" s="290"/>
      <c r="AR25" s="494">
        <f t="shared" si="24"/>
        <v>0</v>
      </c>
      <c r="AS25" s="495">
        <f>5%</f>
        <v>0.05</v>
      </c>
      <c r="AT25" s="341">
        <f>'Misc. Data &amp; Mechanisms'!AM298</f>
        <v>3.0499004597810115</v>
      </c>
      <c r="AU25" s="424">
        <f>'Misc. Data &amp; Mechanisms'!AQ298</f>
        <v>2.8011489062021355</v>
      </c>
      <c r="AV25" s="1087">
        <f>'Misc. Data &amp; Mechanisms'!Z298</f>
        <v>3.0114309199989338</v>
      </c>
      <c r="AW25" s="1087">
        <f>'Misc. Data &amp; Mechanisms'!AA298</f>
        <v>1.9233251743729756</v>
      </c>
      <c r="AX25" s="1460">
        <f>'Misc. Data &amp; Mechanisms'!$B$260</f>
        <v>10.198990303636064</v>
      </c>
      <c r="AY25" s="197">
        <f>IFERROR(IF('Personalized Bill Menu'!$B$30="Yes", IF('Personalized Bill Menu'!$B$34="Natural Gas",VLOOKUP($A25, 'Personalized Bill Menu'!$H$4:$L$93, 2, FALSE), IF('Personalized Bill Menu'!$B$34="Both",VLOOKUP($A25,'Personalized Bill Menu'!$H$4:$P$93, 6, FALSE), 0)), 0),0)</f>
        <v>0</v>
      </c>
      <c r="AZ25" s="1343">
        <f>IFERROR(IF('Personalized Bill Menu'!$C$37="Custom", IF('Personalized Bill Menu'!$B$34="Natural Gas",VLOOKUP($A25, 'Personalized Bill Menu'!$H$4:$L$93, 3, FALSE), IF('Personalized Bill Menu'!$B$34="Both",VLOOKUP($A25,'Personalized Bill Menu'!$H$4:$P$93, 7, FALSE), 0)), 0),0)</f>
        <v>0</v>
      </c>
      <c r="BA25" s="1344">
        <f>IFERROR(IF('Personalized Bill Menu'!$C$37="Custom", IF('Personalized Bill Menu'!$B$34="Natural Gas",VLOOKUP($A25, 'Personalized Bill Menu'!$H$4:$L$93, 4, FALSE), IF('Personalized Bill Menu'!$B$34="Both",VLOOKUP($A25,'Personalized Bill Menu'!$H$4:$P$93, 8, FALSE), 0)), 0),0)</f>
        <v>0</v>
      </c>
      <c r="BB25" s="468"/>
      <c r="BC25" s="468"/>
      <c r="BD25" s="468"/>
    </row>
    <row r="26" spans="1:56" s="469" customFormat="1" x14ac:dyDescent="0.35">
      <c r="A26" s="496">
        <v>41487</v>
      </c>
      <c r="B26" s="497">
        <f t="shared" si="9"/>
        <v>31</v>
      </c>
      <c r="C26" s="1581">
        <f t="shared" si="10"/>
        <v>2.6293565011386297</v>
      </c>
      <c r="D26" s="66">
        <f t="shared" si="11"/>
        <v>17.156775903530267</v>
      </c>
      <c r="E26" s="66">
        <f>(1+$AS26)*IF(OR('Service Zone Menu'!$X$4="Calgary",AND('Service Zone Menu'!$X$4="Okotoks", $A26&lt;DATE(2019, 1, 1))),((1+$T26)*($N26+$P26+($X26+$Y26+$AA26+$AB26+$AC26))) + ($U26*($P26+($X26+$Y26+$AA26+$AB26+$AC26))) + $AQ26, ((1+$T26)*($P26+($Y26+$AA26+$AB26+$AC26)))+ ($U26*($P26+($X26+$Y26+$AA26+$AB26+$AC26)))+$N26+$X26 + $AQ26)</f>
        <v>3.8324616749999998</v>
      </c>
      <c r="F26" s="488">
        <f t="shared" si="12"/>
        <v>45.111280260525895</v>
      </c>
      <c r="G26" s="489">
        <f t="shared" si="13"/>
        <v>5.4006982533387449</v>
      </c>
      <c r="H26" s="490">
        <f t="shared" si="0"/>
        <v>25.656437620300455</v>
      </c>
      <c r="I26" s="490">
        <f t="shared" si="14"/>
        <v>3.6046879514033088</v>
      </c>
      <c r="J26" s="490">
        <f t="shared" si="15"/>
        <v>1.3883002326011966</v>
      </c>
      <c r="K26" s="490">
        <f t="shared" si="16"/>
        <v>6.9130000000000003</v>
      </c>
      <c r="L26" s="490">
        <f t="shared" si="17"/>
        <v>0</v>
      </c>
      <c r="M26" s="491">
        <f t="shared" si="18"/>
        <v>2.1481562028821855</v>
      </c>
      <c r="N26" s="273">
        <f>IF($I$2="DRT",VLOOKUP(A26,'Misc. Data &amp; Mechanisms'!$A$1381:$D$1471,3,FALSE),AZ26)</f>
        <v>2.0539999999999998</v>
      </c>
      <c r="O26" s="425">
        <f t="shared" si="19"/>
        <v>5.4006982533387449</v>
      </c>
      <c r="P26" s="387">
        <v>0.70299999999999996</v>
      </c>
      <c r="Q26" s="278">
        <v>0.76800000000000002</v>
      </c>
      <c r="R26" s="425">
        <f t="shared" si="1"/>
        <v>1.8484376203004567</v>
      </c>
      <c r="S26" s="425">
        <f t="shared" si="2"/>
        <v>23.808</v>
      </c>
      <c r="T26" s="391">
        <f>VLOOKUP($A26,'Misc. Data &amp; Mechanisms'!$A$63:$DY$152,HLOOKUP('Service Zone Menu'!$X$4&amp;"_ATCO-S_NG_Y_1",'Misc. Data &amp; Mechanisms'!$A$55:$DY$62,8,FALSE), FALSE)</f>
        <v>0.1111</v>
      </c>
      <c r="U26" s="205">
        <f>VLOOKUP($A26,'Misc. Data &amp; Mechanisms'!$A$63:$DY$152,HLOOKUP('Service Zone Menu'!$X$4&amp;"_ATCO-S_NG_Y_2",'Misc. Data &amp; Mechanisms'!$A$55:$DY$62,8,FALSE), FALSE)</f>
        <v>0</v>
      </c>
      <c r="V26" s="425">
        <f>IF(OR('Service Zone Menu'!$X$4="Calgary",AND('Service Zone Menu'!$X$4="Okotoks", $A26&lt;DATE(2019, 1, 1))),$T26*($H26+$G26+$J26),$T26*($H26+$J26-$AG26))</f>
        <v>3.6046879514033088</v>
      </c>
      <c r="W26" s="425">
        <f t="shared" si="3"/>
        <v>0</v>
      </c>
      <c r="X26" s="426"/>
      <c r="Y26" s="386"/>
      <c r="Z26" s="386"/>
      <c r="AA26" s="386"/>
      <c r="AB26" s="386">
        <v>0.52800000000000002</v>
      </c>
      <c r="AC26" s="386"/>
      <c r="AD26" s="386"/>
      <c r="AE26" s="386"/>
      <c r="AF26" s="386"/>
      <c r="AG26" s="492">
        <f t="shared" si="4"/>
        <v>0</v>
      </c>
      <c r="AH26" s="492">
        <f t="shared" si="5"/>
        <v>0</v>
      </c>
      <c r="AI26" s="425">
        <f t="shared" si="6"/>
        <v>0</v>
      </c>
      <c r="AJ26" s="425">
        <f t="shared" si="7"/>
        <v>1.3883002326011966</v>
      </c>
      <c r="AK26" s="425">
        <f t="shared" si="8"/>
        <v>0</v>
      </c>
      <c r="AL26" s="425">
        <f t="shared" si="20"/>
        <v>0</v>
      </c>
      <c r="AM26" s="425">
        <f t="shared" si="21"/>
        <v>0</v>
      </c>
      <c r="AN26" s="425">
        <f t="shared" si="22"/>
        <v>0</v>
      </c>
      <c r="AO26" s="200">
        <f>IF($I$2="DRT",VLOOKUP(A26,'Misc. Data &amp; Mechanisms'!$A$1483:$H$1574,7,FALSE),BA26)</f>
        <v>0.223</v>
      </c>
      <c r="AP26" s="552">
        <f t="shared" si="23"/>
        <v>6.9130000000000003</v>
      </c>
      <c r="AQ26" s="290"/>
      <c r="AR26" s="494">
        <f t="shared" si="24"/>
        <v>0</v>
      </c>
      <c r="AS26" s="495">
        <f>5%</f>
        <v>0.05</v>
      </c>
      <c r="AT26" s="341">
        <f>'Misc. Data &amp; Mechanisms'!AM299</f>
        <v>2.6629452292911098</v>
      </c>
      <c r="AU26" s="424">
        <f>'Misc. Data &amp; Mechanisms'!AQ299</f>
        <v>2.5466651697971794</v>
      </c>
      <c r="AV26" s="1087">
        <f>'Misc. Data &amp; Mechanisms'!Z299</f>
        <v>2.6293565011386297</v>
      </c>
      <c r="AW26" s="1087">
        <f>'Misc. Data &amp; Mechanisms'!AA299</f>
        <v>1.6793038543427596</v>
      </c>
      <c r="AX26" s="1460">
        <f>'Misc. Data &amp; Mechanisms'!$B$260</f>
        <v>10.198990303636064</v>
      </c>
      <c r="AY26" s="197">
        <f>IFERROR(IF('Personalized Bill Menu'!$B$30="Yes", IF('Personalized Bill Menu'!$B$34="Natural Gas",VLOOKUP($A26, 'Personalized Bill Menu'!$H$4:$L$93, 2, FALSE), IF('Personalized Bill Menu'!$B$34="Both",VLOOKUP($A26,'Personalized Bill Menu'!$H$4:$P$93, 6, FALSE), 0)), 0),0)</f>
        <v>0</v>
      </c>
      <c r="AZ26" s="1343">
        <f>IFERROR(IF('Personalized Bill Menu'!$C$37="Custom", IF('Personalized Bill Menu'!$B$34="Natural Gas",VLOOKUP($A26, 'Personalized Bill Menu'!$H$4:$L$93, 3, FALSE), IF('Personalized Bill Menu'!$B$34="Both",VLOOKUP($A26,'Personalized Bill Menu'!$H$4:$P$93, 7, FALSE), 0)), 0),0)</f>
        <v>0</v>
      </c>
      <c r="BA26" s="1344">
        <f>IFERROR(IF('Personalized Bill Menu'!$C$37="Custom", IF('Personalized Bill Menu'!$B$34="Natural Gas",VLOOKUP($A26, 'Personalized Bill Menu'!$H$4:$L$93, 4, FALSE), IF('Personalized Bill Menu'!$B$34="Both",VLOOKUP($A26,'Personalized Bill Menu'!$H$4:$P$93, 8, FALSE), 0)), 0),0)</f>
        <v>0</v>
      </c>
      <c r="BB26" s="468"/>
      <c r="BC26" s="468"/>
      <c r="BD26" s="468"/>
    </row>
    <row r="27" spans="1:56" s="469" customFormat="1" x14ac:dyDescent="0.35">
      <c r="A27" s="496">
        <v>41518</v>
      </c>
      <c r="B27" s="497">
        <f t="shared" si="9"/>
        <v>30</v>
      </c>
      <c r="C27" s="1581">
        <f t="shared" si="10"/>
        <v>4.5340172280842532</v>
      </c>
      <c r="D27" s="66">
        <f t="shared" si="11"/>
        <v>11.8853690330424</v>
      </c>
      <c r="E27" s="66">
        <f>(1+$AS27)*IF(OR('Service Zone Menu'!$X$4="Calgary",AND('Service Zone Menu'!$X$4="Okotoks", $A27&lt;DATE(2019, 1, 1))),((1+$T27)*($N27+$P27+($X27+$Y27+$AA27+$AB27+$AC27))) + ($U27*($P27+($X27+$Y27+$AA27+$AB27+$AC27))) + $AQ27, ((1+$T27)*($P27+($Y27+$AA27+$AB27+$AC27)))+ ($U27*($P27+($X27+$Y27+$AA27+$AB27+$AC27)))+$N27+$X27 + $AQ27)</f>
        <v>4.4076225900000008</v>
      </c>
      <c r="F27" s="488">
        <f t="shared" si="12"/>
        <v>53.888467957953324</v>
      </c>
      <c r="G27" s="489">
        <f t="shared" si="13"/>
        <v>11.548141879930593</v>
      </c>
      <c r="H27" s="490">
        <f t="shared" si="0"/>
        <v>26.227414111343229</v>
      </c>
      <c r="I27" s="490">
        <f t="shared" si="14"/>
        <v>4.4628333484437261</v>
      </c>
      <c r="J27" s="490">
        <f t="shared" si="15"/>
        <v>2.3939610964284856</v>
      </c>
      <c r="K27" s="490">
        <f t="shared" si="16"/>
        <v>6.69</v>
      </c>
      <c r="L27" s="490">
        <f t="shared" si="17"/>
        <v>0</v>
      </c>
      <c r="M27" s="491">
        <f t="shared" si="18"/>
        <v>2.5661175218073016</v>
      </c>
      <c r="N27" s="273">
        <f>IF($I$2="DRT",VLOOKUP(A27,'Misc. Data &amp; Mechanisms'!$A$1381:$D$1471,3,FALSE),AZ27)</f>
        <v>2.5470000000000002</v>
      </c>
      <c r="O27" s="425">
        <f t="shared" si="19"/>
        <v>11.548141879930593</v>
      </c>
      <c r="P27" s="387">
        <v>0.70299999999999996</v>
      </c>
      <c r="Q27" s="278">
        <v>0.76800000000000002</v>
      </c>
      <c r="R27" s="425">
        <f t="shared" si="1"/>
        <v>3.1874141113432297</v>
      </c>
      <c r="S27" s="425">
        <f t="shared" si="2"/>
        <v>23.04</v>
      </c>
      <c r="T27" s="391">
        <f>VLOOKUP($A27,'Misc. Data &amp; Mechanisms'!$A$63:$DY$152,HLOOKUP('Service Zone Menu'!$X$4&amp;"_ATCO-S_NG_Y_1",'Misc. Data &amp; Mechanisms'!$A$55:$DY$62,8,FALSE), FALSE)</f>
        <v>0.1111</v>
      </c>
      <c r="U27" s="205">
        <f>VLOOKUP($A27,'Misc. Data &amp; Mechanisms'!$A$63:$DY$152,HLOOKUP('Service Zone Menu'!$X$4&amp;"_ATCO-S_NG_Y_2",'Misc. Data &amp; Mechanisms'!$A$55:$DY$62,8,FALSE), FALSE)</f>
        <v>0</v>
      </c>
      <c r="V27" s="425">
        <f>IF(OR('Service Zone Menu'!$X$4="Calgary",AND('Service Zone Menu'!$X$4="Okotoks", $A27&lt;DATE(2019, 1, 1))),$T27*($H27+$G27+$J27),$T27*($H27+$J27-$AG27))</f>
        <v>4.4628333484437261</v>
      </c>
      <c r="W27" s="425">
        <f t="shared" si="3"/>
        <v>0</v>
      </c>
      <c r="X27" s="426"/>
      <c r="Y27" s="386"/>
      <c r="Z27" s="386"/>
      <c r="AA27" s="386"/>
      <c r="AB27" s="386">
        <v>0.52800000000000002</v>
      </c>
      <c r="AC27" s="386"/>
      <c r="AD27" s="386"/>
      <c r="AE27" s="386"/>
      <c r="AF27" s="386"/>
      <c r="AG27" s="492">
        <f t="shared" si="4"/>
        <v>0</v>
      </c>
      <c r="AH27" s="492">
        <f t="shared" si="5"/>
        <v>0</v>
      </c>
      <c r="AI27" s="425">
        <f t="shared" si="6"/>
        <v>0</v>
      </c>
      <c r="AJ27" s="425">
        <f t="shared" si="7"/>
        <v>2.3939610964284856</v>
      </c>
      <c r="AK27" s="425">
        <f>$AC27*$C27</f>
        <v>0</v>
      </c>
      <c r="AL27" s="425">
        <f t="shared" si="20"/>
        <v>0</v>
      </c>
      <c r="AM27" s="425">
        <f t="shared" si="21"/>
        <v>0</v>
      </c>
      <c r="AN27" s="425">
        <f t="shared" si="22"/>
        <v>0</v>
      </c>
      <c r="AO27" s="200">
        <f>IF($I$2="DRT",VLOOKUP(A27,'Misc. Data &amp; Mechanisms'!$A$1483:$H$1574,7,FALSE),BA27)</f>
        <v>0.223</v>
      </c>
      <c r="AP27" s="552">
        <f t="shared" si="23"/>
        <v>6.69</v>
      </c>
      <c r="AQ27" s="290"/>
      <c r="AR27" s="494">
        <f t="shared" si="24"/>
        <v>0</v>
      </c>
      <c r="AS27" s="495">
        <f>5%</f>
        <v>0.05</v>
      </c>
      <c r="AT27" s="341">
        <f>'Misc. Data &amp; Mechanisms'!AM300</f>
        <v>4.5919370544930471</v>
      </c>
      <c r="AU27" s="424">
        <f>'Misc. Data &amp; Mechanisms'!AQ300</f>
        <v>4.2479511386056892</v>
      </c>
      <c r="AV27" s="1087">
        <f>'Misc. Data &amp; Mechanisms'!Z300</f>
        <v>4.5340172280842532</v>
      </c>
      <c r="AW27" s="1087">
        <f>'Misc. Data &amp; Mechanisms'!AA300</f>
        <v>2.8957627478362711</v>
      </c>
      <c r="AX27" s="1460">
        <f>'Misc. Data &amp; Mechanisms'!$B$260</f>
        <v>10.198990303636064</v>
      </c>
      <c r="AY27" s="197">
        <f>IFERROR(IF('Personalized Bill Menu'!$B$30="Yes", IF('Personalized Bill Menu'!$B$34="Natural Gas",VLOOKUP($A27, 'Personalized Bill Menu'!$H$4:$L$93, 2, FALSE), IF('Personalized Bill Menu'!$B$34="Both",VLOOKUP($A27,'Personalized Bill Menu'!$H$4:$P$93, 6, FALSE), 0)), 0),0)</f>
        <v>0</v>
      </c>
      <c r="AZ27" s="1343">
        <f>IFERROR(IF('Personalized Bill Menu'!$C$37="Custom", IF('Personalized Bill Menu'!$B$34="Natural Gas",VLOOKUP($A27, 'Personalized Bill Menu'!$H$4:$L$93, 3, FALSE), IF('Personalized Bill Menu'!$B$34="Both",VLOOKUP($A27,'Personalized Bill Menu'!$H$4:$P$93, 7, FALSE), 0)), 0),0)</f>
        <v>0</v>
      </c>
      <c r="BA27" s="1344">
        <f>IFERROR(IF('Personalized Bill Menu'!$C$37="Custom", IF('Personalized Bill Menu'!$B$34="Natural Gas",VLOOKUP($A27, 'Personalized Bill Menu'!$H$4:$L$93, 4, FALSE), IF('Personalized Bill Menu'!$B$34="Both",VLOOKUP($A27,'Personalized Bill Menu'!$H$4:$P$93, 8, FALSE), 0)), 0),0)</f>
        <v>0</v>
      </c>
      <c r="BB27" s="468"/>
      <c r="BC27" s="468"/>
      <c r="BD27" s="468"/>
    </row>
    <row r="28" spans="1:56" s="469" customFormat="1" x14ac:dyDescent="0.35">
      <c r="A28" s="496">
        <v>41548</v>
      </c>
      <c r="B28" s="497">
        <f t="shared" si="9"/>
        <v>31</v>
      </c>
      <c r="C28" s="1581">
        <f t="shared" si="10"/>
        <v>10.594286816954245</v>
      </c>
      <c r="D28" s="66">
        <f t="shared" si="11"/>
        <v>7.5395361543879016</v>
      </c>
      <c r="E28" s="66">
        <f>(1+$AS28)*IF(OR('Service Zone Menu'!$X$4="Calgary",AND('Service Zone Menu'!$X$4="Okotoks", $A28&lt;DATE(2019, 1, 1))),((1+$T28)*($N28+$P28+($X28+$Y28+$AA28+$AB28+$AC28))) + ($U28*($P28+($X28+$Y28+$AA28+$AB28+$AC28))) + $AQ28, ((1+$T28)*($P28+($Y28+$AA28+$AB28+$AC28)))+ ($U28*($P28+($X28+$Y28+$AA28+$AB28+$AC28)))+$N28+$X28 + $AQ28)</f>
        <v>4.2326243399999992</v>
      </c>
      <c r="F28" s="488">
        <f t="shared" si="12"/>
        <v>79.87600848638165</v>
      </c>
      <c r="G28" s="489">
        <f t="shared" si="13"/>
        <v>25.394505500239323</v>
      </c>
      <c r="H28" s="490">
        <f t="shared" si="0"/>
        <v>31.255783632318835</v>
      </c>
      <c r="I28" s="490">
        <f t="shared" si="14"/>
        <v>6.9153164627392005</v>
      </c>
      <c r="J28" s="490">
        <f t="shared" si="15"/>
        <v>5.5937834393518413</v>
      </c>
      <c r="K28" s="490">
        <f t="shared" si="16"/>
        <v>6.9130000000000003</v>
      </c>
      <c r="L28" s="490">
        <f t="shared" si="17"/>
        <v>0</v>
      </c>
      <c r="M28" s="491">
        <f t="shared" si="18"/>
        <v>3.8036194517324597</v>
      </c>
      <c r="N28" s="273">
        <f>IF($I$2="DRT",VLOOKUP(A28,'Misc. Data &amp; Mechanisms'!$A$1381:$D$1471,3,FALSE),AZ28)</f>
        <v>2.3969999999999998</v>
      </c>
      <c r="O28" s="425">
        <f t="shared" si="19"/>
        <v>25.394505500239323</v>
      </c>
      <c r="P28" s="387">
        <v>0.70299999999999996</v>
      </c>
      <c r="Q28" s="278">
        <v>0.76800000000000002</v>
      </c>
      <c r="R28" s="425">
        <f t="shared" si="1"/>
        <v>7.447783632318834</v>
      </c>
      <c r="S28" s="425">
        <f t="shared" si="2"/>
        <v>23.808</v>
      </c>
      <c r="T28" s="391">
        <f>VLOOKUP($A28,'Misc. Data &amp; Mechanisms'!$A$63:$DY$152,HLOOKUP('Service Zone Menu'!$X$4&amp;"_ATCO-S_NG_Y_1",'Misc. Data &amp; Mechanisms'!$A$55:$DY$62,8,FALSE), FALSE)</f>
        <v>0.1111</v>
      </c>
      <c r="U28" s="205">
        <f>VLOOKUP($A28,'Misc. Data &amp; Mechanisms'!$A$63:$DY$152,HLOOKUP('Service Zone Menu'!$X$4&amp;"_ATCO-S_NG_Y_2",'Misc. Data &amp; Mechanisms'!$A$55:$DY$62,8,FALSE), FALSE)</f>
        <v>0</v>
      </c>
      <c r="V28" s="425">
        <f>IF(OR('Service Zone Menu'!$X$4="Calgary",AND('Service Zone Menu'!$X$4="Okotoks", $A28&lt;DATE(2019, 1, 1))),$T28*($H28+$G28+$J28),$T28*($H28+$J28-$AG28))</f>
        <v>6.9153164627392005</v>
      </c>
      <c r="W28" s="425">
        <f t="shared" si="3"/>
        <v>0</v>
      </c>
      <c r="X28" s="426"/>
      <c r="Y28" s="386"/>
      <c r="Z28" s="386"/>
      <c r="AA28" s="386"/>
      <c r="AB28" s="386">
        <v>0.52800000000000002</v>
      </c>
      <c r="AC28" s="386"/>
      <c r="AD28" s="386"/>
      <c r="AE28" s="386"/>
      <c r="AF28" s="386"/>
      <c r="AG28" s="492">
        <f t="shared" si="4"/>
        <v>0</v>
      </c>
      <c r="AH28" s="492">
        <f t="shared" si="5"/>
        <v>0</v>
      </c>
      <c r="AI28" s="425">
        <f t="shared" si="6"/>
        <v>0</v>
      </c>
      <c r="AJ28" s="425">
        <f t="shared" si="7"/>
        <v>5.5937834393518413</v>
      </c>
      <c r="AK28" s="425">
        <f t="shared" si="8"/>
        <v>0</v>
      </c>
      <c r="AL28" s="425">
        <f t="shared" si="20"/>
        <v>0</v>
      </c>
      <c r="AM28" s="425">
        <f t="shared" si="21"/>
        <v>0</v>
      </c>
      <c r="AN28" s="425">
        <f t="shared" si="22"/>
        <v>0</v>
      </c>
      <c r="AO28" s="200">
        <f>IF($I$2="DRT",VLOOKUP(A28,'Misc. Data &amp; Mechanisms'!$A$1483:$H$1574,7,FALSE),BA28)</f>
        <v>0.223</v>
      </c>
      <c r="AP28" s="552">
        <f t="shared" si="23"/>
        <v>6.9130000000000003</v>
      </c>
      <c r="AQ28" s="290"/>
      <c r="AR28" s="494">
        <f t="shared" si="24"/>
        <v>0</v>
      </c>
      <c r="AS28" s="495">
        <f>5%</f>
        <v>0.05</v>
      </c>
      <c r="AT28" s="341">
        <f>'Misc. Data &amp; Mechanisms'!AM301</f>
        <v>10.729623588407634</v>
      </c>
      <c r="AU28" s="424">
        <f>'Misc. Data &amp; Mechanisms'!AQ301</f>
        <v>9.9374776852068845</v>
      </c>
      <c r="AV28" s="1087">
        <f>'Misc. Data &amp; Mechanisms'!Z301</f>
        <v>10.594286816954245</v>
      </c>
      <c r="AW28" s="1087">
        <f>'Misc. Data &amp; Mechanisms'!AA301</f>
        <v>6.766304484773987</v>
      </c>
      <c r="AX28" s="1460">
        <f>'Misc. Data &amp; Mechanisms'!$B$260</f>
        <v>10.198990303636064</v>
      </c>
      <c r="AY28" s="197">
        <f>IFERROR(IF('Personalized Bill Menu'!$B$30="Yes", IF('Personalized Bill Menu'!$B$34="Natural Gas",VLOOKUP($A28, 'Personalized Bill Menu'!$H$4:$L$93, 2, FALSE), IF('Personalized Bill Menu'!$B$34="Both",VLOOKUP($A28,'Personalized Bill Menu'!$H$4:$P$93, 6, FALSE), 0)), 0),0)</f>
        <v>0</v>
      </c>
      <c r="AZ28" s="1343">
        <f>IFERROR(IF('Personalized Bill Menu'!$C$37="Custom", IF('Personalized Bill Menu'!$B$34="Natural Gas",VLOOKUP($A28, 'Personalized Bill Menu'!$H$4:$L$93, 3, FALSE), IF('Personalized Bill Menu'!$B$34="Both",VLOOKUP($A28,'Personalized Bill Menu'!$H$4:$P$93, 7, FALSE), 0)), 0),0)</f>
        <v>0</v>
      </c>
      <c r="BA28" s="1344">
        <f>IFERROR(IF('Personalized Bill Menu'!$C$37="Custom", IF('Personalized Bill Menu'!$B$34="Natural Gas",VLOOKUP($A28, 'Personalized Bill Menu'!$H$4:$L$93, 4, FALSE), IF('Personalized Bill Menu'!$B$34="Both",VLOOKUP($A28,'Personalized Bill Menu'!$H$4:$P$93, 8, FALSE), 0)), 0),0)</f>
        <v>0</v>
      </c>
      <c r="BB28" s="468"/>
      <c r="BC28" s="468"/>
      <c r="BD28" s="468"/>
    </row>
    <row r="29" spans="1:56" s="469" customFormat="1" x14ac:dyDescent="0.35">
      <c r="A29" s="496">
        <v>41579</v>
      </c>
      <c r="B29" s="497">
        <f t="shared" si="9"/>
        <v>30</v>
      </c>
      <c r="C29" s="1581">
        <f t="shared" si="10"/>
        <v>16.963833197620971</v>
      </c>
      <c r="D29" s="66">
        <f t="shared" si="11"/>
        <v>7.7338945000615364</v>
      </c>
      <c r="E29" s="66">
        <f>(1+$AS29)*IF(OR('Service Zone Menu'!$X$4="Calgary",AND('Service Zone Menu'!$X$4="Okotoks", $A29&lt;DATE(2019, 1, 1))),((1+$T29)*($N29+$P29+($X29+$Y29+$AA29+$AB29+$AC29))) + ($U29*($P29+($X29+$Y29+$AA29+$AB29+$AC29))) + $AQ29, ((1+$T29)*($P29+($Y29+$AA29+$AB29+$AC29)))+ ($U29*($P29+($X29+$Y29+$AA29+$AB29+$AC29)))+$N29+$X29 + $AQ29)</f>
        <v>5.7352759799999999</v>
      </c>
      <c r="F29" s="488">
        <f t="shared" si="12"/>
        <v>131.19649626704214</v>
      </c>
      <c r="G29" s="489">
        <f t="shared" si="13"/>
        <v>62.511725333233279</v>
      </c>
      <c r="H29" s="490">
        <f t="shared" si="0"/>
        <v>34.96557473792754</v>
      </c>
      <c r="I29" s="490">
        <f t="shared" si="14"/>
        <v>11.824840064344972</v>
      </c>
      <c r="J29" s="490">
        <f t="shared" si="15"/>
        <v>8.9569039283438734</v>
      </c>
      <c r="K29" s="490">
        <f t="shared" si="16"/>
        <v>6.69</v>
      </c>
      <c r="L29" s="490">
        <f t="shared" si="17"/>
        <v>0</v>
      </c>
      <c r="M29" s="491">
        <f t="shared" si="18"/>
        <v>6.2474522031924833</v>
      </c>
      <c r="N29" s="273">
        <f>IF($I$2="DRT",VLOOKUP(A29,'Misc. Data &amp; Mechanisms'!$A$1381:$D$1471,3,FALSE),AZ29)</f>
        <v>3.6850000000000001</v>
      </c>
      <c r="O29" s="425">
        <f t="shared" si="19"/>
        <v>62.511725333233279</v>
      </c>
      <c r="P29" s="387">
        <v>0.70299999999999996</v>
      </c>
      <c r="Q29" s="278">
        <v>0.76800000000000002</v>
      </c>
      <c r="R29" s="425">
        <f t="shared" si="1"/>
        <v>11.925574737927542</v>
      </c>
      <c r="S29" s="425">
        <f t="shared" si="2"/>
        <v>23.04</v>
      </c>
      <c r="T29" s="391">
        <f>VLOOKUP($A29,'Misc. Data &amp; Mechanisms'!$A$63:$DY$152,HLOOKUP('Service Zone Menu'!$X$4&amp;"_ATCO-S_NG_Y_1",'Misc. Data &amp; Mechanisms'!$A$55:$DY$62,8,FALSE), FALSE)</f>
        <v>0.1111</v>
      </c>
      <c r="U29" s="205">
        <f>VLOOKUP($A29,'Misc. Data &amp; Mechanisms'!$A$63:$DY$152,HLOOKUP('Service Zone Menu'!$X$4&amp;"_ATCO-S_NG_Y_2",'Misc. Data &amp; Mechanisms'!$A$55:$DY$62,8,FALSE), FALSE)</f>
        <v>0</v>
      </c>
      <c r="V29" s="425">
        <f>IF(OR('Service Zone Menu'!$X$4="Calgary",AND('Service Zone Menu'!$X$4="Okotoks", $A29&lt;DATE(2019, 1, 1))),$T29*($H29+$G29+$J29),$T29*($H29+$J29-$AG29))</f>
        <v>11.824840064344972</v>
      </c>
      <c r="W29" s="425">
        <f t="shared" si="3"/>
        <v>0</v>
      </c>
      <c r="X29" s="426"/>
      <c r="Y29" s="386"/>
      <c r="Z29" s="386"/>
      <c r="AA29" s="386"/>
      <c r="AB29" s="386">
        <v>0.52800000000000002</v>
      </c>
      <c r="AC29" s="386"/>
      <c r="AD29" s="386"/>
      <c r="AE29" s="386"/>
      <c r="AF29" s="386"/>
      <c r="AG29" s="492">
        <f t="shared" si="4"/>
        <v>0</v>
      </c>
      <c r="AH29" s="492">
        <f t="shared" si="5"/>
        <v>0</v>
      </c>
      <c r="AI29" s="425">
        <f t="shared" si="6"/>
        <v>0</v>
      </c>
      <c r="AJ29" s="425">
        <f t="shared" si="7"/>
        <v>8.9569039283438734</v>
      </c>
      <c r="AK29" s="425">
        <f t="shared" si="8"/>
        <v>0</v>
      </c>
      <c r="AL29" s="425">
        <f t="shared" si="20"/>
        <v>0</v>
      </c>
      <c r="AM29" s="425">
        <f t="shared" si="21"/>
        <v>0</v>
      </c>
      <c r="AN29" s="425">
        <f t="shared" si="22"/>
        <v>0</v>
      </c>
      <c r="AO29" s="200">
        <f>IF($I$2="DRT",VLOOKUP(A29,'Misc. Data &amp; Mechanisms'!$A$1483:$H$1574,7,FALSE),BA29)</f>
        <v>0.223</v>
      </c>
      <c r="AP29" s="552">
        <f t="shared" si="23"/>
        <v>6.69</v>
      </c>
      <c r="AQ29" s="290"/>
      <c r="AR29" s="494">
        <f t="shared" si="24"/>
        <v>0</v>
      </c>
      <c r="AS29" s="495">
        <f>5%</f>
        <v>0.05</v>
      </c>
      <c r="AT29" s="341">
        <f>'Misc. Data &amp; Mechanisms'!AM302</f>
        <v>17.180537772087067</v>
      </c>
      <c r="AU29" s="424">
        <f>'Misc. Data &amp; Mechanisms'!AQ302</f>
        <v>17.344183079197038</v>
      </c>
      <c r="AV29" s="1087">
        <f>'Misc. Data &amp; Mechanisms'!Z302</f>
        <v>16.963833197620971</v>
      </c>
      <c r="AW29" s="1087">
        <f>'Misc. Data &amp; Mechanisms'!AA302</f>
        <v>10.834373528601473</v>
      </c>
      <c r="AX29" s="1460">
        <f>'Misc. Data &amp; Mechanisms'!$B$260</f>
        <v>10.198990303636064</v>
      </c>
      <c r="AY29" s="197">
        <f>IFERROR(IF('Personalized Bill Menu'!$B$30="Yes", IF('Personalized Bill Menu'!$B$34="Natural Gas",VLOOKUP($A29, 'Personalized Bill Menu'!$H$4:$L$93, 2, FALSE), IF('Personalized Bill Menu'!$B$34="Both",VLOOKUP($A29,'Personalized Bill Menu'!$H$4:$P$93, 6, FALSE), 0)), 0),0)</f>
        <v>0</v>
      </c>
      <c r="AZ29" s="1343">
        <f>IFERROR(IF('Personalized Bill Menu'!$C$37="Custom", IF('Personalized Bill Menu'!$B$34="Natural Gas",VLOOKUP($A29, 'Personalized Bill Menu'!$H$4:$L$93, 3, FALSE), IF('Personalized Bill Menu'!$B$34="Both",VLOOKUP($A29,'Personalized Bill Menu'!$H$4:$P$93, 7, FALSE), 0)), 0),0)</f>
        <v>0</v>
      </c>
      <c r="BA29" s="1344">
        <f>IFERROR(IF('Personalized Bill Menu'!$C$37="Custom", IF('Personalized Bill Menu'!$B$34="Natural Gas",VLOOKUP($A29, 'Personalized Bill Menu'!$H$4:$L$93, 4, FALSE), IF('Personalized Bill Menu'!$B$34="Both",VLOOKUP($A29,'Personalized Bill Menu'!$H$4:$P$93, 8, FALSE), 0)), 0),0)</f>
        <v>0</v>
      </c>
      <c r="BB29" s="468"/>
      <c r="BC29" s="468"/>
      <c r="BD29" s="468"/>
    </row>
    <row r="30" spans="1:56" s="469" customFormat="1" x14ac:dyDescent="0.35">
      <c r="A30" s="508">
        <v>41609</v>
      </c>
      <c r="B30" s="509">
        <f t="shared" si="9"/>
        <v>31</v>
      </c>
      <c r="C30" s="231">
        <f t="shared" si="10"/>
        <v>22.923188669247907</v>
      </c>
      <c r="D30" s="344">
        <f t="shared" si="11"/>
        <v>6.8074515223273817</v>
      </c>
      <c r="E30" s="344">
        <f>(1+$AS30)*IF(OR('Service Zone Menu'!$X$4="Calgary",AND('Service Zone Menu'!$X$4="Okotoks", $A30&lt;DATE(2019, 1, 1))),((1+$T30)*($N30+$P30+($X30+$Y30+$AA30+$AB30+$AC30))) + ($U30*($P30+($X30+$Y30+$AA30+$AB30+$AC30))) + $AQ30, ((1+$T30)*($P30+($Y30+$AA30+$AB30+$AC30)))+ ($U30*($P30+($X30+$Y30+$AA30+$AB30+$AC30)))+$N30+$X30 + $AQ30)</f>
        <v>5.2791138750000002</v>
      </c>
      <c r="F30" s="510">
        <f t="shared" si="12"/>
        <v>156.04849560306945</v>
      </c>
      <c r="G30" s="511">
        <f t="shared" si="13"/>
        <v>75.508983476502607</v>
      </c>
      <c r="H30" s="512">
        <f t="shared" si="0"/>
        <v>39.923001634481281</v>
      </c>
      <c r="I30" s="512">
        <f t="shared" si="14"/>
        <v>14.169186131719329</v>
      </c>
      <c r="J30" s="512">
        <f t="shared" si="15"/>
        <v>12.103443617362895</v>
      </c>
      <c r="K30" s="512">
        <f t="shared" si="16"/>
        <v>6.9130000000000003</v>
      </c>
      <c r="L30" s="512">
        <f t="shared" si="17"/>
        <v>0</v>
      </c>
      <c r="M30" s="513">
        <f t="shared" si="18"/>
        <v>7.430880743003307</v>
      </c>
      <c r="N30" s="1243">
        <f>IF($I$2="DRT",VLOOKUP(A30,'Misc. Data &amp; Mechanisms'!$A$1381:$D$1471,3,FALSE),AZ30)</f>
        <v>3.294</v>
      </c>
      <c r="O30" s="440">
        <f t="shared" si="19"/>
        <v>75.508983476502607</v>
      </c>
      <c r="P30" s="438">
        <v>0.70299999999999996</v>
      </c>
      <c r="Q30" s="283">
        <v>0.76800000000000002</v>
      </c>
      <c r="R30" s="440">
        <f t="shared" si="1"/>
        <v>16.115001634481278</v>
      </c>
      <c r="S30" s="440">
        <f t="shared" si="2"/>
        <v>23.808</v>
      </c>
      <c r="T30" s="394">
        <f>VLOOKUP($A30,'Misc. Data &amp; Mechanisms'!$A$63:$DY$152,HLOOKUP('Service Zone Menu'!$X$4&amp;"_ATCO-S_NG_Y_1",'Misc. Data &amp; Mechanisms'!$A$55:$DY$62,8,FALSE), FALSE)</f>
        <v>0.1111</v>
      </c>
      <c r="U30" s="246">
        <f>VLOOKUP($A30,'Misc. Data &amp; Mechanisms'!$A$63:$DY$152,HLOOKUP('Service Zone Menu'!$X$4&amp;"_ATCO-S_NG_Y_2",'Misc. Data &amp; Mechanisms'!$A$55:$DY$62,8,FALSE), FALSE)</f>
        <v>0</v>
      </c>
      <c r="V30" s="440">
        <f>IF(OR('Service Zone Menu'!$X$4="Calgary",AND('Service Zone Menu'!$X$4="Okotoks", $A30&lt;DATE(2019, 1, 1))),$T30*($H30+$G30+$J30),$T30*($H30+$J30-$AG30))</f>
        <v>14.169186131719329</v>
      </c>
      <c r="W30" s="440">
        <f t="shared" si="3"/>
        <v>0</v>
      </c>
      <c r="X30" s="439"/>
      <c r="Y30" s="399"/>
      <c r="Z30" s="399"/>
      <c r="AA30" s="399"/>
      <c r="AB30" s="399">
        <v>0.52800000000000002</v>
      </c>
      <c r="AC30" s="399"/>
      <c r="AD30" s="399"/>
      <c r="AE30" s="399"/>
      <c r="AF30" s="399"/>
      <c r="AG30" s="514">
        <f t="shared" si="4"/>
        <v>0</v>
      </c>
      <c r="AH30" s="514">
        <f t="shared" si="5"/>
        <v>0</v>
      </c>
      <c r="AI30" s="440">
        <f t="shared" si="6"/>
        <v>0</v>
      </c>
      <c r="AJ30" s="440">
        <f t="shared" si="7"/>
        <v>12.103443617362895</v>
      </c>
      <c r="AK30" s="440">
        <f t="shared" si="8"/>
        <v>0</v>
      </c>
      <c r="AL30" s="440">
        <f t="shared" si="20"/>
        <v>0</v>
      </c>
      <c r="AM30" s="440">
        <f t="shared" si="21"/>
        <v>0</v>
      </c>
      <c r="AN30" s="440">
        <f t="shared" si="22"/>
        <v>0</v>
      </c>
      <c r="AO30" s="239">
        <f>IF($I$2="DRT",VLOOKUP(A30,'Misc. Data &amp; Mechanisms'!$A$1483:$H$1574,7,FALSE),BA30)</f>
        <v>0.223</v>
      </c>
      <c r="AP30" s="558">
        <f t="shared" si="23"/>
        <v>6.9130000000000003</v>
      </c>
      <c r="AQ30" s="292"/>
      <c r="AR30" s="516">
        <f t="shared" si="24"/>
        <v>0</v>
      </c>
      <c r="AS30" s="517">
        <f>5%</f>
        <v>0.05</v>
      </c>
      <c r="AT30" s="352">
        <f>'Misc. Data &amp; Mechanisms'!AM303</f>
        <v>23.216021060848647</v>
      </c>
      <c r="AU30" s="441">
        <f>'Misc. Data &amp; Mechanisms'!AQ303</f>
        <v>23.873234678876095</v>
      </c>
      <c r="AV30" s="1089">
        <f>'Misc. Data &amp; Mechanisms'!Z303</f>
        <v>22.923188669247907</v>
      </c>
      <c r="AW30" s="1089">
        <f>'Misc. Data &amp; Mechanisms'!AA303</f>
        <v>14.640463957407151</v>
      </c>
      <c r="AX30" s="1461">
        <f>'Misc. Data &amp; Mechanisms'!$B$260</f>
        <v>10.198990303636064</v>
      </c>
      <c r="AY30" s="243">
        <f>IFERROR(IF('Personalized Bill Menu'!$B$30="Yes", IF('Personalized Bill Menu'!$B$34="Natural Gas",VLOOKUP($A30, 'Personalized Bill Menu'!$H$4:$L$93, 2, FALSE), IF('Personalized Bill Menu'!$B$34="Both",VLOOKUP($A30,'Personalized Bill Menu'!$H$4:$P$93, 6, FALSE), 0)), 0),0)</f>
        <v>0</v>
      </c>
      <c r="AZ30" s="1345">
        <f>IFERROR(IF('Personalized Bill Menu'!$C$37="Custom", IF('Personalized Bill Menu'!$B$34="Natural Gas",VLOOKUP($A30, 'Personalized Bill Menu'!$H$4:$L$93, 3, FALSE), IF('Personalized Bill Menu'!$B$34="Both",VLOOKUP($A30,'Personalized Bill Menu'!$H$4:$P$93, 7, FALSE), 0)), 0),0)</f>
        <v>0</v>
      </c>
      <c r="BA30" s="1346">
        <f>IFERROR(IF('Personalized Bill Menu'!$C$37="Custom", IF('Personalized Bill Menu'!$B$34="Natural Gas",VLOOKUP($A30, 'Personalized Bill Menu'!$H$4:$L$93, 4, FALSE), IF('Personalized Bill Menu'!$B$34="Both",VLOOKUP($A30,'Personalized Bill Menu'!$H$4:$P$93, 8, FALSE), 0)), 0),0)</f>
        <v>0</v>
      </c>
      <c r="BB30" s="468"/>
      <c r="BC30" s="468"/>
      <c r="BD30" s="468"/>
    </row>
    <row r="31" spans="1:56" s="469" customFormat="1" x14ac:dyDescent="0.35">
      <c r="A31" s="498">
        <v>41640</v>
      </c>
      <c r="B31" s="499">
        <f t="shared" si="9"/>
        <v>31</v>
      </c>
      <c r="C31" s="212">
        <f t="shared" si="10"/>
        <v>17.678761695170117</v>
      </c>
      <c r="D31" s="353">
        <f t="shared" si="11"/>
        <v>8.2323544584292669</v>
      </c>
      <c r="E31" s="353">
        <f>(1+$AS31)*IF(OR('Service Zone Menu'!$X$4="Calgary",AND('Service Zone Menu'!$X$4="Okotoks", $A31&lt;DATE(2019, 1, 1))),((1+$T31)*($N31+$P31+($X31+$Y31+$AA31+$AB31+$AC31))) + ($U31*($P31+($X31+$Y31+$AA31+$AB31+$AC31))) + $AQ31, ((1+$T31)*($P31+($Y31+$AA31+$AB31+$AC31)))+ ($U31*($P31+($X31+$Y31+$AA31+$AB31+$AC31)))+$N31+$X31 + $AQ31)</f>
        <v>6.2567707649999997</v>
      </c>
      <c r="F31" s="500">
        <f t="shared" si="12"/>
        <v>145.53783266074225</v>
      </c>
      <c r="G31" s="501">
        <f t="shared" si="13"/>
        <v>72.606674282063679</v>
      </c>
      <c r="H31" s="502">
        <f t="shared" si="0"/>
        <v>36.585138514083845</v>
      </c>
      <c r="I31" s="502">
        <f t="shared" si="14"/>
        <v>13.168260705700026</v>
      </c>
      <c r="J31" s="502">
        <f t="shared" si="15"/>
        <v>9.334386175049822</v>
      </c>
      <c r="K31" s="502">
        <f t="shared" si="16"/>
        <v>6.9130000000000003</v>
      </c>
      <c r="L31" s="502">
        <f t="shared" si="17"/>
        <v>0</v>
      </c>
      <c r="M31" s="503">
        <f t="shared" si="18"/>
        <v>6.9303729838448689</v>
      </c>
      <c r="N31" s="273">
        <f>IF($I$2="DRT",VLOOKUP(A31,'Misc. Data &amp; Mechanisms'!$A$1381:$D$1471,3,FALSE),AZ31)</f>
        <v>4.1070000000000002</v>
      </c>
      <c r="O31" s="433">
        <f t="shared" si="19"/>
        <v>72.606674282063679</v>
      </c>
      <c r="P31" s="431">
        <v>0.72799999999999998</v>
      </c>
      <c r="Q31" s="288">
        <v>0.76500000000000001</v>
      </c>
      <c r="R31" s="433">
        <f t="shared" si="1"/>
        <v>12.870138514083845</v>
      </c>
      <c r="S31" s="433">
        <f t="shared" si="2"/>
        <v>23.715</v>
      </c>
      <c r="T31" s="391">
        <f>VLOOKUP($A31,'Misc. Data &amp; Mechanisms'!$A$63:$DY$152,HLOOKUP('Service Zone Menu'!$X$4&amp;"_ATCO-S_NG_Y_1",'Misc. Data &amp; Mechanisms'!$A$55:$DY$62,8,FALSE), FALSE)</f>
        <v>0.1111</v>
      </c>
      <c r="U31" s="205">
        <f>VLOOKUP($A31,'Misc. Data &amp; Mechanisms'!$A$63:$DY$152,HLOOKUP('Service Zone Menu'!$X$4&amp;"_ATCO-S_NG_Y_2",'Misc. Data &amp; Mechanisms'!$A$55:$DY$62,8,FALSE), FALSE)</f>
        <v>0</v>
      </c>
      <c r="V31" s="433">
        <f>IF(OR('Service Zone Menu'!$X$4="Calgary",AND('Service Zone Menu'!$X$4="Okotoks", $A31&lt;DATE(2019, 1, 1))),$T31*($H31+$G31+$J31),$T31*($H31+$J31-$AG31))</f>
        <v>13.168260705700026</v>
      </c>
      <c r="W31" s="433">
        <f t="shared" si="3"/>
        <v>0</v>
      </c>
      <c r="X31" s="432"/>
      <c r="Y31" s="397"/>
      <c r="Z31" s="397"/>
      <c r="AA31" s="397"/>
      <c r="AB31" s="397">
        <v>0.52800000000000002</v>
      </c>
      <c r="AC31" s="397"/>
      <c r="AD31" s="397"/>
      <c r="AE31" s="397"/>
      <c r="AF31" s="397"/>
      <c r="AG31" s="504">
        <f t="shared" si="4"/>
        <v>0</v>
      </c>
      <c r="AH31" s="504">
        <f t="shared" si="5"/>
        <v>0</v>
      </c>
      <c r="AI31" s="433">
        <f t="shared" si="6"/>
        <v>0</v>
      </c>
      <c r="AJ31" s="433">
        <f t="shared" si="7"/>
        <v>9.334386175049822</v>
      </c>
      <c r="AK31" s="433">
        <f t="shared" si="8"/>
        <v>0</v>
      </c>
      <c r="AL31" s="433">
        <f t="shared" si="20"/>
        <v>0</v>
      </c>
      <c r="AM31" s="433">
        <f t="shared" si="21"/>
        <v>0</v>
      </c>
      <c r="AN31" s="433">
        <f t="shared" si="22"/>
        <v>0</v>
      </c>
      <c r="AO31" s="200">
        <f>IF($I$2="DRT",VLOOKUP(A31,'Misc. Data &amp; Mechanisms'!$A$1483:$H$1574,7,FALSE),BA31)</f>
        <v>0.223</v>
      </c>
      <c r="AP31" s="555">
        <f t="shared" si="23"/>
        <v>6.9130000000000003</v>
      </c>
      <c r="AQ31" s="286"/>
      <c r="AR31" s="506">
        <f t="shared" si="24"/>
        <v>0</v>
      </c>
      <c r="AS31" s="507">
        <f>5%</f>
        <v>0.05</v>
      </c>
      <c r="AT31" s="359">
        <f>'Misc. Data &amp; Mechanisms'!AM304</f>
        <v>17.904599127406637</v>
      </c>
      <c r="AU31" s="434">
        <f>'Misc. Data &amp; Mechanisms'!AQ304</f>
        <v>19.146506328872562</v>
      </c>
      <c r="AV31" s="1088">
        <f>'Misc. Data &amp; Mechanisms'!Z304</f>
        <v>17.678761695170117</v>
      </c>
      <c r="AW31" s="1088">
        <f>'Misc. Data &amp; Mechanisms'!AA304</f>
        <v>11.290980375559599</v>
      </c>
      <c r="AX31" s="1462">
        <f>'Misc. Data &amp; Mechanisms'!$B$260</f>
        <v>10.198990303636064</v>
      </c>
      <c r="AY31" s="197">
        <f>IFERROR(IF('Personalized Bill Menu'!$B$30="Yes", IF('Personalized Bill Menu'!$B$34="Natural Gas",VLOOKUP($A31, 'Personalized Bill Menu'!$H$4:$L$93, 2, FALSE), IF('Personalized Bill Menu'!$B$34="Both",VLOOKUP($A31,'Personalized Bill Menu'!$H$4:$P$93, 6, FALSE), 0)), 0),0)</f>
        <v>0</v>
      </c>
      <c r="AZ31" s="1343">
        <f>IFERROR(IF('Personalized Bill Menu'!$C$37="Custom", IF('Personalized Bill Menu'!$B$34="Natural Gas",VLOOKUP($A31, 'Personalized Bill Menu'!$H$4:$L$93, 3, FALSE), IF('Personalized Bill Menu'!$B$34="Both",VLOOKUP($A31,'Personalized Bill Menu'!$H$4:$P$93, 7, FALSE), 0)), 0),0)</f>
        <v>0</v>
      </c>
      <c r="BA31" s="1344">
        <f>IFERROR(IF('Personalized Bill Menu'!$C$37="Custom", IF('Personalized Bill Menu'!$B$34="Natural Gas",VLOOKUP($A31, 'Personalized Bill Menu'!$H$4:$L$93, 4, FALSE), IF('Personalized Bill Menu'!$B$34="Both",VLOOKUP($A31,'Personalized Bill Menu'!$H$4:$P$93, 8, FALSE), 0)), 0),0)</f>
        <v>0</v>
      </c>
      <c r="BB31" s="468"/>
      <c r="BC31" s="468"/>
      <c r="BD31" s="468"/>
    </row>
    <row r="32" spans="1:56" s="469" customFormat="1" x14ac:dyDescent="0.35">
      <c r="A32" s="496">
        <v>41671</v>
      </c>
      <c r="B32" s="497">
        <f t="shared" si="9"/>
        <v>28</v>
      </c>
      <c r="C32" s="1581">
        <f t="shared" si="10"/>
        <v>23.856327590100207</v>
      </c>
      <c r="D32" s="66">
        <f t="shared" si="11"/>
        <v>8.0305967713620046</v>
      </c>
      <c r="E32" s="66">
        <f>(1+$AS32)*IF(OR('Service Zone Menu'!$X$4="Calgary",AND('Service Zone Menu'!$X$4="Okotoks", $A32&lt;DATE(2019, 1, 1))),((1+$T32)*($N32+$P32+($X32+$Y32+$AA32+$AB32+$AC32))) + ($U32*($P32+($X32+$Y32+$AA32+$AB32+$AC32))) + $AQ32, ((1+$T32)*($P32+($Y32+$AA32+$AB32+$AC32)))+ ($U32*($P32+($X32+$Y32+$AA32+$AB32+$AC32)))+$N32+$X32 + $AQ32)</f>
        <v>6.7082662500000003</v>
      </c>
      <c r="F32" s="488">
        <f t="shared" si="12"/>
        <v>191.58054732161304</v>
      </c>
      <c r="G32" s="489">
        <f t="shared" si="13"/>
        <v>107.21033618991032</v>
      </c>
      <c r="H32" s="490">
        <f t="shared" si="0"/>
        <v>38.787406485592953</v>
      </c>
      <c r="I32" s="490">
        <f t="shared" si="14"/>
        <v>17.619780472745767</v>
      </c>
      <c r="J32" s="490">
        <f t="shared" si="15"/>
        <v>12.596140967572911</v>
      </c>
      <c r="K32" s="490">
        <f t="shared" si="16"/>
        <v>6.2439999999999998</v>
      </c>
      <c r="L32" s="490">
        <f t="shared" si="17"/>
        <v>0</v>
      </c>
      <c r="M32" s="491">
        <f t="shared" si="18"/>
        <v>9.1228832057910978</v>
      </c>
      <c r="N32" s="273">
        <f>IF($I$2="DRT",VLOOKUP(A32,'Misc. Data &amp; Mechanisms'!$A$1381:$D$1471,3,FALSE),AZ32)</f>
        <v>4.4939999999999998</v>
      </c>
      <c r="O32" s="425">
        <f t="shared" si="19"/>
        <v>107.21033618991032</v>
      </c>
      <c r="P32" s="387">
        <v>0.72799999999999998</v>
      </c>
      <c r="Q32" s="278">
        <v>0.76500000000000001</v>
      </c>
      <c r="R32" s="425">
        <f t="shared" si="1"/>
        <v>17.367406485592952</v>
      </c>
      <c r="S32" s="425">
        <f t="shared" si="2"/>
        <v>21.42</v>
      </c>
      <c r="T32" s="391">
        <f>VLOOKUP($A32,'Misc. Data &amp; Mechanisms'!$A$63:$DY$152,HLOOKUP('Service Zone Menu'!$X$4&amp;"_ATCO-S_NG_Y_1",'Misc. Data &amp; Mechanisms'!$A$55:$DY$62,8,FALSE), FALSE)</f>
        <v>0.1111</v>
      </c>
      <c r="U32" s="205">
        <f>VLOOKUP($A32,'Misc. Data &amp; Mechanisms'!$A$63:$DY$152,HLOOKUP('Service Zone Menu'!$X$4&amp;"_ATCO-S_NG_Y_2",'Misc. Data &amp; Mechanisms'!$A$55:$DY$62,8,FALSE), FALSE)</f>
        <v>0</v>
      </c>
      <c r="V32" s="425">
        <f>IF(OR('Service Zone Menu'!$X$4="Calgary",AND('Service Zone Menu'!$X$4="Okotoks", $A32&lt;DATE(2019, 1, 1))),$T32*($H32+$G32+$J32),$T32*($H32+$J32-$AG32))</f>
        <v>17.619780472745767</v>
      </c>
      <c r="W32" s="425">
        <f t="shared" si="3"/>
        <v>0</v>
      </c>
      <c r="X32" s="426"/>
      <c r="Y32" s="386"/>
      <c r="Z32" s="386"/>
      <c r="AA32" s="386"/>
      <c r="AB32" s="386">
        <v>0.52800000000000002</v>
      </c>
      <c r="AC32" s="386"/>
      <c r="AD32" s="386"/>
      <c r="AE32" s="386"/>
      <c r="AF32" s="386"/>
      <c r="AG32" s="492">
        <f t="shared" si="4"/>
        <v>0</v>
      </c>
      <c r="AH32" s="492">
        <f t="shared" si="5"/>
        <v>0</v>
      </c>
      <c r="AI32" s="425">
        <f t="shared" si="6"/>
        <v>0</v>
      </c>
      <c r="AJ32" s="425">
        <f t="shared" si="7"/>
        <v>12.596140967572911</v>
      </c>
      <c r="AK32" s="425">
        <f t="shared" si="8"/>
        <v>0</v>
      </c>
      <c r="AL32" s="425">
        <f t="shared" si="20"/>
        <v>0</v>
      </c>
      <c r="AM32" s="425">
        <f t="shared" si="21"/>
        <v>0</v>
      </c>
      <c r="AN32" s="425">
        <f t="shared" si="22"/>
        <v>0</v>
      </c>
      <c r="AO32" s="200">
        <f>IF($I$2="DRT",VLOOKUP(A32,'Misc. Data &amp; Mechanisms'!$A$1483:$H$1574,7,FALSE),BA32)</f>
        <v>0.223</v>
      </c>
      <c r="AP32" s="552">
        <f t="shared" si="23"/>
        <v>6.2439999999999998</v>
      </c>
      <c r="AQ32" s="290"/>
      <c r="AR32" s="494">
        <f t="shared" si="24"/>
        <v>0</v>
      </c>
      <c r="AS32" s="495">
        <f>5%</f>
        <v>0.05</v>
      </c>
      <c r="AT32" s="341">
        <f>'Misc. Data &amp; Mechanisms'!AM305</f>
        <v>24.161080369646605</v>
      </c>
      <c r="AU32" s="424">
        <f>'Misc. Data &amp; Mechanisms'!AQ305</f>
        <v>24.542492751227204</v>
      </c>
      <c r="AV32" s="1087">
        <f>'Misc. Data &amp; Mechanisms'!Z305</f>
        <v>23.856327590100207</v>
      </c>
      <c r="AW32" s="1087">
        <f>'Misc. Data &amp; Mechanisms'!AA305</f>
        <v>15.236436312523669</v>
      </c>
      <c r="AX32" s="1460">
        <f>'Misc. Data &amp; Mechanisms'!$B$260</f>
        <v>10.198990303636064</v>
      </c>
      <c r="AY32" s="197">
        <f>IFERROR(IF('Personalized Bill Menu'!$B$30="Yes", IF('Personalized Bill Menu'!$B$34="Natural Gas",VLOOKUP($A32, 'Personalized Bill Menu'!$H$4:$L$93, 2, FALSE), IF('Personalized Bill Menu'!$B$34="Both",VLOOKUP($A32,'Personalized Bill Menu'!$H$4:$P$93, 6, FALSE), 0)), 0),0)</f>
        <v>0</v>
      </c>
      <c r="AZ32" s="1343">
        <f>IFERROR(IF('Personalized Bill Menu'!$C$37="Custom", IF('Personalized Bill Menu'!$B$34="Natural Gas",VLOOKUP($A32, 'Personalized Bill Menu'!$H$4:$L$93, 3, FALSE), IF('Personalized Bill Menu'!$B$34="Both",VLOOKUP($A32,'Personalized Bill Menu'!$H$4:$P$93, 7, FALSE), 0)), 0),0)</f>
        <v>0</v>
      </c>
      <c r="BA32" s="1344">
        <f>IFERROR(IF('Personalized Bill Menu'!$C$37="Custom", IF('Personalized Bill Menu'!$B$34="Natural Gas",VLOOKUP($A32, 'Personalized Bill Menu'!$H$4:$L$93, 4, FALSE), IF('Personalized Bill Menu'!$B$34="Both",VLOOKUP($A32,'Personalized Bill Menu'!$H$4:$P$93, 8, FALSE), 0)), 0),0)</f>
        <v>0</v>
      </c>
      <c r="BB32" s="468"/>
      <c r="BC32" s="468"/>
      <c r="BD32" s="468"/>
    </row>
    <row r="33" spans="1:56" s="469" customFormat="1" x14ac:dyDescent="0.35">
      <c r="A33" s="496">
        <v>41699</v>
      </c>
      <c r="B33" s="497">
        <f t="shared" si="9"/>
        <v>31</v>
      </c>
      <c r="C33" s="1581">
        <f t="shared" si="10"/>
        <v>20.574128672770144</v>
      </c>
      <c r="D33" s="66">
        <f t="shared" si="11"/>
        <v>14.115438515387652</v>
      </c>
      <c r="E33" s="66">
        <f>(1+$AS33)*IF(OR('Service Zone Menu'!$X$4="Calgary",AND('Service Zone Menu'!$X$4="Okotoks", $A33&lt;DATE(2019, 1, 1))),((1+$T33)*($N33+$P33+($X33+$Y33+$AA33+$AB33+$AC33))) + ($U33*($P33+($X33+$Y33+$AA33+$AB33+$AC33))) + $AQ33, ((1+$T33)*($P33+($Y33+$AA33+$AB33+$AC33)))+ ($U33*($P33+($X33+$Y33+$AA33+$AB33+$AC33)))+$N33+$X33 + $AQ33)</f>
        <v>12.417875820000001</v>
      </c>
      <c r="F33" s="488">
        <f t="shared" si="12"/>
        <v>290.41284828816111</v>
      </c>
      <c r="G33" s="489">
        <f t="shared" si="13"/>
        <v>193.14991997996611</v>
      </c>
      <c r="H33" s="490">
        <f t="shared" si="0"/>
        <v>38.692965673776662</v>
      </c>
      <c r="I33" s="490">
        <f t="shared" si="14"/>
        <v>26.964639443378456</v>
      </c>
      <c r="J33" s="490">
        <f t="shared" si="15"/>
        <v>10.863139939222636</v>
      </c>
      <c r="K33" s="490">
        <f t="shared" si="16"/>
        <v>6.9130000000000003</v>
      </c>
      <c r="L33" s="490">
        <f t="shared" si="17"/>
        <v>0</v>
      </c>
      <c r="M33" s="491">
        <f t="shared" si="18"/>
        <v>13.829183251817197</v>
      </c>
      <c r="N33" s="273">
        <f>IF($I$2="DRT",VLOOKUP(A33,'Misc. Data &amp; Mechanisms'!$A$1381:$D$1471,3,FALSE),AZ33)</f>
        <v>9.3879999999999999</v>
      </c>
      <c r="O33" s="425">
        <f t="shared" si="19"/>
        <v>193.14991997996611</v>
      </c>
      <c r="P33" s="387">
        <v>0.72799999999999998</v>
      </c>
      <c r="Q33" s="278">
        <v>0.76500000000000001</v>
      </c>
      <c r="R33" s="425">
        <f t="shared" si="1"/>
        <v>14.977965673776664</v>
      </c>
      <c r="S33" s="425">
        <f t="shared" si="2"/>
        <v>23.715</v>
      </c>
      <c r="T33" s="391">
        <f>VLOOKUP($A33,'Misc. Data &amp; Mechanisms'!$A$63:$DY$152,HLOOKUP('Service Zone Menu'!$X$4&amp;"_ATCO-S_NG_Y_1",'Misc. Data &amp; Mechanisms'!$A$55:$DY$62,8,FALSE), FALSE)</f>
        <v>0.1111</v>
      </c>
      <c r="U33" s="205">
        <f>VLOOKUP($A33,'Misc. Data &amp; Mechanisms'!$A$63:$DY$152,HLOOKUP('Service Zone Menu'!$X$4&amp;"_ATCO-S_NG_Y_2",'Misc. Data &amp; Mechanisms'!$A$55:$DY$62,8,FALSE), FALSE)</f>
        <v>0</v>
      </c>
      <c r="V33" s="425">
        <f>IF(OR('Service Zone Menu'!$X$4="Calgary",AND('Service Zone Menu'!$X$4="Okotoks", $A33&lt;DATE(2019, 1, 1))),$T33*($H33+$G33+$J33),$T33*($H33+$J33-$AG33))</f>
        <v>26.964639443378456</v>
      </c>
      <c r="W33" s="425">
        <f t="shared" si="3"/>
        <v>0</v>
      </c>
      <c r="X33" s="426"/>
      <c r="Y33" s="386"/>
      <c r="Z33" s="386"/>
      <c r="AA33" s="386"/>
      <c r="AB33" s="386">
        <v>0.52800000000000002</v>
      </c>
      <c r="AC33" s="386"/>
      <c r="AD33" s="386"/>
      <c r="AE33" s="386"/>
      <c r="AF33" s="386"/>
      <c r="AG33" s="492">
        <f t="shared" si="4"/>
        <v>0</v>
      </c>
      <c r="AH33" s="492">
        <f t="shared" si="5"/>
        <v>0</v>
      </c>
      <c r="AI33" s="425">
        <f t="shared" si="6"/>
        <v>0</v>
      </c>
      <c r="AJ33" s="425">
        <f t="shared" si="7"/>
        <v>10.863139939222636</v>
      </c>
      <c r="AK33" s="425">
        <f t="shared" si="8"/>
        <v>0</v>
      </c>
      <c r="AL33" s="425">
        <f t="shared" si="20"/>
        <v>0</v>
      </c>
      <c r="AM33" s="425">
        <f t="shared" si="21"/>
        <v>0</v>
      </c>
      <c r="AN33" s="425">
        <f t="shared" si="22"/>
        <v>0</v>
      </c>
      <c r="AO33" s="200">
        <f>IF($I$2="DRT",VLOOKUP(A33,'Misc. Data &amp; Mechanisms'!$A$1483:$H$1574,7,FALSE),BA33)</f>
        <v>0.223</v>
      </c>
      <c r="AP33" s="552">
        <f t="shared" si="23"/>
        <v>6.9130000000000003</v>
      </c>
      <c r="AQ33" s="290"/>
      <c r="AR33" s="494">
        <f t="shared" si="24"/>
        <v>0</v>
      </c>
      <c r="AS33" s="495">
        <f>5%</f>
        <v>0.05</v>
      </c>
      <c r="AT33" s="341">
        <f>'Misc. Data &amp; Mechanisms'!AM306</f>
        <v>20.836952985359389</v>
      </c>
      <c r="AU33" s="424">
        <f>'Misc. Data &amp; Mechanisms'!AQ306</f>
        <v>20.128310686777613</v>
      </c>
      <c r="AV33" s="1087">
        <f>'Misc. Data &amp; Mechanisms'!Z306</f>
        <v>20.574128672770144</v>
      </c>
      <c r="AW33" s="1087">
        <f>'Misc. Data &amp; Mechanisms'!AA306</f>
        <v>13.140178429575826</v>
      </c>
      <c r="AX33" s="1460">
        <f>'Misc. Data &amp; Mechanisms'!$B$260</f>
        <v>10.198990303636064</v>
      </c>
      <c r="AY33" s="197">
        <f>IFERROR(IF('Personalized Bill Menu'!$B$30="Yes", IF('Personalized Bill Menu'!$B$34="Natural Gas",VLOOKUP($A33, 'Personalized Bill Menu'!$H$4:$L$93, 2, FALSE), IF('Personalized Bill Menu'!$B$34="Both",VLOOKUP($A33,'Personalized Bill Menu'!$H$4:$P$93, 6, FALSE), 0)), 0),0)</f>
        <v>0</v>
      </c>
      <c r="AZ33" s="1343">
        <f>IFERROR(IF('Personalized Bill Menu'!$C$37="Custom", IF('Personalized Bill Menu'!$B$34="Natural Gas",VLOOKUP($A33, 'Personalized Bill Menu'!$H$4:$L$93, 3, FALSE), IF('Personalized Bill Menu'!$B$34="Both",VLOOKUP($A33,'Personalized Bill Menu'!$H$4:$P$93, 7, FALSE), 0)), 0),0)</f>
        <v>0</v>
      </c>
      <c r="BA33" s="1344">
        <f>IFERROR(IF('Personalized Bill Menu'!$C$37="Custom", IF('Personalized Bill Menu'!$B$34="Natural Gas",VLOOKUP($A33, 'Personalized Bill Menu'!$H$4:$L$93, 4, FALSE), IF('Personalized Bill Menu'!$B$34="Both",VLOOKUP($A33,'Personalized Bill Menu'!$H$4:$P$93, 8, FALSE), 0)), 0),0)</f>
        <v>0</v>
      </c>
      <c r="BB33" s="468"/>
      <c r="BC33" s="468"/>
      <c r="BD33" s="468"/>
    </row>
    <row r="34" spans="1:56" s="469" customFormat="1" x14ac:dyDescent="0.35">
      <c r="A34" s="496">
        <v>41730</v>
      </c>
      <c r="B34" s="497">
        <f t="shared" si="9"/>
        <v>30</v>
      </c>
      <c r="C34" s="1581">
        <f t="shared" si="10"/>
        <v>11.107498159818526</v>
      </c>
      <c r="D34" s="66">
        <f t="shared" si="11"/>
        <v>9.711520335572871</v>
      </c>
      <c r="E34" s="66">
        <f>(1+$AS34)*IF(OR('Service Zone Menu'!$X$4="Calgary",AND('Service Zone Menu'!$X$4="Okotoks", $A34&lt;DATE(2019, 1, 1))),((1+$T34)*($N34+$P34+($X34+$Y34+$AA34+$AB34+$AC34))) + ($U34*($P34+($X34+$Y34+$AA34+$AB34+$AC34))) + $AQ34, ((1+$T34)*($P34+($Y34+$AA34+$AB34+$AC34)))+ ($U34*($P34+($X34+$Y34+$AA34+$AB34+$AC34)))+$N34+$X34 + $AQ34)</f>
        <v>6.6685999799999998</v>
      </c>
      <c r="F34" s="488">
        <f t="shared" si="12"/>
        <v>107.87069425641586</v>
      </c>
      <c r="G34" s="489">
        <f t="shared" si="13"/>
        <v>46.940287223393092</v>
      </c>
      <c r="H34" s="490">
        <f t="shared" si="0"/>
        <v>31.036258660347887</v>
      </c>
      <c r="I34" s="490">
        <f t="shared" si="14"/>
        <v>9.6035350483971715</v>
      </c>
      <c r="J34" s="490">
        <f t="shared" si="15"/>
        <v>8.4639135977817173</v>
      </c>
      <c r="K34" s="490">
        <f t="shared" si="16"/>
        <v>6.69</v>
      </c>
      <c r="L34" s="490">
        <f t="shared" si="17"/>
        <v>0</v>
      </c>
      <c r="M34" s="491">
        <f t="shared" si="18"/>
        <v>5.1366997264959942</v>
      </c>
      <c r="N34" s="273">
        <f>IF($I$2="DRT",VLOOKUP(A34,'Misc. Data &amp; Mechanisms'!$A$1381:$D$1471,3,FALSE),AZ34)</f>
        <v>4.226</v>
      </c>
      <c r="O34" s="425">
        <f t="shared" si="19"/>
        <v>46.940287223393092</v>
      </c>
      <c r="P34" s="387">
        <v>0.72799999999999998</v>
      </c>
      <c r="Q34" s="278">
        <v>0.76500000000000001</v>
      </c>
      <c r="R34" s="425">
        <f t="shared" si="1"/>
        <v>8.0862586603478874</v>
      </c>
      <c r="S34" s="425">
        <f t="shared" si="2"/>
        <v>22.95</v>
      </c>
      <c r="T34" s="391">
        <f>VLOOKUP($A34,'Misc. Data &amp; Mechanisms'!$A$63:$DY$152,HLOOKUP('Service Zone Menu'!$X$4&amp;"_ATCO-S_NG_Y_1",'Misc. Data &amp; Mechanisms'!$A$55:$DY$62,8,FALSE), FALSE)</f>
        <v>0.1111</v>
      </c>
      <c r="U34" s="205">
        <f>VLOOKUP($A34,'Misc. Data &amp; Mechanisms'!$A$63:$DY$152,HLOOKUP('Service Zone Menu'!$X$4&amp;"_ATCO-S_NG_Y_2",'Misc. Data &amp; Mechanisms'!$A$55:$DY$62,8,FALSE), FALSE)</f>
        <v>0</v>
      </c>
      <c r="V34" s="425">
        <f>IF(OR('Service Zone Menu'!$X$4="Calgary",AND('Service Zone Menu'!$X$4="Okotoks", $A34&lt;DATE(2019, 1, 1))),$T34*($H34+$G34+$J34),$T34*($H34+$J34-$AG34))</f>
        <v>9.6035350483971715</v>
      </c>
      <c r="W34" s="425">
        <f t="shared" si="3"/>
        <v>0</v>
      </c>
      <c r="X34" s="426"/>
      <c r="Y34" s="386"/>
      <c r="Z34" s="386"/>
      <c r="AA34" s="386"/>
      <c r="AB34" s="386">
        <v>0.76200000000000001</v>
      </c>
      <c r="AC34" s="386"/>
      <c r="AD34" s="386"/>
      <c r="AE34" s="386"/>
      <c r="AF34" s="386"/>
      <c r="AG34" s="492">
        <f t="shared" si="4"/>
        <v>0</v>
      </c>
      <c r="AH34" s="492">
        <f t="shared" si="5"/>
        <v>0</v>
      </c>
      <c r="AI34" s="425">
        <f t="shared" si="6"/>
        <v>0</v>
      </c>
      <c r="AJ34" s="425">
        <f t="shared" si="7"/>
        <v>8.4639135977817173</v>
      </c>
      <c r="AK34" s="425">
        <f t="shared" si="8"/>
        <v>0</v>
      </c>
      <c r="AL34" s="425">
        <f t="shared" si="20"/>
        <v>0</v>
      </c>
      <c r="AM34" s="425">
        <f t="shared" si="21"/>
        <v>0</v>
      </c>
      <c r="AN34" s="425">
        <f t="shared" si="22"/>
        <v>0</v>
      </c>
      <c r="AO34" s="200">
        <f>IF($I$2="DRT",VLOOKUP(A34,'Misc. Data &amp; Mechanisms'!$A$1483:$H$1574,7,FALSE),BA34)</f>
        <v>0.223</v>
      </c>
      <c r="AP34" s="552">
        <f t="shared" si="23"/>
        <v>6.69</v>
      </c>
      <c r="AQ34" s="290"/>
      <c r="AR34" s="494">
        <f t="shared" si="24"/>
        <v>0</v>
      </c>
      <c r="AS34" s="495">
        <f>5%</f>
        <v>0.05</v>
      </c>
      <c r="AT34" s="341">
        <f>'Misc. Data &amp; Mechanisms'!AM307</f>
        <v>11.249390952211932</v>
      </c>
      <c r="AU34" s="424">
        <f>'Misc. Data &amp; Mechanisms'!AQ307</f>
        <v>11.086628204984903</v>
      </c>
      <c r="AV34" s="1087">
        <f>'Misc. Data &amp; Mechanisms'!Z307</f>
        <v>11.107498159818526</v>
      </c>
      <c r="AW34" s="1087">
        <f>'Misc. Data &amp; Mechanisms'!AA307</f>
        <v>7.0940796593428201</v>
      </c>
      <c r="AX34" s="1460">
        <f>'Misc. Data &amp; Mechanisms'!$B$260</f>
        <v>10.198990303636064</v>
      </c>
      <c r="AY34" s="197">
        <f>IFERROR(IF('Personalized Bill Menu'!$B$30="Yes", IF('Personalized Bill Menu'!$B$34="Natural Gas",VLOOKUP($A34, 'Personalized Bill Menu'!$H$4:$L$93, 2, FALSE), IF('Personalized Bill Menu'!$B$34="Both",VLOOKUP($A34,'Personalized Bill Menu'!$H$4:$P$93, 6, FALSE), 0)), 0),0)</f>
        <v>0</v>
      </c>
      <c r="AZ34" s="1343">
        <f>IFERROR(IF('Personalized Bill Menu'!$C$37="Custom", IF('Personalized Bill Menu'!$B$34="Natural Gas",VLOOKUP($A34, 'Personalized Bill Menu'!$H$4:$L$93, 3, FALSE), IF('Personalized Bill Menu'!$B$34="Both",VLOOKUP($A34,'Personalized Bill Menu'!$H$4:$P$93, 7, FALSE), 0)), 0),0)</f>
        <v>0</v>
      </c>
      <c r="BA34" s="1344">
        <f>IFERROR(IF('Personalized Bill Menu'!$C$37="Custom", IF('Personalized Bill Menu'!$B$34="Natural Gas",VLOOKUP($A34, 'Personalized Bill Menu'!$H$4:$L$93, 4, FALSE), IF('Personalized Bill Menu'!$B$34="Both",VLOOKUP($A34,'Personalized Bill Menu'!$H$4:$P$93, 8, FALSE), 0)), 0),0)</f>
        <v>0</v>
      </c>
      <c r="BB34" s="468"/>
      <c r="BC34" s="468"/>
      <c r="BD34" s="468"/>
    </row>
    <row r="35" spans="1:56" s="469" customFormat="1" x14ac:dyDescent="0.35">
      <c r="A35" s="496">
        <v>41760</v>
      </c>
      <c r="B35" s="497">
        <f t="shared" si="9"/>
        <v>31</v>
      </c>
      <c r="C35" s="1581">
        <f t="shared" si="10"/>
        <v>7.6720066184584503</v>
      </c>
      <c r="D35" s="66">
        <f t="shared" si="11"/>
        <v>10.858148168023471</v>
      </c>
      <c r="E35" s="66">
        <f>(1+$AS35)*IF(OR('Service Zone Menu'!$X$4="Calgary",AND('Service Zone Menu'!$X$4="Okotoks", $A35&lt;DATE(2019, 1, 1))),((1+$T35)*($N35+$P35+($X35+$Y35+$AA35+$AB35+$AC35))) + ($U35*($P35+($X35+$Y35+$AA35+$AB35+$AC35))) + $AQ35, ((1+$T35)*($P35+($Y35+$AA35+$AB35+$AC35)))+ ($U35*($P35+($X35+$Y35+$AA35+$AB35+$AC35)))+$N35+$X35 + $AQ35)</f>
        <v>6.3057702749999995</v>
      </c>
      <c r="F35" s="488">
        <f t="shared" si="12"/>
        <v>83.303784609278566</v>
      </c>
      <c r="G35" s="489">
        <f t="shared" si="13"/>
        <v>30.035905911264834</v>
      </c>
      <c r="H35" s="490">
        <f t="shared" si="0"/>
        <v>29.300220818237751</v>
      </c>
      <c r="I35" s="490">
        <f t="shared" si="14"/>
        <v>7.2417419503545171</v>
      </c>
      <c r="J35" s="490">
        <f t="shared" si="15"/>
        <v>5.8460690432653388</v>
      </c>
      <c r="K35" s="490">
        <f t="shared" si="16"/>
        <v>6.9130000000000003</v>
      </c>
      <c r="L35" s="490">
        <f t="shared" si="17"/>
        <v>0</v>
      </c>
      <c r="M35" s="491">
        <f t="shared" si="18"/>
        <v>3.9668468861561226</v>
      </c>
      <c r="N35" s="273">
        <f>IF($I$2="DRT",VLOOKUP(A35,'Misc. Data &amp; Mechanisms'!$A$1381:$D$1471,3,FALSE),AZ35)</f>
        <v>3.915</v>
      </c>
      <c r="O35" s="425">
        <f t="shared" si="19"/>
        <v>30.035905911264834</v>
      </c>
      <c r="P35" s="387">
        <v>0.72799999999999998</v>
      </c>
      <c r="Q35" s="278">
        <v>0.76500000000000001</v>
      </c>
      <c r="R35" s="425">
        <f t="shared" si="1"/>
        <v>5.5852208182377518</v>
      </c>
      <c r="S35" s="425">
        <f t="shared" si="2"/>
        <v>23.715</v>
      </c>
      <c r="T35" s="391">
        <f>VLOOKUP($A35,'Misc. Data &amp; Mechanisms'!$A$63:$DY$152,HLOOKUP('Service Zone Menu'!$X$4&amp;"_ATCO-S_NG_Y_1",'Misc. Data &amp; Mechanisms'!$A$55:$DY$62,8,FALSE), FALSE)</f>
        <v>0.1111</v>
      </c>
      <c r="U35" s="205">
        <f>VLOOKUP($A35,'Misc. Data &amp; Mechanisms'!$A$63:$DY$152,HLOOKUP('Service Zone Menu'!$X$4&amp;"_ATCO-S_NG_Y_2",'Misc. Data &amp; Mechanisms'!$A$55:$DY$62,8,FALSE), FALSE)</f>
        <v>0</v>
      </c>
      <c r="V35" s="425">
        <f>IF(OR('Service Zone Menu'!$X$4="Calgary",AND('Service Zone Menu'!$X$4="Okotoks", $A35&lt;DATE(2019, 1, 1))),$T35*($H35+$G35+$J35),$T35*($H35+$J35-$AG35))</f>
        <v>7.2417419503545171</v>
      </c>
      <c r="W35" s="425">
        <f t="shared" si="3"/>
        <v>0</v>
      </c>
      <c r="X35" s="426"/>
      <c r="Y35" s="386"/>
      <c r="Z35" s="386"/>
      <c r="AA35" s="386"/>
      <c r="AB35" s="386">
        <v>0.76200000000000001</v>
      </c>
      <c r="AC35" s="386"/>
      <c r="AD35" s="386"/>
      <c r="AE35" s="386"/>
      <c r="AF35" s="386"/>
      <c r="AG35" s="492">
        <f t="shared" si="4"/>
        <v>0</v>
      </c>
      <c r="AH35" s="492">
        <f t="shared" si="5"/>
        <v>0</v>
      </c>
      <c r="AI35" s="425">
        <f t="shared" si="6"/>
        <v>0</v>
      </c>
      <c r="AJ35" s="425">
        <f t="shared" si="7"/>
        <v>5.8460690432653388</v>
      </c>
      <c r="AK35" s="425">
        <f t="shared" si="8"/>
        <v>0</v>
      </c>
      <c r="AL35" s="425">
        <f t="shared" si="20"/>
        <v>0</v>
      </c>
      <c r="AM35" s="425">
        <f t="shared" si="21"/>
        <v>0</v>
      </c>
      <c r="AN35" s="425">
        <f t="shared" si="22"/>
        <v>0</v>
      </c>
      <c r="AO35" s="200">
        <f>IF($I$2="DRT",VLOOKUP(A35,'Misc. Data &amp; Mechanisms'!$A$1483:$H$1574,7,FALSE),BA35)</f>
        <v>0.223</v>
      </c>
      <c r="AP35" s="552">
        <f t="shared" si="23"/>
        <v>6.9130000000000003</v>
      </c>
      <c r="AQ35" s="290"/>
      <c r="AR35" s="494">
        <f t="shared" si="24"/>
        <v>0</v>
      </c>
      <c r="AS35" s="495">
        <f>5%</f>
        <v>0.05</v>
      </c>
      <c r="AT35" s="341">
        <f>'Misc. Data &amp; Mechanisms'!AM308</f>
        <v>7.7700127064803048</v>
      </c>
      <c r="AU35" s="424">
        <f>'Misc. Data &amp; Mechanisms'!AQ308</f>
        <v>7.1272528085922717</v>
      </c>
      <c r="AV35" s="1087">
        <f>'Misc. Data &amp; Mechanisms'!Z308</f>
        <v>7.6720066184584503</v>
      </c>
      <c r="AW35" s="1087">
        <f>'Misc. Data &amp; Mechanisms'!AA308</f>
        <v>4.8999176335887675</v>
      </c>
      <c r="AX35" s="1460">
        <f>'Misc. Data &amp; Mechanisms'!$B$260</f>
        <v>10.198990303636064</v>
      </c>
      <c r="AY35" s="197">
        <f>IFERROR(IF('Personalized Bill Menu'!$B$30="Yes", IF('Personalized Bill Menu'!$B$34="Natural Gas",VLOOKUP($A35, 'Personalized Bill Menu'!$H$4:$L$93, 2, FALSE), IF('Personalized Bill Menu'!$B$34="Both",VLOOKUP($A35,'Personalized Bill Menu'!$H$4:$P$93, 6, FALSE), 0)), 0),0)</f>
        <v>0</v>
      </c>
      <c r="AZ35" s="1343">
        <f>IFERROR(IF('Personalized Bill Menu'!$C$37="Custom", IF('Personalized Bill Menu'!$B$34="Natural Gas",VLOOKUP($A35, 'Personalized Bill Menu'!$H$4:$L$93, 3, FALSE), IF('Personalized Bill Menu'!$B$34="Both",VLOOKUP($A35,'Personalized Bill Menu'!$H$4:$P$93, 7, FALSE), 0)), 0),0)</f>
        <v>0</v>
      </c>
      <c r="BA35" s="1344">
        <f>IFERROR(IF('Personalized Bill Menu'!$C$37="Custom", IF('Personalized Bill Menu'!$B$34="Natural Gas",VLOOKUP($A35, 'Personalized Bill Menu'!$H$4:$L$93, 4, FALSE), IF('Personalized Bill Menu'!$B$34="Both",VLOOKUP($A35,'Personalized Bill Menu'!$H$4:$P$93, 8, FALSE), 0)), 0),0)</f>
        <v>0</v>
      </c>
      <c r="BB35" s="468"/>
      <c r="BC35" s="468"/>
      <c r="BD35" s="468"/>
    </row>
    <row r="36" spans="1:56" s="469" customFormat="1" x14ac:dyDescent="0.35">
      <c r="A36" s="496">
        <v>41791</v>
      </c>
      <c r="B36" s="497">
        <f t="shared" si="9"/>
        <v>30</v>
      </c>
      <c r="C36" s="1581">
        <f t="shared" si="10"/>
        <v>4.5897978449022441</v>
      </c>
      <c r="D36" s="66">
        <f t="shared" si="11"/>
        <v>12.28727558549425</v>
      </c>
      <c r="E36" s="66">
        <f>(1+$AS36)*IF(OR('Service Zone Menu'!$X$4="Calgary",AND('Service Zone Menu'!$X$4="Okotoks", $A36&lt;DATE(2019, 1, 1))),((1+$T36)*($N36+$P36+($X36+$Y36+$AA36+$AB36+$AC36))) + ($U36*($P36+($X36+$Y36+$AA36+$AB36+$AC36))) + $AQ36, ((1+$T36)*($P36+($Y36+$AA36+$AB36+$AC36)))+ ($U36*($P36+($X36+$Y36+$AA36+$AB36+$AC36)))+$N36+$X36 + $AQ36)</f>
        <v>4.9232841000000001</v>
      </c>
      <c r="F36" s="488">
        <f t="shared" si="12"/>
        <v>56.39611100202147</v>
      </c>
      <c r="G36" s="489">
        <f t="shared" si="13"/>
        <v>12.530148116583126</v>
      </c>
      <c r="H36" s="490">
        <f t="shared" si="0"/>
        <v>26.291372831088832</v>
      </c>
      <c r="I36" s="490">
        <f t="shared" si="14"/>
        <v>4.7016350011996577</v>
      </c>
      <c r="J36" s="490">
        <f t="shared" si="15"/>
        <v>3.4974259578155102</v>
      </c>
      <c r="K36" s="490">
        <f t="shared" si="16"/>
        <v>6.69</v>
      </c>
      <c r="L36" s="490">
        <f t="shared" si="17"/>
        <v>0</v>
      </c>
      <c r="M36" s="491">
        <f t="shared" si="18"/>
        <v>2.6855290953343562</v>
      </c>
      <c r="N36" s="273">
        <f>IF($I$2="DRT",VLOOKUP(A36,'Misc. Data &amp; Mechanisms'!$A$1381:$D$1471,3,FALSE),AZ36)</f>
        <v>2.73</v>
      </c>
      <c r="O36" s="425">
        <f t="shared" si="19"/>
        <v>12.530148116583126</v>
      </c>
      <c r="P36" s="387">
        <v>0.72799999999999998</v>
      </c>
      <c r="Q36" s="278">
        <v>0.76500000000000001</v>
      </c>
      <c r="R36" s="425">
        <f t="shared" si="1"/>
        <v>3.3413728310888335</v>
      </c>
      <c r="S36" s="425">
        <f t="shared" si="2"/>
        <v>22.95</v>
      </c>
      <c r="T36" s="391">
        <f>VLOOKUP($A36,'Misc. Data &amp; Mechanisms'!$A$63:$DY$152,HLOOKUP('Service Zone Menu'!$X$4&amp;"_ATCO-S_NG_Y_1",'Misc. Data &amp; Mechanisms'!$A$55:$DY$62,8,FALSE), FALSE)</f>
        <v>0.1111</v>
      </c>
      <c r="U36" s="205">
        <f>VLOOKUP($A36,'Misc. Data &amp; Mechanisms'!$A$63:$DY$152,HLOOKUP('Service Zone Menu'!$X$4&amp;"_ATCO-S_NG_Y_2",'Misc. Data &amp; Mechanisms'!$A$55:$DY$62,8,FALSE), FALSE)</f>
        <v>0</v>
      </c>
      <c r="V36" s="425">
        <f>IF(OR('Service Zone Menu'!$X$4="Calgary",AND('Service Zone Menu'!$X$4="Okotoks", $A36&lt;DATE(2019, 1, 1))),$T36*($H36+$G36+$J36),$T36*($H36+$J36-$AG36))</f>
        <v>4.7016350011996577</v>
      </c>
      <c r="W36" s="425">
        <f t="shared" si="3"/>
        <v>0</v>
      </c>
      <c r="X36" s="426"/>
      <c r="Y36" s="386"/>
      <c r="Z36" s="386"/>
      <c r="AA36" s="386"/>
      <c r="AB36" s="386">
        <v>0.76200000000000001</v>
      </c>
      <c r="AC36" s="386"/>
      <c r="AD36" s="386"/>
      <c r="AE36" s="386"/>
      <c r="AF36" s="386"/>
      <c r="AG36" s="492">
        <f t="shared" si="4"/>
        <v>0</v>
      </c>
      <c r="AH36" s="492">
        <f t="shared" si="5"/>
        <v>0</v>
      </c>
      <c r="AI36" s="425">
        <f t="shared" si="6"/>
        <v>0</v>
      </c>
      <c r="AJ36" s="425">
        <f t="shared" si="7"/>
        <v>3.4974259578155102</v>
      </c>
      <c r="AK36" s="425">
        <f t="shared" si="8"/>
        <v>0</v>
      </c>
      <c r="AL36" s="425">
        <f t="shared" si="20"/>
        <v>0</v>
      </c>
      <c r="AM36" s="425">
        <f t="shared" si="21"/>
        <v>0</v>
      </c>
      <c r="AN36" s="425">
        <f t="shared" si="22"/>
        <v>0</v>
      </c>
      <c r="AO36" s="200">
        <f>IF($I$2="DRT",VLOOKUP(A36,'Misc. Data &amp; Mechanisms'!$A$1483:$H$1574,7,FALSE),BA36)</f>
        <v>0.223</v>
      </c>
      <c r="AP36" s="552">
        <f t="shared" si="23"/>
        <v>6.69</v>
      </c>
      <c r="AQ36" s="290"/>
      <c r="AR36" s="494">
        <f t="shared" si="24"/>
        <v>0</v>
      </c>
      <c r="AS36" s="495">
        <f>5%</f>
        <v>0.05</v>
      </c>
      <c r="AT36" s="341">
        <f>'Misc. Data &amp; Mechanisms'!AM309</f>
        <v>4.648430241087584</v>
      </c>
      <c r="AU36" s="424">
        <f>'Misc. Data &amp; Mechanisms'!AQ309</f>
        <v>3.9060212169169208</v>
      </c>
      <c r="AV36" s="1087">
        <f>'Misc. Data &amp; Mechanisms'!Z309</f>
        <v>4.5897978449022441</v>
      </c>
      <c r="AW36" s="1087">
        <f>'Misc. Data &amp; Mechanisms'!AA309</f>
        <v>2.9313884246052839</v>
      </c>
      <c r="AX36" s="1460">
        <f>'Misc. Data &amp; Mechanisms'!$B$260</f>
        <v>10.198990303636064</v>
      </c>
      <c r="AY36" s="197">
        <f>IFERROR(IF('Personalized Bill Menu'!$B$30="Yes", IF('Personalized Bill Menu'!$B$34="Natural Gas",VLOOKUP($A36, 'Personalized Bill Menu'!$H$4:$L$93, 2, FALSE), IF('Personalized Bill Menu'!$B$34="Both",VLOOKUP($A36,'Personalized Bill Menu'!$H$4:$P$93, 6, FALSE), 0)), 0),0)</f>
        <v>0</v>
      </c>
      <c r="AZ36" s="1343">
        <f>IFERROR(IF('Personalized Bill Menu'!$C$37="Custom", IF('Personalized Bill Menu'!$B$34="Natural Gas",VLOOKUP($A36, 'Personalized Bill Menu'!$H$4:$L$93, 3, FALSE), IF('Personalized Bill Menu'!$B$34="Both",VLOOKUP($A36,'Personalized Bill Menu'!$H$4:$P$93, 7, FALSE), 0)), 0),0)</f>
        <v>0</v>
      </c>
      <c r="BA36" s="1344">
        <f>IFERROR(IF('Personalized Bill Menu'!$C$37="Custom", IF('Personalized Bill Menu'!$B$34="Natural Gas",VLOOKUP($A36, 'Personalized Bill Menu'!$H$4:$L$93, 4, FALSE), IF('Personalized Bill Menu'!$B$34="Both",VLOOKUP($A36,'Personalized Bill Menu'!$H$4:$P$93, 8, FALSE), 0)), 0),0)</f>
        <v>0</v>
      </c>
      <c r="BB36" s="468"/>
      <c r="BC36" s="468"/>
      <c r="BD36" s="468"/>
    </row>
    <row r="37" spans="1:56" s="469" customFormat="1" x14ac:dyDescent="0.35">
      <c r="A37" s="496">
        <v>41821</v>
      </c>
      <c r="B37" s="497">
        <f t="shared" si="9"/>
        <v>31</v>
      </c>
      <c r="C37" s="1581">
        <f t="shared" si="10"/>
        <v>2.7320829657733774</v>
      </c>
      <c r="D37" s="66">
        <f t="shared" si="11"/>
        <v>20.516195754058309</v>
      </c>
      <c r="E37" s="66">
        <f>(1+$AS37)*IF(OR('Service Zone Menu'!$X$4="Calgary",AND('Service Zone Menu'!$X$4="Okotoks", $A37&lt;DATE(2019, 1, 1))),((1+$T37)*($N37+$P37+($X37+$Y37+$AA37+$AB37+$AC37))) + ($U37*($P37+($X37+$Y37+$AA37+$AB37+$AC37))) + $AQ37, ((1+$T37)*($P37+($Y37+$AA37+$AB37+$AC37)))+ ($U37*($P37+($X37+$Y37+$AA37+$AB37+$AC37)))+$N37+$X37 + $AQ37)</f>
        <v>7.7325893399999996</v>
      </c>
      <c r="F37" s="488">
        <f t="shared" si="12"/>
        <v>56.0519489421348</v>
      </c>
      <c r="G37" s="489">
        <f t="shared" si="13"/>
        <v>14.037442278143613</v>
      </c>
      <c r="H37" s="490">
        <f t="shared" si="0"/>
        <v>25.703956399083019</v>
      </c>
      <c r="I37" s="490">
        <f t="shared" si="14"/>
        <v>4.646562619172915</v>
      </c>
      <c r="J37" s="490">
        <f t="shared" si="15"/>
        <v>2.0818472199193137</v>
      </c>
      <c r="K37" s="490">
        <f t="shared" si="16"/>
        <v>6.9130000000000003</v>
      </c>
      <c r="L37" s="490">
        <f t="shared" si="17"/>
        <v>0</v>
      </c>
      <c r="M37" s="491">
        <f t="shared" si="18"/>
        <v>2.669140425815943</v>
      </c>
      <c r="N37" s="273">
        <f>IF($I$2="DRT",VLOOKUP(A37,'Misc. Data &amp; Mechanisms'!$A$1381:$D$1471,3,FALSE),AZ37)</f>
        <v>5.1379999999999999</v>
      </c>
      <c r="O37" s="425">
        <f t="shared" si="19"/>
        <v>14.037442278143613</v>
      </c>
      <c r="P37" s="387">
        <v>0.72799999999999998</v>
      </c>
      <c r="Q37" s="278">
        <v>0.76500000000000001</v>
      </c>
      <c r="R37" s="425">
        <f t="shared" si="1"/>
        <v>1.9889563990830186</v>
      </c>
      <c r="S37" s="425">
        <f t="shared" si="2"/>
        <v>23.715</v>
      </c>
      <c r="T37" s="391">
        <f>VLOOKUP($A37,'Misc. Data &amp; Mechanisms'!$A$63:$DY$152,HLOOKUP('Service Zone Menu'!$X$4&amp;"_ATCO-S_NG_Y_1",'Misc. Data &amp; Mechanisms'!$A$55:$DY$62,8,FALSE), FALSE)</f>
        <v>0.1111</v>
      </c>
      <c r="U37" s="205">
        <f>VLOOKUP($A37,'Misc. Data &amp; Mechanisms'!$A$63:$DY$152,HLOOKUP('Service Zone Menu'!$X$4&amp;"_ATCO-S_NG_Y_2",'Misc. Data &amp; Mechanisms'!$A$55:$DY$62,8,FALSE), FALSE)</f>
        <v>0</v>
      </c>
      <c r="V37" s="425">
        <f>IF(OR('Service Zone Menu'!$X$4="Calgary",AND('Service Zone Menu'!$X$4="Okotoks", $A37&lt;DATE(2019, 1, 1))),$T37*($H37+$G37+$J37),$T37*($H37+$J37-$AG37))</f>
        <v>4.646562619172915</v>
      </c>
      <c r="W37" s="425">
        <f t="shared" si="3"/>
        <v>0</v>
      </c>
      <c r="X37" s="426"/>
      <c r="Y37" s="386"/>
      <c r="Z37" s="386"/>
      <c r="AA37" s="386"/>
      <c r="AB37" s="386">
        <v>0.76200000000000001</v>
      </c>
      <c r="AC37" s="386"/>
      <c r="AD37" s="386"/>
      <c r="AE37" s="386"/>
      <c r="AF37" s="386"/>
      <c r="AG37" s="492">
        <f t="shared" si="4"/>
        <v>0</v>
      </c>
      <c r="AH37" s="492">
        <f t="shared" si="5"/>
        <v>0</v>
      </c>
      <c r="AI37" s="425">
        <f t="shared" si="6"/>
        <v>0</v>
      </c>
      <c r="AJ37" s="425">
        <f t="shared" si="7"/>
        <v>2.0818472199193137</v>
      </c>
      <c r="AK37" s="425">
        <f t="shared" si="8"/>
        <v>0</v>
      </c>
      <c r="AL37" s="425">
        <f t="shared" si="20"/>
        <v>0</v>
      </c>
      <c r="AM37" s="425">
        <f t="shared" si="21"/>
        <v>0</v>
      </c>
      <c r="AN37" s="425">
        <f t="shared" si="22"/>
        <v>0</v>
      </c>
      <c r="AO37" s="200">
        <f>IF($I$2="DRT",VLOOKUP(A37,'Misc. Data &amp; Mechanisms'!$A$1483:$H$1574,7,FALSE),BA37)</f>
        <v>0.223</v>
      </c>
      <c r="AP37" s="552">
        <f t="shared" si="23"/>
        <v>6.9130000000000003</v>
      </c>
      <c r="AQ37" s="290"/>
      <c r="AR37" s="494">
        <f t="shared" si="24"/>
        <v>0</v>
      </c>
      <c r="AS37" s="495">
        <f>5%</f>
        <v>0.05</v>
      </c>
      <c r="AT37" s="341">
        <f>'Misc. Data &amp; Mechanisms'!AM310</f>
        <v>2.7669839736768869</v>
      </c>
      <c r="AU37" s="424">
        <f>'Misc. Data &amp; Mechanisms'!AQ310</f>
        <v>2.6354727480723614</v>
      </c>
      <c r="AV37" s="1087">
        <f>'Misc. Data &amp; Mechanisms'!Z310</f>
        <v>2.7320829657733774</v>
      </c>
      <c r="AW37" s="1087">
        <f>'Misc. Data &amp; Mechanisms'!AA310</f>
        <v>1.7449126631632572</v>
      </c>
      <c r="AX37" s="1460">
        <f>'Misc. Data &amp; Mechanisms'!$B$260</f>
        <v>10.198990303636064</v>
      </c>
      <c r="AY37" s="197">
        <f>IFERROR(IF('Personalized Bill Menu'!$B$30="Yes", IF('Personalized Bill Menu'!$B$34="Natural Gas",VLOOKUP($A37, 'Personalized Bill Menu'!$H$4:$L$93, 2, FALSE), IF('Personalized Bill Menu'!$B$34="Both",VLOOKUP($A37,'Personalized Bill Menu'!$H$4:$P$93, 6, FALSE), 0)), 0),0)</f>
        <v>0</v>
      </c>
      <c r="AZ37" s="1343">
        <f>IFERROR(IF('Personalized Bill Menu'!$C$37="Custom", IF('Personalized Bill Menu'!$B$34="Natural Gas",VLOOKUP($A37, 'Personalized Bill Menu'!$H$4:$L$93, 3, FALSE), IF('Personalized Bill Menu'!$B$34="Both",VLOOKUP($A37,'Personalized Bill Menu'!$H$4:$P$93, 7, FALSE), 0)), 0),0)</f>
        <v>0</v>
      </c>
      <c r="BA37" s="1344">
        <f>IFERROR(IF('Personalized Bill Menu'!$C$37="Custom", IF('Personalized Bill Menu'!$B$34="Natural Gas",VLOOKUP($A37, 'Personalized Bill Menu'!$H$4:$L$93, 4, FALSE), IF('Personalized Bill Menu'!$B$34="Both",VLOOKUP($A37,'Personalized Bill Menu'!$H$4:$P$93, 8, FALSE), 0)), 0),0)</f>
        <v>0</v>
      </c>
      <c r="BB37" s="468"/>
      <c r="BC37" s="468"/>
      <c r="BD37" s="468"/>
    </row>
    <row r="38" spans="1:56" s="469" customFormat="1" x14ac:dyDescent="0.35">
      <c r="A38" s="496">
        <v>41852</v>
      </c>
      <c r="B38" s="497">
        <f t="shared" si="9"/>
        <v>31</v>
      </c>
      <c r="C38" s="1581">
        <f t="shared" si="10"/>
        <v>3.3502929773367698</v>
      </c>
      <c r="D38" s="66">
        <f t="shared" si="11"/>
        <v>16.536827669679209</v>
      </c>
      <c r="E38" s="66">
        <f>(1+$AS38)*IF(OR('Service Zone Menu'!$X$4="Calgary",AND('Service Zone Menu'!$X$4="Okotoks", $A38&lt;DATE(2019, 1, 1))),((1+$T38)*($N38+$P38+($X38+$Y38+$AA38+$AB38+$AC38))) + ($U38*($P38+($X38+$Y38+$AA38+$AB38+$AC38))) + $AQ38, ((1+$T38)*($P38+($Y38+$AA38+$AB38+$AC38)))+ ($U38*($P38+($X38+$Y38+$AA38+$AB38+$AC38)))+$N38+$X38 + $AQ38)</f>
        <v>6.1121055450000012</v>
      </c>
      <c r="F38" s="488">
        <f t="shared" si="12"/>
        <v>55.40321760915463</v>
      </c>
      <c r="G38" s="489">
        <f t="shared" si="13"/>
        <v>12.56024837203555</v>
      </c>
      <c r="H38" s="490">
        <f t="shared" si="0"/>
        <v>26.154013287501169</v>
      </c>
      <c r="I38" s="490">
        <f t="shared" si="14"/>
        <v>4.5847842433085013</v>
      </c>
      <c r="J38" s="490">
        <f t="shared" si="15"/>
        <v>2.5529232487306186</v>
      </c>
      <c r="K38" s="490">
        <f t="shared" si="16"/>
        <v>6.9130000000000003</v>
      </c>
      <c r="L38" s="490">
        <f t="shared" si="17"/>
        <v>0</v>
      </c>
      <c r="M38" s="491">
        <f t="shared" si="18"/>
        <v>2.6382484575787921</v>
      </c>
      <c r="N38" s="273">
        <f>IF($I$2="DRT",VLOOKUP(A38,'Misc. Data &amp; Mechanisms'!$A$1381:$D$1471,3,FALSE),AZ38)</f>
        <v>3.7490000000000001</v>
      </c>
      <c r="O38" s="425">
        <f t="shared" si="19"/>
        <v>12.56024837203555</v>
      </c>
      <c r="P38" s="387">
        <v>0.72799999999999998</v>
      </c>
      <c r="Q38" s="278">
        <v>0.76500000000000001</v>
      </c>
      <c r="R38" s="425">
        <f t="shared" si="1"/>
        <v>2.4390132875011683</v>
      </c>
      <c r="S38" s="425">
        <f t="shared" si="2"/>
        <v>23.715</v>
      </c>
      <c r="T38" s="391">
        <f>VLOOKUP($A38,'Misc. Data &amp; Mechanisms'!$A$63:$DY$152,HLOOKUP('Service Zone Menu'!$X$4&amp;"_ATCO-S_NG_Y_1",'Misc. Data &amp; Mechanisms'!$A$55:$DY$62,8,FALSE), FALSE)</f>
        <v>0.1111</v>
      </c>
      <c r="U38" s="205">
        <f>VLOOKUP($A38,'Misc. Data &amp; Mechanisms'!$A$63:$DY$152,HLOOKUP('Service Zone Menu'!$X$4&amp;"_ATCO-S_NG_Y_2",'Misc. Data &amp; Mechanisms'!$A$55:$DY$62,8,FALSE), FALSE)</f>
        <v>0</v>
      </c>
      <c r="V38" s="425">
        <f>IF(OR('Service Zone Menu'!$X$4="Calgary",AND('Service Zone Menu'!$X$4="Okotoks", $A38&lt;DATE(2019, 1, 1))),$T38*($H38+$G38+$J38),$T38*($H38+$J38-$AG38))</f>
        <v>4.5847842433085013</v>
      </c>
      <c r="W38" s="425">
        <f t="shared" si="3"/>
        <v>0</v>
      </c>
      <c r="X38" s="426"/>
      <c r="Y38" s="386"/>
      <c r="Z38" s="386"/>
      <c r="AA38" s="386"/>
      <c r="AB38" s="386">
        <v>0.76200000000000001</v>
      </c>
      <c r="AC38" s="386"/>
      <c r="AD38" s="386"/>
      <c r="AE38" s="386"/>
      <c r="AF38" s="386"/>
      <c r="AG38" s="492">
        <f t="shared" si="4"/>
        <v>0</v>
      </c>
      <c r="AH38" s="492">
        <f t="shared" si="5"/>
        <v>0</v>
      </c>
      <c r="AI38" s="425">
        <f t="shared" si="6"/>
        <v>0</v>
      </c>
      <c r="AJ38" s="425">
        <f t="shared" si="7"/>
        <v>2.5529232487306186</v>
      </c>
      <c r="AK38" s="425">
        <f t="shared" si="8"/>
        <v>0</v>
      </c>
      <c r="AL38" s="425">
        <f t="shared" si="20"/>
        <v>0</v>
      </c>
      <c r="AM38" s="425">
        <f t="shared" si="21"/>
        <v>0</v>
      </c>
      <c r="AN38" s="425">
        <f t="shared" si="22"/>
        <v>0</v>
      </c>
      <c r="AO38" s="200">
        <f>IF($I$2="DRT",VLOOKUP(A38,'Misc. Data &amp; Mechanisms'!$A$1483:$H$1574,7,FALSE),BA38)</f>
        <v>0.223</v>
      </c>
      <c r="AP38" s="552">
        <f t="shared" si="23"/>
        <v>6.9130000000000003</v>
      </c>
      <c r="AQ38" s="290"/>
      <c r="AR38" s="494">
        <f t="shared" si="24"/>
        <v>0</v>
      </c>
      <c r="AS38" s="495">
        <f>5%</f>
        <v>0.05</v>
      </c>
      <c r="AT38" s="341">
        <f>'Misc. Data &amp; Mechanisms'!AM311</f>
        <v>3.393091312213838</v>
      </c>
      <c r="AU38" s="424">
        <f>'Misc. Data &amp; Mechanisms'!AQ311</f>
        <v>2.965956936091811</v>
      </c>
      <c r="AV38" s="1087">
        <f>'Misc. Data &amp; Mechanisms'!Z311</f>
        <v>3.3502929773367698</v>
      </c>
      <c r="AW38" s="1087">
        <f>'Misc. Data &amp; Mechanisms'!AA311</f>
        <v>2.1397478461299317</v>
      </c>
      <c r="AX38" s="1460">
        <f>'Misc. Data &amp; Mechanisms'!$B$260</f>
        <v>10.198990303636064</v>
      </c>
      <c r="AY38" s="197">
        <f>IFERROR(IF('Personalized Bill Menu'!$B$30="Yes", IF('Personalized Bill Menu'!$B$34="Natural Gas",VLOOKUP($A38, 'Personalized Bill Menu'!$H$4:$L$93, 2, FALSE), IF('Personalized Bill Menu'!$B$34="Both",VLOOKUP($A38,'Personalized Bill Menu'!$H$4:$P$93, 6, FALSE), 0)), 0),0)</f>
        <v>0</v>
      </c>
      <c r="AZ38" s="1343">
        <f>IFERROR(IF('Personalized Bill Menu'!$C$37="Custom", IF('Personalized Bill Menu'!$B$34="Natural Gas",VLOOKUP($A38, 'Personalized Bill Menu'!$H$4:$L$93, 3, FALSE), IF('Personalized Bill Menu'!$B$34="Both",VLOOKUP($A38,'Personalized Bill Menu'!$H$4:$P$93, 7, FALSE), 0)), 0),0)</f>
        <v>0</v>
      </c>
      <c r="BA38" s="1344">
        <f>IFERROR(IF('Personalized Bill Menu'!$C$37="Custom", IF('Personalized Bill Menu'!$B$34="Natural Gas",VLOOKUP($A38, 'Personalized Bill Menu'!$H$4:$L$93, 4, FALSE), IF('Personalized Bill Menu'!$B$34="Both",VLOOKUP($A38,'Personalized Bill Menu'!$H$4:$P$93, 8, FALSE), 0)), 0),0)</f>
        <v>0</v>
      </c>
      <c r="BB38" s="468"/>
      <c r="BC38" s="468"/>
      <c r="BD38" s="468"/>
    </row>
    <row r="39" spans="1:56" s="469" customFormat="1" x14ac:dyDescent="0.35">
      <c r="A39" s="496">
        <v>41883</v>
      </c>
      <c r="B39" s="497">
        <f t="shared" si="9"/>
        <v>30</v>
      </c>
      <c r="C39" s="1581">
        <f t="shared" si="10"/>
        <v>6.0677895827545711</v>
      </c>
      <c r="D39" s="66">
        <f t="shared" si="11"/>
        <v>11.63454367402715</v>
      </c>
      <c r="E39" s="66">
        <f>(1+$AS39)*IF(OR('Service Zone Menu'!$X$4="Calgary",AND('Service Zone Menu'!$X$4="Okotoks", $A39&lt;DATE(2019, 1, 1))),((1+$T39)*($N39+$P39+($X39+$Y39+$AA39+$AB39+$AC39))) + ($U39*($P39+($X39+$Y39+$AA39+$AB39+$AC39))) + $AQ39, ((1+$T39)*($P39+($Y39+$AA39+$AB39+$AC39)))+ ($U39*($P39+($X39+$Y39+$AA39+$AB39+$AC39)))+$N39+$X39 + $AQ39)</f>
        <v>6.0642726900000001</v>
      </c>
      <c r="F39" s="488">
        <f t="shared" si="12"/>
        <v>70.595962905365027</v>
      </c>
      <c r="G39" s="489">
        <f t="shared" si="13"/>
        <v>22.49936377285395</v>
      </c>
      <c r="H39" s="490">
        <f t="shared" si="0"/>
        <v>27.367350816245327</v>
      </c>
      <c r="I39" s="490">
        <f t="shared" si="14"/>
        <v>6.0538801349036824</v>
      </c>
      <c r="J39" s="490">
        <f t="shared" si="15"/>
        <v>4.623655662058983</v>
      </c>
      <c r="K39" s="490">
        <f t="shared" si="16"/>
        <v>6.69</v>
      </c>
      <c r="L39" s="490">
        <f t="shared" si="17"/>
        <v>0</v>
      </c>
      <c r="M39" s="491">
        <f t="shared" si="18"/>
        <v>3.3617125193030968</v>
      </c>
      <c r="N39" s="273">
        <f>IF($I$2="DRT",VLOOKUP(A39,'Misc. Data &amp; Mechanisms'!$A$1381:$D$1471,3,FALSE),AZ39)</f>
        <v>3.7080000000000002</v>
      </c>
      <c r="O39" s="425">
        <f t="shared" si="19"/>
        <v>22.49936377285395</v>
      </c>
      <c r="P39" s="387">
        <v>0.72799999999999998</v>
      </c>
      <c r="Q39" s="278">
        <v>0.76500000000000001</v>
      </c>
      <c r="R39" s="425">
        <f t="shared" ref="R39:R96" si="25">$P39*$C39</f>
        <v>4.4173508162453281</v>
      </c>
      <c r="S39" s="425">
        <f t="shared" ref="S39:S96" si="26">$Q39*$B39</f>
        <v>22.95</v>
      </c>
      <c r="T39" s="391">
        <f>VLOOKUP($A39,'Misc. Data &amp; Mechanisms'!$A$63:$DY$152,HLOOKUP('Service Zone Menu'!$X$4&amp;"_ATCO-S_NG_Y_1",'Misc. Data &amp; Mechanisms'!$A$55:$DY$62,8,FALSE), FALSE)</f>
        <v>0.1111</v>
      </c>
      <c r="U39" s="205">
        <f>VLOOKUP($A39,'Misc. Data &amp; Mechanisms'!$A$63:$DY$152,HLOOKUP('Service Zone Menu'!$X$4&amp;"_ATCO-S_NG_Y_2",'Misc. Data &amp; Mechanisms'!$A$55:$DY$62,8,FALSE), FALSE)</f>
        <v>0</v>
      </c>
      <c r="V39" s="425">
        <f>IF(OR('Service Zone Menu'!$X$4="Calgary",AND('Service Zone Menu'!$X$4="Okotoks", $A39&lt;DATE(2019, 1, 1))),$T39*($H39+$G39+$J39),$T39*($H39+$J39-$AG39))</f>
        <v>6.0538801349036824</v>
      </c>
      <c r="W39" s="425">
        <f t="shared" ref="W39:W96" si="27">$U39*($H39+$J39)</f>
        <v>0</v>
      </c>
      <c r="X39" s="426"/>
      <c r="Y39" s="386"/>
      <c r="Z39" s="386"/>
      <c r="AA39" s="386"/>
      <c r="AB39" s="386">
        <v>0.76200000000000001</v>
      </c>
      <c r="AC39" s="386"/>
      <c r="AD39" s="386"/>
      <c r="AE39" s="386"/>
      <c r="AF39" s="386"/>
      <c r="AG39" s="492">
        <f t="shared" ref="AG39:AG96" si="28">$X39*$C39</f>
        <v>0</v>
      </c>
      <c r="AH39" s="492">
        <f t="shared" ref="AH39:AH96" si="29">$Y39*$C39</f>
        <v>0</v>
      </c>
      <c r="AI39" s="425">
        <f t="shared" ref="AI39:AI96" si="30">($Z39*$B39) +($AA39*$C39)</f>
        <v>0</v>
      </c>
      <c r="AJ39" s="425">
        <f t="shared" ref="AJ39:AJ96" si="31">$AB39*$C39</f>
        <v>4.623655662058983</v>
      </c>
      <c r="AK39" s="425">
        <f t="shared" ref="AK39:AK96" si="32">$AC39*$C39</f>
        <v>0</v>
      </c>
      <c r="AL39" s="425">
        <f t="shared" si="20"/>
        <v>0</v>
      </c>
      <c r="AM39" s="425">
        <f t="shared" si="21"/>
        <v>0</v>
      </c>
      <c r="AN39" s="425">
        <f t="shared" si="22"/>
        <v>0</v>
      </c>
      <c r="AO39" s="200">
        <f>IF($I$2="DRT",VLOOKUP(A39,'Misc. Data &amp; Mechanisms'!$A$1483:$H$1574,7,FALSE),BA39)</f>
        <v>0.223</v>
      </c>
      <c r="AP39" s="552">
        <f t="shared" si="23"/>
        <v>6.69</v>
      </c>
      <c r="AQ39" s="290"/>
      <c r="AR39" s="494">
        <f t="shared" si="24"/>
        <v>0</v>
      </c>
      <c r="AS39" s="495">
        <f>5%</f>
        <v>0.05</v>
      </c>
      <c r="AT39" s="341">
        <f>'Misc. Data &amp; Mechanisms'!AM312</f>
        <v>6.1453025919997364</v>
      </c>
      <c r="AU39" s="424">
        <f>'Misc. Data &amp; Mechanisms'!AQ312</f>
        <v>5.6954044717614627</v>
      </c>
      <c r="AV39" s="1087">
        <f>'Misc. Data &amp; Mechanisms'!Z312</f>
        <v>6.0677895827545711</v>
      </c>
      <c r="AW39" s="1087">
        <f>'Misc. Data &amp; Mechanisms'!AA312</f>
        <v>3.8753445678621419</v>
      </c>
      <c r="AX39" s="1460">
        <f>'Misc. Data &amp; Mechanisms'!$B$260</f>
        <v>10.198990303636064</v>
      </c>
      <c r="AY39" s="197">
        <f>IFERROR(IF('Personalized Bill Menu'!$B$30="Yes", IF('Personalized Bill Menu'!$B$34="Natural Gas",VLOOKUP($A39, 'Personalized Bill Menu'!$H$4:$L$93, 2, FALSE), IF('Personalized Bill Menu'!$B$34="Both",VLOOKUP($A39,'Personalized Bill Menu'!$H$4:$P$93, 6, FALSE), 0)), 0),0)</f>
        <v>0</v>
      </c>
      <c r="AZ39" s="1343">
        <f>IFERROR(IF('Personalized Bill Menu'!$C$37="Custom", IF('Personalized Bill Menu'!$B$34="Natural Gas",VLOOKUP($A39, 'Personalized Bill Menu'!$H$4:$L$93, 3, FALSE), IF('Personalized Bill Menu'!$B$34="Both",VLOOKUP($A39,'Personalized Bill Menu'!$H$4:$P$93, 7, FALSE), 0)), 0),0)</f>
        <v>0</v>
      </c>
      <c r="BA39" s="1344">
        <f>IFERROR(IF('Personalized Bill Menu'!$C$37="Custom", IF('Personalized Bill Menu'!$B$34="Natural Gas",VLOOKUP($A39, 'Personalized Bill Menu'!$H$4:$L$93, 4, FALSE), IF('Personalized Bill Menu'!$B$34="Both",VLOOKUP($A39,'Personalized Bill Menu'!$H$4:$P$93, 8, FALSE), 0)), 0),0)</f>
        <v>0</v>
      </c>
      <c r="BB39" s="468"/>
      <c r="BC39" s="468"/>
      <c r="BD39" s="468"/>
    </row>
    <row r="40" spans="1:56" s="469" customFormat="1" x14ac:dyDescent="0.35">
      <c r="A40" s="496">
        <v>41913</v>
      </c>
      <c r="B40" s="497">
        <f t="shared" si="9"/>
        <v>31</v>
      </c>
      <c r="C40" s="1581">
        <f t="shared" si="10"/>
        <v>8.4870216904286888</v>
      </c>
      <c r="D40" s="66">
        <f t="shared" si="11"/>
        <v>11.035807082285745</v>
      </c>
      <c r="E40" s="66">
        <f>(1+$AS40)*IF(OR('Service Zone Menu'!$X$4="Calgary",AND('Service Zone Menu'!$X$4="Okotoks", $A40&lt;DATE(2019, 1, 1))),((1+$T40)*($N40+$P40+($X40+$Y40+$AA40+$AB40+$AC40))) + ($U40*($P40+($X40+$Y40+$AA40+$AB40+$AC40))) + $AQ40, ((1+$T40)*($P40+($Y40+$AA40+$AB40+$AC40)))+ ($U40*($P40+($X40+$Y40+$AA40+$AB40+$AC40)))+$N40+$X40 + $AQ40)</f>
        <v>6.9205974599999989</v>
      </c>
      <c r="F40" s="488">
        <f>SUM($G40:$M40)</f>
        <v>93.661134078745661</v>
      </c>
      <c r="G40" s="489">
        <f t="shared" si="13"/>
        <v>35.475750665991917</v>
      </c>
      <c r="H40" s="490">
        <f t="shared" si="0"/>
        <v>29.893551790632085</v>
      </c>
      <c r="I40" s="490">
        <f t="shared" si="14"/>
        <v>8.2280674073729116</v>
      </c>
      <c r="J40" s="490">
        <f t="shared" si="15"/>
        <v>8.6907102109989776</v>
      </c>
      <c r="K40" s="490">
        <f t="shared" si="16"/>
        <v>6.9130000000000003</v>
      </c>
      <c r="L40" s="490">
        <f t="shared" si="17"/>
        <v>0</v>
      </c>
      <c r="M40" s="491">
        <f t="shared" si="18"/>
        <v>4.4600540037497938</v>
      </c>
      <c r="N40" s="273">
        <f>IF($I$2="DRT",VLOOKUP(A40,'Misc. Data &amp; Mechanisms'!$A$1381:$D$1471,3,FALSE),AZ40)</f>
        <v>4.18</v>
      </c>
      <c r="O40" s="425">
        <f t="shared" si="19"/>
        <v>35.475750665991917</v>
      </c>
      <c r="P40" s="387">
        <v>0.72799999999999998</v>
      </c>
      <c r="Q40" s="278">
        <v>0.76500000000000001</v>
      </c>
      <c r="R40" s="425">
        <f t="shared" si="25"/>
        <v>6.1785517906320857</v>
      </c>
      <c r="S40" s="425">
        <f t="shared" si="26"/>
        <v>23.715</v>
      </c>
      <c r="T40" s="391">
        <f>VLOOKUP($A40,'Misc. Data &amp; Mechanisms'!$A$63:$DY$152,HLOOKUP('Service Zone Menu'!$X$4&amp;"_ATCO-S_NG_Y_1",'Misc. Data &amp; Mechanisms'!$A$55:$DY$62,8,FALSE), FALSE)</f>
        <v>0.1111</v>
      </c>
      <c r="U40" s="205">
        <f>VLOOKUP($A40,'Misc. Data &amp; Mechanisms'!$A$63:$DY$152,HLOOKUP('Service Zone Menu'!$X$4&amp;"_ATCO-S_NG_Y_2",'Misc. Data &amp; Mechanisms'!$A$55:$DY$62,8,FALSE), FALSE)</f>
        <v>0</v>
      </c>
      <c r="V40" s="425">
        <f>IF(OR('Service Zone Menu'!$X$4="Calgary",AND('Service Zone Menu'!$X$4="Okotoks", $A40&lt;DATE(2019, 1, 1))),$T40*($H40+$G40+$J40),$T40*($H40+$J40-$AG40))</f>
        <v>8.2280674073729116</v>
      </c>
      <c r="W40" s="425">
        <f t="shared" si="27"/>
        <v>0</v>
      </c>
      <c r="X40" s="426"/>
      <c r="Y40" s="386">
        <v>0.26200000000000001</v>
      </c>
      <c r="Z40" s="386"/>
      <c r="AA40" s="386"/>
      <c r="AB40" s="386">
        <v>0.76200000000000001</v>
      </c>
      <c r="AC40" s="386"/>
      <c r="AD40" s="386"/>
      <c r="AE40" s="386"/>
      <c r="AF40" s="386"/>
      <c r="AG40" s="492">
        <f t="shared" si="28"/>
        <v>0</v>
      </c>
      <c r="AH40" s="492">
        <f t="shared" si="29"/>
        <v>2.2235996828923166</v>
      </c>
      <c r="AI40" s="425">
        <f t="shared" si="30"/>
        <v>0</v>
      </c>
      <c r="AJ40" s="425">
        <f t="shared" si="31"/>
        <v>6.4671105281066605</v>
      </c>
      <c r="AK40" s="425">
        <f t="shared" si="32"/>
        <v>0</v>
      </c>
      <c r="AL40" s="425">
        <f t="shared" si="20"/>
        <v>0</v>
      </c>
      <c r="AM40" s="425">
        <f t="shared" si="21"/>
        <v>0</v>
      </c>
      <c r="AN40" s="425">
        <f t="shared" si="22"/>
        <v>0</v>
      </c>
      <c r="AO40" s="200">
        <f>IF($I$2="DRT",VLOOKUP(A40,'Misc. Data &amp; Mechanisms'!$A$1483:$H$1574,7,FALSE),BA40)</f>
        <v>0.223</v>
      </c>
      <c r="AP40" s="552">
        <f t="shared" si="23"/>
        <v>6.9130000000000003</v>
      </c>
      <c r="AQ40" s="290"/>
      <c r="AR40" s="494">
        <f t="shared" si="24"/>
        <v>0</v>
      </c>
      <c r="AS40" s="495">
        <f>5%</f>
        <v>0.05</v>
      </c>
      <c r="AT40" s="341">
        <f>'Misc. Data &amp; Mechanisms'!AM313</f>
        <v>8.59543919268088</v>
      </c>
      <c r="AU40" s="424">
        <f>'Misc. Data &amp; Mechanisms'!AQ313</f>
        <v>8.5784139376618072</v>
      </c>
      <c r="AV40" s="1087">
        <f>'Misc. Data &amp; Mechanisms'!Z313</f>
        <v>8.4870216904286888</v>
      </c>
      <c r="AW40" s="1087">
        <f>'Misc. Data &amp; Mechanisms'!AA313</f>
        <v>5.4204472578958454</v>
      </c>
      <c r="AX40" s="1460">
        <f>'Misc. Data &amp; Mechanisms'!$B$260</f>
        <v>10.198990303636064</v>
      </c>
      <c r="AY40" s="197">
        <f>IFERROR(IF('Personalized Bill Menu'!$B$30="Yes", IF('Personalized Bill Menu'!$B$34="Natural Gas",VLOOKUP($A40, 'Personalized Bill Menu'!$H$4:$L$93, 2, FALSE), IF('Personalized Bill Menu'!$B$34="Both",VLOOKUP($A40,'Personalized Bill Menu'!$H$4:$P$93, 6, FALSE), 0)), 0),0)</f>
        <v>0</v>
      </c>
      <c r="AZ40" s="1343">
        <f>IFERROR(IF('Personalized Bill Menu'!$C$37="Custom", IF('Personalized Bill Menu'!$B$34="Natural Gas",VLOOKUP($A40, 'Personalized Bill Menu'!$H$4:$L$93, 3, FALSE), IF('Personalized Bill Menu'!$B$34="Both",VLOOKUP($A40,'Personalized Bill Menu'!$H$4:$P$93, 7, FALSE), 0)), 0),0)</f>
        <v>0</v>
      </c>
      <c r="BA40" s="1344">
        <f>IFERROR(IF('Personalized Bill Menu'!$C$37="Custom", IF('Personalized Bill Menu'!$B$34="Natural Gas",VLOOKUP($A40, 'Personalized Bill Menu'!$H$4:$L$93, 4, FALSE), IF('Personalized Bill Menu'!$B$34="Both",VLOOKUP($A40,'Personalized Bill Menu'!$H$4:$P$93, 8, FALSE), 0)), 0),0)</f>
        <v>0</v>
      </c>
      <c r="BB40" s="468"/>
      <c r="BC40" s="468"/>
      <c r="BD40" s="468"/>
    </row>
    <row r="41" spans="1:56" s="469" customFormat="1" x14ac:dyDescent="0.35">
      <c r="A41" s="496">
        <v>41944</v>
      </c>
      <c r="B41" s="497">
        <f t="shared" si="9"/>
        <v>30</v>
      </c>
      <c r="C41" s="1581">
        <f t="shared" si="10"/>
        <v>16.328982044219593</v>
      </c>
      <c r="D41" s="66">
        <f t="shared" si="11"/>
        <v>7.6398262532469312</v>
      </c>
      <c r="E41" s="66">
        <f>(1+$AS41)*IF(OR('Service Zone Menu'!$X$4="Calgary",AND('Service Zone Menu'!$X$4="Okotoks", $A41&lt;DATE(2019, 1, 1))),((1+$T41)*($N41+$P41+($X41+$Y41+$AA41+$AB41+$AC41))) + ($U41*($P41+($X41+$Y41+$AA41+$AB41+$AC41))) + $AQ41, ((1+$T41)*($P41+($Y41+$AA41+$AB41+$AC41)))+ ($U41*($P41+($X41+$Y41+$AA41+$AB41+$AC41)))+$N41+$X41 + $AQ41)</f>
        <v>5.8764412349999997</v>
      </c>
      <c r="F41" s="488">
        <f t="shared" si="12"/>
        <v>124.75058571022659</v>
      </c>
      <c r="G41" s="489">
        <f t="shared" si="13"/>
        <v>60.139640868860759</v>
      </c>
      <c r="H41" s="490">
        <f t="shared" si="0"/>
        <v>34.837498928191863</v>
      </c>
      <c r="I41" s="490">
        <f t="shared" si="14"/>
        <v>11.210999072053156</v>
      </c>
      <c r="J41" s="490">
        <f t="shared" si="15"/>
        <v>5.9319427596814647</v>
      </c>
      <c r="K41" s="490">
        <f t="shared" si="16"/>
        <v>6.69</v>
      </c>
      <c r="L41" s="490">
        <f t="shared" si="17"/>
        <v>0</v>
      </c>
      <c r="M41" s="491">
        <f t="shared" si="18"/>
        <v>5.9405040814393617</v>
      </c>
      <c r="N41" s="273">
        <f>IF($I$2="DRT",VLOOKUP(A41,'Misc. Data &amp; Mechanisms'!$A$1381:$D$1471,3,FALSE),AZ41)</f>
        <v>3.6829999999999998</v>
      </c>
      <c r="O41" s="425">
        <f t="shared" si="19"/>
        <v>60.139640868860759</v>
      </c>
      <c r="P41" s="387">
        <v>0.72799999999999998</v>
      </c>
      <c r="Q41" s="278">
        <v>0.76500000000000001</v>
      </c>
      <c r="R41" s="425">
        <f t="shared" si="25"/>
        <v>11.887498928191864</v>
      </c>
      <c r="S41" s="425">
        <f t="shared" si="26"/>
        <v>22.95</v>
      </c>
      <c r="T41" s="391">
        <f>VLOOKUP($A41,'Misc. Data &amp; Mechanisms'!$A$63:$DY$152,HLOOKUP('Service Zone Menu'!$X$4&amp;"_ATCO-S_NG_Y_1",'Misc. Data &amp; Mechanisms'!$A$55:$DY$62,8,FALSE), FALSE)</f>
        <v>0.1111</v>
      </c>
      <c r="U41" s="205">
        <f>VLOOKUP($A41,'Misc. Data &amp; Mechanisms'!$A$63:$DY$152,HLOOKUP('Service Zone Menu'!$X$4&amp;"_ATCO-S_NG_Y_2",'Misc. Data &amp; Mechanisms'!$A$55:$DY$62,8,FALSE), FALSE)</f>
        <v>0</v>
      </c>
      <c r="V41" s="425">
        <f>IF(OR('Service Zone Menu'!$X$4="Calgary",AND('Service Zone Menu'!$X$4="Okotoks", $A41&lt;DATE(2019, 1, 1))),$T41*($H41+$G41+$J41),$T41*($H41+$J41-$AG41))</f>
        <v>11.210999072053156</v>
      </c>
      <c r="W41" s="425">
        <f t="shared" si="27"/>
        <v>0</v>
      </c>
      <c r="X41" s="426"/>
      <c r="Y41" s="386"/>
      <c r="Z41" s="386">
        <v>-0.14299999999999999</v>
      </c>
      <c r="AA41" s="386">
        <v>-0.13600000000000001</v>
      </c>
      <c r="AB41" s="386">
        <v>0.76200000000000001</v>
      </c>
      <c r="AC41" s="386"/>
      <c r="AD41" s="386"/>
      <c r="AE41" s="386"/>
      <c r="AF41" s="386"/>
      <c r="AG41" s="492">
        <f t="shared" si="28"/>
        <v>0</v>
      </c>
      <c r="AH41" s="492">
        <f t="shared" si="29"/>
        <v>0</v>
      </c>
      <c r="AI41" s="425">
        <f t="shared" si="30"/>
        <v>-6.5107415580138648</v>
      </c>
      <c r="AJ41" s="425">
        <f t="shared" si="31"/>
        <v>12.442684317695329</v>
      </c>
      <c r="AK41" s="425">
        <f t="shared" si="32"/>
        <v>0</v>
      </c>
      <c r="AL41" s="425">
        <f t="shared" si="20"/>
        <v>0</v>
      </c>
      <c r="AM41" s="425">
        <f t="shared" si="21"/>
        <v>0</v>
      </c>
      <c r="AN41" s="425">
        <f t="shared" si="22"/>
        <v>0</v>
      </c>
      <c r="AO41" s="200">
        <f>IF($I$2="DRT",VLOOKUP(A41,'Misc. Data &amp; Mechanisms'!$A$1483:$H$1574,7,FALSE),BA41)</f>
        <v>0.223</v>
      </c>
      <c r="AP41" s="552">
        <f t="shared" si="23"/>
        <v>6.69</v>
      </c>
      <c r="AQ41" s="290"/>
      <c r="AR41" s="494">
        <f t="shared" si="24"/>
        <v>0</v>
      </c>
      <c r="AS41" s="495">
        <f>5%</f>
        <v>0.05</v>
      </c>
      <c r="AT41" s="341">
        <f>'Misc. Data &amp; Mechanisms'!AM314</f>
        <v>16.537576709360096</v>
      </c>
      <c r="AU41" s="424">
        <f>'Misc. Data &amp; Mechanisms'!AQ314</f>
        <v>16.907322665594272</v>
      </c>
      <c r="AV41" s="1087">
        <f>'Misc. Data &amp; Mechanisms'!Z314</f>
        <v>16.328982044219593</v>
      </c>
      <c r="AW41" s="1087">
        <f>'Misc. Data &amp; Mechanisms'!AA314</f>
        <v>10.428910066960112</v>
      </c>
      <c r="AX41" s="1460">
        <f>'Misc. Data &amp; Mechanisms'!$B$260</f>
        <v>10.198990303636064</v>
      </c>
      <c r="AY41" s="197">
        <f>IFERROR(IF('Personalized Bill Menu'!$B$30="Yes", IF('Personalized Bill Menu'!$B$34="Natural Gas",VLOOKUP($A41, 'Personalized Bill Menu'!$H$4:$L$93, 2, FALSE), IF('Personalized Bill Menu'!$B$34="Both",VLOOKUP($A41,'Personalized Bill Menu'!$H$4:$P$93, 6, FALSE), 0)), 0),0)</f>
        <v>0</v>
      </c>
      <c r="AZ41" s="1343">
        <f>IFERROR(IF('Personalized Bill Menu'!$C$37="Custom", IF('Personalized Bill Menu'!$B$34="Natural Gas",VLOOKUP($A41, 'Personalized Bill Menu'!$H$4:$L$93, 3, FALSE), IF('Personalized Bill Menu'!$B$34="Both",VLOOKUP($A41,'Personalized Bill Menu'!$H$4:$P$93, 7, FALSE), 0)), 0),0)</f>
        <v>0</v>
      </c>
      <c r="BA41" s="1344">
        <f>IFERROR(IF('Personalized Bill Menu'!$C$37="Custom", IF('Personalized Bill Menu'!$B$34="Natural Gas",VLOOKUP($A41, 'Personalized Bill Menu'!$H$4:$L$93, 4, FALSE), IF('Personalized Bill Menu'!$B$34="Both",VLOOKUP($A41,'Personalized Bill Menu'!$H$4:$P$93, 8, FALSE), 0)), 0),0)</f>
        <v>0</v>
      </c>
      <c r="BB41" s="468"/>
      <c r="BC41" s="468"/>
      <c r="BD41" s="468"/>
    </row>
    <row r="42" spans="1:56" s="469" customFormat="1" x14ac:dyDescent="0.35">
      <c r="A42" s="508">
        <v>41974</v>
      </c>
      <c r="B42" s="509">
        <f t="shared" si="9"/>
        <v>31</v>
      </c>
      <c r="C42" s="231">
        <f t="shared" si="10"/>
        <v>17.155085931907376</v>
      </c>
      <c r="D42" s="344">
        <f t="shared" si="11"/>
        <v>8.1930201894808317</v>
      </c>
      <c r="E42" s="344">
        <f>(1+$AS42)*IF(OR('Service Zone Menu'!$X$4="Calgary",AND('Service Zone Menu'!$X$4="Okotoks", $A42&lt;DATE(2019, 1, 1))),((1+$T42)*($N42+$P42+($X42+$Y42+$AA42+$AB42+$AC42))) + ($U42*($P42+($X42+$Y42+$AA42+$AB42+$AC42))) + $AQ42, ((1+$T42)*($P42+($Y42+$AA42+$AB42+$AC42)))+ ($U42*($P42+($X42+$Y42+$AA42+$AB42+$AC42)))+$N42+$X42 + $AQ42)</f>
        <v>6.4586020800000004</v>
      </c>
      <c r="F42" s="510">
        <f t="shared" si="12"/>
        <v>140.55196539239572</v>
      </c>
      <c r="G42" s="511">
        <f t="shared" si="13"/>
        <v>71.742569367236655</v>
      </c>
      <c r="H42" s="512">
        <f t="shared" si="0"/>
        <v>36.203902558428567</v>
      </c>
      <c r="I42" s="512">
        <f t="shared" si="14"/>
        <v>12.693458940385259</v>
      </c>
      <c r="J42" s="512">
        <f t="shared" si="15"/>
        <v>6.3060837933740181</v>
      </c>
      <c r="K42" s="512">
        <f t="shared" si="16"/>
        <v>6.9130000000000003</v>
      </c>
      <c r="L42" s="512">
        <f t="shared" si="17"/>
        <v>0</v>
      </c>
      <c r="M42" s="513">
        <f t="shared" si="18"/>
        <v>6.6929507329712257</v>
      </c>
      <c r="N42" s="1243">
        <f>IF($I$2="DRT",VLOOKUP(A42,'Misc. Data &amp; Mechanisms'!$A$1381:$D$1471,3,FALSE),AZ42)</f>
        <v>4.1820000000000004</v>
      </c>
      <c r="O42" s="440">
        <f t="shared" si="19"/>
        <v>71.742569367236655</v>
      </c>
      <c r="P42" s="438">
        <v>0.72799999999999998</v>
      </c>
      <c r="Q42" s="283">
        <v>0.76500000000000001</v>
      </c>
      <c r="R42" s="440">
        <f t="shared" si="25"/>
        <v>12.488902558428569</v>
      </c>
      <c r="S42" s="440">
        <f t="shared" si="26"/>
        <v>23.715</v>
      </c>
      <c r="T42" s="394">
        <f>VLOOKUP($A42,'Misc. Data &amp; Mechanisms'!$A$63:$DY$152,HLOOKUP('Service Zone Menu'!$X$4&amp;"_ATCO-S_NG_Y_1",'Misc. Data &amp; Mechanisms'!$A$55:$DY$62,8,FALSE), FALSE)</f>
        <v>0.1111</v>
      </c>
      <c r="U42" s="246">
        <f>VLOOKUP($A42,'Misc. Data &amp; Mechanisms'!$A$63:$DY$152,HLOOKUP('Service Zone Menu'!$X$4&amp;"_ATCO-S_NG_Y_2",'Misc. Data &amp; Mechanisms'!$A$55:$DY$62,8,FALSE), FALSE)</f>
        <v>0</v>
      </c>
      <c r="V42" s="440">
        <f>IF(OR('Service Zone Menu'!$X$4="Calgary",AND('Service Zone Menu'!$X$4="Okotoks", $A42&lt;DATE(2019, 1, 1))),$T42*($H42+$G42+$J42),$T42*($H42+$J42-$AG42))</f>
        <v>12.693458940385259</v>
      </c>
      <c r="W42" s="440">
        <f t="shared" si="27"/>
        <v>0</v>
      </c>
      <c r="X42" s="439"/>
      <c r="Y42" s="399"/>
      <c r="Z42" s="399">
        <v>-0.14299999999999999</v>
      </c>
      <c r="AA42" s="399">
        <v>-0.13600000000000001</v>
      </c>
      <c r="AB42" s="399">
        <v>0.76200000000000001</v>
      </c>
      <c r="AC42" s="399"/>
      <c r="AD42" s="399"/>
      <c r="AE42" s="399"/>
      <c r="AF42" s="399"/>
      <c r="AG42" s="514">
        <f t="shared" si="28"/>
        <v>0</v>
      </c>
      <c r="AH42" s="514">
        <f t="shared" si="29"/>
        <v>0</v>
      </c>
      <c r="AI42" s="440">
        <f t="shared" si="30"/>
        <v>-6.7660916867394025</v>
      </c>
      <c r="AJ42" s="440">
        <f t="shared" si="31"/>
        <v>13.072175480113421</v>
      </c>
      <c r="AK42" s="440">
        <f t="shared" si="32"/>
        <v>0</v>
      </c>
      <c r="AL42" s="440">
        <f t="shared" si="20"/>
        <v>0</v>
      </c>
      <c r="AM42" s="440">
        <f t="shared" si="21"/>
        <v>0</v>
      </c>
      <c r="AN42" s="440">
        <f t="shared" si="22"/>
        <v>0</v>
      </c>
      <c r="AO42" s="239">
        <f>IF($I$2="DRT",VLOOKUP(A42,'Misc. Data &amp; Mechanisms'!$A$1483:$H$1574,7,FALSE),BA42)</f>
        <v>0.223</v>
      </c>
      <c r="AP42" s="558">
        <f t="shared" si="23"/>
        <v>6.9130000000000003</v>
      </c>
      <c r="AQ42" s="292"/>
      <c r="AR42" s="516">
        <f t="shared" si="24"/>
        <v>0</v>
      </c>
      <c r="AS42" s="517">
        <f>5%</f>
        <v>0.05</v>
      </c>
      <c r="AT42" s="352">
        <f>'Misc. Data &amp; Mechanisms'!AM315</f>
        <v>17.374233665411655</v>
      </c>
      <c r="AU42" s="441">
        <f>'Misc. Data &amp; Mechanisms'!AQ315</f>
        <v>18.539637816487613</v>
      </c>
      <c r="AV42" s="1089">
        <f>'Misc. Data &amp; Mechanisms'!Z315</f>
        <v>17.155085931907376</v>
      </c>
      <c r="AW42" s="1089">
        <f>'Misc. Data &amp; Mechanisms'!AA315</f>
        <v>10.95652183892062</v>
      </c>
      <c r="AX42" s="1461">
        <f>'Misc. Data &amp; Mechanisms'!$B$260</f>
        <v>10.198990303636064</v>
      </c>
      <c r="AY42" s="243">
        <f>IFERROR(IF('Personalized Bill Menu'!$B$30="Yes", IF('Personalized Bill Menu'!$B$34="Natural Gas",VLOOKUP($A42, 'Personalized Bill Menu'!$H$4:$L$93, 2, FALSE), IF('Personalized Bill Menu'!$B$34="Both",VLOOKUP($A42,'Personalized Bill Menu'!$H$4:$P$93, 6, FALSE), 0)), 0),0)</f>
        <v>0</v>
      </c>
      <c r="AZ42" s="1345">
        <f>IFERROR(IF('Personalized Bill Menu'!$C$37="Custom", IF('Personalized Bill Menu'!$B$34="Natural Gas",VLOOKUP($A42, 'Personalized Bill Menu'!$H$4:$L$93, 3, FALSE), IF('Personalized Bill Menu'!$B$34="Both",VLOOKUP($A42,'Personalized Bill Menu'!$H$4:$P$93, 7, FALSE), 0)), 0),0)</f>
        <v>0</v>
      </c>
      <c r="BA42" s="1346">
        <f>IFERROR(IF('Personalized Bill Menu'!$C$37="Custom", IF('Personalized Bill Menu'!$B$34="Natural Gas",VLOOKUP($A42, 'Personalized Bill Menu'!$H$4:$L$93, 4, FALSE), IF('Personalized Bill Menu'!$B$34="Both",VLOOKUP($A42,'Personalized Bill Menu'!$H$4:$P$93, 8, FALSE), 0)), 0),0)</f>
        <v>0</v>
      </c>
      <c r="BB42" s="468"/>
      <c r="BC42" s="468"/>
      <c r="BD42" s="468"/>
    </row>
    <row r="43" spans="1:56" s="469" customFormat="1" x14ac:dyDescent="0.35">
      <c r="A43" s="498">
        <v>42005</v>
      </c>
      <c r="B43" s="499">
        <f t="shared" si="9"/>
        <v>31</v>
      </c>
      <c r="C43" s="212">
        <f t="shared" si="10"/>
        <v>17.023240041667705</v>
      </c>
      <c r="D43" s="353">
        <f t="shared" si="11"/>
        <v>7.5682902504544423</v>
      </c>
      <c r="E43" s="353">
        <f>(1+$AS43)*IF(OR('Service Zone Menu'!$X$4="Calgary",AND('Service Zone Menu'!$X$4="Okotoks", $A43&lt;DATE(2019, 1, 1))),((1+$T43)*($N43+$P43+($X43+$Y43+$AA43+$AB43+$AC43))) + ($U43*($P43+($X43+$Y43+$AA43+$AB43+$AC43))) + $AQ43, ((1+$T43)*($P43+($Y43+$AA43+$AB43+$AC43)))+ ($U43*($P43+($X43+$Y43+$AA43+$AB43+$AC43)))+$N43+$X43 + $AQ43)</f>
        <v>5.4167791650000003</v>
      </c>
      <c r="F43" s="500">
        <f t="shared" si="12"/>
        <v>128.83682163849937</v>
      </c>
      <c r="G43" s="501">
        <f t="shared" si="13"/>
        <v>52.874183569419891</v>
      </c>
      <c r="H43" s="502">
        <f t="shared" si="0"/>
        <v>38.365011032292472</v>
      </c>
      <c r="I43" s="502">
        <f t="shared" si="14"/>
        <v>11.577831380345758</v>
      </c>
      <c r="J43" s="502">
        <f t="shared" si="15"/>
        <v>12.971708911750792</v>
      </c>
      <c r="K43" s="502">
        <f t="shared" si="16"/>
        <v>6.9130000000000003</v>
      </c>
      <c r="L43" s="502">
        <f t="shared" si="17"/>
        <v>0</v>
      </c>
      <c r="M43" s="503">
        <f t="shared" si="18"/>
        <v>6.1350867446904465</v>
      </c>
      <c r="N43" s="273">
        <f>IF($I$2="DRT",VLOOKUP(A43,'Misc. Data &amp; Mechanisms'!$A$1381:$D$1471,3,FALSE),AZ43)</f>
        <v>3.1059999999999999</v>
      </c>
      <c r="O43" s="433">
        <f t="shared" si="19"/>
        <v>52.874183569419891</v>
      </c>
      <c r="P43" s="431">
        <v>0.77500000000000002</v>
      </c>
      <c r="Q43" s="288">
        <v>0.81200000000000006</v>
      </c>
      <c r="R43" s="433">
        <f t="shared" si="25"/>
        <v>13.193011032292471</v>
      </c>
      <c r="S43" s="433">
        <f t="shared" si="26"/>
        <v>25.172000000000001</v>
      </c>
      <c r="T43" s="391">
        <f>VLOOKUP($A43,'Misc. Data &amp; Mechanisms'!$A$63:$DY$152,HLOOKUP('Service Zone Menu'!$X$4&amp;"_ATCO-S_NG_Y_1",'Misc. Data &amp; Mechanisms'!$A$55:$DY$62,8,FALSE), FALSE)</f>
        <v>0.1111</v>
      </c>
      <c r="U43" s="205">
        <f>VLOOKUP($A43,'Misc. Data &amp; Mechanisms'!$A$63:$DY$152,HLOOKUP('Service Zone Menu'!$X$4&amp;"_ATCO-S_NG_Y_2",'Misc. Data &amp; Mechanisms'!$A$55:$DY$62,8,FALSE), FALSE)</f>
        <v>0</v>
      </c>
      <c r="V43" s="433">
        <f>IF(OR('Service Zone Menu'!$X$4="Calgary",AND('Service Zone Menu'!$X$4="Okotoks", $A43&lt;DATE(2019, 1, 1))),$T43*($H43+$G43+$J43),$T43*($H43+$J43-$AG43))</f>
        <v>11.577831380345758</v>
      </c>
      <c r="W43" s="433">
        <f t="shared" si="27"/>
        <v>0</v>
      </c>
      <c r="X43" s="432"/>
      <c r="Y43" s="397"/>
      <c r="Z43" s="397"/>
      <c r="AA43" s="397"/>
      <c r="AB43" s="397">
        <v>0.76200000000000001</v>
      </c>
      <c r="AC43" s="397"/>
      <c r="AD43" s="397"/>
      <c r="AE43" s="397"/>
      <c r="AF43" s="397"/>
      <c r="AG43" s="504">
        <f t="shared" si="28"/>
        <v>0</v>
      </c>
      <c r="AH43" s="504">
        <f t="shared" si="29"/>
        <v>0</v>
      </c>
      <c r="AI43" s="433">
        <f t="shared" si="30"/>
        <v>0</v>
      </c>
      <c r="AJ43" s="433">
        <f t="shared" si="31"/>
        <v>12.971708911750792</v>
      </c>
      <c r="AK43" s="433">
        <f t="shared" si="32"/>
        <v>0</v>
      </c>
      <c r="AL43" s="433">
        <f t="shared" si="20"/>
        <v>0</v>
      </c>
      <c r="AM43" s="433">
        <f t="shared" si="21"/>
        <v>0</v>
      </c>
      <c r="AN43" s="433">
        <f t="shared" si="22"/>
        <v>0</v>
      </c>
      <c r="AO43" s="200">
        <f>IF($I$2="DRT",VLOOKUP(A43,'Misc. Data &amp; Mechanisms'!$A$1483:$H$1574,7,FALSE),BA43)</f>
        <v>0.223</v>
      </c>
      <c r="AP43" s="555">
        <f t="shared" si="23"/>
        <v>6.9130000000000003</v>
      </c>
      <c r="AQ43" s="286"/>
      <c r="AR43" s="506">
        <f t="shared" si="24"/>
        <v>0</v>
      </c>
      <c r="AS43" s="507">
        <f>5%</f>
        <v>0.05</v>
      </c>
      <c r="AT43" s="359">
        <f>'Misc. Data &amp; Mechanisms'!AM316</f>
        <v>17.240703509168739</v>
      </c>
      <c r="AU43" s="434">
        <f>'Misc. Data &amp; Mechanisms'!AQ316</f>
        <v>18.915629602958987</v>
      </c>
      <c r="AV43" s="1088">
        <f>'Misc. Data &amp; Mechanisms'!Z316</f>
        <v>17.023240041667705</v>
      </c>
      <c r="AW43" s="1088">
        <f>'Misc. Data &amp; Mechanisms'!AA316</f>
        <v>10.872315185481709</v>
      </c>
      <c r="AX43" s="1462">
        <f>'Misc. Data &amp; Mechanisms'!$B$260</f>
        <v>10.198990303636064</v>
      </c>
      <c r="AY43" s="197">
        <f>IFERROR(IF('Personalized Bill Menu'!$B$30="Yes", IF('Personalized Bill Menu'!$B$34="Natural Gas",VLOOKUP($A43, 'Personalized Bill Menu'!$H$4:$L$93, 2, FALSE), IF('Personalized Bill Menu'!$B$34="Both",VLOOKUP($A43,'Personalized Bill Menu'!$H$4:$P$93, 6, FALSE), 0)), 0),0)</f>
        <v>0</v>
      </c>
      <c r="AZ43" s="1343">
        <f>IFERROR(IF('Personalized Bill Menu'!$C$37="Custom", IF('Personalized Bill Menu'!$B$34="Natural Gas",VLOOKUP($A43, 'Personalized Bill Menu'!$H$4:$L$93, 3, FALSE), IF('Personalized Bill Menu'!$B$34="Both",VLOOKUP($A43,'Personalized Bill Menu'!$H$4:$P$93, 7, FALSE), 0)), 0),0)</f>
        <v>0</v>
      </c>
      <c r="BA43" s="1344">
        <f>IFERROR(IF('Personalized Bill Menu'!$C$37="Custom", IF('Personalized Bill Menu'!$B$34="Natural Gas",VLOOKUP($A43, 'Personalized Bill Menu'!$H$4:$L$93, 4, FALSE), IF('Personalized Bill Menu'!$B$34="Both",VLOOKUP($A43,'Personalized Bill Menu'!$H$4:$P$93, 8, FALSE), 0)), 0),0)</f>
        <v>0</v>
      </c>
      <c r="BB43" s="468"/>
      <c r="BC43" s="468"/>
      <c r="BD43" s="468"/>
    </row>
    <row r="44" spans="1:56" s="469" customFormat="1" x14ac:dyDescent="0.35">
      <c r="A44" s="496">
        <v>42036</v>
      </c>
      <c r="B44" s="497">
        <f t="shared" si="9"/>
        <v>28</v>
      </c>
      <c r="C44" s="1581">
        <f t="shared" si="10"/>
        <v>16.070433558291903</v>
      </c>
      <c r="D44" s="66">
        <f t="shared" si="11"/>
        <v>6.8943024356525147</v>
      </c>
      <c r="E44" s="66">
        <f>(1+$AS44)*IF(OR('Service Zone Menu'!$X$4="Calgary",AND('Service Zone Menu'!$X$4="Okotoks", $A44&lt;DATE(2019, 1, 1))),((1+$T44)*($N44+$P44+($X44+$Y44+$AA44+$AB44+$AC44))) + ($U44*($P44+($X44+$Y44+$AA44+$AB44+$AC44))) + $AQ44, ((1+$T44)*($P44+($Y44+$AA44+$AB44+$AC44)))+ ($U44*($P44+($X44+$Y44+$AA44+$AB44+$AC44)))+$N44+$X44 + $AQ44)</f>
        <v>4.8357849749999993</v>
      </c>
      <c r="F44" s="488">
        <f t="shared" si="12"/>
        <v>110.79442922292377</v>
      </c>
      <c r="G44" s="489">
        <f t="shared" si="13"/>
        <v>41.911690720025284</v>
      </c>
      <c r="H44" s="490">
        <f t="shared" si="0"/>
        <v>35.190586007676224</v>
      </c>
      <c r="I44" s="490">
        <f t="shared" si="14"/>
        <v>9.9265569227122246</v>
      </c>
      <c r="J44" s="490">
        <f t="shared" si="15"/>
        <v>12.245670371418431</v>
      </c>
      <c r="K44" s="490">
        <f t="shared" si="16"/>
        <v>6.2439999999999998</v>
      </c>
      <c r="L44" s="490">
        <f t="shared" si="17"/>
        <v>0</v>
      </c>
      <c r="M44" s="491">
        <f t="shared" si="18"/>
        <v>5.2759252010916082</v>
      </c>
      <c r="N44" s="273">
        <f>IF($I$2="DRT",VLOOKUP(A44,'Misc. Data &amp; Mechanisms'!$A$1381:$D$1471,3,FALSE),AZ44)</f>
        <v>2.6080000000000001</v>
      </c>
      <c r="O44" s="425">
        <f t="shared" si="19"/>
        <v>41.911690720025284</v>
      </c>
      <c r="P44" s="387">
        <v>0.77500000000000002</v>
      </c>
      <c r="Q44" s="278">
        <v>0.81200000000000006</v>
      </c>
      <c r="R44" s="425">
        <f t="shared" si="25"/>
        <v>12.454586007676225</v>
      </c>
      <c r="S44" s="425">
        <f t="shared" si="26"/>
        <v>22.736000000000001</v>
      </c>
      <c r="T44" s="391">
        <f>VLOOKUP($A44,'Misc. Data &amp; Mechanisms'!$A$63:$DY$152,HLOOKUP('Service Zone Menu'!$X$4&amp;"_ATCO-S_NG_Y_1",'Misc. Data &amp; Mechanisms'!$A$55:$DY$62,8,FALSE), FALSE)</f>
        <v>0.1111</v>
      </c>
      <c r="U44" s="205">
        <f>VLOOKUP($A44,'Misc. Data &amp; Mechanisms'!$A$63:$DY$152,HLOOKUP('Service Zone Menu'!$X$4&amp;"_ATCO-S_NG_Y_2",'Misc. Data &amp; Mechanisms'!$A$55:$DY$62,8,FALSE), FALSE)</f>
        <v>0</v>
      </c>
      <c r="V44" s="425">
        <f>IF(OR('Service Zone Menu'!$X$4="Calgary",AND('Service Zone Menu'!$X$4="Okotoks", $A44&lt;DATE(2019, 1, 1))),$T44*($H44+$G44+$J44),$T44*($H44+$J44-$AG44))</f>
        <v>9.9265569227122246</v>
      </c>
      <c r="W44" s="425">
        <f t="shared" si="27"/>
        <v>0</v>
      </c>
      <c r="X44" s="426"/>
      <c r="Y44" s="386"/>
      <c r="Z44" s="386"/>
      <c r="AA44" s="386"/>
      <c r="AB44" s="386">
        <v>0.76200000000000001</v>
      </c>
      <c r="AC44" s="386"/>
      <c r="AD44" s="386"/>
      <c r="AE44" s="386"/>
      <c r="AF44" s="386"/>
      <c r="AG44" s="492">
        <f t="shared" si="28"/>
        <v>0</v>
      </c>
      <c r="AH44" s="492">
        <f t="shared" si="29"/>
        <v>0</v>
      </c>
      <c r="AI44" s="425">
        <f t="shared" si="30"/>
        <v>0</v>
      </c>
      <c r="AJ44" s="425">
        <f t="shared" si="31"/>
        <v>12.245670371418431</v>
      </c>
      <c r="AK44" s="425">
        <f t="shared" si="32"/>
        <v>0</v>
      </c>
      <c r="AL44" s="425">
        <f t="shared" si="20"/>
        <v>0</v>
      </c>
      <c r="AM44" s="425">
        <f t="shared" si="21"/>
        <v>0</v>
      </c>
      <c r="AN44" s="425">
        <f t="shared" si="22"/>
        <v>0</v>
      </c>
      <c r="AO44" s="200">
        <f>IF($I$2="DRT",VLOOKUP(A44,'Misc. Data &amp; Mechanisms'!$A$1483:$H$1574,7,FALSE),BA44)</f>
        <v>0.223</v>
      </c>
      <c r="AP44" s="552">
        <f t="shared" si="23"/>
        <v>6.2439999999999998</v>
      </c>
      <c r="AQ44" s="290"/>
      <c r="AR44" s="494">
        <f t="shared" si="24"/>
        <v>0</v>
      </c>
      <c r="AS44" s="495">
        <f>5%</f>
        <v>0.05</v>
      </c>
      <c r="AT44" s="341">
        <f>'Misc. Data &amp; Mechanisms'!AM317</f>
        <v>16.27572539446863</v>
      </c>
      <c r="AU44" s="424">
        <f>'Misc. Data &amp; Mechanisms'!AQ317</f>
        <v>17.653089811795009</v>
      </c>
      <c r="AV44" s="1087">
        <f>'Misc. Data &amp; Mechanisms'!Z317</f>
        <v>16.070433558291903</v>
      </c>
      <c r="AW44" s="1087">
        <f>'Misc. Data &amp; Mechanisms'!AA317</f>
        <v>10.263781652929977</v>
      </c>
      <c r="AX44" s="1460">
        <f>'Misc. Data &amp; Mechanisms'!$B$260</f>
        <v>10.198990303636064</v>
      </c>
      <c r="AY44" s="197">
        <f>IFERROR(IF('Personalized Bill Menu'!$B$30="Yes", IF('Personalized Bill Menu'!$B$34="Natural Gas",VLOOKUP($A44, 'Personalized Bill Menu'!$H$4:$L$93, 2, FALSE), IF('Personalized Bill Menu'!$B$34="Both",VLOOKUP($A44,'Personalized Bill Menu'!$H$4:$P$93, 6, FALSE), 0)), 0),0)</f>
        <v>0</v>
      </c>
      <c r="AZ44" s="1343">
        <f>IFERROR(IF('Personalized Bill Menu'!$C$37="Custom", IF('Personalized Bill Menu'!$B$34="Natural Gas",VLOOKUP($A44, 'Personalized Bill Menu'!$H$4:$L$93, 3, FALSE), IF('Personalized Bill Menu'!$B$34="Both",VLOOKUP($A44,'Personalized Bill Menu'!$H$4:$P$93, 7, FALSE), 0)), 0),0)</f>
        <v>0</v>
      </c>
      <c r="BA44" s="1344">
        <f>IFERROR(IF('Personalized Bill Menu'!$C$37="Custom", IF('Personalized Bill Menu'!$B$34="Natural Gas",VLOOKUP($A44, 'Personalized Bill Menu'!$H$4:$L$93, 4, FALSE), IF('Personalized Bill Menu'!$B$34="Both",VLOOKUP($A44,'Personalized Bill Menu'!$H$4:$P$93, 8, FALSE), 0)), 0),0)</f>
        <v>0</v>
      </c>
      <c r="BB44" s="468"/>
      <c r="BC44" s="468"/>
      <c r="BD44" s="468"/>
    </row>
    <row r="45" spans="1:56" s="469" customFormat="1" x14ac:dyDescent="0.35">
      <c r="A45" s="496">
        <v>42064</v>
      </c>
      <c r="B45" s="497">
        <f t="shared" si="9"/>
        <v>31</v>
      </c>
      <c r="C45" s="1581">
        <f t="shared" si="10"/>
        <v>12.142155132331677</v>
      </c>
      <c r="D45" s="66">
        <f t="shared" si="11"/>
        <v>8.2465220175817464</v>
      </c>
      <c r="E45" s="66">
        <f>(1+$AS45)*IF(OR('Service Zone Menu'!$X$4="Calgary",AND('Service Zone Menu'!$X$4="Okotoks", $A45&lt;DATE(2019, 1, 1))),((1+$T45)*($N45+$P45+($X45+$Y45+$AA45+$AB45+$AC45))) + ($U45*($P45+($X45+$Y45+$AA45+$AB45+$AC45))) + $AQ45, ((1+$T45)*($P45+($Y45+$AA45+$AB45+$AC45)))+ ($U45*($P45+($X45+$Y45+$AA45+$AB45+$AC45)))+$N45+$X45 + $AQ45)</f>
        <v>5.2301143650000004</v>
      </c>
      <c r="F45" s="488">
        <f t="shared" si="12"/>
        <v>100.13054963966638</v>
      </c>
      <c r="G45" s="489">
        <f t="shared" si="13"/>
        <v>36.06220074302508</v>
      </c>
      <c r="H45" s="490">
        <f t="shared" si="0"/>
        <v>34.58217022755705</v>
      </c>
      <c r="I45" s="490">
        <f t="shared" si="14"/>
        <v>8.8441467700107879</v>
      </c>
      <c r="J45" s="490">
        <f t="shared" si="15"/>
        <v>8.9609104876607777</v>
      </c>
      <c r="K45" s="490">
        <f t="shared" si="16"/>
        <v>6.9130000000000003</v>
      </c>
      <c r="L45" s="490">
        <f t="shared" si="17"/>
        <v>0</v>
      </c>
      <c r="M45" s="491">
        <f t="shared" si="18"/>
        <v>4.7681214114126851</v>
      </c>
      <c r="N45" s="273">
        <f>IF($I$2="DRT",VLOOKUP(A45,'Misc. Data &amp; Mechanisms'!$A$1381:$D$1471,3,FALSE),AZ45)</f>
        <v>2.97</v>
      </c>
      <c r="O45" s="425">
        <f t="shared" si="19"/>
        <v>36.06220074302508</v>
      </c>
      <c r="P45" s="387">
        <v>0.77500000000000002</v>
      </c>
      <c r="Q45" s="278">
        <v>0.81200000000000006</v>
      </c>
      <c r="R45" s="425">
        <f t="shared" si="25"/>
        <v>9.4101702275570496</v>
      </c>
      <c r="S45" s="425">
        <f t="shared" si="26"/>
        <v>25.172000000000001</v>
      </c>
      <c r="T45" s="391">
        <f>VLOOKUP($A45,'Misc. Data &amp; Mechanisms'!$A$63:$DY$152,HLOOKUP('Service Zone Menu'!$X$4&amp;"_ATCO-S_NG_Y_1",'Misc. Data &amp; Mechanisms'!$A$55:$DY$62,8,FALSE), FALSE)</f>
        <v>0.1111</v>
      </c>
      <c r="U45" s="205">
        <f>VLOOKUP($A45,'Misc. Data &amp; Mechanisms'!$A$63:$DY$152,HLOOKUP('Service Zone Menu'!$X$4&amp;"_ATCO-S_NG_Y_2",'Misc. Data &amp; Mechanisms'!$A$55:$DY$62,8,FALSE), FALSE)</f>
        <v>0</v>
      </c>
      <c r="V45" s="425">
        <f>IF(OR('Service Zone Menu'!$X$4="Calgary",AND('Service Zone Menu'!$X$4="Okotoks", $A45&lt;DATE(2019, 1, 1))),$T45*($H45+$G45+$J45),$T45*($H45+$J45-$AG45))</f>
        <v>8.8441467700107879</v>
      </c>
      <c r="W45" s="425">
        <f t="shared" si="27"/>
        <v>0</v>
      </c>
      <c r="X45" s="426"/>
      <c r="Y45" s="386"/>
      <c r="Z45" s="386"/>
      <c r="AA45" s="386"/>
      <c r="AB45" s="386">
        <v>0.73799999999999999</v>
      </c>
      <c r="AC45" s="386"/>
      <c r="AD45" s="386"/>
      <c r="AE45" s="386"/>
      <c r="AF45" s="386"/>
      <c r="AG45" s="492">
        <f t="shared" si="28"/>
        <v>0</v>
      </c>
      <c r="AH45" s="492">
        <f t="shared" si="29"/>
        <v>0</v>
      </c>
      <c r="AI45" s="425">
        <f t="shared" si="30"/>
        <v>0</v>
      </c>
      <c r="AJ45" s="425">
        <f t="shared" si="31"/>
        <v>8.9609104876607777</v>
      </c>
      <c r="AK45" s="425">
        <f t="shared" si="32"/>
        <v>0</v>
      </c>
      <c r="AL45" s="425">
        <f t="shared" si="20"/>
        <v>0</v>
      </c>
      <c r="AM45" s="425">
        <f t="shared" si="21"/>
        <v>0</v>
      </c>
      <c r="AN45" s="425">
        <f t="shared" si="22"/>
        <v>0</v>
      </c>
      <c r="AO45" s="200">
        <f>IF($I$2="DRT",VLOOKUP(A45,'Misc. Data &amp; Mechanisms'!$A$1483:$H$1574,7,FALSE),BA45)</f>
        <v>0.223</v>
      </c>
      <c r="AP45" s="552">
        <f t="shared" si="23"/>
        <v>6.9130000000000003</v>
      </c>
      <c r="AQ45" s="290"/>
      <c r="AR45" s="494">
        <f t="shared" si="24"/>
        <v>0</v>
      </c>
      <c r="AS45" s="495">
        <f>5%</f>
        <v>0.05</v>
      </c>
      <c r="AT45" s="341">
        <f>'Misc. Data &amp; Mechanisms'!AM318</f>
        <v>12.297265155544016</v>
      </c>
      <c r="AU45" s="424">
        <f>'Misc. Data &amp; Mechanisms'!AQ318</f>
        <v>13.395570539927183</v>
      </c>
      <c r="AV45" s="1087">
        <f>'Misc. Data &amp; Mechanisms'!Z318</f>
        <v>12.142155132331677</v>
      </c>
      <c r="AW45" s="1087">
        <f>'Misc. Data &amp; Mechanisms'!AA318</f>
        <v>7.7548890403117099</v>
      </c>
      <c r="AX45" s="1460">
        <f>'Misc. Data &amp; Mechanisms'!$B$260</f>
        <v>10.198990303636064</v>
      </c>
      <c r="AY45" s="197">
        <f>IFERROR(IF('Personalized Bill Menu'!$B$30="Yes", IF('Personalized Bill Menu'!$B$34="Natural Gas",VLOOKUP($A45, 'Personalized Bill Menu'!$H$4:$L$93, 2, FALSE), IF('Personalized Bill Menu'!$B$34="Both",VLOOKUP($A45,'Personalized Bill Menu'!$H$4:$P$93, 6, FALSE), 0)), 0),0)</f>
        <v>0</v>
      </c>
      <c r="AZ45" s="1343">
        <f>IFERROR(IF('Personalized Bill Menu'!$C$37="Custom", IF('Personalized Bill Menu'!$B$34="Natural Gas",VLOOKUP($A45, 'Personalized Bill Menu'!$H$4:$L$93, 3, FALSE), IF('Personalized Bill Menu'!$B$34="Both",VLOOKUP($A45,'Personalized Bill Menu'!$H$4:$P$93, 7, FALSE), 0)), 0),0)</f>
        <v>0</v>
      </c>
      <c r="BA45" s="1344">
        <f>IFERROR(IF('Personalized Bill Menu'!$C$37="Custom", IF('Personalized Bill Menu'!$B$34="Natural Gas",VLOOKUP($A45, 'Personalized Bill Menu'!$H$4:$L$93, 4, FALSE), IF('Personalized Bill Menu'!$B$34="Both",VLOOKUP($A45,'Personalized Bill Menu'!$H$4:$P$93, 8, FALSE), 0)), 0),0)</f>
        <v>0</v>
      </c>
      <c r="BB45" s="468"/>
      <c r="BC45" s="468"/>
      <c r="BD45" s="468"/>
    </row>
    <row r="46" spans="1:56" s="469" customFormat="1" x14ac:dyDescent="0.35">
      <c r="A46" s="496">
        <v>42095</v>
      </c>
      <c r="B46" s="497">
        <f t="shared" si="9"/>
        <v>30</v>
      </c>
      <c r="C46" s="1581">
        <f t="shared" si="10"/>
        <v>9.7936096292748651</v>
      </c>
      <c r="D46" s="66">
        <f t="shared" si="11"/>
        <v>8.7710651429769317</v>
      </c>
      <c r="E46" s="66">
        <f>(1+$AS46)*IF(OR('Service Zone Menu'!$X$4="Calgary",AND('Service Zone Menu'!$X$4="Okotoks", $A46&lt;DATE(2019, 1, 1))),((1+$T46)*($N46+$P46+($X46+$Y46+$AA46+$AB46+$AC46))) + ($U46*($P46+($X46+$Y46+$AA46+$AB46+$AC46))) + $AQ46, ((1+$T46)*($P46+($Y46+$AA46+$AB46+$AC46)))+ ($U46*($P46+($X46+$Y46+$AA46+$AB46+$AC46)))+$N46+$X46 + $AQ46)</f>
        <v>5.1519484800000006</v>
      </c>
      <c r="F46" s="488">
        <f t="shared" si="12"/>
        <v>85.900388043256001</v>
      </c>
      <c r="G46" s="489">
        <f t="shared" si="13"/>
        <v>28.430848753784932</v>
      </c>
      <c r="H46" s="490">
        <f t="shared" si="0"/>
        <v>31.950047462688023</v>
      </c>
      <c r="I46" s="490">
        <f t="shared" si="14"/>
        <v>7.5113132516517247</v>
      </c>
      <c r="J46" s="490">
        <f t="shared" si="15"/>
        <v>7.2276839064048506</v>
      </c>
      <c r="K46" s="490">
        <f t="shared" si="16"/>
        <v>6.69</v>
      </c>
      <c r="L46" s="490">
        <f t="shared" si="17"/>
        <v>0</v>
      </c>
      <c r="M46" s="491">
        <f t="shared" si="18"/>
        <v>4.0904946687264765</v>
      </c>
      <c r="N46" s="273">
        <f>IF($I$2="DRT",VLOOKUP(A46,'Misc. Data &amp; Mechanisms'!$A$1381:$D$1471,3,FALSE),AZ46)</f>
        <v>2.903</v>
      </c>
      <c r="O46" s="425">
        <f t="shared" si="19"/>
        <v>28.430848753784932</v>
      </c>
      <c r="P46" s="387">
        <v>0.77500000000000002</v>
      </c>
      <c r="Q46" s="278">
        <v>0.81200000000000006</v>
      </c>
      <c r="R46" s="425">
        <f t="shared" si="25"/>
        <v>7.5900474626880206</v>
      </c>
      <c r="S46" s="425">
        <f t="shared" si="26"/>
        <v>24.360000000000003</v>
      </c>
      <c r="T46" s="391">
        <f>VLOOKUP($A46,'Misc. Data &amp; Mechanisms'!$A$63:$DY$152,HLOOKUP('Service Zone Menu'!$X$4&amp;"_ATCO-S_NG_Y_1",'Misc. Data &amp; Mechanisms'!$A$55:$DY$62,8,FALSE), FALSE)</f>
        <v>0.1111</v>
      </c>
      <c r="U46" s="205">
        <f>VLOOKUP($A46,'Misc. Data &amp; Mechanisms'!$A$63:$DY$152,HLOOKUP('Service Zone Menu'!$X$4&amp;"_ATCO-S_NG_Y_2",'Misc. Data &amp; Mechanisms'!$A$55:$DY$62,8,FALSE), FALSE)</f>
        <v>0</v>
      </c>
      <c r="V46" s="425">
        <f>IF(OR('Service Zone Menu'!$X$4="Calgary",AND('Service Zone Menu'!$X$4="Okotoks", $A46&lt;DATE(2019, 1, 1))),$T46*($H46+$G46+$J46),$T46*($H46+$J46-$AG46))</f>
        <v>7.5113132516517247</v>
      </c>
      <c r="W46" s="425">
        <f t="shared" si="27"/>
        <v>0</v>
      </c>
      <c r="X46" s="426"/>
      <c r="Y46" s="386"/>
      <c r="Z46" s="386"/>
      <c r="AA46" s="386"/>
      <c r="AB46" s="386">
        <v>0.73799999999999999</v>
      </c>
      <c r="AC46" s="386"/>
      <c r="AD46" s="386"/>
      <c r="AE46" s="386"/>
      <c r="AF46" s="386"/>
      <c r="AG46" s="492">
        <f t="shared" si="28"/>
        <v>0</v>
      </c>
      <c r="AH46" s="492">
        <f t="shared" si="29"/>
        <v>0</v>
      </c>
      <c r="AI46" s="425">
        <f t="shared" si="30"/>
        <v>0</v>
      </c>
      <c r="AJ46" s="425">
        <f t="shared" si="31"/>
        <v>7.2276839064048506</v>
      </c>
      <c r="AK46" s="425">
        <f t="shared" si="32"/>
        <v>0</v>
      </c>
      <c r="AL46" s="425">
        <f t="shared" si="20"/>
        <v>0</v>
      </c>
      <c r="AM46" s="425">
        <f t="shared" si="21"/>
        <v>0</v>
      </c>
      <c r="AN46" s="425">
        <f t="shared" si="22"/>
        <v>0</v>
      </c>
      <c r="AO46" s="200">
        <f>IF($I$2="DRT",VLOOKUP(A46,'Misc. Data &amp; Mechanisms'!$A$1483:$H$1574,7,FALSE),BA46)</f>
        <v>0.223</v>
      </c>
      <c r="AP46" s="552">
        <f t="shared" si="23"/>
        <v>6.69</v>
      </c>
      <c r="AQ46" s="290"/>
      <c r="AR46" s="494">
        <f t="shared" si="24"/>
        <v>0</v>
      </c>
      <c r="AS46" s="495">
        <f>5%</f>
        <v>0.05</v>
      </c>
      <c r="AT46" s="341">
        <f>'Misc. Data &amp; Mechanisms'!AM319</f>
        <v>9.9187181458745624</v>
      </c>
      <c r="AU46" s="424">
        <f>'Misc. Data &amp; Mechanisms'!AQ319</f>
        <v>9.9256518173290829</v>
      </c>
      <c r="AV46" s="1087">
        <f>'Misc. Data &amp; Mechanisms'!Z319</f>
        <v>9.7936096292748651</v>
      </c>
      <c r="AW46" s="1087">
        <f>'Misc. Data &amp; Mechanisms'!AA319</f>
        <v>6.2549321064859766</v>
      </c>
      <c r="AX46" s="1460">
        <f>'Misc. Data &amp; Mechanisms'!$B$260</f>
        <v>10.198990303636064</v>
      </c>
      <c r="AY46" s="197">
        <f>IFERROR(IF('Personalized Bill Menu'!$B$30="Yes", IF('Personalized Bill Menu'!$B$34="Natural Gas",VLOOKUP($A46, 'Personalized Bill Menu'!$H$4:$L$93, 2, FALSE), IF('Personalized Bill Menu'!$B$34="Both",VLOOKUP($A46,'Personalized Bill Menu'!$H$4:$P$93, 6, FALSE), 0)), 0),0)</f>
        <v>0</v>
      </c>
      <c r="AZ46" s="1343">
        <f>IFERROR(IF('Personalized Bill Menu'!$C$37="Custom", IF('Personalized Bill Menu'!$B$34="Natural Gas",VLOOKUP($A46, 'Personalized Bill Menu'!$H$4:$L$93, 3, FALSE), IF('Personalized Bill Menu'!$B$34="Both",VLOOKUP($A46,'Personalized Bill Menu'!$H$4:$P$93, 7, FALSE), 0)), 0),0)</f>
        <v>0</v>
      </c>
      <c r="BA46" s="1344">
        <f>IFERROR(IF('Personalized Bill Menu'!$C$37="Custom", IF('Personalized Bill Menu'!$B$34="Natural Gas",VLOOKUP($A46, 'Personalized Bill Menu'!$H$4:$L$93, 4, FALSE), IF('Personalized Bill Menu'!$B$34="Both",VLOOKUP($A46,'Personalized Bill Menu'!$H$4:$P$93, 8, FALSE), 0)), 0),0)</f>
        <v>0</v>
      </c>
      <c r="BB46" s="468"/>
      <c r="BC46" s="468"/>
      <c r="BD46" s="468"/>
    </row>
    <row r="47" spans="1:56" s="469" customFormat="1" x14ac:dyDescent="0.35">
      <c r="A47" s="496">
        <v>42125</v>
      </c>
      <c r="B47" s="497">
        <f t="shared" si="9"/>
        <v>31</v>
      </c>
      <c r="C47" s="1581">
        <f t="shared" si="10"/>
        <v>6.5541395721350089</v>
      </c>
      <c r="D47" s="66">
        <f t="shared" si="11"/>
        <v>9.9514663411741502</v>
      </c>
      <c r="E47" s="66">
        <f>(1+$AS47)*IF(OR('Service Zone Menu'!$X$4="Calgary",AND('Service Zone Menu'!$X$4="Okotoks", $A47&lt;DATE(2019, 1, 1))),((1+$T47)*($N47+$P47+($X47+$Y47+$AA47+$AB47+$AC47))) + ($U47*($P47+($X47+$Y47+$AA47+$AB47+$AC47))) + $AQ47, ((1+$T47)*($P47+($Y47+$AA47+$AB47+$AC47)))+ ($U47*($P47+($X47+$Y47+$AA47+$AB47+$AC47)))+$N47+$X47 + $AQ47)</f>
        <v>4.3632896999999993</v>
      </c>
      <c r="F47" s="488">
        <f t="shared" si="12"/>
        <v>65.22329934745909</v>
      </c>
      <c r="G47" s="489">
        <f t="shared" si="13"/>
        <v>14.596068827144665</v>
      </c>
      <c r="H47" s="490">
        <f t="shared" si="0"/>
        <v>30.251458168404632</v>
      </c>
      <c r="I47" s="490">
        <f t="shared" si="14"/>
        <v>5.5199459501761057</v>
      </c>
      <c r="J47" s="490">
        <f t="shared" si="15"/>
        <v>4.8369550042356364</v>
      </c>
      <c r="K47" s="490">
        <f t="shared" si="16"/>
        <v>6.9130000000000003</v>
      </c>
      <c r="L47" s="490">
        <f t="shared" si="17"/>
        <v>0</v>
      </c>
      <c r="M47" s="491">
        <f t="shared" si="18"/>
        <v>3.1058713974980523</v>
      </c>
      <c r="N47" s="273">
        <f>IF($I$2="DRT",VLOOKUP(A47,'Misc. Data &amp; Mechanisms'!$A$1381:$D$1471,3,FALSE),AZ47)</f>
        <v>2.2269999999999999</v>
      </c>
      <c r="O47" s="425">
        <f t="shared" si="19"/>
        <v>14.596068827144665</v>
      </c>
      <c r="P47" s="387">
        <v>0.77500000000000002</v>
      </c>
      <c r="Q47" s="278">
        <v>0.81200000000000006</v>
      </c>
      <c r="R47" s="425">
        <f t="shared" si="25"/>
        <v>5.0794581684046323</v>
      </c>
      <c r="S47" s="425">
        <f t="shared" si="26"/>
        <v>25.172000000000001</v>
      </c>
      <c r="T47" s="391">
        <f>VLOOKUP($A47,'Misc. Data &amp; Mechanisms'!$A$63:$DY$152,HLOOKUP('Service Zone Menu'!$X$4&amp;"_ATCO-S_NG_Y_1",'Misc. Data &amp; Mechanisms'!$A$55:$DY$62,8,FALSE), FALSE)</f>
        <v>0.1111</v>
      </c>
      <c r="U47" s="205">
        <f>VLOOKUP($A47,'Misc. Data &amp; Mechanisms'!$A$63:$DY$152,HLOOKUP('Service Zone Menu'!$X$4&amp;"_ATCO-S_NG_Y_2",'Misc. Data &amp; Mechanisms'!$A$55:$DY$62,8,FALSE), FALSE)</f>
        <v>0</v>
      </c>
      <c r="V47" s="425">
        <f>IF(OR('Service Zone Menu'!$X$4="Calgary",AND('Service Zone Menu'!$X$4="Okotoks", $A47&lt;DATE(2019, 1, 1))),$T47*($H47+$G47+$J47),$T47*($H47+$J47-$AG47))</f>
        <v>5.5199459501761057</v>
      </c>
      <c r="W47" s="425">
        <f t="shared" si="27"/>
        <v>0</v>
      </c>
      <c r="X47" s="426"/>
      <c r="Y47" s="386"/>
      <c r="Z47" s="386"/>
      <c r="AA47" s="386"/>
      <c r="AB47" s="386">
        <v>0.73799999999999999</v>
      </c>
      <c r="AC47" s="386"/>
      <c r="AD47" s="386"/>
      <c r="AE47" s="386"/>
      <c r="AF47" s="386"/>
      <c r="AG47" s="492">
        <f t="shared" si="28"/>
        <v>0</v>
      </c>
      <c r="AH47" s="492">
        <f t="shared" si="29"/>
        <v>0</v>
      </c>
      <c r="AI47" s="425">
        <f t="shared" si="30"/>
        <v>0</v>
      </c>
      <c r="AJ47" s="425">
        <f t="shared" si="31"/>
        <v>4.8369550042356364</v>
      </c>
      <c r="AK47" s="425">
        <f t="shared" si="32"/>
        <v>0</v>
      </c>
      <c r="AL47" s="425">
        <f t="shared" si="20"/>
        <v>0</v>
      </c>
      <c r="AM47" s="425">
        <f t="shared" si="21"/>
        <v>0</v>
      </c>
      <c r="AN47" s="425">
        <f t="shared" si="22"/>
        <v>0</v>
      </c>
      <c r="AO47" s="200">
        <f>IF($I$2="DRT",VLOOKUP(A47,'Misc. Data &amp; Mechanisms'!$A$1483:$H$1574,7,FALSE),BA47)</f>
        <v>0.223</v>
      </c>
      <c r="AP47" s="552">
        <f t="shared" si="23"/>
        <v>6.9130000000000003</v>
      </c>
      <c r="AQ47" s="290"/>
      <c r="AR47" s="494">
        <f t="shared" si="24"/>
        <v>0</v>
      </c>
      <c r="AS47" s="495">
        <f>5%</f>
        <v>0.05</v>
      </c>
      <c r="AT47" s="341">
        <f>'Misc. Data &amp; Mechanisms'!AM320</f>
        <v>6.6378654618219048</v>
      </c>
      <c r="AU47" s="424">
        <f>'Misc. Data &amp; Mechanisms'!AQ320</f>
        <v>6.3069608641640134</v>
      </c>
      <c r="AV47" s="1087">
        <f>'Misc. Data &amp; Mechanisms'!Z320</f>
        <v>6.5541395721350089</v>
      </c>
      <c r="AW47" s="1087">
        <f>'Misc. Data &amp; Mechanisms'!AA320</f>
        <v>4.1859640716732258</v>
      </c>
      <c r="AX47" s="1460">
        <f>'Misc. Data &amp; Mechanisms'!$B$260</f>
        <v>10.198990303636064</v>
      </c>
      <c r="AY47" s="197">
        <f>IFERROR(IF('Personalized Bill Menu'!$B$30="Yes", IF('Personalized Bill Menu'!$B$34="Natural Gas",VLOOKUP($A47, 'Personalized Bill Menu'!$H$4:$L$93, 2, FALSE), IF('Personalized Bill Menu'!$B$34="Both",VLOOKUP($A47,'Personalized Bill Menu'!$H$4:$P$93, 6, FALSE), 0)), 0),0)</f>
        <v>0</v>
      </c>
      <c r="AZ47" s="1343">
        <f>IFERROR(IF('Personalized Bill Menu'!$C$37="Custom", IF('Personalized Bill Menu'!$B$34="Natural Gas",VLOOKUP($A47, 'Personalized Bill Menu'!$H$4:$L$93, 3, FALSE), IF('Personalized Bill Menu'!$B$34="Both",VLOOKUP($A47,'Personalized Bill Menu'!$H$4:$P$93, 7, FALSE), 0)), 0),0)</f>
        <v>0</v>
      </c>
      <c r="BA47" s="1344">
        <f>IFERROR(IF('Personalized Bill Menu'!$C$37="Custom", IF('Personalized Bill Menu'!$B$34="Natural Gas",VLOOKUP($A47, 'Personalized Bill Menu'!$H$4:$L$93, 4, FALSE), IF('Personalized Bill Menu'!$B$34="Both",VLOOKUP($A47,'Personalized Bill Menu'!$H$4:$P$93, 8, FALSE), 0)), 0),0)</f>
        <v>0</v>
      </c>
      <c r="BB47" s="468"/>
      <c r="BC47" s="468"/>
      <c r="BD47" s="468"/>
    </row>
    <row r="48" spans="1:56" s="469" customFormat="1" x14ac:dyDescent="0.35">
      <c r="A48" s="496">
        <v>42156</v>
      </c>
      <c r="B48" s="497">
        <f t="shared" si="9"/>
        <v>30</v>
      </c>
      <c r="C48" s="1581">
        <f t="shared" si="10"/>
        <v>3.4828054769975751</v>
      </c>
      <c r="D48" s="66">
        <f t="shared" si="11"/>
        <v>16.306520513292877</v>
      </c>
      <c r="E48" s="66">
        <f>(1+$AS48)*IF(OR('Service Zone Menu'!$X$4="Calgary",AND('Service Zone Menu'!$X$4="Okotoks", $A48&lt;DATE(2019, 1, 1))),((1+$T48)*($N48+$P48+($X48+$Y48+$AA48+$AB48+$AC48))) + ($U48*($P48+($X48+$Y48+$AA48+$AB48+$AC48))) + $AQ48, ((1+$T48)*($P48+($Y48+$AA48+$AB48+$AC48)))+ ($U48*($P48+($X48+$Y48+$AA48+$AB48+$AC48)))+$N48+$X48 + $AQ48)</f>
        <v>6.1296053699999993</v>
      </c>
      <c r="F48" s="488">
        <f t="shared" si="12"/>
        <v>56.792438954469745</v>
      </c>
      <c r="G48" s="489">
        <f t="shared" si="13"/>
        <v>13.029175289447929</v>
      </c>
      <c r="H48" s="490">
        <f t="shared" si="0"/>
        <v>27.059174244673123</v>
      </c>
      <c r="I48" s="490">
        <f t="shared" si="14"/>
        <v>4.7393771233497386</v>
      </c>
      <c r="J48" s="490">
        <f t="shared" si="15"/>
        <v>2.5703104420242102</v>
      </c>
      <c r="K48" s="490">
        <f>SUM($AP48)</f>
        <v>6.69</v>
      </c>
      <c r="L48" s="490">
        <f t="shared" si="17"/>
        <v>0</v>
      </c>
      <c r="M48" s="491">
        <f t="shared" si="18"/>
        <v>2.7044018549747499</v>
      </c>
      <c r="N48" s="273">
        <f>IF($I$2="DRT",VLOOKUP(A48,'Misc. Data &amp; Mechanisms'!$A$1381:$D$1471,3,FALSE),AZ48)</f>
        <v>3.7410000000000001</v>
      </c>
      <c r="O48" s="425">
        <f t="shared" si="19"/>
        <v>13.029175289447929</v>
      </c>
      <c r="P48" s="387">
        <v>0.77500000000000002</v>
      </c>
      <c r="Q48" s="278">
        <v>0.81200000000000006</v>
      </c>
      <c r="R48" s="425">
        <f t="shared" si="25"/>
        <v>2.6991742446731206</v>
      </c>
      <c r="S48" s="425">
        <f t="shared" si="26"/>
        <v>24.360000000000003</v>
      </c>
      <c r="T48" s="391">
        <f>VLOOKUP($A48,'Misc. Data &amp; Mechanisms'!$A$63:$DY$152,HLOOKUP('Service Zone Menu'!$X$4&amp;"_ATCO-S_NG_Y_1",'Misc. Data &amp; Mechanisms'!$A$55:$DY$62,8,FALSE), FALSE)</f>
        <v>0.1111</v>
      </c>
      <c r="U48" s="205">
        <f>VLOOKUP($A48,'Misc. Data &amp; Mechanisms'!$A$63:$DY$152,HLOOKUP('Service Zone Menu'!$X$4&amp;"_ATCO-S_NG_Y_2",'Misc. Data &amp; Mechanisms'!$A$55:$DY$62,8,FALSE), FALSE)</f>
        <v>0</v>
      </c>
      <c r="V48" s="425">
        <f>IF(OR('Service Zone Menu'!$X$4="Calgary",AND('Service Zone Menu'!$X$4="Okotoks", $A48&lt;DATE(2019, 1, 1))),$T48*($H48+$G48+$J48),$T48*($H48+$J48-$AG48))</f>
        <v>4.7393771233497386</v>
      </c>
      <c r="W48" s="425">
        <f t="shared" si="27"/>
        <v>0</v>
      </c>
      <c r="X48" s="426"/>
      <c r="Y48" s="386"/>
      <c r="Z48" s="386"/>
      <c r="AA48" s="386"/>
      <c r="AB48" s="386">
        <v>0.73799999999999999</v>
      </c>
      <c r="AC48" s="386"/>
      <c r="AD48" s="386"/>
      <c r="AE48" s="386"/>
      <c r="AF48" s="386"/>
      <c r="AG48" s="492">
        <f t="shared" si="28"/>
        <v>0</v>
      </c>
      <c r="AH48" s="492">
        <f t="shared" si="29"/>
        <v>0</v>
      </c>
      <c r="AI48" s="425">
        <f t="shared" si="30"/>
        <v>0</v>
      </c>
      <c r="AJ48" s="425">
        <f t="shared" si="31"/>
        <v>2.5703104420242102</v>
      </c>
      <c r="AK48" s="425">
        <f t="shared" si="32"/>
        <v>0</v>
      </c>
      <c r="AL48" s="425">
        <f t="shared" si="20"/>
        <v>0</v>
      </c>
      <c r="AM48" s="425">
        <f t="shared" si="21"/>
        <v>0</v>
      </c>
      <c r="AN48" s="425">
        <f t="shared" si="22"/>
        <v>0</v>
      </c>
      <c r="AO48" s="200">
        <f>IF($I$2="DRT",VLOOKUP(A48,'Misc. Data &amp; Mechanisms'!$A$1483:$H$1574,7,FALSE),BA48)</f>
        <v>0.223</v>
      </c>
      <c r="AP48" s="552">
        <f t="shared" si="23"/>
        <v>6.69</v>
      </c>
      <c r="AQ48" s="290"/>
      <c r="AR48" s="494">
        <f t="shared" si="24"/>
        <v>0</v>
      </c>
      <c r="AS48" s="495">
        <f>5%</f>
        <v>0.05</v>
      </c>
      <c r="AT48" s="341">
        <f>'Misc. Data &amp; Mechanisms'!AM321</f>
        <v>3.5272965934833698</v>
      </c>
      <c r="AU48" s="424">
        <f>'Misc. Data &amp; Mechanisms'!AQ321</f>
        <v>3.3189542225144737</v>
      </c>
      <c r="AV48" s="1087">
        <f>'Misc. Data &amp; Mechanisms'!Z321</f>
        <v>3.4828054769975751</v>
      </c>
      <c r="AW48" s="1087">
        <f>'Misc. Data &amp; Mechanisms'!AA321</f>
        <v>2.2243802462371898</v>
      </c>
      <c r="AX48" s="1460">
        <f>'Misc. Data &amp; Mechanisms'!$B$260</f>
        <v>10.198990303636064</v>
      </c>
      <c r="AY48" s="197">
        <f>IFERROR(IF('Personalized Bill Menu'!$B$30="Yes", IF('Personalized Bill Menu'!$B$34="Natural Gas",VLOOKUP($A48, 'Personalized Bill Menu'!$H$4:$L$93, 2, FALSE), IF('Personalized Bill Menu'!$B$34="Both",VLOOKUP($A48,'Personalized Bill Menu'!$H$4:$P$93, 6, FALSE), 0)), 0),0)</f>
        <v>0</v>
      </c>
      <c r="AZ48" s="1343">
        <f>IFERROR(IF('Personalized Bill Menu'!$C$37="Custom", IF('Personalized Bill Menu'!$B$34="Natural Gas",VLOOKUP($A48, 'Personalized Bill Menu'!$H$4:$L$93, 3, FALSE), IF('Personalized Bill Menu'!$B$34="Both",VLOOKUP($A48,'Personalized Bill Menu'!$H$4:$P$93, 7, FALSE), 0)), 0),0)</f>
        <v>0</v>
      </c>
      <c r="BA48" s="1344">
        <f>IFERROR(IF('Personalized Bill Menu'!$C$37="Custom", IF('Personalized Bill Menu'!$B$34="Natural Gas",VLOOKUP($A48, 'Personalized Bill Menu'!$H$4:$L$93, 4, FALSE), IF('Personalized Bill Menu'!$B$34="Both",VLOOKUP($A48,'Personalized Bill Menu'!$H$4:$P$93, 8, FALSE), 0)), 0),0)</f>
        <v>0</v>
      </c>
      <c r="BB48" s="468"/>
      <c r="BC48" s="468"/>
      <c r="BD48" s="468"/>
    </row>
    <row r="49" spans="1:56" s="469" customFormat="1" x14ac:dyDescent="0.35">
      <c r="A49" s="496">
        <v>42186</v>
      </c>
      <c r="B49" s="497">
        <f t="shared" si="9"/>
        <v>31</v>
      </c>
      <c r="C49" s="1581">
        <f t="shared" si="10"/>
        <v>2.6677858527249043</v>
      </c>
      <c r="D49" s="66">
        <f t="shared" si="11"/>
        <v>17.982495816829786</v>
      </c>
      <c r="E49" s="66">
        <f>(1+$AS49)*IF(OR('Service Zone Menu'!$X$4="Calgary",AND('Service Zone Menu'!$X$4="Okotoks", $A49&lt;DATE(2019, 1, 1))),((1+$T49)*($N49+$P49+($X49+$Y49+$AA49+$AB49+$AC49))) + ($U49*($P49+($X49+$Y49+$AA49+$AB49+$AC49))) + $AQ49, ((1+$T49)*($P49+($Y49+$AA49+$AB49+$AC49)))+ ($U49*($P49+($X49+$Y49+$AA49+$AB49+$AC49)))+$N49+$X49 + $AQ49)</f>
        <v>4.2536241300000004</v>
      </c>
      <c r="F49" s="488">
        <f t="shared" si="12"/>
        <v>47.973447936823277</v>
      </c>
      <c r="G49" s="489">
        <f t="shared" si="13"/>
        <v>5.6903872238622206</v>
      </c>
      <c r="H49" s="490">
        <f t="shared" si="0"/>
        <v>27.239534035861801</v>
      </c>
      <c r="I49" s="490">
        <f t="shared" si="14"/>
        <v>3.8772508160347887</v>
      </c>
      <c r="J49" s="490">
        <f t="shared" si="15"/>
        <v>1.9688259593109794</v>
      </c>
      <c r="K49" s="490">
        <f t="shared" si="16"/>
        <v>6.9130000000000003</v>
      </c>
      <c r="L49" s="490">
        <f t="shared" si="17"/>
        <v>0</v>
      </c>
      <c r="M49" s="491">
        <f t="shared" si="18"/>
        <v>2.2844499017534896</v>
      </c>
      <c r="N49" s="273">
        <f>IF($I$2="DRT",VLOOKUP(A49,'Misc. Data &amp; Mechanisms'!$A$1381:$D$1471,3,FALSE),AZ49)</f>
        <v>2.133</v>
      </c>
      <c r="O49" s="425">
        <f t="shared" si="19"/>
        <v>5.6903872238622206</v>
      </c>
      <c r="P49" s="387">
        <v>0.77500000000000002</v>
      </c>
      <c r="Q49" s="278">
        <v>0.81200000000000006</v>
      </c>
      <c r="R49" s="425">
        <f t="shared" si="25"/>
        <v>2.0675340358618008</v>
      </c>
      <c r="S49" s="425">
        <f t="shared" si="26"/>
        <v>25.172000000000001</v>
      </c>
      <c r="T49" s="391">
        <f>VLOOKUP($A49,'Misc. Data &amp; Mechanisms'!$A$63:$DY$152,HLOOKUP('Service Zone Menu'!$X$4&amp;"_ATCO-S_NG_Y_1",'Misc. Data &amp; Mechanisms'!$A$55:$DY$62,8,FALSE), FALSE)</f>
        <v>0.1111</v>
      </c>
      <c r="U49" s="205">
        <f>VLOOKUP($A49,'Misc. Data &amp; Mechanisms'!$A$63:$DY$152,HLOOKUP('Service Zone Menu'!$X$4&amp;"_ATCO-S_NG_Y_2",'Misc. Data &amp; Mechanisms'!$A$55:$DY$62,8,FALSE), FALSE)</f>
        <v>0</v>
      </c>
      <c r="V49" s="425">
        <f>IF(OR('Service Zone Menu'!$X$4="Calgary",AND('Service Zone Menu'!$X$4="Okotoks", $A49&lt;DATE(2019, 1, 1))),$T49*($H49+$G49+$J49),$T49*($H49+$J49-$AG49))</f>
        <v>3.8772508160347887</v>
      </c>
      <c r="W49" s="425">
        <f t="shared" si="27"/>
        <v>0</v>
      </c>
      <c r="X49" s="426"/>
      <c r="Y49" s="386"/>
      <c r="Z49" s="386"/>
      <c r="AA49" s="386"/>
      <c r="AB49" s="386">
        <v>0.73799999999999999</v>
      </c>
      <c r="AC49" s="386"/>
      <c r="AD49" s="386"/>
      <c r="AE49" s="386"/>
      <c r="AF49" s="386"/>
      <c r="AG49" s="492">
        <f t="shared" si="28"/>
        <v>0</v>
      </c>
      <c r="AH49" s="492">
        <f t="shared" si="29"/>
        <v>0</v>
      </c>
      <c r="AI49" s="425">
        <f t="shared" si="30"/>
        <v>0</v>
      </c>
      <c r="AJ49" s="425">
        <f t="shared" si="31"/>
        <v>1.9688259593109794</v>
      </c>
      <c r="AK49" s="425">
        <f t="shared" si="32"/>
        <v>0</v>
      </c>
      <c r="AL49" s="425">
        <f t="shared" si="20"/>
        <v>0</v>
      </c>
      <c r="AM49" s="425">
        <f t="shared" si="21"/>
        <v>0</v>
      </c>
      <c r="AN49" s="425">
        <f t="shared" si="22"/>
        <v>0</v>
      </c>
      <c r="AO49" s="200">
        <f>IF($I$2="DRT",VLOOKUP(A49,'Misc. Data &amp; Mechanisms'!$A$1483:$H$1574,7,FALSE),BA49)</f>
        <v>0.223</v>
      </c>
      <c r="AP49" s="552">
        <f t="shared" si="23"/>
        <v>6.9130000000000003</v>
      </c>
      <c r="AQ49" s="290"/>
      <c r="AR49" s="494">
        <f t="shared" si="24"/>
        <v>0</v>
      </c>
      <c r="AS49" s="495">
        <f>5%</f>
        <v>0.05</v>
      </c>
      <c r="AT49" s="341">
        <f>'Misc. Data &amp; Mechanisms'!AM322</f>
        <v>2.7018654968269518</v>
      </c>
      <c r="AU49" s="424">
        <f>'Misc. Data &amp; Mechanisms'!AQ322</f>
        <v>2.5505895982456868</v>
      </c>
      <c r="AV49" s="1087">
        <f>'Misc. Data &amp; Mechanisms'!Z322</f>
        <v>2.6677858527249043</v>
      </c>
      <c r="AW49" s="1087">
        <f>'Misc. Data &amp; Mechanisms'!AA322</f>
        <v>1.7038477144890645</v>
      </c>
      <c r="AX49" s="1460">
        <f>'Misc. Data &amp; Mechanisms'!$B$260</f>
        <v>10.198990303636064</v>
      </c>
      <c r="AY49" s="197">
        <f>IFERROR(IF('Personalized Bill Menu'!$B$30="Yes", IF('Personalized Bill Menu'!$B$34="Natural Gas",VLOOKUP($A49, 'Personalized Bill Menu'!$H$4:$L$93, 2, FALSE), IF('Personalized Bill Menu'!$B$34="Both",VLOOKUP($A49,'Personalized Bill Menu'!$H$4:$P$93, 6, FALSE), 0)), 0),0)</f>
        <v>0</v>
      </c>
      <c r="AZ49" s="1343">
        <f>IFERROR(IF('Personalized Bill Menu'!$C$37="Custom", IF('Personalized Bill Menu'!$B$34="Natural Gas",VLOOKUP($A49, 'Personalized Bill Menu'!$H$4:$L$93, 3, FALSE), IF('Personalized Bill Menu'!$B$34="Both",VLOOKUP($A49,'Personalized Bill Menu'!$H$4:$P$93, 7, FALSE), 0)), 0),0)</f>
        <v>0</v>
      </c>
      <c r="BA49" s="1344">
        <f>IFERROR(IF('Personalized Bill Menu'!$C$37="Custom", IF('Personalized Bill Menu'!$B$34="Natural Gas",VLOOKUP($A49, 'Personalized Bill Menu'!$H$4:$L$93, 4, FALSE), IF('Personalized Bill Menu'!$B$34="Both",VLOOKUP($A49,'Personalized Bill Menu'!$H$4:$P$93, 8, FALSE), 0)), 0),0)</f>
        <v>0</v>
      </c>
      <c r="BB49" s="468"/>
      <c r="BC49" s="468"/>
      <c r="BD49" s="468"/>
    </row>
    <row r="50" spans="1:56" s="469" customFormat="1" x14ac:dyDescent="0.35">
      <c r="A50" s="496">
        <v>42217</v>
      </c>
      <c r="B50" s="497">
        <f t="shared" si="9"/>
        <v>31</v>
      </c>
      <c r="C50" s="1581">
        <f t="shared" si="10"/>
        <v>3.1336200677179931</v>
      </c>
      <c r="D50" s="66">
        <f t="shared" si="11"/>
        <v>16.305600803028842</v>
      </c>
      <c r="E50" s="66">
        <f>(1+$AS50)*IF(OR('Service Zone Menu'!$X$4="Calgary",AND('Service Zone Menu'!$X$4="Okotoks", $A50&lt;DATE(2019, 1, 1))),((1+$T50)*($N50+$P50+($X50+$Y50+$AA50+$AB50+$AC50))) + ($U50*($P50+($X50+$Y50+$AA50+$AB50+$AC50))) + $AQ50, ((1+$T50)*($P50+($Y50+$AA50+$AB50+$AC50)))+ ($U50*($P50+($X50+$Y50+$AA50+$AB50+$AC50)))+$N50+$X50 + $AQ50)</f>
        <v>4.6176204899999993</v>
      </c>
      <c r="F50" s="488">
        <f t="shared" si="12"/>
        <v>51.095557892569801</v>
      </c>
      <c r="G50" s="489">
        <f t="shared" si="13"/>
        <v>7.6617010655704929</v>
      </c>
      <c r="H50" s="490">
        <f t="shared" si="0"/>
        <v>27.600555552481445</v>
      </c>
      <c r="I50" s="490">
        <f t="shared" si="14"/>
        <v>4.1745678601338909</v>
      </c>
      <c r="J50" s="490">
        <f t="shared" si="15"/>
        <v>2.3126116099758787</v>
      </c>
      <c r="K50" s="490">
        <f t="shared" si="16"/>
        <v>6.9130000000000003</v>
      </c>
      <c r="L50" s="490">
        <f t="shared" si="17"/>
        <v>0</v>
      </c>
      <c r="M50" s="491">
        <f t="shared" si="18"/>
        <v>2.4331218044080858</v>
      </c>
      <c r="N50" s="273">
        <f>IF($I$2="DRT",VLOOKUP(A50,'Misc. Data &amp; Mechanisms'!$A$1381:$D$1471,3,FALSE),AZ50)</f>
        <v>2.4449999999999998</v>
      </c>
      <c r="O50" s="425">
        <f t="shared" si="19"/>
        <v>7.6617010655704929</v>
      </c>
      <c r="P50" s="387">
        <v>0.77500000000000002</v>
      </c>
      <c r="Q50" s="278">
        <v>0.81200000000000006</v>
      </c>
      <c r="R50" s="425">
        <f t="shared" si="25"/>
        <v>2.4285555524814448</v>
      </c>
      <c r="S50" s="425">
        <f t="shared" si="26"/>
        <v>25.172000000000001</v>
      </c>
      <c r="T50" s="391">
        <f>VLOOKUP($A50,'Misc. Data &amp; Mechanisms'!$A$63:$DY$152,HLOOKUP('Service Zone Menu'!$X$4&amp;"_ATCO-S_NG_Y_1",'Misc. Data &amp; Mechanisms'!$A$55:$DY$62,8,FALSE), FALSE)</f>
        <v>0.1111</v>
      </c>
      <c r="U50" s="205">
        <f>VLOOKUP($A50,'Misc. Data &amp; Mechanisms'!$A$63:$DY$152,HLOOKUP('Service Zone Menu'!$X$4&amp;"_ATCO-S_NG_Y_2",'Misc. Data &amp; Mechanisms'!$A$55:$DY$62,8,FALSE), FALSE)</f>
        <v>0</v>
      </c>
      <c r="V50" s="425">
        <f>IF(OR('Service Zone Menu'!$X$4="Calgary",AND('Service Zone Menu'!$X$4="Okotoks", $A50&lt;DATE(2019, 1, 1))),$T50*($H50+$G50+$J50),$T50*($H50+$J50-$AG50))</f>
        <v>4.1745678601338909</v>
      </c>
      <c r="W50" s="425">
        <f t="shared" si="27"/>
        <v>0</v>
      </c>
      <c r="X50" s="426"/>
      <c r="Y50" s="386"/>
      <c r="Z50" s="386"/>
      <c r="AA50" s="386"/>
      <c r="AB50" s="386">
        <v>0.73799999999999999</v>
      </c>
      <c r="AC50" s="386"/>
      <c r="AD50" s="386"/>
      <c r="AE50" s="386"/>
      <c r="AF50" s="386"/>
      <c r="AG50" s="492">
        <f t="shared" si="28"/>
        <v>0</v>
      </c>
      <c r="AH50" s="492">
        <f t="shared" si="29"/>
        <v>0</v>
      </c>
      <c r="AI50" s="425">
        <f t="shared" si="30"/>
        <v>0</v>
      </c>
      <c r="AJ50" s="425">
        <f t="shared" si="31"/>
        <v>2.3126116099758787</v>
      </c>
      <c r="AK50" s="425">
        <f t="shared" si="32"/>
        <v>0</v>
      </c>
      <c r="AL50" s="425">
        <f t="shared" si="20"/>
        <v>0</v>
      </c>
      <c r="AM50" s="425">
        <f t="shared" si="21"/>
        <v>0</v>
      </c>
      <c r="AN50" s="425">
        <f t="shared" si="22"/>
        <v>0</v>
      </c>
      <c r="AO50" s="200">
        <f>IF($I$2="DRT",VLOOKUP(A50,'Misc. Data &amp; Mechanisms'!$A$1483:$H$1574,7,FALSE),BA50)</f>
        <v>0.223</v>
      </c>
      <c r="AP50" s="552">
        <f t="shared" si="23"/>
        <v>6.9130000000000003</v>
      </c>
      <c r="AQ50" s="290"/>
      <c r="AR50" s="494">
        <f t="shared" si="24"/>
        <v>0</v>
      </c>
      <c r="AS50" s="495">
        <f>5%</f>
        <v>0.05</v>
      </c>
      <c r="AT50" s="341">
        <f>'Misc. Data &amp; Mechanisms'!AM323</f>
        <v>3.1736505133963009</v>
      </c>
      <c r="AU50" s="424">
        <f>'Misc. Data &amp; Mechanisms'!AQ323</f>
        <v>2.9302752811694925</v>
      </c>
      <c r="AV50" s="1087">
        <f>'Misc. Data &amp; Mechanisms'!Z323</f>
        <v>3.1336200677179931</v>
      </c>
      <c r="AW50" s="1087">
        <f>'Misc. Data &amp; Mechanisms'!AA323</f>
        <v>2.0013643092847362</v>
      </c>
      <c r="AX50" s="1460">
        <f>'Misc. Data &amp; Mechanisms'!$B$260</f>
        <v>10.198990303636064</v>
      </c>
      <c r="AY50" s="197">
        <f>IFERROR(IF('Personalized Bill Menu'!$B$30="Yes", IF('Personalized Bill Menu'!$B$34="Natural Gas",VLOOKUP($A50, 'Personalized Bill Menu'!$H$4:$L$93, 2, FALSE), IF('Personalized Bill Menu'!$B$34="Both",VLOOKUP($A50,'Personalized Bill Menu'!$H$4:$P$93, 6, FALSE), 0)), 0),0)</f>
        <v>0</v>
      </c>
      <c r="AZ50" s="1343">
        <f>IFERROR(IF('Personalized Bill Menu'!$C$37="Custom", IF('Personalized Bill Menu'!$B$34="Natural Gas",VLOOKUP($A50, 'Personalized Bill Menu'!$H$4:$L$93, 3, FALSE), IF('Personalized Bill Menu'!$B$34="Both",VLOOKUP($A50,'Personalized Bill Menu'!$H$4:$P$93, 7, FALSE), 0)), 0),0)</f>
        <v>0</v>
      </c>
      <c r="BA50" s="1344">
        <f>IFERROR(IF('Personalized Bill Menu'!$C$37="Custom", IF('Personalized Bill Menu'!$B$34="Natural Gas",VLOOKUP($A50, 'Personalized Bill Menu'!$H$4:$L$93, 4, FALSE), IF('Personalized Bill Menu'!$B$34="Both",VLOOKUP($A50,'Personalized Bill Menu'!$H$4:$P$93, 8, FALSE), 0)), 0),0)</f>
        <v>0</v>
      </c>
      <c r="BB50" s="468"/>
      <c r="BC50" s="468"/>
      <c r="BD50" s="468"/>
    </row>
    <row r="51" spans="1:56" s="469" customFormat="1" x14ac:dyDescent="0.35">
      <c r="A51" s="496">
        <v>42248</v>
      </c>
      <c r="B51" s="497">
        <f t="shared" si="9"/>
        <v>30</v>
      </c>
      <c r="C51" s="1581">
        <f t="shared" si="10"/>
        <v>6.2236099217630061</v>
      </c>
      <c r="D51" s="66">
        <f t="shared" si="11"/>
        <v>10.824855224314257</v>
      </c>
      <c r="E51" s="66">
        <f>(1+$AS51)*IF(OR('Service Zone Menu'!$X$4="Calgary",AND('Service Zone Menu'!$X$4="Okotoks", $A51&lt;DATE(2019, 1, 1))),((1+$T51)*($N51+$P51+($X51+$Y51+$AA51+$AB51+$AC51))) + ($U51*($P51+($X51+$Y51+$AA51+$AB51+$AC51))) + $AQ51, ((1+$T51)*($P51+($Y51+$AA51+$AB51+$AC51)))+ ($U51*($P51+($X51+$Y51+$AA51+$AB51+$AC51)))+$N51+$X51 + $AQ51)</f>
        <v>5.4727786050000002</v>
      </c>
      <c r="F51" s="488">
        <f t="shared" si="12"/>
        <v>67.369676375690318</v>
      </c>
      <c r="G51" s="489">
        <f t="shared" si="13"/>
        <v>19.112706069734191</v>
      </c>
      <c r="H51" s="490">
        <f t="shared" si="0"/>
        <v>29.183297689366334</v>
      </c>
      <c r="I51" s="490">
        <f t="shared" si="14"/>
        <v>5.7466424052862193</v>
      </c>
      <c r="J51" s="490">
        <f t="shared" si="15"/>
        <v>3.4289503838897404</v>
      </c>
      <c r="K51" s="490">
        <f t="shared" si="16"/>
        <v>6.69</v>
      </c>
      <c r="L51" s="490">
        <f t="shared" si="17"/>
        <v>0</v>
      </c>
      <c r="M51" s="491">
        <f t="shared" si="18"/>
        <v>3.2080798274138247</v>
      </c>
      <c r="N51" s="273">
        <f>IF($I$2="DRT",VLOOKUP(A51,'Misc. Data &amp; Mechanisms'!$A$1381:$D$1471,3,FALSE),AZ51)</f>
        <v>3.0710000000000002</v>
      </c>
      <c r="O51" s="425">
        <f t="shared" si="19"/>
        <v>19.112706069734191</v>
      </c>
      <c r="P51" s="387">
        <v>0.77500000000000002</v>
      </c>
      <c r="Q51" s="278">
        <v>0.81200000000000006</v>
      </c>
      <c r="R51" s="425">
        <f t="shared" si="25"/>
        <v>4.8232976893663295</v>
      </c>
      <c r="S51" s="425">
        <f t="shared" si="26"/>
        <v>24.360000000000003</v>
      </c>
      <c r="T51" s="391">
        <f>VLOOKUP($A51,'Misc. Data &amp; Mechanisms'!$A$63:$DY$152,HLOOKUP('Service Zone Menu'!$X$4&amp;"_ATCO-S_NG_Y_1",'Misc. Data &amp; Mechanisms'!$A$55:$DY$62,8,FALSE), FALSE)</f>
        <v>0.1111</v>
      </c>
      <c r="U51" s="205">
        <f>VLOOKUP($A51,'Misc. Data &amp; Mechanisms'!$A$63:$DY$152,HLOOKUP('Service Zone Menu'!$X$4&amp;"_ATCO-S_NG_Y_2",'Misc. Data &amp; Mechanisms'!$A$55:$DY$62,8,FALSE), FALSE)</f>
        <v>0</v>
      </c>
      <c r="V51" s="425">
        <f>IF(OR('Service Zone Menu'!$X$4="Calgary",AND('Service Zone Menu'!$X$4="Okotoks", $A51&lt;DATE(2019, 1, 1))),$T51*($H51+$G51+$J51),$T51*($H51+$J51-$AG51))</f>
        <v>5.7466424052862193</v>
      </c>
      <c r="W51" s="425">
        <f t="shared" si="27"/>
        <v>0</v>
      </c>
      <c r="X51" s="426"/>
      <c r="Y51" s="386"/>
      <c r="Z51" s="386">
        <v>-6.0999999999999999E-2</v>
      </c>
      <c r="AA51" s="386">
        <v>-3.1E-2</v>
      </c>
      <c r="AB51" s="386">
        <v>0.73799999999999999</v>
      </c>
      <c r="AC51" s="386">
        <v>0.13800000000000001</v>
      </c>
      <c r="AD51" s="386"/>
      <c r="AE51" s="386"/>
      <c r="AF51" s="386"/>
      <c r="AG51" s="492">
        <f t="shared" si="28"/>
        <v>0</v>
      </c>
      <c r="AH51" s="492">
        <f t="shared" si="29"/>
        <v>0</v>
      </c>
      <c r="AI51" s="425">
        <f t="shared" si="30"/>
        <v>-2.0229319075746535</v>
      </c>
      <c r="AJ51" s="425">
        <f t="shared" si="31"/>
        <v>4.5930241222610988</v>
      </c>
      <c r="AK51" s="425">
        <f t="shared" si="32"/>
        <v>0.85885816920329494</v>
      </c>
      <c r="AL51" s="425">
        <f t="shared" si="20"/>
        <v>0</v>
      </c>
      <c r="AM51" s="425">
        <f t="shared" si="21"/>
        <v>0</v>
      </c>
      <c r="AN51" s="425">
        <f t="shared" si="22"/>
        <v>0</v>
      </c>
      <c r="AO51" s="200">
        <f>IF($I$2="DRT",VLOOKUP(A51,'Misc. Data &amp; Mechanisms'!$A$1483:$H$1574,7,FALSE),BA51)</f>
        <v>0.223</v>
      </c>
      <c r="AP51" s="552">
        <f t="shared" si="23"/>
        <v>6.69</v>
      </c>
      <c r="AQ51" s="290"/>
      <c r="AR51" s="494">
        <f t="shared" si="24"/>
        <v>0</v>
      </c>
      <c r="AS51" s="495">
        <f>5%</f>
        <v>0.05</v>
      </c>
      <c r="AT51" s="341">
        <f>'Misc. Data &amp; Mechanisms'!AM324</f>
        <v>6.3031134587305679</v>
      </c>
      <c r="AU51" s="424">
        <f>'Misc. Data &amp; Mechanisms'!AQ324</f>
        <v>6.1007525590495604</v>
      </c>
      <c r="AV51" s="1087">
        <f>'Misc. Data &amp; Mechanisms'!Z324</f>
        <v>6.2236099217630061</v>
      </c>
      <c r="AW51" s="1087">
        <f>'Misc. Data &amp; Mechanisms'!AA324</f>
        <v>3.9748630986389859</v>
      </c>
      <c r="AX51" s="1460">
        <f>'Misc. Data &amp; Mechanisms'!$B$260</f>
        <v>10.198990303636064</v>
      </c>
      <c r="AY51" s="197">
        <f>IFERROR(IF('Personalized Bill Menu'!$B$30="Yes", IF('Personalized Bill Menu'!$B$34="Natural Gas",VLOOKUP($A51, 'Personalized Bill Menu'!$H$4:$L$93, 2, FALSE), IF('Personalized Bill Menu'!$B$34="Both",VLOOKUP($A51,'Personalized Bill Menu'!$H$4:$P$93, 6, FALSE), 0)), 0),0)</f>
        <v>0</v>
      </c>
      <c r="AZ51" s="1343">
        <f>IFERROR(IF('Personalized Bill Menu'!$C$37="Custom", IF('Personalized Bill Menu'!$B$34="Natural Gas",VLOOKUP($A51, 'Personalized Bill Menu'!$H$4:$L$93, 3, FALSE), IF('Personalized Bill Menu'!$B$34="Both",VLOOKUP($A51,'Personalized Bill Menu'!$H$4:$P$93, 7, FALSE), 0)), 0),0)</f>
        <v>0</v>
      </c>
      <c r="BA51" s="1344">
        <f>IFERROR(IF('Personalized Bill Menu'!$C$37="Custom", IF('Personalized Bill Menu'!$B$34="Natural Gas",VLOOKUP($A51, 'Personalized Bill Menu'!$H$4:$L$93, 4, FALSE), IF('Personalized Bill Menu'!$B$34="Both",VLOOKUP($A51,'Personalized Bill Menu'!$H$4:$P$93, 8, FALSE), 0)), 0),0)</f>
        <v>0</v>
      </c>
      <c r="BB51" s="468"/>
      <c r="BC51" s="468"/>
      <c r="BD51" s="468"/>
    </row>
    <row r="52" spans="1:56" s="469" customFormat="1" x14ac:dyDescent="0.35">
      <c r="A52" s="496">
        <v>42278</v>
      </c>
      <c r="B52" s="497">
        <f t="shared" si="9"/>
        <v>31</v>
      </c>
      <c r="C52" s="1581">
        <f t="shared" si="10"/>
        <v>8.3430798977230474</v>
      </c>
      <c r="D52" s="66">
        <f t="shared" si="11"/>
        <v>9.3148016887505385</v>
      </c>
      <c r="E52" s="66">
        <f>(1+$AS52)*IF(OR('Service Zone Menu'!$X$4="Calgary",AND('Service Zone Menu'!$X$4="Okotoks", $A52&lt;DATE(2019, 1, 1))),((1+$T52)*($N52+$P52+($X52+$Y52+$AA52+$AB52+$AC52))) + ($U52*($P52+($X52+$Y52+$AA52+$AB52+$AC52))) + $AQ52, ((1+$T52)*($P52+($Y52+$AA52+$AB52+$AC52)))+ ($U52*($P52+($X52+$Y52+$AA52+$AB52+$AC52)))+$N52+$X52 + $AQ52)</f>
        <v>5.1892814399999994</v>
      </c>
      <c r="F52" s="488">
        <f t="shared" si="12"/>
        <v>77.714134720691305</v>
      </c>
      <c r="G52" s="489">
        <f t="shared" si="13"/>
        <v>23.594229950760777</v>
      </c>
      <c r="H52" s="490">
        <f t="shared" si="0"/>
        <v>31.637886920735362</v>
      </c>
      <c r="I52" s="490">
        <f t="shared" si="14"/>
        <v>6.7094422536815124</v>
      </c>
      <c r="J52" s="490">
        <f t="shared" si="15"/>
        <v>5.158902513575975</v>
      </c>
      <c r="K52" s="490">
        <f t="shared" si="16"/>
        <v>6.9130000000000003</v>
      </c>
      <c r="L52" s="490">
        <f t="shared" si="17"/>
        <v>0</v>
      </c>
      <c r="M52" s="491">
        <f t="shared" si="18"/>
        <v>3.7006730819376816</v>
      </c>
      <c r="N52" s="273">
        <f>IF($I$2="DRT",VLOOKUP(A52,'Misc. Data &amp; Mechanisms'!$A$1381:$D$1471,3,FALSE),AZ52)</f>
        <v>2.8279999999999998</v>
      </c>
      <c r="O52" s="425">
        <f t="shared" si="19"/>
        <v>23.594229950760777</v>
      </c>
      <c r="P52" s="387">
        <v>0.77500000000000002</v>
      </c>
      <c r="Q52" s="278">
        <v>0.81200000000000006</v>
      </c>
      <c r="R52" s="425">
        <f t="shared" si="25"/>
        <v>6.465886920735362</v>
      </c>
      <c r="S52" s="425">
        <f t="shared" si="26"/>
        <v>25.172000000000001</v>
      </c>
      <c r="T52" s="391">
        <f>VLOOKUP($A52,'Misc. Data &amp; Mechanisms'!$A$63:$DY$152,HLOOKUP('Service Zone Menu'!$X$4&amp;"_ATCO-S_NG_Y_1",'Misc. Data &amp; Mechanisms'!$A$55:$DY$62,8,FALSE), FALSE)</f>
        <v>0.1111</v>
      </c>
      <c r="U52" s="205">
        <f>VLOOKUP($A52,'Misc. Data &amp; Mechanisms'!$A$63:$DY$152,HLOOKUP('Service Zone Menu'!$X$4&amp;"_ATCO-S_NG_Y_2",'Misc. Data &amp; Mechanisms'!$A$55:$DY$62,8,FALSE), FALSE)</f>
        <v>0</v>
      </c>
      <c r="V52" s="425">
        <f>IF(OR('Service Zone Menu'!$X$4="Calgary",AND('Service Zone Menu'!$X$4="Okotoks", $A52&lt;DATE(2019, 1, 1))),$T52*($H52+$G52+$J52),$T52*($H52+$J52-$AG52))</f>
        <v>6.7094422536815124</v>
      </c>
      <c r="W52" s="425">
        <f t="shared" si="27"/>
        <v>0</v>
      </c>
      <c r="X52" s="426"/>
      <c r="Y52" s="386"/>
      <c r="Z52" s="386">
        <v>-6.0999999999999999E-2</v>
      </c>
      <c r="AA52" s="386">
        <v>-3.1E-2</v>
      </c>
      <c r="AB52" s="386">
        <v>0.73799999999999999</v>
      </c>
      <c r="AC52" s="386">
        <v>0.13800000000000001</v>
      </c>
      <c r="AD52" s="386"/>
      <c r="AE52" s="386"/>
      <c r="AF52" s="386"/>
      <c r="AG52" s="492">
        <f t="shared" si="28"/>
        <v>0</v>
      </c>
      <c r="AH52" s="492">
        <f t="shared" si="29"/>
        <v>0</v>
      </c>
      <c r="AI52" s="425">
        <f t="shared" si="30"/>
        <v>-2.1496354768294146</v>
      </c>
      <c r="AJ52" s="425">
        <f t="shared" si="31"/>
        <v>6.1571929645196093</v>
      </c>
      <c r="AK52" s="425">
        <f t="shared" si="32"/>
        <v>1.1513450258857807</v>
      </c>
      <c r="AL52" s="425">
        <f t="shared" si="20"/>
        <v>0</v>
      </c>
      <c r="AM52" s="425">
        <f t="shared" si="21"/>
        <v>0</v>
      </c>
      <c r="AN52" s="425">
        <f t="shared" si="22"/>
        <v>0</v>
      </c>
      <c r="AO52" s="200">
        <f>IF($I$2="DRT",VLOOKUP(A52,'Misc. Data &amp; Mechanisms'!$A$1483:$H$1574,7,FALSE),BA52)</f>
        <v>0.223</v>
      </c>
      <c r="AP52" s="552">
        <f t="shared" si="23"/>
        <v>6.9130000000000003</v>
      </c>
      <c r="AQ52" s="290"/>
      <c r="AR52" s="494">
        <f t="shared" si="24"/>
        <v>0</v>
      </c>
      <c r="AS52" s="495">
        <f>5%</f>
        <v>0.05</v>
      </c>
      <c r="AT52" s="341">
        <f>'Misc. Data &amp; Mechanisms'!AM325</f>
        <v>8.4496586148037043</v>
      </c>
      <c r="AU52" s="424">
        <f>'Misc. Data &amp; Mechanisms'!AQ325</f>
        <v>8.2418787141546677</v>
      </c>
      <c r="AV52" s="1087">
        <f>'Misc. Data &amp; Mechanisms'!Z325</f>
        <v>8.3430798977230474</v>
      </c>
      <c r="AW52" s="1087">
        <f>'Misc. Data &amp; Mechanisms'!AA325</f>
        <v>5.3285152558311148</v>
      </c>
      <c r="AX52" s="1460">
        <f>'Misc. Data &amp; Mechanisms'!$B$260</f>
        <v>10.198990303636064</v>
      </c>
      <c r="AY52" s="197">
        <f>IFERROR(IF('Personalized Bill Menu'!$B$30="Yes", IF('Personalized Bill Menu'!$B$34="Natural Gas",VLOOKUP($A52, 'Personalized Bill Menu'!$H$4:$L$93, 2, FALSE), IF('Personalized Bill Menu'!$B$34="Both",VLOOKUP($A52,'Personalized Bill Menu'!$H$4:$P$93, 6, FALSE), 0)), 0),0)</f>
        <v>0</v>
      </c>
      <c r="AZ52" s="1343">
        <f>IFERROR(IF('Personalized Bill Menu'!$C$37="Custom", IF('Personalized Bill Menu'!$B$34="Natural Gas",VLOOKUP($A52, 'Personalized Bill Menu'!$H$4:$L$93, 3, FALSE), IF('Personalized Bill Menu'!$B$34="Both",VLOOKUP($A52,'Personalized Bill Menu'!$H$4:$P$93, 7, FALSE), 0)), 0),0)</f>
        <v>0</v>
      </c>
      <c r="BA52" s="1344">
        <f>IFERROR(IF('Personalized Bill Menu'!$C$37="Custom", IF('Personalized Bill Menu'!$B$34="Natural Gas",VLOOKUP($A52, 'Personalized Bill Menu'!$H$4:$L$93, 4, FALSE), IF('Personalized Bill Menu'!$B$34="Both",VLOOKUP($A52,'Personalized Bill Menu'!$H$4:$P$93, 8, FALSE), 0)), 0),0)</f>
        <v>0</v>
      </c>
      <c r="BB52" s="468"/>
      <c r="BC52" s="468"/>
      <c r="BD52" s="468"/>
    </row>
    <row r="53" spans="1:56" s="469" customFormat="1" x14ac:dyDescent="0.35">
      <c r="A53" s="496">
        <v>42309</v>
      </c>
      <c r="B53" s="497">
        <f t="shared" si="9"/>
        <v>30</v>
      </c>
      <c r="C53" s="1581">
        <f t="shared" si="10"/>
        <v>15.114799129282089</v>
      </c>
      <c r="D53" s="66">
        <f t="shared" si="11"/>
        <v>7.0733678753142959</v>
      </c>
      <c r="E53" s="66">
        <f>(1+$AS53)*IF(OR('Service Zone Menu'!$X$4="Calgary",AND('Service Zone Menu'!$X$4="Okotoks", $A53&lt;DATE(2019, 1, 1))),((1+$T53)*($N53+$P53+($X53+$Y53+$AA53+$AB53+$AC53))) + ($U53*($P53+($X53+$Y53+$AA53+$AB53+$AC53))) + $AQ53, ((1+$T53)*($P53+($Y53+$AA53+$AB53+$AC53)))+ ($U53*($P53+($X53+$Y53+$AA53+$AB53+$AC53)))+$N53+$X53 + $AQ53)</f>
        <v>4.8696179699999993</v>
      </c>
      <c r="F53" s="488">
        <f t="shared" si="12"/>
        <v>106.91253460289242</v>
      </c>
      <c r="G53" s="489">
        <f t="shared" si="13"/>
        <v>38.603196976186453</v>
      </c>
      <c r="H53" s="490">
        <f t="shared" si="0"/>
        <v>36.073969325193623</v>
      </c>
      <c r="I53" s="490">
        <f t="shared" si="14"/>
        <v>9.5122899609407661</v>
      </c>
      <c r="J53" s="490">
        <f t="shared" si="15"/>
        <v>10.942005264243365</v>
      </c>
      <c r="K53" s="490">
        <f t="shared" si="16"/>
        <v>6.69</v>
      </c>
      <c r="L53" s="490">
        <f t="shared" si="17"/>
        <v>0</v>
      </c>
      <c r="M53" s="491">
        <f t="shared" si="18"/>
        <v>5.091073076328211</v>
      </c>
      <c r="N53" s="273">
        <f>IF($I$2="DRT",VLOOKUP(A53,'Misc. Data &amp; Mechanisms'!$A$1381:$D$1471,3,FALSE),AZ53)</f>
        <v>2.5539999999999998</v>
      </c>
      <c r="O53" s="425">
        <f t="shared" si="19"/>
        <v>38.603196976186453</v>
      </c>
      <c r="P53" s="387">
        <v>0.77500000000000002</v>
      </c>
      <c r="Q53" s="278">
        <v>0.81200000000000006</v>
      </c>
      <c r="R53" s="425">
        <f t="shared" si="25"/>
        <v>11.713969325193618</v>
      </c>
      <c r="S53" s="425">
        <f t="shared" si="26"/>
        <v>24.360000000000003</v>
      </c>
      <c r="T53" s="391">
        <f>VLOOKUP($A53,'Misc. Data &amp; Mechanisms'!$A$63:$DY$152,HLOOKUP('Service Zone Menu'!$X$4&amp;"_ATCO-S_NG_Y_1",'Misc. Data &amp; Mechanisms'!$A$55:$DY$62,8,FALSE), FALSE)</f>
        <v>0.1111</v>
      </c>
      <c r="U53" s="205">
        <f>VLOOKUP($A53,'Misc. Data &amp; Mechanisms'!$A$63:$DY$152,HLOOKUP('Service Zone Menu'!$X$4&amp;"_ATCO-S_NG_Y_2",'Misc. Data &amp; Mechanisms'!$A$55:$DY$62,8,FALSE), FALSE)</f>
        <v>0</v>
      </c>
      <c r="V53" s="425">
        <f>IF(OR('Service Zone Menu'!$X$4="Calgary",AND('Service Zone Menu'!$X$4="Okotoks", $A53&lt;DATE(2019, 1, 1))),$T53*($H53+$G53+$J53),$T53*($H53+$J53-$AG53))</f>
        <v>9.5122899609407661</v>
      </c>
      <c r="W53" s="425">
        <f t="shared" si="27"/>
        <v>0</v>
      </c>
      <c r="X53" s="426"/>
      <c r="Y53" s="386"/>
      <c r="Z53" s="386">
        <v>-6.0999999999999999E-2</v>
      </c>
      <c r="AA53" s="386">
        <v>-3.1E-2</v>
      </c>
      <c r="AB53" s="386">
        <v>0.73799999999999999</v>
      </c>
      <c r="AC53" s="386">
        <v>0.13800000000000001</v>
      </c>
      <c r="AD53" s="386"/>
      <c r="AE53" s="386"/>
      <c r="AF53" s="386"/>
      <c r="AG53" s="492">
        <f t="shared" si="28"/>
        <v>0</v>
      </c>
      <c r="AH53" s="492">
        <f t="shared" si="29"/>
        <v>0</v>
      </c>
      <c r="AI53" s="425">
        <f t="shared" si="30"/>
        <v>-2.2985587730077448</v>
      </c>
      <c r="AJ53" s="425">
        <f t="shared" si="31"/>
        <v>11.154721757410181</v>
      </c>
      <c r="AK53" s="425">
        <f t="shared" si="32"/>
        <v>2.0858422798409286</v>
      </c>
      <c r="AL53" s="425">
        <f t="shared" si="20"/>
        <v>0</v>
      </c>
      <c r="AM53" s="425">
        <f t="shared" si="21"/>
        <v>0</v>
      </c>
      <c r="AN53" s="425">
        <f t="shared" si="22"/>
        <v>0</v>
      </c>
      <c r="AO53" s="200">
        <f>IF($I$2="DRT",VLOOKUP(A53,'Misc. Data &amp; Mechanisms'!$A$1483:$H$1574,7,FALSE),BA53)</f>
        <v>0.223</v>
      </c>
      <c r="AP53" s="552">
        <f t="shared" si="23"/>
        <v>6.69</v>
      </c>
      <c r="AQ53" s="290"/>
      <c r="AR53" s="494">
        <f t="shared" si="24"/>
        <v>0</v>
      </c>
      <c r="AS53" s="495">
        <f>5%</f>
        <v>0.05</v>
      </c>
      <c r="AT53" s="341">
        <f>'Misc. Data &amp; Mechanisms'!AM326</f>
        <v>15.307883208528454</v>
      </c>
      <c r="AU53" s="424">
        <f>'Misc. Data &amp; Mechanisms'!AQ326</f>
        <v>14.638170158329318</v>
      </c>
      <c r="AV53" s="1087">
        <f>'Misc. Data &amp; Mechanisms'!Z326</f>
        <v>15.114799129282089</v>
      </c>
      <c r="AW53" s="1087">
        <f>'Misc. Data &amp; Mechanisms'!AA326</f>
        <v>9.6534419826403539</v>
      </c>
      <c r="AX53" s="1460">
        <f>'Misc. Data &amp; Mechanisms'!$B$260</f>
        <v>10.198990303636064</v>
      </c>
      <c r="AY53" s="197">
        <f>IFERROR(IF('Personalized Bill Menu'!$B$30="Yes", IF('Personalized Bill Menu'!$B$34="Natural Gas",VLOOKUP($A53, 'Personalized Bill Menu'!$H$4:$L$93, 2, FALSE), IF('Personalized Bill Menu'!$B$34="Both",VLOOKUP($A53,'Personalized Bill Menu'!$H$4:$P$93, 6, FALSE), 0)), 0),0)</f>
        <v>0</v>
      </c>
      <c r="AZ53" s="1343">
        <f>IFERROR(IF('Personalized Bill Menu'!$C$37="Custom", IF('Personalized Bill Menu'!$B$34="Natural Gas",VLOOKUP($A53, 'Personalized Bill Menu'!$H$4:$L$93, 3, FALSE), IF('Personalized Bill Menu'!$B$34="Both",VLOOKUP($A53,'Personalized Bill Menu'!$H$4:$P$93, 7, FALSE), 0)), 0),0)</f>
        <v>0</v>
      </c>
      <c r="BA53" s="1344">
        <f>IFERROR(IF('Personalized Bill Menu'!$C$37="Custom", IF('Personalized Bill Menu'!$B$34="Natural Gas",VLOOKUP($A53, 'Personalized Bill Menu'!$H$4:$L$93, 4, FALSE), IF('Personalized Bill Menu'!$B$34="Both",VLOOKUP($A53,'Personalized Bill Menu'!$H$4:$P$93, 8, FALSE), 0)), 0),0)</f>
        <v>0</v>
      </c>
      <c r="BB53" s="468"/>
      <c r="BC53" s="468"/>
      <c r="BD53" s="468"/>
    </row>
    <row r="54" spans="1:56" s="469" customFormat="1" x14ac:dyDescent="0.35">
      <c r="A54" s="508">
        <v>42339</v>
      </c>
      <c r="B54" s="509">
        <f t="shared" si="9"/>
        <v>31</v>
      </c>
      <c r="C54" s="231">
        <f t="shared" si="10"/>
        <v>19.538732956479862</v>
      </c>
      <c r="D54" s="344">
        <f t="shared" si="11"/>
        <v>6.2182278874205732</v>
      </c>
      <c r="E54" s="344">
        <f>(1+$AS54)*IF(OR('Service Zone Menu'!$X$4="Calgary",AND('Service Zone Menu'!$X$4="Okotoks", $A54&lt;DATE(2019, 1, 1))),((1+$T54)*($N54+$P54+($X54+$Y54+$AA54+$AB54+$AC54))) + ($U54*($P54+($X54+$Y54+$AA54+$AB54+$AC54))) + $AQ54, ((1+$T54)*($P54+($Y54+$AA54+$AB54+$AC54)))+ ($U54*($P54+($X54+$Y54+$AA54+$AB54+$AC54)))+$N54+$X54 + $AQ54)</f>
        <v>4.4566221000000006</v>
      </c>
      <c r="F54" s="510">
        <f t="shared" si="12"/>
        <v>121.49629415484651</v>
      </c>
      <c r="G54" s="511">
        <f t="shared" si="13"/>
        <v>42.985212504255699</v>
      </c>
      <c r="H54" s="512">
        <f t="shared" si="0"/>
        <v>40.314518041271896</v>
      </c>
      <c r="I54" s="512">
        <f t="shared" si="14"/>
        <v>10.878796444195968</v>
      </c>
      <c r="J54" s="512">
        <f t="shared" si="15"/>
        <v>14.619229348225485</v>
      </c>
      <c r="K54" s="512">
        <f t="shared" si="16"/>
        <v>6.9130000000000003</v>
      </c>
      <c r="L54" s="512">
        <f t="shared" si="17"/>
        <v>0</v>
      </c>
      <c r="M54" s="513">
        <f t="shared" si="18"/>
        <v>5.7855378168974525</v>
      </c>
      <c r="N54" s="1243">
        <f>IF($I$2="DRT",VLOOKUP(A54,'Misc. Data &amp; Mechanisms'!$A$1381:$D$1471,3,FALSE),AZ54)</f>
        <v>2.2000000000000002</v>
      </c>
      <c r="O54" s="440">
        <f t="shared" si="19"/>
        <v>42.985212504255699</v>
      </c>
      <c r="P54" s="438">
        <v>0.77500000000000002</v>
      </c>
      <c r="Q54" s="283">
        <v>0.81200000000000006</v>
      </c>
      <c r="R54" s="440">
        <f t="shared" si="25"/>
        <v>15.142518041271893</v>
      </c>
      <c r="S54" s="440">
        <f t="shared" si="26"/>
        <v>25.172000000000001</v>
      </c>
      <c r="T54" s="394">
        <f>VLOOKUP($A54,'Misc. Data &amp; Mechanisms'!$A$63:$DY$152,HLOOKUP('Service Zone Menu'!$X$4&amp;"_ATCO-S_NG_Y_1",'Misc. Data &amp; Mechanisms'!$A$55:$DY$62,8,FALSE), FALSE)</f>
        <v>0.1111</v>
      </c>
      <c r="U54" s="246">
        <f>VLOOKUP($A54,'Misc. Data &amp; Mechanisms'!$A$63:$DY$152,HLOOKUP('Service Zone Menu'!$X$4&amp;"_ATCO-S_NG_Y_2",'Misc. Data &amp; Mechanisms'!$A$55:$DY$62,8,FALSE), FALSE)</f>
        <v>0</v>
      </c>
      <c r="V54" s="440">
        <f>IF(OR('Service Zone Menu'!$X$4="Calgary",AND('Service Zone Menu'!$X$4="Okotoks", $A54&lt;DATE(2019, 1, 1))),$T54*($H54+$G54+$J54),$T54*($H54+$J54-$AG54))</f>
        <v>10.878796444195968</v>
      </c>
      <c r="W54" s="440">
        <f t="shared" si="27"/>
        <v>0</v>
      </c>
      <c r="X54" s="439"/>
      <c r="Y54" s="399"/>
      <c r="Z54" s="399">
        <v>-6.0999999999999999E-2</v>
      </c>
      <c r="AA54" s="399">
        <v>-3.1E-2</v>
      </c>
      <c r="AB54" s="399">
        <v>0.73799999999999999</v>
      </c>
      <c r="AC54" s="399">
        <v>0.13800000000000001</v>
      </c>
      <c r="AD54" s="399"/>
      <c r="AE54" s="399"/>
      <c r="AF54" s="399"/>
      <c r="AG54" s="514">
        <f t="shared" si="28"/>
        <v>0</v>
      </c>
      <c r="AH54" s="514">
        <f t="shared" si="29"/>
        <v>0</v>
      </c>
      <c r="AI54" s="440">
        <f t="shared" si="30"/>
        <v>-2.4967007216508756</v>
      </c>
      <c r="AJ54" s="440">
        <f t="shared" si="31"/>
        <v>14.419584921882137</v>
      </c>
      <c r="AK54" s="440">
        <f t="shared" si="32"/>
        <v>2.6963451479942213</v>
      </c>
      <c r="AL54" s="440">
        <f t="shared" si="20"/>
        <v>0</v>
      </c>
      <c r="AM54" s="440">
        <f t="shared" si="21"/>
        <v>0</v>
      </c>
      <c r="AN54" s="440">
        <f t="shared" si="22"/>
        <v>0</v>
      </c>
      <c r="AO54" s="239">
        <f>IF($I$2="DRT",VLOOKUP(A54,'Misc. Data &amp; Mechanisms'!$A$1483:$H$1574,7,FALSE),BA54)</f>
        <v>0.223</v>
      </c>
      <c r="AP54" s="558">
        <f t="shared" si="23"/>
        <v>6.9130000000000003</v>
      </c>
      <c r="AQ54" s="292"/>
      <c r="AR54" s="516">
        <f t="shared" si="24"/>
        <v>0</v>
      </c>
      <c r="AS54" s="517">
        <f>5%</f>
        <v>0.05</v>
      </c>
      <c r="AT54" s="352">
        <f>'Misc. Data &amp; Mechanisms'!AM327</f>
        <v>19.788330601163992</v>
      </c>
      <c r="AU54" s="441">
        <f>'Misc. Data &amp; Mechanisms'!AQ327</f>
        <v>19.973805123316573</v>
      </c>
      <c r="AV54" s="1089">
        <f>'Misc. Data &amp; Mechanisms'!Z327</f>
        <v>19.538732956479862</v>
      </c>
      <c r="AW54" s="1089">
        <f>'Misc. Data &amp; Mechanisms'!AA327</f>
        <v>12.478897231539996</v>
      </c>
      <c r="AX54" s="1461">
        <f>'Misc. Data &amp; Mechanisms'!$B$260</f>
        <v>10.198990303636064</v>
      </c>
      <c r="AY54" s="243">
        <f>IFERROR(IF('Personalized Bill Menu'!$B$30="Yes", IF('Personalized Bill Menu'!$B$34="Natural Gas",VLOOKUP($A54, 'Personalized Bill Menu'!$H$4:$L$93, 2, FALSE), IF('Personalized Bill Menu'!$B$34="Both",VLOOKUP($A54,'Personalized Bill Menu'!$H$4:$P$93, 6, FALSE), 0)), 0),0)</f>
        <v>0</v>
      </c>
      <c r="AZ54" s="1345">
        <f>IFERROR(IF('Personalized Bill Menu'!$C$37="Custom", IF('Personalized Bill Menu'!$B$34="Natural Gas",VLOOKUP($A54, 'Personalized Bill Menu'!$H$4:$L$93, 3, FALSE), IF('Personalized Bill Menu'!$B$34="Both",VLOOKUP($A54,'Personalized Bill Menu'!$H$4:$P$93, 7, FALSE), 0)), 0),0)</f>
        <v>0</v>
      </c>
      <c r="BA54" s="1346">
        <f>IFERROR(IF('Personalized Bill Menu'!$C$37="Custom", IF('Personalized Bill Menu'!$B$34="Natural Gas",VLOOKUP($A54, 'Personalized Bill Menu'!$H$4:$L$93, 4, FALSE), IF('Personalized Bill Menu'!$B$34="Both",VLOOKUP($A54,'Personalized Bill Menu'!$H$4:$P$93, 8, FALSE), 0)), 0),0)</f>
        <v>0</v>
      </c>
      <c r="BB54" s="468"/>
      <c r="BC54" s="468"/>
      <c r="BD54" s="468"/>
    </row>
    <row r="55" spans="1:56" s="469" customFormat="1" x14ac:dyDescent="0.35">
      <c r="A55" s="498">
        <v>42370</v>
      </c>
      <c r="B55" s="499">
        <f t="shared" si="9"/>
        <v>31</v>
      </c>
      <c r="C55" s="212">
        <f t="shared" si="10"/>
        <v>18.105874123716191</v>
      </c>
      <c r="D55" s="353">
        <f t="shared" si="11"/>
        <v>6.2778122520576218</v>
      </c>
      <c r="E55" s="353">
        <f>(1+$AS55)*IF(OR('Service Zone Menu'!$X$4="Calgary",AND('Service Zone Menu'!$X$4="Okotoks", $A55&lt;DATE(2019, 1, 1))),((1+$T55)*($N55+$P55+($X55+$Y55+$AA55+$AB55+$AC55))) + ($U55*($P55+($X55+$Y55+$AA55+$AB55+$AC55))) + $AQ55, ((1+$T55)*($P55+($Y55+$AA55+$AB55+$AC55)))+ ($U55*($P55+($X55+$Y55+$AA55+$AB55+$AC55)))+$N55+$X55 + $AQ55)</f>
        <v>4.2489575099999994</v>
      </c>
      <c r="F55" s="500">
        <f t="shared" si="12"/>
        <v>113.66527840807856</v>
      </c>
      <c r="G55" s="501">
        <f t="shared" si="13"/>
        <v>36.284171743927246</v>
      </c>
      <c r="H55" s="502">
        <f t="shared" si="0"/>
        <v>39.061676082271731</v>
      </c>
      <c r="I55" s="502">
        <f t="shared" si="14"/>
        <v>10.133052544357611</v>
      </c>
      <c r="J55" s="502">
        <f t="shared" si="15"/>
        <v>15.860745732375383</v>
      </c>
      <c r="K55" s="502">
        <f t="shared" si="16"/>
        <v>6.9130000000000003</v>
      </c>
      <c r="L55" s="502">
        <f t="shared" si="17"/>
        <v>0</v>
      </c>
      <c r="M55" s="503">
        <f t="shared" si="18"/>
        <v>5.4126323051465981</v>
      </c>
      <c r="N55" s="273">
        <f>IF($I$2="DRT",VLOOKUP(A55,'Misc. Data &amp; Mechanisms'!$A$1381:$D$1471,3,FALSE),AZ55)</f>
        <v>2.004</v>
      </c>
      <c r="O55" s="433">
        <f t="shared" si="19"/>
        <v>36.284171743927246</v>
      </c>
      <c r="P55" s="431">
        <v>0.76200000000000001</v>
      </c>
      <c r="Q55" s="288">
        <v>0.81499999999999995</v>
      </c>
      <c r="R55" s="433">
        <f t="shared" si="25"/>
        <v>13.796676082271738</v>
      </c>
      <c r="S55" s="433">
        <f t="shared" si="26"/>
        <v>25.264999999999997</v>
      </c>
      <c r="T55" s="391">
        <f>VLOOKUP($A55,'Misc. Data &amp; Mechanisms'!$A$63:$DY$152,HLOOKUP('Service Zone Menu'!$X$4&amp;"_ATCO-S_NG_Y_1",'Misc. Data &amp; Mechanisms'!$A$55:$DY$62,8,FALSE), FALSE)</f>
        <v>0.1111</v>
      </c>
      <c r="U55" s="205">
        <f>VLOOKUP($A55,'Misc. Data &amp; Mechanisms'!$A$63:$DY$152,HLOOKUP('Service Zone Menu'!$X$4&amp;"_ATCO-S_NG_Y_2",'Misc. Data &amp; Mechanisms'!$A$55:$DY$62,8,FALSE), FALSE)</f>
        <v>0</v>
      </c>
      <c r="V55" s="433">
        <f>IF(OR('Service Zone Menu'!$X$4="Calgary",AND('Service Zone Menu'!$X$4="Okotoks", $A55&lt;DATE(2019, 1, 1))),$T55*($H55+$G55+$J55),$T55*($H55+$J55-$AG55))</f>
        <v>10.133052544357611</v>
      </c>
      <c r="W55" s="433">
        <f t="shared" si="27"/>
        <v>0</v>
      </c>
      <c r="X55" s="432"/>
      <c r="Y55" s="397"/>
      <c r="Z55" s="397"/>
      <c r="AA55" s="397"/>
      <c r="AB55" s="397">
        <v>0.73799999999999999</v>
      </c>
      <c r="AC55" s="397">
        <v>0.13800000000000001</v>
      </c>
      <c r="AD55" s="397"/>
      <c r="AE55" s="397"/>
      <c r="AF55" s="397"/>
      <c r="AG55" s="504">
        <f t="shared" si="28"/>
        <v>0</v>
      </c>
      <c r="AH55" s="504">
        <f t="shared" si="29"/>
        <v>0</v>
      </c>
      <c r="AI55" s="433">
        <f t="shared" si="30"/>
        <v>0</v>
      </c>
      <c r="AJ55" s="433">
        <f t="shared" si="31"/>
        <v>13.362135103302549</v>
      </c>
      <c r="AK55" s="433">
        <f t="shared" si="32"/>
        <v>2.4986106290728345</v>
      </c>
      <c r="AL55" s="433">
        <f t="shared" si="20"/>
        <v>0</v>
      </c>
      <c r="AM55" s="433">
        <f t="shared" si="21"/>
        <v>0</v>
      </c>
      <c r="AN55" s="433">
        <f t="shared" si="22"/>
        <v>0</v>
      </c>
      <c r="AO55" s="200">
        <f>IF($I$2="DRT",VLOOKUP(A55,'Misc. Data &amp; Mechanisms'!$A$1483:$H$1574,7,FALSE),BA55)</f>
        <v>0.223</v>
      </c>
      <c r="AP55" s="555">
        <f t="shared" si="23"/>
        <v>6.9130000000000003</v>
      </c>
      <c r="AQ55" s="286"/>
      <c r="AR55" s="506">
        <f t="shared" si="24"/>
        <v>0</v>
      </c>
      <c r="AS55" s="507">
        <f>5%</f>
        <v>0.05</v>
      </c>
      <c r="AT55" s="359">
        <f>'Misc. Data &amp; Mechanisms'!AM328</f>
        <v>18.337167705868769</v>
      </c>
      <c r="AU55" s="434">
        <f>'Misc. Data &amp; Mechanisms'!AQ328</f>
        <v>19.784535093903379</v>
      </c>
      <c r="AV55" s="1088">
        <f>'Misc. Data &amp; Mechanisms'!Z328</f>
        <v>18.105874123716191</v>
      </c>
      <c r="AW55" s="1088">
        <f>'Misc. Data &amp; Mechanisms'!AA328</f>
        <v>11.563766339419772</v>
      </c>
      <c r="AX55" s="1462">
        <f>'Misc. Data &amp; Mechanisms'!$B$260</f>
        <v>10.198990303636064</v>
      </c>
      <c r="AY55" s="197">
        <f>IFERROR(IF('Personalized Bill Menu'!$B$30="Yes", IF('Personalized Bill Menu'!$B$34="Natural Gas",VLOOKUP($A55, 'Personalized Bill Menu'!$H$4:$L$93, 2, FALSE), IF('Personalized Bill Menu'!$B$34="Both",VLOOKUP($A55,'Personalized Bill Menu'!$H$4:$P$93, 6, FALSE), 0)), 0),0)</f>
        <v>0</v>
      </c>
      <c r="AZ55" s="1343">
        <f>IFERROR(IF('Personalized Bill Menu'!$C$37="Custom", IF('Personalized Bill Menu'!$B$34="Natural Gas",VLOOKUP($A55, 'Personalized Bill Menu'!$H$4:$L$93, 3, FALSE), IF('Personalized Bill Menu'!$B$34="Both",VLOOKUP($A55,'Personalized Bill Menu'!$H$4:$P$93, 7, FALSE), 0)), 0),0)</f>
        <v>0</v>
      </c>
      <c r="BA55" s="1344">
        <f>IFERROR(IF('Personalized Bill Menu'!$C$37="Custom", IF('Personalized Bill Menu'!$B$34="Natural Gas",VLOOKUP($A55, 'Personalized Bill Menu'!$H$4:$L$93, 4, FALSE), IF('Personalized Bill Menu'!$B$34="Both",VLOOKUP($A55,'Personalized Bill Menu'!$H$4:$P$93, 8, FALSE), 0)), 0),0)</f>
        <v>0</v>
      </c>
      <c r="BB55" s="468"/>
      <c r="BC55" s="468"/>
      <c r="BD55" s="468"/>
    </row>
    <row r="56" spans="1:56" s="469" customFormat="1" x14ac:dyDescent="0.35">
      <c r="A56" s="496">
        <v>42401</v>
      </c>
      <c r="B56" s="497">
        <f t="shared" si="9"/>
        <v>29</v>
      </c>
      <c r="C56" s="1581">
        <f t="shared" si="10"/>
        <v>12.609699558786209</v>
      </c>
      <c r="D56" s="66">
        <f t="shared" si="11"/>
        <v>8.1011690547700503</v>
      </c>
      <c r="E56" s="66">
        <f>(1+$AS56)*IF(OR('Service Zone Menu'!$X$4="Calgary",AND('Service Zone Menu'!$X$4="Okotoks", $A56&lt;DATE(2019, 1, 1))),((1+$T56)*($N56+$P56+($X56+$Y56+$AA56+$AB56+$AC56))) + ($U56*($P56+($X56+$Y56+$AA56+$AB56+$AC56))) + $AQ56, ((1+$T56)*($P56+($Y56+$AA56+$AB56+$AC56)))+ ($U56*($P56+($X56+$Y56+$AA56+$AB56+$AC56)))+$N56+$X56 + $AQ56)</f>
        <v>5.3759462400000011</v>
      </c>
      <c r="F56" s="488">
        <f t="shared" si="12"/>
        <v>102.15330785558639</v>
      </c>
      <c r="G56" s="489">
        <f t="shared" si="13"/>
        <v>37.450807689595045</v>
      </c>
      <c r="H56" s="490">
        <f t="shared" si="0"/>
        <v>33.243591063795094</v>
      </c>
      <c r="I56" s="490">
        <f t="shared" si="14"/>
        <v>9.0813690574811314</v>
      </c>
      <c r="J56" s="490">
        <f t="shared" si="15"/>
        <v>11.046096813496719</v>
      </c>
      <c r="K56" s="490">
        <f t="shared" si="16"/>
        <v>6.4670000000000005</v>
      </c>
      <c r="L56" s="490">
        <f t="shared" si="17"/>
        <v>0</v>
      </c>
      <c r="M56" s="491">
        <f t="shared" si="18"/>
        <v>4.8644432312183996</v>
      </c>
      <c r="N56" s="273">
        <f>IF($I$2="DRT",VLOOKUP(A56,'Misc. Data &amp; Mechanisms'!$A$1381:$D$1471,3,FALSE),AZ56)</f>
        <v>2.97</v>
      </c>
      <c r="O56" s="425">
        <f t="shared" si="19"/>
        <v>37.450807689595045</v>
      </c>
      <c r="P56" s="387">
        <v>0.76200000000000001</v>
      </c>
      <c r="Q56" s="278">
        <v>0.81499999999999995</v>
      </c>
      <c r="R56" s="425">
        <f t="shared" si="25"/>
        <v>9.6085910637950924</v>
      </c>
      <c r="S56" s="425">
        <f t="shared" si="26"/>
        <v>23.634999999999998</v>
      </c>
      <c r="T56" s="391">
        <f>VLOOKUP($A56,'Misc. Data &amp; Mechanisms'!$A$63:$DY$152,HLOOKUP('Service Zone Menu'!$X$4&amp;"_ATCO-S_NG_Y_1",'Misc. Data &amp; Mechanisms'!$A$55:$DY$62,8,FALSE), FALSE)</f>
        <v>0.1111</v>
      </c>
      <c r="U56" s="205">
        <f>VLOOKUP($A56,'Misc. Data &amp; Mechanisms'!$A$63:$DY$152,HLOOKUP('Service Zone Menu'!$X$4&amp;"_ATCO-S_NG_Y_2",'Misc. Data &amp; Mechanisms'!$A$55:$DY$62,8,FALSE), FALSE)</f>
        <v>0</v>
      </c>
      <c r="V56" s="425">
        <f>IF(OR('Service Zone Menu'!$X$4="Calgary",AND('Service Zone Menu'!$X$4="Okotoks", $A56&lt;DATE(2019, 1, 1))),$T56*($H56+$G56+$J56),$T56*($H56+$J56-$AG56))</f>
        <v>9.0813690574811314</v>
      </c>
      <c r="W56" s="425">
        <f t="shared" si="27"/>
        <v>0</v>
      </c>
      <c r="X56" s="426"/>
      <c r="Y56" s="386"/>
      <c r="Z56" s="386"/>
      <c r="AA56" s="386"/>
      <c r="AB56" s="386">
        <v>0.73799999999999999</v>
      </c>
      <c r="AC56" s="386">
        <v>0.13800000000000001</v>
      </c>
      <c r="AD56" s="386"/>
      <c r="AE56" s="386"/>
      <c r="AF56" s="386"/>
      <c r="AG56" s="492">
        <f t="shared" si="28"/>
        <v>0</v>
      </c>
      <c r="AH56" s="492">
        <f t="shared" si="29"/>
        <v>0</v>
      </c>
      <c r="AI56" s="425">
        <f t="shared" si="30"/>
        <v>0</v>
      </c>
      <c r="AJ56" s="425">
        <f t="shared" si="31"/>
        <v>9.3059582743842224</v>
      </c>
      <c r="AK56" s="425">
        <f t="shared" si="32"/>
        <v>1.7401385391124971</v>
      </c>
      <c r="AL56" s="425">
        <f t="shared" si="20"/>
        <v>0</v>
      </c>
      <c r="AM56" s="425">
        <f t="shared" si="21"/>
        <v>0</v>
      </c>
      <c r="AN56" s="425">
        <f t="shared" si="22"/>
        <v>0</v>
      </c>
      <c r="AO56" s="200">
        <f>IF($I$2="DRT",VLOOKUP(A56,'Misc. Data &amp; Mechanisms'!$A$1483:$H$1574,7,FALSE),BA56)</f>
        <v>0.223</v>
      </c>
      <c r="AP56" s="552">
        <f t="shared" si="23"/>
        <v>6.4670000000000005</v>
      </c>
      <c r="AQ56" s="290"/>
      <c r="AR56" s="494">
        <f t="shared" si="24"/>
        <v>0</v>
      </c>
      <c r="AS56" s="495">
        <f>5%</f>
        <v>0.05</v>
      </c>
      <c r="AT56" s="341">
        <f>'Misc. Data &amp; Mechanisms'!AM329</f>
        <v>12.770782230679924</v>
      </c>
      <c r="AU56" s="424">
        <f>'Misc. Data &amp; Mechanisms'!AQ329</f>
        <v>14.532611712925958</v>
      </c>
      <c r="AV56" s="1087">
        <f>'Misc. Data &amp; Mechanisms'!Z329</f>
        <v>12.609699558786209</v>
      </c>
      <c r="AW56" s="1087">
        <f>'Misc. Data &amp; Mechanisms'!AA329</f>
        <v>8.0534979041464805</v>
      </c>
      <c r="AX56" s="1460">
        <f>'Misc. Data &amp; Mechanisms'!$B$260</f>
        <v>10.198990303636064</v>
      </c>
      <c r="AY56" s="197">
        <f>IFERROR(IF('Personalized Bill Menu'!$B$30="Yes", IF('Personalized Bill Menu'!$B$34="Natural Gas",VLOOKUP($A56, 'Personalized Bill Menu'!$H$4:$L$93, 2, FALSE), IF('Personalized Bill Menu'!$B$34="Both",VLOOKUP($A56,'Personalized Bill Menu'!$H$4:$P$93, 6, FALSE), 0)), 0),0)</f>
        <v>0</v>
      </c>
      <c r="AZ56" s="1343">
        <f>IFERROR(IF('Personalized Bill Menu'!$C$37="Custom", IF('Personalized Bill Menu'!$B$34="Natural Gas",VLOOKUP($A56, 'Personalized Bill Menu'!$H$4:$L$93, 3, FALSE), IF('Personalized Bill Menu'!$B$34="Both",VLOOKUP($A56,'Personalized Bill Menu'!$H$4:$P$93, 7, FALSE), 0)), 0),0)</f>
        <v>0</v>
      </c>
      <c r="BA56" s="1344">
        <f>IFERROR(IF('Personalized Bill Menu'!$C$37="Custom", IF('Personalized Bill Menu'!$B$34="Natural Gas",VLOOKUP($A56, 'Personalized Bill Menu'!$H$4:$L$93, 4, FALSE), IF('Personalized Bill Menu'!$B$34="Both",VLOOKUP($A56,'Personalized Bill Menu'!$H$4:$P$93, 8, FALSE), 0)), 0),0)</f>
        <v>0</v>
      </c>
      <c r="BB56" s="468"/>
      <c r="BC56" s="468"/>
      <c r="BD56" s="468"/>
    </row>
    <row r="57" spans="1:56" s="469" customFormat="1" x14ac:dyDescent="0.35">
      <c r="A57" s="496">
        <v>42430</v>
      </c>
      <c r="B57" s="497">
        <f t="shared" si="9"/>
        <v>31</v>
      </c>
      <c r="C57" s="1581">
        <f t="shared" si="10"/>
        <v>12.219487123971039</v>
      </c>
      <c r="D57" s="66">
        <f t="shared" si="11"/>
        <v>7.5316519938958484</v>
      </c>
      <c r="E57" s="66">
        <f>(1+$AS57)*IF(OR('Service Zone Menu'!$X$4="Calgary",AND('Service Zone Menu'!$X$4="Okotoks", $A57&lt;DATE(2019, 1, 1))),((1+$T57)*($N57+$P57+($X57+$Y57+$AA57+$AB57+$AC57))) + ($U57*($P57+($X57+$Y57+$AA57+$AB57+$AC57))) + $AQ57, ((1+$T57)*($P57+($Y57+$AA57+$AB57+$AC57)))+ ($U57*($P57+($X57+$Y57+$AA57+$AB57+$AC57)))+$N57+$X57 + $AQ57)</f>
        <v>4.5254547449999993</v>
      </c>
      <c r="F57" s="488">
        <f t="shared" si="12"/>
        <v>92.032924561641124</v>
      </c>
      <c r="G57" s="489">
        <f t="shared" si="13"/>
        <v>26.455189623397299</v>
      </c>
      <c r="H57" s="490">
        <f t="shared" si="0"/>
        <v>34.57624918846593</v>
      </c>
      <c r="I57" s="490">
        <f t="shared" si="14"/>
        <v>8.0730137905364732</v>
      </c>
      <c r="J57" s="490">
        <f t="shared" si="15"/>
        <v>11.632951742020428</v>
      </c>
      <c r="K57" s="490">
        <f t="shared" si="16"/>
        <v>6.9130000000000003</v>
      </c>
      <c r="L57" s="490">
        <f t="shared" si="17"/>
        <v>0</v>
      </c>
      <c r="M57" s="491">
        <f t="shared" si="18"/>
        <v>4.382520217221006</v>
      </c>
      <c r="N57" s="273">
        <f>IF($I$2="DRT",VLOOKUP(A57,'Misc. Data &amp; Mechanisms'!$A$1381:$D$1471,3,FALSE),AZ57)</f>
        <v>2.165</v>
      </c>
      <c r="O57" s="425">
        <f t="shared" si="19"/>
        <v>26.455189623397299</v>
      </c>
      <c r="P57" s="387">
        <v>0.76200000000000001</v>
      </c>
      <c r="Q57" s="278">
        <v>0.81499999999999995</v>
      </c>
      <c r="R57" s="425">
        <f t="shared" si="25"/>
        <v>9.311249188465931</v>
      </c>
      <c r="S57" s="425">
        <f t="shared" si="26"/>
        <v>25.264999999999997</v>
      </c>
      <c r="T57" s="391">
        <f>VLOOKUP($A57,'Misc. Data &amp; Mechanisms'!$A$63:$DY$152,HLOOKUP('Service Zone Menu'!$X$4&amp;"_ATCO-S_NG_Y_1",'Misc. Data &amp; Mechanisms'!$A$55:$DY$62,8,FALSE), FALSE)</f>
        <v>0.1111</v>
      </c>
      <c r="U57" s="205">
        <f>VLOOKUP($A57,'Misc. Data &amp; Mechanisms'!$A$63:$DY$152,HLOOKUP('Service Zone Menu'!$X$4&amp;"_ATCO-S_NG_Y_2",'Misc. Data &amp; Mechanisms'!$A$55:$DY$62,8,FALSE), FALSE)</f>
        <v>0</v>
      </c>
      <c r="V57" s="425">
        <f>IF(OR('Service Zone Menu'!$X$4="Calgary",AND('Service Zone Menu'!$X$4="Okotoks", $A57&lt;DATE(2019, 1, 1))),$T57*($H57+$G57+$J57),$T57*($H57+$J57-$AG57))</f>
        <v>8.0730137905364732</v>
      </c>
      <c r="W57" s="425">
        <f t="shared" si="27"/>
        <v>0</v>
      </c>
      <c r="X57" s="426"/>
      <c r="Y57" s="386"/>
      <c r="Z57" s="386"/>
      <c r="AA57" s="386"/>
      <c r="AB57" s="386">
        <v>0.81399999999999995</v>
      </c>
      <c r="AC57" s="386">
        <v>0.13800000000000001</v>
      </c>
      <c r="AD57" s="386"/>
      <c r="AE57" s="386"/>
      <c r="AF57" s="386"/>
      <c r="AG57" s="492">
        <f t="shared" si="28"/>
        <v>0</v>
      </c>
      <c r="AH57" s="492">
        <f t="shared" si="29"/>
        <v>0</v>
      </c>
      <c r="AI57" s="425">
        <f t="shared" si="30"/>
        <v>0</v>
      </c>
      <c r="AJ57" s="425">
        <f t="shared" si="31"/>
        <v>9.946662518912424</v>
      </c>
      <c r="AK57" s="425">
        <f t="shared" si="32"/>
        <v>1.6862892231080036</v>
      </c>
      <c r="AL57" s="425">
        <f t="shared" si="20"/>
        <v>0</v>
      </c>
      <c r="AM57" s="425">
        <f t="shared" si="21"/>
        <v>0</v>
      </c>
      <c r="AN57" s="425">
        <f t="shared" si="22"/>
        <v>0</v>
      </c>
      <c r="AO57" s="200">
        <f>IF($I$2="DRT",VLOOKUP(A57,'Misc. Data &amp; Mechanisms'!$A$1483:$H$1574,7,FALSE),BA57)</f>
        <v>0.223</v>
      </c>
      <c r="AP57" s="552">
        <f t="shared" si="23"/>
        <v>6.9130000000000003</v>
      </c>
      <c r="AQ57" s="290"/>
      <c r="AR57" s="494">
        <f t="shared" si="24"/>
        <v>0</v>
      </c>
      <c r="AS57" s="495">
        <f>5%</f>
        <v>0.05</v>
      </c>
      <c r="AT57" s="341">
        <f>'Misc. Data &amp; Mechanisms'!AM330</f>
        <v>12.375585025108467</v>
      </c>
      <c r="AU57" s="424">
        <f>'Misc. Data &amp; Mechanisms'!AQ330</f>
        <v>13.124025870796624</v>
      </c>
      <c r="AV57" s="1087">
        <f>'Misc. Data &amp; Mechanisms'!Z330</f>
        <v>12.219487123971039</v>
      </c>
      <c r="AW57" s="1087">
        <f>'Misc. Data &amp; Mechanisms'!AA330</f>
        <v>7.8042790380422371</v>
      </c>
      <c r="AX57" s="1460">
        <f>'Misc. Data &amp; Mechanisms'!$B$260</f>
        <v>10.198990303636064</v>
      </c>
      <c r="AY57" s="197">
        <f>IFERROR(IF('Personalized Bill Menu'!$B$30="Yes", IF('Personalized Bill Menu'!$B$34="Natural Gas",VLOOKUP($A57, 'Personalized Bill Menu'!$H$4:$L$93, 2, FALSE), IF('Personalized Bill Menu'!$B$34="Both",VLOOKUP($A57,'Personalized Bill Menu'!$H$4:$P$93, 6, FALSE), 0)), 0),0)</f>
        <v>0</v>
      </c>
      <c r="AZ57" s="1343">
        <f>IFERROR(IF('Personalized Bill Menu'!$C$37="Custom", IF('Personalized Bill Menu'!$B$34="Natural Gas",VLOOKUP($A57, 'Personalized Bill Menu'!$H$4:$L$93, 3, FALSE), IF('Personalized Bill Menu'!$B$34="Both",VLOOKUP($A57,'Personalized Bill Menu'!$H$4:$P$93, 7, FALSE), 0)), 0),0)</f>
        <v>0</v>
      </c>
      <c r="BA57" s="1344">
        <f>IFERROR(IF('Personalized Bill Menu'!$C$37="Custom", IF('Personalized Bill Menu'!$B$34="Natural Gas",VLOOKUP($A57, 'Personalized Bill Menu'!$H$4:$L$93, 4, FALSE), IF('Personalized Bill Menu'!$B$34="Both",VLOOKUP($A57,'Personalized Bill Menu'!$H$4:$P$93, 8, FALSE), 0)), 0),0)</f>
        <v>0</v>
      </c>
      <c r="BB57" s="468"/>
      <c r="BC57" s="468"/>
      <c r="BD57" s="468"/>
    </row>
    <row r="58" spans="1:56" s="469" customFormat="1" x14ac:dyDescent="0.35">
      <c r="A58" s="496">
        <v>42461</v>
      </c>
      <c r="B58" s="497">
        <f t="shared" si="9"/>
        <v>30</v>
      </c>
      <c r="C58" s="1581">
        <f t="shared" si="10"/>
        <v>6.9950986930345893</v>
      </c>
      <c r="D58" s="66">
        <f t="shared" si="11"/>
        <v>8.2044028704337784</v>
      </c>
      <c r="E58" s="66">
        <f>(1+$AS58)*IF(OR('Service Zone Menu'!$X$4="Calgary",AND('Service Zone Menu'!$X$4="Okotoks", $A58&lt;DATE(2019, 1, 1))),((1+$T58)*($N58+$P58+($X58+$Y58+$AA58+$AB58+$AC58))) + ($U58*($P58+($X58+$Y58+$AA58+$AB58+$AC58))) + $AQ58, ((1+$T58)*($P58+($Y58+$AA58+$AB58+$AC58)))+ ($U58*($P58+($X58+$Y58+$AA58+$AB58+$AC58)))+$N58+$X58 + $AQ58)</f>
        <v>3.0053032800000001</v>
      </c>
      <c r="F58" s="488">
        <f t="shared" si="12"/>
        <v>57.390607796100561</v>
      </c>
      <c r="G58" s="489">
        <f t="shared" si="13"/>
        <v>6.0297750733958155</v>
      </c>
      <c r="H58" s="490">
        <f t="shared" si="0"/>
        <v>29.780265204092355</v>
      </c>
      <c r="I58" s="490">
        <f t="shared" si="14"/>
        <v>4.7183474773148637</v>
      </c>
      <c r="J58" s="490">
        <f t="shared" si="15"/>
        <v>6.6593339557689291</v>
      </c>
      <c r="K58" s="490">
        <f t="shared" si="16"/>
        <v>7.47</v>
      </c>
      <c r="L58" s="490">
        <f t="shared" si="17"/>
        <v>0</v>
      </c>
      <c r="M58" s="491">
        <f t="shared" si="18"/>
        <v>2.7328860855285981</v>
      </c>
      <c r="N58" s="273">
        <f>IF($I$2="DRT",VLOOKUP(A58,'Misc. Data &amp; Mechanisms'!$A$1381:$D$1471,3,FALSE),AZ58)</f>
        <v>0.86199999999999999</v>
      </c>
      <c r="O58" s="425">
        <f t="shared" si="19"/>
        <v>6.0297750733958155</v>
      </c>
      <c r="P58" s="387">
        <v>0.76200000000000001</v>
      </c>
      <c r="Q58" s="278">
        <v>0.81499999999999995</v>
      </c>
      <c r="R58" s="425">
        <f t="shared" si="25"/>
        <v>5.330265204092357</v>
      </c>
      <c r="S58" s="425">
        <f t="shared" si="26"/>
        <v>24.45</v>
      </c>
      <c r="T58" s="391">
        <f>VLOOKUP($A58,'Misc. Data &amp; Mechanisms'!$A$63:$DY$152,HLOOKUP('Service Zone Menu'!$X$4&amp;"_ATCO-S_NG_Y_1",'Misc. Data &amp; Mechanisms'!$A$55:$DY$62,8,FALSE), FALSE)</f>
        <v>0.1111</v>
      </c>
      <c r="U58" s="205">
        <f>VLOOKUP($A58,'Misc. Data &amp; Mechanisms'!$A$63:$DY$152,HLOOKUP('Service Zone Menu'!$X$4&amp;"_ATCO-S_NG_Y_2",'Misc. Data &amp; Mechanisms'!$A$55:$DY$62,8,FALSE), FALSE)</f>
        <v>0</v>
      </c>
      <c r="V58" s="425">
        <f>IF(OR('Service Zone Menu'!$X$4="Calgary",AND('Service Zone Menu'!$X$4="Okotoks", $A58&lt;DATE(2019, 1, 1))),$T58*($H58+$G58+$J58),$T58*($H58+$J58-$AG58))</f>
        <v>4.7183474773148637</v>
      </c>
      <c r="W58" s="425">
        <f t="shared" si="27"/>
        <v>0</v>
      </c>
      <c r="X58" s="426"/>
      <c r="Y58" s="386"/>
      <c r="Z58" s="386"/>
      <c r="AA58" s="386"/>
      <c r="AB58" s="386">
        <v>0.81399999999999995</v>
      </c>
      <c r="AC58" s="386">
        <v>0.13800000000000001</v>
      </c>
      <c r="AD58" s="386"/>
      <c r="AE58" s="386"/>
      <c r="AF58" s="386"/>
      <c r="AG58" s="492">
        <f t="shared" si="28"/>
        <v>0</v>
      </c>
      <c r="AH58" s="492">
        <f t="shared" si="29"/>
        <v>0</v>
      </c>
      <c r="AI58" s="425">
        <f t="shared" si="30"/>
        <v>0</v>
      </c>
      <c r="AJ58" s="425">
        <f t="shared" si="31"/>
        <v>5.6940103361301553</v>
      </c>
      <c r="AK58" s="425">
        <f t="shared" si="32"/>
        <v>0.96532361963877344</v>
      </c>
      <c r="AL58" s="425">
        <f t="shared" si="20"/>
        <v>0</v>
      </c>
      <c r="AM58" s="425">
        <f t="shared" si="21"/>
        <v>0</v>
      </c>
      <c r="AN58" s="425">
        <f t="shared" si="22"/>
        <v>0</v>
      </c>
      <c r="AO58" s="200">
        <f>IF($I$2="DRT",VLOOKUP(A58,'Misc. Data &amp; Mechanisms'!$A$1483:$H$1574,7,FALSE),BA58)</f>
        <v>0.249</v>
      </c>
      <c r="AP58" s="552">
        <f t="shared" si="23"/>
        <v>7.47</v>
      </c>
      <c r="AQ58" s="290"/>
      <c r="AR58" s="494">
        <f t="shared" si="24"/>
        <v>0</v>
      </c>
      <c r="AS58" s="495">
        <f>5%</f>
        <v>0.05</v>
      </c>
      <c r="AT58" s="341">
        <f>'Misc. Data &amp; Mechanisms'!AM331</f>
        <v>7.0844576172802594</v>
      </c>
      <c r="AU58" s="424">
        <f>'Misc. Data &amp; Mechanisms'!AQ331</f>
        <v>7.6471624167395547</v>
      </c>
      <c r="AV58" s="1087">
        <f>'Misc. Data &amp; Mechanisms'!Z331</f>
        <v>6.9950986930345893</v>
      </c>
      <c r="AW58" s="1087">
        <f>'Misc. Data &amp; Mechanisms'!AA331</f>
        <v>4.4675935696182894</v>
      </c>
      <c r="AX58" s="1460">
        <f>'Misc. Data &amp; Mechanisms'!$B$260</f>
        <v>10.198990303636064</v>
      </c>
      <c r="AY58" s="197">
        <f>IFERROR(IF('Personalized Bill Menu'!$B$30="Yes", IF('Personalized Bill Menu'!$B$34="Natural Gas",VLOOKUP($A58, 'Personalized Bill Menu'!$H$4:$L$93, 2, FALSE), IF('Personalized Bill Menu'!$B$34="Both",VLOOKUP($A58,'Personalized Bill Menu'!$H$4:$P$93, 6, FALSE), 0)), 0),0)</f>
        <v>0</v>
      </c>
      <c r="AZ58" s="1343">
        <f>IFERROR(IF('Personalized Bill Menu'!$C$37="Custom", IF('Personalized Bill Menu'!$B$34="Natural Gas",VLOOKUP($A58, 'Personalized Bill Menu'!$H$4:$L$93, 3, FALSE), IF('Personalized Bill Menu'!$B$34="Both",VLOOKUP($A58,'Personalized Bill Menu'!$H$4:$P$93, 7, FALSE), 0)), 0),0)</f>
        <v>0</v>
      </c>
      <c r="BA58" s="1344">
        <f>IFERROR(IF('Personalized Bill Menu'!$C$37="Custom", IF('Personalized Bill Menu'!$B$34="Natural Gas",VLOOKUP($A58, 'Personalized Bill Menu'!$H$4:$L$93, 4, FALSE), IF('Personalized Bill Menu'!$B$34="Both",VLOOKUP($A58,'Personalized Bill Menu'!$H$4:$P$93, 8, FALSE), 0)), 0),0)</f>
        <v>0</v>
      </c>
      <c r="BB58" s="468"/>
      <c r="BC58" s="468"/>
      <c r="BD58" s="468"/>
    </row>
    <row r="59" spans="1:56" s="469" customFormat="1" x14ac:dyDescent="0.35">
      <c r="A59" s="496">
        <v>42491</v>
      </c>
      <c r="B59" s="497">
        <f t="shared" si="9"/>
        <v>31</v>
      </c>
      <c r="C59" s="1581">
        <f t="shared" si="10"/>
        <v>6.1900362861615976</v>
      </c>
      <c r="D59" s="66">
        <f t="shared" si="11"/>
        <v>8.9982631263652078</v>
      </c>
      <c r="E59" s="66">
        <f>(1+$AS59)*IF(OR('Service Zone Menu'!$X$4="Calgary",AND('Service Zone Menu'!$X$4="Okotoks", $A59&lt;DATE(2019, 1, 1))),((1+$T59)*($N59+$P59+($X59+$Y59+$AA59+$AB59+$AC59))) + ($U59*($P59+($X59+$Y59+$AA59+$AB59+$AC59))) + $AQ59, ((1+$T59)*($P59+($Y59+$AA59+$AB59+$AC59)))+ ($U59*($P59+($X59+$Y59+$AA59+$AB59+$AC59)))+$N59+$X59 + $AQ59)</f>
        <v>2.9271373949999999</v>
      </c>
      <c r="F59" s="488">
        <f t="shared" si="12"/>
        <v>55.699575264630532</v>
      </c>
      <c r="G59" s="489">
        <f t="shared" si="13"/>
        <v>4.9210788474984701</v>
      </c>
      <c r="H59" s="490">
        <f t="shared" si="0"/>
        <v>29.981807650055135</v>
      </c>
      <c r="I59" s="490">
        <f t="shared" si="14"/>
        <v>4.5324134957639162</v>
      </c>
      <c r="J59" s="490">
        <f t="shared" si="15"/>
        <v>5.8929145444258406</v>
      </c>
      <c r="K59" s="490">
        <f t="shared" si="16"/>
        <v>7.7190000000000003</v>
      </c>
      <c r="L59" s="490">
        <f t="shared" si="17"/>
        <v>0</v>
      </c>
      <c r="M59" s="491">
        <f t="shared" si="18"/>
        <v>2.6523607268871685</v>
      </c>
      <c r="N59" s="273">
        <f>IF($I$2="DRT",VLOOKUP(A59,'Misc. Data &amp; Mechanisms'!$A$1381:$D$1471,3,FALSE),AZ59)</f>
        <v>0.79500000000000004</v>
      </c>
      <c r="O59" s="425">
        <f t="shared" si="19"/>
        <v>4.9210788474984701</v>
      </c>
      <c r="P59" s="387">
        <v>0.76200000000000001</v>
      </c>
      <c r="Q59" s="278">
        <v>0.81499999999999995</v>
      </c>
      <c r="R59" s="425">
        <f t="shared" si="25"/>
        <v>4.716807650055137</v>
      </c>
      <c r="S59" s="425">
        <f t="shared" si="26"/>
        <v>25.264999999999997</v>
      </c>
      <c r="T59" s="391">
        <f>VLOOKUP($A59,'Misc. Data &amp; Mechanisms'!$A$63:$DY$152,HLOOKUP('Service Zone Menu'!$X$4&amp;"_ATCO-S_NG_Y_1",'Misc. Data &amp; Mechanisms'!$A$55:$DY$62,8,FALSE), FALSE)</f>
        <v>0.1111</v>
      </c>
      <c r="U59" s="205">
        <f>VLOOKUP($A59,'Misc. Data &amp; Mechanisms'!$A$63:$DY$152,HLOOKUP('Service Zone Menu'!$X$4&amp;"_ATCO-S_NG_Y_2",'Misc. Data &amp; Mechanisms'!$A$55:$DY$62,8,FALSE), FALSE)</f>
        <v>0</v>
      </c>
      <c r="V59" s="425">
        <f>IF(OR('Service Zone Menu'!$X$4="Calgary",AND('Service Zone Menu'!$X$4="Okotoks", $A59&lt;DATE(2019, 1, 1))),$T59*($H59+$G59+$J59),$T59*($H59+$J59-$AG59))</f>
        <v>4.5324134957639162</v>
      </c>
      <c r="W59" s="425">
        <f t="shared" si="27"/>
        <v>0</v>
      </c>
      <c r="X59" s="426"/>
      <c r="Y59" s="386"/>
      <c r="Z59" s="386"/>
      <c r="AA59" s="386"/>
      <c r="AB59" s="386">
        <v>0.81399999999999995</v>
      </c>
      <c r="AC59" s="386">
        <v>0.13800000000000001</v>
      </c>
      <c r="AD59" s="386"/>
      <c r="AE59" s="386"/>
      <c r="AF59" s="386"/>
      <c r="AG59" s="492">
        <f t="shared" si="28"/>
        <v>0</v>
      </c>
      <c r="AH59" s="492">
        <f t="shared" si="29"/>
        <v>0</v>
      </c>
      <c r="AI59" s="425">
        <f t="shared" si="30"/>
        <v>0</v>
      </c>
      <c r="AJ59" s="425">
        <f t="shared" si="31"/>
        <v>5.0386895369355402</v>
      </c>
      <c r="AK59" s="425">
        <f t="shared" si="32"/>
        <v>0.8542250074903005</v>
      </c>
      <c r="AL59" s="425">
        <f t="shared" si="20"/>
        <v>0</v>
      </c>
      <c r="AM59" s="425">
        <f t="shared" si="21"/>
        <v>0</v>
      </c>
      <c r="AN59" s="425">
        <f t="shared" si="22"/>
        <v>0</v>
      </c>
      <c r="AO59" s="200">
        <f>IF($I$2="DRT",VLOOKUP(A59,'Misc. Data &amp; Mechanisms'!$A$1483:$H$1574,7,FALSE),BA59)</f>
        <v>0.249</v>
      </c>
      <c r="AP59" s="552">
        <f t="shared" si="23"/>
        <v>7.7190000000000003</v>
      </c>
      <c r="AQ59" s="290"/>
      <c r="AR59" s="494">
        <f t="shared" si="24"/>
        <v>0</v>
      </c>
      <c r="AS59" s="495">
        <f>5%</f>
        <v>0.05</v>
      </c>
      <c r="AT59" s="341">
        <f>'Misc. Data &amp; Mechanisms'!AM332</f>
        <v>6.269110936548425</v>
      </c>
      <c r="AU59" s="424">
        <f>'Misc. Data &amp; Mechanisms'!AQ332</f>
        <v>5.4568344952411101</v>
      </c>
      <c r="AV59" s="1087">
        <f>'Misc. Data &amp; Mechanisms'!Z332</f>
        <v>6.1900362861615976</v>
      </c>
      <c r="AW59" s="1087">
        <f>'Misc. Data &amp; Mechanisms'!AA332</f>
        <v>3.9534204621439617</v>
      </c>
      <c r="AX59" s="1460">
        <f>'Misc. Data &amp; Mechanisms'!$B$260</f>
        <v>10.198990303636064</v>
      </c>
      <c r="AY59" s="197">
        <f>IFERROR(IF('Personalized Bill Menu'!$B$30="Yes", IF('Personalized Bill Menu'!$B$34="Natural Gas",VLOOKUP($A59, 'Personalized Bill Menu'!$H$4:$L$93, 2, FALSE), IF('Personalized Bill Menu'!$B$34="Both",VLOOKUP($A59,'Personalized Bill Menu'!$H$4:$P$93, 6, FALSE), 0)), 0),0)</f>
        <v>0</v>
      </c>
      <c r="AZ59" s="1343">
        <f>IFERROR(IF('Personalized Bill Menu'!$C$37="Custom", IF('Personalized Bill Menu'!$B$34="Natural Gas",VLOOKUP($A59, 'Personalized Bill Menu'!$H$4:$L$93, 3, FALSE), IF('Personalized Bill Menu'!$B$34="Both",VLOOKUP($A59,'Personalized Bill Menu'!$H$4:$P$93, 7, FALSE), 0)), 0),0)</f>
        <v>0</v>
      </c>
      <c r="BA59" s="1344">
        <f>IFERROR(IF('Personalized Bill Menu'!$C$37="Custom", IF('Personalized Bill Menu'!$B$34="Natural Gas",VLOOKUP($A59, 'Personalized Bill Menu'!$H$4:$L$93, 4, FALSE), IF('Personalized Bill Menu'!$B$34="Both",VLOOKUP($A59,'Personalized Bill Menu'!$H$4:$P$93, 8, FALSE), 0)), 0),0)</f>
        <v>0</v>
      </c>
    </row>
    <row r="60" spans="1:56" s="469" customFormat="1" x14ac:dyDescent="0.35">
      <c r="A60" s="496">
        <v>42522</v>
      </c>
      <c r="B60" s="497">
        <f t="shared" si="9"/>
        <v>30</v>
      </c>
      <c r="C60" s="1581">
        <f t="shared" si="10"/>
        <v>2.6287907600549798</v>
      </c>
      <c r="D60" s="66">
        <f t="shared" si="11"/>
        <v>17.437210136634938</v>
      </c>
      <c r="E60" s="66">
        <f>(1+$AS60)*IF(OR('Service Zone Menu'!$X$4="Calgary",AND('Service Zone Menu'!$X$4="Okotoks", $A60&lt;DATE(2019, 1, 1))),((1+$T60)*($N60+$P60+($X60+$Y60+$AA60+$AB60+$AC60))) + ($U60*($P60+($X60+$Y60+$AA60+$AB60+$AC60))) + $AQ60, ((1+$T60)*($P60+($Y60+$AA60+$AB60+$AC60)))+ ($U60*($P60+($X60+$Y60+$AA60+$AB60+$AC60)))+$N60+$X60 + $AQ60)</f>
        <v>3.6026306400000001</v>
      </c>
      <c r="F60" s="488">
        <f t="shared" si="12"/>
        <v>45.838776888322961</v>
      </c>
      <c r="G60" s="489">
        <f t="shared" si="13"/>
        <v>3.6119585043155427</v>
      </c>
      <c r="H60" s="490">
        <f t="shared" si="0"/>
        <v>26.453138559161893</v>
      </c>
      <c r="I60" s="490">
        <f t="shared" si="14"/>
        <v>3.61827212182923</v>
      </c>
      <c r="J60" s="490">
        <f t="shared" si="15"/>
        <v>2.5026088035723406</v>
      </c>
      <c r="K60" s="490">
        <f t="shared" si="16"/>
        <v>7.47</v>
      </c>
      <c r="L60" s="490">
        <f t="shared" si="17"/>
        <v>0</v>
      </c>
      <c r="M60" s="491">
        <f t="shared" si="18"/>
        <v>2.1827988994439504</v>
      </c>
      <c r="N60" s="273">
        <f>IF($I$2="DRT",VLOOKUP(A60,'Misc. Data &amp; Mechanisms'!$A$1381:$D$1471,3,FALSE),AZ60)</f>
        <v>1.3740000000000001</v>
      </c>
      <c r="O60" s="425">
        <f t="shared" si="19"/>
        <v>3.6119585043155427</v>
      </c>
      <c r="P60" s="387">
        <v>0.76200000000000001</v>
      </c>
      <c r="Q60" s="278">
        <v>0.81499999999999995</v>
      </c>
      <c r="R60" s="425">
        <f t="shared" si="25"/>
        <v>2.0031385591618944</v>
      </c>
      <c r="S60" s="425">
        <f t="shared" si="26"/>
        <v>24.45</v>
      </c>
      <c r="T60" s="391">
        <f>VLOOKUP($A60,'Misc. Data &amp; Mechanisms'!$A$63:$DY$152,HLOOKUP('Service Zone Menu'!$X$4&amp;"_ATCO-S_NG_Y_1",'Misc. Data &amp; Mechanisms'!$A$55:$DY$62,8,FALSE), FALSE)</f>
        <v>0.1111</v>
      </c>
      <c r="U60" s="205">
        <f>VLOOKUP($A60,'Misc. Data &amp; Mechanisms'!$A$63:$DY$152,HLOOKUP('Service Zone Menu'!$X$4&amp;"_ATCO-S_NG_Y_2",'Misc. Data &amp; Mechanisms'!$A$55:$DY$62,8,FALSE), FALSE)</f>
        <v>0</v>
      </c>
      <c r="V60" s="425">
        <f>IF(OR('Service Zone Menu'!$X$4="Calgary",AND('Service Zone Menu'!$X$4="Okotoks", $A60&lt;DATE(2019, 1, 1))),$T60*($H60+$G60+$J60),$T60*($H60+$J60-$AG60))</f>
        <v>3.61827212182923</v>
      </c>
      <c r="W60" s="425">
        <f t="shared" si="27"/>
        <v>0</v>
      </c>
      <c r="X60" s="426"/>
      <c r="Y60" s="386"/>
      <c r="Z60" s="386"/>
      <c r="AA60" s="386"/>
      <c r="AB60" s="386">
        <v>0.81399999999999995</v>
      </c>
      <c r="AC60" s="386">
        <v>0.13800000000000001</v>
      </c>
      <c r="AD60" s="386"/>
      <c r="AE60" s="386"/>
      <c r="AF60" s="386"/>
      <c r="AG60" s="492">
        <f t="shared" si="28"/>
        <v>0</v>
      </c>
      <c r="AH60" s="492">
        <f t="shared" si="29"/>
        <v>0</v>
      </c>
      <c r="AI60" s="425">
        <f t="shared" si="30"/>
        <v>0</v>
      </c>
      <c r="AJ60" s="425">
        <f t="shared" si="31"/>
        <v>2.1398356786847534</v>
      </c>
      <c r="AK60" s="425">
        <f t="shared" si="32"/>
        <v>0.36277312488758723</v>
      </c>
      <c r="AL60" s="425">
        <f t="shared" si="20"/>
        <v>0</v>
      </c>
      <c r="AM60" s="425">
        <f t="shared" si="21"/>
        <v>0</v>
      </c>
      <c r="AN60" s="425">
        <f t="shared" si="22"/>
        <v>0</v>
      </c>
      <c r="AO60" s="200">
        <f>IF($I$2="DRT",VLOOKUP(A60,'Misc. Data &amp; Mechanisms'!$A$1483:$H$1574,7,FALSE),BA60)</f>
        <v>0.249</v>
      </c>
      <c r="AP60" s="552">
        <f t="shared" si="23"/>
        <v>7.47</v>
      </c>
      <c r="AQ60" s="290"/>
      <c r="AR60" s="494">
        <f t="shared" si="24"/>
        <v>0</v>
      </c>
      <c r="AS60" s="495">
        <f>5%</f>
        <v>0.05</v>
      </c>
      <c r="AT60" s="341">
        <f>'Misc. Data &amp; Mechanisms'!AM333</f>
        <v>2.6623722611450757</v>
      </c>
      <c r="AU60" s="424">
        <f>'Misc. Data &amp; Mechanisms'!AQ333</f>
        <v>2.6768602994561568</v>
      </c>
      <c r="AV60" s="1087">
        <f>'Misc. Data &amp; Mechanisms'!Z333</f>
        <v>2.6287907600549798</v>
      </c>
      <c r="AW60" s="1087">
        <f>'Misc. Data &amp; Mechanisms'!AA333</f>
        <v>1.6789425297441658</v>
      </c>
      <c r="AX60" s="1460">
        <f>'Misc. Data &amp; Mechanisms'!$B$260</f>
        <v>10.198990303636064</v>
      </c>
      <c r="AY60" s="197">
        <f>IFERROR(IF('Personalized Bill Menu'!$B$30="Yes", IF('Personalized Bill Menu'!$B$34="Natural Gas",VLOOKUP($A60, 'Personalized Bill Menu'!$H$4:$L$93, 2, FALSE), IF('Personalized Bill Menu'!$B$34="Both",VLOOKUP($A60,'Personalized Bill Menu'!$H$4:$P$93, 6, FALSE), 0)), 0),0)</f>
        <v>0</v>
      </c>
      <c r="AZ60" s="1343">
        <f>IFERROR(IF('Personalized Bill Menu'!$C$37="Custom", IF('Personalized Bill Menu'!$B$34="Natural Gas",VLOOKUP($A60, 'Personalized Bill Menu'!$H$4:$L$93, 3, FALSE), IF('Personalized Bill Menu'!$B$34="Both",VLOOKUP($A60,'Personalized Bill Menu'!$H$4:$P$93, 7, FALSE), 0)), 0),0)</f>
        <v>0</v>
      </c>
      <c r="BA60" s="1344">
        <f>IFERROR(IF('Personalized Bill Menu'!$C$37="Custom", IF('Personalized Bill Menu'!$B$34="Natural Gas",VLOOKUP($A60, 'Personalized Bill Menu'!$H$4:$L$93, 4, FALSE), IF('Personalized Bill Menu'!$B$34="Both",VLOOKUP($A60,'Personalized Bill Menu'!$H$4:$P$93, 8, FALSE), 0)), 0),0)</f>
        <v>0</v>
      </c>
    </row>
    <row r="61" spans="1:56" s="469" customFormat="1" x14ac:dyDescent="0.35">
      <c r="A61" s="496">
        <v>42552</v>
      </c>
      <c r="B61" s="497">
        <f t="shared" si="9"/>
        <v>31</v>
      </c>
      <c r="C61" s="1581">
        <f t="shared" si="10"/>
        <v>2.4285142831424009</v>
      </c>
      <c r="D61" s="66">
        <f t="shared" si="11"/>
        <v>19.690974121574957</v>
      </c>
      <c r="E61" s="66">
        <f>(1+$AS61)*IF(OR('Service Zone Menu'!$X$4="Calgary",AND('Service Zone Menu'!$X$4="Okotoks", $A61&lt;DATE(2019, 1, 1))),((1+$T61)*($N61+$P61+($X61+$Y61+$AA61+$AB61+$AC61))) + ($U61*($P61+($X61+$Y61+$AA61+$AB61+$AC61))) + $AQ61, ((1+$T61)*($P61+($Y61+$AA61+$AB61+$AC61)))+ ($U61*($P61+($X61+$Y61+$AA61+$AB61+$AC61)))+$N61+$X61 + $AQ61)</f>
        <v>4.2162911699999999</v>
      </c>
      <c r="F61" s="488">
        <f t="shared" si="12"/>
        <v>47.819811903232178</v>
      </c>
      <c r="G61" s="489">
        <f t="shared" si="13"/>
        <v>3.960906795805256</v>
      </c>
      <c r="H61" s="490">
        <f t="shared" si="0"/>
        <v>27.115527883754506</v>
      </c>
      <c r="I61" s="490">
        <f t="shared" si="14"/>
        <v>3.7820273838016338</v>
      </c>
      <c r="J61" s="490">
        <f t="shared" si="15"/>
        <v>2.9652159397168711</v>
      </c>
      <c r="K61" s="490">
        <f t="shared" si="16"/>
        <v>7.7190000000000003</v>
      </c>
      <c r="L61" s="490">
        <f t="shared" si="17"/>
        <v>0</v>
      </c>
      <c r="M61" s="491">
        <f t="shared" si="18"/>
        <v>2.2771339001539133</v>
      </c>
      <c r="N61" s="273">
        <f>IF($I$2="DRT",VLOOKUP(A61,'Misc. Data &amp; Mechanisms'!$A$1381:$D$1471,3,FALSE),AZ61)</f>
        <v>1.631</v>
      </c>
      <c r="O61" s="425">
        <f t="shared" si="19"/>
        <v>3.960906795805256</v>
      </c>
      <c r="P61" s="387">
        <v>0.76200000000000001</v>
      </c>
      <c r="Q61" s="278">
        <v>0.81499999999999995</v>
      </c>
      <c r="R61" s="425">
        <f t="shared" si="25"/>
        <v>1.8505278837545096</v>
      </c>
      <c r="S61" s="425">
        <f t="shared" si="26"/>
        <v>25.264999999999997</v>
      </c>
      <c r="T61" s="391">
        <f>VLOOKUP($A61,'Misc. Data &amp; Mechanisms'!$A$63:$DY$152,HLOOKUP('Service Zone Menu'!$X$4&amp;"_ATCO-S_NG_Y_1",'Misc. Data &amp; Mechanisms'!$A$55:$DY$62,8,FALSE), FALSE)</f>
        <v>0.1111</v>
      </c>
      <c r="U61" s="205">
        <f>VLOOKUP($A61,'Misc. Data &amp; Mechanisms'!$A$63:$DY$152,HLOOKUP('Service Zone Menu'!$X$4&amp;"_ATCO-S_NG_Y_2",'Misc. Data &amp; Mechanisms'!$A$55:$DY$62,8,FALSE), FALSE)</f>
        <v>0</v>
      </c>
      <c r="V61" s="425">
        <f>IF(OR('Service Zone Menu'!$X$4="Calgary",AND('Service Zone Menu'!$X$4="Okotoks", $A61&lt;DATE(2019, 1, 1))),$T61*($H61+$G61+$J61),$T61*($H61+$J61-$AG61))</f>
        <v>3.7820273838016338</v>
      </c>
      <c r="W61" s="425">
        <f t="shared" si="27"/>
        <v>0</v>
      </c>
      <c r="X61" s="426"/>
      <c r="Y61" s="386"/>
      <c r="Z61" s="386"/>
      <c r="AA61" s="386"/>
      <c r="AB61" s="386">
        <v>0.81399999999999995</v>
      </c>
      <c r="AC61" s="386">
        <v>0.40699999999999997</v>
      </c>
      <c r="AD61" s="386"/>
      <c r="AE61" s="386"/>
      <c r="AF61" s="386"/>
      <c r="AG61" s="492">
        <f t="shared" si="28"/>
        <v>0</v>
      </c>
      <c r="AH61" s="492">
        <f t="shared" si="29"/>
        <v>0</v>
      </c>
      <c r="AI61" s="425">
        <f t="shared" si="30"/>
        <v>0</v>
      </c>
      <c r="AJ61" s="425">
        <f t="shared" si="31"/>
        <v>1.9768106264779142</v>
      </c>
      <c r="AK61" s="425">
        <f t="shared" si="32"/>
        <v>0.98840531323895708</v>
      </c>
      <c r="AL61" s="425">
        <f t="shared" si="20"/>
        <v>0</v>
      </c>
      <c r="AM61" s="425">
        <f t="shared" si="21"/>
        <v>0</v>
      </c>
      <c r="AN61" s="425">
        <f t="shared" si="22"/>
        <v>0</v>
      </c>
      <c r="AO61" s="200">
        <f>IF($I$2="DRT",VLOOKUP(A61,'Misc. Data &amp; Mechanisms'!$A$1483:$H$1574,7,FALSE),BA61)</f>
        <v>0.249</v>
      </c>
      <c r="AP61" s="552">
        <f t="shared" si="23"/>
        <v>7.7190000000000003</v>
      </c>
      <c r="AQ61" s="290"/>
      <c r="AR61" s="494">
        <f t="shared" si="24"/>
        <v>0</v>
      </c>
      <c r="AS61" s="495">
        <f>5%</f>
        <v>0.05</v>
      </c>
      <c r="AT61" s="341">
        <f>'Misc. Data &amp; Mechanisms'!AM334</f>
        <v>2.4595373513477057</v>
      </c>
      <c r="AU61" s="424">
        <f>'Misc. Data &amp; Mechanisms'!AQ334</f>
        <v>2.1860170608535938</v>
      </c>
      <c r="AV61" s="1087">
        <f>'Misc. Data &amp; Mechanisms'!Z334</f>
        <v>2.4285142831424009</v>
      </c>
      <c r="AW61" s="1087">
        <f>'Misc. Data &amp; Mechanisms'!AA334</f>
        <v>1.551030982006977</v>
      </c>
      <c r="AX61" s="1460">
        <f>'Misc. Data &amp; Mechanisms'!$B$260</f>
        <v>10.198990303636064</v>
      </c>
      <c r="AY61" s="197">
        <f>IFERROR(IF('Personalized Bill Menu'!$B$30="Yes", IF('Personalized Bill Menu'!$B$34="Natural Gas",VLOOKUP($A61, 'Personalized Bill Menu'!$H$4:$L$93, 2, FALSE), IF('Personalized Bill Menu'!$B$34="Both",VLOOKUP($A61,'Personalized Bill Menu'!$H$4:$P$93, 6, FALSE), 0)), 0),0)</f>
        <v>0</v>
      </c>
      <c r="AZ61" s="1343">
        <f>IFERROR(IF('Personalized Bill Menu'!$C$37="Custom", IF('Personalized Bill Menu'!$B$34="Natural Gas",VLOOKUP($A61, 'Personalized Bill Menu'!$H$4:$L$93, 3, FALSE), IF('Personalized Bill Menu'!$B$34="Both",VLOOKUP($A61,'Personalized Bill Menu'!$H$4:$P$93, 7, FALSE), 0)), 0),0)</f>
        <v>0</v>
      </c>
      <c r="BA61" s="1344">
        <f>IFERROR(IF('Personalized Bill Menu'!$C$37="Custom", IF('Personalized Bill Menu'!$B$34="Natural Gas",VLOOKUP($A61, 'Personalized Bill Menu'!$H$4:$L$93, 4, FALSE), IF('Personalized Bill Menu'!$B$34="Both",VLOOKUP($A61,'Personalized Bill Menu'!$H$4:$P$93, 8, FALSE), 0)), 0),0)</f>
        <v>0</v>
      </c>
    </row>
    <row r="62" spans="1:56" s="469" customFormat="1" x14ac:dyDescent="0.35">
      <c r="A62" s="496">
        <v>42583</v>
      </c>
      <c r="B62" s="497">
        <f t="shared" si="9"/>
        <v>31</v>
      </c>
      <c r="C62" s="1581">
        <f t="shared" si="10"/>
        <v>2.7213645106571978</v>
      </c>
      <c r="D62" s="66">
        <f t="shared" si="11"/>
        <v>18.880877763923053</v>
      </c>
      <c r="E62" s="66">
        <f>(1+$AS62)*IF(OR('Service Zone Menu'!$X$4="Calgary",AND('Service Zone Menu'!$X$4="Okotoks", $A62&lt;DATE(2019, 1, 1))),((1+$T62)*($N62+$P62+($X62+$Y62+$AA62+$AB62+$AC62))) + ($U62*($P62+($X62+$Y62+$AA62+$AB62+$AC62))) + $AQ62, ((1+$T62)*($P62+($Y62+$AA62+$AB62+$AC62)))+ ($U62*($P62+($X62+$Y62+$AA62+$AB62+$AC62)))+$N62+$X62 + $AQ62)</f>
        <v>5.0714492849999999</v>
      </c>
      <c r="F62" s="488">
        <f t="shared" si="12"/>
        <v>51.38175067679682</v>
      </c>
      <c r="G62" s="489">
        <f t="shared" si="13"/>
        <v>6.4333057031936152</v>
      </c>
      <c r="H62" s="490">
        <f t="shared" si="0"/>
        <v>27.338679757120783</v>
      </c>
      <c r="I62" s="490">
        <f t="shared" si="14"/>
        <v>4.1212291167415618</v>
      </c>
      <c r="J62" s="490">
        <f t="shared" si="15"/>
        <v>3.3227860675124381</v>
      </c>
      <c r="K62" s="490">
        <f t="shared" si="16"/>
        <v>7.7190000000000003</v>
      </c>
      <c r="L62" s="490">
        <f t="shared" si="17"/>
        <v>0</v>
      </c>
      <c r="M62" s="491">
        <f t="shared" si="18"/>
        <v>2.4467500322284201</v>
      </c>
      <c r="N62" s="273">
        <f>IF($I$2="DRT",VLOOKUP(A62,'Misc. Data &amp; Mechanisms'!$A$1381:$D$1471,3,FALSE),AZ62)</f>
        <v>2.3639999999999999</v>
      </c>
      <c r="O62" s="425">
        <f t="shared" si="19"/>
        <v>6.4333057031936152</v>
      </c>
      <c r="P62" s="387">
        <v>0.76200000000000001</v>
      </c>
      <c r="Q62" s="278">
        <v>0.81499999999999995</v>
      </c>
      <c r="R62" s="425">
        <f t="shared" si="25"/>
        <v>2.0736797571207846</v>
      </c>
      <c r="S62" s="425">
        <f t="shared" si="26"/>
        <v>25.264999999999997</v>
      </c>
      <c r="T62" s="391">
        <f>VLOOKUP($A62,'Misc. Data &amp; Mechanisms'!$A$63:$DY$152,HLOOKUP('Service Zone Menu'!$X$4&amp;"_ATCO-S_NG_Y_1",'Misc. Data &amp; Mechanisms'!$A$55:$DY$62,8,FALSE), FALSE)</f>
        <v>0.1111</v>
      </c>
      <c r="U62" s="205">
        <f>VLOOKUP($A62,'Misc. Data &amp; Mechanisms'!$A$63:$DY$152,HLOOKUP('Service Zone Menu'!$X$4&amp;"_ATCO-S_NG_Y_2",'Misc. Data &amp; Mechanisms'!$A$55:$DY$62,8,FALSE), FALSE)</f>
        <v>0</v>
      </c>
      <c r="V62" s="425">
        <f>IF(OR('Service Zone Menu'!$X$4="Calgary",AND('Service Zone Menu'!$X$4="Okotoks", $A62&lt;DATE(2019, 1, 1))),$T62*($H62+$G62+$J62),$T62*($H62+$J62-$AG62))</f>
        <v>4.1212291167415618</v>
      </c>
      <c r="W62" s="425">
        <f t="shared" si="27"/>
        <v>0</v>
      </c>
      <c r="X62" s="426"/>
      <c r="Y62" s="386"/>
      <c r="Z62" s="386"/>
      <c r="AA62" s="386"/>
      <c r="AB62" s="386">
        <v>0.81399999999999995</v>
      </c>
      <c r="AC62" s="386">
        <v>0.40699999999999997</v>
      </c>
      <c r="AD62" s="386"/>
      <c r="AE62" s="386"/>
      <c r="AF62" s="386"/>
      <c r="AG62" s="492">
        <f t="shared" si="28"/>
        <v>0</v>
      </c>
      <c r="AH62" s="492">
        <f t="shared" si="29"/>
        <v>0</v>
      </c>
      <c r="AI62" s="425">
        <f t="shared" si="30"/>
        <v>0</v>
      </c>
      <c r="AJ62" s="425">
        <f t="shared" si="31"/>
        <v>2.2151907116749587</v>
      </c>
      <c r="AK62" s="425">
        <f t="shared" si="32"/>
        <v>1.1075953558374794</v>
      </c>
      <c r="AL62" s="425">
        <f t="shared" si="20"/>
        <v>0</v>
      </c>
      <c r="AM62" s="425">
        <f t="shared" si="21"/>
        <v>0</v>
      </c>
      <c r="AN62" s="425">
        <f t="shared" si="22"/>
        <v>0</v>
      </c>
      <c r="AO62" s="200">
        <f>IF($I$2="DRT",VLOOKUP(A62,'Misc. Data &amp; Mechanisms'!$A$1483:$H$1574,7,FALSE),BA62)</f>
        <v>0.249</v>
      </c>
      <c r="AP62" s="552">
        <f t="shared" si="23"/>
        <v>7.7190000000000003</v>
      </c>
      <c r="AQ62" s="290"/>
      <c r="AR62" s="494">
        <f t="shared" si="24"/>
        <v>0</v>
      </c>
      <c r="AS62" s="495">
        <f>5%</f>
        <v>0.05</v>
      </c>
      <c r="AT62" s="341">
        <f>'Misc. Data &amp; Mechanisms'!AM335</f>
        <v>2.7561285956006767</v>
      </c>
      <c r="AU62" s="424">
        <f>'Misc. Data &amp; Mechanisms'!AQ335</f>
        <v>2.5135649155232058</v>
      </c>
      <c r="AV62" s="1087">
        <f>'Misc. Data &amp; Mechanisms'!Z335</f>
        <v>2.7213645106571978</v>
      </c>
      <c r="AW62" s="1087">
        <f>'Misc. Data &amp; Mechanisms'!AA335</f>
        <v>1.7380670555092912</v>
      </c>
      <c r="AX62" s="1460">
        <f>'Misc. Data &amp; Mechanisms'!$B$260</f>
        <v>10.198990303636064</v>
      </c>
      <c r="AY62" s="197">
        <f>IFERROR(IF('Personalized Bill Menu'!$B$30="Yes", IF('Personalized Bill Menu'!$B$34="Natural Gas",VLOOKUP($A62, 'Personalized Bill Menu'!$H$4:$L$93, 2, FALSE), IF('Personalized Bill Menu'!$B$34="Both",VLOOKUP($A62,'Personalized Bill Menu'!$H$4:$P$93, 6, FALSE), 0)), 0),0)</f>
        <v>0</v>
      </c>
      <c r="AZ62" s="1343">
        <f>IFERROR(IF('Personalized Bill Menu'!$C$37="Custom", IF('Personalized Bill Menu'!$B$34="Natural Gas",VLOOKUP($A62, 'Personalized Bill Menu'!$H$4:$L$93, 3, FALSE), IF('Personalized Bill Menu'!$B$34="Both",VLOOKUP($A62,'Personalized Bill Menu'!$H$4:$P$93, 7, FALSE), 0)), 0),0)</f>
        <v>0</v>
      </c>
      <c r="BA62" s="1344">
        <f>IFERROR(IF('Personalized Bill Menu'!$C$37="Custom", IF('Personalized Bill Menu'!$B$34="Natural Gas",VLOOKUP($A62, 'Personalized Bill Menu'!$H$4:$L$93, 4, FALSE), IF('Personalized Bill Menu'!$B$34="Both",VLOOKUP($A62,'Personalized Bill Menu'!$H$4:$P$93, 8, FALSE), 0)), 0),0)</f>
        <v>0</v>
      </c>
    </row>
    <row r="63" spans="1:56" s="469" customFormat="1" x14ac:dyDescent="0.35">
      <c r="A63" s="496">
        <v>42614</v>
      </c>
      <c r="B63" s="497">
        <f t="shared" si="9"/>
        <v>30</v>
      </c>
      <c r="C63" s="1581">
        <f t="shared" si="10"/>
        <v>5.6569072059323897</v>
      </c>
      <c r="D63" s="66">
        <f t="shared" si="11"/>
        <v>11.602905489755974</v>
      </c>
      <c r="E63" s="66">
        <f>(1+$AS63)*IF(OR('Service Zone Menu'!$X$4="Calgary",AND('Service Zone Menu'!$X$4="Okotoks", $A63&lt;DATE(2019, 1, 1))),((1+$T63)*($N63+$P63+($X63+$Y63+$AA63+$AB63+$AC63))) + ($U63*($P63+($X63+$Y63+$AA63+$AB63+$AC63))) + $AQ63, ((1+$T63)*($P63+($Y63+$AA63+$AB63+$AC63)))+ ($U63*($P63+($X63+$Y63+$AA63+$AB63+$AC63)))+$N63+$X63 + $AQ63)</f>
        <v>4.9326173399999993</v>
      </c>
      <c r="F63" s="488">
        <f t="shared" si="12"/>
        <v>65.636559674753059</v>
      </c>
      <c r="G63" s="489">
        <f t="shared" si="13"/>
        <v>13.299388841147048</v>
      </c>
      <c r="H63" s="490">
        <f t="shared" si="0"/>
        <v>28.76056329092048</v>
      </c>
      <c r="I63" s="490">
        <f t="shared" si="14"/>
        <v>5.5036055473683865</v>
      </c>
      <c r="J63" s="490">
        <f t="shared" si="15"/>
        <v>7.4774515346146142</v>
      </c>
      <c r="K63" s="490">
        <f t="shared" si="16"/>
        <v>7.47</v>
      </c>
      <c r="L63" s="490">
        <f t="shared" si="17"/>
        <v>0</v>
      </c>
      <c r="M63" s="491">
        <f t="shared" si="18"/>
        <v>3.1255504607025268</v>
      </c>
      <c r="N63" s="273">
        <f>IF($I$2="DRT",VLOOKUP(A63,'Misc. Data &amp; Mechanisms'!$A$1381:$D$1471,3,FALSE),AZ63)</f>
        <v>2.351</v>
      </c>
      <c r="O63" s="425">
        <f t="shared" si="19"/>
        <v>13.299388841147048</v>
      </c>
      <c r="P63" s="387">
        <v>0.76200000000000001</v>
      </c>
      <c r="Q63" s="278">
        <v>0.81499999999999995</v>
      </c>
      <c r="R63" s="425">
        <f t="shared" si="25"/>
        <v>4.3105632909204807</v>
      </c>
      <c r="S63" s="425">
        <f t="shared" si="26"/>
        <v>24.45</v>
      </c>
      <c r="T63" s="391">
        <f>VLOOKUP($A63,'Misc. Data &amp; Mechanisms'!$A$63:$DY$152,HLOOKUP('Service Zone Menu'!$X$4&amp;"_ATCO-S_NG_Y_1",'Misc. Data &amp; Mechanisms'!$A$55:$DY$62,8,FALSE), FALSE)</f>
        <v>0.1111</v>
      </c>
      <c r="U63" s="205">
        <f>VLOOKUP($A63,'Misc. Data &amp; Mechanisms'!$A$63:$DY$152,HLOOKUP('Service Zone Menu'!$X$4&amp;"_ATCO-S_NG_Y_2",'Misc. Data &amp; Mechanisms'!$A$55:$DY$62,8,FALSE), FALSE)</f>
        <v>0</v>
      </c>
      <c r="V63" s="425">
        <f>IF(OR('Service Zone Menu'!$X$4="Calgary",AND('Service Zone Menu'!$X$4="Okotoks", $A63&lt;DATE(2019, 1, 1))),$T63*($H63+$G63+$J63),$T63*($H63+$J63-$AG63))</f>
        <v>5.5036055473683865</v>
      </c>
      <c r="W63" s="425">
        <f t="shared" si="27"/>
        <v>0</v>
      </c>
      <c r="X63" s="426"/>
      <c r="Y63" s="386"/>
      <c r="Z63" s="386">
        <v>3.9E-2</v>
      </c>
      <c r="AA63" s="386">
        <v>3.2000000000000001E-2</v>
      </c>
      <c r="AB63" s="386">
        <v>0.81399999999999995</v>
      </c>
      <c r="AC63" s="386">
        <v>0.26900000000000002</v>
      </c>
      <c r="AD63" s="386"/>
      <c r="AE63" s="386"/>
      <c r="AF63" s="386"/>
      <c r="AG63" s="492">
        <f t="shared" si="28"/>
        <v>0</v>
      </c>
      <c r="AH63" s="492">
        <f t="shared" si="29"/>
        <v>0</v>
      </c>
      <c r="AI63" s="425">
        <f t="shared" si="30"/>
        <v>1.3510210305898365</v>
      </c>
      <c r="AJ63" s="425">
        <f t="shared" si="31"/>
        <v>4.6047224656289645</v>
      </c>
      <c r="AK63" s="425">
        <f t="shared" si="32"/>
        <v>1.521708038395813</v>
      </c>
      <c r="AL63" s="425">
        <f t="shared" si="20"/>
        <v>0</v>
      </c>
      <c r="AM63" s="425">
        <f t="shared" si="21"/>
        <v>0</v>
      </c>
      <c r="AN63" s="425">
        <f t="shared" si="22"/>
        <v>0</v>
      </c>
      <c r="AO63" s="200">
        <f>IF($I$2="DRT",VLOOKUP(A63,'Misc. Data &amp; Mechanisms'!$A$1483:$H$1574,7,FALSE),BA63)</f>
        <v>0.249</v>
      </c>
      <c r="AP63" s="552">
        <f t="shared" si="23"/>
        <v>7.47</v>
      </c>
      <c r="AQ63" s="290"/>
      <c r="AR63" s="494">
        <f t="shared" si="24"/>
        <v>0</v>
      </c>
      <c r="AS63" s="495">
        <f>5%</f>
        <v>0.05</v>
      </c>
      <c r="AT63" s="341">
        <f>'Misc. Data &amp; Mechanisms'!AM336</f>
        <v>5.7291713961407496</v>
      </c>
      <c r="AU63" s="424">
        <f>'Misc. Data &amp; Mechanisms'!AQ336</f>
        <v>5.0796030530108007</v>
      </c>
      <c r="AV63" s="1087">
        <f>'Misc. Data &amp; Mechanisms'!Z336</f>
        <v>5.6569072059323897</v>
      </c>
      <c r="AW63" s="1087">
        <f>'Misc. Data &amp; Mechanisms'!AA336</f>
        <v>3.6129243297619817</v>
      </c>
      <c r="AX63" s="1460">
        <f>'Misc. Data &amp; Mechanisms'!$B$260</f>
        <v>10.198990303636064</v>
      </c>
      <c r="AY63" s="197">
        <f>IFERROR(IF('Personalized Bill Menu'!$B$30="Yes", IF('Personalized Bill Menu'!$B$34="Natural Gas",VLOOKUP($A63, 'Personalized Bill Menu'!$H$4:$L$93, 2, FALSE), IF('Personalized Bill Menu'!$B$34="Both",VLOOKUP($A63,'Personalized Bill Menu'!$H$4:$P$93, 6, FALSE), 0)), 0),0)</f>
        <v>0</v>
      </c>
      <c r="AZ63" s="1343">
        <f>IFERROR(IF('Personalized Bill Menu'!$C$37="Custom", IF('Personalized Bill Menu'!$B$34="Natural Gas",VLOOKUP($A63, 'Personalized Bill Menu'!$H$4:$L$93, 3, FALSE), IF('Personalized Bill Menu'!$B$34="Both",VLOOKUP($A63,'Personalized Bill Menu'!$H$4:$P$93, 7, FALSE), 0)), 0),0)</f>
        <v>0</v>
      </c>
      <c r="BA63" s="1344">
        <f>IFERROR(IF('Personalized Bill Menu'!$C$37="Custom", IF('Personalized Bill Menu'!$B$34="Natural Gas",VLOOKUP($A63, 'Personalized Bill Menu'!$H$4:$L$93, 4, FALSE), IF('Personalized Bill Menu'!$B$34="Both",VLOOKUP($A63,'Personalized Bill Menu'!$H$4:$P$93, 8, FALSE), 0)), 0),0)</f>
        <v>0</v>
      </c>
    </row>
    <row r="64" spans="1:56" s="469" customFormat="1" x14ac:dyDescent="0.35">
      <c r="A64" s="496">
        <v>42644</v>
      </c>
      <c r="B64" s="497">
        <f t="shared" si="9"/>
        <v>31</v>
      </c>
      <c r="C64" s="1581">
        <f t="shared" si="10"/>
        <v>12.778760927886029</v>
      </c>
      <c r="D64" s="66">
        <f t="shared" si="11"/>
        <v>8.3431798787068931</v>
      </c>
      <c r="E64" s="66">
        <f>(1+$AS64)*IF(OR('Service Zone Menu'!$X$4="Calgary",AND('Service Zone Menu'!$X$4="Okotoks", $A64&lt;DATE(2019, 1, 1))),((1+$T64)*($N64+$P64+($X64+$Y64+$AA64+$AB64+$AC64))) + ($U64*($P64+($X64+$Y64+$AA64+$AB64+$AC64))) + $AQ64, ((1+$T64)*($P64+($Y64+$AA64+$AB64+$AC64)))+ ($U64*($P64+($X64+$Y64+$AA64+$AB64+$AC64)))+$N64+$X64 + $AQ64)</f>
        <v>5.291947079999999</v>
      </c>
      <c r="F64" s="488">
        <f t="shared" si="12"/>
        <v>106.61550104834454</v>
      </c>
      <c r="G64" s="489">
        <f t="shared" si="13"/>
        <v>33.978725307248951</v>
      </c>
      <c r="H64" s="490">
        <f t="shared" si="0"/>
        <v>35.002415827049148</v>
      </c>
      <c r="I64" s="490">
        <f t="shared" si="14"/>
        <v>9.3811128581037924</v>
      </c>
      <c r="J64" s="490">
        <f t="shared" si="15"/>
        <v>15.457318434592924</v>
      </c>
      <c r="K64" s="490">
        <f t="shared" si="16"/>
        <v>7.7190000000000003</v>
      </c>
      <c r="L64" s="490">
        <f t="shared" si="17"/>
        <v>0</v>
      </c>
      <c r="M64" s="491">
        <f t="shared" si="18"/>
        <v>5.0769286213497402</v>
      </c>
      <c r="N64" s="273">
        <f>IF($I$2="DRT",VLOOKUP(A64,'Misc. Data &amp; Mechanisms'!$A$1381:$D$1471,3,FALSE),AZ64)</f>
        <v>2.6589999999999998</v>
      </c>
      <c r="O64" s="425">
        <f t="shared" si="19"/>
        <v>33.978725307248951</v>
      </c>
      <c r="P64" s="387">
        <v>0.76200000000000001</v>
      </c>
      <c r="Q64" s="278">
        <v>0.81499999999999995</v>
      </c>
      <c r="R64" s="425">
        <f t="shared" si="25"/>
        <v>9.7374158270491549</v>
      </c>
      <c r="S64" s="425">
        <f t="shared" si="26"/>
        <v>25.264999999999997</v>
      </c>
      <c r="T64" s="391">
        <f>VLOOKUP($A64,'Misc. Data &amp; Mechanisms'!$A$63:$DY$152,HLOOKUP('Service Zone Menu'!$X$4&amp;"_ATCO-S_NG_Y_1",'Misc. Data &amp; Mechanisms'!$A$55:$DY$62,8,FALSE), FALSE)</f>
        <v>0.1111</v>
      </c>
      <c r="U64" s="205">
        <f>VLOOKUP($A64,'Misc. Data &amp; Mechanisms'!$A$63:$DY$152,HLOOKUP('Service Zone Menu'!$X$4&amp;"_ATCO-S_NG_Y_2",'Misc. Data &amp; Mechanisms'!$A$55:$DY$62,8,FALSE), FALSE)</f>
        <v>0</v>
      </c>
      <c r="V64" s="425">
        <f>IF(OR('Service Zone Menu'!$X$4="Calgary",AND('Service Zone Menu'!$X$4="Okotoks", $A64&lt;DATE(2019, 1, 1))),$T64*($H64+$G64+$J64),$T64*($H64+$J64-$AG64))</f>
        <v>9.3811128581037924</v>
      </c>
      <c r="W64" s="425">
        <f t="shared" si="27"/>
        <v>0</v>
      </c>
      <c r="X64" s="426"/>
      <c r="Y64" s="386"/>
      <c r="Z64" s="386">
        <v>3.9E-2</v>
      </c>
      <c r="AA64" s="386">
        <v>3.2000000000000001E-2</v>
      </c>
      <c r="AB64" s="386">
        <v>0.81399999999999995</v>
      </c>
      <c r="AC64" s="386">
        <v>0.26900000000000002</v>
      </c>
      <c r="AD64" s="386"/>
      <c r="AE64" s="386"/>
      <c r="AF64" s="386"/>
      <c r="AG64" s="492">
        <f t="shared" si="28"/>
        <v>0</v>
      </c>
      <c r="AH64" s="492">
        <f t="shared" si="29"/>
        <v>0</v>
      </c>
      <c r="AI64" s="425">
        <f t="shared" si="30"/>
        <v>1.6179203496923531</v>
      </c>
      <c r="AJ64" s="425">
        <f t="shared" si="31"/>
        <v>10.401911395299228</v>
      </c>
      <c r="AK64" s="425">
        <f t="shared" si="32"/>
        <v>3.4374866896013421</v>
      </c>
      <c r="AL64" s="425">
        <f t="shared" si="20"/>
        <v>0</v>
      </c>
      <c r="AM64" s="425">
        <f t="shared" si="21"/>
        <v>0</v>
      </c>
      <c r="AN64" s="425">
        <f t="shared" si="22"/>
        <v>0</v>
      </c>
      <c r="AO64" s="200">
        <f>IF($I$2="DRT",VLOOKUP(A64,'Misc. Data &amp; Mechanisms'!$A$1483:$H$1574,7,FALSE),BA64)</f>
        <v>0.249</v>
      </c>
      <c r="AP64" s="552">
        <f t="shared" si="23"/>
        <v>7.7190000000000003</v>
      </c>
      <c r="AQ64" s="290"/>
      <c r="AR64" s="494">
        <f t="shared" si="24"/>
        <v>0</v>
      </c>
      <c r="AS64" s="495">
        <f>5%</f>
        <v>0.05</v>
      </c>
      <c r="AT64" s="341">
        <f>'Misc. Data &amp; Mechanisms'!AM337</f>
        <v>12.942003275109171</v>
      </c>
      <c r="AU64" s="424">
        <f>'Misc. Data &amp; Mechanisms'!AQ337</f>
        <v>12.142386952783736</v>
      </c>
      <c r="AV64" s="1087">
        <f>'Misc. Data &amp; Mechanisms'!Z337</f>
        <v>12.778760927886029</v>
      </c>
      <c r="AW64" s="1087">
        <f>'Misc. Data &amp; Mechanisms'!AA337</f>
        <v>8.1614731477571691</v>
      </c>
      <c r="AX64" s="1460">
        <f>'Misc. Data &amp; Mechanisms'!$B$260</f>
        <v>10.198990303636064</v>
      </c>
      <c r="AY64" s="197">
        <f>IFERROR(IF('Personalized Bill Menu'!$B$30="Yes", IF('Personalized Bill Menu'!$B$34="Natural Gas",VLOOKUP($A64, 'Personalized Bill Menu'!$H$4:$L$93, 2, FALSE), IF('Personalized Bill Menu'!$B$34="Both",VLOOKUP($A64,'Personalized Bill Menu'!$H$4:$P$93, 6, FALSE), 0)), 0),0)</f>
        <v>0</v>
      </c>
      <c r="AZ64" s="1343">
        <f>IFERROR(IF('Personalized Bill Menu'!$C$37="Custom", IF('Personalized Bill Menu'!$B$34="Natural Gas",VLOOKUP($A64, 'Personalized Bill Menu'!$H$4:$L$93, 3, FALSE), IF('Personalized Bill Menu'!$B$34="Both",VLOOKUP($A64,'Personalized Bill Menu'!$H$4:$P$93, 7, FALSE), 0)), 0),0)</f>
        <v>0</v>
      </c>
      <c r="BA64" s="1344">
        <f>IFERROR(IF('Personalized Bill Menu'!$C$37="Custom", IF('Personalized Bill Menu'!$B$34="Natural Gas",VLOOKUP($A64, 'Personalized Bill Menu'!$H$4:$L$93, 4, FALSE), IF('Personalized Bill Menu'!$B$34="Both",VLOOKUP($A64,'Personalized Bill Menu'!$H$4:$P$93, 8, FALSE), 0)), 0),0)</f>
        <v>0</v>
      </c>
    </row>
    <row r="65" spans="1:53" s="469" customFormat="1" x14ac:dyDescent="0.35">
      <c r="A65" s="496">
        <v>42675</v>
      </c>
      <c r="B65" s="497">
        <f t="shared" si="9"/>
        <v>30</v>
      </c>
      <c r="C65" s="1581">
        <f t="shared" si="10"/>
        <v>11.923103326329612</v>
      </c>
      <c r="D65" s="66">
        <f t="shared" si="11"/>
        <v>9.2079859841074185</v>
      </c>
      <c r="E65" s="66">
        <f>(1+$AS65)*IF(OR('Service Zone Menu'!$X$4="Calgary",AND('Service Zone Menu'!$X$4="Okotoks", $A65&lt;DATE(2019, 1, 1))),((1+$T65)*($N65+$P65+($X65+$Y65+$AA65+$AB65+$AC65))) + ($U65*($P65+($X65+$Y65+$AA65+$AB65+$AC65))) + $AQ65, ((1+$T65)*($P65+($Y65+$AA65+$AB65+$AC65)))+ ($U65*($P65+($X65+$Y65+$AA65+$AB65+$AC65)))+$N65+$X65 + $AQ65)</f>
        <v>6.0432728999999998</v>
      </c>
      <c r="F65" s="488">
        <f t="shared" si="12"/>
        <v>109.7877683159076</v>
      </c>
      <c r="G65" s="489">
        <f t="shared" si="13"/>
        <v>39.382010286866709</v>
      </c>
      <c r="H65" s="490">
        <f t="shared" si="0"/>
        <v>33.53540473466316</v>
      </c>
      <c r="I65" s="490">
        <f t="shared" si="14"/>
        <v>9.7081041180960401</v>
      </c>
      <c r="J65" s="490">
        <f t="shared" si="15"/>
        <v>14.464260208857517</v>
      </c>
      <c r="K65" s="490">
        <f t="shared" si="16"/>
        <v>7.47</v>
      </c>
      <c r="L65" s="490">
        <f t="shared" si="17"/>
        <v>0</v>
      </c>
      <c r="M65" s="491">
        <f t="shared" si="18"/>
        <v>5.2279889674241717</v>
      </c>
      <c r="N65" s="273">
        <f>IF($I$2="DRT",VLOOKUP(A65,'Misc. Data &amp; Mechanisms'!$A$1381:$D$1471,3,FALSE),AZ65)</f>
        <v>3.3029999999999999</v>
      </c>
      <c r="O65" s="425">
        <f t="shared" si="19"/>
        <v>39.382010286866709</v>
      </c>
      <c r="P65" s="387">
        <v>0.76200000000000001</v>
      </c>
      <c r="Q65" s="278">
        <v>0.81499999999999995</v>
      </c>
      <c r="R65" s="425">
        <f t="shared" si="25"/>
        <v>9.0854047346631646</v>
      </c>
      <c r="S65" s="425">
        <f t="shared" si="26"/>
        <v>24.45</v>
      </c>
      <c r="T65" s="391">
        <f>VLOOKUP($A65,'Misc. Data &amp; Mechanisms'!$A$63:$DY$152,HLOOKUP('Service Zone Menu'!$X$4&amp;"_ATCO-S_NG_Y_1",'Misc. Data &amp; Mechanisms'!$A$55:$DY$62,8,FALSE), FALSE)</f>
        <v>0.1111</v>
      </c>
      <c r="U65" s="205">
        <f>VLOOKUP($A65,'Misc. Data &amp; Mechanisms'!$A$63:$DY$152,HLOOKUP('Service Zone Menu'!$X$4&amp;"_ATCO-S_NG_Y_2",'Misc. Data &amp; Mechanisms'!$A$55:$DY$62,8,FALSE), FALSE)</f>
        <v>0</v>
      </c>
      <c r="V65" s="425">
        <f>IF(OR('Service Zone Menu'!$X$4="Calgary",AND('Service Zone Menu'!$X$4="Okotoks", $A65&lt;DATE(2019, 1, 1))),$T65*($H65+$G65+$J65),$T65*($H65+$J65-$AG65))</f>
        <v>9.7081041180960401</v>
      </c>
      <c r="W65" s="425">
        <f t="shared" si="27"/>
        <v>0</v>
      </c>
      <c r="X65" s="426"/>
      <c r="Y65" s="386"/>
      <c r="Z65" s="386">
        <v>3.9E-2</v>
      </c>
      <c r="AA65" s="386">
        <v>3.2000000000000001E-2</v>
      </c>
      <c r="AB65" s="386">
        <v>0.81399999999999995</v>
      </c>
      <c r="AC65" s="386">
        <v>0.26900000000000002</v>
      </c>
      <c r="AD65" s="386"/>
      <c r="AE65" s="386"/>
      <c r="AF65" s="386"/>
      <c r="AG65" s="492">
        <f t="shared" si="28"/>
        <v>0</v>
      </c>
      <c r="AH65" s="492">
        <f t="shared" si="29"/>
        <v>0</v>
      </c>
      <c r="AI65" s="425">
        <f t="shared" si="30"/>
        <v>1.5515393064425476</v>
      </c>
      <c r="AJ65" s="425">
        <f t="shared" si="31"/>
        <v>9.705406107632303</v>
      </c>
      <c r="AK65" s="425">
        <f t="shared" si="32"/>
        <v>3.2073147947826657</v>
      </c>
      <c r="AL65" s="425">
        <f t="shared" si="20"/>
        <v>0</v>
      </c>
      <c r="AM65" s="425">
        <f t="shared" si="21"/>
        <v>0</v>
      </c>
      <c r="AN65" s="425">
        <f t="shared" si="22"/>
        <v>0</v>
      </c>
      <c r="AO65" s="200">
        <f>IF($I$2="DRT",VLOOKUP(A65,'Misc. Data &amp; Mechanisms'!$A$1483:$H$1574,7,FALSE),BA65)</f>
        <v>0.249</v>
      </c>
      <c r="AP65" s="552">
        <f t="shared" si="23"/>
        <v>7.47</v>
      </c>
      <c r="AQ65" s="290"/>
      <c r="AR65" s="494">
        <f t="shared" si="24"/>
        <v>0</v>
      </c>
      <c r="AS65" s="495">
        <f>5%</f>
        <v>0.05</v>
      </c>
      <c r="AT65" s="341">
        <f>'Misc. Data &amp; Mechanisms'!AM338</f>
        <v>12.075415071119103</v>
      </c>
      <c r="AU65" s="424">
        <f>'Misc. Data &amp; Mechanisms'!AQ338</f>
        <v>12.273913126871175</v>
      </c>
      <c r="AV65" s="1087">
        <f>'Misc. Data &amp; Mechanisms'!Z338</f>
        <v>11.923103326329612</v>
      </c>
      <c r="AW65" s="1087">
        <f>'Misc. Data &amp; Mechanisms'!AA338</f>
        <v>7.6149861621889787</v>
      </c>
      <c r="AX65" s="1460">
        <f>'Misc. Data &amp; Mechanisms'!$B$260</f>
        <v>10.198990303636064</v>
      </c>
      <c r="AY65" s="197">
        <f>IFERROR(IF('Personalized Bill Menu'!$B$30="Yes", IF('Personalized Bill Menu'!$B$34="Natural Gas",VLOOKUP($A65, 'Personalized Bill Menu'!$H$4:$L$93, 2, FALSE), IF('Personalized Bill Menu'!$B$34="Both",VLOOKUP($A65,'Personalized Bill Menu'!$H$4:$P$93, 6, FALSE), 0)), 0),0)</f>
        <v>0</v>
      </c>
      <c r="AZ65" s="1343">
        <f>IFERROR(IF('Personalized Bill Menu'!$C$37="Custom", IF('Personalized Bill Menu'!$B$34="Natural Gas",VLOOKUP($A65, 'Personalized Bill Menu'!$H$4:$L$93, 3, FALSE), IF('Personalized Bill Menu'!$B$34="Both",VLOOKUP($A65,'Personalized Bill Menu'!$H$4:$P$93, 7, FALSE), 0)), 0),0)</f>
        <v>0</v>
      </c>
      <c r="BA65" s="1344">
        <f>IFERROR(IF('Personalized Bill Menu'!$C$37="Custom", IF('Personalized Bill Menu'!$B$34="Natural Gas",VLOOKUP($A65, 'Personalized Bill Menu'!$H$4:$L$93, 4, FALSE), IF('Personalized Bill Menu'!$B$34="Both",VLOOKUP($A65,'Personalized Bill Menu'!$H$4:$P$93, 8, FALSE), 0)), 0),0)</f>
        <v>0</v>
      </c>
    </row>
    <row r="66" spans="1:53" s="469" customFormat="1" x14ac:dyDescent="0.35">
      <c r="A66" s="508">
        <v>42705</v>
      </c>
      <c r="B66" s="509">
        <f t="shared" si="9"/>
        <v>31</v>
      </c>
      <c r="C66" s="231">
        <f t="shared" si="10"/>
        <v>22.975462335017482</v>
      </c>
      <c r="D66" s="344">
        <f t="shared" si="11"/>
        <v>6.8956849674854821</v>
      </c>
      <c r="E66" s="344">
        <f>(1+$AS66)*IF(OR('Service Zone Menu'!$X$4="Calgary",AND('Service Zone Menu'!$X$4="Okotoks", $A66&lt;DATE(2019, 1, 1))),((1+$T66)*($N66+$P66+($X66+$Y66+$AA66+$AB66+$AC66))) + ($U66*($P66+($X66+$Y66+$AA66+$AB66+$AC66))) + $AQ66, ((1+$T66)*($P66+($Y66+$AA66+$AB66+$AC66)))+ ($U66*($P66+($X66+$Y66+$AA66+$AB66+$AC66)))+$N66+$X66 + $AQ66)</f>
        <v>5.1986146800000004</v>
      </c>
      <c r="F66" s="510">
        <f t="shared" si="12"/>
        <v>158.43155024460896</v>
      </c>
      <c r="G66" s="511">
        <f t="shared" si="13"/>
        <v>59.253717362010093</v>
      </c>
      <c r="H66" s="512">
        <f t="shared" si="0"/>
        <v>42.772302299283318</v>
      </c>
      <c r="I66" s="512">
        <f t="shared" si="14"/>
        <v>14.315530544313493</v>
      </c>
      <c r="J66" s="512">
        <f t="shared" si="15"/>
        <v>26.826640503544489</v>
      </c>
      <c r="K66" s="512">
        <f t="shared" si="16"/>
        <v>7.7190000000000003</v>
      </c>
      <c r="L66" s="512">
        <f t="shared" si="17"/>
        <v>0</v>
      </c>
      <c r="M66" s="513">
        <f t="shared" si="18"/>
        <v>7.5443595354575699</v>
      </c>
      <c r="N66" s="1243">
        <f>IF($I$2="DRT",VLOOKUP(A66,'Misc. Data &amp; Mechanisms'!$A$1381:$D$1471,3,FALSE),AZ66)</f>
        <v>2.5790000000000002</v>
      </c>
      <c r="O66" s="440">
        <f t="shared" si="19"/>
        <v>59.253717362010093</v>
      </c>
      <c r="P66" s="438">
        <v>0.76200000000000001</v>
      </c>
      <c r="Q66" s="283">
        <v>0.81499999999999995</v>
      </c>
      <c r="R66" s="440">
        <f t="shared" si="25"/>
        <v>17.507302299283321</v>
      </c>
      <c r="S66" s="440">
        <f t="shared" si="26"/>
        <v>25.264999999999997</v>
      </c>
      <c r="T66" s="394">
        <f>VLOOKUP($A66,'Misc. Data &amp; Mechanisms'!$A$63:$DY$152,HLOOKUP('Service Zone Menu'!$X$4&amp;"_ATCO-S_NG_Y_1",'Misc. Data &amp; Mechanisms'!$A$55:$DY$62,8,FALSE), FALSE)</f>
        <v>0.1111</v>
      </c>
      <c r="U66" s="246">
        <f>VLOOKUP($A66,'Misc. Data &amp; Mechanisms'!$A$63:$DY$152,HLOOKUP('Service Zone Menu'!$X$4&amp;"_ATCO-S_NG_Y_2",'Misc. Data &amp; Mechanisms'!$A$55:$DY$62,8,FALSE), FALSE)</f>
        <v>0</v>
      </c>
      <c r="V66" s="440">
        <f>IF(OR('Service Zone Menu'!$X$4="Calgary",AND('Service Zone Menu'!$X$4="Okotoks", $A66&lt;DATE(2019, 1, 1))),$T66*($H66+$G66+$J66),$T66*($H66+$J66-$AG66))</f>
        <v>14.315530544313493</v>
      </c>
      <c r="W66" s="440">
        <f t="shared" si="27"/>
        <v>0</v>
      </c>
      <c r="X66" s="439"/>
      <c r="Y66" s="399"/>
      <c r="Z66" s="399">
        <v>3.9E-2</v>
      </c>
      <c r="AA66" s="399">
        <v>3.2000000000000001E-2</v>
      </c>
      <c r="AB66" s="399">
        <v>0.81399999999999995</v>
      </c>
      <c r="AC66" s="399">
        <v>0.26900000000000002</v>
      </c>
      <c r="AD66" s="399"/>
      <c r="AE66" s="399"/>
      <c r="AF66" s="399"/>
      <c r="AG66" s="514">
        <f t="shared" si="28"/>
        <v>0</v>
      </c>
      <c r="AH66" s="514">
        <f t="shared" si="29"/>
        <v>0</v>
      </c>
      <c r="AI66" s="440">
        <f t="shared" si="30"/>
        <v>1.9442147947205597</v>
      </c>
      <c r="AJ66" s="440">
        <f t="shared" si="31"/>
        <v>18.702026340704229</v>
      </c>
      <c r="AK66" s="440">
        <f t="shared" si="32"/>
        <v>6.1803993681197031</v>
      </c>
      <c r="AL66" s="440">
        <f t="shared" si="20"/>
        <v>0</v>
      </c>
      <c r="AM66" s="440">
        <f t="shared" si="21"/>
        <v>0</v>
      </c>
      <c r="AN66" s="440">
        <f t="shared" si="22"/>
        <v>0</v>
      </c>
      <c r="AO66" s="239">
        <f>IF($I$2="DRT",VLOOKUP(A66,'Misc. Data &amp; Mechanisms'!$A$1483:$H$1574,7,FALSE),BA66)</f>
        <v>0.249</v>
      </c>
      <c r="AP66" s="558">
        <f t="shared" si="23"/>
        <v>7.7190000000000003</v>
      </c>
      <c r="AQ66" s="292"/>
      <c r="AR66" s="516">
        <f t="shared" si="24"/>
        <v>0</v>
      </c>
      <c r="AS66" s="517">
        <f>5%</f>
        <v>0.05</v>
      </c>
      <c r="AT66" s="352">
        <f>'Misc. Data &amp; Mechanisms'!AM339</f>
        <v>23.268962496830557</v>
      </c>
      <c r="AU66" s="441">
        <f>'Misc. Data &amp; Mechanisms'!AQ339</f>
        <v>22.394201815157196</v>
      </c>
      <c r="AV66" s="1089">
        <f>'Misc. Data &amp; Mechanisms'!Z339</f>
        <v>22.975462335017482</v>
      </c>
      <c r="AW66" s="1089">
        <f>'Misc. Data &amp; Mechanisms'!AA339</f>
        <v>14.673849832760858</v>
      </c>
      <c r="AX66" s="1461">
        <f>'Misc. Data &amp; Mechanisms'!$B$260</f>
        <v>10.198990303636064</v>
      </c>
      <c r="AY66" s="243">
        <f>IFERROR(IF('Personalized Bill Menu'!$B$30="Yes", IF('Personalized Bill Menu'!$B$34="Natural Gas",VLOOKUP($A66, 'Personalized Bill Menu'!$H$4:$L$93, 2, FALSE), IF('Personalized Bill Menu'!$B$34="Both",VLOOKUP($A66,'Personalized Bill Menu'!$H$4:$P$93, 6, FALSE), 0)), 0),0)</f>
        <v>0</v>
      </c>
      <c r="AZ66" s="1345">
        <f>IFERROR(IF('Personalized Bill Menu'!$C$37="Custom", IF('Personalized Bill Menu'!$B$34="Natural Gas",VLOOKUP($A66, 'Personalized Bill Menu'!$H$4:$L$93, 3, FALSE), IF('Personalized Bill Menu'!$B$34="Both",VLOOKUP($A66,'Personalized Bill Menu'!$H$4:$P$93, 7, FALSE), 0)), 0),0)</f>
        <v>0</v>
      </c>
      <c r="BA66" s="1346">
        <f>IFERROR(IF('Personalized Bill Menu'!$C$37="Custom", IF('Personalized Bill Menu'!$B$34="Natural Gas",VLOOKUP($A66, 'Personalized Bill Menu'!$H$4:$L$93, 4, FALSE), IF('Personalized Bill Menu'!$B$34="Both",VLOOKUP($A66,'Personalized Bill Menu'!$H$4:$P$93, 8, FALSE), 0)), 0),0)</f>
        <v>0</v>
      </c>
    </row>
    <row r="67" spans="1:53" s="469" customFormat="1" x14ac:dyDescent="0.35">
      <c r="A67" s="498">
        <v>42736</v>
      </c>
      <c r="B67" s="499">
        <f t="shared" si="9"/>
        <v>31</v>
      </c>
      <c r="C67" s="212">
        <f t="shared" si="10"/>
        <v>20.208502726578462</v>
      </c>
      <c r="D67" s="353">
        <f t="shared" si="11"/>
        <v>9.5084389873474251</v>
      </c>
      <c r="E67" s="353">
        <f>(1+$AS67)*IF(OR('Service Zone Menu'!$X$4="Calgary",AND('Service Zone Menu'!$X$4="Okotoks", $A67&lt;DATE(2019, 1, 1))),((1+$T67)*($N67+$P67+($X67+$Y67+$AA67+$AB67+$AC67))) + ($U67*($P67+($X67+$Y67+$AA67+$AB67+$AC67))) + $AQ67, ((1+$T67)*($P67+($Y67+$AA67+$AB67+$AC67)))+ ($U67*($P67+($X67+$Y67+$AA67+$AB67+$AC67)))+$N67+$X67 + $AQ67)</f>
        <v>7.6344842700000006</v>
      </c>
      <c r="F67" s="500">
        <f t="shared" si="12"/>
        <v>192.15131520131538</v>
      </c>
      <c r="G67" s="501">
        <f t="shared" si="13"/>
        <v>75.680842711036348</v>
      </c>
      <c r="H67" s="502">
        <f t="shared" si="0"/>
        <v>41.801053197622238</v>
      </c>
      <c r="I67" s="502">
        <f t="shared" si="14"/>
        <v>15.483751954567436</v>
      </c>
      <c r="J67" s="502">
        <f t="shared" si="15"/>
        <v>21.885808452884476</v>
      </c>
      <c r="K67" s="502">
        <f t="shared" si="16"/>
        <v>7.7190000000000003</v>
      </c>
      <c r="L67" s="502">
        <f t="shared" si="17"/>
        <v>20.430796256570822</v>
      </c>
      <c r="M67" s="503">
        <f t="shared" si="18"/>
        <v>9.1500626286340658</v>
      </c>
      <c r="N67" s="273">
        <f>IF($I$2="DRT",VLOOKUP(A67,'Misc. Data &amp; Mechanisms'!$A$1381:$D$1471,3,FALSE),AZ67)</f>
        <v>3.7450000000000001</v>
      </c>
      <c r="O67" s="433">
        <f t="shared" si="19"/>
        <v>75.680842711036348</v>
      </c>
      <c r="P67" s="431">
        <v>0.80600000000000005</v>
      </c>
      <c r="Q67" s="288">
        <v>0.82299999999999995</v>
      </c>
      <c r="R67" s="433">
        <f t="shared" si="25"/>
        <v>16.28805319762224</v>
      </c>
      <c r="S67" s="433">
        <f t="shared" si="26"/>
        <v>25.512999999999998</v>
      </c>
      <c r="T67" s="391">
        <f>VLOOKUP($A67,'Misc. Data &amp; Mechanisms'!$A$63:$DY$152,HLOOKUP('Service Zone Menu'!$X$4&amp;"_ATCO-S_NG_Y_1",'Misc. Data &amp; Mechanisms'!$A$55:$DY$62,8,FALSE), FALSE)</f>
        <v>0.1111</v>
      </c>
      <c r="U67" s="205">
        <f>VLOOKUP($A67,'Misc. Data &amp; Mechanisms'!$A$63:$DY$152,HLOOKUP('Service Zone Menu'!$X$4&amp;"_ATCO-S_NG_Y_2",'Misc. Data &amp; Mechanisms'!$A$55:$DY$62,8,FALSE), FALSE)</f>
        <v>0</v>
      </c>
      <c r="V67" s="433">
        <f>IF(OR('Service Zone Menu'!$X$4="Calgary",AND('Service Zone Menu'!$X$4="Okotoks", $A67&lt;DATE(2019, 1, 1))),$T67*($H67+$G67+$J67),$T67*($H67+$J67-$AG67))</f>
        <v>15.483751954567436</v>
      </c>
      <c r="W67" s="433">
        <f t="shared" si="27"/>
        <v>0</v>
      </c>
      <c r="X67" s="432"/>
      <c r="Y67" s="397"/>
      <c r="Z67" s="397"/>
      <c r="AA67" s="397"/>
      <c r="AB67" s="397">
        <v>0.81399999999999995</v>
      </c>
      <c r="AC67" s="397">
        <v>0.26900000000000002</v>
      </c>
      <c r="AD67" s="397"/>
      <c r="AE67" s="397"/>
      <c r="AF67" s="397"/>
      <c r="AG67" s="504">
        <f t="shared" si="28"/>
        <v>0</v>
      </c>
      <c r="AH67" s="504">
        <f t="shared" si="29"/>
        <v>0</v>
      </c>
      <c r="AI67" s="433">
        <f t="shared" si="30"/>
        <v>0</v>
      </c>
      <c r="AJ67" s="433">
        <f t="shared" si="31"/>
        <v>16.449721219434867</v>
      </c>
      <c r="AK67" s="433">
        <f t="shared" si="32"/>
        <v>5.4360872334496069</v>
      </c>
      <c r="AL67" s="433">
        <f t="shared" si="20"/>
        <v>0</v>
      </c>
      <c r="AM67" s="433">
        <f t="shared" si="21"/>
        <v>0</v>
      </c>
      <c r="AN67" s="433">
        <f t="shared" si="22"/>
        <v>0</v>
      </c>
      <c r="AO67" s="200">
        <f>IF($I$2="DRT",VLOOKUP(A67,'Misc. Data &amp; Mechanisms'!$A$1483:$H$1574,7,FALSE),BA67)</f>
        <v>0.249</v>
      </c>
      <c r="AP67" s="555">
        <f t="shared" si="23"/>
        <v>7.7190000000000003</v>
      </c>
      <c r="AQ67" s="286">
        <v>1.0109999999999999</v>
      </c>
      <c r="AR67" s="506">
        <f t="shared" si="24"/>
        <v>20.430796256570822</v>
      </c>
      <c r="AS67" s="507">
        <f>5%</f>
        <v>0.05</v>
      </c>
      <c r="AT67" s="359">
        <f>'Misc. Data &amp; Mechanisms'!AM340</f>
        <v>20.466656348636846</v>
      </c>
      <c r="AU67" s="434">
        <f>'Misc. Data &amp; Mechanisms'!AQ340</f>
        <v>20.530448595642721</v>
      </c>
      <c r="AV67" s="1088">
        <f>'Misc. Data &amp; Mechanisms'!Z340</f>
        <v>20.208502726578462</v>
      </c>
      <c r="AW67" s="1088">
        <f>'Misc. Data &amp; Mechanisms'!AA340</f>
        <v>12.906662335268523</v>
      </c>
      <c r="AX67" s="1462">
        <f>'Misc. Data &amp; Mechanisms'!$B$260</f>
        <v>10.198990303636064</v>
      </c>
      <c r="AY67" s="197">
        <f>IFERROR(IF('Personalized Bill Menu'!$B$30="Yes", IF('Personalized Bill Menu'!$B$34="Natural Gas",VLOOKUP($A67, 'Personalized Bill Menu'!$H$4:$L$93, 2, FALSE), IF('Personalized Bill Menu'!$B$34="Both",VLOOKUP($A67,'Personalized Bill Menu'!$H$4:$P$93, 6, FALSE), 0)), 0),0)</f>
        <v>0</v>
      </c>
      <c r="AZ67" s="1343">
        <f>IFERROR(IF('Personalized Bill Menu'!$C$37="Custom", IF('Personalized Bill Menu'!$B$34="Natural Gas",VLOOKUP($A67, 'Personalized Bill Menu'!$H$4:$L$93, 3, FALSE), IF('Personalized Bill Menu'!$B$34="Both",VLOOKUP($A67,'Personalized Bill Menu'!$H$4:$P$93, 7, FALSE), 0)), 0),0)</f>
        <v>0</v>
      </c>
      <c r="BA67" s="1344">
        <f>IFERROR(IF('Personalized Bill Menu'!$C$37="Custom", IF('Personalized Bill Menu'!$B$34="Natural Gas",VLOOKUP($A67, 'Personalized Bill Menu'!$H$4:$L$93, 4, FALSE), IF('Personalized Bill Menu'!$B$34="Both",VLOOKUP($A67,'Personalized Bill Menu'!$H$4:$P$93, 8, FALSE), 0)), 0),0)</f>
        <v>0</v>
      </c>
    </row>
    <row r="68" spans="1:53" s="469" customFormat="1" x14ac:dyDescent="0.35">
      <c r="A68" s="496">
        <v>42767</v>
      </c>
      <c r="B68" s="497">
        <f t="shared" si="9"/>
        <v>28</v>
      </c>
      <c r="C68" s="1581">
        <f t="shared" si="10"/>
        <v>18.952457703042239</v>
      </c>
      <c r="D68" s="66">
        <f t="shared" si="11"/>
        <v>8.2276653746265414</v>
      </c>
      <c r="E68" s="66">
        <f>(1+$AS68)*IF(OR('Service Zone Menu'!$X$4="Calgary",AND('Service Zone Menu'!$X$4="Okotoks", $A68&lt;DATE(2019, 1, 1))),((1+$T68)*($N68+$P68+($X68+$Y68+$AA68+$AB68+$AC68))) + ($U68*($P68+($X68+$Y68+$AA68+$AB68+$AC68))) + $AQ68, ((1+$T68)*($P68+($Y68+$AA68+$AB68+$AC68)))+ ($U68*($P68+($X68+$Y68+$AA68+$AB68+$AC68)))+$N68+$X68 + $AQ68)</f>
        <v>6.3476638049999998</v>
      </c>
      <c r="F68" s="488">
        <f t="shared" si="12"/>
        <v>155.93448000739468</v>
      </c>
      <c r="G68" s="489">
        <f t="shared" si="13"/>
        <v>50.072393251437589</v>
      </c>
      <c r="H68" s="490">
        <f t="shared" si="0"/>
        <v>38.319680908652046</v>
      </c>
      <c r="I68" s="490">
        <f t="shared" si="14"/>
        <v>12.236507988211015</v>
      </c>
      <c r="J68" s="490">
        <f t="shared" si="15"/>
        <v>21.747511692394745</v>
      </c>
      <c r="K68" s="490">
        <f t="shared" si="16"/>
        <v>6.9719999999999995</v>
      </c>
      <c r="L68" s="490">
        <f t="shared" si="17"/>
        <v>19.160934737775701</v>
      </c>
      <c r="M68" s="491">
        <f t="shared" si="18"/>
        <v>7.425451428923556</v>
      </c>
      <c r="N68" s="273">
        <f>IF($I$2="DRT",VLOOKUP(A68,'Misc. Data &amp; Mechanisms'!$A$1381:$D$1471,3,FALSE),AZ68)</f>
        <v>2.6419999999999999</v>
      </c>
      <c r="O68" s="425">
        <f t="shared" si="19"/>
        <v>50.072393251437589</v>
      </c>
      <c r="P68" s="387">
        <v>0.80600000000000005</v>
      </c>
      <c r="Q68" s="278">
        <v>0.82299999999999995</v>
      </c>
      <c r="R68" s="425">
        <f t="shared" si="25"/>
        <v>15.275680908652046</v>
      </c>
      <c r="S68" s="425">
        <f t="shared" si="26"/>
        <v>23.043999999999997</v>
      </c>
      <c r="T68" s="391">
        <f>VLOOKUP($A68,'Misc. Data &amp; Mechanisms'!$A$63:$DY$152,HLOOKUP('Service Zone Menu'!$X$4&amp;"_ATCO-S_NG_Y_1",'Misc. Data &amp; Mechanisms'!$A$55:$DY$62,8,FALSE), FALSE)</f>
        <v>0.1111</v>
      </c>
      <c r="U68" s="205">
        <f>VLOOKUP($A68,'Misc. Data &amp; Mechanisms'!$A$63:$DY$152,HLOOKUP('Service Zone Menu'!$X$4&amp;"_ATCO-S_NG_Y_2",'Misc. Data &amp; Mechanisms'!$A$55:$DY$62,8,FALSE), FALSE)</f>
        <v>0</v>
      </c>
      <c r="V68" s="425">
        <f>IF(OR('Service Zone Menu'!$X$4="Calgary",AND('Service Zone Menu'!$X$4="Okotoks", $A68&lt;DATE(2019, 1, 1))),$T68*($H68+$G68+$J68),$T68*($H68+$J68-$AG68))</f>
        <v>12.236507988211015</v>
      </c>
      <c r="W68" s="425">
        <f t="shared" si="27"/>
        <v>0</v>
      </c>
      <c r="X68" s="426"/>
      <c r="Y68" s="386"/>
      <c r="Z68" s="386"/>
      <c r="AA68" s="386"/>
      <c r="AB68" s="386">
        <v>0.81399999999999995</v>
      </c>
      <c r="AC68" s="386">
        <v>0.26900000000000002</v>
      </c>
      <c r="AD68" s="386">
        <v>1.222</v>
      </c>
      <c r="AE68" s="386"/>
      <c r="AF68" s="386"/>
      <c r="AG68" s="492">
        <f t="shared" si="28"/>
        <v>0</v>
      </c>
      <c r="AH68" s="492">
        <f t="shared" si="29"/>
        <v>0</v>
      </c>
      <c r="AI68" s="425">
        <f t="shared" si="30"/>
        <v>0</v>
      </c>
      <c r="AJ68" s="425">
        <f t="shared" si="31"/>
        <v>15.427300570276381</v>
      </c>
      <c r="AK68" s="425">
        <f t="shared" si="32"/>
        <v>5.0982111221183626</v>
      </c>
      <c r="AL68" s="425">
        <f t="shared" si="20"/>
        <v>1.222</v>
      </c>
      <c r="AM68" s="425">
        <f t="shared" si="21"/>
        <v>0</v>
      </c>
      <c r="AN68" s="425">
        <f t="shared" si="22"/>
        <v>0</v>
      </c>
      <c r="AO68" s="200">
        <f>IF($I$2="DRT",VLOOKUP(A68,'Misc. Data &amp; Mechanisms'!$A$1483:$H$1574,7,FALSE),BA68)</f>
        <v>0.249</v>
      </c>
      <c r="AP68" s="552">
        <f t="shared" si="23"/>
        <v>6.9719999999999995</v>
      </c>
      <c r="AQ68" s="290">
        <v>1.0109999999999999</v>
      </c>
      <c r="AR68" s="494">
        <f t="shared" si="24"/>
        <v>19.160934737775701</v>
      </c>
      <c r="AS68" s="495">
        <f>5%</f>
        <v>0.05</v>
      </c>
      <c r="AT68" s="341">
        <f>'Misc. Data &amp; Mechanisms'!AM341</f>
        <v>19.194565971484799</v>
      </c>
      <c r="AU68" s="424">
        <f>'Misc. Data &amp; Mechanisms'!AQ341</f>
        <v>18.469031499429875</v>
      </c>
      <c r="AV68" s="1087">
        <f>'Misc. Data &amp; Mechanisms'!Z341</f>
        <v>18.952457703042239</v>
      </c>
      <c r="AW68" s="1087">
        <f>'Misc. Data &amp; Mechanisms'!AA341</f>
        <v>12.104457975251535</v>
      </c>
      <c r="AX68" s="1460">
        <f>'Misc. Data &amp; Mechanisms'!$B$260</f>
        <v>10.198990303636064</v>
      </c>
      <c r="AY68" s="197">
        <f>IFERROR(IF('Personalized Bill Menu'!$B$30="Yes", IF('Personalized Bill Menu'!$B$34="Natural Gas",VLOOKUP($A68, 'Personalized Bill Menu'!$H$4:$L$93, 2, FALSE), IF('Personalized Bill Menu'!$B$34="Both",VLOOKUP($A68,'Personalized Bill Menu'!$H$4:$P$93, 6, FALSE), 0)), 0),0)</f>
        <v>0</v>
      </c>
      <c r="AZ68" s="1343">
        <f>IFERROR(IF('Personalized Bill Menu'!$C$37="Custom", IF('Personalized Bill Menu'!$B$34="Natural Gas",VLOOKUP($A68, 'Personalized Bill Menu'!$H$4:$L$93, 3, FALSE), IF('Personalized Bill Menu'!$B$34="Both",VLOOKUP($A68,'Personalized Bill Menu'!$H$4:$P$93, 7, FALSE), 0)), 0),0)</f>
        <v>0</v>
      </c>
      <c r="BA68" s="1344">
        <f>IFERROR(IF('Personalized Bill Menu'!$C$37="Custom", IF('Personalized Bill Menu'!$B$34="Natural Gas",VLOOKUP($A68, 'Personalized Bill Menu'!$H$4:$L$93, 4, FALSE), IF('Personalized Bill Menu'!$B$34="Both",VLOOKUP($A68,'Personalized Bill Menu'!$H$4:$P$93, 8, FALSE), 0)), 0),0)</f>
        <v>0</v>
      </c>
    </row>
    <row r="69" spans="1:53" s="117" customFormat="1" x14ac:dyDescent="0.35">
      <c r="A69" s="496">
        <v>42795</v>
      </c>
      <c r="B69" s="497">
        <f t="shared" si="9"/>
        <v>31</v>
      </c>
      <c r="C69" s="1581">
        <f t="shared" si="10"/>
        <v>17.127877998710133</v>
      </c>
      <c r="D69" s="66">
        <f t="shared" si="11"/>
        <v>7.8375680695952843</v>
      </c>
      <c r="E69" s="66">
        <f>(1+$AS69)*IF(OR('Service Zone Menu'!$X$4="Calgary",AND('Service Zone Menu'!$X$4="Okotoks", $A69&lt;DATE(2019, 1, 1))),((1+$T69)*($N69+$P69+($X69+$Y69+$AA69+$AB69+$AC69))) + ($U69*($P69+($X69+$Y69+$AA69+$AB69+$AC69))) + $AQ69, ((1+$T69)*($P69+($Y69+$AA69+$AB69+$AC69)))+ ($U69*($P69+($X69+$Y69+$AA69+$AB69+$AC69)))+$N69+$X69 + $AQ69)</f>
        <v>5.5940046749999999</v>
      </c>
      <c r="F69" s="488">
        <f t="shared" si="12"/>
        <v>134.24090970261412</v>
      </c>
      <c r="G69" s="489">
        <f t="shared" si="13"/>
        <v>32.286050027568599</v>
      </c>
      <c r="H69" s="490">
        <f t="shared" si="0"/>
        <v>39.318069666960369</v>
      </c>
      <c r="I69" s="490">
        <f t="shared" si="14"/>
        <v>10.280394749376264</v>
      </c>
      <c r="J69" s="490">
        <f t="shared" si="15"/>
        <v>20.928686330459904</v>
      </c>
      <c r="K69" s="490">
        <f t="shared" si="16"/>
        <v>7.7190000000000003</v>
      </c>
      <c r="L69" s="490">
        <f t="shared" si="17"/>
        <v>17.316284656695942</v>
      </c>
      <c r="M69" s="491">
        <f t="shared" si="18"/>
        <v>6.3924242715530539</v>
      </c>
      <c r="N69" s="273">
        <f>IF($I$2="DRT",VLOOKUP(A69,'Misc. Data &amp; Mechanisms'!$A$1381:$D$1471,3,FALSE),AZ69)</f>
        <v>1.885</v>
      </c>
      <c r="O69" s="425">
        <f t="shared" si="19"/>
        <v>32.286050027568599</v>
      </c>
      <c r="P69" s="387">
        <v>0.80600000000000005</v>
      </c>
      <c r="Q69" s="278">
        <v>0.82299999999999995</v>
      </c>
      <c r="R69" s="425">
        <f t="shared" si="25"/>
        <v>13.805069666960367</v>
      </c>
      <c r="S69" s="425">
        <f t="shared" si="26"/>
        <v>25.512999999999998</v>
      </c>
      <c r="T69" s="391">
        <f>VLOOKUP($A69,'Misc. Data &amp; Mechanisms'!$A$63:$DY$152,HLOOKUP('Service Zone Menu'!$X$4&amp;"_ATCO-S_NG_Y_1",'Misc. Data &amp; Mechanisms'!$A$55:$DY$62,8,FALSE), FALSE)</f>
        <v>0.1111</v>
      </c>
      <c r="U69" s="205">
        <f>VLOOKUP($A69,'Misc. Data &amp; Mechanisms'!$A$63:$DY$152,HLOOKUP('Service Zone Menu'!$X$4&amp;"_ATCO-S_NG_Y_2",'Misc. Data &amp; Mechanisms'!$A$55:$DY$62,8,FALSE), FALSE)</f>
        <v>0</v>
      </c>
      <c r="V69" s="425">
        <f>IF(OR('Service Zone Menu'!$X$4="Calgary",AND('Service Zone Menu'!$X$4="Okotoks", $A69&lt;DATE(2019, 1, 1))),$T69*($H69+$G69+$J69),$T69*($H69+$J69-$AG69))</f>
        <v>10.280394749376264</v>
      </c>
      <c r="W69" s="425">
        <f t="shared" si="27"/>
        <v>0</v>
      </c>
      <c r="X69" s="426"/>
      <c r="Y69" s="386"/>
      <c r="Z69" s="386"/>
      <c r="AA69" s="386"/>
      <c r="AB69" s="386">
        <v>0.92500000000000004</v>
      </c>
      <c r="AC69" s="386">
        <v>0.26900000000000002</v>
      </c>
      <c r="AD69" s="386">
        <v>1.222</v>
      </c>
      <c r="AE69" s="386">
        <v>-2.4E-2</v>
      </c>
      <c r="AF69" s="386"/>
      <c r="AG69" s="492">
        <f t="shared" si="28"/>
        <v>0</v>
      </c>
      <c r="AH69" s="492">
        <f t="shared" si="29"/>
        <v>0</v>
      </c>
      <c r="AI69" s="425">
        <f t="shared" si="30"/>
        <v>0</v>
      </c>
      <c r="AJ69" s="425">
        <f t="shared" si="31"/>
        <v>15.843287148806874</v>
      </c>
      <c r="AK69" s="425">
        <f t="shared" si="32"/>
        <v>4.607399181653026</v>
      </c>
      <c r="AL69" s="425">
        <f t="shared" si="20"/>
        <v>1.222</v>
      </c>
      <c r="AM69" s="425">
        <f t="shared" si="21"/>
        <v>-0.74399999999999999</v>
      </c>
      <c r="AN69" s="425">
        <f t="shared" si="22"/>
        <v>0</v>
      </c>
      <c r="AO69" s="200">
        <f>IF($I$2="DRT",VLOOKUP(A69,'Misc. Data &amp; Mechanisms'!$A$1483:$H$1574,7,FALSE),BA69)</f>
        <v>0.249</v>
      </c>
      <c r="AP69" s="552">
        <f t="shared" si="23"/>
        <v>7.7190000000000003</v>
      </c>
      <c r="AQ69" s="290">
        <v>1.0109999999999999</v>
      </c>
      <c r="AR69" s="494">
        <f t="shared" si="24"/>
        <v>17.316284656695942</v>
      </c>
      <c r="AS69" s="495">
        <f>5%</f>
        <v>0.05</v>
      </c>
      <c r="AT69" s="341">
        <f>'Misc. Data &amp; Mechanisms'!AM342</f>
        <v>17.346678164331792</v>
      </c>
      <c r="AU69" s="424">
        <f>'Misc. Data &amp; Mechanisms'!AQ342</f>
        <v>17.975545163864641</v>
      </c>
      <c r="AV69" s="1087">
        <f>'Misc. Data &amp; Mechanisms'!Z342</f>
        <v>17.127877998710133</v>
      </c>
      <c r="AW69" s="1087">
        <f>'Misc. Data &amp; Mechanisms'!AA342</f>
        <v>10.939144816418329</v>
      </c>
      <c r="AX69" s="1460">
        <f>'Misc. Data &amp; Mechanisms'!$B$260</f>
        <v>10.198990303636064</v>
      </c>
      <c r="AY69" s="197">
        <f>IFERROR(IF('Personalized Bill Menu'!$B$30="Yes", IF('Personalized Bill Menu'!$B$34="Natural Gas",VLOOKUP($A69, 'Personalized Bill Menu'!$H$4:$L$93, 2, FALSE), IF('Personalized Bill Menu'!$B$34="Both",VLOOKUP($A69,'Personalized Bill Menu'!$H$4:$P$93, 6, FALSE), 0)), 0),0)</f>
        <v>0</v>
      </c>
      <c r="AZ69" s="1343">
        <f>IFERROR(IF('Personalized Bill Menu'!$C$37="Custom", IF('Personalized Bill Menu'!$B$34="Natural Gas",VLOOKUP($A69, 'Personalized Bill Menu'!$H$4:$L$93, 3, FALSE), IF('Personalized Bill Menu'!$B$34="Both",VLOOKUP($A69,'Personalized Bill Menu'!$H$4:$P$93, 7, FALSE), 0)), 0),0)</f>
        <v>0</v>
      </c>
      <c r="BA69" s="1344">
        <f>IFERROR(IF('Personalized Bill Menu'!$C$37="Custom", IF('Personalized Bill Menu'!$B$34="Natural Gas",VLOOKUP($A69, 'Personalized Bill Menu'!$H$4:$L$93, 4, FALSE), IF('Personalized Bill Menu'!$B$34="Both",VLOOKUP($A69,'Personalized Bill Menu'!$H$4:$P$93, 8, FALSE), 0)), 0),0)</f>
        <v>0</v>
      </c>
    </row>
    <row r="70" spans="1:53" s="117" customFormat="1" x14ac:dyDescent="0.35">
      <c r="A70" s="496">
        <v>42826</v>
      </c>
      <c r="B70" s="497">
        <f t="shared" si="9"/>
        <v>30</v>
      </c>
      <c r="C70" s="1581">
        <f t="shared" si="10"/>
        <v>10.428180232781104</v>
      </c>
      <c r="D70" s="66">
        <f t="shared" si="11"/>
        <v>9.6101721820752175</v>
      </c>
      <c r="E70" s="66">
        <f>(1+$AS70)*IF(OR('Service Zone Menu'!$X$4="Calgary",AND('Service Zone Menu'!$X$4="Okotoks", $A70&lt;DATE(2019, 1, 1))),((1+$T70)*($N70+$P70+($X70+$Y70+$AA70+$AB70+$AC70))) + ($U70*($P70+($X70+$Y70+$AA70+$AB70+$AC70))) + $AQ70, ((1+$T70)*($P70+($Y70+$AA70+$AB70+$AC70)))+ ($U70*($P70+($X70+$Y70+$AA70+$AB70+$AC70)))+$N70+$X70 + $AQ70)</f>
        <v>6.039666884999999</v>
      </c>
      <c r="F70" s="488">
        <f t="shared" si="12"/>
        <v>100.21660758273963</v>
      </c>
      <c r="G70" s="489">
        <f t="shared" si="13"/>
        <v>23.640684587714762</v>
      </c>
      <c r="H70" s="490">
        <f t="shared" si="0"/>
        <v>33.095113267621571</v>
      </c>
      <c r="I70" s="490">
        <f t="shared" si="14"/>
        <v>7.7424529054190714</v>
      </c>
      <c r="J70" s="490">
        <f t="shared" si="15"/>
        <v>12.953247197940637</v>
      </c>
      <c r="K70" s="490">
        <f t="shared" si="16"/>
        <v>7.47</v>
      </c>
      <c r="L70" s="490">
        <f t="shared" si="17"/>
        <v>10.542890215341695</v>
      </c>
      <c r="M70" s="491">
        <f t="shared" si="18"/>
        <v>4.7722194087018872</v>
      </c>
      <c r="N70" s="273">
        <f>IF($I$2="DRT",VLOOKUP(A70,'Misc. Data &amp; Mechanisms'!$A$1381:$D$1471,3,FALSE),AZ70)</f>
        <v>2.2669999999999999</v>
      </c>
      <c r="O70" s="425">
        <f t="shared" si="19"/>
        <v>23.640684587714762</v>
      </c>
      <c r="P70" s="387">
        <v>0.80600000000000005</v>
      </c>
      <c r="Q70" s="278">
        <v>0.82299999999999995</v>
      </c>
      <c r="R70" s="425">
        <f t="shared" si="25"/>
        <v>8.4051132676215712</v>
      </c>
      <c r="S70" s="425">
        <f t="shared" si="26"/>
        <v>24.689999999999998</v>
      </c>
      <c r="T70" s="391">
        <f>VLOOKUP($A70,'Misc. Data &amp; Mechanisms'!$A$63:$DY$152,HLOOKUP('Service Zone Menu'!$X$4&amp;"_ATCO-S_NG_Y_1",'Misc. Data &amp; Mechanisms'!$A$55:$DY$62,8,FALSE), FALSE)</f>
        <v>0.1111</v>
      </c>
      <c r="U70" s="205">
        <f>VLOOKUP($A70,'Misc. Data &amp; Mechanisms'!$A$63:$DY$152,HLOOKUP('Service Zone Menu'!$X$4&amp;"_ATCO-S_NG_Y_2",'Misc. Data &amp; Mechanisms'!$A$55:$DY$62,8,FALSE), FALSE)</f>
        <v>0</v>
      </c>
      <c r="V70" s="425">
        <f>IF(OR('Service Zone Menu'!$X$4="Calgary",AND('Service Zone Menu'!$X$4="Okotoks", $A70&lt;DATE(2019, 1, 1))),$T70*($H70+$G70+$J70),$T70*($H70+$J70-$AG70))</f>
        <v>7.7424529054190714</v>
      </c>
      <c r="W70" s="425">
        <f t="shared" si="27"/>
        <v>0</v>
      </c>
      <c r="X70" s="426"/>
      <c r="Y70" s="386"/>
      <c r="Z70" s="386"/>
      <c r="AA70" s="386"/>
      <c r="AB70" s="386">
        <v>0.92500000000000004</v>
      </c>
      <c r="AC70" s="386">
        <v>0.26900000000000002</v>
      </c>
      <c r="AD70" s="386">
        <v>1.222</v>
      </c>
      <c r="AE70" s="386">
        <v>-2.4E-2</v>
      </c>
      <c r="AF70" s="386"/>
      <c r="AG70" s="492">
        <f t="shared" si="28"/>
        <v>0</v>
      </c>
      <c r="AH70" s="492">
        <f t="shared" si="29"/>
        <v>0</v>
      </c>
      <c r="AI70" s="425">
        <f t="shared" si="30"/>
        <v>0</v>
      </c>
      <c r="AJ70" s="425">
        <f t="shared" si="31"/>
        <v>9.6460667153225224</v>
      </c>
      <c r="AK70" s="425">
        <f t="shared" si="32"/>
        <v>2.805180482618117</v>
      </c>
      <c r="AL70" s="425">
        <f t="shared" si="20"/>
        <v>1.222</v>
      </c>
      <c r="AM70" s="425">
        <f t="shared" si="21"/>
        <v>-0.72</v>
      </c>
      <c r="AN70" s="425">
        <f t="shared" si="22"/>
        <v>0</v>
      </c>
      <c r="AO70" s="200">
        <f>IF($I$2="DRT",VLOOKUP(A70,'Misc. Data &amp; Mechanisms'!$A$1483:$H$1574,7,FALSE),BA70)</f>
        <v>0.249</v>
      </c>
      <c r="AP70" s="552">
        <f t="shared" si="23"/>
        <v>7.47</v>
      </c>
      <c r="AQ70" s="290">
        <v>1.0109999999999999</v>
      </c>
      <c r="AR70" s="494">
        <f t="shared" si="24"/>
        <v>10.542890215341695</v>
      </c>
      <c r="AS70" s="495">
        <f>5%</f>
        <v>0.05</v>
      </c>
      <c r="AT70" s="341">
        <f>'Misc. Data &amp; Mechanisms'!AM343</f>
        <v>10.561395074820313</v>
      </c>
      <c r="AU70" s="424">
        <f>'Misc. Data &amp; Mechanisms'!AQ343</f>
        <v>10.662365274353636</v>
      </c>
      <c r="AV70" s="1087">
        <f>'Misc. Data &amp; Mechanisms'!Z343</f>
        <v>10.428180232781104</v>
      </c>
      <c r="AW70" s="1087">
        <f>'Misc. Data &amp; Mechanisms'!AA343</f>
        <v>6.6602163879666989</v>
      </c>
      <c r="AX70" s="1460">
        <f>'Misc. Data &amp; Mechanisms'!$B$260</f>
        <v>10.198990303636064</v>
      </c>
      <c r="AY70" s="197">
        <f>IFERROR(IF('Personalized Bill Menu'!$B$30="Yes", IF('Personalized Bill Menu'!$B$34="Natural Gas",VLOOKUP($A70, 'Personalized Bill Menu'!$H$4:$L$93, 2, FALSE), IF('Personalized Bill Menu'!$B$34="Both",VLOOKUP($A70,'Personalized Bill Menu'!$H$4:$P$93, 6, FALSE), 0)), 0),0)</f>
        <v>0</v>
      </c>
      <c r="AZ70" s="1343">
        <f>IFERROR(IF('Personalized Bill Menu'!$C$37="Custom", IF('Personalized Bill Menu'!$B$34="Natural Gas",VLOOKUP($A70, 'Personalized Bill Menu'!$H$4:$L$93, 3, FALSE), IF('Personalized Bill Menu'!$B$34="Both",VLOOKUP($A70,'Personalized Bill Menu'!$H$4:$P$93, 7, FALSE), 0)), 0),0)</f>
        <v>0</v>
      </c>
      <c r="BA70" s="1344">
        <f>IFERROR(IF('Personalized Bill Menu'!$C$37="Custom", IF('Personalized Bill Menu'!$B$34="Natural Gas",VLOOKUP($A70, 'Personalized Bill Menu'!$H$4:$L$93, 4, FALSE), IF('Personalized Bill Menu'!$B$34="Both",VLOOKUP($A70,'Personalized Bill Menu'!$H$4:$P$93, 8, FALSE), 0)), 0),0)</f>
        <v>0</v>
      </c>
    </row>
    <row r="71" spans="1:53" s="117" customFormat="1" x14ac:dyDescent="0.35">
      <c r="A71" s="496">
        <v>42856</v>
      </c>
      <c r="B71" s="497">
        <f t="shared" si="9"/>
        <v>31</v>
      </c>
      <c r="C71" s="1581">
        <f t="shared" si="10"/>
        <v>5.1525323465352963</v>
      </c>
      <c r="D71" s="66">
        <f t="shared" si="11"/>
        <v>12.816319766301515</v>
      </c>
      <c r="E71" s="66">
        <f>(1+$AS71)*IF(OR('Service Zone Menu'!$X$4="Calgary",AND('Service Zone Menu'!$X$4="Okotoks", $A71&lt;DATE(2019, 1, 1))),((1+$T71)*($N71+$P71+($X71+$Y71+$AA71+$AB71+$AC71))) + ($U71*($P71+($X71+$Y71+$AA71+$AB71+$AC71))) + $AQ71, ((1+$T71)*($P71+($Y71+$AA71+$AB71+$AC71)))+ ($U71*($P71+($X71+$Y71+$AA71+$AB71+$AC71)))+$N71+$X71 + $AQ71)</f>
        <v>5.3583403650000001</v>
      </c>
      <c r="F71" s="488">
        <f t="shared" si="12"/>
        <v>66.036502159408244</v>
      </c>
      <c r="G71" s="489">
        <f t="shared" si="13"/>
        <v>10.057743140436898</v>
      </c>
      <c r="H71" s="490">
        <f t="shared" ref="H71:H96" si="33">SUM($R71:$S71)</f>
        <v>29.665941071307447</v>
      </c>
      <c r="I71" s="490">
        <f t="shared" si="14"/>
        <v>4.9959199838473625</v>
      </c>
      <c r="J71" s="490">
        <f t="shared" si="15"/>
        <v>5.2440924205451491</v>
      </c>
      <c r="K71" s="490">
        <f t="shared" si="16"/>
        <v>7.7190000000000003</v>
      </c>
      <c r="L71" s="490">
        <f t="shared" si="17"/>
        <v>5.209210202347184</v>
      </c>
      <c r="M71" s="491">
        <f t="shared" si="18"/>
        <v>3.1445953409242025</v>
      </c>
      <c r="N71" s="273">
        <f>IF($I$2="DRT",VLOOKUP(A71,'Misc. Data &amp; Mechanisms'!$A$1381:$D$1471,3,FALSE),AZ71)</f>
        <v>1.952</v>
      </c>
      <c r="O71" s="425">
        <f t="shared" si="19"/>
        <v>10.057743140436898</v>
      </c>
      <c r="P71" s="387">
        <v>0.80600000000000005</v>
      </c>
      <c r="Q71" s="278">
        <v>0.82299999999999995</v>
      </c>
      <c r="R71" s="425">
        <f t="shared" si="25"/>
        <v>4.1529410713074491</v>
      </c>
      <c r="S71" s="425">
        <f t="shared" si="26"/>
        <v>25.512999999999998</v>
      </c>
      <c r="T71" s="391">
        <f>VLOOKUP($A71,'Misc. Data &amp; Mechanisms'!$A$63:$DY$152,HLOOKUP('Service Zone Menu'!$X$4&amp;"_ATCO-S_NG_Y_1",'Misc. Data &amp; Mechanisms'!$A$55:$DY$62,8,FALSE), FALSE)</f>
        <v>0.1111</v>
      </c>
      <c r="U71" s="205">
        <f>VLOOKUP($A71,'Misc. Data &amp; Mechanisms'!$A$63:$DY$152,HLOOKUP('Service Zone Menu'!$X$4&amp;"_ATCO-S_NG_Y_2",'Misc. Data &amp; Mechanisms'!$A$55:$DY$62,8,FALSE), FALSE)</f>
        <v>0</v>
      </c>
      <c r="V71" s="425">
        <f>IF(OR('Service Zone Menu'!$X$4="Calgary",AND('Service Zone Menu'!$X$4="Okotoks", $A71&lt;DATE(2019, 1, 1))),$T71*($H71+$G71+$J71),$T71*($H71+$J71-$AG71))</f>
        <v>4.9959199838473625</v>
      </c>
      <c r="W71" s="425">
        <f t="shared" si="27"/>
        <v>0</v>
      </c>
      <c r="X71" s="426"/>
      <c r="Y71" s="386"/>
      <c r="Z71" s="386"/>
      <c r="AA71" s="386"/>
      <c r="AB71" s="386">
        <v>0.92500000000000004</v>
      </c>
      <c r="AC71" s="386"/>
      <c r="AD71" s="386">
        <v>1.222</v>
      </c>
      <c r="AE71" s="386">
        <v>-2.4E-2</v>
      </c>
      <c r="AF71" s="386"/>
      <c r="AG71" s="492">
        <f t="shared" si="28"/>
        <v>0</v>
      </c>
      <c r="AH71" s="492">
        <f t="shared" si="29"/>
        <v>0</v>
      </c>
      <c r="AI71" s="425">
        <f t="shared" si="30"/>
        <v>0</v>
      </c>
      <c r="AJ71" s="425">
        <f t="shared" si="31"/>
        <v>4.7660924205451494</v>
      </c>
      <c r="AK71" s="425">
        <f t="shared" si="32"/>
        <v>0</v>
      </c>
      <c r="AL71" s="425">
        <f t="shared" si="20"/>
        <v>1.222</v>
      </c>
      <c r="AM71" s="425">
        <f t="shared" si="21"/>
        <v>-0.74399999999999999</v>
      </c>
      <c r="AN71" s="425">
        <f t="shared" si="22"/>
        <v>0</v>
      </c>
      <c r="AO71" s="200">
        <f>IF($I$2="DRT",VLOOKUP(A71,'Misc. Data &amp; Mechanisms'!$A$1483:$H$1574,7,FALSE),BA71)</f>
        <v>0.249</v>
      </c>
      <c r="AP71" s="552">
        <f t="shared" si="23"/>
        <v>7.7190000000000003</v>
      </c>
      <c r="AQ71" s="290">
        <v>1.0109999999999999</v>
      </c>
      <c r="AR71" s="494">
        <f t="shared" si="24"/>
        <v>5.209210202347184</v>
      </c>
      <c r="AS71" s="495">
        <f>5%</f>
        <v>0.05</v>
      </c>
      <c r="AT71" s="341">
        <f>'Misc. Data &amp; Mechanisms'!AM344</f>
        <v>5.2183533975071548</v>
      </c>
      <c r="AU71" s="424">
        <f>'Misc. Data &amp; Mechanisms'!AQ344</f>
        <v>4.7148114649840602</v>
      </c>
      <c r="AV71" s="1087">
        <f>'Misc. Data &amp; Mechanisms'!Z344</f>
        <v>5.1525323465352963</v>
      </c>
      <c r="AW71" s="1087">
        <f>'Misc. Data &amp; Mechanisms'!AA344</f>
        <v>3.2907927948969533</v>
      </c>
      <c r="AX71" s="1460">
        <f>'Misc. Data &amp; Mechanisms'!$B$260</f>
        <v>10.198990303636064</v>
      </c>
      <c r="AY71" s="197">
        <f>IFERROR(IF('Personalized Bill Menu'!$B$30="Yes", IF('Personalized Bill Menu'!$B$34="Natural Gas",VLOOKUP($A71, 'Personalized Bill Menu'!$H$4:$L$93, 2, FALSE), IF('Personalized Bill Menu'!$B$34="Both",VLOOKUP($A71,'Personalized Bill Menu'!$H$4:$P$93, 6, FALSE), 0)), 0),0)</f>
        <v>0</v>
      </c>
      <c r="AZ71" s="1343">
        <f>IFERROR(IF('Personalized Bill Menu'!$C$37="Custom", IF('Personalized Bill Menu'!$B$34="Natural Gas",VLOOKUP($A71, 'Personalized Bill Menu'!$H$4:$L$93, 3, FALSE), IF('Personalized Bill Menu'!$B$34="Both",VLOOKUP($A71,'Personalized Bill Menu'!$H$4:$P$93, 7, FALSE), 0)), 0),0)</f>
        <v>0</v>
      </c>
      <c r="BA71" s="1344">
        <f>IFERROR(IF('Personalized Bill Menu'!$C$37="Custom", IF('Personalized Bill Menu'!$B$34="Natural Gas",VLOOKUP($A71, 'Personalized Bill Menu'!$H$4:$L$93, 4, FALSE), IF('Personalized Bill Menu'!$B$34="Both",VLOOKUP($A71,'Personalized Bill Menu'!$H$4:$P$93, 8, FALSE), 0)), 0),0)</f>
        <v>0</v>
      </c>
    </row>
    <row r="72" spans="1:53" s="117" customFormat="1" x14ac:dyDescent="0.35">
      <c r="A72" s="496">
        <v>42887</v>
      </c>
      <c r="B72" s="497">
        <f t="shared" ref="B72:B96" si="34">DAY(DATE(YEAR($A72),MONTH($A72)+1,1)-1)</f>
        <v>30</v>
      </c>
      <c r="C72" s="1581">
        <f t="shared" ref="C72:C93" si="35">IFERROR(VLOOKUP($A72,$A$5:$AY$96,MATCH($I$1,$A$5:$AY$5,0),FALSE),0)</f>
        <v>3.0371525091241911</v>
      </c>
      <c r="D72" s="66">
        <f t="shared" ref="D72:D96" si="36">IFERROR($F72/$C72, "")</f>
        <v>16.781316322800251</v>
      </c>
      <c r="E72" s="66">
        <f>(1+$AS72)*IF(OR('Service Zone Menu'!$X$4="Calgary",AND('Service Zone Menu'!$X$4="Okotoks", $A72&lt;DATE(2019, 1, 1))),((1+$T72)*($N72+$P72+($X72+$Y72+$AA72+$AB72+$AC72))) + ($U72*($P72+($X72+$Y72+$AA72+$AB72+$AC72))) + $AQ72, ((1+$T72)*($P72+($Y72+$AA72+$AB72+$AC72)))+ ($U72*($P72+($X72+$Y72+$AA72+$AB72+$AC72)))+$N72+$X72 + $AQ72)</f>
        <v>4.5218487300000003</v>
      </c>
      <c r="F72" s="488">
        <f t="shared" ref="F72:F92" si="37">SUM($G72:$M72)</f>
        <v>50.967416976199523</v>
      </c>
      <c r="G72" s="489">
        <f t="shared" ref="G72:G96" si="38">SUM($O72)</f>
        <v>3.7508833487683764</v>
      </c>
      <c r="H72" s="490">
        <f t="shared" si="33"/>
        <v>27.137944922354095</v>
      </c>
      <c r="I72" s="490">
        <f t="shared" ref="I72:I96" si="39">SUM($V72:$W72)</f>
        <v>3.7996415914031267</v>
      </c>
      <c r="J72" s="490">
        <f t="shared" ref="J72:J92" si="40">SUM($AG72:$AN72)</f>
        <v>3.3113660709398767</v>
      </c>
      <c r="K72" s="490">
        <f t="shared" ref="K72:K96" si="41">SUM($AP72)</f>
        <v>7.47</v>
      </c>
      <c r="L72" s="490">
        <f t="shared" ref="L72:L81" si="42">AR72</f>
        <v>3.0705611867245568</v>
      </c>
      <c r="M72" s="491">
        <f t="shared" ref="M72:M96" si="43">SUM($AS72)*SUM($G72:$L72)</f>
        <v>2.4270198560095011</v>
      </c>
      <c r="N72" s="273">
        <f>IF($I$2="DRT",VLOOKUP(A72,'Misc. Data &amp; Mechanisms'!$A$1381:$D$1471,3,FALSE),AZ72)</f>
        <v>1.2350000000000001</v>
      </c>
      <c r="O72" s="425">
        <f t="shared" ref="O72:O96" si="44">$N72*$C72</f>
        <v>3.7508833487683764</v>
      </c>
      <c r="P72" s="387">
        <v>0.80600000000000005</v>
      </c>
      <c r="Q72" s="278">
        <v>0.82299999999999995</v>
      </c>
      <c r="R72" s="425">
        <f t="shared" si="25"/>
        <v>2.4479449223540981</v>
      </c>
      <c r="S72" s="425">
        <f t="shared" si="26"/>
        <v>24.689999999999998</v>
      </c>
      <c r="T72" s="391">
        <f>VLOOKUP($A72,'Misc. Data &amp; Mechanisms'!$A$63:$DY$152,HLOOKUP('Service Zone Menu'!$X$4&amp;"_ATCO-S_NG_Y_1",'Misc. Data &amp; Mechanisms'!$A$55:$DY$62,8,FALSE), FALSE)</f>
        <v>0.1111</v>
      </c>
      <c r="U72" s="205">
        <f>VLOOKUP($A72,'Misc. Data &amp; Mechanisms'!$A$63:$DY$152,HLOOKUP('Service Zone Menu'!$X$4&amp;"_ATCO-S_NG_Y_2",'Misc. Data &amp; Mechanisms'!$A$55:$DY$62,8,FALSE), FALSE)</f>
        <v>0</v>
      </c>
      <c r="V72" s="425">
        <f>IF(OR('Service Zone Menu'!$X$4="Calgary",AND('Service Zone Menu'!$X$4="Okotoks", $A72&lt;DATE(2019, 1, 1))),$T72*($H72+$G72+$J72),$T72*($H72+$J72-$AG72))</f>
        <v>3.7996415914031267</v>
      </c>
      <c r="W72" s="425">
        <f t="shared" si="27"/>
        <v>0</v>
      </c>
      <c r="X72" s="426"/>
      <c r="Y72" s="386"/>
      <c r="Z72" s="386"/>
      <c r="AA72" s="386"/>
      <c r="AB72" s="386">
        <v>0.92500000000000004</v>
      </c>
      <c r="AC72" s="386"/>
      <c r="AD72" s="386">
        <v>1.222</v>
      </c>
      <c r="AE72" s="386">
        <v>-2.4E-2</v>
      </c>
      <c r="AF72" s="386"/>
      <c r="AG72" s="492">
        <f t="shared" si="28"/>
        <v>0</v>
      </c>
      <c r="AH72" s="492">
        <f t="shared" si="29"/>
        <v>0</v>
      </c>
      <c r="AI72" s="425">
        <f t="shared" si="30"/>
        <v>0</v>
      </c>
      <c r="AJ72" s="425">
        <f t="shared" si="31"/>
        <v>2.8093660709398769</v>
      </c>
      <c r="AK72" s="425">
        <f t="shared" si="32"/>
        <v>0</v>
      </c>
      <c r="AL72" s="425">
        <f t="shared" ref="AL72:AL81" si="45">AD72</f>
        <v>1.222</v>
      </c>
      <c r="AM72" s="425">
        <f t="shared" ref="AM72:AM81" si="46">AE72*B72</f>
        <v>-0.72</v>
      </c>
      <c r="AN72" s="425">
        <f t="shared" ref="AN72:AN92" si="47">AF72*B72</f>
        <v>0</v>
      </c>
      <c r="AO72" s="200">
        <f>IF($I$2="DRT",VLOOKUP(A72,'Misc. Data &amp; Mechanisms'!$A$1483:$H$1574,7,FALSE),BA72)</f>
        <v>0.249</v>
      </c>
      <c r="AP72" s="552">
        <f t="shared" ref="AP72:AP96" si="48">IF($AO$6="$/day", $AO72*$B72, $AO72)</f>
        <v>7.47</v>
      </c>
      <c r="AQ72" s="290">
        <v>1.0109999999999999</v>
      </c>
      <c r="AR72" s="494">
        <f t="shared" ref="AR72:AR84" si="49">AQ72*C72</f>
        <v>3.0705611867245568</v>
      </c>
      <c r="AS72" s="495">
        <f>5%</f>
        <v>0.05</v>
      </c>
      <c r="AT72" s="341">
        <f>'Misc. Data &amp; Mechanisms'!AM345</f>
        <v>3.0759506294788932</v>
      </c>
      <c r="AU72" s="424">
        <f>'Misc. Data &amp; Mechanisms'!AQ345</f>
        <v>2.9399826368689084</v>
      </c>
      <c r="AV72" s="1087">
        <f>'Misc. Data &amp; Mechanisms'!Z345</f>
        <v>3.0371525091241911</v>
      </c>
      <c r="AW72" s="1087">
        <f>'Misc. Data &amp; Mechanisms'!AA345</f>
        <v>1.9397529063063061</v>
      </c>
      <c r="AX72" s="1460">
        <f>'Misc. Data &amp; Mechanisms'!$B$260</f>
        <v>10.198990303636064</v>
      </c>
      <c r="AY72" s="197">
        <f>IFERROR(IF('Personalized Bill Menu'!$B$30="Yes", IF('Personalized Bill Menu'!$B$34="Natural Gas",VLOOKUP($A72, 'Personalized Bill Menu'!$H$4:$L$93, 2, FALSE), IF('Personalized Bill Menu'!$B$34="Both",VLOOKUP($A72,'Personalized Bill Menu'!$H$4:$P$93, 6, FALSE), 0)), 0),0)</f>
        <v>0</v>
      </c>
      <c r="AZ72" s="1343">
        <f>IFERROR(IF('Personalized Bill Menu'!$C$37="Custom", IF('Personalized Bill Menu'!$B$34="Natural Gas",VLOOKUP($A72, 'Personalized Bill Menu'!$H$4:$L$93, 3, FALSE), IF('Personalized Bill Menu'!$B$34="Both",VLOOKUP($A72,'Personalized Bill Menu'!$H$4:$P$93, 7, FALSE), 0)), 0),0)</f>
        <v>0</v>
      </c>
      <c r="BA72" s="1344">
        <f>IFERROR(IF('Personalized Bill Menu'!$C$37="Custom", IF('Personalized Bill Menu'!$B$34="Natural Gas",VLOOKUP($A72, 'Personalized Bill Menu'!$H$4:$L$93, 4, FALSE), IF('Personalized Bill Menu'!$B$34="Both",VLOOKUP($A72,'Personalized Bill Menu'!$H$4:$P$93, 8, FALSE), 0)), 0),0)</f>
        <v>0</v>
      </c>
    </row>
    <row r="73" spans="1:53" s="117" customFormat="1" x14ac:dyDescent="0.35">
      <c r="A73" s="496">
        <v>42917</v>
      </c>
      <c r="B73" s="497">
        <f t="shared" si="34"/>
        <v>31</v>
      </c>
      <c r="C73" s="1581">
        <f t="shared" si="35"/>
        <v>2.582040039601218</v>
      </c>
      <c r="D73" s="66">
        <f t="shared" si="36"/>
        <v>20.425444413896301</v>
      </c>
      <c r="E73" s="66">
        <f>(1+$AS73)*IF(OR('Service Zone Menu'!$X$4="Calgary",AND('Service Zone Menu'!$X$4="Okotoks", $A73&lt;DATE(2019, 1, 1))),((1+$T73)*($N73+$P73+($X73+$Y73+$AA73+$AB73+$AC73))) + ($U73*($P73+($X73+$Y73+$AA73+$AB73+$AC73))) + $AQ73, ((1+$T73)*($P73+($Y73+$AA73+$AB73+$AC73)))+ ($U73*($P73+($X73+$Y73+$AA73+$AB73+$AC73)))+$N73+$X73 + $AQ73)</f>
        <v>5.2066752149999997</v>
      </c>
      <c r="F73" s="488">
        <f t="shared" si="37"/>
        <v>52.739315303329278</v>
      </c>
      <c r="G73" s="489">
        <f t="shared" si="38"/>
        <v>4.7044769521534189</v>
      </c>
      <c r="H73" s="490">
        <f t="shared" si="33"/>
        <v>27.594124271918581</v>
      </c>
      <c r="I73" s="490">
        <f t="shared" si="39"/>
        <v>3.9894885957641173</v>
      </c>
      <c r="J73" s="490">
        <f t="shared" si="40"/>
        <v>3.6103870366311268</v>
      </c>
      <c r="K73" s="490">
        <f t="shared" si="41"/>
        <v>7.7190000000000003</v>
      </c>
      <c r="L73" s="490">
        <f t="shared" si="42"/>
        <v>2.6104424800368311</v>
      </c>
      <c r="M73" s="491">
        <f t="shared" si="43"/>
        <v>2.5113959668252037</v>
      </c>
      <c r="N73" s="273">
        <f>IF($I$2="DRT",VLOOKUP(A73,'Misc. Data &amp; Mechanisms'!$A$1381:$D$1471,3,FALSE),AZ73)</f>
        <v>1.8220000000000001</v>
      </c>
      <c r="O73" s="425">
        <f t="shared" si="44"/>
        <v>4.7044769521534189</v>
      </c>
      <c r="P73" s="387">
        <v>0.80600000000000005</v>
      </c>
      <c r="Q73" s="278">
        <v>0.82299999999999995</v>
      </c>
      <c r="R73" s="425">
        <f t="shared" si="25"/>
        <v>2.0811242719185818</v>
      </c>
      <c r="S73" s="425">
        <f t="shared" si="26"/>
        <v>25.512999999999998</v>
      </c>
      <c r="T73" s="391">
        <f>VLOOKUP($A73,'Misc. Data &amp; Mechanisms'!$A$63:$DY$152,HLOOKUP('Service Zone Menu'!$X$4&amp;"_ATCO-S_NG_Y_1",'Misc. Data &amp; Mechanisms'!$A$55:$DY$62,8,FALSE), FALSE)</f>
        <v>0.1111</v>
      </c>
      <c r="U73" s="205">
        <f>VLOOKUP($A73,'Misc. Data &amp; Mechanisms'!$A$63:$DY$152,HLOOKUP('Service Zone Menu'!$X$4&amp;"_ATCO-S_NG_Y_2",'Misc. Data &amp; Mechanisms'!$A$55:$DY$62,8,FALSE), FALSE)</f>
        <v>0</v>
      </c>
      <c r="V73" s="425">
        <f>IF(OR('Service Zone Menu'!$X$4="Calgary",AND('Service Zone Menu'!$X$4="Okotoks", $A73&lt;DATE(2019, 1, 1))),$T73*($H73+$G73+$J73),$T73*($H73+$J73-$AG73))</f>
        <v>3.9894885957641173</v>
      </c>
      <c r="W73" s="425">
        <f t="shared" si="27"/>
        <v>0</v>
      </c>
      <c r="X73" s="426"/>
      <c r="Y73" s="386"/>
      <c r="Z73" s="386"/>
      <c r="AA73" s="386"/>
      <c r="AB73" s="386">
        <v>0.92500000000000004</v>
      </c>
      <c r="AC73" s="386"/>
      <c r="AD73" s="386">
        <v>1.222</v>
      </c>
      <c r="AE73" s="386"/>
      <c r="AF73" s="386"/>
      <c r="AG73" s="492">
        <f t="shared" si="28"/>
        <v>0</v>
      </c>
      <c r="AH73" s="492">
        <f t="shared" si="29"/>
        <v>0</v>
      </c>
      <c r="AI73" s="425">
        <f t="shared" si="30"/>
        <v>0</v>
      </c>
      <c r="AJ73" s="425">
        <f t="shared" si="31"/>
        <v>2.3883870366311268</v>
      </c>
      <c r="AK73" s="425">
        <f t="shared" si="32"/>
        <v>0</v>
      </c>
      <c r="AL73" s="425">
        <f t="shared" si="45"/>
        <v>1.222</v>
      </c>
      <c r="AM73" s="425">
        <f t="shared" si="46"/>
        <v>0</v>
      </c>
      <c r="AN73" s="425">
        <f t="shared" si="47"/>
        <v>0</v>
      </c>
      <c r="AO73" s="200">
        <f>IF($I$2="DRT",VLOOKUP(A73,'Misc. Data &amp; Mechanisms'!$A$1483:$H$1574,7,FALSE),BA73)</f>
        <v>0.249</v>
      </c>
      <c r="AP73" s="552">
        <f t="shared" si="48"/>
        <v>7.7190000000000003</v>
      </c>
      <c r="AQ73" s="290">
        <v>1.0109999999999999</v>
      </c>
      <c r="AR73" s="494">
        <f t="shared" si="49"/>
        <v>2.6104424800368311</v>
      </c>
      <c r="AS73" s="495">
        <f>5%</f>
        <v>0.05</v>
      </c>
      <c r="AT73" s="341">
        <f>'Misc. Data &amp; Mechanisms'!AM346</f>
        <v>2.6150243233723334</v>
      </c>
      <c r="AU73" s="424">
        <f>'Misc. Data &amp; Mechanisms'!AQ346</f>
        <v>2.4785051154381486</v>
      </c>
      <c r="AV73" s="1087">
        <f>'Misc. Data &amp; Mechanisms'!Z346</f>
        <v>2.582040039601218</v>
      </c>
      <c r="AW73" s="1087">
        <f>'Misc. Data &amp; Mechanisms'!AA346</f>
        <v>1.6490840206308883</v>
      </c>
      <c r="AX73" s="1460">
        <f>'Misc. Data &amp; Mechanisms'!$B$260</f>
        <v>10.198990303636064</v>
      </c>
      <c r="AY73" s="197">
        <f>IFERROR(IF('Personalized Bill Menu'!$B$30="Yes", IF('Personalized Bill Menu'!$B$34="Natural Gas",VLOOKUP($A73, 'Personalized Bill Menu'!$H$4:$L$93, 2, FALSE), IF('Personalized Bill Menu'!$B$34="Both",VLOOKUP($A73,'Personalized Bill Menu'!$H$4:$P$93, 6, FALSE), 0)), 0),0)</f>
        <v>0</v>
      </c>
      <c r="AZ73" s="1343">
        <f>IFERROR(IF('Personalized Bill Menu'!$C$37="Custom", IF('Personalized Bill Menu'!$B$34="Natural Gas",VLOOKUP($A73, 'Personalized Bill Menu'!$H$4:$L$93, 3, FALSE), IF('Personalized Bill Menu'!$B$34="Both",VLOOKUP($A73,'Personalized Bill Menu'!$H$4:$P$93, 7, FALSE), 0)), 0),0)</f>
        <v>0</v>
      </c>
      <c r="BA73" s="1344">
        <f>IFERROR(IF('Personalized Bill Menu'!$C$37="Custom", IF('Personalized Bill Menu'!$B$34="Natural Gas",VLOOKUP($A73, 'Personalized Bill Menu'!$H$4:$L$93, 4, FALSE), IF('Personalized Bill Menu'!$B$34="Both",VLOOKUP($A73,'Personalized Bill Menu'!$H$4:$P$93, 8, FALSE), 0)), 0),0)</f>
        <v>0</v>
      </c>
    </row>
    <row r="74" spans="1:53" s="117" customFormat="1" x14ac:dyDescent="0.35">
      <c r="A74" s="496">
        <v>42948</v>
      </c>
      <c r="B74" s="497">
        <f t="shared" si="34"/>
        <v>31</v>
      </c>
      <c r="C74" s="1581">
        <f t="shared" si="35"/>
        <v>2.7079094858985315</v>
      </c>
      <c r="D74" s="66">
        <f t="shared" si="36"/>
        <v>19.781893651219924</v>
      </c>
      <c r="E74" s="66">
        <f>(1+$AS74)*IF(OR('Service Zone Menu'!$X$4="Calgary",AND('Service Zone Menu'!$X$4="Okotoks", $A74&lt;DATE(2019, 1, 1))),((1+$T74)*($N74+$P74+($X74+$Y74+$AA74+$AB74+$AC74))) + ($U74*($P74+($X74+$Y74+$AA74+$AB74+$AC74))) + $AQ74, ((1+$T74)*($P74+($Y74+$AA74+$AB74+$AC74)))+ ($U74*($P74+($X74+$Y74+$AA74+$AB74+$AC74)))+$N74+$X74 + $AQ74)</f>
        <v>5.797002645000001</v>
      </c>
      <c r="F74" s="488">
        <f t="shared" si="37"/>
        <v>53.567577467174374</v>
      </c>
      <c r="G74" s="489">
        <f t="shared" si="38"/>
        <v>6.3040132831717806</v>
      </c>
      <c r="H74" s="490">
        <f t="shared" si="33"/>
        <v>27.695575045634214</v>
      </c>
      <c r="I74" s="490">
        <f t="shared" si="39"/>
        <v>4.0556393514224238</v>
      </c>
      <c r="J74" s="490">
        <f t="shared" si="40"/>
        <v>2.5048162744561417</v>
      </c>
      <c r="K74" s="490">
        <f t="shared" si="41"/>
        <v>7.7190000000000003</v>
      </c>
      <c r="L74" s="490">
        <f t="shared" si="42"/>
        <v>2.7376964902434153</v>
      </c>
      <c r="M74" s="491">
        <f t="shared" si="43"/>
        <v>2.550837022246399</v>
      </c>
      <c r="N74" s="273">
        <f>IF($I$2="DRT",VLOOKUP(A74,'Misc. Data &amp; Mechanisms'!$A$1381:$D$1471,3,FALSE),AZ74)</f>
        <v>2.3279999999999998</v>
      </c>
      <c r="O74" s="425">
        <f t="shared" si="44"/>
        <v>6.3040132831717806</v>
      </c>
      <c r="P74" s="387">
        <v>0.80600000000000005</v>
      </c>
      <c r="Q74" s="278">
        <v>0.82299999999999995</v>
      </c>
      <c r="R74" s="425">
        <f t="shared" si="25"/>
        <v>2.1825750456342163</v>
      </c>
      <c r="S74" s="425">
        <f t="shared" si="26"/>
        <v>25.512999999999998</v>
      </c>
      <c r="T74" s="391">
        <f>VLOOKUP($A74,'Misc. Data &amp; Mechanisms'!$A$63:$DY$152,HLOOKUP('Service Zone Menu'!$X$4&amp;"_ATCO-S_NG_Y_1",'Misc. Data &amp; Mechanisms'!$A$55:$DY$62,8,FALSE), FALSE)</f>
        <v>0.1111</v>
      </c>
      <c r="U74" s="205">
        <f>VLOOKUP($A74,'Misc. Data &amp; Mechanisms'!$A$63:$DY$152,HLOOKUP('Service Zone Menu'!$X$4&amp;"_ATCO-S_NG_Y_2",'Misc. Data &amp; Mechanisms'!$A$55:$DY$62,8,FALSE), FALSE)</f>
        <v>0</v>
      </c>
      <c r="V74" s="425">
        <f>IF(OR('Service Zone Menu'!$X$4="Calgary",AND('Service Zone Menu'!$X$4="Okotoks", $A74&lt;DATE(2019, 1, 1))),$T74*($H74+$G74+$J74),$T74*($H74+$J74-$AG74))</f>
        <v>4.0556393514224238</v>
      </c>
      <c r="W74" s="425">
        <f t="shared" si="27"/>
        <v>0</v>
      </c>
      <c r="X74" s="426"/>
      <c r="Y74" s="386"/>
      <c r="Z74" s="386"/>
      <c r="AA74" s="386"/>
      <c r="AB74" s="386">
        <v>0.92500000000000004</v>
      </c>
      <c r="AC74" s="386"/>
      <c r="AD74" s="386"/>
      <c r="AE74" s="386"/>
      <c r="AF74" s="386"/>
      <c r="AG74" s="492">
        <f t="shared" si="28"/>
        <v>0</v>
      </c>
      <c r="AH74" s="492">
        <f t="shared" si="29"/>
        <v>0</v>
      </c>
      <c r="AI74" s="425">
        <f t="shared" si="30"/>
        <v>0</v>
      </c>
      <c r="AJ74" s="425">
        <f t="shared" si="31"/>
        <v>2.5048162744561417</v>
      </c>
      <c r="AK74" s="425">
        <f t="shared" si="32"/>
        <v>0</v>
      </c>
      <c r="AL74" s="425">
        <f t="shared" si="45"/>
        <v>0</v>
      </c>
      <c r="AM74" s="425">
        <f t="shared" si="46"/>
        <v>0</v>
      </c>
      <c r="AN74" s="425">
        <f t="shared" si="47"/>
        <v>0</v>
      </c>
      <c r="AO74" s="200">
        <f>IF($I$2="DRT",VLOOKUP(A74,'Misc. Data &amp; Mechanisms'!$A$1483:$H$1574,7,FALSE),BA74)</f>
        <v>0.249</v>
      </c>
      <c r="AP74" s="552">
        <f t="shared" si="48"/>
        <v>7.7190000000000003</v>
      </c>
      <c r="AQ74" s="290">
        <v>1.0109999999999999</v>
      </c>
      <c r="AR74" s="494">
        <f t="shared" si="49"/>
        <v>2.7376964902434153</v>
      </c>
      <c r="AS74" s="495">
        <f>5%</f>
        <v>0.05</v>
      </c>
      <c r="AT74" s="341">
        <f>'Misc. Data &amp; Mechanisms'!AM347</f>
        <v>2.7425016895590013</v>
      </c>
      <c r="AU74" s="424">
        <f>'Misc. Data &amp; Mechanisms'!AQ347</f>
        <v>2.5725644768507392</v>
      </c>
      <c r="AV74" s="1087">
        <f>'Misc. Data &amp; Mechanisms'!Z347</f>
        <v>2.7079094858985315</v>
      </c>
      <c r="AW74" s="1087">
        <f>'Misc. Data &amp; Mechanisms'!AA347</f>
        <v>1.7294736696646098</v>
      </c>
      <c r="AX74" s="1460">
        <f>'Misc. Data &amp; Mechanisms'!$B$260</f>
        <v>10.198990303636064</v>
      </c>
      <c r="AY74" s="197">
        <f>IFERROR(IF('Personalized Bill Menu'!$B$30="Yes", IF('Personalized Bill Menu'!$B$34="Natural Gas",VLOOKUP($A74, 'Personalized Bill Menu'!$H$4:$L$93, 2, FALSE), IF('Personalized Bill Menu'!$B$34="Both",VLOOKUP($A74,'Personalized Bill Menu'!$H$4:$P$93, 6, FALSE), 0)), 0),0)</f>
        <v>0</v>
      </c>
      <c r="AZ74" s="1343">
        <f>IFERROR(IF('Personalized Bill Menu'!$C$37="Custom", IF('Personalized Bill Menu'!$B$34="Natural Gas",VLOOKUP($A74, 'Personalized Bill Menu'!$H$4:$L$93, 3, FALSE), IF('Personalized Bill Menu'!$B$34="Both",VLOOKUP($A74,'Personalized Bill Menu'!$H$4:$P$93, 7, FALSE), 0)), 0),0)</f>
        <v>0</v>
      </c>
      <c r="BA74" s="1344">
        <f>IFERROR(IF('Personalized Bill Menu'!$C$37="Custom", IF('Personalized Bill Menu'!$B$34="Natural Gas",VLOOKUP($A74, 'Personalized Bill Menu'!$H$4:$L$93, 4, FALSE), IF('Personalized Bill Menu'!$B$34="Both",VLOOKUP($A74,'Personalized Bill Menu'!$H$4:$P$93, 8, FALSE), 0)), 0),0)</f>
        <v>0</v>
      </c>
    </row>
    <row r="75" spans="1:53" s="117" customFormat="1" x14ac:dyDescent="0.35">
      <c r="A75" s="496">
        <v>42979</v>
      </c>
      <c r="B75" s="497">
        <f t="shared" si="34"/>
        <v>30</v>
      </c>
      <c r="C75" s="1581">
        <f t="shared" si="35"/>
        <v>5.3309229069401551</v>
      </c>
      <c r="D75" s="66">
        <f t="shared" si="36"/>
        <v>11.628659846253974</v>
      </c>
      <c r="E75" s="66">
        <f>(1+$AS75)*IF(OR('Service Zone Menu'!$X$4="Calgary",AND('Service Zone Menu'!$X$4="Okotoks", $A75&lt;DATE(2019, 1, 1))),((1+$T75)*($N75+$P75+($X75+$Y75+$AA75+$AB75+$AC75))) + ($U75*($P75+($X75+$Y75+$AA75+$AB75+$AC75))) + $AQ75, ((1+$T75)*($P75+($Y75+$AA75+$AB75+$AC75)))+ ($U75*($P75+($X75+$Y75+$AA75+$AB75+$AC75)))+$N75+$X75 + $AQ75)</f>
        <v>4.7540130750000005</v>
      </c>
      <c r="F75" s="488">
        <f t="shared" si="37"/>
        <v>61.991489151410498</v>
      </c>
      <c r="G75" s="489">
        <f t="shared" si="38"/>
        <v>7.6445434485521826</v>
      </c>
      <c r="H75" s="490">
        <f t="shared" si="33"/>
        <v>28.986723862993763</v>
      </c>
      <c r="I75" s="490">
        <f t="shared" si="39"/>
        <v>4.6175794181517276</v>
      </c>
      <c r="J75" s="490">
        <f t="shared" si="40"/>
        <v>4.9311036889196433</v>
      </c>
      <c r="K75" s="490">
        <f t="shared" si="41"/>
        <v>7.47</v>
      </c>
      <c r="L75" s="490">
        <f t="shared" si="42"/>
        <v>5.3895630589164965</v>
      </c>
      <c r="M75" s="491">
        <f t="shared" si="43"/>
        <v>2.9519756738766905</v>
      </c>
      <c r="N75" s="273">
        <f>IF($I$2="DRT",VLOOKUP(A75,'Misc. Data &amp; Mechanisms'!$A$1381:$D$1471,3,FALSE),AZ75)</f>
        <v>1.4339999999999999</v>
      </c>
      <c r="O75" s="425">
        <f t="shared" si="44"/>
        <v>7.6445434485521826</v>
      </c>
      <c r="P75" s="387">
        <v>0.80600000000000005</v>
      </c>
      <c r="Q75" s="278">
        <v>0.82299999999999995</v>
      </c>
      <c r="R75" s="425">
        <f t="shared" si="25"/>
        <v>4.2967238629937654</v>
      </c>
      <c r="S75" s="425">
        <f t="shared" si="26"/>
        <v>24.689999999999998</v>
      </c>
      <c r="T75" s="391">
        <f>VLOOKUP($A75,'Misc. Data &amp; Mechanisms'!$A$63:$DY$152,HLOOKUP('Service Zone Menu'!$X$4&amp;"_ATCO-S_NG_Y_1",'Misc. Data &amp; Mechanisms'!$A$55:$DY$62,8,FALSE), FALSE)</f>
        <v>0.1111</v>
      </c>
      <c r="U75" s="205">
        <f>VLOOKUP($A75,'Misc. Data &amp; Mechanisms'!$A$63:$DY$152,HLOOKUP('Service Zone Menu'!$X$4&amp;"_ATCO-S_NG_Y_2",'Misc. Data &amp; Mechanisms'!$A$55:$DY$62,8,FALSE), FALSE)</f>
        <v>0</v>
      </c>
      <c r="V75" s="425">
        <f>IF(OR('Service Zone Menu'!$X$4="Calgary",AND('Service Zone Menu'!$X$4="Okotoks", $A75&lt;DATE(2019, 1, 1))),$T75*($H75+$G75+$J75),$T75*($H75+$J75-$AG75))</f>
        <v>4.6175794181517276</v>
      </c>
      <c r="W75" s="425">
        <f t="shared" si="27"/>
        <v>0</v>
      </c>
      <c r="X75" s="426"/>
      <c r="Y75" s="386"/>
      <c r="Z75" s="386"/>
      <c r="AA75" s="386"/>
      <c r="AB75" s="386">
        <v>0.92500000000000004</v>
      </c>
      <c r="AC75" s="386"/>
      <c r="AD75" s="386"/>
      <c r="AE75" s="386"/>
      <c r="AF75" s="386"/>
      <c r="AG75" s="492">
        <f t="shared" si="28"/>
        <v>0</v>
      </c>
      <c r="AH75" s="492">
        <f t="shared" si="29"/>
        <v>0</v>
      </c>
      <c r="AI75" s="425">
        <f t="shared" si="30"/>
        <v>0</v>
      </c>
      <c r="AJ75" s="425">
        <f t="shared" si="31"/>
        <v>4.9311036889196433</v>
      </c>
      <c r="AK75" s="425">
        <f t="shared" si="32"/>
        <v>0</v>
      </c>
      <c r="AL75" s="425">
        <f t="shared" si="45"/>
        <v>0</v>
      </c>
      <c r="AM75" s="425">
        <f t="shared" si="46"/>
        <v>0</v>
      </c>
      <c r="AN75" s="425">
        <f t="shared" si="47"/>
        <v>0</v>
      </c>
      <c r="AO75" s="200">
        <f>IF($I$2="DRT",VLOOKUP(A75,'Misc. Data &amp; Mechanisms'!$A$1483:$H$1574,7,FALSE),BA75)</f>
        <v>0.249</v>
      </c>
      <c r="AP75" s="552">
        <f t="shared" si="48"/>
        <v>7.47</v>
      </c>
      <c r="AQ75" s="290">
        <v>1.0109999999999999</v>
      </c>
      <c r="AR75" s="494">
        <f t="shared" si="49"/>
        <v>5.3895630589164965</v>
      </c>
      <c r="AS75" s="495">
        <f>5%</f>
        <v>0.05</v>
      </c>
      <c r="AT75" s="341">
        <f>'Misc. Data &amp; Mechanisms'!AM348</f>
        <v>5.3990228090437693</v>
      </c>
      <c r="AU75" s="424">
        <f>'Misc. Data &amp; Mechanisms'!AQ348</f>
        <v>4.9608520612653884</v>
      </c>
      <c r="AV75" s="1087">
        <f>'Misc. Data &amp; Mechanisms'!Z348</f>
        <v>5.3309229069401551</v>
      </c>
      <c r="AW75" s="1087">
        <f>'Misc. Data &amp; Mechanisms'!AA348</f>
        <v>3.404726358313142</v>
      </c>
      <c r="AX75" s="1460">
        <f>'Misc. Data &amp; Mechanisms'!$B$260</f>
        <v>10.198990303636064</v>
      </c>
      <c r="AY75" s="197">
        <f>IFERROR(IF('Personalized Bill Menu'!$B$30="Yes", IF('Personalized Bill Menu'!$B$34="Natural Gas",VLOOKUP($A75, 'Personalized Bill Menu'!$H$4:$L$93, 2, FALSE), IF('Personalized Bill Menu'!$B$34="Both",VLOOKUP($A75,'Personalized Bill Menu'!$H$4:$P$93, 6, FALSE), 0)), 0),0)</f>
        <v>0</v>
      </c>
      <c r="AZ75" s="1343">
        <f>IFERROR(IF('Personalized Bill Menu'!$C$37="Custom", IF('Personalized Bill Menu'!$B$34="Natural Gas",VLOOKUP($A75, 'Personalized Bill Menu'!$H$4:$L$93, 3, FALSE), IF('Personalized Bill Menu'!$B$34="Both",VLOOKUP($A75,'Personalized Bill Menu'!$H$4:$P$93, 7, FALSE), 0)), 0),0)</f>
        <v>0</v>
      </c>
      <c r="BA75" s="1344">
        <f>IFERROR(IF('Personalized Bill Menu'!$C$37="Custom", IF('Personalized Bill Menu'!$B$34="Natural Gas",VLOOKUP($A75, 'Personalized Bill Menu'!$H$4:$L$93, 4, FALSE), IF('Personalized Bill Menu'!$B$34="Both",VLOOKUP($A75,'Personalized Bill Menu'!$H$4:$P$93, 8, FALSE), 0)), 0),0)</f>
        <v>0</v>
      </c>
    </row>
    <row r="76" spans="1:53" s="117" customFormat="1" x14ac:dyDescent="0.35">
      <c r="A76" s="496">
        <v>43009</v>
      </c>
      <c r="B76" s="497">
        <f t="shared" si="34"/>
        <v>31</v>
      </c>
      <c r="C76" s="1581">
        <f t="shared" si="35"/>
        <v>9.9233084229462563</v>
      </c>
      <c r="D76" s="66">
        <f t="shared" si="36"/>
        <v>8.8595928343732986</v>
      </c>
      <c r="E76" s="66">
        <f>(1+$AS76)*IF(OR('Service Zone Menu'!$X$4="Calgary",AND('Service Zone Menu'!$X$4="Okotoks", $A76&lt;DATE(2019, 1, 1))),((1+$T76)*($N76+$P76+($X76+$Y76+$AA76+$AB76+$AC76))) + ($U76*($P76+($X76+$Y76+$AA76+$AB76+$AC76))) + $AQ76, ((1+$T76)*($P76+($Y76+$AA76+$AB76+$AC76)))+ ($U76*($P76+($X76+$Y76+$AA76+$AB76+$AC76)))+$N76+$X76 + $AQ76)</f>
        <v>5.0433435150000001</v>
      </c>
      <c r="F76" s="488">
        <f t="shared" si="37"/>
        <v>87.916472197210851</v>
      </c>
      <c r="G76" s="489">
        <f t="shared" si="38"/>
        <v>16.691004767395601</v>
      </c>
      <c r="H76" s="490">
        <f t="shared" si="33"/>
        <v>33.511186588894681</v>
      </c>
      <c r="I76" s="490">
        <f t="shared" si="39"/>
        <v>6.5972570580389798</v>
      </c>
      <c r="J76" s="490">
        <f t="shared" si="40"/>
        <v>9.1790602912252872</v>
      </c>
      <c r="K76" s="490">
        <f t="shared" si="41"/>
        <v>7.7190000000000003</v>
      </c>
      <c r="L76" s="490">
        <f t="shared" si="42"/>
        <v>10.032464815598663</v>
      </c>
      <c r="M76" s="491">
        <f t="shared" si="43"/>
        <v>4.1864986760576599</v>
      </c>
      <c r="N76" s="273">
        <f>IF($I$2="DRT",VLOOKUP(A76,'Misc. Data &amp; Mechanisms'!$A$1381:$D$1471,3,FALSE),AZ76)</f>
        <v>1.6819999999999999</v>
      </c>
      <c r="O76" s="425">
        <f t="shared" si="44"/>
        <v>16.691004767395601</v>
      </c>
      <c r="P76" s="387">
        <v>0.80600000000000005</v>
      </c>
      <c r="Q76" s="278">
        <v>0.82299999999999995</v>
      </c>
      <c r="R76" s="425">
        <f t="shared" si="25"/>
        <v>7.9981865888946828</v>
      </c>
      <c r="S76" s="425">
        <f t="shared" si="26"/>
        <v>25.512999999999998</v>
      </c>
      <c r="T76" s="391">
        <f>VLOOKUP($A76,'Misc. Data &amp; Mechanisms'!$A$63:$DY$152,HLOOKUP('Service Zone Menu'!$X$4&amp;"_ATCO-S_NG_Y_1",'Misc. Data &amp; Mechanisms'!$A$55:$DY$62,8,FALSE), FALSE)</f>
        <v>0.1111</v>
      </c>
      <c r="U76" s="205">
        <f>VLOOKUP($A76,'Misc. Data &amp; Mechanisms'!$A$63:$DY$152,HLOOKUP('Service Zone Menu'!$X$4&amp;"_ATCO-S_NG_Y_2",'Misc. Data &amp; Mechanisms'!$A$55:$DY$62,8,FALSE), FALSE)</f>
        <v>0</v>
      </c>
      <c r="V76" s="425">
        <f>IF(OR('Service Zone Menu'!$X$4="Calgary",AND('Service Zone Menu'!$X$4="Okotoks", $A76&lt;DATE(2019, 1, 1))),$T76*($H76+$G76+$J76),$T76*($H76+$J76-$AG76))</f>
        <v>6.5972570580389798</v>
      </c>
      <c r="W76" s="425">
        <f t="shared" si="27"/>
        <v>0</v>
      </c>
      <c r="X76" s="426"/>
      <c r="Y76" s="386"/>
      <c r="Z76" s="386"/>
      <c r="AA76" s="386"/>
      <c r="AB76" s="386">
        <v>0.92500000000000004</v>
      </c>
      <c r="AC76" s="386"/>
      <c r="AD76" s="386"/>
      <c r="AE76" s="386"/>
      <c r="AF76" s="386"/>
      <c r="AG76" s="492">
        <f t="shared" si="28"/>
        <v>0</v>
      </c>
      <c r="AH76" s="492">
        <f t="shared" si="29"/>
        <v>0</v>
      </c>
      <c r="AI76" s="425">
        <f t="shared" si="30"/>
        <v>0</v>
      </c>
      <c r="AJ76" s="425">
        <f t="shared" si="31"/>
        <v>9.1790602912252872</v>
      </c>
      <c r="AK76" s="425">
        <f t="shared" si="32"/>
        <v>0</v>
      </c>
      <c r="AL76" s="425">
        <f t="shared" si="45"/>
        <v>0</v>
      </c>
      <c r="AM76" s="425">
        <f t="shared" si="46"/>
        <v>0</v>
      </c>
      <c r="AN76" s="425">
        <f t="shared" si="47"/>
        <v>0</v>
      </c>
      <c r="AO76" s="200">
        <f>IF($I$2="DRT",VLOOKUP(A76,'Misc. Data &amp; Mechanisms'!$A$1483:$H$1574,7,FALSE),BA76)</f>
        <v>0.249</v>
      </c>
      <c r="AP76" s="552">
        <f t="shared" si="48"/>
        <v>7.7190000000000003</v>
      </c>
      <c r="AQ76" s="290">
        <v>1.0109999999999999</v>
      </c>
      <c r="AR76" s="494">
        <f t="shared" si="49"/>
        <v>10.032464815598663</v>
      </c>
      <c r="AS76" s="495">
        <f>5%</f>
        <v>0.05</v>
      </c>
      <c r="AT76" s="341">
        <f>'Misc. Data &amp; Mechanisms'!AM349</f>
        <v>10.050073777453042</v>
      </c>
      <c r="AU76" s="424">
        <f>'Misc. Data &amp; Mechanisms'!AQ349</f>
        <v>10.184344619690055</v>
      </c>
      <c r="AV76" s="1087">
        <f>'Misc. Data &amp; Mechanisms'!Z349</f>
        <v>9.9233084229462563</v>
      </c>
      <c r="AW76" s="1087">
        <f>'Misc. Data &amp; Mechanisms'!AA349</f>
        <v>6.3377674633581451</v>
      </c>
      <c r="AX76" s="1460">
        <f>'Misc. Data &amp; Mechanisms'!$B$260</f>
        <v>10.198990303636064</v>
      </c>
      <c r="AY76" s="197">
        <f>IFERROR(IF('Personalized Bill Menu'!$B$30="Yes", IF('Personalized Bill Menu'!$B$34="Natural Gas",VLOOKUP($A76, 'Personalized Bill Menu'!$H$4:$L$93, 2, FALSE), IF('Personalized Bill Menu'!$B$34="Both",VLOOKUP($A76,'Personalized Bill Menu'!$H$4:$P$93, 6, FALSE), 0)), 0),0)</f>
        <v>0</v>
      </c>
      <c r="AZ76" s="1343">
        <f>IFERROR(IF('Personalized Bill Menu'!$C$37="Custom", IF('Personalized Bill Menu'!$B$34="Natural Gas",VLOOKUP($A76, 'Personalized Bill Menu'!$H$4:$L$93, 3, FALSE), IF('Personalized Bill Menu'!$B$34="Both",VLOOKUP($A76,'Personalized Bill Menu'!$H$4:$P$93, 7, FALSE), 0)), 0),0)</f>
        <v>0</v>
      </c>
      <c r="BA76" s="1344">
        <f>IFERROR(IF('Personalized Bill Menu'!$C$37="Custom", IF('Personalized Bill Menu'!$B$34="Natural Gas",VLOOKUP($A76, 'Personalized Bill Menu'!$H$4:$L$93, 4, FALSE), IF('Personalized Bill Menu'!$B$34="Both",VLOOKUP($A76,'Personalized Bill Menu'!$H$4:$P$93, 8, FALSE), 0)), 0),0)</f>
        <v>0</v>
      </c>
    </row>
    <row r="77" spans="1:53" s="117" customFormat="1" x14ac:dyDescent="0.35">
      <c r="A77" s="496">
        <v>43040</v>
      </c>
      <c r="B77" s="497">
        <f t="shared" si="34"/>
        <v>30</v>
      </c>
      <c r="C77" s="1581">
        <f t="shared" si="35"/>
        <v>17.884936436085585</v>
      </c>
      <c r="D77" s="66">
        <f t="shared" si="36"/>
        <v>7.2592857307121994</v>
      </c>
      <c r="E77" s="66">
        <f>(1+$AS77)*IF(OR('Service Zone Menu'!$X$4="Calgary",AND('Service Zone Menu'!$X$4="Okotoks", $A77&lt;DATE(2019, 1, 1))),((1+$T77)*($N77+$P77+($X77+$Y77+$AA77+$AB77+$AC77))) + ($U77*($P77+($X77+$Y77+$AA77+$AB77+$AC77))) + $AQ77, ((1+$T77)*($P77+($Y77+$AA77+$AB77+$AC77)))+ ($U77*($P77+($X77+$Y77+$AA77+$AB77+$AC77)))+$N77+$X77 + $AQ77)</f>
        <v>5.2101751800000002</v>
      </c>
      <c r="F77" s="488">
        <f t="shared" si="37"/>
        <v>129.83186386517079</v>
      </c>
      <c r="G77" s="489">
        <f t="shared" si="38"/>
        <v>32.640008995856192</v>
      </c>
      <c r="H77" s="490">
        <f t="shared" si="33"/>
        <v>39.105258767484983</v>
      </c>
      <c r="I77" s="490">
        <f t="shared" si="39"/>
        <v>9.8088894537026317</v>
      </c>
      <c r="J77" s="490">
        <f t="shared" si="40"/>
        <v>16.543566203379168</v>
      </c>
      <c r="K77" s="490">
        <f t="shared" si="41"/>
        <v>7.47</v>
      </c>
      <c r="L77" s="490">
        <f t="shared" si="42"/>
        <v>18.081670736882526</v>
      </c>
      <c r="M77" s="491">
        <f t="shared" si="43"/>
        <v>6.1824697078652759</v>
      </c>
      <c r="N77" s="273">
        <f>IF($I$2="DRT",VLOOKUP(A77,'Misc. Data &amp; Mechanisms'!$A$1381:$D$1471,3,FALSE),AZ77)</f>
        <v>1.825</v>
      </c>
      <c r="O77" s="425">
        <f t="shared" si="44"/>
        <v>32.640008995856192</v>
      </c>
      <c r="P77" s="387">
        <v>0.80600000000000005</v>
      </c>
      <c r="Q77" s="278">
        <v>0.82299999999999995</v>
      </c>
      <c r="R77" s="425">
        <f t="shared" si="25"/>
        <v>14.415258767484982</v>
      </c>
      <c r="S77" s="425">
        <f t="shared" si="26"/>
        <v>24.689999999999998</v>
      </c>
      <c r="T77" s="391">
        <f>VLOOKUP($A77,'Misc. Data &amp; Mechanisms'!$A$63:$DY$152,HLOOKUP('Service Zone Menu'!$X$4&amp;"_ATCO-S_NG_Y_1",'Misc. Data &amp; Mechanisms'!$A$55:$DY$62,8,FALSE), FALSE)</f>
        <v>0.1111</v>
      </c>
      <c r="U77" s="205">
        <f>VLOOKUP($A77,'Misc. Data &amp; Mechanisms'!$A$63:$DY$152,HLOOKUP('Service Zone Menu'!$X$4&amp;"_ATCO-S_NG_Y_2",'Misc. Data &amp; Mechanisms'!$A$55:$DY$62,8,FALSE), FALSE)</f>
        <v>0</v>
      </c>
      <c r="V77" s="425">
        <f>IF(OR('Service Zone Menu'!$X$4="Calgary",AND('Service Zone Menu'!$X$4="Okotoks", $A77&lt;DATE(2019, 1, 1))),$T77*($H77+$G77+$J77),$T77*($H77+$J77-$AG77))</f>
        <v>9.8088894537026317</v>
      </c>
      <c r="W77" s="425">
        <f t="shared" si="27"/>
        <v>0</v>
      </c>
      <c r="X77" s="426"/>
      <c r="Y77" s="386"/>
      <c r="Z77" s="386"/>
      <c r="AA77" s="386"/>
      <c r="AB77" s="386">
        <v>0.92500000000000004</v>
      </c>
      <c r="AC77" s="386"/>
      <c r="AD77" s="386"/>
      <c r="AE77" s="386"/>
      <c r="AF77" s="386"/>
      <c r="AG77" s="492">
        <f t="shared" si="28"/>
        <v>0</v>
      </c>
      <c r="AH77" s="492">
        <f t="shared" si="29"/>
        <v>0</v>
      </c>
      <c r="AI77" s="425">
        <f t="shared" si="30"/>
        <v>0</v>
      </c>
      <c r="AJ77" s="425">
        <f t="shared" si="31"/>
        <v>16.543566203379168</v>
      </c>
      <c r="AK77" s="425">
        <f t="shared" si="32"/>
        <v>0</v>
      </c>
      <c r="AL77" s="425">
        <f t="shared" si="45"/>
        <v>0</v>
      </c>
      <c r="AM77" s="425">
        <f t="shared" si="46"/>
        <v>0</v>
      </c>
      <c r="AN77" s="425">
        <f t="shared" si="47"/>
        <v>0</v>
      </c>
      <c r="AO77" s="200">
        <f>IF($I$2="DRT",VLOOKUP(A77,'Misc. Data &amp; Mechanisms'!$A$1483:$H$1574,7,FALSE),BA77)</f>
        <v>0.249</v>
      </c>
      <c r="AP77" s="552">
        <f t="shared" si="48"/>
        <v>7.47</v>
      </c>
      <c r="AQ77" s="290">
        <v>1.0109999999999999</v>
      </c>
      <c r="AR77" s="494">
        <f t="shared" si="49"/>
        <v>18.081670736882526</v>
      </c>
      <c r="AS77" s="495">
        <f>5%</f>
        <v>0.05</v>
      </c>
      <c r="AT77" s="341">
        <f>'Misc. Data &amp; Mechanisms'!AM350</f>
        <v>18.11340764861075</v>
      </c>
      <c r="AU77" s="424">
        <f>'Misc. Data &amp; Mechanisms'!AQ350</f>
        <v>19.181580192680293</v>
      </c>
      <c r="AV77" s="1087">
        <f>'Misc. Data &amp; Mechanisms'!Z350</f>
        <v>17.884936436085585</v>
      </c>
      <c r="AW77" s="1087">
        <f>'Misc. Data &amp; Mechanisms'!AA350</f>
        <v>11.422658996141301</v>
      </c>
      <c r="AX77" s="1460">
        <f>'Misc. Data &amp; Mechanisms'!$B$260</f>
        <v>10.198990303636064</v>
      </c>
      <c r="AY77" s="197">
        <f>IFERROR(IF('Personalized Bill Menu'!$B$30="Yes", IF('Personalized Bill Menu'!$B$34="Natural Gas",VLOOKUP($A77, 'Personalized Bill Menu'!$H$4:$L$93, 2, FALSE), IF('Personalized Bill Menu'!$B$34="Both",VLOOKUP($A77,'Personalized Bill Menu'!$H$4:$P$93, 6, FALSE), 0)), 0),0)</f>
        <v>0</v>
      </c>
      <c r="AZ77" s="1343">
        <f>IFERROR(IF('Personalized Bill Menu'!$C$37="Custom", IF('Personalized Bill Menu'!$B$34="Natural Gas",VLOOKUP($A77, 'Personalized Bill Menu'!$H$4:$L$93, 3, FALSE), IF('Personalized Bill Menu'!$B$34="Both",VLOOKUP($A77,'Personalized Bill Menu'!$H$4:$P$93, 7, FALSE), 0)), 0),0)</f>
        <v>0</v>
      </c>
      <c r="BA77" s="1344">
        <f>IFERROR(IF('Personalized Bill Menu'!$C$37="Custom", IF('Personalized Bill Menu'!$B$34="Natural Gas",VLOOKUP($A77, 'Personalized Bill Menu'!$H$4:$L$93, 4, FALSE), IF('Personalized Bill Menu'!$B$34="Both",VLOOKUP($A77,'Personalized Bill Menu'!$H$4:$P$93, 8, FALSE), 0)), 0),0)</f>
        <v>0</v>
      </c>
    </row>
    <row r="78" spans="1:53" s="117" customFormat="1" x14ac:dyDescent="0.35">
      <c r="A78" s="508">
        <v>43070</v>
      </c>
      <c r="B78" s="509">
        <f t="shared" si="34"/>
        <v>31</v>
      </c>
      <c r="C78" s="231">
        <f t="shared" si="35"/>
        <v>16.79731043937776</v>
      </c>
      <c r="D78" s="344">
        <f t="shared" si="36"/>
        <v>8.0223530958736333</v>
      </c>
      <c r="E78" s="344">
        <f>(1+$AS78)*IF(OR('Service Zone Menu'!$X$4="Calgary",AND('Service Zone Menu'!$X$4="Okotoks", $A78&lt;DATE(2019, 1, 1))),((1+$T78)*($N78+$P78+($X78+$Y78+$AA78+$AB78+$AC78))) + ($U78*($P78+($X78+$Y78+$AA78+$AB78+$AC78))) + $AQ78, ((1+$T78)*($P78+($Y78+$AA78+$AB78+$AC78)))+ ($U78*($P78+($X78+$Y78+$AA78+$AB78+$AC78)))+$N78+$X78 + $AQ78)</f>
        <v>5.7678362700000001</v>
      </c>
      <c r="F78" s="510">
        <f t="shared" si="37"/>
        <v>134.75395540569266</v>
      </c>
      <c r="G78" s="511">
        <f t="shared" si="38"/>
        <v>38.684205941886979</v>
      </c>
      <c r="H78" s="512">
        <f t="shared" si="33"/>
        <v>39.051632214138472</v>
      </c>
      <c r="I78" s="512">
        <f t="shared" si="39"/>
        <v>10.362669219713181</v>
      </c>
      <c r="J78" s="512">
        <f t="shared" si="40"/>
        <v>15.537512156424429</v>
      </c>
      <c r="K78" s="512">
        <f t="shared" si="41"/>
        <v>7.7190000000000003</v>
      </c>
      <c r="L78" s="512">
        <f t="shared" si="42"/>
        <v>16.982080854210913</v>
      </c>
      <c r="M78" s="513">
        <f t="shared" si="43"/>
        <v>6.4168550193186995</v>
      </c>
      <c r="N78" s="1243">
        <f>IF($I$2="DRT",VLOOKUP(A78,'Misc. Data &amp; Mechanisms'!$A$1381:$D$1471,3,FALSE),AZ78)</f>
        <v>2.3029999999999999</v>
      </c>
      <c r="O78" s="440">
        <f t="shared" si="44"/>
        <v>38.684205941886979</v>
      </c>
      <c r="P78" s="438">
        <v>0.80600000000000005</v>
      </c>
      <c r="Q78" s="283">
        <v>0.82299999999999995</v>
      </c>
      <c r="R78" s="440">
        <f t="shared" si="25"/>
        <v>13.538632214138476</v>
      </c>
      <c r="S78" s="440">
        <f t="shared" si="26"/>
        <v>25.512999999999998</v>
      </c>
      <c r="T78" s="394">
        <f>VLOOKUP($A78,'Misc. Data &amp; Mechanisms'!$A$63:$DY$152,HLOOKUP('Service Zone Menu'!$X$4&amp;"_ATCO-S_NG_Y_1",'Misc. Data &amp; Mechanisms'!$A$55:$DY$62,8,FALSE), FALSE)</f>
        <v>0.1111</v>
      </c>
      <c r="U78" s="246">
        <f>VLOOKUP($A78,'Misc. Data &amp; Mechanisms'!$A$63:$DY$152,HLOOKUP('Service Zone Menu'!$X$4&amp;"_ATCO-S_NG_Y_2",'Misc. Data &amp; Mechanisms'!$A$55:$DY$62,8,FALSE), FALSE)</f>
        <v>0</v>
      </c>
      <c r="V78" s="440">
        <f>IF(OR('Service Zone Menu'!$X$4="Calgary",AND('Service Zone Menu'!$X$4="Okotoks", $A78&lt;DATE(2019, 1, 1))),$T78*($H78+$G78+$J78),$T78*($H78+$J78-$AG78))</f>
        <v>10.362669219713181</v>
      </c>
      <c r="W78" s="440">
        <f t="shared" si="27"/>
        <v>0</v>
      </c>
      <c r="X78" s="439"/>
      <c r="Y78" s="399"/>
      <c r="Z78" s="399"/>
      <c r="AA78" s="399"/>
      <c r="AB78" s="399">
        <v>0.92500000000000004</v>
      </c>
      <c r="AC78" s="399"/>
      <c r="AD78" s="399"/>
      <c r="AE78" s="399"/>
      <c r="AF78" s="399"/>
      <c r="AG78" s="514">
        <f t="shared" si="28"/>
        <v>0</v>
      </c>
      <c r="AH78" s="514">
        <f t="shared" si="29"/>
        <v>0</v>
      </c>
      <c r="AI78" s="440">
        <f t="shared" si="30"/>
        <v>0</v>
      </c>
      <c r="AJ78" s="440">
        <f t="shared" si="31"/>
        <v>15.537512156424429</v>
      </c>
      <c r="AK78" s="440">
        <f t="shared" si="32"/>
        <v>0</v>
      </c>
      <c r="AL78" s="440">
        <f t="shared" si="45"/>
        <v>0</v>
      </c>
      <c r="AM78" s="440">
        <f t="shared" si="46"/>
        <v>0</v>
      </c>
      <c r="AN78" s="440">
        <f t="shared" si="47"/>
        <v>0</v>
      </c>
      <c r="AO78" s="239">
        <f>IF($I$2="DRT",VLOOKUP(A78,'Misc. Data &amp; Mechanisms'!$A$1483:$H$1574,7,FALSE),BA78)</f>
        <v>0.249</v>
      </c>
      <c r="AP78" s="558">
        <f t="shared" si="48"/>
        <v>7.7190000000000003</v>
      </c>
      <c r="AQ78" s="292">
        <v>1.0109999999999999</v>
      </c>
      <c r="AR78" s="516">
        <f t="shared" si="49"/>
        <v>16.982080854210913</v>
      </c>
      <c r="AS78" s="517">
        <f>5%</f>
        <v>0.05</v>
      </c>
      <c r="AT78" s="352">
        <f>'Misc. Data &amp; Mechanisms'!AM351</f>
        <v>17.011887768011878</v>
      </c>
      <c r="AU78" s="441">
        <f>'Misc. Data &amp; Mechanisms'!AQ351</f>
        <v>17.677045038204845</v>
      </c>
      <c r="AV78" s="1089">
        <f>'Misc. Data &amp; Mechanisms'!Z351</f>
        <v>16.79731043937776</v>
      </c>
      <c r="AW78" s="1089">
        <f>'Misc. Data &amp; Mechanisms'!AA351</f>
        <v>10.728019631884724</v>
      </c>
      <c r="AX78" s="1461">
        <f>'Misc. Data &amp; Mechanisms'!$B$260</f>
        <v>10.198990303636064</v>
      </c>
      <c r="AY78" s="243">
        <f>IFERROR(IF('Personalized Bill Menu'!$B$30="Yes", IF('Personalized Bill Menu'!$B$34="Natural Gas",VLOOKUP($A78, 'Personalized Bill Menu'!$H$4:$L$93, 2, FALSE), IF('Personalized Bill Menu'!$B$34="Both",VLOOKUP($A78,'Personalized Bill Menu'!$H$4:$P$93, 6, FALSE), 0)), 0),0)</f>
        <v>0</v>
      </c>
      <c r="AZ78" s="1345">
        <f>IFERROR(IF('Personalized Bill Menu'!$C$37="Custom", IF('Personalized Bill Menu'!$B$34="Natural Gas",VLOOKUP($A78, 'Personalized Bill Menu'!$H$4:$L$93, 3, FALSE), IF('Personalized Bill Menu'!$B$34="Both",VLOOKUP($A78,'Personalized Bill Menu'!$H$4:$P$93, 7, FALSE), 0)), 0),0)</f>
        <v>0</v>
      </c>
      <c r="BA78" s="1346">
        <f>IFERROR(IF('Personalized Bill Menu'!$C$37="Custom", IF('Personalized Bill Menu'!$B$34="Natural Gas",VLOOKUP($A78, 'Personalized Bill Menu'!$H$4:$L$93, 4, FALSE), IF('Personalized Bill Menu'!$B$34="Both",VLOOKUP($A78,'Personalized Bill Menu'!$H$4:$P$93, 8, FALSE), 0)), 0),0)</f>
        <v>0</v>
      </c>
    </row>
    <row r="79" spans="1:53" s="117" customFormat="1" x14ac:dyDescent="0.35">
      <c r="A79" s="498">
        <v>43101</v>
      </c>
      <c r="B79" s="499">
        <f t="shared" si="34"/>
        <v>31</v>
      </c>
      <c r="C79" s="212">
        <f t="shared" si="35"/>
        <v>19.379903428592719</v>
      </c>
      <c r="D79" s="353">
        <f t="shared" si="36"/>
        <v>7.7958842758897413</v>
      </c>
      <c r="E79" s="353">
        <f>(1+$AS79)*IF(OR('Service Zone Menu'!$X$4="Calgary",AND('Service Zone Menu'!$X$4="Okotoks", $A79&lt;DATE(2019, 1, 1))),((1+$T79)*($N79+$P79+($X79+$Y79+$AA79+$AB79+$AC79))) + ($U79*($P79+($X79+$Y79+$AA79+$AB79+$AC79))) + $AQ79, ((1+$T79)*($P79+($Y79+$AA79+$AB79+$AC79)))+ ($U79*($P79+($X79+$Y79+$AA79+$AB79+$AC79)))+$N79+$X79 + $AQ79)</f>
        <v>5.8418075099999998</v>
      </c>
      <c r="F79" s="500">
        <f t="shared" si="37"/>
        <v>151.08348440722767</v>
      </c>
      <c r="G79" s="501">
        <f t="shared" si="38"/>
        <v>37.03499545204069</v>
      </c>
      <c r="H79" s="502">
        <f t="shared" si="33"/>
        <v>41.133202163445731</v>
      </c>
      <c r="I79" s="502">
        <f t="shared" si="39"/>
        <v>10.676110980678445</v>
      </c>
      <c r="J79" s="502">
        <f t="shared" si="40"/>
        <v>17.926410671448266</v>
      </c>
      <c r="K79" s="502">
        <f t="shared" si="41"/>
        <v>7.7190000000000003</v>
      </c>
      <c r="L79" s="502">
        <f t="shared" si="42"/>
        <v>29.399313501175154</v>
      </c>
      <c r="M79" s="503">
        <f t="shared" si="43"/>
        <v>7.1944516384394142</v>
      </c>
      <c r="N79" s="1244">
        <f>IF($I$2="DRT",VLOOKUP(A79,'Misc. Data &amp; Mechanisms'!$A$1381:$D$1471,3,FALSE),AZ79)</f>
        <v>1.911</v>
      </c>
      <c r="O79" s="433">
        <f t="shared" si="44"/>
        <v>37.03499545204069</v>
      </c>
      <c r="P79" s="431">
        <v>0.80600000000000005</v>
      </c>
      <c r="Q79" s="288">
        <v>0.82299999999999995</v>
      </c>
      <c r="R79" s="433">
        <f t="shared" si="25"/>
        <v>15.620202163445732</v>
      </c>
      <c r="S79" s="433">
        <f t="shared" si="26"/>
        <v>25.512999999999998</v>
      </c>
      <c r="T79" s="391">
        <f>VLOOKUP($A79,'Misc. Data &amp; Mechanisms'!$A$63:$DY$152,HLOOKUP('Service Zone Menu'!$X$4&amp;"_ATCO-S_NG_Y_1",'Misc. Data &amp; Mechanisms'!$A$55:$DY$62,8,FALSE), FALSE)</f>
        <v>0.1111</v>
      </c>
      <c r="U79" s="205">
        <f>VLOOKUP($A79,'Misc. Data &amp; Mechanisms'!$A$63:$DY$152,HLOOKUP('Service Zone Menu'!$X$4&amp;"_ATCO-S_NG_Y_2",'Misc. Data &amp; Mechanisms'!$A$55:$DY$62,8,FALSE), FALSE)</f>
        <v>0</v>
      </c>
      <c r="V79" s="433">
        <f>IF(OR('Service Zone Menu'!$X$4="Calgary",AND('Service Zone Menu'!$X$4="Okotoks", $A79&lt;DATE(2019, 1, 1))),$T79*($H79+$G79+$J79),$T79*($H79+$J79-$AG79))</f>
        <v>10.676110980678445</v>
      </c>
      <c r="W79" s="433">
        <f t="shared" si="27"/>
        <v>0</v>
      </c>
      <c r="X79" s="432"/>
      <c r="Y79" s="397"/>
      <c r="Z79" s="397"/>
      <c r="AA79" s="397"/>
      <c r="AB79" s="397">
        <v>0.92500000000000004</v>
      </c>
      <c r="AC79" s="397"/>
      <c r="AD79" s="397"/>
      <c r="AE79" s="397"/>
      <c r="AF79" s="397"/>
      <c r="AG79" s="504">
        <f t="shared" si="28"/>
        <v>0</v>
      </c>
      <c r="AH79" s="504">
        <f t="shared" si="29"/>
        <v>0</v>
      </c>
      <c r="AI79" s="433">
        <f t="shared" si="30"/>
        <v>0</v>
      </c>
      <c r="AJ79" s="433">
        <f t="shared" si="31"/>
        <v>17.926410671448266</v>
      </c>
      <c r="AK79" s="433">
        <f t="shared" si="32"/>
        <v>0</v>
      </c>
      <c r="AL79" s="433">
        <f t="shared" si="45"/>
        <v>0</v>
      </c>
      <c r="AM79" s="433">
        <f t="shared" si="46"/>
        <v>0</v>
      </c>
      <c r="AN79" s="433">
        <f t="shared" si="47"/>
        <v>0</v>
      </c>
      <c r="AO79" s="200">
        <f>IF($I$2="DRT",VLOOKUP(A79,'Misc. Data &amp; Mechanisms'!$A$1483:$H$1574,7,FALSE),BA79)</f>
        <v>0.249</v>
      </c>
      <c r="AP79" s="555">
        <f t="shared" si="48"/>
        <v>7.7190000000000003</v>
      </c>
      <c r="AQ79" s="286">
        <v>1.5169999999999999</v>
      </c>
      <c r="AR79" s="506">
        <f t="shared" si="49"/>
        <v>29.399313501175154</v>
      </c>
      <c r="AS79" s="507">
        <f>5%</f>
        <v>0.05</v>
      </c>
      <c r="AT79" s="359">
        <f>'Misc. Data &amp; Mechanisms'!AM352</f>
        <v>19.627472104655638</v>
      </c>
      <c r="AU79" s="434">
        <f>'Misc. Data &amp; Mechanisms'!AQ352</f>
        <v>21.091427130610185</v>
      </c>
      <c r="AV79" s="434">
        <f>'Misc. Data &amp; Mechanisms'!Z352</f>
        <v>19.379903428592719</v>
      </c>
      <c r="AW79" s="434">
        <f>'Misc. Data &amp; Mechanisms'!AA352</f>
        <v>12.377456807524151</v>
      </c>
      <c r="AX79" s="1462">
        <f>'Misc. Data &amp; Mechanisms'!$B$260</f>
        <v>10.198990303636064</v>
      </c>
      <c r="AY79" s="197">
        <f>IFERROR(IF('Personalized Bill Menu'!$B$30="Yes", IF('Personalized Bill Menu'!$B$34="Natural Gas",VLOOKUP($A79, 'Personalized Bill Menu'!$H$4:$L$93, 2, FALSE), IF('Personalized Bill Menu'!$B$34="Both",VLOOKUP($A79,'Personalized Bill Menu'!$H$4:$P$93, 6, FALSE), 0)), 0),0)</f>
        <v>0</v>
      </c>
      <c r="AZ79" s="1343">
        <f>IFERROR(IF('Personalized Bill Menu'!$C$37="Custom", IF('Personalized Bill Menu'!$B$34="Natural Gas",VLOOKUP($A79, 'Personalized Bill Menu'!$H$4:$L$93, 3, FALSE), IF('Personalized Bill Menu'!$B$34="Both",VLOOKUP($A79,'Personalized Bill Menu'!$H$4:$P$93, 7, FALSE), 0)), 0),0)</f>
        <v>0</v>
      </c>
      <c r="BA79" s="1344">
        <f>IFERROR(IF('Personalized Bill Menu'!$C$37="Custom", IF('Personalized Bill Menu'!$B$34="Natural Gas",VLOOKUP($A79, 'Personalized Bill Menu'!$H$4:$L$93, 4, FALSE), IF('Personalized Bill Menu'!$B$34="Both",VLOOKUP($A79,'Personalized Bill Menu'!$H$4:$P$93, 8, FALSE), 0)), 0),0)</f>
        <v>0</v>
      </c>
    </row>
    <row r="80" spans="1:53" s="117" customFormat="1" x14ac:dyDescent="0.35">
      <c r="A80" s="496">
        <v>43132</v>
      </c>
      <c r="B80" s="497">
        <f t="shared" si="34"/>
        <v>28</v>
      </c>
      <c r="C80" s="226">
        <f t="shared" si="35"/>
        <v>22.136199814862515</v>
      </c>
      <c r="D80" s="66">
        <f t="shared" si="36"/>
        <v>7.873509053781798</v>
      </c>
      <c r="E80" s="66">
        <f>(1+$AS80)*IF(OR('Service Zone Menu'!$X$4="Calgary",AND('Service Zone Menu'!$X$4="Okotoks", $A80&lt;DATE(2019, 1, 1))),((1+$T80)*($N80+$P80+($X80+$Y80+$AA80+$AB80+$AC80))) + ($U80*($P80+($X80+$Y80+$AA80+$AB80+$AC80))) + $AQ80, ((1+$T80)*($P80+($Y80+$AA80+$AB80+$AC80)))+ ($U80*($P80+($X80+$Y80+$AA80+$AB80+$AC80)))+$N80+$X80 + $AQ80)</f>
        <v>6.3283026449999999</v>
      </c>
      <c r="F80" s="488">
        <f t="shared" si="37"/>
        <v>174.28956965864296</v>
      </c>
      <c r="G80" s="489">
        <f t="shared" si="38"/>
        <v>51.533073168999934</v>
      </c>
      <c r="H80" s="490">
        <f t="shared" si="33"/>
        <v>40.885777050779183</v>
      </c>
      <c r="I80" s="490">
        <f t="shared" si="39"/>
        <v>12.542616173891345</v>
      </c>
      <c r="J80" s="490">
        <f t="shared" si="40"/>
        <v>20.475984828747826</v>
      </c>
      <c r="K80" s="490">
        <f t="shared" si="41"/>
        <v>6.9719999999999995</v>
      </c>
      <c r="L80" s="490">
        <f t="shared" si="42"/>
        <v>33.580615119146429</v>
      </c>
      <c r="M80" s="491">
        <f t="shared" si="43"/>
        <v>8.2995033170782371</v>
      </c>
      <c r="N80" s="273">
        <f>IF($I$2="DRT",VLOOKUP(A80,'Misc. Data &amp; Mechanisms'!$A$1381:$D$1471,3,FALSE),AZ80)</f>
        <v>2.3279999999999998</v>
      </c>
      <c r="O80" s="425">
        <f t="shared" si="44"/>
        <v>51.533073168999934</v>
      </c>
      <c r="P80" s="387">
        <v>0.80600000000000005</v>
      </c>
      <c r="Q80" s="278">
        <v>0.82299999999999995</v>
      </c>
      <c r="R80" s="425">
        <f t="shared" si="25"/>
        <v>17.841777050779189</v>
      </c>
      <c r="S80" s="425">
        <f t="shared" si="26"/>
        <v>23.043999999999997</v>
      </c>
      <c r="T80" s="391">
        <f>VLOOKUP($A80,'Misc. Data &amp; Mechanisms'!$A$63:$DY$152,HLOOKUP('Service Zone Menu'!$X$4&amp;"_ATCO-S_NG_Y_1",'Misc. Data &amp; Mechanisms'!$A$55:$DY$62,8,FALSE), FALSE)</f>
        <v>0.1111</v>
      </c>
      <c r="U80" s="205">
        <f>VLOOKUP($A80,'Misc. Data &amp; Mechanisms'!$A$63:$DY$152,HLOOKUP('Service Zone Menu'!$X$4&amp;"_ATCO-S_NG_Y_2",'Misc. Data &amp; Mechanisms'!$A$55:$DY$62,8,FALSE), FALSE)</f>
        <v>0</v>
      </c>
      <c r="V80" s="425">
        <f>IF(OR('Service Zone Menu'!$X$4="Calgary",AND('Service Zone Menu'!$X$4="Okotoks", $A80&lt;DATE(2019, 1, 1))),$T80*($H80+$G80+$J80),$T80*($H80+$J80-$AG80))</f>
        <v>12.542616173891345</v>
      </c>
      <c r="W80" s="425">
        <f t="shared" si="27"/>
        <v>0</v>
      </c>
      <c r="X80" s="426"/>
      <c r="Y80" s="386"/>
      <c r="Z80" s="386"/>
      <c r="AA80" s="386"/>
      <c r="AB80" s="386">
        <v>0.92500000000000004</v>
      </c>
      <c r="AC80" s="386"/>
      <c r="AD80" s="386"/>
      <c r="AE80" s="386"/>
      <c r="AF80" s="386"/>
      <c r="AG80" s="492">
        <f t="shared" si="28"/>
        <v>0</v>
      </c>
      <c r="AH80" s="492">
        <f t="shared" si="29"/>
        <v>0</v>
      </c>
      <c r="AI80" s="425">
        <f t="shared" si="30"/>
        <v>0</v>
      </c>
      <c r="AJ80" s="425">
        <f t="shared" si="31"/>
        <v>20.475984828747826</v>
      </c>
      <c r="AK80" s="425">
        <f t="shared" si="32"/>
        <v>0</v>
      </c>
      <c r="AL80" s="425">
        <f t="shared" si="45"/>
        <v>0</v>
      </c>
      <c r="AM80" s="425">
        <f t="shared" si="46"/>
        <v>0</v>
      </c>
      <c r="AN80" s="425">
        <f t="shared" si="47"/>
        <v>0</v>
      </c>
      <c r="AO80" s="200">
        <f>IF($I$2="DRT",VLOOKUP(A80,'Misc. Data &amp; Mechanisms'!$A$1483:$H$1574,7,FALSE),BA80)</f>
        <v>0.249</v>
      </c>
      <c r="AP80" s="552">
        <f t="shared" si="48"/>
        <v>6.9719999999999995</v>
      </c>
      <c r="AQ80" s="290">
        <v>1.5169999999999999</v>
      </c>
      <c r="AR80" s="494">
        <f t="shared" si="49"/>
        <v>33.580615119146429</v>
      </c>
      <c r="AS80" s="495">
        <f>5%</f>
        <v>0.05</v>
      </c>
      <c r="AT80" s="341">
        <f>'Misc. Data &amp; Mechanisms'!AM353</f>
        <v>22.418978813293659</v>
      </c>
      <c r="AU80" s="424">
        <f>'Misc. Data &amp; Mechanisms'!AQ353</f>
        <v>22.137487627087168</v>
      </c>
      <c r="AV80" s="424">
        <f>'Misc. Data &amp; Mechanisms'!Z353</f>
        <v>22.136199814862515</v>
      </c>
      <c r="AW80" s="424">
        <f>'Misc. Data &amp; Mechanisms'!AA353</f>
        <v>14.137833973256326</v>
      </c>
      <c r="AX80" s="1460">
        <f>'Misc. Data &amp; Mechanisms'!$B$260</f>
        <v>10.198990303636064</v>
      </c>
      <c r="AY80" s="197">
        <f>IFERROR(IF('Personalized Bill Menu'!$B$30="Yes", IF('Personalized Bill Menu'!$B$34="Natural Gas",VLOOKUP($A80, 'Personalized Bill Menu'!$H$4:$L$93, 2, FALSE), IF('Personalized Bill Menu'!$B$34="Both",VLOOKUP($A80,'Personalized Bill Menu'!$H$4:$P$93, 6, FALSE), 0)), 0),0)</f>
        <v>0</v>
      </c>
      <c r="AZ80" s="1343">
        <f>IFERROR(IF('Personalized Bill Menu'!$C$37="Custom", IF('Personalized Bill Menu'!$B$34="Natural Gas",VLOOKUP($A80, 'Personalized Bill Menu'!$H$4:$L$93, 3, FALSE), IF('Personalized Bill Menu'!$B$34="Both",VLOOKUP($A80,'Personalized Bill Menu'!$H$4:$P$93, 7, FALSE), 0)), 0),0)</f>
        <v>0</v>
      </c>
      <c r="BA80" s="1344">
        <f>IFERROR(IF('Personalized Bill Menu'!$C$37="Custom", IF('Personalized Bill Menu'!$B$34="Natural Gas",VLOOKUP($A80, 'Personalized Bill Menu'!$H$4:$L$93, 4, FALSE), IF('Personalized Bill Menu'!$B$34="Both",VLOOKUP($A80,'Personalized Bill Menu'!$H$4:$P$93, 8, FALSE), 0)), 0),0)</f>
        <v>0</v>
      </c>
    </row>
    <row r="81" spans="1:53" s="117" customFormat="1" x14ac:dyDescent="0.35">
      <c r="A81" s="496">
        <v>43160</v>
      </c>
      <c r="B81" s="497">
        <f t="shared" si="34"/>
        <v>31</v>
      </c>
      <c r="C81" s="226">
        <f t="shared" si="35"/>
        <v>16.888538624953767</v>
      </c>
      <c r="D81" s="66">
        <f t="shared" si="36"/>
        <v>7.4459856449178252</v>
      </c>
      <c r="E81" s="66">
        <f>(1+$AS81)*IF(OR('Service Zone Menu'!$X$4="Calgary",AND('Service Zone Menu'!$X$4="Okotoks", $A81&lt;DATE(2019, 1, 1))),((1+$T81)*($N81+$P81+($X81+$Y81+$AA81+$AB81+$AC81))) + ($U81*($P81+($X81+$Y81+$AA81+$AB81+$AC81))) + $AQ81, ((1+$T81)*($P81+($Y81+$AA81+$AB81+$AC81)))+ ($U81*($P81+($X81+$Y81+$AA81+$AB81+$AC81)))+$N81+$X81 + $AQ81)</f>
        <v>5.2036472250000001</v>
      </c>
      <c r="F81" s="488">
        <f t="shared" si="37"/>
        <v>125.75181616504598</v>
      </c>
      <c r="G81" s="489">
        <f t="shared" si="38"/>
        <v>29.267837437044882</v>
      </c>
      <c r="H81" s="490">
        <f t="shared" si="33"/>
        <v>39.125162131712734</v>
      </c>
      <c r="I81" s="490">
        <f t="shared" si="39"/>
        <v>8.6416943046141661</v>
      </c>
      <c r="J81" s="490">
        <f t="shared" si="40"/>
        <v>9.3900274754742963</v>
      </c>
      <c r="K81" s="490">
        <f t="shared" si="41"/>
        <v>7.7190000000000003</v>
      </c>
      <c r="L81" s="490">
        <f t="shared" si="42"/>
        <v>25.619913094054862</v>
      </c>
      <c r="M81" s="491">
        <f t="shared" si="43"/>
        <v>5.9881817221450468</v>
      </c>
      <c r="N81" s="273">
        <f>IF($I$2="DRT",VLOOKUP(A81,'Misc. Data &amp; Mechanisms'!$A$1381:$D$1471,3,FALSE),AZ81)</f>
        <v>1.7330000000000001</v>
      </c>
      <c r="O81" s="425">
        <f t="shared" si="44"/>
        <v>29.267837437044882</v>
      </c>
      <c r="P81" s="387">
        <v>0.80600000000000005</v>
      </c>
      <c r="Q81" s="278">
        <v>0.82299999999999995</v>
      </c>
      <c r="R81" s="425">
        <f t="shared" si="25"/>
        <v>13.612162131712738</v>
      </c>
      <c r="S81" s="425">
        <f t="shared" si="26"/>
        <v>25.512999999999998</v>
      </c>
      <c r="T81" s="391">
        <f>VLOOKUP($A81,'Misc. Data &amp; Mechanisms'!$A$63:$DY$152,HLOOKUP('Service Zone Menu'!$X$4&amp;"_ATCO-S_NG_Y_1",'Misc. Data &amp; Mechanisms'!$A$55:$DY$62,8,FALSE), FALSE)</f>
        <v>0.1111</v>
      </c>
      <c r="U81" s="205">
        <f>VLOOKUP($A81,'Misc. Data &amp; Mechanisms'!$A$63:$DY$152,HLOOKUP('Service Zone Menu'!$X$4&amp;"_ATCO-S_NG_Y_2",'Misc. Data &amp; Mechanisms'!$A$55:$DY$62,8,FALSE), FALSE)</f>
        <v>0</v>
      </c>
      <c r="V81" s="425">
        <f>IF(OR('Service Zone Menu'!$X$4="Calgary",AND('Service Zone Menu'!$X$4="Okotoks", $A81&lt;DATE(2019, 1, 1))),$T81*($H81+$G81+$J81),$T81*($H81+$J81-$AG81))</f>
        <v>8.6416943046141661</v>
      </c>
      <c r="W81" s="425">
        <f t="shared" si="27"/>
        <v>0</v>
      </c>
      <c r="X81" s="426"/>
      <c r="Y81" s="386"/>
      <c r="Z81" s="386"/>
      <c r="AA81" s="386"/>
      <c r="AB81" s="386">
        <v>0.55600000000000005</v>
      </c>
      <c r="AC81" s="386"/>
      <c r="AD81" s="386"/>
      <c r="AE81" s="386"/>
      <c r="AF81" s="386"/>
      <c r="AG81" s="492">
        <f t="shared" si="28"/>
        <v>0</v>
      </c>
      <c r="AH81" s="492">
        <f t="shared" si="29"/>
        <v>0</v>
      </c>
      <c r="AI81" s="425">
        <f t="shared" si="30"/>
        <v>0</v>
      </c>
      <c r="AJ81" s="425">
        <f t="shared" si="31"/>
        <v>9.3900274754742963</v>
      </c>
      <c r="AK81" s="425">
        <f t="shared" si="32"/>
        <v>0</v>
      </c>
      <c r="AL81" s="425">
        <f t="shared" si="45"/>
        <v>0</v>
      </c>
      <c r="AM81" s="425">
        <f t="shared" si="46"/>
        <v>0</v>
      </c>
      <c r="AN81" s="425">
        <f t="shared" si="47"/>
        <v>0</v>
      </c>
      <c r="AO81" s="200">
        <f>IF($I$2="DRT",VLOOKUP(A81,'Misc. Data &amp; Mechanisms'!$A$1483:$H$1574,7,FALSE),BA81)</f>
        <v>0.249</v>
      </c>
      <c r="AP81" s="552">
        <f t="shared" si="48"/>
        <v>7.7190000000000003</v>
      </c>
      <c r="AQ81" s="290">
        <v>1.5169999999999999</v>
      </c>
      <c r="AR81" s="494">
        <f t="shared" si="49"/>
        <v>25.619913094054862</v>
      </c>
      <c r="AS81" s="495">
        <f>5%</f>
        <v>0.05</v>
      </c>
      <c r="AT81" s="341">
        <f>'Misc. Data &amp; Mechanisms'!AM354</f>
        <v>17.104281348513915</v>
      </c>
      <c r="AU81" s="424">
        <f>'Misc. Data &amp; Mechanisms'!AQ354</f>
        <v>16.971699948483135</v>
      </c>
      <c r="AV81" s="424">
        <f>'Misc. Data &amp; Mechanisms'!Z354</f>
        <v>16.888538624953767</v>
      </c>
      <c r="AW81" s="424">
        <f>'Misc. Data &amp; Mechanisms'!AA354</f>
        <v>10.786284779116048</v>
      </c>
      <c r="AX81" s="1460">
        <f>'Misc. Data &amp; Mechanisms'!$B$260</f>
        <v>10.198990303636064</v>
      </c>
      <c r="AY81" s="197">
        <f>IFERROR(IF('Personalized Bill Menu'!$B$30="Yes", IF('Personalized Bill Menu'!$B$34="Natural Gas",VLOOKUP($A81, 'Personalized Bill Menu'!$H$4:$L$93, 2, FALSE), IF('Personalized Bill Menu'!$B$34="Both",VLOOKUP($A81,'Personalized Bill Menu'!$H$4:$P$93, 6, FALSE), 0)), 0),0)</f>
        <v>0</v>
      </c>
      <c r="AZ81" s="1343">
        <f>IFERROR(IF('Personalized Bill Menu'!$C$37="Custom", IF('Personalized Bill Menu'!$B$34="Natural Gas",VLOOKUP($A81, 'Personalized Bill Menu'!$H$4:$L$93, 3, FALSE), IF('Personalized Bill Menu'!$B$34="Both",VLOOKUP($A81,'Personalized Bill Menu'!$H$4:$P$93, 7, FALSE), 0)), 0),0)</f>
        <v>0</v>
      </c>
      <c r="BA81" s="1344">
        <f>IFERROR(IF('Personalized Bill Menu'!$C$37="Custom", IF('Personalized Bill Menu'!$B$34="Natural Gas",VLOOKUP($A81, 'Personalized Bill Menu'!$H$4:$L$93, 4, FALSE), IF('Personalized Bill Menu'!$B$34="Both",VLOOKUP($A81,'Personalized Bill Menu'!$H$4:$P$93, 8, FALSE), 0)), 0),0)</f>
        <v>0</v>
      </c>
    </row>
    <row r="82" spans="1:53" s="117" customFormat="1" x14ac:dyDescent="0.35">
      <c r="A82" s="496">
        <v>43191</v>
      </c>
      <c r="B82" s="497">
        <f t="shared" si="34"/>
        <v>30</v>
      </c>
      <c r="C82" s="226">
        <f t="shared" si="35"/>
        <v>13.10963277092905</v>
      </c>
      <c r="D82" s="66">
        <f t="shared" si="36"/>
        <v>8.0653539197666291</v>
      </c>
      <c r="E82" s="66">
        <f>(1+$AS82)*IF(OR('Service Zone Menu'!$X$4="Calgary",AND('Service Zone Menu'!$X$4="Okotoks", $A82&lt;DATE(2019, 1, 1))),((1+$T82)*($N82+$P82+($X82+$Y82+$AA82+$AB82+$AC82))) + ($U82*($P82+($X82+$Y82+$AA82+$AB82+$AC82))) + $AQ82, ((1+$T82)*($P82+($Y82+$AA82+$AB82+$AC82)))+ ($U82*($P82+($X82+$Y82+$AA82+$AB82+$AC82)))+$N82+$X82 + $AQ82)</f>
        <v>5.3926453350000001</v>
      </c>
      <c r="F82" s="488">
        <f t="shared" si="37"/>
        <v>105.73382805571367</v>
      </c>
      <c r="G82" s="489">
        <f t="shared" si="38"/>
        <v>25.786647660417444</v>
      </c>
      <c r="H82" s="490">
        <f t="shared" si="33"/>
        <v>32.932470453861924</v>
      </c>
      <c r="I82" s="490">
        <f t="shared" si="39"/>
        <v>7.3334970141691596</v>
      </c>
      <c r="J82" s="490">
        <f t="shared" si="40"/>
        <v>7.2889558206365521</v>
      </c>
      <c r="K82" s="490">
        <f t="shared" si="41"/>
        <v>7.47</v>
      </c>
      <c r="L82" s="490">
        <f t="shared" ref="L82:L84" si="50">AR82</f>
        <v>19.887312913499368</v>
      </c>
      <c r="M82" s="491">
        <f t="shared" si="43"/>
        <v>5.0349441931292231</v>
      </c>
      <c r="N82" s="273">
        <f>IF($I$2="DRT",VLOOKUP(A82,'Misc. Data &amp; Mechanisms'!$A$1381:$D$1471,3,FALSE),AZ82)</f>
        <v>1.9670000000000001</v>
      </c>
      <c r="O82" s="552">
        <f t="shared" si="44"/>
        <v>25.786647660417444</v>
      </c>
      <c r="P82" s="387">
        <v>0.73399999999999999</v>
      </c>
      <c r="Q82" s="278">
        <v>0.77700000000000002</v>
      </c>
      <c r="R82" s="425">
        <f t="shared" si="25"/>
        <v>9.6224704538619221</v>
      </c>
      <c r="S82" s="552">
        <f t="shared" si="26"/>
        <v>23.310000000000002</v>
      </c>
      <c r="T82" s="391">
        <f>VLOOKUP($A82,'Misc. Data &amp; Mechanisms'!$A$63:$DY$152,HLOOKUP('Service Zone Menu'!$X$4&amp;"_ATCO-S_NG_Y_1",'Misc. Data &amp; Mechanisms'!$A$55:$DY$62,8,FALSE), FALSE)</f>
        <v>0.1111</v>
      </c>
      <c r="U82" s="205">
        <f>VLOOKUP($A82,'Misc. Data &amp; Mechanisms'!$A$63:$DY$152,HLOOKUP('Service Zone Menu'!$X$4&amp;"_ATCO-S_NG_Y_2",'Misc. Data &amp; Mechanisms'!$A$55:$DY$62,8,FALSE), FALSE)</f>
        <v>0</v>
      </c>
      <c r="V82" s="425">
        <f>IF(OR('Service Zone Menu'!$X$4="Calgary",AND('Service Zone Menu'!$X$4="Okotoks", $A82&lt;DATE(2019, 1, 1))),$T82*($H82+$G82+$J82),$T82*($H82+$J82-$AG82))</f>
        <v>7.3334970141691596</v>
      </c>
      <c r="W82" s="552">
        <f t="shared" si="27"/>
        <v>0</v>
      </c>
      <c r="X82" s="445"/>
      <c r="Y82" s="445"/>
      <c r="Z82" s="445"/>
      <c r="AA82" s="445"/>
      <c r="AB82" s="386">
        <v>0.55600000000000005</v>
      </c>
      <c r="AC82" s="445"/>
      <c r="AD82" s="445"/>
      <c r="AE82" s="445"/>
      <c r="AF82" s="445"/>
      <c r="AG82" s="492">
        <f t="shared" si="28"/>
        <v>0</v>
      </c>
      <c r="AH82" s="492">
        <f t="shared" si="29"/>
        <v>0</v>
      </c>
      <c r="AI82" s="425">
        <f t="shared" si="30"/>
        <v>0</v>
      </c>
      <c r="AJ82" s="425">
        <f t="shared" si="31"/>
        <v>7.2889558206365521</v>
      </c>
      <c r="AK82" s="425">
        <f t="shared" si="32"/>
        <v>0</v>
      </c>
      <c r="AL82" s="425">
        <f t="shared" ref="AL82:AL84" si="51">AD82</f>
        <v>0</v>
      </c>
      <c r="AM82" s="425">
        <f t="shared" ref="AM82:AM84" si="52">AE82*B82</f>
        <v>0</v>
      </c>
      <c r="AN82" s="552">
        <f t="shared" si="47"/>
        <v>0</v>
      </c>
      <c r="AO82" s="200">
        <f>IF($I$2="DRT",VLOOKUP(A82,'Misc. Data &amp; Mechanisms'!$A$1483:$H$1574,7,FALSE),BA82)</f>
        <v>0.249</v>
      </c>
      <c r="AP82" s="552">
        <f t="shared" si="48"/>
        <v>7.47</v>
      </c>
      <c r="AQ82" s="290">
        <v>1.5169999999999999</v>
      </c>
      <c r="AR82" s="494">
        <f t="shared" si="49"/>
        <v>19.887312913499368</v>
      </c>
      <c r="AS82" s="1498">
        <f>5%</f>
        <v>0.05</v>
      </c>
      <c r="AT82" s="341">
        <f>'Misc. Data &amp; Mechanisms'!AM355</f>
        <v>13.277101842213561</v>
      </c>
      <c r="AU82" s="424">
        <f>'Misc. Data &amp; Mechanisms'!AQ355</f>
        <v>12.796653982772801</v>
      </c>
      <c r="AV82" s="424">
        <f>'Misc. Data &amp; Mechanisms'!Z355</f>
        <v>13.10963277092905</v>
      </c>
      <c r="AW82" s="424">
        <f>'Misc. Data &amp; Mechanisms'!AA355</f>
        <v>8.3727926706423386</v>
      </c>
      <c r="AX82" s="1460">
        <f>'Misc. Data &amp; Mechanisms'!$B$260</f>
        <v>10.198990303636064</v>
      </c>
      <c r="AY82" s="197">
        <f>IFERROR(IF('Personalized Bill Menu'!$B$30="Yes", IF('Personalized Bill Menu'!$B$34="Natural Gas",VLOOKUP($A82, 'Personalized Bill Menu'!$H$4:$L$93, 2, FALSE), IF('Personalized Bill Menu'!$B$34="Both",VLOOKUP($A82,'Personalized Bill Menu'!$H$4:$P$93, 6, FALSE), 0)), 0),0)</f>
        <v>0</v>
      </c>
      <c r="AZ82" s="1343">
        <f>IFERROR(IF('Personalized Bill Menu'!$C$37="Custom", IF('Personalized Bill Menu'!$B$34="Natural Gas",VLOOKUP($A82, 'Personalized Bill Menu'!$H$4:$L$93, 3, FALSE), IF('Personalized Bill Menu'!$B$34="Both",VLOOKUP($A82,'Personalized Bill Menu'!$H$4:$P$93, 7, FALSE), 0)), 0),0)</f>
        <v>0</v>
      </c>
      <c r="BA82" s="1344">
        <f>IFERROR(IF('Personalized Bill Menu'!$C$37="Custom", IF('Personalized Bill Menu'!$B$34="Natural Gas",VLOOKUP($A82, 'Personalized Bill Menu'!$H$4:$L$93, 4, FALSE), IF('Personalized Bill Menu'!$B$34="Both",VLOOKUP($A82,'Personalized Bill Menu'!$H$4:$P$93, 8, FALSE), 0)), 0),0)</f>
        <v>0</v>
      </c>
    </row>
    <row r="83" spans="1:53" s="117" customFormat="1" x14ac:dyDescent="0.35">
      <c r="A83" s="496">
        <v>43221</v>
      </c>
      <c r="B83" s="497">
        <f t="shared" si="34"/>
        <v>31</v>
      </c>
      <c r="C83" s="226">
        <f t="shared" si="35"/>
        <v>4.4047814912747665</v>
      </c>
      <c r="D83" s="66">
        <f t="shared" si="36"/>
        <v>12.471399099239177</v>
      </c>
      <c r="E83" s="66">
        <f>(1+$AS83)*IF(OR('Service Zone Menu'!$X$4="Calgary",AND('Service Zone Menu'!$X$4="Okotoks", $A83&lt;DATE(2019, 1, 1))),((1+$T83)*($N83+$P83+($X83+$Y83+$AA83+$AB83+$AC83))) + ($U83*($P83+($X83+$Y83+$AA83+$AB83+$AC83))) + $AQ83, ((1+$T83)*($P83+($Y83+$AA83+$AB83+$AC83)))+ ($U83*($P83+($X83+$Y83+$AA83+$AB83+$AC83)))+$N83+$X83 + $AQ83)</f>
        <v>4.251656745</v>
      </c>
      <c r="F83" s="488">
        <f t="shared" si="37"/>
        <v>54.93378792262952</v>
      </c>
      <c r="G83" s="489">
        <f t="shared" si="38"/>
        <v>4.3563288948707442</v>
      </c>
      <c r="H83" s="490">
        <f t="shared" si="33"/>
        <v>27.32010961459568</v>
      </c>
      <c r="I83" s="490">
        <f t="shared" si="39"/>
        <v>3.7913427187681479</v>
      </c>
      <c r="J83" s="490">
        <f t="shared" si="40"/>
        <v>2.4490585091487702</v>
      </c>
      <c r="K83" s="490">
        <f t="shared" si="41"/>
        <v>7.7190000000000003</v>
      </c>
      <c r="L83" s="490">
        <f t="shared" si="50"/>
        <v>6.6820535222638204</v>
      </c>
      <c r="M83" s="491">
        <f t="shared" si="43"/>
        <v>2.6158946629823583</v>
      </c>
      <c r="N83" s="273">
        <f>IF($I$2="DRT",VLOOKUP(A83,'Misc. Data &amp; Mechanisms'!$A$1381:$D$1471,3,FALSE),AZ83)</f>
        <v>0.98899999999999999</v>
      </c>
      <c r="O83" s="552">
        <f t="shared" si="44"/>
        <v>4.3563288948707442</v>
      </c>
      <c r="P83" s="387">
        <v>0.73399999999999999</v>
      </c>
      <c r="Q83" s="278">
        <v>0.77700000000000002</v>
      </c>
      <c r="R83" s="425">
        <f t="shared" si="25"/>
        <v>3.2331096145956786</v>
      </c>
      <c r="S83" s="552">
        <f t="shared" si="26"/>
        <v>24.087</v>
      </c>
      <c r="T83" s="391">
        <f>VLOOKUP($A83,'Misc. Data &amp; Mechanisms'!$A$63:$DY$152,HLOOKUP('Service Zone Menu'!$X$4&amp;"_ATCO-S_NG_Y_1",'Misc. Data &amp; Mechanisms'!$A$55:$DY$62,8,FALSE), FALSE)</f>
        <v>0.1111</v>
      </c>
      <c r="U83" s="205">
        <f>VLOOKUP($A83,'Misc. Data &amp; Mechanisms'!$A$63:$DY$152,HLOOKUP('Service Zone Menu'!$X$4&amp;"_ATCO-S_NG_Y_2",'Misc. Data &amp; Mechanisms'!$A$55:$DY$62,8,FALSE), FALSE)</f>
        <v>0</v>
      </c>
      <c r="V83" s="425">
        <f>IF(OR('Service Zone Menu'!$X$4="Calgary",AND('Service Zone Menu'!$X$4="Okotoks", $A83&lt;DATE(2019, 1, 1))),$T83*($H83+$G83+$J83),$T83*($H83+$J83-$AG83))</f>
        <v>3.7913427187681479</v>
      </c>
      <c r="W83" s="552">
        <f t="shared" si="27"/>
        <v>0</v>
      </c>
      <c r="X83" s="445"/>
      <c r="Y83" s="445"/>
      <c r="Z83" s="445"/>
      <c r="AA83" s="445"/>
      <c r="AB83" s="386">
        <v>0.55600000000000005</v>
      </c>
      <c r="AC83" s="445"/>
      <c r="AD83" s="445"/>
      <c r="AE83" s="445"/>
      <c r="AF83" s="445"/>
      <c r="AG83" s="492">
        <f t="shared" si="28"/>
        <v>0</v>
      </c>
      <c r="AH83" s="492">
        <f t="shared" si="29"/>
        <v>0</v>
      </c>
      <c r="AI83" s="425">
        <f t="shared" si="30"/>
        <v>0</v>
      </c>
      <c r="AJ83" s="425">
        <f t="shared" si="31"/>
        <v>2.4490585091487702</v>
      </c>
      <c r="AK83" s="425">
        <f t="shared" si="32"/>
        <v>0</v>
      </c>
      <c r="AL83" s="425">
        <f t="shared" si="51"/>
        <v>0</v>
      </c>
      <c r="AM83" s="425">
        <f t="shared" si="52"/>
        <v>0</v>
      </c>
      <c r="AN83" s="552">
        <f t="shared" si="47"/>
        <v>0</v>
      </c>
      <c r="AO83" s="200">
        <f>IF($I$2="DRT",VLOOKUP(A83,'Misc. Data &amp; Mechanisms'!$A$1483:$H$1574,7,FALSE),BA83)</f>
        <v>0.249</v>
      </c>
      <c r="AP83" s="552">
        <f t="shared" si="48"/>
        <v>7.7190000000000003</v>
      </c>
      <c r="AQ83" s="290">
        <v>1.5169999999999999</v>
      </c>
      <c r="AR83" s="494">
        <f t="shared" si="49"/>
        <v>6.6820535222638204</v>
      </c>
      <c r="AS83" s="1498">
        <f>5%</f>
        <v>0.05</v>
      </c>
      <c r="AT83" s="341">
        <f>'Misc. Data &amp; Mechanisms'!AM356</f>
        <v>4.4610503950987379</v>
      </c>
      <c r="AU83" s="424">
        <f>'Misc. Data &amp; Mechanisms'!AQ356</f>
        <v>4.014746237667608</v>
      </c>
      <c r="AV83" s="424">
        <f>'Misc. Data &amp; Mechanisms'!Z356</f>
        <v>4.4047814912747665</v>
      </c>
      <c r="AW83" s="424">
        <f>'Misc. Data &amp; Mechanisms'!AA356</f>
        <v>2.8132231337333464</v>
      </c>
      <c r="AX83" s="1460">
        <f>'Misc. Data &amp; Mechanisms'!$B$260</f>
        <v>10.198990303636064</v>
      </c>
      <c r="AY83" s="197">
        <f>IFERROR(IF('Personalized Bill Menu'!$B$30="Yes", IF('Personalized Bill Menu'!$B$34="Natural Gas",VLOOKUP($A83, 'Personalized Bill Menu'!$H$4:$L$93, 2, FALSE), IF('Personalized Bill Menu'!$B$34="Both",VLOOKUP($A83,'Personalized Bill Menu'!$H$4:$P$93, 6, FALSE), 0)), 0),0)</f>
        <v>0</v>
      </c>
      <c r="AZ83" s="1343">
        <f>IFERROR(IF('Personalized Bill Menu'!$C$37="Custom", IF('Personalized Bill Menu'!$B$34="Natural Gas",VLOOKUP($A83, 'Personalized Bill Menu'!$H$4:$L$93, 3, FALSE), IF('Personalized Bill Menu'!$B$34="Both",VLOOKUP($A83,'Personalized Bill Menu'!$H$4:$P$93, 7, FALSE), 0)), 0),0)</f>
        <v>0</v>
      </c>
      <c r="BA83" s="1344">
        <f>IFERROR(IF('Personalized Bill Menu'!$C$37="Custom", IF('Personalized Bill Menu'!$B$34="Natural Gas",VLOOKUP($A83, 'Personalized Bill Menu'!$H$4:$L$93, 4, FALSE), IF('Personalized Bill Menu'!$B$34="Both",VLOOKUP($A83,'Personalized Bill Menu'!$H$4:$P$93, 8, FALSE), 0)), 0),0)</f>
        <v>0</v>
      </c>
    </row>
    <row r="84" spans="1:53" s="117" customFormat="1" x14ac:dyDescent="0.35">
      <c r="A84" s="496">
        <v>43252</v>
      </c>
      <c r="B84" s="497">
        <f t="shared" si="34"/>
        <v>30</v>
      </c>
      <c r="C84" s="226">
        <f t="shared" si="35"/>
        <v>3.2976685156573131</v>
      </c>
      <c r="D84" s="66">
        <f t="shared" si="36"/>
        <v>14.357646913847367</v>
      </c>
      <c r="E84" s="66">
        <f>(1+$AS84)*IF(OR('Service Zone Menu'!$X$4="Calgary",AND('Service Zone Menu'!$X$4="Okotoks", $A84&lt;DATE(2019, 1, 1))),((1+$T84)*($N84+$P84+($X84+$Y84+$AA84+$AB84+$AC84))) + ($U84*($P84+($X84+$Y84+$AA84+$AB84+$AC84))) + $AQ84, ((1+$T84)*($P84+($Y84+$AA84+$AB84+$AC84)))+ ($U84*($P84+($X84+$Y84+$AA84+$AB84+$AC84)))+$N84+$X84 + $AQ84)</f>
        <v>3.7324952699999998</v>
      </c>
      <c r="F84" s="488">
        <f t="shared" si="37"/>
        <v>47.346760186718846</v>
      </c>
      <c r="G84" s="489">
        <f t="shared" si="38"/>
        <v>1.7939316725175785</v>
      </c>
      <c r="H84" s="490">
        <f t="shared" si="33"/>
        <v>25.730488690492471</v>
      </c>
      <c r="I84" s="490">
        <f t="shared" si="39"/>
        <v>3.2616653628121943</v>
      </c>
      <c r="J84" s="490">
        <f t="shared" si="40"/>
        <v>1.8335036947054661</v>
      </c>
      <c r="K84" s="490">
        <f t="shared" si="41"/>
        <v>7.47</v>
      </c>
      <c r="L84" s="490">
        <f t="shared" si="50"/>
        <v>5.0025631382521434</v>
      </c>
      <c r="M84" s="491">
        <f t="shared" si="43"/>
        <v>2.2546076279389928</v>
      </c>
      <c r="N84" s="273">
        <f>IF($I$2="DRT",VLOOKUP(A84,'Misc. Data &amp; Mechanisms'!$A$1381:$D$1471,3,FALSE),AZ84)</f>
        <v>0.54400000000000004</v>
      </c>
      <c r="O84" s="552">
        <f t="shared" si="44"/>
        <v>1.7939316725175785</v>
      </c>
      <c r="P84" s="387">
        <v>0.73399999999999999</v>
      </c>
      <c r="Q84" s="278">
        <v>0.77700000000000002</v>
      </c>
      <c r="R84" s="425">
        <f t="shared" si="25"/>
        <v>2.4204886904924678</v>
      </c>
      <c r="S84" s="552">
        <f t="shared" si="26"/>
        <v>23.310000000000002</v>
      </c>
      <c r="T84" s="391">
        <f>VLOOKUP($A84,'Misc. Data &amp; Mechanisms'!$A$63:$DY$152,HLOOKUP('Service Zone Menu'!$X$4&amp;"_ATCO-S_NG_Y_1",'Misc. Data &amp; Mechanisms'!$A$55:$DY$62,8,FALSE), FALSE)</f>
        <v>0.1111</v>
      </c>
      <c r="U84" s="205">
        <f>VLOOKUP($A84,'Misc. Data &amp; Mechanisms'!$A$63:$DY$152,HLOOKUP('Service Zone Menu'!$X$4&amp;"_ATCO-S_NG_Y_2",'Misc. Data &amp; Mechanisms'!$A$55:$DY$62,8,FALSE), FALSE)</f>
        <v>0</v>
      </c>
      <c r="V84" s="425">
        <f>IF(OR('Service Zone Menu'!$X$4="Calgary",AND('Service Zone Menu'!$X$4="Okotoks", $A84&lt;DATE(2019, 1, 1))),$T84*($H84+$G84+$J84),$T84*($H84+$J84-$AG84))</f>
        <v>3.2616653628121943</v>
      </c>
      <c r="W84" s="552">
        <f t="shared" si="27"/>
        <v>0</v>
      </c>
      <c r="X84" s="445"/>
      <c r="Y84" s="445"/>
      <c r="Z84" s="445"/>
      <c r="AA84" s="445"/>
      <c r="AB84" s="386">
        <v>0.55600000000000005</v>
      </c>
      <c r="AC84" s="445"/>
      <c r="AD84" s="445"/>
      <c r="AE84" s="445"/>
      <c r="AF84" s="445"/>
      <c r="AG84" s="492">
        <f t="shared" si="28"/>
        <v>0</v>
      </c>
      <c r="AH84" s="492">
        <f t="shared" si="29"/>
        <v>0</v>
      </c>
      <c r="AI84" s="425">
        <f t="shared" si="30"/>
        <v>0</v>
      </c>
      <c r="AJ84" s="425">
        <f t="shared" si="31"/>
        <v>1.8335036947054661</v>
      </c>
      <c r="AK84" s="425">
        <f t="shared" si="32"/>
        <v>0</v>
      </c>
      <c r="AL84" s="425">
        <f t="shared" si="51"/>
        <v>0</v>
      </c>
      <c r="AM84" s="425">
        <f t="shared" si="52"/>
        <v>0</v>
      </c>
      <c r="AN84" s="552">
        <f t="shared" si="47"/>
        <v>0</v>
      </c>
      <c r="AO84" s="200">
        <f>IF($I$2="DRT",VLOOKUP(A84,'Misc. Data &amp; Mechanisms'!$A$1483:$H$1574,7,FALSE),BA84)</f>
        <v>0.249</v>
      </c>
      <c r="AP84" s="552">
        <f t="shared" si="48"/>
        <v>7.47</v>
      </c>
      <c r="AQ84" s="290">
        <v>1.5169999999999999</v>
      </c>
      <c r="AR84" s="494">
        <f t="shared" si="49"/>
        <v>5.0025631382521434</v>
      </c>
      <c r="AS84" s="1498">
        <f>5%</f>
        <v>0.05</v>
      </c>
      <c r="AT84" s="341">
        <f>'Misc. Data &amp; Mechanisms'!AM357</f>
        <v>3.3397945990778912</v>
      </c>
      <c r="AU84" s="424">
        <f>'Misc. Data &amp; Mechanisms'!AQ357</f>
        <v>3.079796351634791</v>
      </c>
      <c r="AV84" s="424">
        <f>'Misc. Data &amp; Mechanisms'!Z357</f>
        <v>3.2976685156573131</v>
      </c>
      <c r="AW84" s="424">
        <f>'Misc. Data &amp; Mechanisms'!AA357</f>
        <v>2.1061379262530515</v>
      </c>
      <c r="AX84" s="1460">
        <f>'Misc. Data &amp; Mechanisms'!$B$260</f>
        <v>10.198990303636064</v>
      </c>
      <c r="AY84" s="197">
        <f>IFERROR(IF('Personalized Bill Menu'!$B$30="Yes", IF('Personalized Bill Menu'!$B$34="Natural Gas",VLOOKUP($A84, 'Personalized Bill Menu'!$H$4:$L$93, 2, FALSE), IF('Personalized Bill Menu'!$B$34="Both",VLOOKUP($A84,'Personalized Bill Menu'!$H$4:$P$93, 6, FALSE), 0)), 0),0)</f>
        <v>0</v>
      </c>
      <c r="AZ84" s="1343">
        <f>IFERROR(IF('Personalized Bill Menu'!$C$37="Custom", IF('Personalized Bill Menu'!$B$34="Natural Gas",VLOOKUP($A84, 'Personalized Bill Menu'!$H$4:$L$93, 3, FALSE), IF('Personalized Bill Menu'!$B$34="Both",VLOOKUP($A84,'Personalized Bill Menu'!$H$4:$P$93, 7, FALSE), 0)), 0),0)</f>
        <v>0</v>
      </c>
      <c r="BA84" s="1344">
        <f>IFERROR(IF('Personalized Bill Menu'!$C$37="Custom", IF('Personalized Bill Menu'!$B$34="Natural Gas",VLOOKUP($A84, 'Personalized Bill Menu'!$H$4:$L$93, 4, FALSE), IF('Personalized Bill Menu'!$B$34="Both",VLOOKUP($A84,'Personalized Bill Menu'!$H$4:$P$93, 8, FALSE), 0)), 0),0)</f>
        <v>0</v>
      </c>
    </row>
    <row r="85" spans="1:53" s="117" customFormat="1" x14ac:dyDescent="0.35">
      <c r="A85" s="496">
        <v>43282</v>
      </c>
      <c r="B85" s="497">
        <f t="shared" si="34"/>
        <v>31</v>
      </c>
      <c r="C85" s="226">
        <f t="shared" si="35"/>
        <v>2.9290657632313017</v>
      </c>
      <c r="D85" s="66">
        <f t="shared" si="36"/>
        <v>17.191313215982532</v>
      </c>
      <c r="E85" s="66">
        <f>(1+$AS85)*IF(OR('Service Zone Menu'!$X$4="Calgary",AND('Service Zone Menu'!$X$4="Okotoks", $A85&lt;DATE(2019, 1, 1))),((1+$T85)*($N85+$P85+($X85+$Y85+$AA85+$AB85+$AC85))) + ($U85*($P85+($X85+$Y85+$AA85+$AB85+$AC85))) + $AQ85, ((1+$T85)*($P85+($Y85+$AA85+$AB85+$AC85)))+ ($U85*($P85+($X85+$Y85+$AA85+$AB85+$AC85)))+$N85+$X85 + $AQ85)</f>
        <v>4.8303176250000002</v>
      </c>
      <c r="F85" s="488">
        <f t="shared" si="37"/>
        <v>50.354486965920238</v>
      </c>
      <c r="G85" s="489">
        <f t="shared" si="38"/>
        <v>4.3496626583984837</v>
      </c>
      <c r="H85" s="490">
        <f t="shared" si="33"/>
        <v>26.236934270211776</v>
      </c>
      <c r="I85" s="490">
        <f t="shared" si="39"/>
        <v>3.5791039974686183</v>
      </c>
      <c r="J85" s="490">
        <f t="shared" si="40"/>
        <v>1.6285605643566039</v>
      </c>
      <c r="K85" s="490">
        <f t="shared" si="41"/>
        <v>7.7190000000000003</v>
      </c>
      <c r="L85" s="490">
        <f t="shared" ref="L85:L87" si="53">AR85</f>
        <v>4.4433927628218841</v>
      </c>
      <c r="M85" s="491">
        <f t="shared" si="43"/>
        <v>2.3978327126628685</v>
      </c>
      <c r="N85" s="273">
        <f>IF($I$2="DRT",VLOOKUP(A85,'Misc. Data &amp; Mechanisms'!$A$1381:$D$1471,3,FALSE),AZ85)</f>
        <v>1.4850000000000001</v>
      </c>
      <c r="O85" s="552">
        <f t="shared" si="44"/>
        <v>4.3496626583984837</v>
      </c>
      <c r="P85" s="387">
        <v>0.73399999999999999</v>
      </c>
      <c r="Q85" s="278">
        <v>0.77700000000000002</v>
      </c>
      <c r="R85" s="425">
        <f t="shared" si="25"/>
        <v>2.1499342702117756</v>
      </c>
      <c r="S85" s="552">
        <f t="shared" si="26"/>
        <v>24.087</v>
      </c>
      <c r="T85" s="391">
        <f>VLOOKUP($A85,'Misc. Data &amp; Mechanisms'!$A$63:$DY$152,HLOOKUP('Service Zone Menu'!$X$4&amp;"_ATCO-S_NG_Y_1",'Misc. Data &amp; Mechanisms'!$A$55:$DY$62,8,FALSE), FALSE)</f>
        <v>0.1111</v>
      </c>
      <c r="U85" s="205">
        <f>VLOOKUP($A85,'Misc. Data &amp; Mechanisms'!$A$63:$DY$152,HLOOKUP('Service Zone Menu'!$X$4&amp;"_ATCO-S_NG_Y_2",'Misc. Data &amp; Mechanisms'!$A$55:$DY$62,8,FALSE), FALSE)</f>
        <v>0</v>
      </c>
      <c r="V85" s="425">
        <f>IF(OR('Service Zone Menu'!$X$4="Calgary",AND('Service Zone Menu'!$X$4="Okotoks", $A85&lt;DATE(2019, 1, 1))),$T85*($H85+$G85+$J85),$T85*($H85+$J85-$AG85))</f>
        <v>3.5791039974686183</v>
      </c>
      <c r="W85" s="552">
        <f t="shared" si="27"/>
        <v>0</v>
      </c>
      <c r="X85" s="445"/>
      <c r="Y85" s="445"/>
      <c r="Z85" s="445"/>
      <c r="AA85" s="445"/>
      <c r="AB85" s="386">
        <v>0.55600000000000005</v>
      </c>
      <c r="AC85" s="445"/>
      <c r="AD85" s="445"/>
      <c r="AE85" s="445"/>
      <c r="AF85" s="445"/>
      <c r="AG85" s="492">
        <f t="shared" si="28"/>
        <v>0</v>
      </c>
      <c r="AH85" s="492">
        <f t="shared" si="29"/>
        <v>0</v>
      </c>
      <c r="AI85" s="425">
        <f t="shared" si="30"/>
        <v>0</v>
      </c>
      <c r="AJ85" s="425">
        <f t="shared" si="31"/>
        <v>1.6285605643566039</v>
      </c>
      <c r="AK85" s="425">
        <f t="shared" si="32"/>
        <v>0</v>
      </c>
      <c r="AL85" s="425">
        <f t="shared" ref="AL85:AL87" si="54">AD85</f>
        <v>0</v>
      </c>
      <c r="AM85" s="425">
        <f t="shared" ref="AM85:AM87" si="55">AE85*B85</f>
        <v>0</v>
      </c>
      <c r="AN85" s="552">
        <f t="shared" si="47"/>
        <v>0</v>
      </c>
      <c r="AO85" s="200">
        <f>IF($I$2="DRT",VLOOKUP(A85,'Misc. Data &amp; Mechanisms'!$A$1483:$H$1574,7,FALSE),BA85)</f>
        <v>0.249</v>
      </c>
      <c r="AP85" s="552">
        <f t="shared" si="48"/>
        <v>7.7190000000000003</v>
      </c>
      <c r="AQ85" s="290">
        <v>1.5169999999999999</v>
      </c>
      <c r="AR85" s="494">
        <f t="shared" ref="AR85:AR96" si="56">AQ85*C85</f>
        <v>4.4433927628218841</v>
      </c>
      <c r="AS85" s="1498">
        <f>5%</f>
        <v>0.05</v>
      </c>
      <c r="AT85" s="341">
        <f>'Misc. Data &amp; Mechanisms'!AM358</f>
        <v>2.9664831288944624</v>
      </c>
      <c r="AU85" s="449">
        <f>'Misc. Data &amp; Mechanisms'!AQ358</f>
        <v>2.6838016525899304</v>
      </c>
      <c r="AV85" s="424">
        <f>'Misc. Data &amp; Mechanisms'!Z358</f>
        <v>2.9290657632313017</v>
      </c>
      <c r="AW85" s="424">
        <f>'Misc. Data &amp; Mechanisms'!AA358</f>
        <v>1.8707206206871088</v>
      </c>
      <c r="AX85" s="1460">
        <f>'Misc. Data &amp; Mechanisms'!$B$260</f>
        <v>10.198990303636064</v>
      </c>
      <c r="AY85" s="197">
        <f>IFERROR(IF('Personalized Bill Menu'!$B$30="Yes", IF('Personalized Bill Menu'!$B$34="Natural Gas",VLOOKUP($A85, 'Personalized Bill Menu'!$H$4:$L$93, 2, FALSE), IF('Personalized Bill Menu'!$B$34="Both",VLOOKUP($A85,'Personalized Bill Menu'!$H$4:$P$93, 6, FALSE), 0)), 0),0)</f>
        <v>0</v>
      </c>
      <c r="AZ85" s="1343">
        <f>IFERROR(IF('Personalized Bill Menu'!$C$37="Custom", IF('Personalized Bill Menu'!$B$34="Natural Gas",VLOOKUP($A85, 'Personalized Bill Menu'!$H$4:$L$93, 3, FALSE), IF('Personalized Bill Menu'!$B$34="Both",VLOOKUP($A85,'Personalized Bill Menu'!$H$4:$P$93, 7, FALSE), 0)), 0),0)</f>
        <v>0</v>
      </c>
      <c r="BA85" s="1344">
        <f>IFERROR(IF('Personalized Bill Menu'!$C$37="Custom", IF('Personalized Bill Menu'!$B$34="Natural Gas",VLOOKUP($A85, 'Personalized Bill Menu'!$H$4:$L$93, 4, FALSE), IF('Personalized Bill Menu'!$B$34="Both",VLOOKUP($A85,'Personalized Bill Menu'!$H$4:$P$93, 8, FALSE), 0)), 0),0)</f>
        <v>0</v>
      </c>
    </row>
    <row r="86" spans="1:53" s="117" customFormat="1" x14ac:dyDescent="0.35">
      <c r="A86" s="496">
        <v>43313</v>
      </c>
      <c r="B86" s="497">
        <f t="shared" si="34"/>
        <v>31</v>
      </c>
      <c r="C86" s="226">
        <f t="shared" si="35"/>
        <v>3.3237503926709211</v>
      </c>
      <c r="D86" s="66">
        <f t="shared" si="36"/>
        <v>15.344322018166974</v>
      </c>
      <c r="E86" s="66">
        <f>(1+$AS86)*IF(OR('Service Zone Menu'!$X$4="Calgary",AND('Service Zone Menu'!$X$4="Okotoks", $A86&lt;DATE(2019, 1, 1))),((1+$T86)*($N86+$P86+($X86+$Y86+$AA86+$AB86+$AC86))) + ($U86*($P86+($X86+$Y86+$AA86+$AB86+$AC86))) + $AQ86, ((1+$T86)*($P86+($Y86+$AA86+$AB86+$AC86)))+ ($U86*($P86+($X86+$Y86+$AA86+$AB86+$AC86)))+$N86+$X86 + $AQ86)</f>
        <v>4.4511547500000006</v>
      </c>
      <c r="F86" s="488">
        <f t="shared" si="37"/>
        <v>51.000696333151538</v>
      </c>
      <c r="G86" s="489">
        <f t="shared" si="38"/>
        <v>3.855550455498268</v>
      </c>
      <c r="H86" s="490">
        <f t="shared" si="33"/>
        <v>26.526632788220457</v>
      </c>
      <c r="I86" s="490">
        <f t="shared" si="39"/>
        <v>3.5807739381330617</v>
      </c>
      <c r="J86" s="490">
        <f t="shared" si="40"/>
        <v>1.8480052183250324</v>
      </c>
      <c r="K86" s="490">
        <f t="shared" si="41"/>
        <v>7.7190000000000003</v>
      </c>
      <c r="L86" s="490">
        <f t="shared" si="53"/>
        <v>5.0421293456817873</v>
      </c>
      <c r="M86" s="491">
        <f t="shared" si="43"/>
        <v>2.4286045872929307</v>
      </c>
      <c r="N86" s="273">
        <f>IF($I$2="DRT",VLOOKUP(A86,'Misc. Data &amp; Mechanisms'!$A$1381:$D$1471,3,FALSE),AZ86)</f>
        <v>1.1599999999999999</v>
      </c>
      <c r="O86" s="552">
        <f t="shared" si="44"/>
        <v>3.855550455498268</v>
      </c>
      <c r="P86" s="387">
        <v>0.73399999999999999</v>
      </c>
      <c r="Q86" s="278">
        <v>0.77700000000000002</v>
      </c>
      <c r="R86" s="425">
        <f t="shared" si="25"/>
        <v>2.439632788220456</v>
      </c>
      <c r="S86" s="552">
        <f t="shared" si="26"/>
        <v>24.087</v>
      </c>
      <c r="T86" s="391">
        <f>VLOOKUP($A86,'Misc. Data &amp; Mechanisms'!$A$63:$DY$152,HLOOKUP('Service Zone Menu'!$X$4&amp;"_ATCO-S_NG_Y_1",'Misc. Data &amp; Mechanisms'!$A$55:$DY$62,8,FALSE), FALSE)</f>
        <v>0.1111</v>
      </c>
      <c r="U86" s="205">
        <f>VLOOKUP($A86,'Misc. Data &amp; Mechanisms'!$A$63:$DY$152,HLOOKUP('Service Zone Menu'!$X$4&amp;"_ATCO-S_NG_Y_2",'Misc. Data &amp; Mechanisms'!$A$55:$DY$62,8,FALSE), FALSE)</f>
        <v>0</v>
      </c>
      <c r="V86" s="425">
        <f>IF(OR('Service Zone Menu'!$X$4="Calgary",AND('Service Zone Menu'!$X$4="Okotoks", $A86&lt;DATE(2019, 1, 1))),$T86*($H86+$G86+$J86),$T86*($H86+$J86-$AG86))</f>
        <v>3.5807739381330617</v>
      </c>
      <c r="W86" s="552">
        <f t="shared" si="27"/>
        <v>0</v>
      </c>
      <c r="X86" s="445"/>
      <c r="Y86" s="445"/>
      <c r="Z86" s="445"/>
      <c r="AA86" s="445"/>
      <c r="AB86" s="386">
        <v>0.55600000000000005</v>
      </c>
      <c r="AC86" s="445"/>
      <c r="AD86" s="445"/>
      <c r="AE86" s="445"/>
      <c r="AF86" s="445"/>
      <c r="AG86" s="492">
        <f t="shared" si="28"/>
        <v>0</v>
      </c>
      <c r="AH86" s="492">
        <f t="shared" si="29"/>
        <v>0</v>
      </c>
      <c r="AI86" s="425">
        <f t="shared" si="30"/>
        <v>0</v>
      </c>
      <c r="AJ86" s="425">
        <f t="shared" si="31"/>
        <v>1.8480052183250324</v>
      </c>
      <c r="AK86" s="425">
        <f t="shared" si="32"/>
        <v>0</v>
      </c>
      <c r="AL86" s="425">
        <f t="shared" si="54"/>
        <v>0</v>
      </c>
      <c r="AM86" s="425">
        <f t="shared" si="55"/>
        <v>0</v>
      </c>
      <c r="AN86" s="552">
        <f t="shared" si="47"/>
        <v>0</v>
      </c>
      <c r="AO86" s="200">
        <f>IF($I$2="DRT",VLOOKUP(A86,'Misc. Data &amp; Mechanisms'!$A$1483:$H$1574,7,FALSE),BA86)</f>
        <v>0.249</v>
      </c>
      <c r="AP86" s="552">
        <f t="shared" si="48"/>
        <v>7.7190000000000003</v>
      </c>
      <c r="AQ86" s="290">
        <v>1.5169999999999999</v>
      </c>
      <c r="AR86" s="494">
        <f t="shared" si="56"/>
        <v>5.0421293456817873</v>
      </c>
      <c r="AS86" s="1498">
        <f>5%</f>
        <v>0.05</v>
      </c>
      <c r="AT86" s="341">
        <f>'Misc. Data &amp; Mechanisms'!AM359</f>
        <v>3.3662096591636073</v>
      </c>
      <c r="AU86" s="449">
        <f>'Misc. Data &amp; Mechanisms'!AQ359</f>
        <v>3.2561512109550792</v>
      </c>
      <c r="AV86" s="424">
        <f>'Misc. Data &amp; Mechanisms'!Z359</f>
        <v>3.3237503926709211</v>
      </c>
      <c r="AW86" s="424">
        <f>'Misc. Data &amp; Mechanisms'!AA359</f>
        <v>2.1227957649974281</v>
      </c>
      <c r="AX86" s="1460">
        <f>'Misc. Data &amp; Mechanisms'!$B$260</f>
        <v>10.198990303636064</v>
      </c>
      <c r="AY86" s="197">
        <f>IFERROR(IF('Personalized Bill Menu'!$B$30="Yes", IF('Personalized Bill Menu'!$B$34="Natural Gas",VLOOKUP($A86, 'Personalized Bill Menu'!$H$4:$L$93, 2, FALSE), IF('Personalized Bill Menu'!$B$34="Both",VLOOKUP($A86,'Personalized Bill Menu'!$H$4:$P$93, 6, FALSE), 0)), 0),0)</f>
        <v>0</v>
      </c>
      <c r="AZ86" s="1343">
        <f>IFERROR(IF('Personalized Bill Menu'!$C$37="Custom", IF('Personalized Bill Menu'!$B$34="Natural Gas",VLOOKUP($A86, 'Personalized Bill Menu'!$H$4:$L$93, 3, FALSE), IF('Personalized Bill Menu'!$B$34="Both",VLOOKUP($A86,'Personalized Bill Menu'!$H$4:$P$93, 7, FALSE), 0)), 0),0)</f>
        <v>0</v>
      </c>
      <c r="BA86" s="1344">
        <f>IFERROR(IF('Personalized Bill Menu'!$C$37="Custom", IF('Personalized Bill Menu'!$B$34="Natural Gas",VLOOKUP($A86, 'Personalized Bill Menu'!$H$4:$L$93, 4, FALSE), IF('Personalized Bill Menu'!$B$34="Both",VLOOKUP($A86,'Personalized Bill Menu'!$H$4:$P$93, 8, FALSE), 0)), 0),0)</f>
        <v>0</v>
      </c>
    </row>
    <row r="87" spans="1:53" s="117" customFormat="1" x14ac:dyDescent="0.35">
      <c r="A87" s="496">
        <v>43344</v>
      </c>
      <c r="B87" s="497">
        <f t="shared" si="34"/>
        <v>30</v>
      </c>
      <c r="C87" s="226">
        <f t="shared" si="35"/>
        <v>7.8744686576995928</v>
      </c>
      <c r="D87" s="66">
        <f t="shared" si="36"/>
        <v>8.9660864535150537</v>
      </c>
      <c r="E87" s="66">
        <f>(1+$AS87)*IF(OR('Service Zone Menu'!$X$4="Calgary",AND('Service Zone Menu'!$X$4="Okotoks", $A87&lt;DATE(2019, 1, 1))),((1+$T87)*($N87+$P87+($X87+$Y87+$AA87+$AB87+$AC87))) + ($U87*($P87+($X87+$Y87+$AA87+$AB87+$AC87))) + $AQ87, ((1+$T87)*($P87+($Y87+$AA87+$AB87+$AC87)))+ ($U87*($P87+($X87+$Y87+$AA87+$AB87+$AC87)))+$N87+$X87 + $AQ87)</f>
        <v>4.5164874299999997</v>
      </c>
      <c r="F87" s="488">
        <f t="shared" si="37"/>
        <v>70.60316676042919</v>
      </c>
      <c r="G87" s="489">
        <f t="shared" si="38"/>
        <v>10.402173096821162</v>
      </c>
      <c r="H87" s="490">
        <f t="shared" si="33"/>
        <v>29.089859994751503</v>
      </c>
      <c r="I87" s="490">
        <f t="shared" si="39"/>
        <v>4.7821237904832854</v>
      </c>
      <c r="J87" s="490">
        <f t="shared" si="40"/>
        <v>3.5513853646225169</v>
      </c>
      <c r="K87" s="490">
        <f t="shared" si="41"/>
        <v>7.47</v>
      </c>
      <c r="L87" s="490">
        <f t="shared" si="53"/>
        <v>11.945568953730282</v>
      </c>
      <c r="M87" s="491">
        <f t="shared" si="43"/>
        <v>3.3620555600204378</v>
      </c>
      <c r="N87" s="273">
        <f>IF($I$2="DRT",VLOOKUP(A87,'Misc. Data &amp; Mechanisms'!$A$1381:$D$1471,3,FALSE),AZ87)</f>
        <v>1.321</v>
      </c>
      <c r="O87" s="552">
        <f t="shared" si="44"/>
        <v>10.402173096821162</v>
      </c>
      <c r="P87" s="387">
        <v>0.73399999999999999</v>
      </c>
      <c r="Q87" s="278">
        <v>0.77700000000000002</v>
      </c>
      <c r="R87" s="425">
        <f t="shared" si="25"/>
        <v>5.7798599947515008</v>
      </c>
      <c r="S87" s="552">
        <f t="shared" si="26"/>
        <v>23.310000000000002</v>
      </c>
      <c r="T87" s="391">
        <f>VLOOKUP($A87,'Misc. Data &amp; Mechanisms'!$A$63:$DY$152,HLOOKUP('Service Zone Menu'!$X$4&amp;"_ATCO-S_NG_Y_1",'Misc. Data &amp; Mechanisms'!$A$55:$DY$62,8,FALSE), FALSE)</f>
        <v>0.1111</v>
      </c>
      <c r="U87" s="205">
        <f>VLOOKUP($A87,'Misc. Data &amp; Mechanisms'!$A$63:$DY$152,HLOOKUP('Service Zone Menu'!$X$4&amp;"_ATCO-S_NG_Y_2",'Misc. Data &amp; Mechanisms'!$A$55:$DY$62,8,FALSE), FALSE)</f>
        <v>0</v>
      </c>
      <c r="V87" s="425">
        <f>IF(OR('Service Zone Menu'!$X$4="Calgary",AND('Service Zone Menu'!$X$4="Okotoks", $A87&lt;DATE(2019, 1, 1))),$T87*($H87+$G87+$J87),$T87*($H87+$J87-$AG87))</f>
        <v>4.7821237904832854</v>
      </c>
      <c r="W87" s="552">
        <f t="shared" si="27"/>
        <v>0</v>
      </c>
      <c r="X87" s="445"/>
      <c r="Y87" s="445"/>
      <c r="Z87" s="445"/>
      <c r="AA87" s="445"/>
      <c r="AB87" s="386">
        <v>0.55600000000000005</v>
      </c>
      <c r="AC87" s="445">
        <v>-0.105</v>
      </c>
      <c r="AD87" s="445"/>
      <c r="AE87" s="445"/>
      <c r="AF87" s="445"/>
      <c r="AG87" s="492">
        <f t="shared" si="28"/>
        <v>0</v>
      </c>
      <c r="AH87" s="492">
        <f t="shared" si="29"/>
        <v>0</v>
      </c>
      <c r="AI87" s="425">
        <f t="shared" si="30"/>
        <v>0</v>
      </c>
      <c r="AJ87" s="425">
        <f t="shared" si="31"/>
        <v>4.378204573680974</v>
      </c>
      <c r="AK87" s="425">
        <f t="shared" si="32"/>
        <v>-0.82681920905845718</v>
      </c>
      <c r="AL87" s="425">
        <f t="shared" si="54"/>
        <v>0</v>
      </c>
      <c r="AM87" s="425">
        <f t="shared" si="55"/>
        <v>0</v>
      </c>
      <c r="AN87" s="552">
        <f t="shared" si="47"/>
        <v>0</v>
      </c>
      <c r="AO87" s="200">
        <f>IF($I$2="DRT",VLOOKUP(A87,'Misc. Data &amp; Mechanisms'!$A$1483:$H$1574,7,FALSE),BA87)</f>
        <v>0.249</v>
      </c>
      <c r="AP87" s="552">
        <f t="shared" si="48"/>
        <v>7.47</v>
      </c>
      <c r="AQ87" s="290">
        <v>1.5169999999999999</v>
      </c>
      <c r="AR87" s="494">
        <f t="shared" si="56"/>
        <v>11.945568953730282</v>
      </c>
      <c r="AS87" s="1498">
        <f>5%</f>
        <v>0.05</v>
      </c>
      <c r="AT87" s="341">
        <f>'Misc. Data &amp; Mechanisms'!AM360</f>
        <v>7.97506109808345</v>
      </c>
      <c r="AU87" s="449">
        <f>'Misc. Data &amp; Mechanisms'!AQ360</f>
        <v>7.996989798454579</v>
      </c>
      <c r="AV87" s="424">
        <f>'Misc. Data &amp; Mechanisms'!Z360</f>
        <v>7.8744686576995928</v>
      </c>
      <c r="AW87" s="424">
        <f>'Misc. Data &amp; Mechanisms'!AA360</f>
        <v>5.0292250450061662</v>
      </c>
      <c r="AX87" s="1460">
        <f>'Misc. Data &amp; Mechanisms'!$B$260</f>
        <v>10.198990303636064</v>
      </c>
      <c r="AY87" s="197">
        <f>IFERROR(IF('Personalized Bill Menu'!$B$30="Yes", IF('Personalized Bill Menu'!$B$34="Natural Gas",VLOOKUP($A87, 'Personalized Bill Menu'!$H$4:$L$93, 2, FALSE), IF('Personalized Bill Menu'!$B$34="Both",VLOOKUP($A87,'Personalized Bill Menu'!$H$4:$P$93, 6, FALSE), 0)), 0),0)</f>
        <v>0</v>
      </c>
      <c r="AZ87" s="1343">
        <f>IFERROR(IF('Personalized Bill Menu'!$C$37="Custom", IF('Personalized Bill Menu'!$B$34="Natural Gas",VLOOKUP($A87, 'Personalized Bill Menu'!$H$4:$L$93, 3, FALSE), IF('Personalized Bill Menu'!$B$34="Both",VLOOKUP($A87,'Personalized Bill Menu'!$H$4:$P$93, 7, FALSE), 0)), 0),0)</f>
        <v>0</v>
      </c>
      <c r="BA87" s="1344">
        <f>IFERROR(IF('Personalized Bill Menu'!$C$37="Custom", IF('Personalized Bill Menu'!$B$34="Natural Gas",VLOOKUP($A87, 'Personalized Bill Menu'!$H$4:$L$93, 4, FALSE), IF('Personalized Bill Menu'!$B$34="Both",VLOOKUP($A87,'Personalized Bill Menu'!$H$4:$P$93, 8, FALSE), 0)), 0),0)</f>
        <v>0</v>
      </c>
    </row>
    <row r="88" spans="1:53" s="117" customFormat="1" x14ac:dyDescent="0.35">
      <c r="A88" s="496">
        <v>43374</v>
      </c>
      <c r="B88" s="497">
        <f t="shared" si="34"/>
        <v>31</v>
      </c>
      <c r="C88" s="226">
        <f t="shared" si="35"/>
        <v>11.141358321688704</v>
      </c>
      <c r="D88" s="66">
        <f t="shared" si="36"/>
        <v>7.8345583544785828</v>
      </c>
      <c r="E88" s="66">
        <f>(1+$AS88)*IF(OR('Service Zone Menu'!$X$4="Calgary",AND('Service Zone Menu'!$X$4="Okotoks", $A88&lt;DATE(2019, 1, 1))),((1+$T88)*($N88+$P88+($X88+$Y88+$AA88+$AB88+$AC88))) + ($U88*($P88+($X88+$Y88+$AA88+$AB88+$AC88))) + $AQ88, ((1+$T88)*($P88+($Y88+$AA88+$AB88+$AC88)))+ ($U88*($P88+($X88+$Y88+$AA88+$AB88+$AC88)))+$N88+$X88 + $AQ88)</f>
        <v>4.5176540850000011</v>
      </c>
      <c r="F88" s="488">
        <f t="shared" si="37"/>
        <v>87.287621919425717</v>
      </c>
      <c r="G88" s="489">
        <f t="shared" si="38"/>
        <v>14.728875701272468</v>
      </c>
      <c r="H88" s="490">
        <f t="shared" si="33"/>
        <v>32.26475700811951</v>
      </c>
      <c r="I88" s="490">
        <f t="shared" si="39"/>
        <v>5.7792426082158155</v>
      </c>
      <c r="J88" s="490">
        <f t="shared" si="40"/>
        <v>5.0247526030816072</v>
      </c>
      <c r="K88" s="490">
        <f t="shared" si="41"/>
        <v>8.4320000000000004</v>
      </c>
      <c r="L88" s="490">
        <f t="shared" ref="L88:L90" si="57">AR88</f>
        <v>16.901440574001764</v>
      </c>
      <c r="M88" s="491">
        <f t="shared" si="43"/>
        <v>4.1565534247345584</v>
      </c>
      <c r="N88" s="273">
        <f>IF($I$2="DRT",VLOOKUP(A88,'Misc. Data &amp; Mechanisms'!$A$1381:$D$1471,3,FALSE),AZ88)</f>
        <v>1.3220000000000001</v>
      </c>
      <c r="O88" s="552">
        <f t="shared" si="44"/>
        <v>14.728875701272468</v>
      </c>
      <c r="P88" s="387">
        <v>0.73399999999999999</v>
      </c>
      <c r="Q88" s="278">
        <v>0.77700000000000002</v>
      </c>
      <c r="R88" s="425">
        <f t="shared" si="25"/>
        <v>8.1777570081195083</v>
      </c>
      <c r="S88" s="552">
        <f t="shared" si="26"/>
        <v>24.087</v>
      </c>
      <c r="T88" s="391">
        <f>VLOOKUP($A88,'Misc. Data &amp; Mechanisms'!$A$63:$DY$152,HLOOKUP('Service Zone Menu'!$X$4&amp;"_ATCO-S_NG_Y_1",'Misc. Data &amp; Mechanisms'!$A$55:$DY$62,8,FALSE), FALSE)</f>
        <v>0.1111</v>
      </c>
      <c r="U88" s="205">
        <f>VLOOKUP($A88,'Misc. Data &amp; Mechanisms'!$A$63:$DY$152,HLOOKUP('Service Zone Menu'!$X$4&amp;"_ATCO-S_NG_Y_2",'Misc. Data &amp; Mechanisms'!$A$55:$DY$62,8,FALSE), FALSE)</f>
        <v>0</v>
      </c>
      <c r="V88" s="425">
        <f>IF(OR('Service Zone Menu'!$X$4="Calgary",AND('Service Zone Menu'!$X$4="Okotoks", $A88&lt;DATE(2019, 1, 1))),$T88*($H88+$G88+$J88),$T88*($H88+$J88-$AG88))</f>
        <v>5.7792426082158155</v>
      </c>
      <c r="W88" s="552">
        <f t="shared" si="27"/>
        <v>0</v>
      </c>
      <c r="X88" s="426"/>
      <c r="Y88" s="386"/>
      <c r="Z88" s="278"/>
      <c r="AA88" s="278"/>
      <c r="AB88" s="278">
        <v>0.55600000000000005</v>
      </c>
      <c r="AC88" s="386">
        <v>-0.105</v>
      </c>
      <c r="AD88" s="386"/>
      <c r="AE88" s="386"/>
      <c r="AF88" s="386"/>
      <c r="AG88" s="492">
        <f t="shared" si="28"/>
        <v>0</v>
      </c>
      <c r="AH88" s="492">
        <f t="shared" si="29"/>
        <v>0</v>
      </c>
      <c r="AI88" s="425">
        <f t="shared" si="30"/>
        <v>0</v>
      </c>
      <c r="AJ88" s="425">
        <f t="shared" si="31"/>
        <v>6.1945952268589206</v>
      </c>
      <c r="AK88" s="425">
        <f t="shared" si="32"/>
        <v>-1.1698426237773139</v>
      </c>
      <c r="AL88" s="425">
        <f t="shared" ref="AL88:AL90" si="58">AD88</f>
        <v>0</v>
      </c>
      <c r="AM88" s="425">
        <f t="shared" ref="AM88:AM90" si="59">AE88*B88</f>
        <v>0</v>
      </c>
      <c r="AN88" s="552">
        <f t="shared" si="47"/>
        <v>0</v>
      </c>
      <c r="AO88" s="200">
        <f>IF($I$2="DRT",VLOOKUP(A88,'Misc. Data &amp; Mechanisms'!$A$1483:$H$1574,7,FALSE),BA88)</f>
        <v>0.27200000000000002</v>
      </c>
      <c r="AP88" s="552">
        <f t="shared" si="48"/>
        <v>8.4320000000000004</v>
      </c>
      <c r="AQ88" s="290">
        <v>1.5169999999999999</v>
      </c>
      <c r="AR88" s="494">
        <f t="shared" si="56"/>
        <v>16.901440574001764</v>
      </c>
      <c r="AS88" s="1498">
        <f>5%</f>
        <v>0.05</v>
      </c>
      <c r="AT88" s="341">
        <f>'Misc. Data &amp; Mechanisms'!AM361</f>
        <v>11.283683660894139</v>
      </c>
      <c r="AU88" s="449">
        <f>'Misc. Data &amp; Mechanisms'!AQ361</f>
        <v>11.208007627363536</v>
      </c>
      <c r="AV88" s="424">
        <f>'Misc. Data &amp; Mechanisms'!Z361</f>
        <v>11.141358321688704</v>
      </c>
      <c r="AW88" s="424">
        <f>'Misc. Data &amp; Mechanisms'!AA361</f>
        <v>7.1157052929579789</v>
      </c>
      <c r="AX88" s="1460">
        <f>'Misc. Data &amp; Mechanisms'!$B$260</f>
        <v>10.198990303636064</v>
      </c>
      <c r="AY88" s="197">
        <f>IFERROR(IF('Personalized Bill Menu'!$B$30="Yes", IF('Personalized Bill Menu'!$B$34="Natural Gas",VLOOKUP($A88, 'Personalized Bill Menu'!$H$4:$L$93, 2, FALSE), IF('Personalized Bill Menu'!$B$34="Both",VLOOKUP($A88,'Personalized Bill Menu'!$H$4:$P$93, 6, FALSE), 0)), 0),0)</f>
        <v>0</v>
      </c>
      <c r="AZ88" s="1343">
        <f>IFERROR(IF('Personalized Bill Menu'!$C$37="Custom", IF('Personalized Bill Menu'!$B$34="Natural Gas",VLOOKUP($A88, 'Personalized Bill Menu'!$H$4:$L$93, 3, FALSE), IF('Personalized Bill Menu'!$B$34="Both",VLOOKUP($A88,'Personalized Bill Menu'!$H$4:$P$93, 7, FALSE), 0)), 0),0)</f>
        <v>0</v>
      </c>
      <c r="BA88" s="1344">
        <f>IFERROR(IF('Personalized Bill Menu'!$C$37="Custom", IF('Personalized Bill Menu'!$B$34="Natural Gas",VLOOKUP($A88, 'Personalized Bill Menu'!$H$4:$L$93, 4, FALSE), IF('Personalized Bill Menu'!$B$34="Both",VLOOKUP($A88,'Personalized Bill Menu'!$H$4:$P$93, 8, FALSE), 0)), 0),0)</f>
        <v>0</v>
      </c>
    </row>
    <row r="89" spans="1:53" s="117" customFormat="1" x14ac:dyDescent="0.35">
      <c r="A89" s="496">
        <v>43405</v>
      </c>
      <c r="B89" s="497">
        <f t="shared" si="34"/>
        <v>30</v>
      </c>
      <c r="C89" s="226">
        <f t="shared" si="35"/>
        <v>13.711123408120821</v>
      </c>
      <c r="D89" s="66">
        <f t="shared" si="36"/>
        <v>8.347442224792113</v>
      </c>
      <c r="E89" s="66">
        <f>(1+$AS89)*IF(OR('Service Zone Menu'!$X$4="Calgary",AND('Service Zone Menu'!$X$4="Okotoks", $A89&lt;DATE(2019, 1, 1))),((1+$T89)*($N89+$P89+($X89+$Y89+$AA89+$AB89+$AC89))) + ($U89*($P89+($X89+$Y89+$AA89+$AB89+$AC89))) + $AQ89, ((1+$T89)*($P89+($Y89+$AA89+$AB89+$AC89)))+ ($U89*($P89+($X89+$Y89+$AA89+$AB89+$AC89)))+$N89+$X89 + $AQ89)</f>
        <v>5.7391418700000001</v>
      </c>
      <c r="F89" s="488">
        <f t="shared" si="37"/>
        <v>114.4528104862833</v>
      </c>
      <c r="G89" s="489">
        <f t="shared" si="38"/>
        <v>32.481651353838231</v>
      </c>
      <c r="H89" s="490">
        <f t="shared" si="33"/>
        <v>33.373964581560685</v>
      </c>
      <c r="I89" s="490">
        <f t="shared" si="39"/>
        <v>8.003569851022462</v>
      </c>
      <c r="J89" s="490">
        <f t="shared" si="40"/>
        <v>6.1837166570624911</v>
      </c>
      <c r="K89" s="490">
        <f t="shared" si="41"/>
        <v>8.16</v>
      </c>
      <c r="L89" s="490">
        <f t="shared" si="57"/>
        <v>20.799774210119285</v>
      </c>
      <c r="M89" s="491">
        <f t="shared" si="43"/>
        <v>5.4501338326801578</v>
      </c>
      <c r="N89" s="273">
        <f>IF($I$2="DRT",VLOOKUP(A89,'Misc. Data &amp; Mechanisms'!$A$1381:$D$1471,3,FALSE),AZ89)</f>
        <v>2.3690000000000002</v>
      </c>
      <c r="O89" s="552">
        <f t="shared" si="44"/>
        <v>32.481651353838231</v>
      </c>
      <c r="P89" s="387">
        <v>0.73399999999999999</v>
      </c>
      <c r="Q89" s="278">
        <v>0.77700000000000002</v>
      </c>
      <c r="R89" s="425">
        <f t="shared" si="25"/>
        <v>10.063964581560683</v>
      </c>
      <c r="S89" s="552">
        <f t="shared" si="26"/>
        <v>23.310000000000002</v>
      </c>
      <c r="T89" s="391">
        <f>VLOOKUP($A89,'Misc. Data &amp; Mechanisms'!$A$63:$DY$152,HLOOKUP('Service Zone Menu'!$X$4&amp;"_ATCO-S_NG_Y_1",'Misc. Data &amp; Mechanisms'!$A$55:$DY$62,8,FALSE), FALSE)</f>
        <v>0.1111</v>
      </c>
      <c r="U89" s="205">
        <f>VLOOKUP($A89,'Misc. Data &amp; Mechanisms'!$A$63:$DY$152,HLOOKUP('Service Zone Menu'!$X$4&amp;"_ATCO-S_NG_Y_2",'Misc. Data &amp; Mechanisms'!$A$55:$DY$62,8,FALSE), FALSE)</f>
        <v>0</v>
      </c>
      <c r="V89" s="425">
        <f>IF(OR('Service Zone Menu'!$X$4="Calgary",AND('Service Zone Menu'!$X$4="Okotoks", $A89&lt;DATE(2019, 1, 1))),$T89*($H89+$G89+$J89),$T89*($H89+$J89-$AG89))</f>
        <v>8.003569851022462</v>
      </c>
      <c r="W89" s="552">
        <f t="shared" si="27"/>
        <v>0</v>
      </c>
      <c r="X89" s="426"/>
      <c r="Y89" s="386"/>
      <c r="Z89" s="278"/>
      <c r="AA89" s="278"/>
      <c r="AB89" s="278">
        <v>0.55600000000000005</v>
      </c>
      <c r="AC89" s="386">
        <v>-0.105</v>
      </c>
      <c r="AD89" s="386"/>
      <c r="AE89" s="386"/>
      <c r="AF89" s="386"/>
      <c r="AG89" s="492">
        <f t="shared" si="28"/>
        <v>0</v>
      </c>
      <c r="AH89" s="492">
        <f t="shared" si="29"/>
        <v>0</v>
      </c>
      <c r="AI89" s="425">
        <f t="shared" si="30"/>
        <v>0</v>
      </c>
      <c r="AJ89" s="425">
        <f t="shared" si="31"/>
        <v>7.6233846149151772</v>
      </c>
      <c r="AK89" s="425">
        <f t="shared" si="32"/>
        <v>-1.4396679578526861</v>
      </c>
      <c r="AL89" s="425">
        <f t="shared" si="58"/>
        <v>0</v>
      </c>
      <c r="AM89" s="425">
        <f t="shared" si="59"/>
        <v>0</v>
      </c>
      <c r="AN89" s="552">
        <f t="shared" si="47"/>
        <v>0</v>
      </c>
      <c r="AO89" s="200">
        <f>IF($I$2="DRT",VLOOKUP(A89,'Misc. Data &amp; Mechanisms'!$A$1483:$H$1574,7,FALSE),BA89)</f>
        <v>0.27200000000000002</v>
      </c>
      <c r="AP89" s="552">
        <f t="shared" si="48"/>
        <v>8.16</v>
      </c>
      <c r="AQ89" s="290">
        <v>1.5169999999999999</v>
      </c>
      <c r="AR89" s="494">
        <f t="shared" si="56"/>
        <v>20.799774210119285</v>
      </c>
      <c r="AS89" s="1498">
        <f>5%</f>
        <v>0.05</v>
      </c>
      <c r="AT89" s="341">
        <f>'Misc. Data &amp; Mechanisms'!AM362</f>
        <v>13.886276224644956</v>
      </c>
      <c r="AU89" s="449">
        <f>'Misc. Data &amp; Mechanisms'!AQ362</f>
        <v>14.940756408765644</v>
      </c>
      <c r="AV89" s="424">
        <f>'Misc. Data &amp; Mechanisms'!Z362</f>
        <v>13.711123408120821</v>
      </c>
      <c r="AW89" s="424">
        <f>'Misc. Data &amp; Mechanisms'!AA362</f>
        <v>8.7569496097830797</v>
      </c>
      <c r="AX89" s="1460">
        <f>'Misc. Data &amp; Mechanisms'!$B$260</f>
        <v>10.198990303636064</v>
      </c>
      <c r="AY89" s="197">
        <f>IFERROR(IF('Personalized Bill Menu'!$B$30="Yes", IF('Personalized Bill Menu'!$B$34="Natural Gas",VLOOKUP($A89, 'Personalized Bill Menu'!$H$4:$L$93, 2, FALSE), IF('Personalized Bill Menu'!$B$34="Both",VLOOKUP($A89,'Personalized Bill Menu'!$H$4:$P$93, 6, FALSE), 0)), 0),0)</f>
        <v>0</v>
      </c>
      <c r="AZ89" s="1343">
        <f>IFERROR(IF('Personalized Bill Menu'!$C$37="Custom", IF('Personalized Bill Menu'!$B$34="Natural Gas",VLOOKUP($A89, 'Personalized Bill Menu'!$H$4:$L$93, 3, FALSE), IF('Personalized Bill Menu'!$B$34="Both",VLOOKUP($A89,'Personalized Bill Menu'!$H$4:$P$93, 7, FALSE), 0)), 0),0)</f>
        <v>0</v>
      </c>
      <c r="BA89" s="1344">
        <f>IFERROR(IF('Personalized Bill Menu'!$C$37="Custom", IF('Personalized Bill Menu'!$B$34="Natural Gas",VLOOKUP($A89, 'Personalized Bill Menu'!$H$4:$L$93, 4, FALSE), IF('Personalized Bill Menu'!$B$34="Both",VLOOKUP($A89,'Personalized Bill Menu'!$H$4:$P$93, 8, FALSE), 0)), 0),0)</f>
        <v>0</v>
      </c>
    </row>
    <row r="90" spans="1:53" s="117" customFormat="1" x14ac:dyDescent="0.35">
      <c r="A90" s="508">
        <v>43435</v>
      </c>
      <c r="B90" s="509">
        <f t="shared" si="34"/>
        <v>31</v>
      </c>
      <c r="C90" s="231">
        <f t="shared" si="35"/>
        <v>16.681040406493022</v>
      </c>
      <c r="D90" s="344">
        <f t="shared" si="36"/>
        <v>7.5286913376126963</v>
      </c>
      <c r="E90" s="344">
        <f>(1+$AS90)*IF(OR('Service Zone Menu'!$X$4="Calgary",AND('Service Zone Menu'!$X$4="Okotoks", $A90&lt;DATE(2019, 1, 1))),((1+$T90)*($N90+$P90+($X90+$Y90+$AA90+$AB90+$AC90))) + ($U90*($P90+($X90+$Y90+$AA90+$AB90+$AC90))) + $AQ90, ((1+$T90)*($P90+($Y90+$AA90+$AB90+$AC90)))+ ($U90*($P90+($X90+$Y90+$AA90+$AB90+$AC90)))+$N90+$X90 + $AQ90)</f>
        <v>5.3133127950000008</v>
      </c>
      <c r="F90" s="510">
        <f t="shared" si="37"/>
        <v>125.58640441073138</v>
      </c>
      <c r="G90" s="511">
        <f t="shared" si="38"/>
        <v>33.428804974612014</v>
      </c>
      <c r="H90" s="512">
        <f t="shared" si="33"/>
        <v>36.330883658365877</v>
      </c>
      <c r="I90" s="512">
        <f t="shared" si="39"/>
        <v>8.5861232858356242</v>
      </c>
      <c r="J90" s="512">
        <f t="shared" si="40"/>
        <v>7.5231492233283541</v>
      </c>
      <c r="K90" s="512">
        <f t="shared" si="41"/>
        <v>8.4320000000000004</v>
      </c>
      <c r="L90" s="512">
        <f t="shared" si="57"/>
        <v>25.305138296649911</v>
      </c>
      <c r="M90" s="513">
        <f t="shared" si="43"/>
        <v>5.9803049719395895</v>
      </c>
      <c r="N90" s="1243">
        <f>IF($I$2="DRT",VLOOKUP(A90,'Misc. Data &amp; Mechanisms'!$A$1381:$D$1471,3,FALSE),AZ90)</f>
        <v>2.004</v>
      </c>
      <c r="O90" s="558">
        <f t="shared" si="44"/>
        <v>33.428804974612014</v>
      </c>
      <c r="P90" s="438">
        <v>0.73399999999999999</v>
      </c>
      <c r="Q90" s="283">
        <v>0.77700000000000002</v>
      </c>
      <c r="R90" s="440">
        <f t="shared" si="25"/>
        <v>12.243883658365878</v>
      </c>
      <c r="S90" s="558">
        <f t="shared" si="26"/>
        <v>24.087</v>
      </c>
      <c r="T90" s="394">
        <f>VLOOKUP($A90,'Misc. Data &amp; Mechanisms'!$A$63:$DY$152,HLOOKUP('Service Zone Menu'!$X$4&amp;"_ATCO-S_NG_Y_1",'Misc. Data &amp; Mechanisms'!$A$55:$DY$62,8,FALSE), FALSE)</f>
        <v>0.1111</v>
      </c>
      <c r="U90" s="246">
        <f>VLOOKUP($A90,'Misc. Data &amp; Mechanisms'!$A$63:$DY$152,HLOOKUP('Service Zone Menu'!$X$4&amp;"_ATCO-S_NG_Y_2",'Misc. Data &amp; Mechanisms'!$A$55:$DY$62,8,FALSE), FALSE)</f>
        <v>0</v>
      </c>
      <c r="V90" s="440">
        <f>IF(OR('Service Zone Menu'!$X$4="Calgary",AND('Service Zone Menu'!$X$4="Okotoks", $A90&lt;DATE(2019, 1, 1))),$T90*($H90+$G90+$J90),$T90*($H90+$J90-$AG90))</f>
        <v>8.5861232858356242</v>
      </c>
      <c r="W90" s="558">
        <f t="shared" si="27"/>
        <v>0</v>
      </c>
      <c r="X90" s="439"/>
      <c r="Y90" s="399"/>
      <c r="Z90" s="283"/>
      <c r="AA90" s="283"/>
      <c r="AB90" s="283">
        <v>0.55600000000000005</v>
      </c>
      <c r="AC90" s="399">
        <v>-0.105</v>
      </c>
      <c r="AD90" s="399"/>
      <c r="AE90" s="399"/>
      <c r="AF90" s="399"/>
      <c r="AG90" s="514">
        <f t="shared" si="28"/>
        <v>0</v>
      </c>
      <c r="AH90" s="514">
        <f t="shared" si="29"/>
        <v>0</v>
      </c>
      <c r="AI90" s="440">
        <f t="shared" si="30"/>
        <v>0</v>
      </c>
      <c r="AJ90" s="440">
        <f t="shared" si="31"/>
        <v>9.2746584660101217</v>
      </c>
      <c r="AK90" s="440">
        <f t="shared" si="32"/>
        <v>-1.7515092426817673</v>
      </c>
      <c r="AL90" s="440">
        <f t="shared" si="58"/>
        <v>0</v>
      </c>
      <c r="AM90" s="440">
        <f t="shared" si="59"/>
        <v>0</v>
      </c>
      <c r="AN90" s="558">
        <f t="shared" si="47"/>
        <v>0</v>
      </c>
      <c r="AO90" s="239">
        <f>IF($I$2="DRT",VLOOKUP(A90,'Misc. Data &amp; Mechanisms'!$A$1483:$H$1574,7,FALSE),BA90)</f>
        <v>0.27200000000000002</v>
      </c>
      <c r="AP90" s="558">
        <f t="shared" si="48"/>
        <v>8.4320000000000004</v>
      </c>
      <c r="AQ90" s="292">
        <v>1.5169999999999999</v>
      </c>
      <c r="AR90" s="516">
        <f t="shared" si="56"/>
        <v>25.305138296649911</v>
      </c>
      <c r="AS90" s="1567">
        <f>5%</f>
        <v>0.05</v>
      </c>
      <c r="AT90" s="352">
        <f>'Misc. Data &amp; Mechanisms'!AM363</f>
        <v>16.894132442993815</v>
      </c>
      <c r="AU90" s="1566">
        <f>'Misc. Data &amp; Mechanisms'!AQ363</f>
        <v>18.333729949125683</v>
      </c>
      <c r="AV90" s="441">
        <f>'Misc. Data &amp; Mechanisms'!Z363</f>
        <v>16.681040406493022</v>
      </c>
      <c r="AW90" s="441">
        <f>'Misc. Data &amp; Mechanisms'!AA363</f>
        <v>10.653760886718997</v>
      </c>
      <c r="AX90" s="1461">
        <f>'Misc. Data &amp; Mechanisms'!$B$260</f>
        <v>10.198990303636064</v>
      </c>
      <c r="AY90" s="243">
        <f>IFERROR(IF('Personalized Bill Menu'!$B$30="Yes", IF('Personalized Bill Menu'!$B$34="Natural Gas",VLOOKUP($A90, 'Personalized Bill Menu'!$H$4:$L$93, 2, FALSE), IF('Personalized Bill Menu'!$B$34="Both",VLOOKUP($A90,'Personalized Bill Menu'!$H$4:$P$93, 6, FALSE), 0)), 0),0)</f>
        <v>0</v>
      </c>
      <c r="AZ90" s="1560">
        <f>IFERROR(IF('Personalized Bill Menu'!$C$37="Custom", IF('Personalized Bill Menu'!$B$34="Natural Gas",VLOOKUP($A90, 'Personalized Bill Menu'!$H$4:$L$93, 3, FALSE), IF('Personalized Bill Menu'!$B$34="Both",VLOOKUP($A90,'Personalized Bill Menu'!$H$4:$P$93, 7, FALSE), 0)), 0),0)</f>
        <v>0</v>
      </c>
      <c r="BA90" s="1346">
        <f>IFERROR(IF('Personalized Bill Menu'!$C$37="Custom", IF('Personalized Bill Menu'!$B$34="Natural Gas",VLOOKUP($A90, 'Personalized Bill Menu'!$H$4:$L$93, 4, FALSE), IF('Personalized Bill Menu'!$B$34="Both",VLOOKUP($A90,'Personalized Bill Menu'!$H$4:$P$93, 8, FALSE), 0)), 0),0)</f>
        <v>0</v>
      </c>
    </row>
    <row r="91" spans="1:53" s="117" customFormat="1" x14ac:dyDescent="0.35">
      <c r="A91" s="498">
        <v>43466</v>
      </c>
      <c r="B91" s="499">
        <f t="shared" si="34"/>
        <v>31</v>
      </c>
      <c r="C91" s="212">
        <f t="shared" si="35"/>
        <v>16.841756141444122</v>
      </c>
      <c r="D91" s="353">
        <f t="shared" si="36"/>
        <v>7.1767337192206488</v>
      </c>
      <c r="E91" s="353">
        <f>(1+$AS91)*IF(OR('Service Zone Menu'!$X$4="Calgary",AND('Service Zone Menu'!$X$4="Okotoks", $A91&lt;DATE(2019, 1, 1))),((1+$T91)*($N91+$P91+($X91+$Y91+$AA91+$AB91+$AC91))) + ($U91*($P91+($X91+$Y91+$AA91+$AB91+$AC91))) + $AQ91, ((1+$T91)*($P91+($Y91+$AA91+$AB91+$AC91)))+ ($U91*($P91+($X91+$Y91+$AA91+$AB91+$AC91)))+$N91+$X91 + $AQ91)</f>
        <v>4.8536507250000005</v>
      </c>
      <c r="F91" s="500">
        <f t="shared" si="37"/>
        <v>120.86879919119347</v>
      </c>
      <c r="G91" s="501">
        <f t="shared" si="38"/>
        <v>25.515260554287845</v>
      </c>
      <c r="H91" s="502">
        <f t="shared" si="33"/>
        <v>39.90881584125718</v>
      </c>
      <c r="I91" s="502">
        <f t="shared" si="39"/>
        <v>8.1124896049438657</v>
      </c>
      <c r="J91" s="502">
        <f t="shared" si="40"/>
        <v>7.5956320197913003</v>
      </c>
      <c r="K91" s="502">
        <f t="shared" si="41"/>
        <v>8.4320000000000004</v>
      </c>
      <c r="L91" s="502">
        <f t="shared" ref="L91:L93" si="60">AR91</f>
        <v>25.548944066570733</v>
      </c>
      <c r="M91" s="503">
        <f t="shared" si="43"/>
        <v>5.7556571043425464</v>
      </c>
      <c r="N91" s="1244">
        <f>IF($I$2="DRT",VLOOKUP(A91,'Misc. Data &amp; Mechanisms'!$A$1381:$D$1471,3,FALSE),AZ91)</f>
        <v>1.5149999999999999</v>
      </c>
      <c r="O91" s="433">
        <f t="shared" si="44"/>
        <v>25.515260554287845</v>
      </c>
      <c r="P91" s="431">
        <v>0.82899999999999996</v>
      </c>
      <c r="Q91" s="288">
        <v>0.83699999999999997</v>
      </c>
      <c r="R91" s="433">
        <f t="shared" si="25"/>
        <v>13.961815841257177</v>
      </c>
      <c r="S91" s="433">
        <f t="shared" si="26"/>
        <v>25.946999999999999</v>
      </c>
      <c r="T91" s="391">
        <f>VLOOKUP($A91,'Misc. Data &amp; Mechanisms'!$A$63:$DY$152,HLOOKUP('Service Zone Menu'!$X$4&amp;"_ATCO-S_NG_Y_1",'Misc. Data &amp; Mechanisms'!$A$55:$DY$62,8,FALSE), FALSE)</f>
        <v>0.1111</v>
      </c>
      <c r="U91" s="205">
        <f>VLOOKUP($A91,'Misc. Data &amp; Mechanisms'!$A$63:$DY$152,HLOOKUP('Service Zone Menu'!$X$4&amp;"_ATCO-S_NG_Y_2",'Misc. Data &amp; Mechanisms'!$A$55:$DY$62,8,FALSE), FALSE)</f>
        <v>0</v>
      </c>
      <c r="V91" s="433">
        <f>IF(OR('Service Zone Menu'!$X$4="Calgary",AND('Service Zone Menu'!$X$4="Okotoks", $A91&lt;DATE(2019, 1, 1))),$T91*($H91+$G91+$J91),$T91*($H91+$J91-$AG91))</f>
        <v>8.1124896049438657</v>
      </c>
      <c r="W91" s="433">
        <f t="shared" si="27"/>
        <v>0</v>
      </c>
      <c r="X91" s="432"/>
      <c r="Y91" s="397"/>
      <c r="Z91" s="397"/>
      <c r="AA91" s="397"/>
      <c r="AB91" s="397">
        <v>0.55600000000000005</v>
      </c>
      <c r="AC91" s="397">
        <v>-0.105</v>
      </c>
      <c r="AD91" s="397"/>
      <c r="AE91" s="397"/>
      <c r="AF91" s="397"/>
      <c r="AG91" s="504">
        <f t="shared" si="28"/>
        <v>0</v>
      </c>
      <c r="AH91" s="504">
        <f t="shared" si="29"/>
        <v>0</v>
      </c>
      <c r="AI91" s="433">
        <f t="shared" si="30"/>
        <v>0</v>
      </c>
      <c r="AJ91" s="433">
        <f t="shared" si="31"/>
        <v>9.3640164146429328</v>
      </c>
      <c r="AK91" s="433">
        <f t="shared" si="32"/>
        <v>-1.7683843948516327</v>
      </c>
      <c r="AL91" s="433">
        <f t="shared" ref="AL91:AL93" si="61">AD91</f>
        <v>0</v>
      </c>
      <c r="AM91" s="433">
        <f t="shared" ref="AM91:AM93" si="62">AE91*B91</f>
        <v>0</v>
      </c>
      <c r="AN91" s="433">
        <f t="shared" si="47"/>
        <v>0</v>
      </c>
      <c r="AO91" s="200">
        <f>IF($I$2="DRT",VLOOKUP(A91,'Misc. Data &amp; Mechanisms'!$A$1483:$H$1574,7,FALSE),BA91)</f>
        <v>0.27200000000000002</v>
      </c>
      <c r="AP91" s="555">
        <f t="shared" si="48"/>
        <v>8.4320000000000004</v>
      </c>
      <c r="AQ91" s="286">
        <v>1.5169999999999999</v>
      </c>
      <c r="AR91" s="506">
        <f t="shared" si="56"/>
        <v>25.548944066570733</v>
      </c>
      <c r="AS91" s="507">
        <f>5%</f>
        <v>0.05</v>
      </c>
      <c r="AT91" s="359">
        <f>'Misc. Data &amp; Mechanisms'!AM364</f>
        <v>17.056901241927971</v>
      </c>
      <c r="AU91" s="434">
        <f>'Misc. Data &amp; Mechanisms'!AQ364</f>
        <v>18.609494087583368</v>
      </c>
      <c r="AV91" s="434">
        <f>'Misc. Data &amp; Mechanisms'!Z364</f>
        <v>16.841756141444122</v>
      </c>
      <c r="AW91" s="434">
        <f>'Misc. Data &amp; Mechanisms'!AA364</f>
        <v>10.756405983737997</v>
      </c>
      <c r="AX91" s="1462">
        <f>'Misc. Data &amp; Mechanisms'!$B$260</f>
        <v>10.198990303636064</v>
      </c>
      <c r="AY91" s="197">
        <f>IFERROR(IF('Personalized Bill Menu'!$B$30="Yes", IF('Personalized Bill Menu'!$B$34="Natural Gas",VLOOKUP($A91, 'Personalized Bill Menu'!$H$4:$L$93, 2, FALSE), IF('Personalized Bill Menu'!$B$34="Both",VLOOKUP($A91,'Personalized Bill Menu'!$H$4:$P$93, 6, FALSE), 0)), 0),0)</f>
        <v>0</v>
      </c>
      <c r="AZ91" s="1343">
        <f>IFERROR(IF('Personalized Bill Menu'!$C$37="Custom", IF('Personalized Bill Menu'!$B$34="Natural Gas",VLOOKUP($A91, 'Personalized Bill Menu'!$H$4:$L$93, 3, FALSE), IF('Personalized Bill Menu'!$B$34="Both",VLOOKUP($A91,'Personalized Bill Menu'!$H$4:$P$93, 7, FALSE), 0)), 0),0)</f>
        <v>0</v>
      </c>
      <c r="BA91" s="1344">
        <f>IFERROR(IF('Personalized Bill Menu'!$C$37="Custom", IF('Personalized Bill Menu'!$B$34="Natural Gas",VLOOKUP($A91, 'Personalized Bill Menu'!$H$4:$L$93, 4, FALSE), IF('Personalized Bill Menu'!$B$34="Both",VLOOKUP($A91,'Personalized Bill Menu'!$H$4:$P$93, 8, FALSE), 0)), 0),0)</f>
        <v>0</v>
      </c>
    </row>
    <row r="92" spans="1:53" s="117" customFormat="1" x14ac:dyDescent="0.35">
      <c r="A92" s="496">
        <v>43497</v>
      </c>
      <c r="B92" s="497">
        <f t="shared" si="34"/>
        <v>28</v>
      </c>
      <c r="C92" s="226">
        <f t="shared" si="35"/>
        <v>26.110234067013611</v>
      </c>
      <c r="D92" s="66">
        <f t="shared" si="36"/>
        <v>6.8750971842360658</v>
      </c>
      <c r="E92" s="66">
        <f>(1+$AS92)*IF(OR('Service Zone Menu'!$X$4="Calgary",AND('Service Zone Menu'!$X$4="Okotoks", $A92&lt;DATE(2019, 1, 1))),((1+$T92)*($N92+$P92+($X92+$Y92+$AA92+$AB92+$AC92))) + ($U92*($P92+($X92+$Y92+$AA92+$AB92+$AC92))) + $AQ92, ((1+$T92)*($P92+($Y92+$AA92+$AB92+$AC92)))+ ($U92*($P92+($X92+$Y92+$AA92+$AB92+$AC92)))+$N92+$X92 + $AQ92)</f>
        <v>5.4078118500000008</v>
      </c>
      <c r="F92" s="488">
        <f t="shared" si="37"/>
        <v>179.51039671386988</v>
      </c>
      <c r="G92" s="489">
        <f t="shared" si="38"/>
        <v>51.959365793357087</v>
      </c>
      <c r="H92" s="490">
        <f t="shared" si="33"/>
        <v>45.081384041554287</v>
      </c>
      <c r="I92" s="490">
        <f t="shared" si="39"/>
        <v>12.372592105843843</v>
      </c>
      <c r="J92" s="490">
        <f t="shared" si="40"/>
        <v>14.323715564223139</v>
      </c>
      <c r="K92" s="490">
        <f t="shared" si="41"/>
        <v>7.6160000000000005</v>
      </c>
      <c r="L92" s="490">
        <f t="shared" si="60"/>
        <v>39.609225079659645</v>
      </c>
      <c r="M92" s="491">
        <f t="shared" si="43"/>
        <v>8.5481141292318998</v>
      </c>
      <c r="N92" s="273">
        <f>IF($I$2="DRT",VLOOKUP(A92,'Misc. Data &amp; Mechanisms'!$A$1381:$D$1471,3,FALSE),AZ92)</f>
        <v>1.99</v>
      </c>
      <c r="O92" s="425">
        <f t="shared" si="44"/>
        <v>51.959365793357087</v>
      </c>
      <c r="P92" s="387">
        <v>0.82899999999999996</v>
      </c>
      <c r="Q92" s="278">
        <v>0.83699999999999997</v>
      </c>
      <c r="R92" s="425">
        <f t="shared" si="25"/>
        <v>21.645384041554284</v>
      </c>
      <c r="S92" s="425">
        <f t="shared" si="26"/>
        <v>23.436</v>
      </c>
      <c r="T92" s="391">
        <f>VLOOKUP($A92,'Misc. Data &amp; Mechanisms'!$A$63:$DY$152,HLOOKUP('Service Zone Menu'!$X$4&amp;"_ATCO-S_NG_Y_1",'Misc. Data &amp; Mechanisms'!$A$55:$DY$62,8,FALSE), FALSE)</f>
        <v>0.1111</v>
      </c>
      <c r="U92" s="205">
        <f>VLOOKUP($A92,'Misc. Data &amp; Mechanisms'!$A$63:$DY$152,HLOOKUP('Service Zone Menu'!$X$4&amp;"_ATCO-S_NG_Y_2",'Misc. Data &amp; Mechanisms'!$A$55:$DY$62,8,FALSE), FALSE)</f>
        <v>0</v>
      </c>
      <c r="V92" s="425">
        <f>IF(OR('Service Zone Menu'!$X$4="Calgary",AND('Service Zone Menu'!$X$4="Okotoks", $A92&lt;DATE(2019, 1, 1))),$T92*($H92+$G92+$J92),$T92*($H92+$J92-$AG92))</f>
        <v>12.372592105843843</v>
      </c>
      <c r="W92" s="425">
        <f t="shared" si="27"/>
        <v>0</v>
      </c>
      <c r="X92" s="426"/>
      <c r="Y92" s="386"/>
      <c r="Z92" s="386"/>
      <c r="AA92" s="386"/>
      <c r="AB92" s="386">
        <v>0.55600000000000005</v>
      </c>
      <c r="AC92" s="386">
        <v>-0.105</v>
      </c>
      <c r="AD92" s="386"/>
      <c r="AE92" s="386"/>
      <c r="AF92" s="386">
        <v>9.0999999999999998E-2</v>
      </c>
      <c r="AG92" s="492">
        <f t="shared" si="28"/>
        <v>0</v>
      </c>
      <c r="AH92" s="492">
        <f t="shared" si="29"/>
        <v>0</v>
      </c>
      <c r="AI92" s="425">
        <f t="shared" si="30"/>
        <v>0</v>
      </c>
      <c r="AJ92" s="425">
        <f t="shared" si="31"/>
        <v>14.517290141259569</v>
      </c>
      <c r="AK92" s="425">
        <f t="shared" si="32"/>
        <v>-2.7415745770364288</v>
      </c>
      <c r="AL92" s="425">
        <f t="shared" si="61"/>
        <v>0</v>
      </c>
      <c r="AM92" s="425">
        <f t="shared" si="62"/>
        <v>0</v>
      </c>
      <c r="AN92" s="425">
        <f t="shared" si="47"/>
        <v>2.548</v>
      </c>
      <c r="AO92" s="200">
        <f>IF($I$2="DRT",VLOOKUP(A92,'Misc. Data &amp; Mechanisms'!$A$1483:$H$1574,7,FALSE),BA92)</f>
        <v>0.27200000000000002</v>
      </c>
      <c r="AP92" s="552">
        <f t="shared" si="48"/>
        <v>7.6160000000000005</v>
      </c>
      <c r="AQ92" s="290">
        <v>1.5169999999999999</v>
      </c>
      <c r="AR92" s="494">
        <f t="shared" si="56"/>
        <v>39.609225079659645</v>
      </c>
      <c r="AS92" s="495">
        <f>5%</f>
        <v>0.05</v>
      </c>
      <c r="AT92" s="341">
        <f>'Misc. Data &amp; Mechanisms'!AM365</f>
        <v>26.443779386446241</v>
      </c>
      <c r="AU92" s="424">
        <f>'Misc. Data &amp; Mechanisms'!AQ365</f>
        <v>26.259910858269127</v>
      </c>
      <c r="AV92" s="424">
        <f>'Misc. Data &amp; Mechanisms'!Z365</f>
        <v>26.110234067013611</v>
      </c>
      <c r="AW92" s="424">
        <f>'Misc. Data &amp; Mechanisms'!AA365</f>
        <v>16.675949681049282</v>
      </c>
      <c r="AX92" s="1460">
        <f>'Misc. Data &amp; Mechanisms'!$B$260</f>
        <v>10.198990303636064</v>
      </c>
      <c r="AY92" s="197">
        <f>IFERROR(IF('Personalized Bill Menu'!$B$30="Yes", IF('Personalized Bill Menu'!$B$34="Natural Gas",VLOOKUP($A92, 'Personalized Bill Menu'!$H$4:$L$93, 2, FALSE), IF('Personalized Bill Menu'!$B$34="Both",VLOOKUP($A92,'Personalized Bill Menu'!$H$4:$P$93, 6, FALSE), 0)), 0),0)</f>
        <v>0</v>
      </c>
      <c r="AZ92" s="1343">
        <f>IFERROR(IF('Personalized Bill Menu'!$C$37="Custom", IF('Personalized Bill Menu'!$B$34="Natural Gas",VLOOKUP($A92, 'Personalized Bill Menu'!$H$4:$L$93, 3, FALSE), IF('Personalized Bill Menu'!$B$34="Both",VLOOKUP($A92,'Personalized Bill Menu'!$H$4:$P$93, 7, FALSE), 0)), 0),0)</f>
        <v>0</v>
      </c>
      <c r="BA92" s="1344">
        <f>IFERROR(IF('Personalized Bill Menu'!$C$37="Custom", IF('Personalized Bill Menu'!$B$34="Natural Gas",VLOOKUP($A92, 'Personalized Bill Menu'!$H$4:$L$93, 4, FALSE), IF('Personalized Bill Menu'!$B$34="Both",VLOOKUP($A92,'Personalized Bill Menu'!$H$4:$P$93, 8, FALSE), 0)), 0),0)</f>
        <v>0</v>
      </c>
    </row>
    <row r="93" spans="1:53" s="117" customFormat="1" x14ac:dyDescent="0.35">
      <c r="A93" s="496">
        <v>43525</v>
      </c>
      <c r="B93" s="497">
        <f t="shared" si="34"/>
        <v>31</v>
      </c>
      <c r="C93" s="226">
        <f t="shared" si="35"/>
        <v>15.793485810362281</v>
      </c>
      <c r="D93" s="66">
        <f t="shared" si="36"/>
        <v>9.9554530994741892</v>
      </c>
      <c r="E93" s="66">
        <f>(1+$AS93)*IF(OR('Service Zone Menu'!$X$4="Calgary",AND('Service Zone Menu'!$X$4="Okotoks", $A93&lt;DATE(2019, 1, 1))),((1+$T93)*($N93+$P93+($X93+$Y93+$AA93+$AB93+$AC93))) + ($U93*($P93+($X93+$Y93+$AA93+$AB93+$AC93))) + $AQ93, ((1+$T93)*($P93+($Y93+$AA93+$AB93+$AC93)))+ ($U93*($P93+($X93+$Y93+$AA93+$AB93+$AC93)))+$N93+$X93 + $AQ93)</f>
        <v>7.2697932300000003</v>
      </c>
      <c r="F93" s="488">
        <f>SUM($G93:$M93)</f>
        <v>157.23130726227279</v>
      </c>
      <c r="G93" s="489">
        <f t="shared" si="38"/>
        <v>50.223284876952057</v>
      </c>
      <c r="H93" s="490">
        <f t="shared" si="33"/>
        <v>39.039799736790329</v>
      </c>
      <c r="I93" s="490">
        <f t="shared" si="39"/>
        <v>11.73428222700306</v>
      </c>
      <c r="J93" s="490">
        <f>SUM($AG93:$AN93)</f>
        <v>16.356017339480474</v>
      </c>
      <c r="K93" s="490">
        <f t="shared" si="41"/>
        <v>8.4320000000000004</v>
      </c>
      <c r="L93" s="490">
        <f t="shared" si="60"/>
        <v>23.95871797431958</v>
      </c>
      <c r="M93" s="491">
        <f t="shared" si="43"/>
        <v>7.4872051077272763</v>
      </c>
      <c r="N93" s="273">
        <f>IF($I$2="DRT",VLOOKUP(A93,'Misc. Data &amp; Mechanisms'!$A$1381:$D$1471,3,FALSE),AZ93)</f>
        <v>3.18</v>
      </c>
      <c r="O93" s="425">
        <f t="shared" si="44"/>
        <v>50.223284876952057</v>
      </c>
      <c r="P93" s="387">
        <v>0.82899999999999996</v>
      </c>
      <c r="Q93" s="278">
        <v>0.83699999999999997</v>
      </c>
      <c r="R93" s="425">
        <f t="shared" si="25"/>
        <v>13.092799736790329</v>
      </c>
      <c r="S93" s="425">
        <f t="shared" si="26"/>
        <v>25.946999999999999</v>
      </c>
      <c r="T93" s="391">
        <f>VLOOKUP($A93,'Misc. Data &amp; Mechanisms'!$A$63:$DY$152,HLOOKUP('Service Zone Menu'!$X$4&amp;"_ATCO-S_NG_Y_1",'Misc. Data &amp; Mechanisms'!$A$55:$DY$62,8,FALSE), FALSE)</f>
        <v>0.1111</v>
      </c>
      <c r="U93" s="205">
        <f>VLOOKUP($A93,'Misc. Data &amp; Mechanisms'!$A$63:$DY$152,HLOOKUP('Service Zone Menu'!$X$4&amp;"_ATCO-S_NG_Y_2",'Misc. Data &amp; Mechanisms'!$A$55:$DY$62,8,FALSE), FALSE)</f>
        <v>0</v>
      </c>
      <c r="V93" s="425">
        <f>IF(OR('Service Zone Menu'!$X$4="Calgary",AND('Service Zone Menu'!$X$4="Okotoks", $A93&lt;DATE(2019, 1, 1))),$T93*($H93+$G93+$J93),$T93*($H93+$J93-$AG93))</f>
        <v>11.73428222700306</v>
      </c>
      <c r="W93" s="425">
        <f t="shared" si="27"/>
        <v>0</v>
      </c>
      <c r="X93" s="426"/>
      <c r="Y93" s="386"/>
      <c r="Z93" s="386"/>
      <c r="AA93" s="386"/>
      <c r="AB93" s="386">
        <v>0.96199999999999997</v>
      </c>
      <c r="AC93" s="386">
        <v>-0.105</v>
      </c>
      <c r="AD93" s="386"/>
      <c r="AE93" s="386"/>
      <c r="AF93" s="386">
        <v>9.0999999999999998E-2</v>
      </c>
      <c r="AG93" s="492">
        <f t="shared" si="28"/>
        <v>0</v>
      </c>
      <c r="AH93" s="492">
        <f t="shared" si="29"/>
        <v>0</v>
      </c>
      <c r="AI93" s="425">
        <f t="shared" si="30"/>
        <v>0</v>
      </c>
      <c r="AJ93" s="425">
        <f t="shared" si="31"/>
        <v>15.193333349568514</v>
      </c>
      <c r="AK93" s="425">
        <f t="shared" si="32"/>
        <v>-1.6583160100880394</v>
      </c>
      <c r="AL93" s="425">
        <f t="shared" si="61"/>
        <v>0</v>
      </c>
      <c r="AM93" s="425">
        <f t="shared" si="62"/>
        <v>0</v>
      </c>
      <c r="AN93" s="425">
        <f>AF93*B93</f>
        <v>2.8209999999999997</v>
      </c>
      <c r="AO93" s="200">
        <f>IF($I$2="DRT",VLOOKUP(A93,'Misc. Data &amp; Mechanisms'!$A$1483:$H$1574,7,FALSE),BA93)</f>
        <v>0.27200000000000002</v>
      </c>
      <c r="AP93" s="552">
        <f t="shared" si="48"/>
        <v>8.4320000000000004</v>
      </c>
      <c r="AQ93" s="290">
        <v>1.5169999999999999</v>
      </c>
      <c r="AR93" s="494">
        <f t="shared" si="56"/>
        <v>23.95871797431958</v>
      </c>
      <c r="AS93" s="495">
        <f>5%</f>
        <v>0.05</v>
      </c>
      <c r="AT93" s="341">
        <f>'Misc. Data &amp; Mechanisms'!AM366</f>
        <v>15.995239776108114</v>
      </c>
      <c r="AU93" s="424">
        <f>'Misc. Data &amp; Mechanisms'!AQ366</f>
        <v>15.797501851450116</v>
      </c>
      <c r="AV93" s="424">
        <f>'Misc. Data &amp; Mechanisms'!Z366</f>
        <v>15.793485810362281</v>
      </c>
      <c r="AW93" s="424">
        <f>'Misc. Data &amp; Mechanisms'!AA366</f>
        <v>10.086902093102937</v>
      </c>
      <c r="AX93" s="1460">
        <f>'Misc. Data &amp; Mechanisms'!$B$260</f>
        <v>10.198990303636064</v>
      </c>
      <c r="AY93" s="197">
        <f>IFERROR(IF('Personalized Bill Menu'!$B$30="Yes", IF('Personalized Bill Menu'!$B$34="Natural Gas",VLOOKUP($A93, 'Personalized Bill Menu'!$H$4:$L$93, 2, FALSE), IF('Personalized Bill Menu'!$B$34="Both",VLOOKUP($A93,'Personalized Bill Menu'!$H$4:$P$93, 6, FALSE), 0)), 0),0)</f>
        <v>0</v>
      </c>
      <c r="AZ93" s="1343">
        <f>IFERROR(IF('Personalized Bill Menu'!$C$37="Custom", IF('Personalized Bill Menu'!$B$34="Natural Gas",VLOOKUP($A93, 'Personalized Bill Menu'!$H$4:$L$93, 3, FALSE), IF('Personalized Bill Menu'!$B$34="Both",VLOOKUP($A93,'Personalized Bill Menu'!$H$4:$P$93, 7, FALSE), 0)), 0),0)</f>
        <v>0</v>
      </c>
      <c r="BA93" s="1344">
        <f>IFERROR(IF('Personalized Bill Menu'!$C$37="Custom", IF('Personalized Bill Menu'!$B$34="Natural Gas",VLOOKUP($A93, 'Personalized Bill Menu'!$H$4:$L$93, 4, FALSE), IF('Personalized Bill Menu'!$B$34="Both",VLOOKUP($A93,'Personalized Bill Menu'!$H$4:$P$93, 8, FALSE), 0)), 0),0)</f>
        <v>0</v>
      </c>
    </row>
    <row r="94" spans="1:53" s="117" customFormat="1" x14ac:dyDescent="0.35">
      <c r="A94" s="496">
        <v>43556</v>
      </c>
      <c r="B94" s="497">
        <f t="shared" si="34"/>
        <v>30</v>
      </c>
      <c r="C94" s="1581">
        <f>IFERROR(VLOOKUP($A94,$A$5:$AY$96,MATCH($I$1,$A$5:$AY$5,0),FALSE),0)</f>
        <v>9.5930495907374951</v>
      </c>
      <c r="D94" s="66">
        <f t="shared" si="36"/>
        <v>11.210360705864796</v>
      </c>
      <c r="E94" s="66">
        <f>(1+$AS94)*IF(OR('Service Zone Menu'!$X$4="Calgary",AND('Service Zone Menu'!$X$4="Okotoks", $A94&lt;DATE(2019, 1, 1))),((1+$T94)*($N94+$P94+($X94+$Y94+$AA94+$AB94+$AC94))) + ($U94*($P94+($X94+$Y94+$AA94+$AB94+$AC94))) + $AQ94, ((1+$T94)*($P94+($Y94+$AA94+$AB94+$AC94)))+ ($U94*($P94+($X94+$Y94+$AA94+$AB94+$AC94)))+$N94+$X94 + $AQ94)</f>
        <v>6.93146328</v>
      </c>
      <c r="F94" s="488">
        <f t="shared" ref="F94:F96" si="63">SUM($G94:$M94)</f>
        <v>107.54154618141597</v>
      </c>
      <c r="G94" s="489">
        <f t="shared" si="38"/>
        <v>27.723913317231361</v>
      </c>
      <c r="H94" s="490">
        <f t="shared" si="33"/>
        <v>33.06263811072138</v>
      </c>
      <c r="I94" s="490">
        <f t="shared" si="39"/>
        <v>7.9700690164135626</v>
      </c>
      <c r="J94" s="490">
        <f t="shared" ref="J94:J96" si="64">SUM($AG94:$AN94)</f>
        <v>10.951243499262032</v>
      </c>
      <c r="K94" s="490">
        <f t="shared" si="41"/>
        <v>8.16</v>
      </c>
      <c r="L94" s="490">
        <f t="shared" ref="L94:L96" si="65">AR94</f>
        <v>14.552656229148779</v>
      </c>
      <c r="M94" s="491">
        <f t="shared" si="43"/>
        <v>5.1210260086388564</v>
      </c>
      <c r="N94" s="273">
        <f>IF($I$2="DRT",VLOOKUP(A94,'Misc. Data &amp; Mechanisms'!$A$1381:$D$1471,3,FALSE),AZ94)</f>
        <v>2.89</v>
      </c>
      <c r="O94" s="425">
        <f t="shared" si="44"/>
        <v>27.723913317231361</v>
      </c>
      <c r="P94" s="1621">
        <v>0.82899999999999996</v>
      </c>
      <c r="Q94" s="445">
        <v>0.83699999999999997</v>
      </c>
      <c r="R94" s="425">
        <f t="shared" si="25"/>
        <v>7.9526381107213826</v>
      </c>
      <c r="S94" s="425">
        <f t="shared" si="26"/>
        <v>25.11</v>
      </c>
      <c r="T94" s="391">
        <f>VLOOKUP($A94,'Misc. Data &amp; Mechanisms'!$A$63:$DY$152,HLOOKUP('Service Zone Menu'!$X$4&amp;"_ATCO-S_NG_Y_1",'Misc. Data &amp; Mechanisms'!$A$55:$DY$62,8,FALSE), FALSE)</f>
        <v>0.1111</v>
      </c>
      <c r="U94" s="205">
        <f>VLOOKUP($A94,'Misc. Data &amp; Mechanisms'!$A$63:$DY$152,HLOOKUP('Service Zone Menu'!$X$4&amp;"_ATCO-S_NG_Y_2",'Misc. Data &amp; Mechanisms'!$A$55:$DY$62,8,FALSE), FALSE)</f>
        <v>0</v>
      </c>
      <c r="V94" s="425">
        <f>IF(OR('Service Zone Menu'!$X$4="Calgary",AND('Service Zone Menu'!$X$4="Okotoks", $A94&lt;DATE(2019, 1, 1))),$T94*($H94+$G94+$J94),$T94*($H94+$J94-$AG94))</f>
        <v>7.9700690164135626</v>
      </c>
      <c r="W94" s="425">
        <f t="shared" si="27"/>
        <v>0</v>
      </c>
      <c r="X94" s="1621"/>
      <c r="Y94" s="445"/>
      <c r="Z94" s="445"/>
      <c r="AA94" s="445"/>
      <c r="AB94" s="445">
        <v>0.96199999999999997</v>
      </c>
      <c r="AC94" s="445">
        <v>-0.105</v>
      </c>
      <c r="AD94" s="445"/>
      <c r="AE94" s="445"/>
      <c r="AF94" s="445">
        <v>9.0999999999999998E-2</v>
      </c>
      <c r="AG94" s="492">
        <f t="shared" si="28"/>
        <v>0</v>
      </c>
      <c r="AH94" s="492">
        <f t="shared" si="29"/>
        <v>0</v>
      </c>
      <c r="AI94" s="425">
        <f t="shared" si="30"/>
        <v>0</v>
      </c>
      <c r="AJ94" s="425">
        <f t="shared" si="31"/>
        <v>9.2285137062894691</v>
      </c>
      <c r="AK94" s="425">
        <f t="shared" si="32"/>
        <v>-1.0072702070274369</v>
      </c>
      <c r="AL94" s="425">
        <f t="shared" ref="AL94:AL96" si="66">AD94</f>
        <v>0</v>
      </c>
      <c r="AM94" s="425">
        <f t="shared" ref="AM94:AM96" si="67">AE94*B94</f>
        <v>0</v>
      </c>
      <c r="AN94" s="425">
        <f t="shared" ref="AN94:AN96" si="68">AF94*B94</f>
        <v>2.73</v>
      </c>
      <c r="AO94" s="200">
        <f>IF($I$2="DRT",VLOOKUP(A94,'Misc. Data &amp; Mechanisms'!$A$1483:$H$1574,7,FALSE),BA94)</f>
        <v>0.27200000000000002</v>
      </c>
      <c r="AP94" s="552">
        <f t="shared" si="48"/>
        <v>8.16</v>
      </c>
      <c r="AQ94" s="290">
        <v>1.5169999999999999</v>
      </c>
      <c r="AR94" s="494">
        <f t="shared" si="56"/>
        <v>14.552656229148779</v>
      </c>
      <c r="AS94" s="495">
        <f>5%</f>
        <v>0.05</v>
      </c>
      <c r="AT94" s="341">
        <f>'Misc. Data &amp; Mechanisms'!AM367</f>
        <v>9.7155960520929661</v>
      </c>
      <c r="AU94" s="424">
        <f>'Misc. Data &amp; Mechanisms'!AQ367</f>
        <v>9.4447781777164028</v>
      </c>
      <c r="AV94" s="424">
        <f>'Misc. Data &amp; Mechanisms'!Z367</f>
        <v>9.5930495907374951</v>
      </c>
      <c r="AW94" s="424">
        <f>'Misc. Data &amp; Mechanisms'!AA367</f>
        <v>6.1268394550721847</v>
      </c>
      <c r="AX94" s="1460">
        <f>'Misc. Data &amp; Mechanisms'!$B$260</f>
        <v>10.198990303636064</v>
      </c>
      <c r="AY94" s="197">
        <f>IFERROR(IF('Personalized Bill Menu'!$B$30="Yes", IF('Personalized Bill Menu'!$B$34="Natural Gas",VLOOKUP($A94, 'Personalized Bill Menu'!$H$4:$L$93, 2, FALSE), IF('Personalized Bill Menu'!$B$34="Both",VLOOKUP($A94,'Personalized Bill Menu'!$H$4:$P$93, 6, FALSE), 0)), 0),0)</f>
        <v>0</v>
      </c>
      <c r="AZ94" s="1343">
        <f>IFERROR(IF('Personalized Bill Menu'!$C$37="Custom", IF('Personalized Bill Menu'!$B$34="Natural Gas",VLOOKUP($A94, 'Personalized Bill Menu'!$H$4:$L$93, 3, FALSE), IF('Personalized Bill Menu'!$B$34="Both",VLOOKUP($A94,'Personalized Bill Menu'!$H$4:$P$93, 7, FALSE), 0)), 0),0)</f>
        <v>0</v>
      </c>
      <c r="BA94" s="1344">
        <f>IFERROR(IF('Personalized Bill Menu'!$C$37="Custom", IF('Personalized Bill Menu'!$B$34="Natural Gas",VLOOKUP($A94, 'Personalized Bill Menu'!$H$4:$L$93, 4, FALSE), IF('Personalized Bill Menu'!$B$34="Both",VLOOKUP($A94,'Personalized Bill Menu'!$H$4:$P$93, 8, FALSE), 0)), 0),0)</f>
        <v>0</v>
      </c>
    </row>
    <row r="95" spans="1:53" s="117" customFormat="1" x14ac:dyDescent="0.35">
      <c r="A95" s="496">
        <v>43586</v>
      </c>
      <c r="B95" s="497">
        <f t="shared" si="34"/>
        <v>31</v>
      </c>
      <c r="C95" s="1581">
        <f t="shared" ref="C95:C96" si="69">IFERROR(VLOOKUP($A95,$A$5:$AY$96,MATCH($I$1,$A$5:$AY$5,0),FALSE),0)</f>
        <v>7.5060858462941322</v>
      </c>
      <c r="D95" s="66">
        <f t="shared" si="36"/>
        <v>11.896243357339147</v>
      </c>
      <c r="E95" s="66">
        <f>(1+$AS95)*IF(OR('Service Zone Menu'!$X$4="Calgary",AND('Service Zone Menu'!$X$4="Okotoks", $A95&lt;DATE(2019, 1, 1))),((1+$T95)*($N95+$P95+($X95+$Y95+$AA95+$AB95+$AC95))) + ($U95*($P95+($X95+$Y95+$AA95+$AB95+$AC95))) + $AQ95, ((1+$T95)*($P95+($Y95+$AA95+$AB95+$AC95)))+ ($U95*($P95+($X95+$Y95+$AA95+$AB95+$AC95)))+$N95+$X95 + $AQ95)</f>
        <v>6.2453712638709673</v>
      </c>
      <c r="F95" s="488">
        <f t="shared" si="63"/>
        <v>89.294223888593962</v>
      </c>
      <c r="G95" s="489">
        <f t="shared" si="38"/>
        <v>17.151406158782095</v>
      </c>
      <c r="H95" s="490">
        <f t="shared" si="33"/>
        <v>32.169545166577834</v>
      </c>
      <c r="I95" s="490">
        <f t="shared" si="39"/>
        <v>6.5952077365448813</v>
      </c>
      <c r="J95" s="490">
        <f t="shared" si="64"/>
        <v>10.041854584134954</v>
      </c>
      <c r="K95" s="490">
        <f t="shared" si="41"/>
        <v>8.4320000000000004</v>
      </c>
      <c r="L95" s="490">
        <f t="shared" si="65"/>
        <v>10.652104343097346</v>
      </c>
      <c r="M95" s="491">
        <f t="shared" si="43"/>
        <v>4.2521058994568559</v>
      </c>
      <c r="N95" s="273">
        <f>IF($I$2="DRT",VLOOKUP(A95,'Misc. Data &amp; Mechanisms'!$A$1381:$D$1471,3,FALSE),AZ95)</f>
        <v>2.2850000000000001</v>
      </c>
      <c r="O95" s="425">
        <f t="shared" si="44"/>
        <v>17.151406158782095</v>
      </c>
      <c r="P95" s="1621">
        <v>0.82899999999999996</v>
      </c>
      <c r="Q95" s="445">
        <v>0.83699999999999997</v>
      </c>
      <c r="R95" s="425">
        <f t="shared" si="25"/>
        <v>6.2225451665778353</v>
      </c>
      <c r="S95" s="425">
        <f t="shared" si="26"/>
        <v>25.946999999999999</v>
      </c>
      <c r="T95" s="391">
        <f>VLOOKUP($A95,'Misc. Data &amp; Mechanisms'!$A$63:$DY$152,HLOOKUP('Service Zone Menu'!$X$4&amp;"_ATCO-S_NG_Y_1",'Misc. Data &amp; Mechanisms'!$A$55:$DY$62,8,FALSE), FALSE)</f>
        <v>0.1111</v>
      </c>
      <c r="U95" s="205">
        <f>VLOOKUP($A95,'Misc. Data &amp; Mechanisms'!$A$63:$DY$152,HLOOKUP('Service Zone Menu'!$X$4&amp;"_ATCO-S_NG_Y_2",'Misc. Data &amp; Mechanisms'!$A$55:$DY$62,8,FALSE), FALSE)</f>
        <v>0</v>
      </c>
      <c r="V95" s="425">
        <f>IF(OR('Service Zone Menu'!$X$4="Calgary",AND('Service Zone Menu'!$X$4="Okotoks", $A95&lt;DATE(2019, 1, 1))),$T95*($H95+$G95+$J95),$T95*($H95+$J95-$AG95))</f>
        <v>6.5952077365448813</v>
      </c>
      <c r="W95" s="425">
        <f t="shared" si="27"/>
        <v>0</v>
      </c>
      <c r="X95" s="1621"/>
      <c r="Y95" s="445"/>
      <c r="Z95" s="445"/>
      <c r="AA95" s="445"/>
      <c r="AB95" s="445">
        <v>0.96199999999999997</v>
      </c>
      <c r="AC95" s="445"/>
      <c r="AD95" s="445"/>
      <c r="AE95" s="445"/>
      <c r="AF95" s="445">
        <v>9.0999999999999998E-2</v>
      </c>
      <c r="AG95" s="492">
        <f t="shared" si="28"/>
        <v>0</v>
      </c>
      <c r="AH95" s="492">
        <f t="shared" si="29"/>
        <v>0</v>
      </c>
      <c r="AI95" s="425">
        <f t="shared" si="30"/>
        <v>0</v>
      </c>
      <c r="AJ95" s="425">
        <f t="shared" si="31"/>
        <v>7.2208545841349547</v>
      </c>
      <c r="AK95" s="425">
        <f t="shared" si="32"/>
        <v>0</v>
      </c>
      <c r="AL95" s="425">
        <f t="shared" si="66"/>
        <v>0</v>
      </c>
      <c r="AM95" s="425">
        <f t="shared" si="67"/>
        <v>0</v>
      </c>
      <c r="AN95" s="425">
        <f t="shared" si="68"/>
        <v>2.8209999999999997</v>
      </c>
      <c r="AO95" s="200">
        <f>IF($I$2="DRT",VLOOKUP(A95,'Misc. Data &amp; Mechanisms'!$A$1483:$H$1574,7,FALSE),BA95)</f>
        <v>0.27200000000000002</v>
      </c>
      <c r="AP95" s="552">
        <f t="shared" si="48"/>
        <v>8.4320000000000004</v>
      </c>
      <c r="AQ95" s="290">
        <f>((29/31)*1.517)+((2/31)*0)</f>
        <v>1.4191290322580643</v>
      </c>
      <c r="AR95" s="494">
        <f t="shared" si="56"/>
        <v>10.652104343097346</v>
      </c>
      <c r="AS95" s="495">
        <f>5%</f>
        <v>0.05</v>
      </c>
      <c r="AT95" s="341">
        <f>'Misc. Data &amp; Mechanisms'!AM368</f>
        <v>7.6019723785582709</v>
      </c>
      <c r="AU95" s="424">
        <f>'Misc. Data &amp; Mechanisms'!AQ368</f>
        <v>6.3638808061315242</v>
      </c>
      <c r="AV95" s="424">
        <f>'Misc. Data &amp; Mechanisms'!Z368</f>
        <v>7.5060858462941322</v>
      </c>
      <c r="AW95" s="424">
        <f>'Misc. Data &amp; Mechanisms'!AA368</f>
        <v>4.7939482102373105</v>
      </c>
      <c r="AX95" s="1460">
        <f>'Misc. Data &amp; Mechanisms'!$B$260</f>
        <v>10.198990303636064</v>
      </c>
      <c r="AY95" s="197">
        <f>IFERROR(IF('Personalized Bill Menu'!$B$30="Yes", IF('Personalized Bill Menu'!$B$34="Natural Gas",VLOOKUP($A95, 'Personalized Bill Menu'!$H$4:$L$93, 2, FALSE), IF('Personalized Bill Menu'!$B$34="Both",VLOOKUP($A95,'Personalized Bill Menu'!$H$4:$P$93, 6, FALSE), 0)), 0),0)</f>
        <v>0</v>
      </c>
      <c r="AZ95" s="1343">
        <f>IFERROR(IF('Personalized Bill Menu'!$C$37="Custom", IF('Personalized Bill Menu'!$B$34="Natural Gas",VLOOKUP($A95, 'Personalized Bill Menu'!$H$4:$L$93, 3, FALSE), IF('Personalized Bill Menu'!$B$34="Both",VLOOKUP($A95,'Personalized Bill Menu'!$H$4:$P$93, 7, FALSE), 0)), 0),0)</f>
        <v>0</v>
      </c>
      <c r="BA95" s="1344">
        <f>IFERROR(IF('Personalized Bill Menu'!$C$37="Custom", IF('Personalized Bill Menu'!$B$34="Natural Gas",VLOOKUP($A95, 'Personalized Bill Menu'!$H$4:$L$93, 4, FALSE), IF('Personalized Bill Menu'!$B$34="Both",VLOOKUP($A95,'Personalized Bill Menu'!$H$4:$P$93, 8, FALSE), 0)), 0),0)</f>
        <v>0</v>
      </c>
    </row>
    <row r="96" spans="1:53" s="117" customFormat="1" x14ac:dyDescent="0.35">
      <c r="A96" s="496">
        <v>43617</v>
      </c>
      <c r="B96" s="497">
        <f t="shared" si="34"/>
        <v>30</v>
      </c>
      <c r="C96" s="1581">
        <f t="shared" si="69"/>
        <v>3.7439440891544029</v>
      </c>
      <c r="D96" s="66">
        <f t="shared" si="36"/>
        <v>13.479060368209337</v>
      </c>
      <c r="E96" s="66">
        <f>(1+$AS96)*IF(OR('Service Zone Menu'!$X$4="Calgary",AND('Service Zone Menu'!$X$4="Okotoks", $A96&lt;DATE(2019, 1, 1))),((1+$T96)*($N96+$P96+($X96+$Y96+$AA96+$AB96+$AC96))) + ($U96*($P96+($X96+$Y96+$AA96+$AB96+$AC96))) + $AQ96, ((1+$T96)*($P96+($Y96+$AA96+$AB96+$AC96)))+ ($U96*($P96+($X96+$Y96+$AA96+$AB96+$AC96)))+$N96+$X96 + $AQ96)</f>
        <v>2.5153081799999994</v>
      </c>
      <c r="F96" s="488">
        <f t="shared" si="63"/>
        <v>50.464848392912721</v>
      </c>
      <c r="G96" s="489">
        <f t="shared" si="38"/>
        <v>1.366539592541357</v>
      </c>
      <c r="H96" s="490">
        <f t="shared" si="33"/>
        <v>28.213729649908998</v>
      </c>
      <c r="I96" s="490">
        <f t="shared" si="39"/>
        <v>3.9898169179856966</v>
      </c>
      <c r="J96" s="490">
        <f t="shared" si="64"/>
        <v>6.3316742137665356</v>
      </c>
      <c r="K96" s="490">
        <f t="shared" si="41"/>
        <v>8.16</v>
      </c>
      <c r="L96" s="490">
        <f t="shared" si="65"/>
        <v>0</v>
      </c>
      <c r="M96" s="491">
        <f t="shared" si="43"/>
        <v>2.4030880187101298</v>
      </c>
      <c r="N96" s="273">
        <f>IF($I$2="DRT",VLOOKUP(A96,'Misc. Data &amp; Mechanisms'!$A$1381:$D$1471,3,FALSE),AZ96)</f>
        <v>0.36499999999999999</v>
      </c>
      <c r="O96" s="425">
        <f t="shared" si="44"/>
        <v>1.366539592541357</v>
      </c>
      <c r="P96" s="1621">
        <v>0.82899999999999996</v>
      </c>
      <c r="Q96" s="445">
        <v>0.83699999999999997</v>
      </c>
      <c r="R96" s="425">
        <f t="shared" si="25"/>
        <v>3.1037296499089999</v>
      </c>
      <c r="S96" s="425">
        <f t="shared" si="26"/>
        <v>25.11</v>
      </c>
      <c r="T96" s="391">
        <f>VLOOKUP($A96,'Misc. Data &amp; Mechanisms'!$A$63:$DY$152,HLOOKUP('Service Zone Menu'!$X$4&amp;"_ATCO-S_NG_Y_1",'Misc. Data &amp; Mechanisms'!$A$55:$DY$62,8,FALSE), FALSE)</f>
        <v>0.1111</v>
      </c>
      <c r="U96" s="205">
        <f>VLOOKUP($A96,'Misc. Data &amp; Mechanisms'!$A$63:$DY$152,HLOOKUP('Service Zone Menu'!$X$4&amp;"_ATCO-S_NG_Y_2",'Misc. Data &amp; Mechanisms'!$A$55:$DY$62,8,FALSE), FALSE)</f>
        <v>0</v>
      </c>
      <c r="V96" s="425">
        <f>IF(OR('Service Zone Menu'!$X$4="Calgary",AND('Service Zone Menu'!$X$4="Okotoks", $A96&lt;DATE(2019, 1, 1))),$T96*($H96+$G96+$J96),$T96*($H96+$J96-$AG96))</f>
        <v>3.9898169179856966</v>
      </c>
      <c r="W96" s="425">
        <f t="shared" si="27"/>
        <v>0</v>
      </c>
      <c r="X96" s="1621"/>
      <c r="Y96" s="445"/>
      <c r="Z96" s="445"/>
      <c r="AA96" s="445"/>
      <c r="AB96" s="445">
        <v>0.96199999999999997</v>
      </c>
      <c r="AC96" s="445"/>
      <c r="AD96" s="445"/>
      <c r="AE96" s="445"/>
      <c r="AF96" s="445">
        <v>9.0999999999999998E-2</v>
      </c>
      <c r="AG96" s="492">
        <f t="shared" si="28"/>
        <v>0</v>
      </c>
      <c r="AH96" s="492">
        <f t="shared" si="29"/>
        <v>0</v>
      </c>
      <c r="AI96" s="425">
        <f t="shared" si="30"/>
        <v>0</v>
      </c>
      <c r="AJ96" s="425">
        <f t="shared" si="31"/>
        <v>3.6016742137665356</v>
      </c>
      <c r="AK96" s="425">
        <f t="shared" si="32"/>
        <v>0</v>
      </c>
      <c r="AL96" s="425">
        <f t="shared" si="66"/>
        <v>0</v>
      </c>
      <c r="AM96" s="425">
        <f t="shared" si="67"/>
        <v>0</v>
      </c>
      <c r="AN96" s="425">
        <f t="shared" si="68"/>
        <v>2.73</v>
      </c>
      <c r="AO96" s="200">
        <f>IF($I$2="DRT",VLOOKUP(A96,'Misc. Data &amp; Mechanisms'!$A$1483:$H$1574,7,FALSE),BA96)</f>
        <v>0.27200000000000002</v>
      </c>
      <c r="AP96" s="552">
        <f t="shared" si="48"/>
        <v>8.16</v>
      </c>
      <c r="AQ96" s="520"/>
      <c r="AR96" s="494">
        <f t="shared" si="56"/>
        <v>0</v>
      </c>
      <c r="AS96" s="495">
        <f>5%</f>
        <v>0.05</v>
      </c>
      <c r="AT96" s="341">
        <f>'Misc. Data &amp; Mechanisms'!AM369</f>
        <v>3.7917711221848172</v>
      </c>
      <c r="AU96" s="424">
        <f>'Misc. Data &amp; Mechanisms'!AQ369</f>
        <v>3.6190554790336229</v>
      </c>
      <c r="AV96" s="424">
        <f>'Misc. Data &amp; Mechanisms'!Z369</f>
        <v>3.7439440891544029</v>
      </c>
      <c r="AW96" s="424">
        <f>'Misc. Data &amp; Mechanisms'!AA369</f>
        <v>2.3911629087338029</v>
      </c>
      <c r="AX96" s="1460">
        <f>'Misc. Data &amp; Mechanisms'!$B$260</f>
        <v>10.198990303636064</v>
      </c>
      <c r="AY96" s="197">
        <f>IFERROR(IF('Personalized Bill Menu'!$B$30="Yes", IF('Personalized Bill Menu'!$B$34="Natural Gas",VLOOKUP($A96, 'Personalized Bill Menu'!$H$4:$L$93, 2, FALSE), IF('Personalized Bill Menu'!$B$34="Both",VLOOKUP($A96,'Personalized Bill Menu'!$H$4:$P$93, 6, FALSE), 0)), 0),0)</f>
        <v>0</v>
      </c>
      <c r="AZ96" s="1343">
        <f>IFERROR(IF('Personalized Bill Menu'!$C$37="Custom", IF('Personalized Bill Menu'!$B$34="Natural Gas",VLOOKUP($A96, 'Personalized Bill Menu'!$H$4:$L$93, 3, FALSE), IF('Personalized Bill Menu'!$B$34="Both",VLOOKUP($A96,'Personalized Bill Menu'!$H$4:$P$93, 7, FALSE), 0)), 0),0)</f>
        <v>0</v>
      </c>
      <c r="BA96" s="1344">
        <f>IFERROR(IF('Personalized Bill Menu'!$C$37="Custom", IF('Personalized Bill Menu'!$B$34="Natural Gas",VLOOKUP($A96, 'Personalized Bill Menu'!$H$4:$L$93, 4, FALSE), IF('Personalized Bill Menu'!$B$34="Both",VLOOKUP($A96,'Personalized Bill Menu'!$H$4:$P$93, 8, FALSE), 0)), 0),0)</f>
        <v>0</v>
      </c>
    </row>
    <row r="97" spans="1:50" s="117" customFormat="1" x14ac:dyDescent="0.35">
      <c r="A97" s="442"/>
      <c r="D97" s="443"/>
      <c r="E97" s="443"/>
      <c r="F97" s="444"/>
      <c r="G97" s="444"/>
      <c r="H97" s="444"/>
      <c r="I97" s="444"/>
      <c r="J97" s="444"/>
      <c r="K97" s="444"/>
      <c r="L97" s="444"/>
      <c r="M97" s="444"/>
      <c r="N97" s="296"/>
      <c r="O97" s="444"/>
      <c r="P97" s="445"/>
      <c r="Q97" s="445"/>
      <c r="R97" s="444"/>
      <c r="S97" s="444"/>
      <c r="T97" s="518"/>
      <c r="U97" s="518"/>
      <c r="V97" s="444"/>
      <c r="W97" s="444"/>
      <c r="X97" s="445"/>
      <c r="Y97" s="445"/>
      <c r="Z97" s="445"/>
      <c r="AA97" s="445"/>
      <c r="AB97" s="445"/>
      <c r="AC97" s="445"/>
      <c r="AD97" s="445"/>
      <c r="AE97" s="445"/>
      <c r="AF97" s="445"/>
      <c r="AG97" s="446"/>
      <c r="AH97" s="446"/>
      <c r="AI97" s="444"/>
      <c r="AJ97" s="444"/>
      <c r="AK97" s="444"/>
      <c r="AL97" s="444"/>
      <c r="AM97" s="444"/>
      <c r="AN97" s="444"/>
      <c r="AO97" s="519"/>
      <c r="AP97" s="520"/>
      <c r="AQ97" s="520"/>
      <c r="AR97" s="520"/>
      <c r="AS97" s="447"/>
      <c r="AT97" s="521"/>
      <c r="AU97" s="521"/>
      <c r="AV97" s="522"/>
      <c r="AW97" s="522"/>
      <c r="AX97" s="522"/>
    </row>
    <row r="98" spans="1:50" s="117" customFormat="1" x14ac:dyDescent="0.35">
      <c r="A98" s="442"/>
      <c r="D98" s="443"/>
      <c r="E98" s="443"/>
      <c r="F98" s="444"/>
      <c r="G98" s="444"/>
      <c r="H98" s="444"/>
      <c r="I98" s="444"/>
      <c r="J98" s="444"/>
      <c r="K98" s="444"/>
      <c r="L98" s="444"/>
      <c r="M98" s="444"/>
      <c r="N98" s="296"/>
      <c r="O98" s="444"/>
      <c r="P98" s="445"/>
      <c r="Q98" s="445"/>
      <c r="R98" s="444"/>
      <c r="S98" s="444"/>
      <c r="T98" s="518"/>
      <c r="U98" s="518"/>
      <c r="V98" s="444"/>
      <c r="W98" s="444"/>
      <c r="X98" s="445"/>
      <c r="Y98" s="445"/>
      <c r="Z98" s="445"/>
      <c r="AA98" s="445"/>
      <c r="AB98" s="445"/>
      <c r="AC98" s="445"/>
      <c r="AD98" s="445"/>
      <c r="AE98" s="445"/>
      <c r="AF98" s="445"/>
      <c r="AG98" s="446"/>
      <c r="AH98" s="446"/>
      <c r="AI98" s="444"/>
      <c r="AJ98" s="444"/>
      <c r="AK98" s="444"/>
      <c r="AL98" s="444"/>
      <c r="AM98" s="444"/>
      <c r="AN98" s="444"/>
      <c r="AO98" s="519"/>
      <c r="AP98" s="520"/>
      <c r="AQ98" s="520"/>
      <c r="AR98" s="520"/>
      <c r="AS98" s="447"/>
      <c r="AT98" s="521"/>
      <c r="AU98" s="521"/>
      <c r="AV98" s="522"/>
      <c r="AW98" s="522"/>
      <c r="AX98" s="522"/>
    </row>
    <row r="99" spans="1:50" s="117" customFormat="1" x14ac:dyDescent="0.35">
      <c r="A99" s="442"/>
      <c r="D99" s="443"/>
      <c r="E99" s="443"/>
      <c r="F99" s="444"/>
      <c r="G99" s="444"/>
      <c r="H99" s="444"/>
      <c r="I99" s="444"/>
      <c r="J99" s="444"/>
      <c r="K99" s="444"/>
      <c r="L99" s="444"/>
      <c r="M99" s="444"/>
      <c r="N99" s="296"/>
      <c r="O99" s="444"/>
      <c r="P99" s="445"/>
      <c r="Q99" s="445"/>
      <c r="R99" s="444"/>
      <c r="S99" s="444"/>
      <c r="T99" s="518"/>
      <c r="U99" s="518"/>
      <c r="V99" s="444"/>
      <c r="W99" s="444"/>
      <c r="X99" s="445"/>
      <c r="Y99" s="445"/>
      <c r="Z99" s="445"/>
      <c r="AA99" s="445"/>
      <c r="AB99" s="445"/>
      <c r="AC99" s="445"/>
      <c r="AD99" s="445"/>
      <c r="AE99" s="445"/>
      <c r="AF99" s="445"/>
      <c r="AG99" s="446"/>
      <c r="AH99" s="446"/>
      <c r="AI99" s="444"/>
      <c r="AJ99" s="444"/>
      <c r="AK99" s="444"/>
      <c r="AL99" s="444"/>
      <c r="AM99" s="444"/>
      <c r="AN99" s="444"/>
      <c r="AO99" s="519"/>
      <c r="AP99" s="520"/>
      <c r="AQ99" s="520"/>
      <c r="AR99" s="520"/>
      <c r="AS99" s="447"/>
      <c r="AT99" s="521"/>
      <c r="AU99" s="521"/>
      <c r="AV99" s="522"/>
      <c r="AW99" s="522"/>
      <c r="AX99" s="522"/>
    </row>
    <row r="100" spans="1:50" s="117" customFormat="1" x14ac:dyDescent="0.35">
      <c r="A100" s="442"/>
      <c r="D100" s="443"/>
      <c r="E100" s="443"/>
      <c r="F100" s="444"/>
      <c r="G100" s="444"/>
      <c r="H100" s="444"/>
      <c r="I100" s="444"/>
      <c r="J100" s="444"/>
      <c r="K100" s="444"/>
      <c r="L100" s="444"/>
      <c r="M100" s="444"/>
      <c r="N100" s="296"/>
      <c r="O100" s="444"/>
      <c r="P100" s="445"/>
      <c r="Q100" s="445"/>
      <c r="R100" s="444"/>
      <c r="S100" s="444"/>
      <c r="T100" s="518"/>
      <c r="U100" s="518"/>
      <c r="V100" s="444"/>
      <c r="W100" s="444"/>
      <c r="X100" s="445"/>
      <c r="Y100" s="445"/>
      <c r="Z100" s="445"/>
      <c r="AA100" s="445"/>
      <c r="AB100" s="445"/>
      <c r="AC100" s="445"/>
      <c r="AD100" s="445"/>
      <c r="AE100" s="445"/>
      <c r="AF100" s="445"/>
      <c r="AG100" s="446"/>
      <c r="AH100" s="446"/>
      <c r="AI100" s="444"/>
      <c r="AJ100" s="444"/>
      <c r="AK100" s="444"/>
      <c r="AL100" s="444"/>
      <c r="AM100" s="444"/>
      <c r="AN100" s="444"/>
      <c r="AO100" s="519"/>
      <c r="AP100" s="520"/>
      <c r="AQ100" s="520"/>
      <c r="AR100" s="520"/>
      <c r="AS100" s="447"/>
      <c r="AT100" s="521"/>
      <c r="AU100" s="521"/>
      <c r="AV100" s="522"/>
      <c r="AW100" s="522"/>
      <c r="AX100" s="522"/>
    </row>
    <row r="101" spans="1:50" s="117" customFormat="1" x14ac:dyDescent="0.35">
      <c r="A101" s="442"/>
      <c r="D101" s="443"/>
      <c r="E101" s="443"/>
      <c r="F101" s="444"/>
      <c r="G101" s="444"/>
      <c r="H101" s="444"/>
      <c r="I101" s="444"/>
      <c r="J101" s="444"/>
      <c r="K101" s="444"/>
      <c r="L101" s="444"/>
      <c r="M101" s="444"/>
      <c r="N101" s="296"/>
      <c r="O101" s="444"/>
      <c r="P101" s="445"/>
      <c r="Q101" s="445"/>
      <c r="R101" s="444"/>
      <c r="S101" s="444"/>
      <c r="T101" s="518"/>
      <c r="U101" s="518"/>
      <c r="V101" s="444"/>
      <c r="W101" s="444"/>
      <c r="X101" s="445"/>
      <c r="Y101" s="445"/>
      <c r="Z101" s="445"/>
      <c r="AA101" s="445"/>
      <c r="AB101" s="445"/>
      <c r="AC101" s="445"/>
      <c r="AD101" s="445"/>
      <c r="AE101" s="445"/>
      <c r="AF101" s="445"/>
      <c r="AG101" s="446"/>
      <c r="AH101" s="446"/>
      <c r="AI101" s="444"/>
      <c r="AJ101" s="444"/>
      <c r="AK101" s="444"/>
      <c r="AL101" s="444"/>
      <c r="AM101" s="444"/>
      <c r="AN101" s="444"/>
      <c r="AO101" s="519"/>
      <c r="AP101" s="520"/>
      <c r="AQ101" s="520"/>
      <c r="AR101" s="520"/>
      <c r="AS101" s="447"/>
      <c r="AT101" s="521"/>
      <c r="AU101" s="521"/>
      <c r="AV101" s="522"/>
      <c r="AW101" s="522"/>
      <c r="AX101" s="522"/>
    </row>
    <row r="102" spans="1:50" s="117" customFormat="1" x14ac:dyDescent="0.35">
      <c r="A102" s="442"/>
      <c r="D102" s="443"/>
      <c r="E102" s="443"/>
      <c r="F102" s="444"/>
      <c r="G102" s="444"/>
      <c r="H102" s="444"/>
      <c r="I102" s="444"/>
      <c r="J102" s="444"/>
      <c r="K102" s="444"/>
      <c r="L102" s="444"/>
      <c r="M102" s="444"/>
      <c r="N102" s="296"/>
      <c r="O102" s="444"/>
      <c r="P102" s="445"/>
      <c r="Q102" s="445"/>
      <c r="R102" s="444"/>
      <c r="S102" s="444"/>
      <c r="T102" s="518"/>
      <c r="U102" s="518"/>
      <c r="V102" s="444"/>
      <c r="W102" s="444"/>
      <c r="X102" s="445"/>
      <c r="Y102" s="445"/>
      <c r="Z102" s="445"/>
      <c r="AA102" s="445"/>
      <c r="AB102" s="445"/>
      <c r="AC102" s="445"/>
      <c r="AD102" s="445"/>
      <c r="AE102" s="445"/>
      <c r="AF102" s="445"/>
      <c r="AG102" s="446"/>
      <c r="AH102" s="446"/>
      <c r="AI102" s="444"/>
      <c r="AJ102" s="444"/>
      <c r="AK102" s="444"/>
      <c r="AL102" s="444"/>
      <c r="AM102" s="444"/>
      <c r="AN102" s="444"/>
      <c r="AO102" s="519"/>
      <c r="AP102" s="520"/>
      <c r="AQ102" s="520"/>
      <c r="AR102" s="520"/>
      <c r="AS102" s="447"/>
      <c r="AT102" s="521"/>
      <c r="AU102" s="521"/>
      <c r="AV102" s="522"/>
      <c r="AW102" s="522"/>
      <c r="AX102" s="522"/>
    </row>
    <row r="103" spans="1:50" s="117" customFormat="1" x14ac:dyDescent="0.35">
      <c r="A103" s="442"/>
      <c r="D103" s="443"/>
      <c r="E103" s="443"/>
      <c r="F103" s="444"/>
      <c r="G103" s="444"/>
      <c r="H103" s="444"/>
      <c r="I103" s="444"/>
      <c r="J103" s="444"/>
      <c r="K103" s="444"/>
      <c r="L103" s="444"/>
      <c r="M103" s="444"/>
      <c r="N103" s="296"/>
      <c r="O103" s="444"/>
      <c r="P103" s="445"/>
      <c r="Q103" s="445"/>
      <c r="R103" s="444"/>
      <c r="S103" s="444"/>
      <c r="T103" s="518"/>
      <c r="U103" s="518"/>
      <c r="V103" s="444"/>
      <c r="W103" s="444"/>
      <c r="X103" s="445"/>
      <c r="Y103" s="445"/>
      <c r="Z103" s="445"/>
      <c r="AA103" s="445"/>
      <c r="AB103" s="445"/>
      <c r="AC103" s="445"/>
      <c r="AD103" s="445"/>
      <c r="AE103" s="445"/>
      <c r="AF103" s="445"/>
      <c r="AG103" s="446"/>
      <c r="AH103" s="446"/>
      <c r="AI103" s="444"/>
      <c r="AJ103" s="444"/>
      <c r="AK103" s="444"/>
      <c r="AL103" s="444"/>
      <c r="AM103" s="444"/>
      <c r="AN103" s="444"/>
      <c r="AO103" s="519"/>
      <c r="AP103" s="520"/>
      <c r="AQ103" s="520"/>
      <c r="AR103" s="520"/>
      <c r="AS103" s="447"/>
      <c r="AT103" s="521"/>
      <c r="AU103" s="521"/>
      <c r="AV103" s="522"/>
      <c r="AW103" s="522"/>
      <c r="AX103" s="522"/>
    </row>
    <row r="104" spans="1:50" s="117" customFormat="1" x14ac:dyDescent="0.35">
      <c r="A104" s="442"/>
      <c r="D104" s="443"/>
      <c r="E104" s="443"/>
      <c r="F104" s="444"/>
      <c r="G104" s="444"/>
      <c r="H104" s="444"/>
      <c r="I104" s="444"/>
      <c r="J104" s="444"/>
      <c r="K104" s="444"/>
      <c r="L104" s="444"/>
      <c r="M104" s="444"/>
      <c r="N104" s="296"/>
      <c r="O104" s="444"/>
      <c r="P104" s="445"/>
      <c r="Q104" s="445"/>
      <c r="R104" s="444"/>
      <c r="S104" s="444"/>
      <c r="T104" s="518"/>
      <c r="U104" s="518"/>
      <c r="V104" s="444"/>
      <c r="W104" s="444"/>
      <c r="X104" s="445"/>
      <c r="Y104" s="445"/>
      <c r="Z104" s="445"/>
      <c r="AA104" s="445"/>
      <c r="AB104" s="445"/>
      <c r="AC104" s="445"/>
      <c r="AD104" s="445"/>
      <c r="AE104" s="445"/>
      <c r="AF104" s="445"/>
      <c r="AG104" s="446"/>
      <c r="AH104" s="446"/>
      <c r="AI104" s="444"/>
      <c r="AJ104" s="444"/>
      <c r="AK104" s="444"/>
      <c r="AL104" s="444"/>
      <c r="AM104" s="444"/>
      <c r="AN104" s="444"/>
      <c r="AO104" s="519"/>
      <c r="AP104" s="520"/>
      <c r="AQ104" s="520"/>
      <c r="AR104" s="520"/>
      <c r="AS104" s="447"/>
      <c r="AT104" s="521"/>
      <c r="AU104" s="521"/>
      <c r="AV104" s="522"/>
      <c r="AW104" s="522"/>
      <c r="AX104" s="522"/>
    </row>
    <row r="105" spans="1:50" s="117" customFormat="1" x14ac:dyDescent="0.35">
      <c r="A105" s="442"/>
      <c r="D105" s="443"/>
      <c r="E105" s="443"/>
      <c r="F105" s="444"/>
      <c r="G105" s="444"/>
      <c r="H105" s="444"/>
      <c r="I105" s="444"/>
      <c r="J105" s="444"/>
      <c r="K105" s="444"/>
      <c r="L105" s="444"/>
      <c r="M105" s="444"/>
      <c r="N105" s="296"/>
      <c r="O105" s="444"/>
      <c r="P105" s="445"/>
      <c r="Q105" s="445"/>
      <c r="R105" s="444"/>
      <c r="S105" s="444"/>
      <c r="T105" s="518"/>
      <c r="U105" s="518"/>
      <c r="V105" s="444"/>
      <c r="W105" s="444"/>
      <c r="X105" s="445"/>
      <c r="Y105" s="445"/>
      <c r="Z105" s="445"/>
      <c r="AA105" s="445"/>
      <c r="AB105" s="445"/>
      <c r="AC105" s="445"/>
      <c r="AD105" s="445"/>
      <c r="AE105" s="445"/>
      <c r="AF105" s="445"/>
      <c r="AG105" s="446"/>
      <c r="AH105" s="446"/>
      <c r="AI105" s="444"/>
      <c r="AJ105" s="444"/>
      <c r="AK105" s="444"/>
      <c r="AL105" s="444"/>
      <c r="AM105" s="444"/>
      <c r="AN105" s="444"/>
      <c r="AO105" s="519"/>
      <c r="AP105" s="520"/>
      <c r="AQ105" s="520"/>
      <c r="AR105" s="520"/>
      <c r="AS105" s="447"/>
      <c r="AT105" s="521"/>
      <c r="AU105" s="521"/>
      <c r="AV105" s="522"/>
      <c r="AW105" s="522"/>
      <c r="AX105" s="522"/>
    </row>
    <row r="106" spans="1:50" s="117" customFormat="1" x14ac:dyDescent="0.35">
      <c r="A106" s="442"/>
      <c r="D106" s="443"/>
      <c r="E106" s="443"/>
      <c r="F106" s="444"/>
      <c r="G106" s="444"/>
      <c r="H106" s="444"/>
      <c r="I106" s="444"/>
      <c r="J106" s="444"/>
      <c r="K106" s="444"/>
      <c r="L106" s="444"/>
      <c r="M106" s="444"/>
      <c r="N106" s="296"/>
      <c r="O106" s="444"/>
      <c r="P106" s="445"/>
      <c r="Q106" s="445"/>
      <c r="R106" s="444"/>
      <c r="S106" s="444"/>
      <c r="T106" s="518"/>
      <c r="U106" s="518"/>
      <c r="V106" s="444"/>
      <c r="W106" s="444"/>
      <c r="X106" s="445"/>
      <c r="Y106" s="445"/>
      <c r="Z106" s="445"/>
      <c r="AA106" s="445"/>
      <c r="AB106" s="445"/>
      <c r="AC106" s="445"/>
      <c r="AD106" s="445"/>
      <c r="AE106" s="445"/>
      <c r="AF106" s="445"/>
      <c r="AG106" s="446"/>
      <c r="AH106" s="446"/>
      <c r="AI106" s="444"/>
      <c r="AJ106" s="444"/>
      <c r="AK106" s="444"/>
      <c r="AL106" s="444"/>
      <c r="AM106" s="444"/>
      <c r="AN106" s="444"/>
      <c r="AO106" s="519"/>
      <c r="AP106" s="520"/>
      <c r="AQ106" s="520"/>
      <c r="AR106" s="520"/>
      <c r="AS106" s="447"/>
      <c r="AT106" s="521"/>
      <c r="AU106" s="521"/>
      <c r="AV106" s="522"/>
      <c r="AW106" s="522"/>
      <c r="AX106" s="522"/>
    </row>
    <row r="107" spans="1:50" s="117" customFormat="1" x14ac:dyDescent="0.35">
      <c r="A107" s="442"/>
      <c r="D107" s="443"/>
      <c r="E107" s="443"/>
      <c r="F107" s="444"/>
      <c r="G107" s="444"/>
      <c r="H107" s="444"/>
      <c r="I107" s="444"/>
      <c r="J107" s="444"/>
      <c r="K107" s="444"/>
      <c r="L107" s="444"/>
      <c r="M107" s="444"/>
      <c r="N107" s="296"/>
      <c r="O107" s="444"/>
      <c r="P107" s="445"/>
      <c r="Q107" s="445"/>
      <c r="R107" s="444"/>
      <c r="S107" s="444"/>
      <c r="T107" s="518"/>
      <c r="U107" s="518"/>
      <c r="V107" s="444"/>
      <c r="W107" s="444"/>
      <c r="X107" s="445"/>
      <c r="Y107" s="445"/>
      <c r="Z107" s="445"/>
      <c r="AA107" s="445"/>
      <c r="AB107" s="445"/>
      <c r="AC107" s="445"/>
      <c r="AD107" s="445"/>
      <c r="AE107" s="445"/>
      <c r="AF107" s="445"/>
      <c r="AG107" s="446"/>
      <c r="AH107" s="446"/>
      <c r="AI107" s="444"/>
      <c r="AJ107" s="444"/>
      <c r="AK107" s="444"/>
      <c r="AL107" s="444"/>
      <c r="AM107" s="444"/>
      <c r="AN107" s="444"/>
      <c r="AO107" s="519"/>
      <c r="AP107" s="520"/>
      <c r="AQ107" s="520"/>
      <c r="AR107" s="520"/>
      <c r="AS107" s="447"/>
      <c r="AT107" s="521"/>
      <c r="AU107" s="521"/>
      <c r="AV107" s="522"/>
      <c r="AW107" s="522"/>
      <c r="AX107" s="522"/>
    </row>
    <row r="108" spans="1:50" s="117" customFormat="1" x14ac:dyDescent="0.35">
      <c r="A108" s="442"/>
      <c r="D108" s="443"/>
      <c r="E108" s="443"/>
      <c r="F108" s="444"/>
      <c r="G108" s="444"/>
      <c r="H108" s="444"/>
      <c r="I108" s="444"/>
      <c r="J108" s="444"/>
      <c r="K108" s="444"/>
      <c r="L108" s="444"/>
      <c r="M108" s="444"/>
      <c r="N108" s="296"/>
      <c r="O108" s="444"/>
      <c r="P108" s="445"/>
      <c r="Q108" s="445"/>
      <c r="R108" s="444"/>
      <c r="S108" s="444"/>
      <c r="T108" s="518"/>
      <c r="U108" s="518"/>
      <c r="V108" s="444"/>
      <c r="W108" s="444"/>
      <c r="X108" s="445"/>
      <c r="Y108" s="445"/>
      <c r="Z108" s="445"/>
      <c r="AA108" s="445"/>
      <c r="AB108" s="445"/>
      <c r="AC108" s="445"/>
      <c r="AD108" s="445"/>
      <c r="AE108" s="445"/>
      <c r="AF108" s="445"/>
      <c r="AG108" s="446"/>
      <c r="AH108" s="446"/>
      <c r="AI108" s="444"/>
      <c r="AJ108" s="444"/>
      <c r="AK108" s="444"/>
      <c r="AL108" s="444"/>
      <c r="AM108" s="444"/>
      <c r="AN108" s="444"/>
      <c r="AO108" s="519"/>
      <c r="AP108" s="520"/>
      <c r="AQ108" s="520"/>
      <c r="AR108" s="520"/>
      <c r="AS108" s="447"/>
      <c r="AT108" s="521"/>
      <c r="AU108" s="521"/>
      <c r="AV108" s="522"/>
      <c r="AW108" s="522"/>
      <c r="AX108" s="522"/>
    </row>
    <row r="109" spans="1:50" s="117" customFormat="1" x14ac:dyDescent="0.35">
      <c r="A109" s="442"/>
      <c r="D109" s="443"/>
      <c r="E109" s="443"/>
      <c r="F109" s="444"/>
      <c r="G109" s="444"/>
      <c r="H109" s="444"/>
      <c r="I109" s="444"/>
      <c r="J109" s="444"/>
      <c r="K109" s="444"/>
      <c r="L109" s="444"/>
      <c r="M109" s="444"/>
      <c r="N109" s="296"/>
      <c r="O109" s="444"/>
      <c r="P109" s="445"/>
      <c r="Q109" s="445"/>
      <c r="R109" s="444"/>
      <c r="S109" s="444"/>
      <c r="T109" s="518"/>
      <c r="U109" s="518"/>
      <c r="V109" s="444"/>
      <c r="W109" s="444"/>
      <c r="X109" s="445"/>
      <c r="Y109" s="445"/>
      <c r="Z109" s="445"/>
      <c r="AA109" s="445"/>
      <c r="AB109" s="445"/>
      <c r="AC109" s="445"/>
      <c r="AD109" s="445"/>
      <c r="AE109" s="445"/>
      <c r="AF109" s="445"/>
      <c r="AG109" s="446"/>
      <c r="AH109" s="446"/>
      <c r="AI109" s="444"/>
      <c r="AJ109" s="444"/>
      <c r="AK109" s="444"/>
      <c r="AL109" s="444"/>
      <c r="AM109" s="444"/>
      <c r="AN109" s="444"/>
      <c r="AO109" s="519"/>
      <c r="AP109" s="520"/>
      <c r="AQ109" s="520"/>
      <c r="AR109" s="520"/>
      <c r="AS109" s="447"/>
      <c r="AT109" s="521"/>
      <c r="AU109" s="521"/>
      <c r="AV109" s="522"/>
      <c r="AW109" s="522"/>
      <c r="AX109" s="522"/>
    </row>
    <row r="110" spans="1:50" s="117" customFormat="1" x14ac:dyDescent="0.35">
      <c r="A110" s="442"/>
      <c r="D110" s="443"/>
      <c r="E110" s="443"/>
      <c r="F110" s="444"/>
      <c r="G110" s="444"/>
      <c r="H110" s="444"/>
      <c r="I110" s="444"/>
      <c r="J110" s="444"/>
      <c r="K110" s="444"/>
      <c r="L110" s="444"/>
      <c r="M110" s="444"/>
      <c r="N110" s="296"/>
      <c r="O110" s="444"/>
      <c r="P110" s="445"/>
      <c r="Q110" s="445"/>
      <c r="R110" s="444"/>
      <c r="S110" s="444"/>
      <c r="T110" s="518"/>
      <c r="U110" s="518"/>
      <c r="V110" s="444"/>
      <c r="W110" s="444"/>
      <c r="X110" s="445"/>
      <c r="Y110" s="445"/>
      <c r="Z110" s="445"/>
      <c r="AA110" s="445"/>
      <c r="AB110" s="445"/>
      <c r="AC110" s="445"/>
      <c r="AD110" s="445"/>
      <c r="AE110" s="445"/>
      <c r="AF110" s="445"/>
      <c r="AG110" s="446"/>
      <c r="AH110" s="446"/>
      <c r="AI110" s="444"/>
      <c r="AJ110" s="444"/>
      <c r="AK110" s="444"/>
      <c r="AL110" s="444"/>
      <c r="AM110" s="444"/>
      <c r="AN110" s="444"/>
      <c r="AO110" s="519"/>
      <c r="AP110" s="520"/>
      <c r="AQ110" s="520"/>
      <c r="AR110" s="520"/>
      <c r="AS110" s="447"/>
      <c r="AT110" s="521"/>
      <c r="AU110" s="521"/>
      <c r="AV110" s="522"/>
      <c r="AW110" s="522"/>
      <c r="AX110" s="522"/>
    </row>
    <row r="111" spans="1:50" s="117" customFormat="1" x14ac:dyDescent="0.35">
      <c r="A111" s="442"/>
      <c r="D111" s="443"/>
      <c r="E111" s="443"/>
      <c r="F111" s="444"/>
      <c r="G111" s="444"/>
      <c r="H111" s="444"/>
      <c r="I111" s="444"/>
      <c r="J111" s="444"/>
      <c r="K111" s="444"/>
      <c r="L111" s="444"/>
      <c r="M111" s="444"/>
      <c r="N111" s="296"/>
      <c r="O111" s="444"/>
      <c r="P111" s="445"/>
      <c r="Q111" s="445"/>
      <c r="R111" s="444"/>
      <c r="S111" s="444"/>
      <c r="T111" s="518"/>
      <c r="U111" s="518"/>
      <c r="V111" s="444"/>
      <c r="W111" s="444"/>
      <c r="X111" s="445"/>
      <c r="Y111" s="445"/>
      <c r="Z111" s="445"/>
      <c r="AA111" s="445"/>
      <c r="AB111" s="445"/>
      <c r="AC111" s="445"/>
      <c r="AD111" s="445"/>
      <c r="AE111" s="445"/>
      <c r="AF111" s="445"/>
      <c r="AG111" s="446"/>
      <c r="AH111" s="446"/>
      <c r="AI111" s="444"/>
      <c r="AJ111" s="444"/>
      <c r="AK111" s="444"/>
      <c r="AL111" s="444"/>
      <c r="AM111" s="444"/>
      <c r="AN111" s="444"/>
      <c r="AO111" s="519"/>
      <c r="AP111" s="520"/>
      <c r="AQ111" s="520"/>
      <c r="AR111" s="520"/>
      <c r="AS111" s="447"/>
      <c r="AT111" s="521"/>
      <c r="AU111" s="521"/>
      <c r="AV111" s="522"/>
      <c r="AW111" s="522"/>
      <c r="AX111" s="522"/>
    </row>
    <row r="112" spans="1:50" s="117" customFormat="1" x14ac:dyDescent="0.35">
      <c r="A112" s="442"/>
      <c r="D112" s="443"/>
      <c r="E112" s="443"/>
      <c r="F112" s="444"/>
      <c r="G112" s="444"/>
      <c r="H112" s="444"/>
      <c r="I112" s="444"/>
      <c r="J112" s="444"/>
      <c r="K112" s="444"/>
      <c r="L112" s="444"/>
      <c r="M112" s="444"/>
      <c r="N112" s="296"/>
      <c r="O112" s="444"/>
      <c r="P112" s="445"/>
      <c r="Q112" s="445"/>
      <c r="R112" s="444"/>
      <c r="S112" s="444"/>
      <c r="T112" s="518"/>
      <c r="U112" s="518"/>
      <c r="V112" s="444"/>
      <c r="W112" s="444"/>
      <c r="X112" s="445"/>
      <c r="Y112" s="445"/>
      <c r="Z112" s="445"/>
      <c r="AA112" s="445"/>
      <c r="AB112" s="445"/>
      <c r="AC112" s="445"/>
      <c r="AD112" s="445"/>
      <c r="AE112" s="445"/>
      <c r="AF112" s="445"/>
      <c r="AG112" s="446"/>
      <c r="AH112" s="446"/>
      <c r="AI112" s="444"/>
      <c r="AJ112" s="444"/>
      <c r="AK112" s="444"/>
      <c r="AL112" s="444"/>
      <c r="AM112" s="444"/>
      <c r="AN112" s="444"/>
      <c r="AO112" s="519"/>
      <c r="AP112" s="520"/>
      <c r="AQ112" s="520"/>
      <c r="AR112" s="520"/>
      <c r="AS112" s="447"/>
      <c r="AT112" s="521"/>
      <c r="AU112" s="521"/>
      <c r="AV112" s="522"/>
      <c r="AW112" s="522"/>
      <c r="AX112" s="522"/>
    </row>
    <row r="113" spans="1:50" s="117" customFormat="1" x14ac:dyDescent="0.35">
      <c r="A113" s="442"/>
      <c r="D113" s="443"/>
      <c r="E113" s="443"/>
      <c r="F113" s="444"/>
      <c r="G113" s="444"/>
      <c r="H113" s="444"/>
      <c r="I113" s="444"/>
      <c r="J113" s="444"/>
      <c r="K113" s="444"/>
      <c r="L113" s="444"/>
      <c r="M113" s="444"/>
      <c r="N113" s="296"/>
      <c r="O113" s="444"/>
      <c r="P113" s="445"/>
      <c r="Q113" s="445"/>
      <c r="R113" s="444"/>
      <c r="S113" s="444"/>
      <c r="T113" s="518"/>
      <c r="U113" s="518"/>
      <c r="V113" s="444"/>
      <c r="W113" s="444"/>
      <c r="X113" s="445"/>
      <c r="Y113" s="445"/>
      <c r="Z113" s="445"/>
      <c r="AA113" s="445"/>
      <c r="AB113" s="445"/>
      <c r="AC113" s="445"/>
      <c r="AD113" s="445"/>
      <c r="AE113" s="445"/>
      <c r="AF113" s="445"/>
      <c r="AG113" s="446"/>
      <c r="AH113" s="446"/>
      <c r="AI113" s="444"/>
      <c r="AJ113" s="444"/>
      <c r="AK113" s="444"/>
      <c r="AL113" s="444"/>
      <c r="AM113" s="444"/>
      <c r="AN113" s="444"/>
      <c r="AO113" s="519"/>
      <c r="AP113" s="520"/>
      <c r="AQ113" s="520"/>
      <c r="AR113" s="520"/>
      <c r="AS113" s="447"/>
      <c r="AT113" s="521"/>
      <c r="AU113" s="521"/>
      <c r="AV113" s="522"/>
      <c r="AW113" s="522"/>
      <c r="AX113" s="522"/>
    </row>
    <row r="114" spans="1:50" s="117" customFormat="1" x14ac:dyDescent="0.35">
      <c r="A114" s="442"/>
      <c r="D114" s="443"/>
      <c r="E114" s="443"/>
      <c r="F114" s="444"/>
      <c r="G114" s="444"/>
      <c r="H114" s="444"/>
      <c r="I114" s="444"/>
      <c r="J114" s="444"/>
      <c r="K114" s="444"/>
      <c r="L114" s="444"/>
      <c r="M114" s="444"/>
      <c r="N114" s="296"/>
      <c r="O114" s="444"/>
      <c r="P114" s="445"/>
      <c r="Q114" s="445"/>
      <c r="R114" s="444"/>
      <c r="S114" s="444"/>
      <c r="T114" s="518"/>
      <c r="U114" s="518"/>
      <c r="V114" s="444"/>
      <c r="W114" s="444"/>
      <c r="X114" s="445"/>
      <c r="Y114" s="445"/>
      <c r="Z114" s="445"/>
      <c r="AA114" s="445"/>
      <c r="AB114" s="445"/>
      <c r="AC114" s="445"/>
      <c r="AD114" s="445"/>
      <c r="AE114" s="445"/>
      <c r="AF114" s="445"/>
      <c r="AG114" s="446"/>
      <c r="AH114" s="446"/>
      <c r="AI114" s="444"/>
      <c r="AJ114" s="444"/>
      <c r="AK114" s="444"/>
      <c r="AL114" s="444"/>
      <c r="AM114" s="444"/>
      <c r="AN114" s="444"/>
      <c r="AO114" s="519"/>
      <c r="AP114" s="520"/>
      <c r="AQ114" s="520"/>
      <c r="AR114" s="520"/>
      <c r="AS114" s="447"/>
      <c r="AT114" s="521"/>
      <c r="AU114" s="521"/>
      <c r="AV114" s="522"/>
      <c r="AW114" s="522"/>
      <c r="AX114" s="522"/>
    </row>
    <row r="115" spans="1:50" s="117" customFormat="1" x14ac:dyDescent="0.35">
      <c r="A115" s="442"/>
      <c r="D115" s="443"/>
      <c r="E115" s="443"/>
      <c r="F115" s="444"/>
      <c r="G115" s="444"/>
      <c r="H115" s="444"/>
      <c r="I115" s="444"/>
      <c r="J115" s="444"/>
      <c r="K115" s="444"/>
      <c r="L115" s="444"/>
      <c r="M115" s="444"/>
      <c r="N115" s="296"/>
      <c r="O115" s="444"/>
      <c r="P115" s="445"/>
      <c r="Q115" s="445"/>
      <c r="R115" s="444"/>
      <c r="S115" s="444"/>
      <c r="T115" s="518"/>
      <c r="U115" s="518"/>
      <c r="V115" s="444"/>
      <c r="W115" s="444"/>
      <c r="X115" s="445"/>
      <c r="Y115" s="445"/>
      <c r="Z115" s="445"/>
      <c r="AA115" s="445"/>
      <c r="AB115" s="445"/>
      <c r="AC115" s="445"/>
      <c r="AD115" s="445"/>
      <c r="AE115" s="445"/>
      <c r="AF115" s="445"/>
      <c r="AG115" s="446"/>
      <c r="AH115" s="446"/>
      <c r="AI115" s="444"/>
      <c r="AJ115" s="444"/>
      <c r="AK115" s="444"/>
      <c r="AL115" s="444"/>
      <c r="AM115" s="444"/>
      <c r="AN115" s="444"/>
      <c r="AO115" s="519"/>
      <c r="AP115" s="520"/>
      <c r="AQ115" s="520"/>
      <c r="AR115" s="520"/>
      <c r="AS115" s="447"/>
      <c r="AT115" s="521"/>
      <c r="AU115" s="521"/>
      <c r="AV115" s="522"/>
      <c r="AW115" s="522"/>
      <c r="AX115" s="522"/>
    </row>
    <row r="116" spans="1:50" s="117" customFormat="1" x14ac:dyDescent="0.35">
      <c r="A116" s="442"/>
      <c r="D116" s="443"/>
      <c r="E116" s="443"/>
      <c r="F116" s="444"/>
      <c r="G116" s="444"/>
      <c r="H116" s="444"/>
      <c r="I116" s="444"/>
      <c r="J116" s="444"/>
      <c r="K116" s="444"/>
      <c r="L116" s="444"/>
      <c r="M116" s="444"/>
      <c r="N116" s="296"/>
      <c r="O116" s="444"/>
      <c r="P116" s="445"/>
      <c r="Q116" s="445"/>
      <c r="R116" s="444"/>
      <c r="S116" s="444"/>
      <c r="T116" s="518"/>
      <c r="U116" s="518"/>
      <c r="V116" s="444"/>
      <c r="W116" s="444"/>
      <c r="X116" s="445"/>
      <c r="Y116" s="445"/>
      <c r="Z116" s="445"/>
      <c r="AA116" s="445"/>
      <c r="AB116" s="445"/>
      <c r="AC116" s="445"/>
      <c r="AD116" s="445"/>
      <c r="AE116" s="445"/>
      <c r="AF116" s="445"/>
      <c r="AG116" s="446"/>
      <c r="AH116" s="446"/>
      <c r="AI116" s="444"/>
      <c r="AJ116" s="444"/>
      <c r="AK116" s="444"/>
      <c r="AL116" s="444"/>
      <c r="AM116" s="444"/>
      <c r="AN116" s="444"/>
      <c r="AO116" s="519"/>
      <c r="AP116" s="520"/>
      <c r="AQ116" s="520"/>
      <c r="AR116" s="520"/>
      <c r="AS116" s="447"/>
      <c r="AT116" s="521"/>
      <c r="AU116" s="521"/>
      <c r="AV116" s="522"/>
      <c r="AW116" s="522"/>
      <c r="AX116" s="522"/>
    </row>
    <row r="117" spans="1:50" s="117" customFormat="1" x14ac:dyDescent="0.35">
      <c r="A117" s="442"/>
      <c r="D117" s="443"/>
      <c r="E117" s="443"/>
      <c r="F117" s="444"/>
      <c r="G117" s="444"/>
      <c r="H117" s="444"/>
      <c r="I117" s="444"/>
      <c r="J117" s="444"/>
      <c r="K117" s="444"/>
      <c r="L117" s="444"/>
      <c r="M117" s="444"/>
      <c r="N117" s="296"/>
      <c r="O117" s="444"/>
      <c r="P117" s="445"/>
      <c r="Q117" s="445"/>
      <c r="R117" s="444"/>
      <c r="S117" s="444"/>
      <c r="T117" s="518"/>
      <c r="U117" s="518"/>
      <c r="V117" s="444"/>
      <c r="W117" s="444"/>
      <c r="X117" s="445"/>
      <c r="Y117" s="445"/>
      <c r="Z117" s="445"/>
      <c r="AA117" s="445"/>
      <c r="AB117" s="445"/>
      <c r="AC117" s="445"/>
      <c r="AD117" s="445"/>
      <c r="AE117" s="445"/>
      <c r="AF117" s="445"/>
      <c r="AG117" s="446"/>
      <c r="AH117" s="446"/>
      <c r="AI117" s="444"/>
      <c r="AJ117" s="444"/>
      <c r="AK117" s="444"/>
      <c r="AL117" s="444"/>
      <c r="AM117" s="444"/>
      <c r="AN117" s="444"/>
      <c r="AO117" s="519"/>
      <c r="AP117" s="520"/>
      <c r="AQ117" s="520"/>
      <c r="AR117" s="520"/>
      <c r="AS117" s="447"/>
      <c r="AT117" s="521"/>
      <c r="AU117" s="521"/>
      <c r="AV117" s="522"/>
      <c r="AW117" s="522"/>
      <c r="AX117" s="522"/>
    </row>
    <row r="118" spans="1:50" s="117" customFormat="1" x14ac:dyDescent="0.35">
      <c r="A118" s="442"/>
      <c r="D118" s="443"/>
      <c r="E118" s="443"/>
      <c r="F118" s="444"/>
      <c r="G118" s="444"/>
      <c r="H118" s="444"/>
      <c r="I118" s="444"/>
      <c r="J118" s="444"/>
      <c r="K118" s="444"/>
      <c r="L118" s="444"/>
      <c r="M118" s="444"/>
      <c r="N118" s="296"/>
      <c r="O118" s="444"/>
      <c r="P118" s="445"/>
      <c r="Q118" s="445"/>
      <c r="R118" s="444"/>
      <c r="S118" s="444"/>
      <c r="T118" s="518"/>
      <c r="U118" s="518"/>
      <c r="V118" s="444"/>
      <c r="W118" s="444"/>
      <c r="X118" s="445"/>
      <c r="Y118" s="445"/>
      <c r="Z118" s="445"/>
      <c r="AA118" s="445"/>
      <c r="AB118" s="445"/>
      <c r="AC118" s="445"/>
      <c r="AD118" s="445"/>
      <c r="AE118" s="445"/>
      <c r="AF118" s="445"/>
      <c r="AG118" s="446"/>
      <c r="AH118" s="446"/>
      <c r="AI118" s="444"/>
      <c r="AJ118" s="444"/>
      <c r="AK118" s="444"/>
      <c r="AL118" s="444"/>
      <c r="AM118" s="444"/>
      <c r="AN118" s="444"/>
      <c r="AO118" s="519"/>
      <c r="AP118" s="520"/>
      <c r="AQ118" s="520"/>
      <c r="AR118" s="520"/>
      <c r="AS118" s="447"/>
      <c r="AT118" s="521"/>
      <c r="AU118" s="521"/>
      <c r="AV118" s="522"/>
      <c r="AW118" s="522"/>
      <c r="AX118" s="522"/>
    </row>
    <row r="119" spans="1:50" s="117" customFormat="1" x14ac:dyDescent="0.35">
      <c r="A119" s="442"/>
      <c r="D119" s="443"/>
      <c r="E119" s="443"/>
      <c r="F119" s="444"/>
      <c r="G119" s="444"/>
      <c r="H119" s="444"/>
      <c r="I119" s="444"/>
      <c r="J119" s="444"/>
      <c r="K119" s="444"/>
      <c r="L119" s="444"/>
      <c r="M119" s="444"/>
      <c r="N119" s="296"/>
      <c r="O119" s="444"/>
      <c r="P119" s="445"/>
      <c r="Q119" s="445"/>
      <c r="R119" s="444"/>
      <c r="S119" s="444"/>
      <c r="T119" s="518"/>
      <c r="U119" s="518"/>
      <c r="V119" s="444"/>
      <c r="W119" s="444"/>
      <c r="X119" s="445"/>
      <c r="Y119" s="445"/>
      <c r="Z119" s="445"/>
      <c r="AA119" s="445"/>
      <c r="AB119" s="445"/>
      <c r="AC119" s="445"/>
      <c r="AD119" s="445"/>
      <c r="AE119" s="445"/>
      <c r="AF119" s="445"/>
      <c r="AG119" s="446"/>
      <c r="AH119" s="446"/>
      <c r="AI119" s="444"/>
      <c r="AJ119" s="444"/>
      <c r="AK119" s="444"/>
      <c r="AL119" s="444"/>
      <c r="AM119" s="444"/>
      <c r="AN119" s="444"/>
      <c r="AO119" s="519"/>
      <c r="AP119" s="520"/>
      <c r="AQ119" s="520"/>
      <c r="AR119" s="520"/>
      <c r="AS119" s="447"/>
      <c r="AT119" s="521"/>
      <c r="AU119" s="521"/>
      <c r="AV119" s="522"/>
      <c r="AW119" s="522"/>
      <c r="AX119" s="522"/>
    </row>
    <row r="120" spans="1:50" s="117" customFormat="1" x14ac:dyDescent="0.35">
      <c r="A120" s="442"/>
      <c r="D120" s="443"/>
      <c r="E120" s="443"/>
      <c r="F120" s="444"/>
      <c r="G120" s="444"/>
      <c r="H120" s="444"/>
      <c r="I120" s="444"/>
      <c r="J120" s="444"/>
      <c r="K120" s="444"/>
      <c r="L120" s="444"/>
      <c r="M120" s="444"/>
      <c r="N120" s="296"/>
      <c r="O120" s="444"/>
      <c r="P120" s="445"/>
      <c r="Q120" s="445"/>
      <c r="R120" s="444"/>
      <c r="S120" s="444"/>
      <c r="T120" s="518"/>
      <c r="U120" s="518"/>
      <c r="V120" s="444"/>
      <c r="W120" s="444"/>
      <c r="X120" s="445"/>
      <c r="Y120" s="445"/>
      <c r="Z120" s="445"/>
      <c r="AA120" s="445"/>
      <c r="AB120" s="445"/>
      <c r="AC120" s="445"/>
      <c r="AD120" s="445"/>
      <c r="AE120" s="445"/>
      <c r="AF120" s="445"/>
      <c r="AG120" s="446"/>
      <c r="AH120" s="446"/>
      <c r="AI120" s="444"/>
      <c r="AJ120" s="444"/>
      <c r="AK120" s="444"/>
      <c r="AL120" s="444"/>
      <c r="AM120" s="444"/>
      <c r="AN120" s="444"/>
      <c r="AO120" s="519"/>
      <c r="AP120" s="520"/>
      <c r="AQ120" s="520"/>
      <c r="AR120" s="520"/>
      <c r="AS120" s="447"/>
      <c r="AT120" s="521"/>
      <c r="AU120" s="521"/>
      <c r="AV120" s="522"/>
      <c r="AW120" s="522"/>
      <c r="AX120" s="522"/>
    </row>
    <row r="121" spans="1:50" s="117" customFormat="1" x14ac:dyDescent="0.35">
      <c r="A121" s="442"/>
      <c r="D121" s="443"/>
      <c r="E121" s="443"/>
      <c r="F121" s="444"/>
      <c r="G121" s="444"/>
      <c r="H121" s="444"/>
      <c r="I121" s="444"/>
      <c r="J121" s="444"/>
      <c r="K121" s="444"/>
      <c r="L121" s="444"/>
      <c r="M121" s="444"/>
      <c r="N121" s="296"/>
      <c r="O121" s="444"/>
      <c r="P121" s="445"/>
      <c r="Q121" s="445"/>
      <c r="R121" s="444"/>
      <c r="S121" s="444"/>
      <c r="T121" s="518"/>
      <c r="U121" s="518"/>
      <c r="V121" s="444"/>
      <c r="W121" s="444"/>
      <c r="X121" s="445"/>
      <c r="Y121" s="445"/>
      <c r="Z121" s="445"/>
      <c r="AA121" s="445"/>
      <c r="AB121" s="445"/>
      <c r="AC121" s="445"/>
      <c r="AD121" s="445"/>
      <c r="AE121" s="445"/>
      <c r="AF121" s="445"/>
      <c r="AG121" s="446"/>
      <c r="AH121" s="446"/>
      <c r="AI121" s="444"/>
      <c r="AJ121" s="444"/>
      <c r="AK121" s="444"/>
      <c r="AL121" s="444"/>
      <c r="AM121" s="444"/>
      <c r="AN121" s="444"/>
      <c r="AO121" s="519"/>
      <c r="AP121" s="520"/>
      <c r="AQ121" s="520"/>
      <c r="AR121" s="520"/>
      <c r="AS121" s="447"/>
      <c r="AT121" s="521"/>
      <c r="AU121" s="521"/>
      <c r="AV121" s="522"/>
      <c r="AW121" s="522"/>
      <c r="AX121" s="522"/>
    </row>
    <row r="122" spans="1:50" s="117" customFormat="1" x14ac:dyDescent="0.35">
      <c r="A122" s="442"/>
      <c r="D122" s="443"/>
      <c r="E122" s="443"/>
      <c r="F122" s="444"/>
      <c r="G122" s="444"/>
      <c r="H122" s="444"/>
      <c r="I122" s="444"/>
      <c r="J122" s="444"/>
      <c r="K122" s="444"/>
      <c r="L122" s="444"/>
      <c r="M122" s="444"/>
      <c r="N122" s="296"/>
      <c r="O122" s="444"/>
      <c r="P122" s="445"/>
      <c r="Q122" s="445"/>
      <c r="R122" s="444"/>
      <c r="S122" s="444"/>
      <c r="T122" s="518"/>
      <c r="U122" s="518"/>
      <c r="V122" s="444"/>
      <c r="W122" s="444"/>
      <c r="X122" s="445"/>
      <c r="Y122" s="445"/>
      <c r="Z122" s="445"/>
      <c r="AA122" s="445"/>
      <c r="AB122" s="445"/>
      <c r="AC122" s="445"/>
      <c r="AD122" s="445"/>
      <c r="AE122" s="445"/>
      <c r="AF122" s="445"/>
      <c r="AG122" s="446"/>
      <c r="AH122" s="446"/>
      <c r="AI122" s="444"/>
      <c r="AJ122" s="444"/>
      <c r="AK122" s="444"/>
      <c r="AL122" s="444"/>
      <c r="AM122" s="444"/>
      <c r="AN122" s="444"/>
      <c r="AO122" s="519"/>
      <c r="AP122" s="520"/>
      <c r="AQ122" s="520"/>
      <c r="AR122" s="520"/>
      <c r="AS122" s="447"/>
      <c r="AT122" s="521"/>
      <c r="AU122" s="521"/>
      <c r="AV122" s="522"/>
      <c r="AW122" s="522"/>
      <c r="AX122" s="522"/>
    </row>
    <row r="123" spans="1:50" s="117" customFormat="1" x14ac:dyDescent="0.35">
      <c r="A123" s="442"/>
      <c r="D123" s="443"/>
      <c r="E123" s="443"/>
      <c r="F123" s="444"/>
      <c r="G123" s="444"/>
      <c r="H123" s="444"/>
      <c r="I123" s="444"/>
      <c r="J123" s="444"/>
      <c r="K123" s="444"/>
      <c r="L123" s="444"/>
      <c r="M123" s="444"/>
      <c r="N123" s="296"/>
      <c r="O123" s="444"/>
      <c r="P123" s="445"/>
      <c r="Q123" s="445"/>
      <c r="R123" s="444"/>
      <c r="S123" s="444"/>
      <c r="T123" s="518"/>
      <c r="U123" s="518"/>
      <c r="V123" s="444"/>
      <c r="W123" s="444"/>
      <c r="X123" s="445"/>
      <c r="Y123" s="445"/>
      <c r="Z123" s="445"/>
      <c r="AA123" s="445"/>
      <c r="AB123" s="445"/>
      <c r="AC123" s="445"/>
      <c r="AD123" s="445"/>
      <c r="AE123" s="445"/>
      <c r="AF123" s="445"/>
      <c r="AG123" s="446"/>
      <c r="AH123" s="446"/>
      <c r="AI123" s="444"/>
      <c r="AJ123" s="444"/>
      <c r="AK123" s="444"/>
      <c r="AL123" s="444"/>
      <c r="AM123" s="444"/>
      <c r="AN123" s="444"/>
      <c r="AO123" s="519"/>
      <c r="AP123" s="520"/>
      <c r="AQ123" s="520"/>
      <c r="AR123" s="520"/>
      <c r="AS123" s="447"/>
      <c r="AT123" s="521"/>
      <c r="AU123" s="521"/>
      <c r="AV123" s="522"/>
      <c r="AW123" s="522"/>
      <c r="AX123" s="522"/>
    </row>
    <row r="124" spans="1:50" s="117" customFormat="1" x14ac:dyDescent="0.35">
      <c r="A124" s="442"/>
      <c r="D124" s="443"/>
      <c r="E124" s="443"/>
      <c r="F124" s="444"/>
      <c r="G124" s="444"/>
      <c r="H124" s="444"/>
      <c r="I124" s="444"/>
      <c r="J124" s="444"/>
      <c r="K124" s="444"/>
      <c r="L124" s="444"/>
      <c r="M124" s="444"/>
      <c r="N124" s="296"/>
      <c r="O124" s="444"/>
      <c r="P124" s="445"/>
      <c r="Q124" s="445"/>
      <c r="R124" s="444"/>
      <c r="S124" s="444"/>
      <c r="T124" s="518"/>
      <c r="U124" s="518"/>
      <c r="V124" s="444"/>
      <c r="W124" s="444"/>
      <c r="X124" s="445"/>
      <c r="Y124" s="445"/>
      <c r="Z124" s="445"/>
      <c r="AA124" s="445"/>
      <c r="AB124" s="445"/>
      <c r="AC124" s="445"/>
      <c r="AD124" s="445"/>
      <c r="AE124" s="445"/>
      <c r="AF124" s="445"/>
      <c r="AG124" s="446"/>
      <c r="AH124" s="446"/>
      <c r="AI124" s="444"/>
      <c r="AJ124" s="444"/>
      <c r="AK124" s="444"/>
      <c r="AL124" s="444"/>
      <c r="AM124" s="444"/>
      <c r="AN124" s="444"/>
      <c r="AO124" s="519"/>
      <c r="AP124" s="520"/>
      <c r="AQ124" s="520"/>
      <c r="AR124" s="520"/>
      <c r="AS124" s="447"/>
      <c r="AT124" s="521"/>
      <c r="AU124" s="521"/>
      <c r="AV124" s="522"/>
      <c r="AW124" s="522"/>
      <c r="AX124" s="522"/>
    </row>
    <row r="125" spans="1:50" s="117" customFormat="1" x14ac:dyDescent="0.35">
      <c r="A125" s="442"/>
      <c r="D125" s="443"/>
      <c r="E125" s="443"/>
      <c r="F125" s="444"/>
      <c r="G125" s="444"/>
      <c r="H125" s="444"/>
      <c r="I125" s="444"/>
      <c r="J125" s="444"/>
      <c r="K125" s="444"/>
      <c r="L125" s="444"/>
      <c r="M125" s="444"/>
      <c r="N125" s="296"/>
      <c r="O125" s="444"/>
      <c r="P125" s="445"/>
      <c r="Q125" s="445"/>
      <c r="R125" s="444"/>
      <c r="S125" s="444"/>
      <c r="T125" s="518"/>
      <c r="U125" s="518"/>
      <c r="V125" s="444"/>
      <c r="W125" s="444"/>
      <c r="X125" s="445"/>
      <c r="Y125" s="445"/>
      <c r="Z125" s="445"/>
      <c r="AA125" s="445"/>
      <c r="AB125" s="445"/>
      <c r="AC125" s="445"/>
      <c r="AD125" s="445"/>
      <c r="AE125" s="445"/>
      <c r="AF125" s="445"/>
      <c r="AG125" s="446"/>
      <c r="AH125" s="446"/>
      <c r="AI125" s="444"/>
      <c r="AJ125" s="444"/>
      <c r="AK125" s="444"/>
      <c r="AL125" s="444"/>
      <c r="AM125" s="444"/>
      <c r="AN125" s="444"/>
      <c r="AO125" s="519"/>
      <c r="AP125" s="520"/>
      <c r="AQ125" s="520"/>
      <c r="AR125" s="520"/>
      <c r="AS125" s="447"/>
      <c r="AT125" s="521"/>
      <c r="AU125" s="521"/>
      <c r="AV125" s="522"/>
      <c r="AW125" s="522"/>
      <c r="AX125" s="522"/>
    </row>
    <row r="126" spans="1:50" s="117" customFormat="1" x14ac:dyDescent="0.35">
      <c r="A126" s="442"/>
      <c r="D126" s="443"/>
      <c r="E126" s="443"/>
      <c r="F126" s="444"/>
      <c r="G126" s="444"/>
      <c r="H126" s="444"/>
      <c r="I126" s="444"/>
      <c r="J126" s="444"/>
      <c r="K126" s="444"/>
      <c r="L126" s="444"/>
      <c r="M126" s="444"/>
      <c r="N126" s="296"/>
      <c r="O126" s="444"/>
      <c r="P126" s="445"/>
      <c r="Q126" s="445"/>
      <c r="R126" s="444"/>
      <c r="S126" s="444"/>
      <c r="T126" s="518"/>
      <c r="U126" s="518"/>
      <c r="V126" s="444"/>
      <c r="W126" s="444"/>
      <c r="X126" s="445"/>
      <c r="Y126" s="445"/>
      <c r="Z126" s="445"/>
      <c r="AA126" s="445"/>
      <c r="AB126" s="445"/>
      <c r="AC126" s="445"/>
      <c r="AD126" s="445"/>
      <c r="AE126" s="445"/>
      <c r="AF126" s="445"/>
      <c r="AG126" s="446"/>
      <c r="AH126" s="446"/>
      <c r="AI126" s="444"/>
      <c r="AJ126" s="444"/>
      <c r="AK126" s="444"/>
      <c r="AL126" s="444"/>
      <c r="AM126" s="444"/>
      <c r="AN126" s="444"/>
      <c r="AO126" s="519"/>
      <c r="AP126" s="520"/>
      <c r="AQ126" s="520"/>
      <c r="AR126" s="520"/>
      <c r="AS126" s="447"/>
      <c r="AT126" s="521"/>
      <c r="AU126" s="521"/>
      <c r="AV126" s="522"/>
      <c r="AW126" s="522"/>
      <c r="AX126" s="522"/>
    </row>
    <row r="127" spans="1:50" s="117" customFormat="1" x14ac:dyDescent="0.35">
      <c r="A127" s="442"/>
      <c r="D127" s="443"/>
      <c r="E127" s="443"/>
      <c r="F127" s="444"/>
      <c r="G127" s="444"/>
      <c r="H127" s="444"/>
      <c r="I127" s="444"/>
      <c r="J127" s="444"/>
      <c r="K127" s="444"/>
      <c r="L127" s="444"/>
      <c r="M127" s="444"/>
      <c r="N127" s="296"/>
      <c r="O127" s="444"/>
      <c r="P127" s="445"/>
      <c r="Q127" s="445"/>
      <c r="R127" s="444"/>
      <c r="S127" s="444"/>
      <c r="T127" s="518"/>
      <c r="U127" s="518"/>
      <c r="V127" s="444"/>
      <c r="W127" s="444"/>
      <c r="X127" s="445"/>
      <c r="Y127" s="445"/>
      <c r="Z127" s="445"/>
      <c r="AA127" s="445"/>
      <c r="AB127" s="445"/>
      <c r="AC127" s="445"/>
      <c r="AD127" s="445"/>
      <c r="AE127" s="445"/>
      <c r="AF127" s="445"/>
      <c r="AG127" s="446"/>
      <c r="AH127" s="446"/>
      <c r="AI127" s="444"/>
      <c r="AJ127" s="444"/>
      <c r="AK127" s="444"/>
      <c r="AL127" s="444"/>
      <c r="AM127" s="444"/>
      <c r="AN127" s="444"/>
      <c r="AO127" s="519"/>
      <c r="AP127" s="520"/>
      <c r="AQ127" s="520"/>
      <c r="AR127" s="520"/>
      <c r="AS127" s="447"/>
      <c r="AT127" s="521"/>
      <c r="AU127" s="521"/>
      <c r="AV127" s="522"/>
      <c r="AW127" s="522"/>
      <c r="AX127" s="522"/>
    </row>
    <row r="128" spans="1:50" s="117" customFormat="1" x14ac:dyDescent="0.35">
      <c r="A128" s="442"/>
      <c r="D128" s="443"/>
      <c r="E128" s="443"/>
      <c r="F128" s="444"/>
      <c r="G128" s="444"/>
      <c r="H128" s="444"/>
      <c r="I128" s="444"/>
      <c r="J128" s="444"/>
      <c r="K128" s="444"/>
      <c r="L128" s="444"/>
      <c r="M128" s="444"/>
      <c r="N128" s="296"/>
      <c r="O128" s="444"/>
      <c r="P128" s="445"/>
      <c r="Q128" s="445"/>
      <c r="R128" s="444"/>
      <c r="S128" s="444"/>
      <c r="T128" s="518"/>
      <c r="U128" s="518"/>
      <c r="V128" s="444"/>
      <c r="W128" s="444"/>
      <c r="X128" s="445"/>
      <c r="Y128" s="445"/>
      <c r="Z128" s="445"/>
      <c r="AA128" s="445"/>
      <c r="AB128" s="445"/>
      <c r="AC128" s="445"/>
      <c r="AD128" s="445"/>
      <c r="AE128" s="445"/>
      <c r="AF128" s="445"/>
      <c r="AG128" s="446"/>
      <c r="AH128" s="446"/>
      <c r="AI128" s="444"/>
      <c r="AJ128" s="444"/>
      <c r="AK128" s="444"/>
      <c r="AL128" s="444"/>
      <c r="AM128" s="444"/>
      <c r="AN128" s="444"/>
      <c r="AO128" s="519"/>
      <c r="AP128" s="520"/>
      <c r="AQ128" s="520"/>
      <c r="AR128" s="520"/>
      <c r="AS128" s="447"/>
      <c r="AT128" s="521"/>
      <c r="AU128" s="521"/>
      <c r="AV128" s="522"/>
      <c r="AW128" s="522"/>
      <c r="AX128" s="522"/>
    </row>
    <row r="129" spans="1:50" x14ac:dyDescent="0.35">
      <c r="A129" s="442"/>
      <c r="B129" s="117"/>
      <c r="C129" s="117"/>
      <c r="D129" s="443"/>
      <c r="E129" s="443"/>
      <c r="F129" s="444"/>
      <c r="G129" s="444"/>
      <c r="H129" s="444"/>
      <c r="I129" s="444"/>
      <c r="J129" s="444"/>
      <c r="K129" s="444"/>
      <c r="L129" s="444"/>
      <c r="M129" s="444"/>
      <c r="N129" s="296"/>
      <c r="O129" s="444"/>
      <c r="P129" s="445"/>
      <c r="Q129" s="445"/>
      <c r="R129" s="444"/>
      <c r="S129" s="444"/>
      <c r="T129" s="518"/>
      <c r="U129" s="518"/>
      <c r="V129" s="444"/>
      <c r="W129" s="444"/>
      <c r="X129" s="445"/>
      <c r="Y129" s="445"/>
      <c r="Z129" s="445"/>
      <c r="AA129" s="445"/>
      <c r="AB129" s="445"/>
      <c r="AC129" s="445"/>
      <c r="AD129" s="445"/>
      <c r="AE129" s="445"/>
      <c r="AF129" s="445"/>
      <c r="AG129" s="446"/>
      <c r="AH129" s="446"/>
      <c r="AI129" s="444"/>
      <c r="AJ129" s="444"/>
      <c r="AK129" s="444"/>
      <c r="AL129" s="444"/>
      <c r="AM129" s="444"/>
      <c r="AN129" s="444"/>
      <c r="AO129" s="519"/>
      <c r="AP129" s="520"/>
      <c r="AQ129" s="520"/>
      <c r="AR129" s="520"/>
      <c r="AS129" s="447"/>
      <c r="AT129" s="521"/>
      <c r="AU129" s="521"/>
      <c r="AV129" s="522"/>
      <c r="AW129" s="522"/>
      <c r="AX129" s="522"/>
    </row>
    <row r="130" spans="1:50" x14ac:dyDescent="0.35">
      <c r="A130" s="442"/>
      <c r="B130" s="117"/>
      <c r="C130" s="117"/>
      <c r="D130" s="443"/>
      <c r="E130" s="443"/>
      <c r="F130" s="444"/>
      <c r="G130" s="444"/>
      <c r="H130" s="444"/>
      <c r="I130" s="444"/>
      <c r="J130" s="444"/>
      <c r="K130" s="444"/>
      <c r="L130" s="444"/>
      <c r="M130" s="444"/>
      <c r="N130" s="296"/>
      <c r="O130" s="444"/>
      <c r="P130" s="445"/>
      <c r="Q130" s="445"/>
      <c r="R130" s="444"/>
      <c r="S130" s="444"/>
      <c r="T130" s="518"/>
      <c r="U130" s="518"/>
      <c r="V130" s="444"/>
      <c r="W130" s="444"/>
      <c r="X130" s="445"/>
      <c r="Y130" s="445"/>
      <c r="Z130" s="445"/>
      <c r="AA130" s="445"/>
      <c r="AB130" s="445"/>
      <c r="AC130" s="445"/>
      <c r="AD130" s="445"/>
      <c r="AE130" s="445"/>
      <c r="AF130" s="445"/>
      <c r="AG130" s="446"/>
      <c r="AH130" s="446"/>
      <c r="AI130" s="444"/>
      <c r="AJ130" s="444"/>
      <c r="AK130" s="444"/>
      <c r="AL130" s="444"/>
      <c r="AM130" s="444"/>
      <c r="AN130" s="444"/>
      <c r="AO130" s="519"/>
      <c r="AP130" s="520"/>
      <c r="AQ130" s="520"/>
      <c r="AR130" s="520"/>
      <c r="AS130" s="447"/>
      <c r="AT130" s="521"/>
      <c r="AU130" s="521"/>
      <c r="AV130" s="522"/>
      <c r="AW130" s="522"/>
      <c r="AX130" s="522"/>
    </row>
    <row r="131" spans="1:50" x14ac:dyDescent="0.35">
      <c r="A131" s="442"/>
      <c r="B131" s="117"/>
      <c r="C131" s="117"/>
      <c r="D131" s="443"/>
      <c r="E131" s="443"/>
      <c r="F131" s="444"/>
      <c r="G131" s="444"/>
      <c r="H131" s="444"/>
      <c r="I131" s="444"/>
      <c r="J131" s="444"/>
      <c r="K131" s="444"/>
      <c r="L131" s="444"/>
      <c r="M131" s="444"/>
      <c r="N131" s="296"/>
      <c r="O131" s="444"/>
      <c r="P131" s="445"/>
      <c r="Q131" s="445"/>
      <c r="R131" s="444"/>
      <c r="S131" s="444"/>
      <c r="T131" s="518"/>
      <c r="U131" s="518"/>
      <c r="V131" s="444"/>
      <c r="W131" s="444"/>
      <c r="X131" s="445"/>
      <c r="Y131" s="445"/>
      <c r="Z131" s="445"/>
      <c r="AA131" s="445"/>
      <c r="AB131" s="445"/>
      <c r="AC131" s="445"/>
      <c r="AD131" s="445"/>
      <c r="AE131" s="445"/>
      <c r="AF131" s="445"/>
      <c r="AG131" s="446"/>
      <c r="AH131" s="446"/>
      <c r="AI131" s="444"/>
      <c r="AJ131" s="444"/>
      <c r="AK131" s="444"/>
      <c r="AL131" s="444"/>
      <c r="AM131" s="444"/>
      <c r="AN131" s="444"/>
      <c r="AO131" s="519"/>
      <c r="AP131" s="520"/>
      <c r="AQ131" s="520"/>
      <c r="AR131" s="520"/>
      <c r="AS131" s="447"/>
      <c r="AT131" s="521"/>
      <c r="AU131" s="521"/>
      <c r="AV131" s="522"/>
      <c r="AW131" s="522"/>
      <c r="AX131" s="522"/>
    </row>
    <row r="132" spans="1:50" x14ac:dyDescent="0.35">
      <c r="A132" s="442"/>
      <c r="B132" s="117"/>
      <c r="C132" s="117"/>
      <c r="D132" s="443"/>
      <c r="E132" s="443"/>
      <c r="F132" s="444"/>
      <c r="G132" s="444"/>
      <c r="H132" s="444"/>
      <c r="I132" s="444"/>
      <c r="J132" s="444"/>
      <c r="K132" s="444"/>
      <c r="L132" s="444"/>
      <c r="M132" s="444"/>
      <c r="N132" s="296"/>
      <c r="O132" s="444"/>
      <c r="P132" s="445"/>
      <c r="Q132" s="445"/>
      <c r="R132" s="444"/>
      <c r="S132" s="444"/>
      <c r="T132" s="518"/>
      <c r="U132" s="518"/>
      <c r="V132" s="444"/>
      <c r="W132" s="444"/>
      <c r="X132" s="445"/>
      <c r="Y132" s="445"/>
      <c r="Z132" s="445"/>
      <c r="AA132" s="445"/>
      <c r="AB132" s="445"/>
      <c r="AC132" s="445"/>
      <c r="AD132" s="445"/>
      <c r="AE132" s="445"/>
      <c r="AF132" s="445"/>
      <c r="AG132" s="446"/>
      <c r="AH132" s="446"/>
      <c r="AI132" s="444"/>
      <c r="AJ132" s="444"/>
      <c r="AK132" s="444"/>
      <c r="AL132" s="444"/>
      <c r="AM132" s="444"/>
      <c r="AN132" s="444"/>
      <c r="AO132" s="519"/>
      <c r="AP132" s="520"/>
      <c r="AQ132" s="520"/>
      <c r="AR132" s="520"/>
      <c r="AS132" s="447"/>
      <c r="AT132" s="521"/>
      <c r="AU132" s="521"/>
      <c r="AV132" s="522"/>
      <c r="AW132" s="522"/>
      <c r="AX132" s="522"/>
    </row>
    <row r="133" spans="1:50" x14ac:dyDescent="0.35">
      <c r="A133" s="442"/>
      <c r="B133" s="117"/>
      <c r="C133" s="117"/>
      <c r="D133" s="443"/>
      <c r="E133" s="443"/>
      <c r="F133" s="444"/>
      <c r="G133" s="444"/>
      <c r="H133" s="444"/>
      <c r="I133" s="444"/>
      <c r="J133" s="444"/>
      <c r="K133" s="444"/>
      <c r="L133" s="444"/>
      <c r="M133" s="444"/>
      <c r="N133" s="296"/>
      <c r="O133" s="444"/>
      <c r="P133" s="445"/>
      <c r="Q133" s="445"/>
      <c r="R133" s="444"/>
      <c r="S133" s="444"/>
      <c r="T133" s="518"/>
      <c r="U133" s="518"/>
      <c r="V133" s="444"/>
      <c r="W133" s="444"/>
      <c r="X133" s="445"/>
      <c r="Y133" s="445"/>
      <c r="Z133" s="445"/>
      <c r="AA133" s="445"/>
      <c r="AB133" s="445"/>
      <c r="AC133" s="445"/>
      <c r="AD133" s="445"/>
      <c r="AE133" s="445"/>
      <c r="AF133" s="445"/>
      <c r="AG133" s="446"/>
      <c r="AH133" s="446"/>
      <c r="AI133" s="444"/>
      <c r="AJ133" s="444"/>
      <c r="AK133" s="444"/>
      <c r="AL133" s="444"/>
      <c r="AM133" s="444"/>
      <c r="AN133" s="444"/>
      <c r="AO133" s="519"/>
      <c r="AP133" s="520"/>
      <c r="AQ133" s="520"/>
      <c r="AR133" s="520"/>
      <c r="AS133" s="447"/>
      <c r="AT133" s="521"/>
      <c r="AU133" s="521"/>
      <c r="AV133" s="522"/>
      <c r="AW133" s="522"/>
      <c r="AX133" s="522"/>
    </row>
    <row r="134" spans="1:50" x14ac:dyDescent="0.35">
      <c r="A134" s="442"/>
      <c r="B134" s="117"/>
      <c r="C134" s="117"/>
      <c r="D134" s="443"/>
      <c r="E134" s="443"/>
      <c r="F134" s="444"/>
      <c r="G134" s="444"/>
      <c r="H134" s="444"/>
      <c r="I134" s="444"/>
      <c r="J134" s="444"/>
      <c r="K134" s="444"/>
      <c r="L134" s="444"/>
      <c r="M134" s="444"/>
      <c r="N134" s="296"/>
      <c r="O134" s="444"/>
      <c r="P134" s="445"/>
      <c r="Q134" s="445"/>
      <c r="R134" s="444"/>
      <c r="S134" s="444"/>
      <c r="T134" s="518"/>
      <c r="U134" s="518"/>
      <c r="V134" s="444"/>
      <c r="W134" s="444"/>
      <c r="X134" s="445"/>
      <c r="Y134" s="445"/>
      <c r="Z134" s="445"/>
      <c r="AA134" s="445"/>
      <c r="AB134" s="445"/>
      <c r="AC134" s="445"/>
      <c r="AD134" s="445"/>
      <c r="AE134" s="445"/>
      <c r="AF134" s="445"/>
      <c r="AG134" s="446"/>
      <c r="AH134" s="446"/>
      <c r="AI134" s="444"/>
      <c r="AJ134" s="444"/>
      <c r="AK134" s="444"/>
      <c r="AL134" s="444"/>
      <c r="AM134" s="444"/>
      <c r="AN134" s="444"/>
      <c r="AO134" s="519"/>
      <c r="AP134" s="520"/>
      <c r="AQ134" s="520"/>
      <c r="AR134" s="520"/>
      <c r="AS134" s="447"/>
      <c r="AT134" s="521"/>
      <c r="AU134" s="521"/>
      <c r="AV134" s="522"/>
      <c r="AW134" s="522"/>
      <c r="AX134" s="522"/>
    </row>
    <row r="135" spans="1:50" x14ac:dyDescent="0.35">
      <c r="A135" s="442"/>
      <c r="B135" s="117"/>
      <c r="C135" s="117"/>
      <c r="D135" s="443"/>
      <c r="E135" s="443"/>
      <c r="F135" s="444"/>
      <c r="G135" s="444"/>
      <c r="H135" s="444"/>
      <c r="I135" s="444"/>
      <c r="J135" s="444"/>
      <c r="K135" s="444"/>
      <c r="L135" s="444"/>
      <c r="M135" s="444"/>
      <c r="N135" s="296"/>
      <c r="O135" s="444"/>
      <c r="P135" s="445"/>
      <c r="Q135" s="445"/>
      <c r="R135" s="444"/>
      <c r="S135" s="444"/>
      <c r="T135" s="518"/>
      <c r="U135" s="518"/>
      <c r="V135" s="444"/>
      <c r="W135" s="444"/>
      <c r="X135" s="445"/>
      <c r="Y135" s="445"/>
      <c r="Z135" s="445"/>
      <c r="AA135" s="445"/>
      <c r="AB135" s="445"/>
      <c r="AC135" s="445"/>
      <c r="AD135" s="445"/>
      <c r="AE135" s="445"/>
      <c r="AF135" s="445"/>
      <c r="AG135" s="446"/>
      <c r="AH135" s="446"/>
      <c r="AI135" s="444"/>
      <c r="AJ135" s="444"/>
      <c r="AK135" s="444"/>
      <c r="AL135" s="444"/>
      <c r="AM135" s="444"/>
      <c r="AN135" s="444"/>
      <c r="AO135" s="519"/>
      <c r="AP135" s="520"/>
      <c r="AQ135" s="520"/>
      <c r="AR135" s="520"/>
      <c r="AS135" s="447"/>
      <c r="AT135" s="521"/>
      <c r="AU135" s="521"/>
      <c r="AV135" s="522"/>
      <c r="AW135" s="522"/>
      <c r="AX135" s="522"/>
    </row>
    <row r="136" spans="1:50" x14ac:dyDescent="0.35">
      <c r="A136" s="442"/>
      <c r="B136" s="117"/>
      <c r="C136" s="117"/>
      <c r="D136" s="443"/>
      <c r="E136" s="443"/>
      <c r="F136" s="444"/>
      <c r="G136" s="444"/>
      <c r="H136" s="444"/>
      <c r="I136" s="444"/>
      <c r="J136" s="444"/>
      <c r="K136" s="444"/>
      <c r="L136" s="444"/>
      <c r="M136" s="444"/>
      <c r="N136" s="296"/>
      <c r="O136" s="444"/>
      <c r="P136" s="445"/>
      <c r="Q136" s="445"/>
      <c r="R136" s="444"/>
      <c r="S136" s="444"/>
      <c r="T136" s="518"/>
      <c r="U136" s="518"/>
      <c r="V136" s="444"/>
      <c r="W136" s="444"/>
      <c r="X136" s="445"/>
      <c r="Y136" s="445"/>
      <c r="Z136" s="445"/>
      <c r="AA136" s="445"/>
      <c r="AB136" s="445"/>
      <c r="AC136" s="445"/>
      <c r="AD136" s="445"/>
      <c r="AE136" s="445"/>
      <c r="AF136" s="445"/>
      <c r="AG136" s="446"/>
      <c r="AH136" s="446"/>
      <c r="AI136" s="444"/>
      <c r="AJ136" s="444"/>
      <c r="AK136" s="444"/>
      <c r="AL136" s="444"/>
      <c r="AM136" s="444"/>
      <c r="AN136" s="444"/>
      <c r="AO136" s="519"/>
      <c r="AP136" s="520"/>
      <c r="AQ136" s="520"/>
      <c r="AR136" s="520"/>
      <c r="AS136" s="447"/>
      <c r="AT136" s="521"/>
      <c r="AU136" s="521"/>
      <c r="AV136" s="522"/>
      <c r="AW136" s="522"/>
      <c r="AX136" s="522"/>
    </row>
    <row r="137" spans="1:50" x14ac:dyDescent="0.35">
      <c r="A137" s="442"/>
      <c r="B137" s="117"/>
      <c r="C137" s="117"/>
      <c r="D137" s="443"/>
      <c r="E137" s="443"/>
      <c r="F137" s="444"/>
      <c r="G137" s="444"/>
      <c r="H137" s="444"/>
      <c r="I137" s="444"/>
      <c r="J137" s="444"/>
      <c r="K137" s="444"/>
      <c r="L137" s="444"/>
      <c r="M137" s="444"/>
      <c r="N137" s="296"/>
      <c r="O137" s="444"/>
      <c r="P137" s="445"/>
      <c r="Q137" s="445"/>
      <c r="R137" s="444"/>
      <c r="S137" s="444"/>
      <c r="T137" s="518"/>
      <c r="U137" s="518"/>
      <c r="V137" s="444"/>
      <c r="W137" s="444"/>
      <c r="X137" s="445"/>
      <c r="Y137" s="445"/>
      <c r="Z137" s="445"/>
      <c r="AA137" s="445"/>
      <c r="AB137" s="445"/>
      <c r="AC137" s="445"/>
      <c r="AD137" s="445"/>
      <c r="AE137" s="445"/>
      <c r="AF137" s="445"/>
      <c r="AG137" s="446"/>
      <c r="AH137" s="446"/>
      <c r="AI137" s="444"/>
      <c r="AJ137" s="444"/>
      <c r="AK137" s="444"/>
      <c r="AL137" s="444"/>
      <c r="AM137" s="444"/>
      <c r="AN137" s="444"/>
      <c r="AO137" s="519"/>
      <c r="AP137" s="520"/>
      <c r="AQ137" s="520"/>
      <c r="AR137" s="520"/>
      <c r="AS137" s="447"/>
      <c r="AT137" s="521"/>
      <c r="AU137" s="521"/>
      <c r="AV137" s="522"/>
      <c r="AW137" s="522"/>
      <c r="AX137" s="522"/>
    </row>
    <row r="138" spans="1:50" x14ac:dyDescent="0.35">
      <c r="A138" s="442"/>
      <c r="B138" s="117"/>
      <c r="C138" s="117"/>
      <c r="D138" s="443"/>
      <c r="E138" s="443"/>
      <c r="F138" s="444"/>
      <c r="G138" s="444"/>
      <c r="H138" s="444"/>
      <c r="I138" s="444"/>
      <c r="J138" s="444"/>
      <c r="K138" s="444"/>
      <c r="L138" s="444"/>
      <c r="M138" s="444"/>
      <c r="N138" s="296"/>
      <c r="O138" s="444"/>
      <c r="P138" s="445"/>
      <c r="Q138" s="445"/>
      <c r="R138" s="444"/>
      <c r="S138" s="444"/>
      <c r="T138" s="518"/>
      <c r="U138" s="518"/>
      <c r="V138" s="444"/>
      <c r="W138" s="444"/>
      <c r="X138" s="445"/>
      <c r="Y138" s="445"/>
      <c r="Z138" s="445"/>
      <c r="AA138" s="445"/>
      <c r="AB138" s="445"/>
      <c r="AC138" s="445"/>
      <c r="AD138" s="445"/>
      <c r="AE138" s="445"/>
      <c r="AF138" s="445"/>
      <c r="AG138" s="446"/>
      <c r="AH138" s="446"/>
      <c r="AI138" s="444"/>
      <c r="AJ138" s="444"/>
      <c r="AK138" s="444"/>
      <c r="AL138" s="444"/>
      <c r="AM138" s="444"/>
      <c r="AN138" s="444"/>
      <c r="AO138" s="519"/>
      <c r="AP138" s="520"/>
      <c r="AQ138" s="520"/>
      <c r="AR138" s="520"/>
      <c r="AS138" s="447"/>
      <c r="AT138" s="521"/>
      <c r="AU138" s="521"/>
      <c r="AV138" s="522"/>
      <c r="AW138" s="522"/>
      <c r="AX138" s="522"/>
    </row>
    <row r="139" spans="1:50" x14ac:dyDescent="0.35">
      <c r="A139" s="442"/>
      <c r="B139" s="117"/>
      <c r="C139" s="117"/>
      <c r="D139" s="443"/>
      <c r="E139" s="443"/>
      <c r="F139" s="444"/>
      <c r="G139" s="444"/>
      <c r="H139" s="444"/>
      <c r="I139" s="444"/>
      <c r="J139" s="444"/>
      <c r="K139" s="444"/>
      <c r="L139" s="444"/>
      <c r="M139" s="444"/>
      <c r="N139" s="296"/>
      <c r="O139" s="444"/>
      <c r="P139" s="445"/>
      <c r="Q139" s="445"/>
      <c r="R139" s="444"/>
      <c r="S139" s="444"/>
      <c r="T139" s="518"/>
      <c r="U139" s="518"/>
      <c r="V139" s="444"/>
      <c r="W139" s="444"/>
      <c r="X139" s="445"/>
      <c r="Y139" s="445"/>
      <c r="Z139" s="445"/>
      <c r="AA139" s="445"/>
      <c r="AB139" s="445"/>
      <c r="AC139" s="445"/>
      <c r="AD139" s="445"/>
      <c r="AE139" s="445"/>
      <c r="AF139" s="445"/>
      <c r="AG139" s="446"/>
      <c r="AH139" s="446"/>
      <c r="AI139" s="444"/>
      <c r="AJ139" s="444"/>
      <c r="AK139" s="444"/>
      <c r="AL139" s="444"/>
      <c r="AM139" s="444"/>
      <c r="AN139" s="444"/>
      <c r="AO139" s="519"/>
      <c r="AP139" s="520"/>
      <c r="AQ139" s="520"/>
      <c r="AR139" s="520"/>
      <c r="AS139" s="447"/>
      <c r="AT139" s="521"/>
      <c r="AU139" s="521"/>
      <c r="AV139" s="522"/>
      <c r="AW139" s="522"/>
      <c r="AX139" s="522"/>
    </row>
    <row r="140" spans="1:50" x14ac:dyDescent="0.35">
      <c r="A140" s="442"/>
      <c r="B140" s="117"/>
      <c r="C140" s="117"/>
      <c r="D140" s="443"/>
      <c r="E140" s="443"/>
      <c r="F140" s="444"/>
      <c r="G140" s="444"/>
      <c r="H140" s="444"/>
      <c r="I140" s="444"/>
      <c r="J140" s="444"/>
      <c r="K140" s="444"/>
      <c r="L140" s="444"/>
      <c r="M140" s="444"/>
      <c r="N140" s="296"/>
      <c r="O140" s="444"/>
      <c r="P140" s="445"/>
      <c r="Q140" s="445"/>
      <c r="R140" s="444"/>
      <c r="S140" s="444"/>
      <c r="T140" s="518"/>
      <c r="U140" s="518"/>
      <c r="V140" s="444"/>
      <c r="W140" s="444"/>
      <c r="X140" s="445"/>
      <c r="Y140" s="445"/>
      <c r="Z140" s="445"/>
      <c r="AA140" s="445"/>
      <c r="AB140" s="445"/>
      <c r="AC140" s="445"/>
      <c r="AD140" s="445"/>
      <c r="AE140" s="445"/>
      <c r="AF140" s="445"/>
      <c r="AG140" s="446"/>
      <c r="AH140" s="446"/>
      <c r="AI140" s="444"/>
      <c r="AJ140" s="444"/>
      <c r="AK140" s="444"/>
      <c r="AL140" s="444"/>
      <c r="AM140" s="444"/>
      <c r="AN140" s="444"/>
      <c r="AO140" s="519"/>
      <c r="AP140" s="520"/>
      <c r="AQ140" s="520"/>
      <c r="AR140" s="520"/>
      <c r="AS140" s="447"/>
      <c r="AT140" s="521"/>
      <c r="AU140" s="521"/>
      <c r="AV140" s="522"/>
      <c r="AW140" s="522"/>
      <c r="AX140" s="522"/>
    </row>
    <row r="141" spans="1:50" x14ac:dyDescent="0.35">
      <c r="A141" s="442"/>
      <c r="B141" s="117"/>
      <c r="C141" s="117"/>
      <c r="D141" s="443"/>
      <c r="E141" s="443"/>
      <c r="F141" s="444"/>
      <c r="G141" s="444"/>
      <c r="H141" s="444"/>
      <c r="I141" s="444"/>
      <c r="J141" s="444"/>
      <c r="K141" s="444"/>
      <c r="L141" s="444"/>
      <c r="M141" s="444"/>
      <c r="N141" s="296"/>
      <c r="O141" s="444"/>
      <c r="P141" s="445"/>
      <c r="Q141" s="445"/>
      <c r="R141" s="444"/>
      <c r="S141" s="444"/>
      <c r="T141" s="518"/>
      <c r="U141" s="518"/>
      <c r="V141" s="444"/>
      <c r="W141" s="444"/>
      <c r="X141" s="445"/>
      <c r="Y141" s="445"/>
      <c r="Z141" s="445"/>
      <c r="AA141" s="445"/>
      <c r="AB141" s="445"/>
      <c r="AC141" s="445"/>
      <c r="AD141" s="445"/>
      <c r="AE141" s="445"/>
      <c r="AF141" s="445"/>
      <c r="AG141" s="446"/>
      <c r="AH141" s="446"/>
      <c r="AI141" s="444"/>
      <c r="AJ141" s="444"/>
      <c r="AK141" s="444"/>
      <c r="AL141" s="444"/>
      <c r="AM141" s="444"/>
      <c r="AN141" s="444"/>
      <c r="AO141" s="519"/>
      <c r="AP141" s="520"/>
      <c r="AQ141" s="520"/>
      <c r="AR141" s="520"/>
      <c r="AS141" s="447"/>
      <c r="AT141" s="521"/>
      <c r="AU141" s="521"/>
      <c r="AV141" s="522"/>
      <c r="AW141" s="522"/>
      <c r="AX141" s="522"/>
    </row>
    <row r="142" spans="1:50" x14ac:dyDescent="0.35">
      <c r="A142" s="442"/>
      <c r="B142" s="117"/>
      <c r="C142" s="117"/>
      <c r="D142" s="443"/>
      <c r="E142" s="443"/>
      <c r="F142" s="444"/>
      <c r="G142" s="444"/>
      <c r="H142" s="444"/>
      <c r="I142" s="444"/>
      <c r="J142" s="444"/>
      <c r="K142" s="444"/>
      <c r="L142" s="444"/>
      <c r="M142" s="444"/>
      <c r="N142" s="296"/>
      <c r="O142" s="444"/>
      <c r="P142" s="445"/>
      <c r="Q142" s="445"/>
      <c r="R142" s="444"/>
      <c r="S142" s="444"/>
      <c r="T142" s="518"/>
      <c r="U142" s="518"/>
      <c r="V142" s="444"/>
      <c r="W142" s="444"/>
      <c r="X142" s="445"/>
      <c r="Y142" s="445"/>
      <c r="Z142" s="445"/>
      <c r="AA142" s="445"/>
      <c r="AB142" s="445"/>
      <c r="AC142" s="445"/>
      <c r="AD142" s="445"/>
      <c r="AE142" s="445"/>
      <c r="AF142" s="445"/>
      <c r="AG142" s="446"/>
      <c r="AH142" s="446"/>
      <c r="AI142" s="444"/>
      <c r="AJ142" s="444"/>
      <c r="AK142" s="444"/>
      <c r="AL142" s="444"/>
      <c r="AM142" s="444"/>
      <c r="AN142" s="444"/>
      <c r="AO142" s="519"/>
      <c r="AP142" s="520"/>
      <c r="AQ142" s="520"/>
      <c r="AR142" s="520"/>
      <c r="AS142" s="447"/>
      <c r="AT142" s="521"/>
      <c r="AU142" s="521"/>
      <c r="AV142" s="522"/>
      <c r="AW142" s="522"/>
      <c r="AX142" s="522"/>
    </row>
    <row r="143" spans="1:50" x14ac:dyDescent="0.35">
      <c r="A143" s="442"/>
      <c r="B143" s="117"/>
      <c r="C143" s="117"/>
      <c r="D143" s="443"/>
      <c r="E143" s="443"/>
      <c r="F143" s="444"/>
      <c r="G143" s="444"/>
      <c r="H143" s="444"/>
      <c r="I143" s="444"/>
      <c r="J143" s="444"/>
      <c r="K143" s="444"/>
      <c r="L143" s="444"/>
      <c r="M143" s="444"/>
      <c r="N143" s="296"/>
      <c r="O143" s="444"/>
      <c r="P143" s="445"/>
      <c r="Q143" s="445"/>
      <c r="R143" s="444"/>
      <c r="S143" s="444"/>
      <c r="T143" s="518"/>
      <c r="U143" s="518"/>
      <c r="V143" s="444"/>
      <c r="W143" s="444"/>
      <c r="X143" s="445"/>
      <c r="Y143" s="445"/>
      <c r="Z143" s="445"/>
      <c r="AA143" s="445"/>
      <c r="AB143" s="445"/>
      <c r="AC143" s="445"/>
      <c r="AD143" s="445"/>
      <c r="AE143" s="445"/>
      <c r="AF143" s="445"/>
      <c r="AG143" s="446"/>
      <c r="AH143" s="446"/>
      <c r="AI143" s="444"/>
      <c r="AJ143" s="444"/>
      <c r="AK143" s="444"/>
      <c r="AL143" s="444"/>
      <c r="AM143" s="444"/>
      <c r="AN143" s="444"/>
      <c r="AO143" s="519"/>
      <c r="AP143" s="520"/>
      <c r="AQ143" s="520"/>
      <c r="AR143" s="520"/>
      <c r="AS143" s="447"/>
      <c r="AT143" s="521"/>
      <c r="AU143" s="521"/>
      <c r="AV143" s="522"/>
      <c r="AW143" s="522"/>
      <c r="AX143" s="522"/>
    </row>
    <row r="144" spans="1:50" x14ac:dyDescent="0.35">
      <c r="A144" s="442"/>
      <c r="B144" s="117"/>
      <c r="C144" s="117"/>
      <c r="D144" s="443"/>
      <c r="E144" s="443"/>
      <c r="F144" s="444"/>
      <c r="G144" s="444"/>
      <c r="H144" s="444"/>
      <c r="I144" s="444"/>
      <c r="J144" s="444"/>
      <c r="K144" s="444"/>
      <c r="L144" s="444"/>
      <c r="M144" s="444"/>
      <c r="N144" s="296"/>
      <c r="O144" s="444"/>
      <c r="P144" s="445"/>
      <c r="Q144" s="445"/>
      <c r="R144" s="444"/>
      <c r="S144" s="444"/>
      <c r="T144" s="518"/>
      <c r="U144" s="518"/>
      <c r="V144" s="444"/>
      <c r="W144" s="444"/>
      <c r="X144" s="445"/>
      <c r="Y144" s="445"/>
      <c r="Z144" s="445"/>
      <c r="AA144" s="445"/>
      <c r="AB144" s="445"/>
      <c r="AC144" s="445"/>
      <c r="AD144" s="445"/>
      <c r="AE144" s="445"/>
      <c r="AF144" s="445"/>
      <c r="AG144" s="446"/>
      <c r="AH144" s="446"/>
      <c r="AI144" s="444"/>
      <c r="AJ144" s="444"/>
      <c r="AK144" s="444"/>
      <c r="AL144" s="444"/>
      <c r="AM144" s="444"/>
      <c r="AN144" s="444"/>
      <c r="AO144" s="519"/>
      <c r="AP144" s="520"/>
      <c r="AQ144" s="520"/>
      <c r="AR144" s="520"/>
      <c r="AS144" s="447"/>
      <c r="AT144" s="521"/>
      <c r="AU144" s="521"/>
      <c r="AV144" s="522"/>
      <c r="AW144" s="522"/>
      <c r="AX144" s="522"/>
    </row>
    <row r="145" spans="1:50" x14ac:dyDescent="0.35">
      <c r="A145" s="442"/>
      <c r="B145" s="117"/>
      <c r="C145" s="117"/>
      <c r="D145" s="443"/>
      <c r="E145" s="443"/>
      <c r="F145" s="444"/>
      <c r="G145" s="444"/>
      <c r="H145" s="444"/>
      <c r="I145" s="444"/>
      <c r="J145" s="444"/>
      <c r="K145" s="444"/>
      <c r="L145" s="444"/>
      <c r="M145" s="444"/>
      <c r="N145" s="296"/>
      <c r="O145" s="444"/>
      <c r="P145" s="445"/>
      <c r="Q145" s="445"/>
      <c r="R145" s="444"/>
      <c r="S145" s="444"/>
      <c r="T145" s="518"/>
      <c r="U145" s="518"/>
      <c r="V145" s="444"/>
      <c r="W145" s="444"/>
      <c r="X145" s="445"/>
      <c r="Y145" s="445"/>
      <c r="Z145" s="445"/>
      <c r="AA145" s="445"/>
      <c r="AB145" s="445"/>
      <c r="AC145" s="445"/>
      <c r="AD145" s="445"/>
      <c r="AE145" s="445"/>
      <c r="AF145" s="445"/>
      <c r="AG145" s="446"/>
      <c r="AH145" s="446"/>
      <c r="AI145" s="444"/>
      <c r="AJ145" s="444"/>
      <c r="AK145" s="444"/>
      <c r="AL145" s="444"/>
      <c r="AM145" s="444"/>
      <c r="AN145" s="444"/>
      <c r="AO145" s="519"/>
      <c r="AP145" s="520"/>
      <c r="AQ145" s="520"/>
      <c r="AR145" s="520"/>
      <c r="AS145" s="447"/>
      <c r="AT145" s="521"/>
      <c r="AU145" s="521"/>
      <c r="AV145" s="522"/>
      <c r="AW145" s="522"/>
      <c r="AX145" s="522"/>
    </row>
    <row r="146" spans="1:50" x14ac:dyDescent="0.35">
      <c r="A146" s="442"/>
      <c r="B146" s="117"/>
      <c r="C146" s="117"/>
      <c r="D146" s="443"/>
      <c r="E146" s="443"/>
      <c r="F146" s="444"/>
      <c r="G146" s="444"/>
      <c r="H146" s="444"/>
      <c r="I146" s="444"/>
      <c r="J146" s="444"/>
      <c r="K146" s="444"/>
      <c r="L146" s="444"/>
      <c r="M146" s="444"/>
      <c r="N146" s="296"/>
      <c r="O146" s="444"/>
      <c r="P146" s="445"/>
      <c r="Q146" s="445"/>
      <c r="R146" s="444"/>
      <c r="S146" s="444"/>
      <c r="T146" s="518"/>
      <c r="U146" s="518"/>
      <c r="V146" s="444"/>
      <c r="W146" s="444"/>
      <c r="X146" s="445"/>
      <c r="Y146" s="445"/>
      <c r="Z146" s="445"/>
      <c r="AA146" s="445"/>
      <c r="AB146" s="445"/>
      <c r="AC146" s="445"/>
      <c r="AD146" s="445"/>
      <c r="AE146" s="445"/>
      <c r="AF146" s="445"/>
      <c r="AG146" s="446"/>
      <c r="AH146" s="446"/>
      <c r="AI146" s="444"/>
      <c r="AJ146" s="444"/>
      <c r="AK146" s="444"/>
      <c r="AL146" s="444"/>
      <c r="AM146" s="444"/>
      <c r="AN146" s="444"/>
      <c r="AO146" s="519"/>
      <c r="AP146" s="520"/>
      <c r="AQ146" s="520"/>
      <c r="AR146" s="520"/>
      <c r="AS146" s="447"/>
      <c r="AT146" s="521"/>
      <c r="AU146" s="521"/>
      <c r="AV146" s="522"/>
      <c r="AW146" s="522"/>
      <c r="AX146" s="522"/>
    </row>
    <row r="147" spans="1:50" x14ac:dyDescent="0.35">
      <c r="A147" s="442"/>
      <c r="B147" s="117"/>
      <c r="C147" s="117"/>
      <c r="D147" s="443"/>
      <c r="E147" s="443"/>
      <c r="F147" s="444"/>
      <c r="G147" s="444"/>
      <c r="H147" s="444"/>
      <c r="I147" s="444"/>
      <c r="J147" s="444"/>
      <c r="K147" s="444"/>
      <c r="L147" s="444"/>
      <c r="M147" s="444"/>
      <c r="N147" s="296"/>
      <c r="O147" s="444"/>
      <c r="P147" s="445"/>
      <c r="Q147" s="445"/>
      <c r="R147" s="444"/>
      <c r="S147" s="444"/>
      <c r="T147" s="518"/>
      <c r="U147" s="518"/>
      <c r="V147" s="444"/>
      <c r="W147" s="444"/>
      <c r="X147" s="445"/>
      <c r="Y147" s="445"/>
      <c r="Z147" s="445"/>
      <c r="AA147" s="445"/>
      <c r="AB147" s="445"/>
      <c r="AC147" s="445"/>
      <c r="AD147" s="445"/>
      <c r="AE147" s="445"/>
      <c r="AF147" s="445"/>
      <c r="AG147" s="446"/>
      <c r="AH147" s="446"/>
      <c r="AI147" s="444"/>
      <c r="AJ147" s="444"/>
      <c r="AK147" s="444"/>
      <c r="AL147" s="444"/>
      <c r="AM147" s="444"/>
      <c r="AN147" s="444"/>
      <c r="AO147" s="519"/>
      <c r="AP147" s="520"/>
      <c r="AQ147" s="520"/>
      <c r="AR147" s="520"/>
      <c r="AS147" s="447"/>
      <c r="AT147" s="521"/>
      <c r="AU147" s="521"/>
      <c r="AV147" s="522"/>
      <c r="AW147" s="522"/>
      <c r="AX147" s="522"/>
    </row>
    <row r="148" spans="1:50" x14ac:dyDescent="0.35">
      <c r="A148" s="442"/>
      <c r="B148" s="117"/>
      <c r="C148" s="117"/>
      <c r="D148" s="443"/>
      <c r="E148" s="443"/>
      <c r="F148" s="444"/>
      <c r="G148" s="444"/>
      <c r="H148" s="444"/>
      <c r="I148" s="444"/>
      <c r="J148" s="444"/>
      <c r="K148" s="444"/>
      <c r="L148" s="444"/>
      <c r="M148" s="444"/>
      <c r="N148" s="296"/>
      <c r="O148" s="444"/>
      <c r="P148" s="445"/>
      <c r="Q148" s="445"/>
      <c r="R148" s="444"/>
      <c r="S148" s="444"/>
      <c r="T148" s="518"/>
      <c r="U148" s="518"/>
      <c r="V148" s="444"/>
      <c r="W148" s="444"/>
      <c r="X148" s="445"/>
      <c r="Y148" s="445"/>
      <c r="Z148" s="445"/>
      <c r="AA148" s="445"/>
      <c r="AB148" s="445"/>
      <c r="AC148" s="445"/>
      <c r="AD148" s="445"/>
      <c r="AE148" s="445"/>
      <c r="AF148" s="445"/>
      <c r="AG148" s="446"/>
      <c r="AH148" s="446"/>
      <c r="AI148" s="444"/>
      <c r="AJ148" s="444"/>
      <c r="AK148" s="444"/>
      <c r="AL148" s="444"/>
      <c r="AM148" s="444"/>
      <c r="AN148" s="444"/>
      <c r="AO148" s="519"/>
      <c r="AP148" s="520"/>
      <c r="AQ148" s="520"/>
      <c r="AR148" s="520"/>
      <c r="AS148" s="447"/>
      <c r="AT148" s="521"/>
      <c r="AU148" s="521"/>
      <c r="AV148" s="522"/>
      <c r="AW148" s="522"/>
      <c r="AX148" s="522"/>
    </row>
    <row r="149" spans="1:50" x14ac:dyDescent="0.35">
      <c r="A149" s="442"/>
      <c r="B149" s="117"/>
      <c r="C149" s="117"/>
      <c r="D149" s="443"/>
      <c r="E149" s="443"/>
      <c r="F149" s="444"/>
      <c r="G149" s="444"/>
      <c r="H149" s="444"/>
      <c r="I149" s="444"/>
      <c r="J149" s="444"/>
      <c r="K149" s="444"/>
      <c r="L149" s="444"/>
      <c r="M149" s="444"/>
      <c r="N149" s="296"/>
      <c r="O149" s="444"/>
      <c r="P149" s="445"/>
      <c r="Q149" s="445"/>
      <c r="R149" s="444"/>
      <c r="S149" s="444"/>
      <c r="T149" s="518"/>
      <c r="U149" s="518"/>
      <c r="V149" s="444"/>
      <c r="W149" s="444"/>
      <c r="X149" s="445"/>
      <c r="Y149" s="445"/>
      <c r="Z149" s="445"/>
      <c r="AA149" s="445"/>
      <c r="AB149" s="445"/>
      <c r="AC149" s="445"/>
      <c r="AD149" s="445"/>
      <c r="AE149" s="445"/>
      <c r="AF149" s="445"/>
      <c r="AG149" s="446"/>
      <c r="AH149" s="446"/>
      <c r="AI149" s="444"/>
      <c r="AJ149" s="444"/>
      <c r="AK149" s="444"/>
      <c r="AL149" s="444"/>
      <c r="AM149" s="444"/>
      <c r="AN149" s="444"/>
      <c r="AO149" s="519"/>
      <c r="AP149" s="520"/>
      <c r="AQ149" s="520"/>
      <c r="AR149" s="520"/>
      <c r="AS149" s="447"/>
      <c r="AT149" s="521"/>
      <c r="AU149" s="521"/>
      <c r="AV149" s="522"/>
      <c r="AW149" s="522"/>
      <c r="AX149" s="522"/>
    </row>
    <row r="150" spans="1:50" x14ac:dyDescent="0.35">
      <c r="A150" s="442"/>
      <c r="B150" s="117"/>
      <c r="C150" s="117"/>
      <c r="D150" s="443"/>
      <c r="E150" s="443"/>
      <c r="F150" s="444"/>
      <c r="G150" s="444"/>
      <c r="H150" s="444"/>
      <c r="I150" s="444"/>
      <c r="J150" s="444"/>
      <c r="K150" s="444"/>
      <c r="L150" s="444"/>
      <c r="M150" s="444"/>
      <c r="N150" s="296"/>
      <c r="O150" s="444"/>
      <c r="P150" s="445"/>
      <c r="Q150" s="445"/>
      <c r="R150" s="444"/>
      <c r="S150" s="444"/>
      <c r="T150" s="518"/>
      <c r="U150" s="518"/>
      <c r="V150" s="444"/>
      <c r="W150" s="444"/>
      <c r="X150" s="445"/>
      <c r="Y150" s="445"/>
      <c r="Z150" s="445"/>
      <c r="AA150" s="445"/>
      <c r="AB150" s="445"/>
      <c r="AC150" s="445"/>
      <c r="AD150" s="445"/>
      <c r="AE150" s="445"/>
      <c r="AF150" s="445"/>
      <c r="AG150" s="446"/>
      <c r="AH150" s="446"/>
      <c r="AI150" s="444"/>
      <c r="AJ150" s="444"/>
      <c r="AK150" s="444"/>
      <c r="AL150" s="444"/>
      <c r="AM150" s="444"/>
      <c r="AN150" s="444"/>
      <c r="AO150" s="519"/>
      <c r="AP150" s="520"/>
      <c r="AQ150" s="520"/>
      <c r="AR150" s="520"/>
      <c r="AS150" s="447"/>
      <c r="AT150" s="521"/>
      <c r="AU150" s="521"/>
      <c r="AV150" s="522"/>
      <c r="AW150" s="522"/>
      <c r="AX150" s="522"/>
    </row>
    <row r="151" spans="1:50" x14ac:dyDescent="0.35">
      <c r="A151" s="442"/>
      <c r="B151" s="117"/>
      <c r="C151" s="117"/>
      <c r="D151" s="443"/>
      <c r="E151" s="443"/>
      <c r="F151" s="444"/>
      <c r="G151" s="444"/>
      <c r="H151" s="444"/>
      <c r="I151" s="444"/>
      <c r="J151" s="444"/>
      <c r="K151" s="444"/>
      <c r="L151" s="444"/>
      <c r="M151" s="444"/>
      <c r="N151" s="296"/>
      <c r="O151" s="444"/>
      <c r="P151" s="445"/>
      <c r="Q151" s="445"/>
      <c r="R151" s="444"/>
      <c r="S151" s="444"/>
      <c r="T151" s="518"/>
      <c r="U151" s="518"/>
      <c r="V151" s="444"/>
      <c r="W151" s="444"/>
      <c r="X151" s="445"/>
      <c r="Y151" s="445"/>
      <c r="Z151" s="445"/>
      <c r="AA151" s="445"/>
      <c r="AB151" s="445"/>
      <c r="AC151" s="445"/>
      <c r="AD151" s="445"/>
      <c r="AE151" s="445"/>
      <c r="AF151" s="445"/>
      <c r="AG151" s="446"/>
      <c r="AH151" s="446"/>
      <c r="AI151" s="444"/>
      <c r="AJ151" s="444"/>
      <c r="AK151" s="444"/>
      <c r="AL151" s="444"/>
      <c r="AM151" s="444"/>
      <c r="AN151" s="444"/>
      <c r="AO151" s="519"/>
      <c r="AP151" s="520"/>
      <c r="AQ151" s="520"/>
      <c r="AR151" s="520"/>
      <c r="AS151" s="447"/>
      <c r="AT151" s="521"/>
      <c r="AU151" s="521"/>
      <c r="AV151" s="522"/>
      <c r="AW151" s="522"/>
      <c r="AX151" s="522"/>
    </row>
    <row r="152" spans="1:50" x14ac:dyDescent="0.35">
      <c r="A152" s="442"/>
      <c r="B152" s="117"/>
      <c r="C152" s="117"/>
      <c r="D152" s="443"/>
      <c r="E152" s="443"/>
      <c r="F152" s="444"/>
      <c r="G152" s="444"/>
      <c r="H152" s="444"/>
      <c r="I152" s="444"/>
      <c r="J152" s="444"/>
      <c r="K152" s="444"/>
      <c r="L152" s="444"/>
      <c r="M152" s="444"/>
      <c r="N152" s="296"/>
      <c r="O152" s="444"/>
      <c r="P152" s="445"/>
      <c r="Q152" s="445"/>
      <c r="R152" s="444"/>
      <c r="S152" s="444"/>
      <c r="T152" s="518"/>
      <c r="U152" s="518"/>
      <c r="V152" s="444"/>
      <c r="W152" s="444"/>
      <c r="X152" s="445"/>
      <c r="Y152" s="445"/>
      <c r="Z152" s="445"/>
      <c r="AA152" s="445"/>
      <c r="AB152" s="445"/>
      <c r="AC152" s="445"/>
      <c r="AD152" s="445"/>
      <c r="AE152" s="445"/>
      <c r="AF152" s="445"/>
      <c r="AG152" s="446"/>
      <c r="AH152" s="446"/>
      <c r="AI152" s="444"/>
      <c r="AJ152" s="444"/>
      <c r="AK152" s="444"/>
      <c r="AL152" s="444"/>
      <c r="AM152" s="444"/>
      <c r="AN152" s="444"/>
      <c r="AO152" s="519"/>
      <c r="AP152" s="520"/>
      <c r="AQ152" s="520"/>
      <c r="AR152" s="520"/>
      <c r="AS152" s="447"/>
      <c r="AT152" s="521"/>
      <c r="AU152" s="521"/>
      <c r="AV152" s="522"/>
      <c r="AW152" s="522"/>
      <c r="AX152" s="522"/>
    </row>
    <row r="153" spans="1:50" x14ac:dyDescent="0.35">
      <c r="A153" s="442"/>
      <c r="B153" s="117"/>
      <c r="C153" s="117"/>
      <c r="D153" s="443"/>
      <c r="E153" s="443"/>
      <c r="F153" s="444"/>
      <c r="G153" s="444"/>
      <c r="H153" s="444"/>
      <c r="I153" s="444"/>
      <c r="J153" s="444"/>
      <c r="K153" s="444"/>
      <c r="L153" s="444"/>
      <c r="M153" s="444"/>
      <c r="N153" s="296"/>
      <c r="O153" s="444"/>
      <c r="P153" s="445"/>
      <c r="Q153" s="445"/>
      <c r="R153" s="444"/>
      <c r="S153" s="444"/>
      <c r="T153" s="518"/>
      <c r="U153" s="518"/>
      <c r="V153" s="444"/>
      <c r="W153" s="444"/>
      <c r="X153" s="445"/>
      <c r="Y153" s="445"/>
      <c r="Z153" s="445"/>
      <c r="AA153" s="445"/>
      <c r="AB153" s="445"/>
      <c r="AC153" s="445"/>
      <c r="AD153" s="445"/>
      <c r="AE153" s="445"/>
      <c r="AF153" s="445"/>
      <c r="AG153" s="446"/>
      <c r="AH153" s="446"/>
      <c r="AI153" s="444"/>
      <c r="AJ153" s="444"/>
      <c r="AK153" s="444"/>
      <c r="AL153" s="444"/>
      <c r="AM153" s="444"/>
      <c r="AN153" s="444"/>
      <c r="AO153" s="519"/>
      <c r="AP153" s="520"/>
      <c r="AQ153" s="520"/>
      <c r="AR153" s="520"/>
      <c r="AS153" s="447"/>
      <c r="AT153" s="521"/>
      <c r="AU153" s="521"/>
      <c r="AV153" s="522"/>
      <c r="AW153" s="522"/>
      <c r="AX153" s="522"/>
    </row>
    <row r="154" spans="1:50" x14ac:dyDescent="0.35">
      <c r="A154" s="442"/>
      <c r="B154" s="117"/>
      <c r="C154" s="117"/>
      <c r="D154" s="443"/>
      <c r="E154" s="443"/>
      <c r="F154" s="444"/>
      <c r="G154" s="444"/>
      <c r="H154" s="444"/>
      <c r="I154" s="444"/>
      <c r="J154" s="444"/>
      <c r="K154" s="444"/>
      <c r="L154" s="444"/>
      <c r="M154" s="444"/>
      <c r="N154" s="296"/>
      <c r="O154" s="444"/>
      <c r="P154" s="445"/>
      <c r="Q154" s="445"/>
      <c r="R154" s="444"/>
      <c r="S154" s="444"/>
      <c r="T154" s="518"/>
      <c r="U154" s="518"/>
      <c r="V154" s="444"/>
      <c r="W154" s="444"/>
      <c r="X154" s="445"/>
      <c r="Y154" s="445"/>
      <c r="Z154" s="445"/>
      <c r="AA154" s="445"/>
      <c r="AB154" s="445"/>
      <c r="AC154" s="445"/>
      <c r="AD154" s="445"/>
      <c r="AE154" s="445"/>
      <c r="AF154" s="445"/>
      <c r="AG154" s="446"/>
      <c r="AH154" s="446"/>
      <c r="AI154" s="444"/>
      <c r="AJ154" s="444"/>
      <c r="AK154" s="444"/>
      <c r="AL154" s="444"/>
      <c r="AM154" s="444"/>
      <c r="AN154" s="444"/>
      <c r="AO154" s="519"/>
      <c r="AP154" s="520"/>
      <c r="AQ154" s="520"/>
      <c r="AR154" s="520"/>
      <c r="AS154" s="447"/>
      <c r="AT154" s="521"/>
      <c r="AU154" s="521"/>
      <c r="AV154" s="522"/>
      <c r="AW154" s="522"/>
      <c r="AX154" s="522"/>
    </row>
    <row r="155" spans="1:50" x14ac:dyDescent="0.35">
      <c r="A155" s="442"/>
      <c r="B155" s="117"/>
      <c r="C155" s="117"/>
      <c r="D155" s="443"/>
      <c r="E155" s="443"/>
      <c r="F155" s="444"/>
      <c r="G155" s="444"/>
      <c r="H155" s="444"/>
      <c r="I155" s="444"/>
      <c r="J155" s="444"/>
      <c r="K155" s="444"/>
      <c r="L155" s="444"/>
      <c r="M155" s="444"/>
      <c r="N155" s="296"/>
      <c r="O155" s="444"/>
      <c r="P155" s="445"/>
      <c r="Q155" s="445"/>
      <c r="R155" s="444"/>
      <c r="S155" s="444"/>
      <c r="T155" s="518"/>
      <c r="U155" s="518"/>
      <c r="V155" s="444"/>
      <c r="W155" s="444"/>
      <c r="X155" s="445"/>
      <c r="Y155" s="445"/>
      <c r="Z155" s="445"/>
      <c r="AA155" s="445"/>
      <c r="AB155" s="445"/>
      <c r="AC155" s="445"/>
      <c r="AD155" s="445"/>
      <c r="AE155" s="445"/>
      <c r="AF155" s="445"/>
      <c r="AG155" s="446"/>
      <c r="AH155" s="446"/>
      <c r="AI155" s="444"/>
      <c r="AJ155" s="444"/>
      <c r="AK155" s="444"/>
      <c r="AL155" s="444"/>
      <c r="AM155" s="444"/>
      <c r="AN155" s="444"/>
      <c r="AO155" s="519"/>
      <c r="AP155" s="520"/>
      <c r="AQ155" s="520"/>
      <c r="AR155" s="520"/>
      <c r="AS155" s="447"/>
      <c r="AT155" s="521"/>
      <c r="AU155" s="521"/>
      <c r="AV155" s="522"/>
      <c r="AW155" s="522"/>
      <c r="AX155" s="522"/>
    </row>
    <row r="156" spans="1:50" x14ac:dyDescent="0.35">
      <c r="A156" s="442"/>
      <c r="B156" s="117"/>
      <c r="C156" s="117"/>
      <c r="D156" s="443"/>
      <c r="E156" s="443"/>
      <c r="F156" s="444"/>
      <c r="G156" s="444"/>
      <c r="H156" s="444"/>
      <c r="I156" s="444"/>
      <c r="J156" s="444"/>
      <c r="K156" s="444"/>
      <c r="L156" s="444"/>
      <c r="M156" s="444"/>
      <c r="N156" s="296"/>
      <c r="O156" s="444"/>
      <c r="P156" s="445"/>
      <c r="Q156" s="445"/>
      <c r="R156" s="444"/>
      <c r="S156" s="444"/>
      <c r="T156" s="518"/>
      <c r="U156" s="518"/>
      <c r="V156" s="444"/>
      <c r="W156" s="444"/>
      <c r="X156" s="445"/>
      <c r="Y156" s="445"/>
      <c r="Z156" s="445"/>
      <c r="AA156" s="445"/>
      <c r="AB156" s="445"/>
      <c r="AC156" s="445"/>
      <c r="AD156" s="445"/>
      <c r="AE156" s="445"/>
      <c r="AF156" s="445"/>
      <c r="AG156" s="446"/>
      <c r="AH156" s="446"/>
      <c r="AI156" s="444"/>
      <c r="AJ156" s="444"/>
      <c r="AK156" s="444"/>
      <c r="AL156" s="444"/>
      <c r="AM156" s="444"/>
      <c r="AN156" s="444"/>
      <c r="AO156" s="519"/>
      <c r="AP156" s="520"/>
      <c r="AQ156" s="520"/>
      <c r="AR156" s="520"/>
      <c r="AS156" s="447"/>
      <c r="AT156" s="521"/>
      <c r="AU156" s="521"/>
      <c r="AV156" s="522"/>
      <c r="AW156" s="522"/>
      <c r="AX156" s="522"/>
    </row>
    <row r="157" spans="1:50" x14ac:dyDescent="0.35">
      <c r="A157" s="442"/>
      <c r="B157" s="117"/>
      <c r="C157" s="117"/>
      <c r="D157" s="443"/>
      <c r="E157" s="443"/>
      <c r="F157" s="444"/>
      <c r="G157" s="444"/>
      <c r="H157" s="444"/>
      <c r="I157" s="444"/>
      <c r="J157" s="444"/>
      <c r="K157" s="444"/>
      <c r="L157" s="444"/>
      <c r="M157" s="444"/>
      <c r="N157" s="296"/>
      <c r="O157" s="444"/>
      <c r="P157" s="445"/>
      <c r="Q157" s="445"/>
      <c r="R157" s="444"/>
      <c r="S157" s="444"/>
      <c r="T157" s="518"/>
      <c r="U157" s="518"/>
      <c r="V157" s="444"/>
      <c r="W157" s="444"/>
      <c r="X157" s="445"/>
      <c r="Y157" s="445"/>
      <c r="Z157" s="445"/>
      <c r="AA157" s="445"/>
      <c r="AB157" s="445"/>
      <c r="AC157" s="445"/>
      <c r="AD157" s="445"/>
      <c r="AE157" s="445"/>
      <c r="AF157" s="445"/>
      <c r="AG157" s="446"/>
      <c r="AH157" s="446"/>
      <c r="AI157" s="444"/>
      <c r="AJ157" s="444"/>
      <c r="AK157" s="444"/>
      <c r="AL157" s="444"/>
      <c r="AM157" s="444"/>
      <c r="AN157" s="444"/>
      <c r="AO157" s="519"/>
      <c r="AP157" s="520"/>
      <c r="AQ157" s="520"/>
      <c r="AR157" s="520"/>
      <c r="AS157" s="447"/>
      <c r="AT157" s="521"/>
      <c r="AU157" s="521"/>
      <c r="AV157" s="522"/>
      <c r="AW157" s="522"/>
      <c r="AX157" s="522"/>
    </row>
    <row r="158" spans="1:50" x14ac:dyDescent="0.35">
      <c r="A158" s="442"/>
      <c r="B158" s="117"/>
      <c r="C158" s="117"/>
      <c r="D158" s="443"/>
      <c r="E158" s="443"/>
      <c r="F158" s="444"/>
      <c r="G158" s="444"/>
      <c r="H158" s="444"/>
      <c r="I158" s="444"/>
      <c r="J158" s="444"/>
      <c r="K158" s="444"/>
      <c r="L158" s="444"/>
      <c r="M158" s="444"/>
      <c r="N158" s="296"/>
      <c r="O158" s="444"/>
      <c r="P158" s="445"/>
      <c r="Q158" s="445"/>
      <c r="R158" s="444"/>
      <c r="S158" s="444"/>
      <c r="T158" s="518"/>
      <c r="U158" s="518"/>
      <c r="V158" s="444"/>
      <c r="W158" s="444"/>
      <c r="X158" s="445"/>
      <c r="Y158" s="445"/>
      <c r="Z158" s="445"/>
      <c r="AA158" s="445"/>
      <c r="AB158" s="445"/>
      <c r="AC158" s="445"/>
      <c r="AD158" s="445"/>
      <c r="AE158" s="445"/>
      <c r="AF158" s="445"/>
      <c r="AG158" s="446"/>
      <c r="AH158" s="446"/>
      <c r="AI158" s="444"/>
      <c r="AJ158" s="444"/>
      <c r="AK158" s="444"/>
      <c r="AL158" s="444"/>
      <c r="AM158" s="444"/>
      <c r="AN158" s="444"/>
      <c r="AO158" s="519"/>
      <c r="AP158" s="520"/>
      <c r="AQ158" s="520"/>
      <c r="AR158" s="520"/>
      <c r="AS158" s="447"/>
      <c r="AT158" s="521"/>
      <c r="AU158" s="521"/>
      <c r="AV158" s="522"/>
      <c r="AW158" s="522"/>
      <c r="AX158" s="522"/>
    </row>
    <row r="159" spans="1:50" x14ac:dyDescent="0.35">
      <c r="A159" s="442"/>
      <c r="B159" s="117"/>
      <c r="C159" s="117"/>
      <c r="D159" s="443"/>
      <c r="E159" s="443"/>
      <c r="F159" s="444"/>
      <c r="G159" s="444"/>
      <c r="H159" s="444"/>
      <c r="I159" s="444"/>
      <c r="J159" s="444"/>
      <c r="K159" s="444"/>
      <c r="L159" s="444"/>
      <c r="M159" s="444"/>
      <c r="N159" s="296"/>
      <c r="O159" s="444"/>
      <c r="P159" s="445"/>
      <c r="Q159" s="445"/>
      <c r="R159" s="444"/>
      <c r="S159" s="444"/>
      <c r="T159" s="518"/>
      <c r="U159" s="518"/>
      <c r="V159" s="444"/>
      <c r="W159" s="444"/>
      <c r="X159" s="445"/>
      <c r="Y159" s="445"/>
      <c r="Z159" s="445"/>
      <c r="AA159" s="445"/>
      <c r="AB159" s="445"/>
      <c r="AC159" s="445"/>
      <c r="AD159" s="445"/>
      <c r="AE159" s="445"/>
      <c r="AF159" s="445"/>
      <c r="AG159" s="446"/>
      <c r="AH159" s="446"/>
      <c r="AI159" s="444"/>
      <c r="AJ159" s="444"/>
      <c r="AK159" s="444"/>
      <c r="AL159" s="444"/>
      <c r="AM159" s="444"/>
      <c r="AN159" s="444"/>
      <c r="AO159" s="519"/>
      <c r="AP159" s="520"/>
      <c r="AQ159" s="520"/>
      <c r="AR159" s="520"/>
      <c r="AS159" s="447"/>
      <c r="AT159" s="521"/>
      <c r="AU159" s="521"/>
      <c r="AV159" s="522"/>
      <c r="AW159" s="522"/>
      <c r="AX159" s="522"/>
    </row>
    <row r="160" spans="1:50" x14ac:dyDescent="0.35">
      <c r="A160" s="442"/>
      <c r="B160" s="117"/>
      <c r="C160" s="117"/>
      <c r="D160" s="443"/>
      <c r="E160" s="443"/>
      <c r="F160" s="444"/>
      <c r="G160" s="444"/>
      <c r="H160" s="444"/>
      <c r="I160" s="444"/>
      <c r="J160" s="444"/>
      <c r="K160" s="444"/>
      <c r="L160" s="444"/>
      <c r="M160" s="444"/>
      <c r="N160" s="296"/>
      <c r="O160" s="444"/>
      <c r="P160" s="445"/>
      <c r="Q160" s="445"/>
      <c r="R160" s="444"/>
      <c r="S160" s="444"/>
      <c r="T160" s="518"/>
      <c r="U160" s="518"/>
      <c r="V160" s="444"/>
      <c r="W160" s="444"/>
      <c r="X160" s="445"/>
      <c r="Y160" s="445"/>
      <c r="Z160" s="445"/>
      <c r="AA160" s="445"/>
      <c r="AB160" s="445"/>
      <c r="AC160" s="445"/>
      <c r="AD160" s="445"/>
      <c r="AE160" s="445"/>
      <c r="AF160" s="445"/>
      <c r="AG160" s="446"/>
      <c r="AH160" s="446"/>
      <c r="AI160" s="444"/>
      <c r="AJ160" s="444"/>
      <c r="AK160" s="444"/>
      <c r="AL160" s="444"/>
      <c r="AM160" s="444"/>
      <c r="AN160" s="444"/>
      <c r="AO160" s="519"/>
      <c r="AP160" s="520"/>
      <c r="AQ160" s="520"/>
      <c r="AR160" s="520"/>
      <c r="AS160" s="447"/>
      <c r="AT160" s="521"/>
      <c r="AU160" s="521"/>
      <c r="AV160" s="522"/>
      <c r="AW160" s="522"/>
      <c r="AX160" s="522"/>
    </row>
    <row r="161" spans="1:50" x14ac:dyDescent="0.35">
      <c r="A161" s="442"/>
      <c r="B161" s="117"/>
      <c r="C161" s="117"/>
      <c r="D161" s="443"/>
      <c r="E161" s="443"/>
      <c r="F161" s="444"/>
      <c r="G161" s="444"/>
      <c r="H161" s="444"/>
      <c r="I161" s="444"/>
      <c r="J161" s="444"/>
      <c r="K161" s="444"/>
      <c r="L161" s="444"/>
      <c r="M161" s="444"/>
      <c r="N161" s="296"/>
      <c r="O161" s="444"/>
      <c r="P161" s="445"/>
      <c r="Q161" s="445"/>
      <c r="R161" s="444"/>
      <c r="S161" s="444"/>
      <c r="T161" s="518"/>
      <c r="U161" s="518"/>
      <c r="V161" s="444"/>
      <c r="W161" s="444"/>
      <c r="X161" s="445"/>
      <c r="Y161" s="445"/>
      <c r="Z161" s="445"/>
      <c r="AA161" s="445"/>
      <c r="AB161" s="445"/>
      <c r="AC161" s="445"/>
      <c r="AD161" s="445"/>
      <c r="AE161" s="445"/>
      <c r="AF161" s="445"/>
      <c r="AG161" s="446"/>
      <c r="AH161" s="446"/>
      <c r="AI161" s="444"/>
      <c r="AJ161" s="444"/>
      <c r="AK161" s="444"/>
      <c r="AL161" s="444"/>
      <c r="AM161" s="444"/>
      <c r="AN161" s="444"/>
      <c r="AO161" s="519"/>
      <c r="AP161" s="520"/>
      <c r="AQ161" s="520"/>
      <c r="AR161" s="520"/>
      <c r="AS161" s="447"/>
      <c r="AT161" s="521"/>
      <c r="AU161" s="521"/>
      <c r="AV161" s="522"/>
      <c r="AW161" s="522"/>
      <c r="AX161" s="522"/>
    </row>
    <row r="162" spans="1:50" x14ac:dyDescent="0.35">
      <c r="A162" s="442"/>
      <c r="B162" s="117"/>
      <c r="C162" s="117"/>
      <c r="D162" s="443"/>
      <c r="E162" s="443"/>
      <c r="F162" s="444"/>
      <c r="G162" s="444"/>
      <c r="H162" s="444"/>
      <c r="I162" s="444"/>
      <c r="J162" s="444"/>
      <c r="K162" s="444"/>
      <c r="L162" s="444"/>
      <c r="M162" s="444"/>
      <c r="N162" s="296"/>
      <c r="O162" s="444"/>
      <c r="P162" s="445"/>
      <c r="Q162" s="445"/>
      <c r="R162" s="444"/>
      <c r="S162" s="444"/>
      <c r="T162" s="518"/>
      <c r="U162" s="518"/>
      <c r="V162" s="444"/>
      <c r="W162" s="444"/>
      <c r="X162" s="445"/>
      <c r="Y162" s="445"/>
      <c r="Z162" s="445"/>
      <c r="AA162" s="445"/>
      <c r="AB162" s="445"/>
      <c r="AC162" s="445"/>
      <c r="AD162" s="445"/>
      <c r="AE162" s="445"/>
      <c r="AF162" s="445"/>
      <c r="AG162" s="446"/>
      <c r="AH162" s="446"/>
      <c r="AI162" s="444"/>
      <c r="AJ162" s="444"/>
      <c r="AK162" s="444"/>
      <c r="AL162" s="444"/>
      <c r="AM162" s="444"/>
      <c r="AN162" s="444"/>
      <c r="AO162" s="519"/>
      <c r="AP162" s="520"/>
      <c r="AQ162" s="520"/>
      <c r="AR162" s="520"/>
      <c r="AS162" s="447"/>
      <c r="AT162" s="521"/>
      <c r="AU162" s="521"/>
      <c r="AV162" s="522"/>
      <c r="AW162" s="522"/>
      <c r="AX162" s="522"/>
    </row>
    <row r="163" spans="1:50" x14ac:dyDescent="0.35">
      <c r="A163" s="442"/>
      <c r="B163" s="117"/>
      <c r="C163" s="117"/>
      <c r="D163" s="443"/>
      <c r="E163" s="443"/>
      <c r="F163" s="444"/>
      <c r="G163" s="444"/>
      <c r="H163" s="444"/>
      <c r="I163" s="444"/>
      <c r="J163" s="444"/>
      <c r="K163" s="444"/>
      <c r="L163" s="444"/>
      <c r="M163" s="444"/>
      <c r="N163" s="296"/>
      <c r="O163" s="444"/>
      <c r="P163" s="445"/>
      <c r="Q163" s="445"/>
      <c r="R163" s="444"/>
      <c r="S163" s="444"/>
      <c r="T163" s="518"/>
      <c r="U163" s="518"/>
      <c r="V163" s="444"/>
      <c r="W163" s="444"/>
      <c r="X163" s="445"/>
      <c r="Y163" s="445"/>
      <c r="Z163" s="445"/>
      <c r="AA163" s="445"/>
      <c r="AB163" s="445"/>
      <c r="AC163" s="445"/>
      <c r="AD163" s="445"/>
      <c r="AE163" s="445"/>
      <c r="AF163" s="445"/>
      <c r="AG163" s="446"/>
      <c r="AH163" s="446"/>
      <c r="AI163" s="444"/>
      <c r="AJ163" s="444"/>
      <c r="AK163" s="444"/>
      <c r="AL163" s="444"/>
      <c r="AM163" s="444"/>
      <c r="AN163" s="444"/>
      <c r="AO163" s="519"/>
      <c r="AP163" s="520"/>
      <c r="AQ163" s="520"/>
      <c r="AR163" s="520"/>
      <c r="AS163" s="447"/>
      <c r="AT163" s="521"/>
      <c r="AU163" s="521"/>
      <c r="AV163" s="522"/>
      <c r="AW163" s="522"/>
      <c r="AX163" s="522"/>
    </row>
    <row r="164" spans="1:50" x14ac:dyDescent="0.35">
      <c r="A164" s="442"/>
      <c r="B164" s="117"/>
      <c r="C164" s="117"/>
      <c r="D164" s="443"/>
      <c r="E164" s="443"/>
      <c r="F164" s="444"/>
      <c r="G164" s="444"/>
      <c r="H164" s="444"/>
      <c r="I164" s="444"/>
      <c r="J164" s="444"/>
      <c r="K164" s="444"/>
      <c r="L164" s="444"/>
      <c r="M164" s="444"/>
      <c r="N164" s="296"/>
      <c r="O164" s="444"/>
      <c r="P164" s="445"/>
      <c r="Q164" s="445"/>
      <c r="R164" s="444"/>
      <c r="S164" s="444"/>
      <c r="T164" s="518"/>
      <c r="U164" s="518"/>
      <c r="V164" s="444"/>
      <c r="W164" s="444"/>
      <c r="X164" s="445"/>
      <c r="Y164" s="445"/>
      <c r="Z164" s="445"/>
      <c r="AA164" s="445"/>
      <c r="AB164" s="445"/>
      <c r="AC164" s="445"/>
      <c r="AD164" s="445"/>
      <c r="AE164" s="445"/>
      <c r="AF164" s="445"/>
      <c r="AG164" s="446"/>
      <c r="AH164" s="446"/>
      <c r="AI164" s="444"/>
      <c r="AJ164" s="444"/>
      <c r="AK164" s="444"/>
      <c r="AL164" s="444"/>
      <c r="AM164" s="444"/>
      <c r="AN164" s="444"/>
      <c r="AO164" s="519"/>
      <c r="AP164" s="520"/>
      <c r="AQ164" s="520"/>
      <c r="AR164" s="520"/>
      <c r="AS164" s="447"/>
      <c r="AT164" s="521"/>
      <c r="AU164" s="521"/>
      <c r="AV164" s="522"/>
      <c r="AW164" s="522"/>
      <c r="AX164" s="522"/>
    </row>
    <row r="165" spans="1:50" x14ac:dyDescent="0.35">
      <c r="A165" s="442"/>
      <c r="B165" s="117"/>
      <c r="C165" s="117"/>
      <c r="D165" s="443"/>
      <c r="E165" s="443"/>
      <c r="F165" s="444"/>
      <c r="G165" s="444"/>
      <c r="H165" s="444"/>
      <c r="I165" s="444"/>
      <c r="J165" s="444"/>
      <c r="K165" s="444"/>
      <c r="L165" s="444"/>
      <c r="M165" s="444"/>
      <c r="N165" s="296"/>
      <c r="O165" s="444"/>
      <c r="P165" s="445"/>
      <c r="Q165" s="445"/>
      <c r="R165" s="444"/>
      <c r="S165" s="444"/>
      <c r="T165" s="518"/>
      <c r="U165" s="518"/>
      <c r="V165" s="444"/>
      <c r="W165" s="444"/>
      <c r="X165" s="445"/>
      <c r="Y165" s="445"/>
      <c r="Z165" s="445"/>
      <c r="AA165" s="445"/>
      <c r="AB165" s="445"/>
      <c r="AC165" s="445"/>
      <c r="AD165" s="445"/>
      <c r="AE165" s="445"/>
      <c r="AF165" s="445"/>
      <c r="AG165" s="446"/>
      <c r="AH165" s="446"/>
      <c r="AI165" s="444"/>
      <c r="AJ165" s="444"/>
      <c r="AK165" s="444"/>
      <c r="AL165" s="444"/>
      <c r="AM165" s="444"/>
      <c r="AN165" s="444"/>
      <c r="AO165" s="519"/>
      <c r="AP165" s="520"/>
      <c r="AQ165" s="520"/>
      <c r="AR165" s="520"/>
      <c r="AS165" s="447"/>
      <c r="AT165" s="521"/>
      <c r="AU165" s="521"/>
      <c r="AV165" s="522"/>
      <c r="AW165" s="522"/>
      <c r="AX165" s="522"/>
    </row>
    <row r="166" spans="1:50" x14ac:dyDescent="0.35">
      <c r="A166" s="442"/>
      <c r="B166" s="117"/>
      <c r="C166" s="117"/>
      <c r="D166" s="443"/>
      <c r="E166" s="443"/>
      <c r="F166" s="444"/>
      <c r="G166" s="444"/>
      <c r="H166" s="444"/>
      <c r="I166" s="444"/>
      <c r="J166" s="444"/>
      <c r="K166" s="444"/>
      <c r="L166" s="444"/>
      <c r="M166" s="444"/>
      <c r="N166" s="296"/>
      <c r="O166" s="444"/>
      <c r="P166" s="445"/>
      <c r="Q166" s="445"/>
      <c r="R166" s="444"/>
      <c r="S166" s="444"/>
      <c r="T166" s="518"/>
      <c r="U166" s="518"/>
      <c r="V166" s="444"/>
      <c r="W166" s="444"/>
      <c r="X166" s="445"/>
      <c r="Y166" s="445"/>
      <c r="Z166" s="445"/>
      <c r="AA166" s="445"/>
      <c r="AB166" s="445"/>
      <c r="AC166" s="445"/>
      <c r="AD166" s="445"/>
      <c r="AE166" s="445"/>
      <c r="AF166" s="445"/>
      <c r="AG166" s="446"/>
      <c r="AH166" s="446"/>
      <c r="AI166" s="444"/>
      <c r="AJ166" s="444"/>
      <c r="AK166" s="444"/>
      <c r="AL166" s="444"/>
      <c r="AM166" s="444"/>
      <c r="AN166" s="444"/>
      <c r="AO166" s="519"/>
      <c r="AP166" s="520"/>
      <c r="AQ166" s="520"/>
      <c r="AR166" s="520"/>
      <c r="AS166" s="447"/>
      <c r="AT166" s="521"/>
      <c r="AU166" s="521"/>
      <c r="AV166" s="522"/>
      <c r="AW166" s="522"/>
      <c r="AX166" s="522"/>
    </row>
    <row r="167" spans="1:50" x14ac:dyDescent="0.35">
      <c r="A167" s="442"/>
      <c r="B167" s="117"/>
      <c r="C167" s="117"/>
      <c r="D167" s="443"/>
      <c r="E167" s="443"/>
      <c r="F167" s="444"/>
      <c r="G167" s="444"/>
      <c r="H167" s="444"/>
      <c r="I167" s="444"/>
      <c r="J167" s="444"/>
      <c r="K167" s="444"/>
      <c r="L167" s="444"/>
      <c r="M167" s="444"/>
      <c r="N167" s="296"/>
      <c r="O167" s="444"/>
      <c r="P167" s="445"/>
      <c r="Q167" s="445"/>
      <c r="R167" s="444"/>
      <c r="S167" s="444"/>
      <c r="T167" s="518"/>
      <c r="U167" s="518"/>
      <c r="V167" s="444"/>
      <c r="W167" s="444"/>
      <c r="X167" s="445"/>
      <c r="Y167" s="445"/>
      <c r="Z167" s="445"/>
      <c r="AA167" s="445"/>
      <c r="AB167" s="445"/>
      <c r="AC167" s="445"/>
      <c r="AD167" s="445"/>
      <c r="AE167" s="445"/>
      <c r="AF167" s="445"/>
      <c r="AG167" s="446"/>
      <c r="AH167" s="446"/>
      <c r="AI167" s="444"/>
      <c r="AJ167" s="444"/>
      <c r="AK167" s="444"/>
      <c r="AL167" s="444"/>
      <c r="AM167" s="444"/>
      <c r="AN167" s="444"/>
      <c r="AO167" s="519"/>
      <c r="AP167" s="520"/>
      <c r="AQ167" s="520"/>
      <c r="AR167" s="520"/>
      <c r="AS167" s="447"/>
      <c r="AT167" s="521"/>
      <c r="AU167" s="521"/>
      <c r="AV167" s="522"/>
      <c r="AW167" s="522"/>
      <c r="AX167" s="522"/>
    </row>
    <row r="168" spans="1:50" x14ac:dyDescent="0.35">
      <c r="A168" s="442"/>
      <c r="B168" s="117"/>
      <c r="C168" s="117"/>
      <c r="D168" s="443"/>
      <c r="E168" s="443"/>
      <c r="F168" s="444"/>
      <c r="G168" s="444"/>
      <c r="H168" s="444"/>
      <c r="I168" s="444"/>
      <c r="J168" s="444"/>
      <c r="K168" s="444"/>
      <c r="L168" s="444"/>
      <c r="M168" s="444"/>
      <c r="N168" s="296"/>
      <c r="O168" s="444"/>
      <c r="P168" s="445"/>
      <c r="Q168" s="445"/>
      <c r="R168" s="444"/>
      <c r="S168" s="444"/>
      <c r="T168" s="518"/>
      <c r="U168" s="518"/>
      <c r="V168" s="444"/>
      <c r="W168" s="444"/>
      <c r="X168" s="445"/>
      <c r="Y168" s="445"/>
      <c r="Z168" s="445"/>
      <c r="AA168" s="445"/>
      <c r="AB168" s="445"/>
      <c r="AC168" s="445"/>
      <c r="AD168" s="445"/>
      <c r="AE168" s="445"/>
      <c r="AF168" s="445"/>
      <c r="AG168" s="446"/>
      <c r="AH168" s="446"/>
      <c r="AI168" s="444"/>
      <c r="AJ168" s="444"/>
      <c r="AK168" s="444"/>
      <c r="AL168" s="444"/>
      <c r="AM168" s="444"/>
      <c r="AN168" s="444"/>
      <c r="AO168" s="519"/>
      <c r="AP168" s="520"/>
      <c r="AQ168" s="520"/>
      <c r="AR168" s="520"/>
      <c r="AS168" s="447"/>
      <c r="AT168" s="521"/>
      <c r="AU168" s="521"/>
      <c r="AV168" s="522"/>
      <c r="AW168" s="522"/>
      <c r="AX168" s="522"/>
    </row>
    <row r="169" spans="1:50" x14ac:dyDescent="0.35">
      <c r="A169" s="442"/>
      <c r="B169" s="117"/>
      <c r="C169" s="117"/>
      <c r="D169" s="443"/>
      <c r="E169" s="443"/>
      <c r="F169" s="444"/>
      <c r="G169" s="444"/>
      <c r="H169" s="444"/>
      <c r="I169" s="444"/>
      <c r="J169" s="444"/>
      <c r="K169" s="444"/>
      <c r="L169" s="444"/>
      <c r="M169" s="444"/>
      <c r="N169" s="296"/>
      <c r="O169" s="444"/>
      <c r="P169" s="445"/>
      <c r="Q169" s="445"/>
      <c r="R169" s="444"/>
      <c r="S169" s="444"/>
      <c r="T169" s="518"/>
      <c r="U169" s="518"/>
      <c r="V169" s="444"/>
      <c r="W169" s="444"/>
      <c r="X169" s="445"/>
      <c r="Y169" s="445"/>
      <c r="Z169" s="445"/>
      <c r="AA169" s="445"/>
      <c r="AB169" s="445"/>
      <c r="AC169" s="445"/>
      <c r="AD169" s="445"/>
      <c r="AE169" s="445"/>
      <c r="AF169" s="445"/>
      <c r="AG169" s="446"/>
      <c r="AH169" s="446"/>
      <c r="AI169" s="444"/>
      <c r="AJ169" s="444"/>
      <c r="AK169" s="444"/>
      <c r="AL169" s="444"/>
      <c r="AM169" s="444"/>
      <c r="AN169" s="444"/>
      <c r="AO169" s="519"/>
      <c r="AP169" s="520"/>
      <c r="AQ169" s="520"/>
      <c r="AR169" s="520"/>
      <c r="AS169" s="447"/>
      <c r="AT169" s="521"/>
      <c r="AU169" s="521"/>
      <c r="AV169" s="522"/>
      <c r="AW169" s="522"/>
      <c r="AX169" s="522"/>
    </row>
    <row r="170" spans="1:50" x14ac:dyDescent="0.35">
      <c r="A170" s="442"/>
      <c r="B170" s="117"/>
      <c r="C170" s="117"/>
      <c r="D170" s="443"/>
      <c r="E170" s="443"/>
      <c r="F170" s="444"/>
      <c r="G170" s="444"/>
      <c r="H170" s="444"/>
      <c r="I170" s="444"/>
      <c r="J170" s="444"/>
      <c r="K170" s="444"/>
      <c r="L170" s="444"/>
      <c r="M170" s="444"/>
      <c r="N170" s="296"/>
      <c r="O170" s="444"/>
      <c r="P170" s="445"/>
      <c r="Q170" s="445"/>
      <c r="R170" s="444"/>
      <c r="S170" s="444"/>
      <c r="T170" s="518"/>
      <c r="U170" s="518"/>
      <c r="V170" s="444"/>
      <c r="W170" s="444"/>
      <c r="X170" s="445"/>
      <c r="Y170" s="445"/>
      <c r="Z170" s="445"/>
      <c r="AA170" s="445"/>
      <c r="AB170" s="445"/>
      <c r="AC170" s="445"/>
      <c r="AD170" s="445"/>
      <c r="AE170" s="445"/>
      <c r="AF170" s="445"/>
      <c r="AG170" s="446"/>
      <c r="AH170" s="446"/>
      <c r="AI170" s="444"/>
      <c r="AJ170" s="444"/>
      <c r="AK170" s="444"/>
      <c r="AL170" s="444"/>
      <c r="AM170" s="444"/>
      <c r="AN170" s="444"/>
      <c r="AO170" s="519"/>
      <c r="AP170" s="520"/>
      <c r="AQ170" s="520"/>
      <c r="AR170" s="520"/>
      <c r="AS170" s="447"/>
      <c r="AT170" s="521"/>
      <c r="AU170" s="521"/>
      <c r="AV170" s="522"/>
      <c r="AW170" s="522"/>
      <c r="AX170" s="522"/>
    </row>
    <row r="171" spans="1:50" x14ac:dyDescent="0.35">
      <c r="A171" s="442"/>
      <c r="B171" s="117"/>
      <c r="C171" s="117"/>
      <c r="D171" s="443"/>
      <c r="E171" s="443"/>
      <c r="F171" s="444"/>
      <c r="G171" s="444"/>
      <c r="H171" s="444"/>
      <c r="I171" s="444"/>
      <c r="J171" s="444"/>
      <c r="K171" s="444"/>
      <c r="L171" s="444"/>
      <c r="M171" s="444"/>
      <c r="N171" s="296"/>
      <c r="O171" s="444"/>
      <c r="P171" s="445"/>
      <c r="Q171" s="445"/>
      <c r="R171" s="444"/>
      <c r="S171" s="444"/>
      <c r="T171" s="518"/>
      <c r="U171" s="518"/>
      <c r="V171" s="444"/>
      <c r="W171" s="444"/>
      <c r="X171" s="445"/>
      <c r="Y171" s="445"/>
      <c r="Z171" s="445"/>
      <c r="AA171" s="445"/>
      <c r="AB171" s="445"/>
      <c r="AC171" s="445"/>
      <c r="AD171" s="445"/>
      <c r="AE171" s="445"/>
      <c r="AF171" s="445"/>
      <c r="AG171" s="446"/>
      <c r="AH171" s="446"/>
      <c r="AI171" s="444"/>
      <c r="AJ171" s="444"/>
      <c r="AK171" s="444"/>
      <c r="AL171" s="444"/>
      <c r="AM171" s="444"/>
      <c r="AN171" s="444"/>
      <c r="AO171" s="519"/>
      <c r="AP171" s="520"/>
      <c r="AQ171" s="520"/>
      <c r="AR171" s="520"/>
      <c r="AS171" s="447"/>
      <c r="AT171" s="521"/>
      <c r="AU171" s="521"/>
      <c r="AV171" s="522"/>
      <c r="AW171" s="522"/>
      <c r="AX171" s="522"/>
    </row>
    <row r="172" spans="1:50" x14ac:dyDescent="0.35">
      <c r="A172" s="442"/>
      <c r="B172" s="117"/>
      <c r="C172" s="117"/>
      <c r="D172" s="443"/>
      <c r="E172" s="443"/>
      <c r="F172" s="444"/>
      <c r="G172" s="444"/>
      <c r="H172" s="444"/>
      <c r="I172" s="444"/>
      <c r="J172" s="444"/>
      <c r="K172" s="444"/>
      <c r="L172" s="444"/>
      <c r="M172" s="444"/>
      <c r="N172" s="296"/>
      <c r="O172" s="444"/>
      <c r="P172" s="445"/>
      <c r="Q172" s="445"/>
      <c r="R172" s="444"/>
      <c r="S172" s="444"/>
      <c r="T172" s="518"/>
      <c r="U172" s="518"/>
      <c r="V172" s="444"/>
      <c r="W172" s="444"/>
      <c r="X172" s="445"/>
      <c r="Y172" s="445"/>
      <c r="Z172" s="445"/>
      <c r="AA172" s="445"/>
      <c r="AB172" s="445"/>
      <c r="AC172" s="445"/>
      <c r="AD172" s="445"/>
      <c r="AE172" s="445"/>
      <c r="AF172" s="445"/>
      <c r="AG172" s="446"/>
      <c r="AH172" s="446"/>
      <c r="AI172" s="444"/>
      <c r="AJ172" s="444"/>
      <c r="AK172" s="444"/>
      <c r="AL172" s="444"/>
      <c r="AM172" s="444"/>
      <c r="AN172" s="444"/>
      <c r="AO172" s="519"/>
      <c r="AP172" s="520"/>
      <c r="AQ172" s="520"/>
      <c r="AR172" s="520"/>
      <c r="AS172" s="447"/>
      <c r="AT172" s="521"/>
      <c r="AU172" s="521"/>
      <c r="AV172" s="522"/>
      <c r="AW172" s="522"/>
      <c r="AX172" s="522"/>
    </row>
    <row r="173" spans="1:50" x14ac:dyDescent="0.35">
      <c r="A173" s="442"/>
      <c r="B173" s="117"/>
      <c r="C173" s="117"/>
      <c r="D173" s="443"/>
      <c r="E173" s="443"/>
      <c r="F173" s="444"/>
      <c r="G173" s="444"/>
      <c r="H173" s="444"/>
      <c r="I173" s="444"/>
      <c r="J173" s="444"/>
      <c r="K173" s="444"/>
      <c r="L173" s="444"/>
      <c r="M173" s="444"/>
      <c r="N173" s="296"/>
      <c r="O173" s="444"/>
      <c r="P173" s="445"/>
      <c r="Q173" s="445"/>
      <c r="R173" s="444"/>
      <c r="S173" s="444"/>
      <c r="T173" s="518"/>
      <c r="U173" s="518"/>
      <c r="V173" s="444"/>
      <c r="W173" s="444"/>
      <c r="X173" s="445"/>
      <c r="Y173" s="445"/>
      <c r="Z173" s="445"/>
      <c r="AA173" s="445"/>
      <c r="AB173" s="445"/>
      <c r="AC173" s="445"/>
      <c r="AD173" s="445"/>
      <c r="AE173" s="445"/>
      <c r="AF173" s="445"/>
      <c r="AG173" s="446"/>
      <c r="AH173" s="446"/>
      <c r="AI173" s="444"/>
      <c r="AJ173" s="444"/>
      <c r="AK173" s="444"/>
      <c r="AL173" s="444"/>
      <c r="AM173" s="444"/>
      <c r="AN173" s="444"/>
      <c r="AO173" s="519"/>
      <c r="AP173" s="520"/>
      <c r="AQ173" s="520"/>
      <c r="AR173" s="520"/>
      <c r="AS173" s="447"/>
      <c r="AT173" s="521"/>
      <c r="AU173" s="521"/>
      <c r="AV173" s="522"/>
      <c r="AW173" s="522"/>
      <c r="AX173" s="522"/>
    </row>
    <row r="174" spans="1:50" x14ac:dyDescent="0.35">
      <c r="A174" s="442"/>
      <c r="B174" s="117"/>
      <c r="C174" s="117"/>
      <c r="D174" s="443"/>
      <c r="E174" s="443"/>
      <c r="F174" s="444"/>
      <c r="G174" s="444"/>
      <c r="H174" s="444"/>
      <c r="I174" s="444"/>
      <c r="J174" s="444"/>
      <c r="K174" s="444"/>
      <c r="L174" s="444"/>
      <c r="M174" s="444"/>
      <c r="N174" s="296"/>
      <c r="O174" s="444"/>
      <c r="P174" s="445"/>
      <c r="Q174" s="445"/>
      <c r="R174" s="444"/>
      <c r="S174" s="444"/>
      <c r="T174" s="518"/>
      <c r="U174" s="518"/>
      <c r="V174" s="444"/>
      <c r="W174" s="444"/>
      <c r="X174" s="445"/>
      <c r="Y174" s="445"/>
      <c r="Z174" s="445"/>
      <c r="AA174" s="445"/>
      <c r="AB174" s="445"/>
      <c r="AC174" s="445"/>
      <c r="AD174" s="445"/>
      <c r="AE174" s="445"/>
      <c r="AF174" s="445"/>
      <c r="AG174" s="446"/>
      <c r="AH174" s="446"/>
      <c r="AI174" s="444"/>
      <c r="AJ174" s="444"/>
      <c r="AK174" s="444"/>
      <c r="AL174" s="444"/>
      <c r="AM174" s="444"/>
      <c r="AN174" s="444"/>
      <c r="AO174" s="519"/>
      <c r="AP174" s="520"/>
      <c r="AQ174" s="520"/>
      <c r="AR174" s="520"/>
      <c r="AS174" s="447"/>
      <c r="AT174" s="521"/>
      <c r="AU174" s="521"/>
      <c r="AV174" s="522"/>
      <c r="AW174" s="522"/>
      <c r="AX174" s="522"/>
    </row>
    <row r="175" spans="1:50" x14ac:dyDescent="0.35">
      <c r="A175" s="442"/>
      <c r="B175" s="117"/>
      <c r="C175" s="117"/>
      <c r="D175" s="443"/>
      <c r="E175" s="443"/>
      <c r="F175" s="444"/>
      <c r="G175" s="444"/>
      <c r="H175" s="444"/>
      <c r="I175" s="444"/>
      <c r="J175" s="444"/>
      <c r="K175" s="444"/>
      <c r="L175" s="444"/>
      <c r="M175" s="444"/>
      <c r="N175" s="296"/>
      <c r="O175" s="444"/>
      <c r="P175" s="445"/>
      <c r="Q175" s="445"/>
      <c r="R175" s="444"/>
      <c r="S175" s="444"/>
      <c r="T175" s="518"/>
      <c r="U175" s="518"/>
      <c r="V175" s="444"/>
      <c r="W175" s="444"/>
      <c r="X175" s="445"/>
      <c r="Y175" s="445"/>
      <c r="Z175" s="445"/>
      <c r="AA175" s="445"/>
      <c r="AB175" s="445"/>
      <c r="AC175" s="445"/>
      <c r="AD175" s="445"/>
      <c r="AE175" s="445"/>
      <c r="AF175" s="445"/>
      <c r="AG175" s="446"/>
      <c r="AH175" s="446"/>
      <c r="AI175" s="444"/>
      <c r="AJ175" s="444"/>
      <c r="AK175" s="444"/>
      <c r="AL175" s="444"/>
      <c r="AM175" s="444"/>
      <c r="AN175" s="444"/>
      <c r="AO175" s="519"/>
      <c r="AP175" s="520"/>
      <c r="AQ175" s="520"/>
      <c r="AR175" s="520"/>
      <c r="AS175" s="447"/>
      <c r="AT175" s="521"/>
      <c r="AU175" s="521"/>
      <c r="AV175" s="522"/>
      <c r="AW175" s="522"/>
      <c r="AX175" s="522"/>
    </row>
    <row r="176" spans="1:50" x14ac:dyDescent="0.35">
      <c r="A176" s="442"/>
      <c r="B176" s="117"/>
      <c r="C176" s="117"/>
      <c r="D176" s="443"/>
      <c r="E176" s="443"/>
      <c r="F176" s="444"/>
      <c r="G176" s="444"/>
      <c r="H176" s="444"/>
      <c r="I176" s="444"/>
      <c r="J176" s="444"/>
      <c r="K176" s="444"/>
      <c r="L176" s="444"/>
      <c r="M176" s="444"/>
      <c r="N176" s="296"/>
      <c r="O176" s="444"/>
      <c r="P176" s="445"/>
      <c r="Q176" s="445"/>
      <c r="R176" s="444"/>
      <c r="S176" s="444"/>
      <c r="T176" s="518"/>
      <c r="U176" s="518"/>
      <c r="V176" s="444"/>
      <c r="W176" s="444"/>
      <c r="X176" s="445"/>
      <c r="Y176" s="445"/>
      <c r="Z176" s="445"/>
      <c r="AA176" s="445"/>
      <c r="AB176" s="445"/>
      <c r="AC176" s="445"/>
      <c r="AD176" s="445"/>
      <c r="AE176" s="445"/>
      <c r="AF176" s="445"/>
      <c r="AG176" s="446"/>
      <c r="AH176" s="446"/>
      <c r="AI176" s="444"/>
      <c r="AJ176" s="444"/>
      <c r="AK176" s="444"/>
      <c r="AL176" s="444"/>
      <c r="AM176" s="444"/>
      <c r="AN176" s="444"/>
      <c r="AO176" s="519"/>
      <c r="AP176" s="520"/>
      <c r="AQ176" s="520"/>
      <c r="AR176" s="520"/>
      <c r="AS176" s="447"/>
      <c r="AT176" s="521"/>
      <c r="AU176" s="521"/>
      <c r="AV176" s="522"/>
      <c r="AW176" s="522"/>
      <c r="AX176" s="522"/>
    </row>
    <row r="177" spans="1:50" x14ac:dyDescent="0.35">
      <c r="A177" s="442"/>
      <c r="B177" s="117"/>
      <c r="C177" s="117"/>
      <c r="D177" s="443"/>
      <c r="E177" s="443"/>
      <c r="F177" s="444"/>
      <c r="G177" s="444"/>
      <c r="H177" s="444"/>
      <c r="I177" s="444"/>
      <c r="J177" s="444"/>
      <c r="K177" s="444"/>
      <c r="L177" s="444"/>
      <c r="M177" s="444"/>
      <c r="N177" s="296"/>
      <c r="O177" s="444"/>
      <c r="P177" s="445"/>
      <c r="Q177" s="445"/>
      <c r="R177" s="444"/>
      <c r="S177" s="444"/>
      <c r="T177" s="518"/>
      <c r="U177" s="518"/>
      <c r="V177" s="444"/>
      <c r="W177" s="444"/>
      <c r="X177" s="445"/>
      <c r="Y177" s="445"/>
      <c r="Z177" s="445"/>
      <c r="AA177" s="445"/>
      <c r="AB177" s="445"/>
      <c r="AC177" s="445"/>
      <c r="AD177" s="445"/>
      <c r="AE177" s="445"/>
      <c r="AF177" s="445"/>
      <c r="AG177" s="446"/>
      <c r="AH177" s="446"/>
      <c r="AI177" s="444"/>
      <c r="AJ177" s="444"/>
      <c r="AK177" s="444"/>
      <c r="AL177" s="444"/>
      <c r="AM177" s="444"/>
      <c r="AN177" s="444"/>
      <c r="AO177" s="519"/>
      <c r="AP177" s="520"/>
      <c r="AQ177" s="520"/>
      <c r="AR177" s="520"/>
      <c r="AS177" s="447"/>
      <c r="AT177" s="521"/>
      <c r="AU177" s="521"/>
      <c r="AV177" s="522"/>
      <c r="AW177" s="522"/>
      <c r="AX177" s="522"/>
    </row>
    <row r="178" spans="1:50" x14ac:dyDescent="0.35">
      <c r="A178" s="442"/>
      <c r="B178" s="117"/>
      <c r="C178" s="117"/>
      <c r="D178" s="443"/>
      <c r="E178" s="443"/>
      <c r="F178" s="444"/>
      <c r="G178" s="444"/>
      <c r="H178" s="444"/>
      <c r="I178" s="444"/>
      <c r="J178" s="444"/>
      <c r="K178" s="444"/>
      <c r="L178" s="444"/>
      <c r="M178" s="444"/>
      <c r="N178" s="296"/>
      <c r="O178" s="444"/>
      <c r="P178" s="445"/>
      <c r="Q178" s="445"/>
      <c r="R178" s="444"/>
      <c r="S178" s="444"/>
      <c r="T178" s="518"/>
      <c r="U178" s="518"/>
      <c r="V178" s="444"/>
      <c r="W178" s="444"/>
      <c r="X178" s="445"/>
      <c r="Y178" s="445"/>
      <c r="Z178" s="445"/>
      <c r="AA178" s="445"/>
      <c r="AB178" s="445"/>
      <c r="AC178" s="445"/>
      <c r="AD178" s="445"/>
      <c r="AE178" s="445"/>
      <c r="AF178" s="445"/>
      <c r="AG178" s="446"/>
      <c r="AH178" s="446"/>
      <c r="AI178" s="444"/>
      <c r="AJ178" s="444"/>
      <c r="AK178" s="444"/>
      <c r="AL178" s="444"/>
      <c r="AM178" s="444"/>
      <c r="AN178" s="444"/>
      <c r="AO178" s="519"/>
      <c r="AP178" s="520"/>
      <c r="AQ178" s="520"/>
      <c r="AR178" s="520"/>
      <c r="AS178" s="447"/>
      <c r="AT178" s="521"/>
      <c r="AU178" s="521"/>
      <c r="AV178" s="522"/>
      <c r="AW178" s="522"/>
      <c r="AX178" s="522"/>
    </row>
    <row r="179" spans="1:50" x14ac:dyDescent="0.35">
      <c r="A179" s="442"/>
      <c r="B179" s="117"/>
      <c r="C179" s="117"/>
      <c r="D179" s="443"/>
      <c r="E179" s="443"/>
      <c r="F179" s="444"/>
      <c r="G179" s="444"/>
      <c r="H179" s="444"/>
      <c r="I179" s="444"/>
      <c r="J179" s="444"/>
      <c r="K179" s="444"/>
      <c r="L179" s="444"/>
      <c r="M179" s="444"/>
      <c r="N179" s="296"/>
      <c r="O179" s="444"/>
      <c r="P179" s="445"/>
      <c r="Q179" s="445"/>
      <c r="R179" s="444"/>
      <c r="S179" s="444"/>
      <c r="T179" s="518"/>
      <c r="U179" s="518"/>
      <c r="V179" s="444"/>
      <c r="W179" s="444"/>
      <c r="X179" s="445"/>
      <c r="Y179" s="445"/>
      <c r="Z179" s="445"/>
      <c r="AA179" s="445"/>
      <c r="AB179" s="445"/>
      <c r="AC179" s="445"/>
      <c r="AD179" s="445"/>
      <c r="AE179" s="445"/>
      <c r="AF179" s="445"/>
      <c r="AG179" s="446"/>
      <c r="AH179" s="446"/>
      <c r="AI179" s="444"/>
      <c r="AJ179" s="444"/>
      <c r="AK179" s="444"/>
      <c r="AL179" s="444"/>
      <c r="AM179" s="444"/>
      <c r="AN179" s="444"/>
      <c r="AO179" s="519"/>
      <c r="AP179" s="520"/>
      <c r="AQ179" s="520"/>
      <c r="AR179" s="520"/>
      <c r="AS179" s="447"/>
      <c r="AT179" s="521"/>
      <c r="AU179" s="521"/>
      <c r="AV179" s="522"/>
      <c r="AW179" s="522"/>
      <c r="AX179" s="522"/>
    </row>
    <row r="180" spans="1:50" x14ac:dyDescent="0.35">
      <c r="A180" s="442"/>
      <c r="B180" s="117"/>
      <c r="C180" s="117"/>
      <c r="D180" s="443"/>
      <c r="E180" s="443"/>
      <c r="F180" s="444"/>
      <c r="G180" s="444"/>
      <c r="H180" s="444"/>
      <c r="I180" s="444"/>
      <c r="J180" s="444"/>
      <c r="K180" s="444"/>
      <c r="L180" s="444"/>
      <c r="M180" s="444"/>
      <c r="N180" s="296"/>
      <c r="O180" s="444"/>
      <c r="P180" s="445"/>
      <c r="Q180" s="445"/>
      <c r="R180" s="444"/>
      <c r="S180" s="444"/>
      <c r="T180" s="518"/>
      <c r="U180" s="518"/>
      <c r="V180" s="444"/>
      <c r="W180" s="444"/>
      <c r="X180" s="445"/>
      <c r="Y180" s="445"/>
      <c r="Z180" s="445"/>
      <c r="AA180" s="445"/>
      <c r="AB180" s="445"/>
      <c r="AC180" s="445"/>
      <c r="AD180" s="445"/>
      <c r="AE180" s="445"/>
      <c r="AF180" s="445"/>
      <c r="AG180" s="446"/>
      <c r="AH180" s="446"/>
      <c r="AI180" s="444"/>
      <c r="AJ180" s="444"/>
      <c r="AK180" s="444"/>
      <c r="AL180" s="444"/>
      <c r="AM180" s="444"/>
      <c r="AN180" s="444"/>
      <c r="AO180" s="519"/>
      <c r="AP180" s="520"/>
      <c r="AQ180" s="520"/>
      <c r="AR180" s="520"/>
      <c r="AS180" s="447"/>
      <c r="AT180" s="521"/>
      <c r="AU180" s="521"/>
      <c r="AV180" s="522"/>
      <c r="AW180" s="522"/>
      <c r="AX180" s="522"/>
    </row>
    <row r="181" spans="1:50" x14ac:dyDescent="0.35">
      <c r="A181" s="442"/>
      <c r="B181" s="117"/>
      <c r="C181" s="117"/>
      <c r="D181" s="443"/>
      <c r="E181" s="443"/>
      <c r="F181" s="444"/>
      <c r="G181" s="444"/>
      <c r="H181" s="444"/>
      <c r="I181" s="444"/>
      <c r="J181" s="444"/>
      <c r="K181" s="444"/>
      <c r="L181" s="444"/>
      <c r="M181" s="444"/>
      <c r="N181" s="296"/>
      <c r="O181" s="444"/>
      <c r="P181" s="445"/>
      <c r="Q181" s="445"/>
      <c r="R181" s="444"/>
      <c r="S181" s="444"/>
      <c r="T181" s="518"/>
      <c r="U181" s="518"/>
      <c r="V181" s="444"/>
      <c r="W181" s="444"/>
      <c r="X181" s="445"/>
      <c r="Y181" s="445"/>
      <c r="Z181" s="445"/>
      <c r="AA181" s="445"/>
      <c r="AB181" s="445"/>
      <c r="AC181" s="445"/>
      <c r="AD181" s="445"/>
      <c r="AE181" s="445"/>
      <c r="AF181" s="445"/>
      <c r="AG181" s="446"/>
      <c r="AH181" s="446"/>
      <c r="AI181" s="444"/>
      <c r="AJ181" s="444"/>
      <c r="AK181" s="444"/>
      <c r="AL181" s="444"/>
      <c r="AM181" s="444"/>
      <c r="AN181" s="444"/>
      <c r="AO181" s="519"/>
      <c r="AP181" s="520"/>
      <c r="AQ181" s="520"/>
      <c r="AR181" s="520"/>
      <c r="AS181" s="447"/>
      <c r="AT181" s="521"/>
      <c r="AU181" s="521"/>
      <c r="AV181" s="522"/>
      <c r="AW181" s="522"/>
      <c r="AX181" s="522"/>
    </row>
    <row r="182" spans="1:50" x14ac:dyDescent="0.35">
      <c r="A182" s="442"/>
      <c r="B182" s="117"/>
      <c r="C182" s="117"/>
      <c r="D182" s="443"/>
      <c r="E182" s="443"/>
      <c r="F182" s="444"/>
      <c r="G182" s="444"/>
      <c r="H182" s="444"/>
      <c r="I182" s="444"/>
      <c r="J182" s="444"/>
      <c r="K182" s="444"/>
      <c r="L182" s="444"/>
      <c r="M182" s="444"/>
      <c r="N182" s="296"/>
      <c r="O182" s="444"/>
      <c r="P182" s="445"/>
      <c r="Q182" s="445"/>
      <c r="R182" s="444"/>
      <c r="S182" s="444"/>
      <c r="T182" s="518"/>
      <c r="U182" s="518"/>
      <c r="V182" s="444"/>
      <c r="W182" s="444"/>
      <c r="X182" s="445"/>
      <c r="Y182" s="445"/>
      <c r="Z182" s="445"/>
      <c r="AA182" s="445"/>
      <c r="AB182" s="445"/>
      <c r="AC182" s="445"/>
      <c r="AD182" s="445"/>
      <c r="AE182" s="445"/>
      <c r="AF182" s="445"/>
      <c r="AG182" s="446"/>
      <c r="AH182" s="446"/>
      <c r="AI182" s="444"/>
      <c r="AJ182" s="444"/>
      <c r="AK182" s="444"/>
      <c r="AL182" s="444"/>
      <c r="AM182" s="444"/>
      <c r="AN182" s="444"/>
      <c r="AO182" s="519"/>
      <c r="AP182" s="520"/>
      <c r="AQ182" s="520"/>
      <c r="AR182" s="520"/>
      <c r="AS182" s="447"/>
      <c r="AT182" s="521"/>
      <c r="AU182" s="521"/>
      <c r="AV182" s="522"/>
      <c r="AW182" s="522"/>
      <c r="AX182" s="522"/>
    </row>
    <row r="183" spans="1:50" x14ac:dyDescent="0.35">
      <c r="A183" s="442"/>
      <c r="B183" s="117"/>
      <c r="C183" s="117"/>
      <c r="D183" s="443"/>
      <c r="E183" s="443"/>
      <c r="F183" s="444"/>
      <c r="G183" s="444"/>
      <c r="H183" s="444"/>
      <c r="I183" s="444"/>
      <c r="J183" s="444"/>
      <c r="K183" s="444"/>
      <c r="L183" s="444"/>
      <c r="M183" s="444"/>
      <c r="N183" s="296"/>
      <c r="O183" s="444"/>
      <c r="P183" s="445"/>
      <c r="Q183" s="445"/>
      <c r="R183" s="444"/>
      <c r="S183" s="444"/>
      <c r="T183" s="518"/>
      <c r="U183" s="518"/>
      <c r="V183" s="444"/>
      <c r="W183" s="444"/>
      <c r="X183" s="445"/>
      <c r="Y183" s="445"/>
      <c r="Z183" s="445"/>
      <c r="AA183" s="445"/>
      <c r="AB183" s="445"/>
      <c r="AC183" s="445"/>
      <c r="AD183" s="445"/>
      <c r="AE183" s="445"/>
      <c r="AF183" s="445"/>
      <c r="AG183" s="446"/>
      <c r="AH183" s="446"/>
      <c r="AI183" s="444"/>
      <c r="AJ183" s="444"/>
      <c r="AK183" s="444"/>
      <c r="AL183" s="444"/>
      <c r="AM183" s="444"/>
      <c r="AN183" s="444"/>
      <c r="AO183" s="519"/>
      <c r="AP183" s="520"/>
      <c r="AQ183" s="520"/>
      <c r="AR183" s="520"/>
      <c r="AS183" s="447"/>
      <c r="AT183" s="521"/>
      <c r="AU183" s="521"/>
      <c r="AV183" s="522"/>
      <c r="AW183" s="522"/>
      <c r="AX183" s="522"/>
    </row>
    <row r="184" spans="1:50" x14ac:dyDescent="0.35">
      <c r="A184" s="442"/>
      <c r="B184" s="117"/>
      <c r="C184" s="117"/>
      <c r="D184" s="443"/>
      <c r="E184" s="443"/>
      <c r="F184" s="444"/>
      <c r="G184" s="444"/>
      <c r="H184" s="444"/>
      <c r="I184" s="444"/>
      <c r="J184" s="444"/>
      <c r="K184" s="444"/>
      <c r="L184" s="444"/>
      <c r="M184" s="444"/>
      <c r="N184" s="296"/>
      <c r="O184" s="444"/>
      <c r="P184" s="445"/>
      <c r="Q184" s="445"/>
      <c r="R184" s="444"/>
      <c r="S184" s="444"/>
      <c r="T184" s="518"/>
      <c r="U184" s="518"/>
      <c r="V184" s="444"/>
      <c r="W184" s="444"/>
      <c r="X184" s="445"/>
      <c r="Y184" s="445"/>
      <c r="Z184" s="445"/>
      <c r="AA184" s="445"/>
      <c r="AB184" s="445"/>
      <c r="AC184" s="445"/>
      <c r="AD184" s="445"/>
      <c r="AE184" s="445"/>
      <c r="AF184" s="445"/>
      <c r="AG184" s="446"/>
      <c r="AH184" s="446"/>
      <c r="AI184" s="444"/>
      <c r="AJ184" s="444"/>
      <c r="AK184" s="444"/>
      <c r="AL184" s="444"/>
      <c r="AM184" s="444"/>
      <c r="AN184" s="444"/>
      <c r="AO184" s="519"/>
      <c r="AP184" s="520"/>
      <c r="AQ184" s="520"/>
      <c r="AR184" s="520"/>
      <c r="AS184" s="447"/>
      <c r="AT184" s="521"/>
      <c r="AU184" s="521"/>
      <c r="AV184" s="522"/>
      <c r="AW184" s="522"/>
      <c r="AX184" s="522"/>
    </row>
    <row r="185" spans="1:50" x14ac:dyDescent="0.35">
      <c r="A185" s="442"/>
      <c r="B185" s="117"/>
      <c r="C185" s="117"/>
      <c r="D185" s="443"/>
      <c r="E185" s="443"/>
      <c r="F185" s="444"/>
      <c r="G185" s="444"/>
      <c r="H185" s="444"/>
      <c r="I185" s="444"/>
      <c r="J185" s="444"/>
      <c r="K185" s="444"/>
      <c r="L185" s="444"/>
      <c r="M185" s="444"/>
      <c r="N185" s="296"/>
      <c r="O185" s="444"/>
      <c r="P185" s="445"/>
      <c r="Q185" s="445"/>
      <c r="R185" s="444"/>
      <c r="S185" s="444"/>
      <c r="T185" s="518"/>
      <c r="U185" s="518"/>
      <c r="V185" s="444"/>
      <c r="W185" s="444"/>
      <c r="X185" s="445"/>
      <c r="Y185" s="445"/>
      <c r="Z185" s="445"/>
      <c r="AA185" s="445"/>
      <c r="AB185" s="445"/>
      <c r="AC185" s="445"/>
      <c r="AD185" s="445"/>
      <c r="AE185" s="445"/>
      <c r="AF185" s="445"/>
      <c r="AG185" s="446"/>
      <c r="AH185" s="446"/>
      <c r="AI185" s="444"/>
      <c r="AJ185" s="444"/>
      <c r="AK185" s="444"/>
      <c r="AL185" s="444"/>
      <c r="AM185" s="444"/>
      <c r="AN185" s="444"/>
      <c r="AO185" s="519"/>
      <c r="AP185" s="520"/>
      <c r="AQ185" s="520"/>
      <c r="AR185" s="520"/>
      <c r="AS185" s="447"/>
      <c r="AT185" s="521"/>
      <c r="AU185" s="521"/>
      <c r="AV185" s="522"/>
      <c r="AW185" s="522"/>
      <c r="AX185" s="522"/>
    </row>
    <row r="186" spans="1:50" x14ac:dyDescent="0.35">
      <c r="A186" s="442"/>
      <c r="B186" s="117"/>
      <c r="C186" s="117"/>
      <c r="D186" s="443"/>
      <c r="E186" s="443"/>
      <c r="F186" s="444"/>
      <c r="G186" s="444"/>
      <c r="H186" s="444"/>
      <c r="I186" s="444"/>
      <c r="J186" s="444"/>
      <c r="K186" s="444"/>
      <c r="L186" s="444"/>
      <c r="M186" s="444"/>
      <c r="N186" s="296"/>
      <c r="O186" s="444"/>
      <c r="P186" s="445"/>
      <c r="Q186" s="445"/>
      <c r="R186" s="444"/>
      <c r="S186" s="444"/>
      <c r="T186" s="518"/>
      <c r="U186" s="518"/>
      <c r="V186" s="444"/>
      <c r="W186" s="444"/>
      <c r="X186" s="445"/>
      <c r="Y186" s="445"/>
      <c r="Z186" s="445"/>
      <c r="AA186" s="445"/>
      <c r="AB186" s="445"/>
      <c r="AC186" s="445"/>
      <c r="AD186" s="445"/>
      <c r="AE186" s="445"/>
      <c r="AF186" s="445"/>
      <c r="AG186" s="446"/>
      <c r="AH186" s="446"/>
      <c r="AI186" s="444"/>
      <c r="AJ186" s="444"/>
      <c r="AK186" s="444"/>
      <c r="AL186" s="444"/>
      <c r="AM186" s="444"/>
      <c r="AN186" s="444"/>
      <c r="AO186" s="519"/>
      <c r="AP186" s="520"/>
      <c r="AQ186" s="520"/>
      <c r="AR186" s="520"/>
      <c r="AS186" s="447"/>
      <c r="AT186" s="521"/>
      <c r="AU186" s="521"/>
      <c r="AV186" s="522"/>
      <c r="AW186" s="522"/>
      <c r="AX186" s="522"/>
    </row>
    <row r="187" spans="1:50" x14ac:dyDescent="0.35">
      <c r="A187" s="442"/>
      <c r="B187" s="117"/>
      <c r="C187" s="117"/>
      <c r="D187" s="443"/>
      <c r="E187" s="443"/>
      <c r="F187" s="444"/>
      <c r="G187" s="444"/>
      <c r="H187" s="444"/>
      <c r="I187" s="444"/>
      <c r="J187" s="444"/>
      <c r="K187" s="444"/>
      <c r="L187" s="444"/>
      <c r="M187" s="444"/>
      <c r="N187" s="296"/>
      <c r="O187" s="444"/>
      <c r="P187" s="445"/>
      <c r="Q187" s="445"/>
      <c r="R187" s="444"/>
      <c r="S187" s="444"/>
      <c r="T187" s="518"/>
      <c r="U187" s="518"/>
      <c r="V187" s="444"/>
      <c r="W187" s="444"/>
      <c r="X187" s="445"/>
      <c r="Y187" s="445"/>
      <c r="Z187" s="445"/>
      <c r="AA187" s="445"/>
      <c r="AB187" s="445"/>
      <c r="AC187" s="445"/>
      <c r="AD187" s="445"/>
      <c r="AE187" s="445"/>
      <c r="AF187" s="445"/>
      <c r="AG187" s="446"/>
      <c r="AH187" s="446"/>
      <c r="AI187" s="444"/>
      <c r="AJ187" s="444"/>
      <c r="AK187" s="444"/>
      <c r="AL187" s="444"/>
      <c r="AM187" s="444"/>
      <c r="AN187" s="444"/>
      <c r="AO187" s="519"/>
      <c r="AP187" s="520"/>
      <c r="AQ187" s="520"/>
      <c r="AR187" s="520"/>
      <c r="AS187" s="447"/>
      <c r="AT187" s="521"/>
      <c r="AU187" s="521"/>
      <c r="AV187" s="522"/>
      <c r="AW187" s="522"/>
      <c r="AX187" s="522"/>
    </row>
    <row r="188" spans="1:50" x14ac:dyDescent="0.35">
      <c r="A188" s="442"/>
      <c r="B188" s="117"/>
      <c r="C188" s="117"/>
      <c r="D188" s="443"/>
      <c r="E188" s="443"/>
      <c r="F188" s="444"/>
      <c r="G188" s="444"/>
      <c r="H188" s="444"/>
      <c r="I188" s="444"/>
      <c r="J188" s="444"/>
      <c r="K188" s="444"/>
      <c r="L188" s="444"/>
      <c r="M188" s="444"/>
      <c r="N188" s="296"/>
      <c r="O188" s="444"/>
      <c r="P188" s="445"/>
      <c r="Q188" s="445"/>
      <c r="R188" s="444"/>
      <c r="S188" s="444"/>
      <c r="T188" s="518"/>
      <c r="U188" s="518"/>
      <c r="V188" s="444"/>
      <c r="W188" s="444"/>
      <c r="X188" s="445"/>
      <c r="Y188" s="445"/>
      <c r="Z188" s="445"/>
      <c r="AA188" s="445"/>
      <c r="AB188" s="445"/>
      <c r="AC188" s="445"/>
      <c r="AD188" s="445"/>
      <c r="AE188" s="445"/>
      <c r="AF188" s="445"/>
      <c r="AG188" s="446"/>
      <c r="AH188" s="446"/>
      <c r="AI188" s="444"/>
      <c r="AJ188" s="444"/>
      <c r="AK188" s="444"/>
      <c r="AL188" s="444"/>
      <c r="AM188" s="444"/>
      <c r="AN188" s="444"/>
      <c r="AO188" s="519"/>
      <c r="AP188" s="520"/>
      <c r="AQ188" s="520"/>
      <c r="AR188" s="520"/>
      <c r="AS188" s="447"/>
      <c r="AT188" s="521"/>
      <c r="AU188" s="521"/>
      <c r="AV188" s="522"/>
      <c r="AW188" s="522"/>
      <c r="AX188" s="522"/>
    </row>
    <row r="189" spans="1:50" x14ac:dyDescent="0.35">
      <c r="A189" s="442"/>
      <c r="B189" s="117"/>
      <c r="C189" s="117"/>
      <c r="D189" s="443"/>
      <c r="E189" s="443"/>
      <c r="F189" s="444"/>
      <c r="G189" s="444"/>
      <c r="H189" s="444"/>
      <c r="I189" s="444"/>
      <c r="J189" s="444"/>
      <c r="K189" s="444"/>
      <c r="L189" s="444"/>
      <c r="M189" s="444"/>
      <c r="N189" s="296"/>
      <c r="O189" s="444"/>
      <c r="P189" s="445"/>
      <c r="Q189" s="445"/>
      <c r="R189" s="444"/>
      <c r="S189" s="444"/>
      <c r="T189" s="518"/>
      <c r="U189" s="518"/>
      <c r="V189" s="444"/>
      <c r="W189" s="444"/>
      <c r="X189" s="445"/>
      <c r="Y189" s="445"/>
      <c r="Z189" s="445"/>
      <c r="AA189" s="445"/>
      <c r="AB189" s="445"/>
      <c r="AC189" s="445"/>
      <c r="AD189" s="445"/>
      <c r="AE189" s="445"/>
      <c r="AF189" s="445"/>
      <c r="AG189" s="446"/>
      <c r="AH189" s="446"/>
      <c r="AI189" s="444"/>
      <c r="AJ189" s="444"/>
      <c r="AK189" s="444"/>
      <c r="AL189" s="444"/>
      <c r="AM189" s="444"/>
      <c r="AN189" s="444"/>
      <c r="AO189" s="519"/>
      <c r="AP189" s="520"/>
      <c r="AQ189" s="520"/>
      <c r="AR189" s="520"/>
      <c r="AS189" s="447"/>
      <c r="AT189" s="521"/>
      <c r="AU189" s="521"/>
      <c r="AV189" s="522"/>
      <c r="AW189" s="522"/>
      <c r="AX189" s="522"/>
    </row>
    <row r="190" spans="1:50" x14ac:dyDescent="0.35">
      <c r="A190" s="442"/>
      <c r="B190" s="117"/>
      <c r="C190" s="117"/>
      <c r="D190" s="443"/>
      <c r="E190" s="443"/>
      <c r="F190" s="444"/>
      <c r="G190" s="444"/>
      <c r="H190" s="444"/>
      <c r="I190" s="444"/>
      <c r="J190" s="444"/>
      <c r="K190" s="444"/>
      <c r="L190" s="444"/>
      <c r="M190" s="444"/>
      <c r="N190" s="296"/>
      <c r="O190" s="444"/>
      <c r="P190" s="445"/>
      <c r="Q190" s="445"/>
      <c r="R190" s="444"/>
      <c r="S190" s="444"/>
      <c r="T190" s="518"/>
      <c r="U190" s="518"/>
      <c r="V190" s="444"/>
      <c r="W190" s="444"/>
      <c r="X190" s="445"/>
      <c r="Y190" s="445"/>
      <c r="Z190" s="445"/>
      <c r="AA190" s="445"/>
      <c r="AB190" s="445"/>
      <c r="AC190" s="445"/>
      <c r="AD190" s="445"/>
      <c r="AE190" s="445"/>
      <c r="AF190" s="445"/>
      <c r="AG190" s="446"/>
      <c r="AH190" s="446"/>
      <c r="AI190" s="444"/>
      <c r="AJ190" s="444"/>
      <c r="AK190" s="444"/>
      <c r="AL190" s="444"/>
      <c r="AM190" s="444"/>
      <c r="AN190" s="444"/>
      <c r="AO190" s="519"/>
      <c r="AP190" s="520"/>
      <c r="AQ190" s="520"/>
      <c r="AR190" s="520"/>
      <c r="AS190" s="447"/>
      <c r="AT190" s="521"/>
      <c r="AU190" s="521"/>
      <c r="AV190" s="522"/>
      <c r="AW190" s="522"/>
      <c r="AX190" s="522"/>
    </row>
    <row r="191" spans="1:50" x14ac:dyDescent="0.35">
      <c r="A191" s="442"/>
      <c r="B191" s="117"/>
      <c r="C191" s="117"/>
      <c r="D191" s="443"/>
      <c r="E191" s="443"/>
      <c r="F191" s="444"/>
      <c r="G191" s="444"/>
      <c r="H191" s="444"/>
      <c r="I191" s="444"/>
      <c r="J191" s="444"/>
      <c r="K191" s="444"/>
      <c r="L191" s="444"/>
      <c r="M191" s="444"/>
      <c r="N191" s="296"/>
      <c r="O191" s="444"/>
      <c r="P191" s="445"/>
      <c r="Q191" s="445"/>
      <c r="R191" s="444"/>
      <c r="S191" s="444"/>
      <c r="T191" s="518"/>
      <c r="U191" s="518"/>
      <c r="V191" s="444"/>
      <c r="W191" s="444"/>
      <c r="X191" s="445"/>
      <c r="Y191" s="445"/>
      <c r="Z191" s="445"/>
      <c r="AA191" s="445"/>
      <c r="AB191" s="445"/>
      <c r="AC191" s="445"/>
      <c r="AD191" s="445"/>
      <c r="AE191" s="445"/>
      <c r="AF191" s="445"/>
      <c r="AG191" s="446"/>
      <c r="AH191" s="446"/>
      <c r="AI191" s="444"/>
      <c r="AJ191" s="444"/>
      <c r="AK191" s="444"/>
      <c r="AL191" s="444"/>
      <c r="AM191" s="444"/>
      <c r="AN191" s="444"/>
      <c r="AO191" s="519"/>
      <c r="AP191" s="520"/>
      <c r="AQ191" s="520"/>
      <c r="AR191" s="520"/>
      <c r="AS191" s="447"/>
      <c r="AT191" s="521"/>
      <c r="AU191" s="521"/>
      <c r="AV191" s="522"/>
      <c r="AW191" s="522"/>
      <c r="AX191" s="522"/>
    </row>
    <row r="192" spans="1:50" x14ac:dyDescent="0.35">
      <c r="A192" s="442"/>
      <c r="B192" s="117"/>
      <c r="C192" s="117"/>
      <c r="D192" s="443"/>
      <c r="E192" s="443"/>
      <c r="F192" s="444"/>
      <c r="G192" s="444"/>
      <c r="H192" s="444"/>
      <c r="I192" s="444"/>
      <c r="J192" s="444"/>
      <c r="K192" s="444"/>
      <c r="L192" s="444"/>
      <c r="M192" s="444"/>
      <c r="N192" s="296"/>
      <c r="O192" s="444"/>
      <c r="P192" s="445"/>
      <c r="Q192" s="445"/>
      <c r="R192" s="444"/>
      <c r="S192" s="444"/>
      <c r="T192" s="518"/>
      <c r="U192" s="518"/>
      <c r="V192" s="444"/>
      <c r="W192" s="444"/>
      <c r="X192" s="445"/>
      <c r="Y192" s="445"/>
      <c r="Z192" s="445"/>
      <c r="AA192" s="445"/>
      <c r="AB192" s="445"/>
      <c r="AC192" s="445"/>
      <c r="AD192" s="445"/>
      <c r="AE192" s="445"/>
      <c r="AF192" s="445"/>
      <c r="AG192" s="446"/>
      <c r="AH192" s="446"/>
      <c r="AI192" s="444"/>
      <c r="AJ192" s="444"/>
      <c r="AK192" s="444"/>
      <c r="AL192" s="444"/>
      <c r="AM192" s="444"/>
      <c r="AN192" s="444"/>
      <c r="AO192" s="519"/>
      <c r="AP192" s="520"/>
      <c r="AQ192" s="520"/>
      <c r="AR192" s="520"/>
      <c r="AS192" s="447"/>
      <c r="AT192" s="521"/>
      <c r="AU192" s="521"/>
      <c r="AV192" s="522"/>
      <c r="AW192" s="522"/>
      <c r="AX192" s="522"/>
    </row>
    <row r="193" spans="1:50" x14ac:dyDescent="0.35">
      <c r="A193" s="442"/>
      <c r="B193" s="117"/>
      <c r="C193" s="117"/>
      <c r="D193" s="443"/>
      <c r="E193" s="443"/>
      <c r="F193" s="444"/>
      <c r="G193" s="444"/>
      <c r="H193" s="444"/>
      <c r="I193" s="444"/>
      <c r="J193" s="444"/>
      <c r="K193" s="444"/>
      <c r="L193" s="444"/>
      <c r="M193" s="444"/>
      <c r="N193" s="296"/>
      <c r="O193" s="444"/>
      <c r="P193" s="445"/>
      <c r="Q193" s="445"/>
      <c r="R193" s="444"/>
      <c r="S193" s="444"/>
      <c r="T193" s="518"/>
      <c r="U193" s="518"/>
      <c r="V193" s="444"/>
      <c r="W193" s="444"/>
      <c r="X193" s="445"/>
      <c r="Y193" s="445"/>
      <c r="Z193" s="445"/>
      <c r="AA193" s="445"/>
      <c r="AB193" s="445"/>
      <c r="AC193" s="445"/>
      <c r="AD193" s="445"/>
      <c r="AE193" s="445"/>
      <c r="AF193" s="445"/>
      <c r="AG193" s="446"/>
      <c r="AH193" s="446"/>
      <c r="AI193" s="444"/>
      <c r="AJ193" s="444"/>
      <c r="AK193" s="444"/>
      <c r="AL193" s="444"/>
      <c r="AM193" s="444"/>
      <c r="AN193" s="444"/>
      <c r="AO193" s="519"/>
      <c r="AP193" s="520"/>
      <c r="AQ193" s="520"/>
      <c r="AR193" s="520"/>
      <c r="AS193" s="447"/>
      <c r="AT193" s="521"/>
      <c r="AU193" s="521"/>
      <c r="AV193" s="522"/>
      <c r="AW193" s="522"/>
      <c r="AX193" s="522"/>
    </row>
    <row r="194" spans="1:50" x14ac:dyDescent="0.35">
      <c r="A194" s="442"/>
      <c r="B194" s="117"/>
      <c r="C194" s="117"/>
      <c r="D194" s="443"/>
      <c r="E194" s="443"/>
      <c r="F194" s="444"/>
      <c r="G194" s="444"/>
      <c r="H194" s="444"/>
      <c r="I194" s="444"/>
      <c r="J194" s="444"/>
      <c r="K194" s="444"/>
      <c r="L194" s="444"/>
      <c r="M194" s="444"/>
      <c r="N194" s="296"/>
      <c r="O194" s="444"/>
      <c r="P194" s="445"/>
      <c r="Q194" s="445"/>
      <c r="R194" s="444"/>
      <c r="S194" s="444"/>
      <c r="T194" s="518"/>
      <c r="U194" s="518"/>
      <c r="V194" s="444"/>
      <c r="W194" s="444"/>
      <c r="X194" s="445"/>
      <c r="Y194" s="445"/>
      <c r="Z194" s="445"/>
      <c r="AA194" s="445"/>
      <c r="AB194" s="445"/>
      <c r="AC194" s="445"/>
      <c r="AD194" s="445"/>
      <c r="AE194" s="445"/>
      <c r="AF194" s="445"/>
      <c r="AG194" s="446"/>
      <c r="AH194" s="446"/>
      <c r="AI194" s="444"/>
      <c r="AJ194" s="444"/>
      <c r="AK194" s="444"/>
      <c r="AL194" s="444"/>
      <c r="AM194" s="444"/>
      <c r="AN194" s="444"/>
      <c r="AO194" s="519"/>
      <c r="AP194" s="520"/>
      <c r="AQ194" s="520"/>
      <c r="AR194" s="520"/>
      <c r="AS194" s="447"/>
      <c r="AT194" s="521"/>
      <c r="AU194" s="521"/>
      <c r="AV194" s="522"/>
      <c r="AW194" s="522"/>
      <c r="AX194" s="522"/>
    </row>
    <row r="195" spans="1:50" x14ac:dyDescent="0.35">
      <c r="A195" s="442"/>
      <c r="B195" s="117"/>
      <c r="C195" s="117"/>
      <c r="D195" s="443"/>
      <c r="E195" s="443"/>
      <c r="F195" s="444"/>
      <c r="G195" s="444"/>
      <c r="H195" s="444"/>
      <c r="I195" s="444"/>
      <c r="J195" s="444"/>
      <c r="K195" s="444"/>
      <c r="L195" s="444"/>
      <c r="M195" s="444"/>
      <c r="N195" s="296"/>
      <c r="O195" s="444"/>
      <c r="P195" s="445"/>
      <c r="Q195" s="445"/>
      <c r="R195" s="444"/>
      <c r="S195" s="444"/>
      <c r="T195" s="518"/>
      <c r="U195" s="518"/>
      <c r="V195" s="444"/>
      <c r="W195" s="444"/>
      <c r="X195" s="445"/>
      <c r="Y195" s="445"/>
      <c r="Z195" s="445"/>
      <c r="AA195" s="445"/>
      <c r="AB195" s="445"/>
      <c r="AC195" s="445"/>
      <c r="AD195" s="445"/>
      <c r="AE195" s="445"/>
      <c r="AF195" s="445"/>
      <c r="AG195" s="446"/>
      <c r="AH195" s="446"/>
      <c r="AI195" s="444"/>
      <c r="AJ195" s="444"/>
      <c r="AK195" s="444"/>
      <c r="AL195" s="444"/>
      <c r="AM195" s="444"/>
      <c r="AN195" s="444"/>
      <c r="AO195" s="519"/>
      <c r="AP195" s="520"/>
      <c r="AQ195" s="520"/>
      <c r="AR195" s="520"/>
      <c r="AS195" s="447"/>
      <c r="AT195" s="521"/>
      <c r="AU195" s="521"/>
      <c r="AV195" s="522"/>
      <c r="AW195" s="522"/>
      <c r="AX195" s="522"/>
    </row>
    <row r="196" spans="1:50" x14ac:dyDescent="0.35">
      <c r="A196" s="442"/>
      <c r="B196" s="117"/>
      <c r="C196" s="117"/>
      <c r="D196" s="443"/>
      <c r="E196" s="443"/>
      <c r="F196" s="444"/>
      <c r="G196" s="444"/>
      <c r="H196" s="444"/>
      <c r="I196" s="444"/>
      <c r="J196" s="444"/>
      <c r="K196" s="444"/>
      <c r="L196" s="444"/>
      <c r="M196" s="444"/>
      <c r="N196" s="296"/>
      <c r="O196" s="444"/>
      <c r="P196" s="445"/>
      <c r="Q196" s="445"/>
      <c r="R196" s="444"/>
      <c r="S196" s="444"/>
      <c r="T196" s="518"/>
      <c r="U196" s="518"/>
      <c r="V196" s="444"/>
      <c r="W196" s="444"/>
      <c r="X196" s="445"/>
      <c r="Y196" s="445"/>
      <c r="Z196" s="445"/>
      <c r="AA196" s="445"/>
      <c r="AB196" s="445"/>
      <c r="AC196" s="445"/>
      <c r="AD196" s="445"/>
      <c r="AE196" s="445"/>
      <c r="AF196" s="445"/>
      <c r="AG196" s="446"/>
      <c r="AH196" s="446"/>
      <c r="AI196" s="444"/>
      <c r="AJ196" s="444"/>
      <c r="AK196" s="444"/>
      <c r="AL196" s="444"/>
      <c r="AM196" s="444"/>
      <c r="AN196" s="444"/>
      <c r="AO196" s="519"/>
      <c r="AP196" s="520"/>
      <c r="AQ196" s="520"/>
      <c r="AR196" s="520"/>
      <c r="AS196" s="447"/>
      <c r="AT196" s="521"/>
      <c r="AU196" s="521"/>
      <c r="AV196" s="522"/>
      <c r="AW196" s="522"/>
      <c r="AX196" s="522"/>
    </row>
    <row r="197" spans="1:50" x14ac:dyDescent="0.35">
      <c r="A197" s="442"/>
      <c r="B197" s="117"/>
      <c r="C197" s="117"/>
      <c r="D197" s="443"/>
      <c r="E197" s="443"/>
      <c r="F197" s="444"/>
      <c r="G197" s="444"/>
      <c r="H197" s="444"/>
      <c r="I197" s="444"/>
      <c r="J197" s="444"/>
      <c r="K197" s="444"/>
      <c r="L197" s="444"/>
      <c r="M197" s="444"/>
      <c r="N197" s="296"/>
      <c r="O197" s="444"/>
      <c r="P197" s="445"/>
      <c r="Q197" s="445"/>
      <c r="R197" s="444"/>
      <c r="S197" s="444"/>
      <c r="T197" s="518"/>
      <c r="U197" s="518"/>
      <c r="V197" s="444"/>
      <c r="W197" s="444"/>
      <c r="X197" s="445"/>
      <c r="Y197" s="445"/>
      <c r="Z197" s="445"/>
      <c r="AA197" s="445"/>
      <c r="AB197" s="445"/>
      <c r="AC197" s="445"/>
      <c r="AD197" s="445"/>
      <c r="AE197" s="445"/>
      <c r="AF197" s="445"/>
      <c r="AG197" s="446"/>
      <c r="AH197" s="446"/>
      <c r="AI197" s="444"/>
      <c r="AJ197" s="444"/>
      <c r="AK197" s="444"/>
      <c r="AL197" s="444"/>
      <c r="AM197" s="444"/>
      <c r="AN197" s="444"/>
      <c r="AO197" s="519"/>
      <c r="AP197" s="520"/>
      <c r="AQ197" s="520"/>
      <c r="AR197" s="520"/>
      <c r="AS197" s="447"/>
      <c r="AT197" s="521"/>
      <c r="AU197" s="521"/>
      <c r="AV197" s="522"/>
      <c r="AW197" s="522"/>
      <c r="AX197" s="522"/>
    </row>
    <row r="198" spans="1:50" x14ac:dyDescent="0.35">
      <c r="A198" s="442"/>
      <c r="B198" s="117"/>
      <c r="C198" s="117"/>
      <c r="D198" s="443"/>
      <c r="E198" s="443"/>
      <c r="F198" s="444"/>
      <c r="G198" s="444"/>
      <c r="H198" s="444"/>
      <c r="I198" s="444"/>
      <c r="J198" s="444"/>
      <c r="K198" s="444"/>
      <c r="L198" s="444"/>
      <c r="M198" s="444"/>
      <c r="N198" s="296"/>
      <c r="O198" s="444"/>
      <c r="P198" s="445"/>
      <c r="Q198" s="445"/>
      <c r="R198" s="444"/>
      <c r="S198" s="444"/>
      <c r="T198" s="518"/>
      <c r="U198" s="518"/>
      <c r="V198" s="444"/>
      <c r="W198" s="444"/>
      <c r="X198" s="445"/>
      <c r="Y198" s="445"/>
      <c r="Z198" s="445"/>
      <c r="AA198" s="445"/>
      <c r="AB198" s="445"/>
      <c r="AC198" s="445"/>
      <c r="AD198" s="445"/>
      <c r="AE198" s="445"/>
      <c r="AF198" s="445"/>
      <c r="AG198" s="446"/>
      <c r="AH198" s="446"/>
      <c r="AI198" s="444"/>
      <c r="AJ198" s="444"/>
      <c r="AK198" s="444"/>
      <c r="AL198" s="444"/>
      <c r="AM198" s="444"/>
      <c r="AN198" s="444"/>
      <c r="AO198" s="519"/>
      <c r="AP198" s="520"/>
      <c r="AQ198" s="520"/>
      <c r="AR198" s="520"/>
      <c r="AS198" s="447"/>
      <c r="AT198" s="521"/>
      <c r="AU198" s="521"/>
      <c r="AV198" s="522"/>
      <c r="AW198" s="522"/>
      <c r="AX198" s="522"/>
    </row>
    <row r="199" spans="1:50" x14ac:dyDescent="0.35">
      <c r="N199" s="523"/>
    </row>
    <row r="200" spans="1:50" x14ac:dyDescent="0.35">
      <c r="N200" s="523"/>
    </row>
    <row r="201" spans="1:50" x14ac:dyDescent="0.35">
      <c r="N201" s="523"/>
    </row>
    <row r="202" spans="1:50" x14ac:dyDescent="0.35">
      <c r="N202" s="523"/>
    </row>
    <row r="203" spans="1:50" x14ac:dyDescent="0.35">
      <c r="N203" s="523"/>
    </row>
    <row r="204" spans="1:50" x14ac:dyDescent="0.35">
      <c r="N204" s="523"/>
    </row>
    <row r="205" spans="1:50" x14ac:dyDescent="0.35">
      <c r="N205" s="523"/>
    </row>
    <row r="206" spans="1:50" x14ac:dyDescent="0.35">
      <c r="N206" s="523"/>
    </row>
    <row r="207" spans="1:50" x14ac:dyDescent="0.35">
      <c r="N207" s="523"/>
    </row>
    <row r="208" spans="1:50" x14ac:dyDescent="0.35">
      <c r="N208" s="523"/>
    </row>
    <row r="209" spans="14:14" x14ac:dyDescent="0.35">
      <c r="N209" s="523"/>
    </row>
    <row r="210" spans="14:14" x14ac:dyDescent="0.35">
      <c r="N210" s="523"/>
    </row>
    <row r="211" spans="14:14" x14ac:dyDescent="0.35">
      <c r="N211" s="523"/>
    </row>
    <row r="212" spans="14:14" x14ac:dyDescent="0.35">
      <c r="N212" s="523"/>
    </row>
    <row r="213" spans="14:14" x14ac:dyDescent="0.35">
      <c r="N213" s="523"/>
    </row>
    <row r="214" spans="14:14" x14ac:dyDescent="0.35">
      <c r="N214" s="523"/>
    </row>
    <row r="215" spans="14:14" x14ac:dyDescent="0.35">
      <c r="N215" s="523"/>
    </row>
    <row r="216" spans="14:14" x14ac:dyDescent="0.35">
      <c r="N216" s="523"/>
    </row>
    <row r="217" spans="14:14" x14ac:dyDescent="0.35">
      <c r="N217" s="523"/>
    </row>
    <row r="218" spans="14:14" x14ac:dyDescent="0.35">
      <c r="N218" s="523"/>
    </row>
    <row r="219" spans="14:14" x14ac:dyDescent="0.35">
      <c r="N219" s="523"/>
    </row>
    <row r="220" spans="14:14" x14ac:dyDescent="0.35">
      <c r="N220" s="523"/>
    </row>
    <row r="221" spans="14:14" x14ac:dyDescent="0.35">
      <c r="N221" s="523"/>
    </row>
    <row r="222" spans="14:14" x14ac:dyDescent="0.35">
      <c r="N222" s="523"/>
    </row>
    <row r="223" spans="14:14" x14ac:dyDescent="0.35">
      <c r="N223" s="523"/>
    </row>
    <row r="224" spans="14:14" x14ac:dyDescent="0.35">
      <c r="N224" s="523"/>
    </row>
    <row r="225" spans="14:14" x14ac:dyDescent="0.35">
      <c r="N225" s="523"/>
    </row>
    <row r="226" spans="14:14" x14ac:dyDescent="0.35">
      <c r="N226" s="523"/>
    </row>
    <row r="227" spans="14:14" x14ac:dyDescent="0.35">
      <c r="N227" s="523"/>
    </row>
    <row r="228" spans="14:14" x14ac:dyDescent="0.35">
      <c r="N228" s="523"/>
    </row>
    <row r="229" spans="14:14" x14ac:dyDescent="0.35">
      <c r="N229" s="523"/>
    </row>
    <row r="230" spans="14:14" x14ac:dyDescent="0.35">
      <c r="N230" s="523"/>
    </row>
    <row r="231" spans="14:14" x14ac:dyDescent="0.35">
      <c r="N231" s="523"/>
    </row>
    <row r="232" spans="14:14" x14ac:dyDescent="0.35">
      <c r="N232" s="523"/>
    </row>
    <row r="233" spans="14:14" x14ac:dyDescent="0.35">
      <c r="N233" s="523"/>
    </row>
    <row r="234" spans="14:14" x14ac:dyDescent="0.35">
      <c r="N234" s="523"/>
    </row>
    <row r="235" spans="14:14" x14ac:dyDescent="0.35">
      <c r="N235" s="523"/>
    </row>
    <row r="236" spans="14:14" x14ac:dyDescent="0.35">
      <c r="N236" s="523"/>
    </row>
    <row r="237" spans="14:14" x14ac:dyDescent="0.35">
      <c r="N237" s="523"/>
    </row>
    <row r="238" spans="14:14" x14ac:dyDescent="0.35">
      <c r="N238" s="523"/>
    </row>
    <row r="239" spans="14:14" x14ac:dyDescent="0.35">
      <c r="N239" s="523"/>
    </row>
    <row r="240" spans="14:14" x14ac:dyDescent="0.35">
      <c r="N240" s="523"/>
    </row>
    <row r="241" spans="14:14" x14ac:dyDescent="0.35">
      <c r="N241" s="523"/>
    </row>
    <row r="242" spans="14:14" x14ac:dyDescent="0.35">
      <c r="N242" s="523"/>
    </row>
    <row r="243" spans="14:14" x14ac:dyDescent="0.35">
      <c r="N243" s="523"/>
    </row>
    <row r="244" spans="14:14" x14ac:dyDescent="0.35">
      <c r="N244" s="523"/>
    </row>
    <row r="245" spans="14:14" x14ac:dyDescent="0.35">
      <c r="N245" s="523"/>
    </row>
    <row r="246" spans="14:14" x14ac:dyDescent="0.35">
      <c r="N246" s="523"/>
    </row>
    <row r="247" spans="14:14" x14ac:dyDescent="0.35">
      <c r="N247" s="523"/>
    </row>
    <row r="248" spans="14:14" x14ac:dyDescent="0.35">
      <c r="N248" s="523"/>
    </row>
    <row r="249" spans="14:14" x14ac:dyDescent="0.35">
      <c r="N249" s="523"/>
    </row>
    <row r="250" spans="14:14" x14ac:dyDescent="0.35">
      <c r="N250" s="523"/>
    </row>
    <row r="251" spans="14:14" x14ac:dyDescent="0.35">
      <c r="N251" s="523"/>
    </row>
    <row r="252" spans="14:14" x14ac:dyDescent="0.35">
      <c r="N252" s="523"/>
    </row>
    <row r="253" spans="14:14" x14ac:dyDescent="0.35">
      <c r="N253" s="523"/>
    </row>
    <row r="254" spans="14:14" x14ac:dyDescent="0.35">
      <c r="N254" s="523"/>
    </row>
    <row r="255" spans="14:14" x14ac:dyDescent="0.35">
      <c r="N255" s="523"/>
    </row>
    <row r="256" spans="14:14" x14ac:dyDescent="0.35">
      <c r="N256" s="523"/>
    </row>
    <row r="257" spans="14:14" x14ac:dyDescent="0.35">
      <c r="N257" s="523"/>
    </row>
  </sheetData>
  <sheetProtection sheet="1" objects="1" scenarios="1"/>
  <mergeCells count="33">
    <mergeCell ref="AJ5:AJ6"/>
    <mergeCell ref="AK5:AK6"/>
    <mergeCell ref="AP5:AP6"/>
    <mergeCell ref="O5:O6"/>
    <mergeCell ref="R5:R6"/>
    <mergeCell ref="S5:S6"/>
    <mergeCell ref="V5:V6"/>
    <mergeCell ref="AG5:AG6"/>
    <mergeCell ref="AI5:AI6"/>
    <mergeCell ref="AH5:AH6"/>
    <mergeCell ref="W5:W6"/>
    <mergeCell ref="AN5:AN6"/>
    <mergeCell ref="F1:H1"/>
    <mergeCell ref="A1:D1"/>
    <mergeCell ref="I1:K1"/>
    <mergeCell ref="A4:F4"/>
    <mergeCell ref="G4:M4"/>
    <mergeCell ref="A2:D2"/>
    <mergeCell ref="F2:H2"/>
    <mergeCell ref="I2:K2"/>
    <mergeCell ref="N4:O4"/>
    <mergeCell ref="P4:S4"/>
    <mergeCell ref="AT4:AY4"/>
    <mergeCell ref="N1:O1"/>
    <mergeCell ref="N2:O2"/>
    <mergeCell ref="T4:W4"/>
    <mergeCell ref="AO4:AP4"/>
    <mergeCell ref="X4:AN4"/>
    <mergeCell ref="AZ4:BA4"/>
    <mergeCell ref="AQ4:AR4"/>
    <mergeCell ref="AR5:AR6"/>
    <mergeCell ref="AL5:AL6"/>
    <mergeCell ref="AM5:AM6"/>
  </mergeCells>
  <hyperlinks>
    <hyperlink ref="N2" location="'Elec. Analysis'!A1" display="Go to Electricity Analysis"/>
    <hyperlink ref="N2:O2" location="'NG Analysis'!A1" display="Go to Natural Gas Analysis"/>
    <hyperlink ref="N1" location="'Regional Menu'!A1" display="Return to Regional Menu"/>
    <hyperlink ref="N1:O1" location="'Service Zone Menu'!A1" display="Return to Service Zone Menu"/>
  </hyperlinks>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7" tint="-0.249977111117893"/>
  </sheetPr>
  <dimension ref="A1:AT198"/>
  <sheetViews>
    <sheetView zoomScale="80" zoomScaleNormal="80" workbookViewId="0">
      <selection sqref="A1:D1"/>
    </sheetView>
  </sheetViews>
  <sheetFormatPr defaultColWidth="9.1796875" defaultRowHeight="14.5" x14ac:dyDescent="0.35"/>
  <cols>
    <col min="1" max="1" width="8.54296875" style="121" bestFit="1" customWidth="1"/>
    <col min="2" max="2" width="10.1796875" style="108" bestFit="1" customWidth="1"/>
    <col min="3" max="3" width="14.81640625" style="108" bestFit="1" customWidth="1"/>
    <col min="4" max="4" width="15.54296875" style="124" bestFit="1" customWidth="1"/>
    <col min="5" max="5" width="15" style="124" bestFit="1" customWidth="1"/>
    <col min="6" max="6" width="17.1796875" style="123" bestFit="1" customWidth="1"/>
    <col min="7" max="7" width="14.26953125" style="123" bestFit="1" customWidth="1"/>
    <col min="8" max="8" width="12.81640625" style="123" bestFit="1" customWidth="1"/>
    <col min="9" max="9" width="16.7265625" style="123" bestFit="1" customWidth="1"/>
    <col min="10" max="10" width="11.453125" style="123" bestFit="1" customWidth="1"/>
    <col min="11" max="11" width="16.26953125" style="123" bestFit="1" customWidth="1"/>
    <col min="12" max="12" width="16.26953125" style="123" customWidth="1"/>
    <col min="13" max="13" width="7.453125" style="123" customWidth="1"/>
    <col min="14" max="14" width="13.1796875" style="524" customWidth="1"/>
    <col min="15" max="15" width="16.26953125" style="123" bestFit="1" customWidth="1"/>
    <col min="16" max="16" width="17.453125" style="402" bestFit="1" customWidth="1"/>
    <col min="17" max="17" width="14.26953125" style="402" bestFit="1" customWidth="1"/>
    <col min="18" max="19" width="12.81640625" style="123" bestFit="1" customWidth="1"/>
    <col min="20" max="20" width="15.81640625" style="126" bestFit="1" customWidth="1"/>
    <col min="21" max="21" width="16.7265625" style="563" bestFit="1" customWidth="1"/>
    <col min="22" max="22" width="18" style="126" bestFit="1" customWidth="1"/>
    <col min="23" max="23" width="18.7265625" style="123" bestFit="1" customWidth="1"/>
    <col min="24" max="24" width="17.7265625" style="564" customWidth="1"/>
    <col min="25" max="25" width="21.453125" style="564" bestFit="1" customWidth="1"/>
    <col min="26" max="26" width="16.26953125" style="402" bestFit="1" customWidth="1"/>
    <col min="27" max="27" width="16.54296875" style="402" bestFit="1" customWidth="1"/>
    <col min="28" max="28" width="17.81640625" style="123" bestFit="1" customWidth="1"/>
    <col min="29" max="29" width="18.54296875" style="125" bestFit="1" customWidth="1"/>
    <col min="30" max="30" width="15.1796875" style="125" bestFit="1" customWidth="1"/>
    <col min="31" max="31" width="16.26953125" style="402" bestFit="1" customWidth="1"/>
    <col min="32" max="32" width="16.26953125" style="525" bestFit="1" customWidth="1"/>
    <col min="33" max="34" width="16.26953125" style="525" customWidth="1"/>
    <col min="35" max="35" width="8" style="195" bestFit="1" customWidth="1"/>
    <col min="36" max="36" width="15.26953125" style="450" bestFit="1" customWidth="1"/>
    <col min="37" max="37" width="15.26953125" style="450" customWidth="1"/>
    <col min="38" max="40" width="15.26953125" style="527" bestFit="1" customWidth="1"/>
    <col min="41" max="41" width="14.81640625" style="108" bestFit="1" customWidth="1"/>
    <col min="42" max="42" width="12.54296875" style="108" customWidth="1"/>
    <col min="43" max="43" width="16.81640625" style="108" customWidth="1"/>
    <col min="44" max="16384" width="9.1796875" style="108"/>
  </cols>
  <sheetData>
    <row r="1" spans="1:46" ht="15.75" x14ac:dyDescent="0.25">
      <c r="A1" s="2103" t="s">
        <v>83</v>
      </c>
      <c r="B1" s="2103"/>
      <c r="C1" s="2103"/>
      <c r="D1" s="2103"/>
      <c r="E1" s="528"/>
      <c r="F1" s="2098" t="s">
        <v>245</v>
      </c>
      <c r="G1" s="2099"/>
      <c r="H1" s="2099"/>
      <c r="I1" s="2100" t="str">
        <f>'Service Zone Menu'!$S$5</f>
        <v>Detached Home Consumption</v>
      </c>
      <c r="J1" s="2100"/>
      <c r="K1" s="2101"/>
      <c r="L1" s="1222"/>
      <c r="M1" s="529"/>
      <c r="N1" s="2104" t="s">
        <v>479</v>
      </c>
      <c r="O1" s="2104"/>
      <c r="P1" s="530"/>
      <c r="Q1" s="530"/>
      <c r="R1" s="531"/>
      <c r="S1" s="531"/>
      <c r="T1" s="532"/>
      <c r="U1" s="532"/>
      <c r="V1" s="532"/>
      <c r="W1" s="531"/>
      <c r="X1" s="531"/>
      <c r="Y1" s="531"/>
      <c r="Z1" s="533"/>
      <c r="AA1" s="533"/>
      <c r="AB1" s="531"/>
      <c r="AC1" s="533"/>
      <c r="AD1" s="533"/>
      <c r="AE1" s="533"/>
      <c r="AF1" s="531"/>
      <c r="AG1" s="531"/>
      <c r="AH1" s="531"/>
      <c r="AI1" s="534"/>
      <c r="AJ1" s="535"/>
      <c r="AK1" s="535"/>
      <c r="AL1" s="536"/>
      <c r="AM1" s="536"/>
      <c r="AN1" s="536"/>
      <c r="AO1" s="536"/>
      <c r="AP1" s="531"/>
      <c r="AQ1" s="1208"/>
    </row>
    <row r="2" spans="1:46" ht="38.25" customHeight="1" thickBot="1" x14ac:dyDescent="0.25">
      <c r="A2" s="2102" t="str">
        <f>"AltaGas Service Zone ("&amp; 'Service Zone Menu'!$X$5 &amp;")"</f>
        <v>AltaGas Service Zone (Athabasca)</v>
      </c>
      <c r="B2" s="2102"/>
      <c r="C2" s="2102"/>
      <c r="D2" s="2102"/>
      <c r="E2" s="1198"/>
      <c r="F2" s="2093" t="s">
        <v>569</v>
      </c>
      <c r="G2" s="2094"/>
      <c r="H2" s="2094"/>
      <c r="I2" s="2095" t="str">
        <f>'Service Zone Menu'!$AB$5</f>
        <v>DRT</v>
      </c>
      <c r="J2" s="2095"/>
      <c r="K2" s="2096"/>
      <c r="L2" s="1222"/>
      <c r="M2" s="539"/>
      <c r="N2" s="2104" t="s">
        <v>366</v>
      </c>
      <c r="O2" s="2104"/>
      <c r="P2" s="540"/>
      <c r="Q2" s="540"/>
      <c r="R2" s="531"/>
      <c r="S2" s="531"/>
      <c r="T2" s="532"/>
      <c r="U2" s="532"/>
      <c r="V2" s="532"/>
      <c r="W2" s="531"/>
      <c r="X2" s="531"/>
      <c r="Y2" s="531"/>
      <c r="Z2" s="533"/>
      <c r="AA2" s="533"/>
      <c r="AB2" s="531"/>
      <c r="AC2" s="533"/>
      <c r="AD2" s="533"/>
      <c r="AE2" s="533"/>
      <c r="AF2" s="531"/>
      <c r="AG2" s="531"/>
      <c r="AH2" s="531"/>
      <c r="AI2" s="534"/>
      <c r="AJ2" s="533"/>
      <c r="AK2" s="533"/>
      <c r="AL2" s="1199"/>
      <c r="AM2" s="1199"/>
      <c r="AN2" s="1199"/>
      <c r="AO2" s="1199"/>
      <c r="AP2" s="531"/>
      <c r="AQ2" s="1208"/>
    </row>
    <row r="3" spans="1:46" s="335" customFormat="1" ht="12.75" customHeight="1" x14ac:dyDescent="0.2">
      <c r="A3" s="1125"/>
      <c r="B3" s="1125"/>
      <c r="C3" s="1125"/>
      <c r="D3" s="1125"/>
      <c r="E3" s="1125"/>
      <c r="F3" s="537"/>
      <c r="G3" s="538"/>
      <c r="H3" s="538"/>
      <c r="I3" s="538"/>
      <c r="J3" s="539"/>
      <c r="K3" s="539"/>
      <c r="L3" s="539"/>
      <c r="M3" s="539"/>
      <c r="N3" s="1126"/>
      <c r="O3" s="1126"/>
      <c r="P3" s="540"/>
      <c r="Q3" s="540"/>
      <c r="R3" s="531"/>
      <c r="S3" s="531"/>
      <c r="T3" s="532"/>
      <c r="U3" s="532"/>
      <c r="V3" s="532"/>
      <c r="W3" s="531"/>
      <c r="X3" s="531"/>
      <c r="Y3" s="531"/>
      <c r="Z3" s="533"/>
      <c r="AA3" s="533"/>
      <c r="AB3" s="531"/>
      <c r="AC3" s="533"/>
      <c r="AD3" s="533"/>
      <c r="AE3" s="533"/>
      <c r="AF3" s="531"/>
      <c r="AG3" s="531"/>
      <c r="AH3" s="531"/>
      <c r="AI3" s="534"/>
      <c r="AJ3" s="541"/>
      <c r="AK3" s="541"/>
      <c r="AL3" s="542"/>
      <c r="AM3" s="542"/>
      <c r="AN3" s="542"/>
      <c r="AO3" s="542"/>
      <c r="AP3" s="1209"/>
      <c r="AQ3" s="1210"/>
    </row>
    <row r="4" spans="1:46" s="469" customFormat="1" ht="24" customHeight="1" x14ac:dyDescent="0.2">
      <c r="A4" s="2073" t="s">
        <v>3</v>
      </c>
      <c r="B4" s="2073"/>
      <c r="C4" s="2073"/>
      <c r="D4" s="2073"/>
      <c r="E4" s="2073"/>
      <c r="F4" s="2082"/>
      <c r="G4" s="2083" t="s">
        <v>4</v>
      </c>
      <c r="H4" s="2073"/>
      <c r="I4" s="2073"/>
      <c r="J4" s="2073"/>
      <c r="K4" s="2073"/>
      <c r="L4" s="2073"/>
      <c r="M4" s="2084"/>
      <c r="N4" s="2071" t="s">
        <v>5</v>
      </c>
      <c r="O4" s="2072"/>
      <c r="P4" s="2073" t="s">
        <v>7</v>
      </c>
      <c r="Q4" s="2073"/>
      <c r="R4" s="2073"/>
      <c r="S4" s="2072"/>
      <c r="T4" s="2074" t="s">
        <v>8</v>
      </c>
      <c r="U4" s="2073"/>
      <c r="V4" s="2076"/>
      <c r="W4" s="2072"/>
      <c r="X4" s="2074" t="s">
        <v>9</v>
      </c>
      <c r="Y4" s="2073"/>
      <c r="Z4" s="2073"/>
      <c r="AA4" s="2073"/>
      <c r="AB4" s="2073"/>
      <c r="AC4" s="2073"/>
      <c r="AD4" s="2072"/>
      <c r="AE4" s="2074" t="s">
        <v>10</v>
      </c>
      <c r="AF4" s="2072"/>
      <c r="AG4" s="1724" t="s">
        <v>570</v>
      </c>
      <c r="AH4" s="1751"/>
      <c r="AI4" s="467" t="s">
        <v>11</v>
      </c>
      <c r="AJ4" s="2074" t="s">
        <v>12</v>
      </c>
      <c r="AK4" s="2073"/>
      <c r="AL4" s="2073"/>
      <c r="AM4" s="2073"/>
      <c r="AN4" s="2073"/>
      <c r="AO4" s="2072"/>
      <c r="AP4" s="1747" t="s">
        <v>558</v>
      </c>
      <c r="AQ4" s="1726"/>
      <c r="AR4" s="468"/>
      <c r="AS4" s="468"/>
      <c r="AT4" s="468"/>
    </row>
    <row r="5" spans="1:46" s="479" customFormat="1" ht="68.25" customHeight="1" x14ac:dyDescent="0.35">
      <c r="A5" s="470" t="s">
        <v>13</v>
      </c>
      <c r="B5" s="470" t="s">
        <v>14</v>
      </c>
      <c r="C5" s="470" t="s">
        <v>12</v>
      </c>
      <c r="D5" s="50" t="s">
        <v>541</v>
      </c>
      <c r="E5" s="50" t="s">
        <v>545</v>
      </c>
      <c r="F5" s="471" t="s">
        <v>626</v>
      </c>
      <c r="G5" s="472" t="s">
        <v>15</v>
      </c>
      <c r="H5" s="470" t="s">
        <v>17</v>
      </c>
      <c r="I5" s="470" t="s">
        <v>18</v>
      </c>
      <c r="J5" s="470" t="s">
        <v>19</v>
      </c>
      <c r="K5" s="470" t="s">
        <v>20</v>
      </c>
      <c r="L5" s="1118" t="s">
        <v>573</v>
      </c>
      <c r="M5" s="473" t="s">
        <v>21</v>
      </c>
      <c r="N5" s="474" t="str">
        <f>IF($I$2&lt;&gt;"Custom", "DRT Rate (Rider D)", "Custom Energy Rate")</f>
        <v>DRT Rate (Rider D)</v>
      </c>
      <c r="O5" s="2092" t="s">
        <v>23</v>
      </c>
      <c r="P5" s="477" t="s">
        <v>452</v>
      </c>
      <c r="Q5" s="476" t="s">
        <v>453</v>
      </c>
      <c r="R5" s="2090" t="s">
        <v>105</v>
      </c>
      <c r="S5" s="1752" t="s">
        <v>104</v>
      </c>
      <c r="T5" s="475" t="s">
        <v>303</v>
      </c>
      <c r="U5" s="475" t="s">
        <v>304</v>
      </c>
      <c r="V5" s="2090" t="s">
        <v>309</v>
      </c>
      <c r="W5" s="1752" t="s">
        <v>310</v>
      </c>
      <c r="X5" s="477" t="s">
        <v>117</v>
      </c>
      <c r="Y5" s="476" t="s">
        <v>118</v>
      </c>
      <c r="Z5" s="476" t="s">
        <v>97</v>
      </c>
      <c r="AA5" s="476" t="s">
        <v>88</v>
      </c>
      <c r="AB5" s="2090" t="s">
        <v>119</v>
      </c>
      <c r="AC5" s="2090" t="s">
        <v>98</v>
      </c>
      <c r="AD5" s="1752" t="s">
        <v>120</v>
      </c>
      <c r="AE5" s="89" t="str">
        <f>IF($I$2&lt;&gt;"Custom", "DRT Provider (AltaGas) Administration Rate", "Custom Administration Rate")</f>
        <v>DRT Provider (AltaGas) Administration Rate</v>
      </c>
      <c r="AF5" s="1752" t="s">
        <v>307</v>
      </c>
      <c r="AG5" s="1211" t="s">
        <v>571</v>
      </c>
      <c r="AH5" s="1752" t="s">
        <v>572</v>
      </c>
      <c r="AI5" s="475" t="s">
        <v>30</v>
      </c>
      <c r="AJ5" s="477" t="s">
        <v>95</v>
      </c>
      <c r="AK5" s="90" t="s">
        <v>524</v>
      </c>
      <c r="AL5" s="166" t="s">
        <v>337</v>
      </c>
      <c r="AM5" s="166" t="s">
        <v>338</v>
      </c>
      <c r="AN5" s="166" t="s">
        <v>605</v>
      </c>
      <c r="AO5" s="167" t="s">
        <v>374</v>
      </c>
      <c r="AP5" s="1150" t="s">
        <v>559</v>
      </c>
      <c r="AQ5" s="1151" t="s">
        <v>560</v>
      </c>
      <c r="AR5" s="478"/>
      <c r="AS5" s="478"/>
      <c r="AT5" s="478"/>
    </row>
    <row r="6" spans="1:46" s="479" customFormat="1" x14ac:dyDescent="0.35">
      <c r="A6" s="480"/>
      <c r="B6" s="480"/>
      <c r="C6" s="481" t="s">
        <v>91</v>
      </c>
      <c r="D6" s="58" t="s">
        <v>92</v>
      </c>
      <c r="E6" s="58" t="s">
        <v>92</v>
      </c>
      <c r="F6" s="482" t="s">
        <v>34</v>
      </c>
      <c r="G6" s="483"/>
      <c r="H6" s="480"/>
      <c r="I6" s="480"/>
      <c r="J6" s="480"/>
      <c r="K6" s="480"/>
      <c r="L6" s="480"/>
      <c r="M6" s="484"/>
      <c r="N6" s="481" t="s">
        <v>92</v>
      </c>
      <c r="O6" s="2092"/>
      <c r="P6" s="543" t="s">
        <v>92</v>
      </c>
      <c r="Q6" s="474" t="s">
        <v>35</v>
      </c>
      <c r="R6" s="2091"/>
      <c r="S6" s="1753"/>
      <c r="T6" s="544" t="s">
        <v>36</v>
      </c>
      <c r="U6" s="544" t="s">
        <v>36</v>
      </c>
      <c r="V6" s="2097"/>
      <c r="W6" s="2092"/>
      <c r="X6" s="545" t="s">
        <v>36</v>
      </c>
      <c r="Y6" s="546" t="s">
        <v>36</v>
      </c>
      <c r="Z6" s="481" t="s">
        <v>92</v>
      </c>
      <c r="AA6" s="481" t="s">
        <v>92</v>
      </c>
      <c r="AB6" s="2091"/>
      <c r="AC6" s="2097"/>
      <c r="AD6" s="2092"/>
      <c r="AE6" s="543" t="str">
        <f>IF($I$2&lt;&gt;"Custom", "$/day", $AQ$6)</f>
        <v>$/day</v>
      </c>
      <c r="AF6" s="2092"/>
      <c r="AG6" s="1213" t="s">
        <v>92</v>
      </c>
      <c r="AH6" s="1753"/>
      <c r="AI6" s="487" t="s">
        <v>36</v>
      </c>
      <c r="AJ6" s="485" t="s">
        <v>91</v>
      </c>
      <c r="AK6" s="57" t="s">
        <v>91</v>
      </c>
      <c r="AL6" s="474" t="s">
        <v>91</v>
      </c>
      <c r="AM6" s="474" t="s">
        <v>91</v>
      </c>
      <c r="AN6" s="272" t="s">
        <v>91</v>
      </c>
      <c r="AO6" s="272" t="s">
        <v>91</v>
      </c>
      <c r="AP6" s="172" t="s">
        <v>92</v>
      </c>
      <c r="AQ6" s="1152" t="str">
        <f>'Natural Gas Bill'!$AO$6</f>
        <v>$/day</v>
      </c>
      <c r="AR6" s="478"/>
      <c r="AS6" s="478"/>
      <c r="AT6" s="478"/>
    </row>
    <row r="7" spans="1:46" s="469" customFormat="1" ht="15" x14ac:dyDescent="0.25">
      <c r="A7" s="1255">
        <v>40909</v>
      </c>
      <c r="B7" s="1256">
        <f>DAY(DATE(YEAR($A7),MONTH($A7)+1,1)-1)</f>
        <v>31</v>
      </c>
      <c r="C7" s="1581">
        <f>IFERROR(VLOOKUP($A7,$A$5:$AO$96,MATCH($I$1,$A$5:$AO$5,0),FALSE),0)</f>
        <v>19.02941620866882</v>
      </c>
      <c r="D7" s="65">
        <f>IFERROR($F7/$C7, "")</f>
        <v>7.0372661608724716</v>
      </c>
      <c r="E7" s="65">
        <f>(1+$AI7)*IF(AND('Service Zone Menu'!$X$5="Athabasca", $A7&lt;DATE(2019, 5, 1)),((1+$T7+$U7)*($N7+((1+$X7+$Y7)*$P7)+$Z7+$AA7)) + $AG7,((1+$U7)*($N7+((1+$X7+$Y7)*$P7)+$Z7+$AA7))+($T7*(((1+$X7+$Y7)*$P7)+$Z7+$AA7)) + $AG7)</f>
        <v>5.3847069044999998</v>
      </c>
      <c r="F7" s="1257">
        <f t="shared" ref="F7:F70" si="0">SUM($G7:$M7)</f>
        <v>133.91506674642321</v>
      </c>
      <c r="G7" s="1258">
        <f>SUM($O7)</f>
        <v>58.172925349900581</v>
      </c>
      <c r="H7" s="1259">
        <f t="shared" ref="H7:H70" si="1">SUM($R7:$S7)</f>
        <v>53.446035913282486</v>
      </c>
      <c r="I7" s="1259">
        <f>SUM($V7:$W7)</f>
        <v>10.57681437674788</v>
      </c>
      <c r="J7" s="1259">
        <f>SUM($AB7:$AD7)</f>
        <v>3.482383166186394</v>
      </c>
      <c r="K7" s="1259">
        <f>SUM($AF7)</f>
        <v>1.8599999999999999</v>
      </c>
      <c r="L7" s="1259">
        <f>AH7</f>
        <v>0</v>
      </c>
      <c r="M7" s="1260">
        <f>SUM($AI7)*SUM($G7:$L7)</f>
        <v>6.3769079403058671</v>
      </c>
      <c r="N7" s="273">
        <f>IF($I$2="DRT",VLOOKUP(A7,'Misc. Data &amp; Mechanisms'!$A$1381:$D$1471,4,FALSE),AP7)</f>
        <v>3.0569999999999999</v>
      </c>
      <c r="O7" s="547">
        <f t="shared" ref="O7:O38" si="2">$N7*$C7</f>
        <v>58.172925349900581</v>
      </c>
      <c r="P7" s="418">
        <v>1.4630000000000001</v>
      </c>
      <c r="Q7" s="421">
        <v>0.82599999999999996</v>
      </c>
      <c r="R7" s="423">
        <f t="shared" ref="R7:R38" si="3">$P7*$C7</f>
        <v>27.840035913282485</v>
      </c>
      <c r="S7" s="423">
        <f t="shared" ref="S7:S38" si="4">$Q7*$B7</f>
        <v>25.605999999999998</v>
      </c>
      <c r="T7" s="419">
        <f>VLOOKUP($A7,'Misc. Data &amp; Mechanisms'!$A$63:$DY$152,HLOOKUP('Service Zone Menu'!$X$5&amp;"_AltaGas_NG_Y_1",'Misc. Data &amp; Mechanisms'!$A$55:$DY$62,8,FALSE), FALSE)</f>
        <v>0.06</v>
      </c>
      <c r="U7" s="420">
        <f>VLOOKUP($A7,'Misc. Data &amp; Mechanisms'!$A$63:$DY$152,HLOOKUP('Service Zone Menu'!$X$5&amp;"_AltaGas_NG_Y_2",'Misc. Data &amp; Mechanisms'!$A$55:$DY$62,8,FALSE), FALSE)</f>
        <v>3.0429999999999999E-2</v>
      </c>
      <c r="V7" s="423">
        <f>IF(AND('Service Zone Menu'!$X$5="Athabasca", $A7&lt;DATE(2019, 5, 1)),$T7*($G7+$H7+$J7+$K7),$T7*($H7+$J7+$K7))</f>
        <v>7.0176806657621675</v>
      </c>
      <c r="W7" s="548">
        <f t="shared" ref="W7:W38" si="5">$U7*($G7+$H7+$J7+$K7)</f>
        <v>3.5591337109857126</v>
      </c>
      <c r="X7" s="419"/>
      <c r="Y7" s="420"/>
      <c r="Z7" s="421">
        <v>0.183</v>
      </c>
      <c r="AA7" s="421"/>
      <c r="AB7" s="549">
        <f>IF($Y7=FALSE, ($X7*$H7), ($Y7*($H7+$K7)))</f>
        <v>0</v>
      </c>
      <c r="AC7" s="549">
        <f t="shared" ref="AC7:AC38" si="6">$Z7*$C7</f>
        <v>3.482383166186394</v>
      </c>
      <c r="AD7" s="550">
        <f t="shared" ref="AD7:AD38" si="7">$AA7*$C7</f>
        <v>0</v>
      </c>
      <c r="AE7" s="188">
        <f>IF($I$2="DRT",VLOOKUP(A7,'Misc. Data &amp; Mechanisms'!$A$1483:$H$1574,8,FALSE),AQ7)</f>
        <v>0.06</v>
      </c>
      <c r="AF7" s="550">
        <f>IF($AE$6="$/day", $AE7*$B7, $AE7)</f>
        <v>1.8599999999999999</v>
      </c>
      <c r="AG7" s="1502"/>
      <c r="AH7" s="551">
        <f>AG7*C7</f>
        <v>0</v>
      </c>
      <c r="AI7" s="1262">
        <f>5%</f>
        <v>0.05</v>
      </c>
      <c r="AJ7" s="341">
        <f>'Misc. Data &amp; Mechanisms'!AN280</f>
        <v>19.272507583937479</v>
      </c>
      <c r="AK7" s="1090">
        <f>'Misc. Data &amp; Mechanisms'!AQ280</f>
        <v>17.846708158240407</v>
      </c>
      <c r="AL7" s="1090">
        <f>'Misc. Data &amp; Mechanisms'!AC280</f>
        <v>19.02941620866882</v>
      </c>
      <c r="AM7" s="1090">
        <f>'Misc. Data &amp; Mechanisms'!AD280</f>
        <v>12.153609436860949</v>
      </c>
      <c r="AN7" s="1459">
        <f>'Misc. Data &amp; Mechanisms'!$B$260</f>
        <v>10.198990303636064</v>
      </c>
      <c r="AO7" s="1254">
        <f>IFERROR(IF('Personalized Bill Menu'!$B$30="Yes", IF('Personalized Bill Menu'!$B$34="Natural Gas",VLOOKUP($A7, 'Personalized Bill Menu'!$H$4:$L$93, 2, FALSE), IF('Personalized Bill Menu'!$B$34="Both",VLOOKUP($A7,'Personalized Bill Menu'!$H$4:$P$93, 6, FALSE), 0)), 0),0)</f>
        <v>0</v>
      </c>
      <c r="AP7" s="1343">
        <f>IFERROR(IF('Personalized Bill Menu'!$C$37="Custom", IF('Personalized Bill Menu'!$B$34="Natural Gas",VLOOKUP($A7, 'Personalized Bill Menu'!$H$4:$L$93, 3, FALSE), IF('Personalized Bill Menu'!$B$34="Both",VLOOKUP($A7,'Personalized Bill Menu'!$H$4:$P$93, 7, FALSE), 0)), 0),0)</f>
        <v>0</v>
      </c>
      <c r="AQ7" s="1344">
        <f>IFERROR(IF('Personalized Bill Menu'!$C$37="Custom", IF('Personalized Bill Menu'!$B$34="Natural Gas",VLOOKUP($A7, 'Personalized Bill Menu'!$H$4:$L$93, 4, FALSE), IF('Personalized Bill Menu'!$B$34="Both",VLOOKUP($A7,'Personalized Bill Menu'!$H$4:$P$93, 8, FALSE), 0)), 0),0)</f>
        <v>0</v>
      </c>
      <c r="AR7" s="468"/>
      <c r="AS7" s="468"/>
      <c r="AT7" s="468"/>
    </row>
    <row r="8" spans="1:46" s="469" customFormat="1" ht="15" x14ac:dyDescent="0.25">
      <c r="A8" s="496">
        <v>40940</v>
      </c>
      <c r="B8" s="497">
        <f t="shared" ref="B8:B71" si="8">DAY(DATE(YEAR($A8),MONTH($A8)+1,1)-1)</f>
        <v>29</v>
      </c>
      <c r="C8" s="1581">
        <f t="shared" ref="C8:C71" si="9">IFERROR(VLOOKUP($A8,$A$5:$AO$96,MATCH($I$1,$A$5:$AO$5,0),FALSE),0)</f>
        <v>18.256586862460324</v>
      </c>
      <c r="D8" s="66">
        <f t="shared" ref="D8:D71" si="10">IFERROR($F8/$C8, "")</f>
        <v>6.5345712130406621</v>
      </c>
      <c r="E8" s="66">
        <f>(1+$AI8)*IF(AND('Service Zone Menu'!$X$5="Athabasca", $A8&lt;DATE(2019, 5, 1)),((1+$T8+$U8)*($N8+((1+$X8+$Y8)*$P8)+$Z8+$AA8)) + $AG8,((1+$U8)*($N8+((1+$X8+$Y8)*$P8)+$Z8+$AA8))+($T8*(((1+$X8+$Y8)*$P8)+$Z8+$AA8)) + $AG8)</f>
        <v>4.7194900830000002</v>
      </c>
      <c r="F8" s="488">
        <f t="shared" si="0"/>
        <v>119.29896695980958</v>
      </c>
      <c r="G8" s="489">
        <f t="shared" ref="G8:G71" si="11">SUM($O8)</f>
        <v>40.839984811323745</v>
      </c>
      <c r="H8" s="490">
        <f t="shared" si="1"/>
        <v>57.03859856247216</v>
      </c>
      <c r="I8" s="490">
        <f t="shared" ref="I8:I71" si="12">SUM($V8:$W8)</f>
        <v>9.4224127241857669</v>
      </c>
      <c r="J8" s="490">
        <f t="shared" ref="J8:J71" si="13">SUM($AB8:$AD8)</f>
        <v>4.3450676732655573</v>
      </c>
      <c r="K8" s="490">
        <f t="shared" ref="K8:K71" si="14">SUM($AF8)</f>
        <v>1.9720000000000002</v>
      </c>
      <c r="L8" s="490">
        <f t="shared" ref="L8:L71" si="15">AH8</f>
        <v>0</v>
      </c>
      <c r="M8" s="491">
        <f t="shared" ref="M8:M71" si="16">SUM($AI8)*SUM($G8:$L8)</f>
        <v>5.6809031885623611</v>
      </c>
      <c r="N8" s="273">
        <f>IF($I$2="DRT",VLOOKUP(A8,'Misc. Data &amp; Mechanisms'!$A$1381:$D$1471,4,FALSE),AP8)</f>
        <v>2.2370000000000001</v>
      </c>
      <c r="O8" s="552">
        <f t="shared" si="2"/>
        <v>40.839984811323745</v>
      </c>
      <c r="P8" s="387">
        <v>1.647</v>
      </c>
      <c r="Q8" s="278">
        <v>0.93</v>
      </c>
      <c r="R8" s="425">
        <f t="shared" si="3"/>
        <v>30.068598562472154</v>
      </c>
      <c r="S8" s="425">
        <f t="shared" si="4"/>
        <v>26.970000000000002</v>
      </c>
      <c r="T8" s="391">
        <f>VLOOKUP($A8,'Misc. Data &amp; Mechanisms'!$A$63:$DY$152,HLOOKUP('Service Zone Menu'!$X$5&amp;"_AltaGas_NG_Y_1",'Misc. Data &amp; Mechanisms'!$A$55:$DY$62,8,FALSE), FALSE)</f>
        <v>0.06</v>
      </c>
      <c r="U8" s="205">
        <f>VLOOKUP($A8,'Misc. Data &amp; Mechanisms'!$A$63:$DY$152,HLOOKUP('Service Zone Menu'!$X$5&amp;"_AltaGas_NG_Y_2",'Misc. Data &amp; Mechanisms'!$A$55:$DY$62,8,FALSE), FALSE)</f>
        <v>3.0429999999999999E-2</v>
      </c>
      <c r="V8" s="425">
        <f>IF(AND('Service Zone Menu'!$X$5="Athabasca", $A8&lt;DATE(2019, 5, 1)),$T8*($G8+$H8+$J8+$K8),$T8*($H8+$J8+$K8))</f>
        <v>6.2517390628236873</v>
      </c>
      <c r="W8" s="553">
        <f t="shared" si="5"/>
        <v>3.1706736613620801</v>
      </c>
      <c r="X8" s="391"/>
      <c r="Y8" s="205"/>
      <c r="Z8" s="278">
        <v>0.23799999999999999</v>
      </c>
      <c r="AA8" s="278"/>
      <c r="AB8" s="492">
        <f t="shared" ref="AB8:AB38" si="17">IF($Y8=FALSE, ($X8*$H8), ($Y8*($H8+$K8)))</f>
        <v>0</v>
      </c>
      <c r="AC8" s="492">
        <f t="shared" si="6"/>
        <v>4.3450676732655573</v>
      </c>
      <c r="AD8" s="554">
        <f t="shared" si="7"/>
        <v>0</v>
      </c>
      <c r="AE8" s="200">
        <f>IF($I$2="DRT",VLOOKUP(A8,'Misc. Data &amp; Mechanisms'!$A$1483:$H$1574,8,FALSE),AQ8)</f>
        <v>6.8000000000000005E-2</v>
      </c>
      <c r="AF8" s="554">
        <f t="shared" ref="AF8:AF71" si="18">IF($AE$6="$/day", $AE8*$B8, $AE8)</f>
        <v>1.9720000000000002</v>
      </c>
      <c r="AG8" s="290"/>
      <c r="AH8" s="494">
        <f t="shared" ref="AH8:AH71" si="19">AG8*C8</f>
        <v>0</v>
      </c>
      <c r="AI8" s="495">
        <f>5%</f>
        <v>0.05</v>
      </c>
      <c r="AJ8" s="341">
        <f>'Misc. Data &amp; Mechanisms'!AN281</f>
        <v>18.489805725269445</v>
      </c>
      <c r="AK8" s="424">
        <f>'Misc. Data &amp; Mechanisms'!AQ281</f>
        <v>16.317492615781951</v>
      </c>
      <c r="AL8" s="424">
        <f>'Misc. Data &amp; Mechanisms'!AC281</f>
        <v>18.256586862460324</v>
      </c>
      <c r="AM8" s="424">
        <f>'Misc. Data &amp; Mechanisms'!AD281</f>
        <v>11.660022774392351</v>
      </c>
      <c r="AN8" s="1460">
        <f>'Misc. Data &amp; Mechanisms'!$B$260</f>
        <v>10.198990303636064</v>
      </c>
      <c r="AO8" s="197">
        <f>IFERROR(IF('Personalized Bill Menu'!$B$30="Yes", IF('Personalized Bill Menu'!$B$34="Natural Gas",VLOOKUP($A8, 'Personalized Bill Menu'!$H$4:$L$93, 2, FALSE), IF('Personalized Bill Menu'!$B$34="Both",VLOOKUP($A8,'Personalized Bill Menu'!$H$4:$P$93, 6, FALSE), 0)), 0),0)</f>
        <v>0</v>
      </c>
      <c r="AP8" s="1343">
        <f>IFERROR(IF('Personalized Bill Menu'!$C$37="Custom", IF('Personalized Bill Menu'!$B$34="Natural Gas",VLOOKUP($A8, 'Personalized Bill Menu'!$H$4:$L$93, 3, FALSE), IF('Personalized Bill Menu'!$B$34="Both",VLOOKUP($A8,'Personalized Bill Menu'!$H$4:$P$93, 7, FALSE), 0)), 0),0)</f>
        <v>0</v>
      </c>
      <c r="AQ8" s="1344">
        <f>IFERROR(IF('Personalized Bill Menu'!$C$37="Custom", IF('Personalized Bill Menu'!$B$34="Natural Gas",VLOOKUP($A8, 'Personalized Bill Menu'!$H$4:$L$93, 4, FALSE), IF('Personalized Bill Menu'!$B$34="Both",VLOOKUP($A8,'Personalized Bill Menu'!$H$4:$P$93, 8, FALSE), 0)), 0),0)</f>
        <v>0</v>
      </c>
      <c r="AR8" s="468"/>
      <c r="AS8" s="468"/>
      <c r="AT8" s="468"/>
    </row>
    <row r="9" spans="1:46" s="469" customFormat="1" ht="15" x14ac:dyDescent="0.25">
      <c r="A9" s="496">
        <v>40969</v>
      </c>
      <c r="B9" s="497">
        <f t="shared" si="8"/>
        <v>31</v>
      </c>
      <c r="C9" s="1581">
        <f t="shared" si="9"/>
        <v>17.20986615020054</v>
      </c>
      <c r="D9" s="66">
        <f t="shared" si="10"/>
        <v>6.7342495033214691</v>
      </c>
      <c r="E9" s="66">
        <f>(1+$AI9)*IF(AND('Service Zone Menu'!$X$5="Athabasca", $A9&lt;DATE(2019, 5, 1)),((1+$T9+$U9)*($N9+((1+$X9+$Y9)*$P9)+$Z9+$AA9)) + $AG9,((1+$U9)*($N9+((1+$X9+$Y9)*$P9)+$Z9+$AA9))+($T9*(((1+$X9+$Y9)*$P9)+$Z9+$AA9)) + $AG9)</f>
        <v>4.6759819259999995</v>
      </c>
      <c r="F9" s="488">
        <f t="shared" si="0"/>
        <v>115.89553257421694</v>
      </c>
      <c r="G9" s="489">
        <f t="shared" si="11"/>
        <v>38.515680444148806</v>
      </c>
      <c r="H9" s="490">
        <f t="shared" si="1"/>
        <v>57.174649549380291</v>
      </c>
      <c r="I9" s="490">
        <f t="shared" si="12"/>
        <v>9.1536043323114011</v>
      </c>
      <c r="J9" s="490">
        <f t="shared" si="13"/>
        <v>3.4247633638899075</v>
      </c>
      <c r="K9" s="490">
        <f t="shared" si="14"/>
        <v>2.1080000000000001</v>
      </c>
      <c r="L9" s="490">
        <f t="shared" si="15"/>
        <v>0</v>
      </c>
      <c r="M9" s="491">
        <f t="shared" si="16"/>
        <v>5.5188348844865214</v>
      </c>
      <c r="N9" s="273">
        <f>IF($I$2="DRT",VLOOKUP(A9,'Misc. Data &amp; Mechanisms'!$A$1381:$D$1471,4,FALSE),AP9)</f>
        <v>2.238</v>
      </c>
      <c r="O9" s="552">
        <f t="shared" si="2"/>
        <v>38.515680444148806</v>
      </c>
      <c r="P9" s="387">
        <v>1.647</v>
      </c>
      <c r="Q9" s="278">
        <v>0.93</v>
      </c>
      <c r="R9" s="425">
        <f t="shared" si="3"/>
        <v>28.344649549380289</v>
      </c>
      <c r="S9" s="425">
        <f t="shared" si="4"/>
        <v>28.830000000000002</v>
      </c>
      <c r="T9" s="391">
        <f>VLOOKUP($A9,'Misc. Data &amp; Mechanisms'!$A$63:$DY$152,HLOOKUP('Service Zone Menu'!$X$5&amp;"_AltaGas_NG_Y_1",'Misc. Data &amp; Mechanisms'!$A$55:$DY$62,8,FALSE), FALSE)</f>
        <v>0.06</v>
      </c>
      <c r="U9" s="205">
        <f>VLOOKUP($A9,'Misc. Data &amp; Mechanisms'!$A$63:$DY$152,HLOOKUP('Service Zone Menu'!$X$5&amp;"_AltaGas_NG_Y_2",'Misc. Data &amp; Mechanisms'!$A$55:$DY$62,8,FALSE), FALSE)</f>
        <v>3.0429999999999999E-2</v>
      </c>
      <c r="V9" s="425">
        <f>IF(AND('Service Zone Menu'!$X$5="Athabasca", $A9&lt;DATE(2019, 5, 1)),$T9*($G9+$H9+$J9+$K9),$T9*($H9+$J9+$K9))</f>
        <v>6.0733856014451408</v>
      </c>
      <c r="W9" s="553">
        <f t="shared" si="5"/>
        <v>3.0802187308662607</v>
      </c>
      <c r="X9" s="391"/>
      <c r="Y9" s="205"/>
      <c r="Z9" s="278">
        <v>0.19900000000000001</v>
      </c>
      <c r="AA9" s="278"/>
      <c r="AB9" s="492">
        <f t="shared" si="17"/>
        <v>0</v>
      </c>
      <c r="AC9" s="492">
        <f t="shared" si="6"/>
        <v>3.4247633638899075</v>
      </c>
      <c r="AD9" s="554">
        <f t="shared" si="7"/>
        <v>0</v>
      </c>
      <c r="AE9" s="200">
        <f>IF($I$2="DRT",VLOOKUP(A9,'Misc. Data &amp; Mechanisms'!$A$1483:$H$1574,8,FALSE),AQ9)</f>
        <v>6.8000000000000005E-2</v>
      </c>
      <c r="AF9" s="554">
        <f t="shared" si="18"/>
        <v>2.1080000000000001</v>
      </c>
      <c r="AG9" s="290"/>
      <c r="AH9" s="494">
        <f t="shared" si="19"/>
        <v>0</v>
      </c>
      <c r="AI9" s="495">
        <f>5%</f>
        <v>0.05</v>
      </c>
      <c r="AJ9" s="341">
        <f>'Misc. Data &amp; Mechanisms'!AN282</f>
        <v>17.429713673885264</v>
      </c>
      <c r="AK9" s="424">
        <f>'Misc. Data &amp; Mechanisms'!AQ282</f>
        <v>13.251533626668136</v>
      </c>
      <c r="AL9" s="424">
        <f>'Misc. Data &amp; Mechanisms'!AC282</f>
        <v>17.20986615020054</v>
      </c>
      <c r="AM9" s="424">
        <f>'Misc. Data &amp; Mechanisms'!AD282</f>
        <v>10.991508586317412</v>
      </c>
      <c r="AN9" s="1460">
        <f>'Misc. Data &amp; Mechanisms'!$B$260</f>
        <v>10.198990303636064</v>
      </c>
      <c r="AO9" s="197">
        <f>IFERROR(IF('Personalized Bill Menu'!$B$30="Yes", IF('Personalized Bill Menu'!$B$34="Natural Gas",VLOOKUP($A9, 'Personalized Bill Menu'!$H$4:$L$93, 2, FALSE), IF('Personalized Bill Menu'!$B$34="Both",VLOOKUP($A9,'Personalized Bill Menu'!$H$4:$P$93, 6, FALSE), 0)), 0),0)</f>
        <v>0</v>
      </c>
      <c r="AP9" s="1343">
        <f>IFERROR(IF('Personalized Bill Menu'!$C$37="Custom", IF('Personalized Bill Menu'!$B$34="Natural Gas",VLOOKUP($A9, 'Personalized Bill Menu'!$H$4:$L$93, 3, FALSE), IF('Personalized Bill Menu'!$B$34="Both",VLOOKUP($A9,'Personalized Bill Menu'!$H$4:$P$93, 7, FALSE), 0)), 0),0)</f>
        <v>0</v>
      </c>
      <c r="AQ9" s="1344">
        <f>IFERROR(IF('Personalized Bill Menu'!$C$37="Custom", IF('Personalized Bill Menu'!$B$34="Natural Gas",VLOOKUP($A9, 'Personalized Bill Menu'!$H$4:$L$93, 4, FALSE), IF('Personalized Bill Menu'!$B$34="Both",VLOOKUP($A9,'Personalized Bill Menu'!$H$4:$P$93, 8, FALSE), 0)), 0),0)</f>
        <v>0</v>
      </c>
      <c r="AR9" s="468"/>
      <c r="AS9" s="468"/>
      <c r="AT9" s="468"/>
    </row>
    <row r="10" spans="1:46" s="469" customFormat="1" ht="15" x14ac:dyDescent="0.25">
      <c r="A10" s="496">
        <v>41000</v>
      </c>
      <c r="B10" s="497">
        <f t="shared" si="8"/>
        <v>30</v>
      </c>
      <c r="C10" s="1581">
        <f t="shared" si="9"/>
        <v>11.844626004757876</v>
      </c>
      <c r="D10" s="66">
        <f t="shared" si="10"/>
        <v>6.2465446530047561</v>
      </c>
      <c r="E10" s="66">
        <f>(1+$AI10)*IF(AND('Service Zone Menu'!$X$5="Athabasca", $A10&lt;DATE(2019, 5, 1)),((1+$T10+$U10)*($N10+((1+$X10+$Y10)*$P10)+$Z10+$AA10)) + $AG10,((1+$U10)*($N10+((1+$X10+$Y10)*$P10)+$Z10+$AA10))+($T10*(((1+$X10+$Y10)*$P10)+$Z10+$AA10)) + $AG10)</f>
        <v>3.3524179920000008</v>
      </c>
      <c r="F10" s="488">
        <f t="shared" si="0"/>
        <v>73.987985236861391</v>
      </c>
      <c r="G10" s="489">
        <f t="shared" si="11"/>
        <v>13.988503311619052</v>
      </c>
      <c r="H10" s="490">
        <f t="shared" si="1"/>
        <v>47.408099029836222</v>
      </c>
      <c r="I10" s="490">
        <f t="shared" si="12"/>
        <v>5.8436829026988262</v>
      </c>
      <c r="J10" s="490">
        <f t="shared" si="13"/>
        <v>1.1844626004757877</v>
      </c>
      <c r="K10" s="490">
        <f t="shared" si="14"/>
        <v>2.04</v>
      </c>
      <c r="L10" s="490">
        <f t="shared" si="15"/>
        <v>0</v>
      </c>
      <c r="M10" s="491">
        <f t="shared" si="16"/>
        <v>3.5232373922314952</v>
      </c>
      <c r="N10" s="273">
        <f>IF($I$2="DRT",VLOOKUP(A10,'Misc. Data &amp; Mechanisms'!$A$1381:$D$1471,4,FALSE),AP10)</f>
        <v>1.181</v>
      </c>
      <c r="O10" s="552">
        <f t="shared" si="2"/>
        <v>13.988503311619052</v>
      </c>
      <c r="P10" s="387">
        <v>1.647</v>
      </c>
      <c r="Q10" s="278">
        <v>0.93</v>
      </c>
      <c r="R10" s="425">
        <f t="shared" si="3"/>
        <v>19.50809902983622</v>
      </c>
      <c r="S10" s="425">
        <f t="shared" si="4"/>
        <v>27.900000000000002</v>
      </c>
      <c r="T10" s="391">
        <f>VLOOKUP($A10,'Misc. Data &amp; Mechanisms'!$A$63:$DY$152,HLOOKUP('Service Zone Menu'!$X$5&amp;"_AltaGas_NG_Y_1",'Misc. Data &amp; Mechanisms'!$A$55:$DY$62,8,FALSE), FALSE)</f>
        <v>0.06</v>
      </c>
      <c r="U10" s="205">
        <f>VLOOKUP($A10,'Misc. Data &amp; Mechanisms'!$A$63:$DY$152,HLOOKUP('Service Zone Menu'!$X$5&amp;"_AltaGas_NG_Y_2",'Misc. Data &amp; Mechanisms'!$A$55:$DY$62,8,FALSE), FALSE)</f>
        <v>3.0429999999999999E-2</v>
      </c>
      <c r="V10" s="425">
        <f>IF(AND('Service Zone Menu'!$X$5="Athabasca", $A10&lt;DATE(2019, 5, 1)),$T10*($G10+$H10+$J10+$K10),$T10*($H10+$J10+$K10))</f>
        <v>3.8772638965158639</v>
      </c>
      <c r="W10" s="553">
        <f t="shared" si="5"/>
        <v>1.9664190061829623</v>
      </c>
      <c r="X10" s="391"/>
      <c r="Y10" s="205"/>
      <c r="Z10" s="278">
        <v>0.1</v>
      </c>
      <c r="AA10" s="278"/>
      <c r="AB10" s="492">
        <f t="shared" si="17"/>
        <v>0</v>
      </c>
      <c r="AC10" s="492">
        <f t="shared" si="6"/>
        <v>1.1844626004757877</v>
      </c>
      <c r="AD10" s="554">
        <f t="shared" si="7"/>
        <v>0</v>
      </c>
      <c r="AE10" s="200">
        <f>IF($I$2="DRT",VLOOKUP(A10,'Misc. Data &amp; Mechanisms'!$A$1483:$H$1574,8,FALSE),AQ10)</f>
        <v>6.8000000000000005E-2</v>
      </c>
      <c r="AF10" s="554">
        <f t="shared" si="18"/>
        <v>2.04</v>
      </c>
      <c r="AG10" s="290"/>
      <c r="AH10" s="494">
        <f t="shared" si="19"/>
        <v>0</v>
      </c>
      <c r="AI10" s="495">
        <f>5%</f>
        <v>0.05</v>
      </c>
      <c r="AJ10" s="341">
        <f>'Misc. Data &amp; Mechanisms'!AN283</f>
        <v>11.995935240599163</v>
      </c>
      <c r="AK10" s="424">
        <f>'Misc. Data &amp; Mechanisms'!AQ283</f>
        <v>9.8128754259218063</v>
      </c>
      <c r="AL10" s="424">
        <f>'Misc. Data &amp; Mechanisms'!AC283</f>
        <v>11.844626004757876</v>
      </c>
      <c r="AM10" s="424">
        <f>'Misc. Data &amp; Mechanisms'!AD283</f>
        <v>7.5648646710420593</v>
      </c>
      <c r="AN10" s="1460">
        <f>'Misc. Data &amp; Mechanisms'!$B$260</f>
        <v>10.198990303636064</v>
      </c>
      <c r="AO10" s="197">
        <f>IFERROR(IF('Personalized Bill Menu'!$B$30="Yes", IF('Personalized Bill Menu'!$B$34="Natural Gas",VLOOKUP($A10, 'Personalized Bill Menu'!$H$4:$L$93, 2, FALSE), IF('Personalized Bill Menu'!$B$34="Both",VLOOKUP($A10,'Personalized Bill Menu'!$H$4:$P$93, 6, FALSE), 0)), 0),0)</f>
        <v>0</v>
      </c>
      <c r="AP10" s="1343">
        <f>IFERROR(IF('Personalized Bill Menu'!$C$37="Custom", IF('Personalized Bill Menu'!$B$34="Natural Gas",VLOOKUP($A10, 'Personalized Bill Menu'!$H$4:$L$93, 3, FALSE), IF('Personalized Bill Menu'!$B$34="Both",VLOOKUP($A10,'Personalized Bill Menu'!$H$4:$P$93, 7, FALSE), 0)), 0),0)</f>
        <v>0</v>
      </c>
      <c r="AQ10" s="1344">
        <f>IFERROR(IF('Personalized Bill Menu'!$C$37="Custom", IF('Personalized Bill Menu'!$B$34="Natural Gas",VLOOKUP($A10, 'Personalized Bill Menu'!$H$4:$L$93, 4, FALSE), IF('Personalized Bill Menu'!$B$34="Both",VLOOKUP($A10,'Personalized Bill Menu'!$H$4:$P$93, 8, FALSE), 0)), 0),0)</f>
        <v>0</v>
      </c>
      <c r="AR10" s="468"/>
      <c r="AS10" s="468"/>
      <c r="AT10" s="468"/>
    </row>
    <row r="11" spans="1:46" s="469" customFormat="1" ht="15" x14ac:dyDescent="0.25">
      <c r="A11" s="496">
        <v>41030</v>
      </c>
      <c r="B11" s="497">
        <f t="shared" si="8"/>
        <v>31</v>
      </c>
      <c r="C11" s="1581">
        <f t="shared" si="9"/>
        <v>7.5820425606017796</v>
      </c>
      <c r="D11" s="66">
        <f t="shared" si="10"/>
        <v>8.2716228824365281</v>
      </c>
      <c r="E11" s="66">
        <f>(1+$AI11)*IF(AND('Service Zone Menu'!$X$5="Athabasca", $A11&lt;DATE(2019, 5, 1)),((1+$T11+$U11)*($N11+((1+$X11+$Y11)*$P11)+$Z11+$AA11)) + $AG11,((1+$U11)*($N11+((1+$X11+$Y11)*$P11)+$Z11+$AA11))+($T11*(((1+$X11+$Y11)*$P11)+$Z11+$AA11)) + $AG11)</f>
        <v>3.5997275160000002</v>
      </c>
      <c r="F11" s="488">
        <f t="shared" si="0"/>
        <v>62.715796739881327</v>
      </c>
      <c r="G11" s="489">
        <f t="shared" si="11"/>
        <v>8.3933211145861701</v>
      </c>
      <c r="H11" s="490">
        <f t="shared" si="1"/>
        <v>41.317624097311132</v>
      </c>
      <c r="I11" s="490">
        <f t="shared" si="12"/>
        <v>4.9533884179264085</v>
      </c>
      <c r="J11" s="490">
        <f t="shared" si="13"/>
        <v>2.956996598634694</v>
      </c>
      <c r="K11" s="490">
        <f t="shared" si="14"/>
        <v>2.1080000000000001</v>
      </c>
      <c r="L11" s="490">
        <f t="shared" si="15"/>
        <v>0</v>
      </c>
      <c r="M11" s="491">
        <f t="shared" si="16"/>
        <v>2.9864665114229205</v>
      </c>
      <c r="N11" s="273">
        <f>IF($I$2="DRT",VLOOKUP(A11,'Misc. Data &amp; Mechanisms'!$A$1381:$D$1471,4,FALSE),AP11)</f>
        <v>1.107</v>
      </c>
      <c r="O11" s="552">
        <f t="shared" si="2"/>
        <v>8.3933211145861701</v>
      </c>
      <c r="P11" s="387">
        <v>1.647</v>
      </c>
      <c r="Q11" s="278">
        <v>0.93</v>
      </c>
      <c r="R11" s="425">
        <f t="shared" si="3"/>
        <v>12.487624097311132</v>
      </c>
      <c r="S11" s="425">
        <f t="shared" si="4"/>
        <v>28.830000000000002</v>
      </c>
      <c r="T11" s="391">
        <f>VLOOKUP($A11,'Misc. Data &amp; Mechanisms'!$A$63:$DY$152,HLOOKUP('Service Zone Menu'!$X$5&amp;"_AltaGas_NG_Y_1",'Misc. Data &amp; Mechanisms'!$A$55:$DY$62,8,FALSE), FALSE)</f>
        <v>0.06</v>
      </c>
      <c r="U11" s="205">
        <f>VLOOKUP($A11,'Misc. Data &amp; Mechanisms'!$A$63:$DY$152,HLOOKUP('Service Zone Menu'!$X$5&amp;"_AltaGas_NG_Y_2",'Misc. Data &amp; Mechanisms'!$A$55:$DY$62,8,FALSE), FALSE)</f>
        <v>3.0429999999999999E-2</v>
      </c>
      <c r="V11" s="425">
        <f>IF(AND('Service Zone Menu'!$X$5="Athabasca", $A11&lt;DATE(2019, 5, 1)),$T11*($G11+$H11+$J11+$K11),$T11*($H11+$J11+$K11))</f>
        <v>3.2865565086319197</v>
      </c>
      <c r="W11" s="553">
        <f t="shared" si="5"/>
        <v>1.6668319092944885</v>
      </c>
      <c r="X11" s="391"/>
      <c r="Y11" s="205"/>
      <c r="Z11" s="278">
        <v>0.39</v>
      </c>
      <c r="AA11" s="278"/>
      <c r="AB11" s="492">
        <f t="shared" si="17"/>
        <v>0</v>
      </c>
      <c r="AC11" s="492">
        <f t="shared" si="6"/>
        <v>2.956996598634694</v>
      </c>
      <c r="AD11" s="554">
        <f t="shared" si="7"/>
        <v>0</v>
      </c>
      <c r="AE11" s="200">
        <f>IF($I$2="DRT",VLOOKUP(A11,'Misc. Data &amp; Mechanisms'!$A$1483:$H$1574,8,FALSE),AQ11)</f>
        <v>6.8000000000000005E-2</v>
      </c>
      <c r="AF11" s="554">
        <f t="shared" si="18"/>
        <v>2.1080000000000001</v>
      </c>
      <c r="AG11" s="290"/>
      <c r="AH11" s="494">
        <f t="shared" si="19"/>
        <v>0</v>
      </c>
      <c r="AI11" s="495">
        <f>5%</f>
        <v>0.05</v>
      </c>
      <c r="AJ11" s="341">
        <f>'Misc. Data &amp; Mechanisms'!AN284</f>
        <v>7.6788994023036574</v>
      </c>
      <c r="AK11" s="424">
        <f>'Misc. Data &amp; Mechanisms'!AQ284</f>
        <v>6.0815659574468084</v>
      </c>
      <c r="AL11" s="424">
        <f>'Misc. Data &amp; Mechanisms'!AC284</f>
        <v>7.5820425606017796</v>
      </c>
      <c r="AM11" s="424">
        <f>'Misc. Data &amp; Mechanisms'!AD284</f>
        <v>4.8424598529319418</v>
      </c>
      <c r="AN11" s="1460">
        <f>'Misc. Data &amp; Mechanisms'!$B$260</f>
        <v>10.198990303636064</v>
      </c>
      <c r="AO11" s="197">
        <f>IFERROR(IF('Personalized Bill Menu'!$B$30="Yes", IF('Personalized Bill Menu'!$B$34="Natural Gas",VLOOKUP($A11, 'Personalized Bill Menu'!$H$4:$L$93, 2, FALSE), IF('Personalized Bill Menu'!$B$34="Both",VLOOKUP($A11,'Personalized Bill Menu'!$H$4:$P$93, 6, FALSE), 0)), 0),0)</f>
        <v>0</v>
      </c>
      <c r="AP11" s="1343">
        <f>IFERROR(IF('Personalized Bill Menu'!$C$37="Custom", IF('Personalized Bill Menu'!$B$34="Natural Gas",VLOOKUP($A11, 'Personalized Bill Menu'!$H$4:$L$93, 3, FALSE), IF('Personalized Bill Menu'!$B$34="Both",VLOOKUP($A11,'Personalized Bill Menu'!$H$4:$P$93, 7, FALSE), 0)), 0),0)</f>
        <v>0</v>
      </c>
      <c r="AQ11" s="1344">
        <f>IFERROR(IF('Personalized Bill Menu'!$C$37="Custom", IF('Personalized Bill Menu'!$B$34="Natural Gas",VLOOKUP($A11, 'Personalized Bill Menu'!$H$4:$L$93, 4, FALSE), IF('Personalized Bill Menu'!$B$34="Both",VLOOKUP($A11,'Personalized Bill Menu'!$H$4:$P$93, 8, FALSE), 0)), 0),0)</f>
        <v>0</v>
      </c>
      <c r="AR11" s="468"/>
      <c r="AS11" s="468"/>
      <c r="AT11" s="468"/>
    </row>
    <row r="12" spans="1:46" s="469" customFormat="1" ht="15" x14ac:dyDescent="0.25">
      <c r="A12" s="496">
        <v>41061</v>
      </c>
      <c r="B12" s="497">
        <f t="shared" si="8"/>
        <v>30</v>
      </c>
      <c r="C12" s="1581">
        <f t="shared" si="9"/>
        <v>4.339384043410357</v>
      </c>
      <c r="D12" s="66">
        <f t="shared" si="10"/>
        <v>12.780631881484197</v>
      </c>
      <c r="E12" s="66">
        <f>(1+$AI12)*IF(AND('Service Zone Menu'!$X$5="Athabasca", $A12&lt;DATE(2019, 5, 1)),((1+$T12+$U12)*($N12+((1+$X12+$Y12)*$P12)+$Z12+$AA12)) + $AG12,((1+$U12)*($N12+((1+$X12+$Y12)*$P12)+$Z12+$AA12))+($T12*(((1+$X12+$Y12)*$P12)+$Z12+$AA12)) + $AG12)</f>
        <v>4.8809282445000006</v>
      </c>
      <c r="F12" s="488">
        <f t="shared" si="0"/>
        <v>55.460070051214217</v>
      </c>
      <c r="G12" s="489">
        <f t="shared" si="11"/>
        <v>9.2862818528981652</v>
      </c>
      <c r="H12" s="490">
        <f t="shared" si="1"/>
        <v>35.046965519496858</v>
      </c>
      <c r="I12" s="490">
        <f t="shared" si="12"/>
        <v>4.3803201574313864</v>
      </c>
      <c r="J12" s="490">
        <f t="shared" si="13"/>
        <v>2.0655468046633296</v>
      </c>
      <c r="K12" s="490">
        <f t="shared" si="14"/>
        <v>2.04</v>
      </c>
      <c r="L12" s="490">
        <f t="shared" si="15"/>
        <v>0</v>
      </c>
      <c r="M12" s="491">
        <f t="shared" si="16"/>
        <v>2.6409557167244868</v>
      </c>
      <c r="N12" s="273">
        <f>IF($I$2="DRT",VLOOKUP(A12,'Misc. Data &amp; Mechanisms'!$A$1381:$D$1471,4,FALSE),AP12)</f>
        <v>2.14</v>
      </c>
      <c r="O12" s="552">
        <f t="shared" si="2"/>
        <v>9.2862818528981652</v>
      </c>
      <c r="P12" s="387">
        <v>1.647</v>
      </c>
      <c r="Q12" s="278">
        <v>0.93</v>
      </c>
      <c r="R12" s="425">
        <f t="shared" si="3"/>
        <v>7.1469655194968578</v>
      </c>
      <c r="S12" s="425">
        <f t="shared" si="4"/>
        <v>27.900000000000002</v>
      </c>
      <c r="T12" s="391">
        <f>VLOOKUP($A12,'Misc. Data &amp; Mechanisms'!$A$63:$DY$152,HLOOKUP('Service Zone Menu'!$X$5&amp;"_AltaGas_NG_Y_1",'Misc. Data &amp; Mechanisms'!$A$55:$DY$62,8,FALSE), FALSE)</f>
        <v>0.06</v>
      </c>
      <c r="U12" s="205">
        <f>VLOOKUP($A12,'Misc. Data &amp; Mechanisms'!$A$63:$DY$152,HLOOKUP('Service Zone Menu'!$X$5&amp;"_AltaGas_NG_Y_2",'Misc. Data &amp; Mechanisms'!$A$55:$DY$62,8,FALSE), FALSE)</f>
        <v>3.0429999999999999E-2</v>
      </c>
      <c r="V12" s="425">
        <f>IF(AND('Service Zone Menu'!$X$5="Athabasca", $A12&lt;DATE(2019, 5, 1)),$T12*($G12+$H12+$J12+$K12),$T12*($H12+$J12+$K12))</f>
        <v>2.906327650623501</v>
      </c>
      <c r="W12" s="553">
        <f t="shared" si="5"/>
        <v>1.4739925068078854</v>
      </c>
      <c r="X12" s="391"/>
      <c r="Y12" s="205"/>
      <c r="Z12" s="278">
        <v>0.47599999999999998</v>
      </c>
      <c r="AA12" s="278"/>
      <c r="AB12" s="492">
        <f t="shared" si="17"/>
        <v>0</v>
      </c>
      <c r="AC12" s="492">
        <f t="shared" si="6"/>
        <v>2.0655468046633296</v>
      </c>
      <c r="AD12" s="554">
        <f t="shared" si="7"/>
        <v>0</v>
      </c>
      <c r="AE12" s="200">
        <f>IF($I$2="DRT",VLOOKUP(A12,'Misc. Data &amp; Mechanisms'!$A$1483:$H$1574,8,FALSE),AQ12)</f>
        <v>6.8000000000000005E-2</v>
      </c>
      <c r="AF12" s="554">
        <f t="shared" si="18"/>
        <v>2.04</v>
      </c>
      <c r="AG12" s="290"/>
      <c r="AH12" s="494">
        <f t="shared" si="19"/>
        <v>0</v>
      </c>
      <c r="AI12" s="495">
        <f>5%</f>
        <v>0.05</v>
      </c>
      <c r="AJ12" s="341">
        <f>'Misc. Data &amp; Mechanisms'!AN285</f>
        <v>4.3948175272000984</v>
      </c>
      <c r="AK12" s="424">
        <f>'Misc. Data &amp; Mechanisms'!AQ285</f>
        <v>3.2517214370748424</v>
      </c>
      <c r="AL12" s="424">
        <f>'Misc. Data &amp; Mechanisms'!AC285</f>
        <v>4.339384043410357</v>
      </c>
      <c r="AM12" s="424">
        <f>'Misc. Data &amp; Mechanisms'!AD285</f>
        <v>2.7714554288917532</v>
      </c>
      <c r="AN12" s="1460">
        <f>'Misc. Data &amp; Mechanisms'!$B$260</f>
        <v>10.198990303636064</v>
      </c>
      <c r="AO12" s="197">
        <f>IFERROR(IF('Personalized Bill Menu'!$B$30="Yes", IF('Personalized Bill Menu'!$B$34="Natural Gas",VLOOKUP($A12, 'Personalized Bill Menu'!$H$4:$L$93, 2, FALSE), IF('Personalized Bill Menu'!$B$34="Both",VLOOKUP($A12,'Personalized Bill Menu'!$H$4:$P$93, 6, FALSE), 0)), 0),0)</f>
        <v>0</v>
      </c>
      <c r="AP12" s="1343">
        <f>IFERROR(IF('Personalized Bill Menu'!$C$37="Custom", IF('Personalized Bill Menu'!$B$34="Natural Gas",VLOOKUP($A12, 'Personalized Bill Menu'!$H$4:$L$93, 3, FALSE), IF('Personalized Bill Menu'!$B$34="Both",VLOOKUP($A12,'Personalized Bill Menu'!$H$4:$P$93, 7, FALSE), 0)), 0),0)</f>
        <v>0</v>
      </c>
      <c r="AQ12" s="1344">
        <f>IFERROR(IF('Personalized Bill Menu'!$C$37="Custom", IF('Personalized Bill Menu'!$B$34="Natural Gas",VLOOKUP($A12, 'Personalized Bill Menu'!$H$4:$L$93, 4, FALSE), IF('Personalized Bill Menu'!$B$34="Both",VLOOKUP($A12,'Personalized Bill Menu'!$H$4:$P$93, 8, FALSE), 0)), 0),0)</f>
        <v>0</v>
      </c>
      <c r="AR12" s="468"/>
      <c r="AS12" s="468"/>
      <c r="AT12" s="468"/>
    </row>
    <row r="13" spans="1:46" s="469" customFormat="1" ht="15" x14ac:dyDescent="0.25">
      <c r="A13" s="496">
        <v>41091</v>
      </c>
      <c r="B13" s="497">
        <f t="shared" si="8"/>
        <v>31</v>
      </c>
      <c r="C13" s="1581">
        <f t="shared" si="9"/>
        <v>2.5182750981496453</v>
      </c>
      <c r="D13" s="66">
        <f t="shared" si="10"/>
        <v>17.952144869575399</v>
      </c>
      <c r="E13" s="66">
        <f>(1+$AI13)*IF(AND('Service Zone Menu'!$X$5="Athabasca", $A13&lt;DATE(2019, 5, 1)),((1+$T13+$U13)*($N13+((1+$X13+$Y13)*$P13)+$Z13+$AA13)) + $AG13,((1+$U13)*($N13+((1+$X13+$Y13)*$P13)+$Z13+$AA13))+($T13*(((1+$X13+$Y13)*$P13)+$Z13+$AA13)) + $AG13)</f>
        <v>3.8859653909999996</v>
      </c>
      <c r="F13" s="488">
        <f t="shared" si="0"/>
        <v>45.208439383426644</v>
      </c>
      <c r="G13" s="489">
        <f t="shared" si="11"/>
        <v>2.6618167787441749</v>
      </c>
      <c r="H13" s="490">
        <f t="shared" si="1"/>
        <v>32.977599086652468</v>
      </c>
      <c r="I13" s="490">
        <f t="shared" si="12"/>
        <v>3.5706308725245317</v>
      </c>
      <c r="J13" s="490">
        <f t="shared" si="13"/>
        <v>1.7376098177232551</v>
      </c>
      <c r="K13" s="490">
        <f t="shared" si="14"/>
        <v>2.1080000000000001</v>
      </c>
      <c r="L13" s="490">
        <f t="shared" si="15"/>
        <v>0</v>
      </c>
      <c r="M13" s="491">
        <f t="shared" si="16"/>
        <v>2.1527828277822212</v>
      </c>
      <c r="N13" s="273">
        <f>IF($I$2="DRT",VLOOKUP(A13,'Misc. Data &amp; Mechanisms'!$A$1381:$D$1471,4,FALSE),AP13)</f>
        <v>1.0569999999999999</v>
      </c>
      <c r="O13" s="552">
        <f t="shared" si="2"/>
        <v>2.6618167787441749</v>
      </c>
      <c r="P13" s="387">
        <v>1.647</v>
      </c>
      <c r="Q13" s="278">
        <v>0.93</v>
      </c>
      <c r="R13" s="425">
        <f t="shared" si="3"/>
        <v>4.1475990866524661</v>
      </c>
      <c r="S13" s="425">
        <f t="shared" si="4"/>
        <v>28.830000000000002</v>
      </c>
      <c r="T13" s="391">
        <f>VLOOKUP($A13,'Misc. Data &amp; Mechanisms'!$A$63:$DY$152,HLOOKUP('Service Zone Menu'!$X$5&amp;"_AltaGas_NG_Y_1",'Misc. Data &amp; Mechanisms'!$A$55:$DY$62,8,FALSE), FALSE)</f>
        <v>0.06</v>
      </c>
      <c r="U13" s="205">
        <f>VLOOKUP($A13,'Misc. Data &amp; Mechanisms'!$A$63:$DY$152,HLOOKUP('Service Zone Menu'!$X$5&amp;"_AltaGas_NG_Y_2",'Misc. Data &amp; Mechanisms'!$A$55:$DY$62,8,FALSE), FALSE)</f>
        <v>3.0429999999999999E-2</v>
      </c>
      <c r="V13" s="425">
        <f>IF(AND('Service Zone Menu'!$X$5="Athabasca", $A13&lt;DATE(2019, 5, 1)),$T13*($G13+$H13+$J13+$K13),$T13*($H13+$J13+$K13))</f>
        <v>2.3691015409871934</v>
      </c>
      <c r="W13" s="553">
        <f t="shared" si="5"/>
        <v>1.2015293315373383</v>
      </c>
      <c r="X13" s="391"/>
      <c r="Y13" s="205"/>
      <c r="Z13" s="278">
        <v>0.69</v>
      </c>
      <c r="AA13" s="278"/>
      <c r="AB13" s="492">
        <f t="shared" si="17"/>
        <v>0</v>
      </c>
      <c r="AC13" s="492">
        <f t="shared" si="6"/>
        <v>1.7376098177232551</v>
      </c>
      <c r="AD13" s="554">
        <f t="shared" si="7"/>
        <v>0</v>
      </c>
      <c r="AE13" s="200">
        <f>IF($I$2="DRT",VLOOKUP(A13,'Misc. Data &amp; Mechanisms'!$A$1483:$H$1574,8,FALSE),AQ13)</f>
        <v>6.8000000000000005E-2</v>
      </c>
      <c r="AF13" s="554">
        <f t="shared" si="18"/>
        <v>2.1080000000000001</v>
      </c>
      <c r="AG13" s="290"/>
      <c r="AH13" s="494">
        <f t="shared" si="19"/>
        <v>0</v>
      </c>
      <c r="AI13" s="495">
        <f>5%</f>
        <v>0.05</v>
      </c>
      <c r="AJ13" s="341">
        <f>'Misc. Data &amp; Mechanisms'!AN286</f>
        <v>2.5504448163481017</v>
      </c>
      <c r="AK13" s="424">
        <f>'Misc. Data &amp; Mechanisms'!AQ286</f>
        <v>2.6376208810888251</v>
      </c>
      <c r="AL13" s="424">
        <f>'Misc. Data &amp; Mechanisms'!AC286</f>
        <v>2.5182750981496453</v>
      </c>
      <c r="AM13" s="424">
        <f>'Misc. Data &amp; Mechanisms'!AD286</f>
        <v>1.6083589565685619</v>
      </c>
      <c r="AN13" s="1460">
        <f>'Misc. Data &amp; Mechanisms'!$B$260</f>
        <v>10.198990303636064</v>
      </c>
      <c r="AO13" s="197">
        <f>IFERROR(IF('Personalized Bill Menu'!$B$30="Yes", IF('Personalized Bill Menu'!$B$34="Natural Gas",VLOOKUP($A13, 'Personalized Bill Menu'!$H$4:$L$93, 2, FALSE), IF('Personalized Bill Menu'!$B$34="Both",VLOOKUP($A13,'Personalized Bill Menu'!$H$4:$P$93, 6, FALSE), 0)), 0),0)</f>
        <v>0</v>
      </c>
      <c r="AP13" s="1343">
        <f>IFERROR(IF('Personalized Bill Menu'!$C$37="Custom", IF('Personalized Bill Menu'!$B$34="Natural Gas",VLOOKUP($A13, 'Personalized Bill Menu'!$H$4:$L$93, 3, FALSE), IF('Personalized Bill Menu'!$B$34="Both",VLOOKUP($A13,'Personalized Bill Menu'!$H$4:$P$93, 7, FALSE), 0)), 0),0)</f>
        <v>0</v>
      </c>
      <c r="AQ13" s="1344">
        <f>IFERROR(IF('Personalized Bill Menu'!$C$37="Custom", IF('Personalized Bill Menu'!$B$34="Natural Gas",VLOOKUP($A13, 'Personalized Bill Menu'!$H$4:$L$93, 4, FALSE), IF('Personalized Bill Menu'!$B$34="Both",VLOOKUP($A13,'Personalized Bill Menu'!$H$4:$P$93, 8, FALSE), 0)), 0),0)</f>
        <v>0</v>
      </c>
      <c r="AR13" s="468"/>
      <c r="AS13" s="468"/>
      <c r="AT13" s="468"/>
    </row>
    <row r="14" spans="1:46" s="469" customFormat="1" ht="15" x14ac:dyDescent="0.25">
      <c r="A14" s="496">
        <v>41122</v>
      </c>
      <c r="B14" s="497">
        <f t="shared" si="8"/>
        <v>31</v>
      </c>
      <c r="C14" s="1581">
        <f t="shared" si="9"/>
        <v>2.1574061958541746</v>
      </c>
      <c r="D14" s="66">
        <f t="shared" si="10"/>
        <v>21.380101352283955</v>
      </c>
      <c r="E14" s="66">
        <f>(1+$AI14)*IF(AND('Service Zone Menu'!$X$5="Athabasca", $A14&lt;DATE(2019, 5, 1)),((1+$T14+$U14)*($N14+((1+$X14+$Y14)*$P14)+$Z14+$AA14)) + $AG14,((1+$U14)*($N14+((1+$X14+$Y14)*$P14)+$Z14+$AA14))+($T14*(((1+$X14+$Y14)*$P14)+$Z14+$AA14)) + $AG14)</f>
        <v>4.9610748495000001</v>
      </c>
      <c r="F14" s="488">
        <f t="shared" si="0"/>
        <v>46.125563125407623</v>
      </c>
      <c r="G14" s="489">
        <f t="shared" si="11"/>
        <v>4.7894417547962682</v>
      </c>
      <c r="H14" s="490">
        <f t="shared" si="1"/>
        <v>32.383248004571826</v>
      </c>
      <c r="I14" s="490">
        <f t="shared" si="12"/>
        <v>3.6430666918473062</v>
      </c>
      <c r="J14" s="490">
        <f t="shared" si="13"/>
        <v>1.0053512872680455</v>
      </c>
      <c r="K14" s="490">
        <f t="shared" si="14"/>
        <v>2.1080000000000001</v>
      </c>
      <c r="L14" s="490">
        <f t="shared" si="15"/>
        <v>0</v>
      </c>
      <c r="M14" s="491">
        <f t="shared" si="16"/>
        <v>2.1964553869241725</v>
      </c>
      <c r="N14" s="273">
        <f>IF($I$2="DRT",VLOOKUP(A14,'Misc. Data &amp; Mechanisms'!$A$1381:$D$1471,4,FALSE),AP14)</f>
        <v>2.2200000000000002</v>
      </c>
      <c r="O14" s="552">
        <f t="shared" si="2"/>
        <v>4.7894417547962682</v>
      </c>
      <c r="P14" s="387">
        <v>1.647</v>
      </c>
      <c r="Q14" s="278">
        <v>0.93</v>
      </c>
      <c r="R14" s="425">
        <f t="shared" si="3"/>
        <v>3.5532480045718255</v>
      </c>
      <c r="S14" s="425">
        <f t="shared" si="4"/>
        <v>28.830000000000002</v>
      </c>
      <c r="T14" s="391">
        <f>VLOOKUP($A14,'Misc. Data &amp; Mechanisms'!$A$63:$DY$152,HLOOKUP('Service Zone Menu'!$X$5&amp;"_AltaGas_NG_Y_1",'Misc. Data &amp; Mechanisms'!$A$55:$DY$62,8,FALSE), FALSE)</f>
        <v>0.06</v>
      </c>
      <c r="U14" s="205">
        <f>VLOOKUP($A14,'Misc. Data &amp; Mechanisms'!$A$63:$DY$152,HLOOKUP('Service Zone Menu'!$X$5&amp;"_AltaGas_NG_Y_2",'Misc. Data &amp; Mechanisms'!$A$55:$DY$62,8,FALSE), FALSE)</f>
        <v>3.0429999999999999E-2</v>
      </c>
      <c r="V14" s="425">
        <f>IF(AND('Service Zone Menu'!$X$5="Athabasca", $A14&lt;DATE(2019, 5, 1)),$T14*($G14+$H14+$J14+$K14),$T14*($H14+$J14+$K14))</f>
        <v>2.4171624627981685</v>
      </c>
      <c r="W14" s="553">
        <f t="shared" si="5"/>
        <v>1.2259042290491378</v>
      </c>
      <c r="X14" s="391"/>
      <c r="Y14" s="205"/>
      <c r="Z14" s="278">
        <v>0.46600000000000003</v>
      </c>
      <c r="AA14" s="278"/>
      <c r="AB14" s="492">
        <f t="shared" si="17"/>
        <v>0</v>
      </c>
      <c r="AC14" s="492">
        <f t="shared" si="6"/>
        <v>1.0053512872680455</v>
      </c>
      <c r="AD14" s="554">
        <f t="shared" si="7"/>
        <v>0</v>
      </c>
      <c r="AE14" s="200">
        <f>IF($I$2="DRT",VLOOKUP(A14,'Misc. Data &amp; Mechanisms'!$A$1483:$H$1574,8,FALSE),AQ14)</f>
        <v>6.8000000000000005E-2</v>
      </c>
      <c r="AF14" s="554">
        <f t="shared" si="18"/>
        <v>2.1080000000000001</v>
      </c>
      <c r="AG14" s="290"/>
      <c r="AH14" s="494">
        <f t="shared" si="19"/>
        <v>0</v>
      </c>
      <c r="AI14" s="495">
        <f>5%</f>
        <v>0.05</v>
      </c>
      <c r="AJ14" s="341">
        <f>'Misc. Data &amp; Mechanisms'!AN287</f>
        <v>2.1849659924034981</v>
      </c>
      <c r="AK14" s="424">
        <f>'Misc. Data &amp; Mechanisms'!AQ287</f>
        <v>2.8528753773539699</v>
      </c>
      <c r="AL14" s="424">
        <f>'Misc. Data &amp; Mechanisms'!AC287</f>
        <v>2.1574061958541746</v>
      </c>
      <c r="AM14" s="424">
        <f>'Misc. Data &amp; Mechanisms'!AD287</f>
        <v>1.3778810665316663</v>
      </c>
      <c r="AN14" s="1460">
        <f>'Misc. Data &amp; Mechanisms'!$B$260</f>
        <v>10.198990303636064</v>
      </c>
      <c r="AO14" s="197">
        <f>IFERROR(IF('Personalized Bill Menu'!$B$30="Yes", IF('Personalized Bill Menu'!$B$34="Natural Gas",VLOOKUP($A14, 'Personalized Bill Menu'!$H$4:$L$93, 2, FALSE), IF('Personalized Bill Menu'!$B$34="Both",VLOOKUP($A14,'Personalized Bill Menu'!$H$4:$P$93, 6, FALSE), 0)), 0),0)</f>
        <v>0</v>
      </c>
      <c r="AP14" s="1343">
        <f>IFERROR(IF('Personalized Bill Menu'!$C$37="Custom", IF('Personalized Bill Menu'!$B$34="Natural Gas",VLOOKUP($A14, 'Personalized Bill Menu'!$H$4:$L$93, 3, FALSE), IF('Personalized Bill Menu'!$B$34="Both",VLOOKUP($A14,'Personalized Bill Menu'!$H$4:$P$93, 7, FALSE), 0)), 0),0)</f>
        <v>0</v>
      </c>
      <c r="AQ14" s="1344">
        <f>IFERROR(IF('Personalized Bill Menu'!$C$37="Custom", IF('Personalized Bill Menu'!$B$34="Natural Gas",VLOOKUP($A14, 'Personalized Bill Menu'!$H$4:$L$93, 4, FALSE), IF('Personalized Bill Menu'!$B$34="Both",VLOOKUP($A14,'Personalized Bill Menu'!$H$4:$P$93, 8, FALSE), 0)), 0),0)</f>
        <v>0</v>
      </c>
      <c r="AR14" s="468"/>
      <c r="AS14" s="468"/>
      <c r="AT14" s="468"/>
    </row>
    <row r="15" spans="1:46" s="469" customFormat="1" ht="15" x14ac:dyDescent="0.25">
      <c r="A15" s="496">
        <v>41153</v>
      </c>
      <c r="B15" s="497">
        <f t="shared" si="8"/>
        <v>30</v>
      </c>
      <c r="C15" s="1581">
        <f t="shared" si="9"/>
        <v>2.8880849218944875</v>
      </c>
      <c r="D15" s="66">
        <f t="shared" si="10"/>
        <v>15.938562041557834</v>
      </c>
      <c r="E15" s="66">
        <f>(1+$AI15)*IF(AND('Service Zone Menu'!$X$5="Athabasca", $A15&lt;DATE(2019, 5, 1)),((1+$T15+$U15)*($N15+((1+$X15+$Y15)*$P15)+$Z15+$AA15)) + $AG15,((1+$U15)*($N15+((1+$X15+$Y15)*$P15)+$Z15+$AA15))+($T15*(((1+$X15+$Y15)*$P15)+$Z15+$AA15)) + $AG15)</f>
        <v>4.0691576310000004</v>
      </c>
      <c r="F15" s="488">
        <f t="shared" si="0"/>
        <v>46.031920708903002</v>
      </c>
      <c r="G15" s="489">
        <f t="shared" si="11"/>
        <v>4.4476507797175104</v>
      </c>
      <c r="H15" s="490">
        <f t="shared" si="1"/>
        <v>32.656675866360224</v>
      </c>
      <c r="I15" s="490">
        <f t="shared" si="12"/>
        <v>3.6356706722565089</v>
      </c>
      <c r="J15" s="490">
        <f t="shared" si="13"/>
        <v>1.0599271663352769</v>
      </c>
      <c r="K15" s="490">
        <f t="shared" si="14"/>
        <v>2.04</v>
      </c>
      <c r="L15" s="490">
        <f t="shared" si="15"/>
        <v>0</v>
      </c>
      <c r="M15" s="491">
        <f t="shared" si="16"/>
        <v>2.1919962242334763</v>
      </c>
      <c r="N15" s="273">
        <f>IF($I$2="DRT",VLOOKUP(A15,'Misc. Data &amp; Mechanisms'!$A$1381:$D$1471,4,FALSE),AP15)</f>
        <v>1.54</v>
      </c>
      <c r="O15" s="552">
        <f t="shared" si="2"/>
        <v>4.4476507797175104</v>
      </c>
      <c r="P15" s="387">
        <v>1.647</v>
      </c>
      <c r="Q15" s="278">
        <v>0.93</v>
      </c>
      <c r="R15" s="425">
        <f t="shared" si="3"/>
        <v>4.7566758663602213</v>
      </c>
      <c r="S15" s="425">
        <f t="shared" si="4"/>
        <v>27.900000000000002</v>
      </c>
      <c r="T15" s="391">
        <f>VLOOKUP($A15,'Misc. Data &amp; Mechanisms'!$A$63:$DY$152,HLOOKUP('Service Zone Menu'!$X$5&amp;"_AltaGas_NG_Y_1",'Misc. Data &amp; Mechanisms'!$A$55:$DY$62,8,FALSE), FALSE)</f>
        <v>0.06</v>
      </c>
      <c r="U15" s="205">
        <f>VLOOKUP($A15,'Misc. Data &amp; Mechanisms'!$A$63:$DY$152,HLOOKUP('Service Zone Menu'!$X$5&amp;"_AltaGas_NG_Y_2",'Misc. Data &amp; Mechanisms'!$A$55:$DY$62,8,FALSE), FALSE)</f>
        <v>3.0429999999999999E-2</v>
      </c>
      <c r="V15" s="425">
        <f>IF(AND('Service Zone Menu'!$X$5="Athabasca", $A15&lt;DATE(2019, 5, 1)),$T15*($G15+$H15+$J15+$K15),$T15*($H15+$J15+$K15))</f>
        <v>2.4122552287447809</v>
      </c>
      <c r="W15" s="553">
        <f t="shared" si="5"/>
        <v>1.2234154435117279</v>
      </c>
      <c r="X15" s="391"/>
      <c r="Y15" s="205"/>
      <c r="Z15" s="278">
        <v>0.36699999999999999</v>
      </c>
      <c r="AA15" s="278"/>
      <c r="AB15" s="492">
        <f t="shared" si="17"/>
        <v>0</v>
      </c>
      <c r="AC15" s="492">
        <f t="shared" si="6"/>
        <v>1.0599271663352769</v>
      </c>
      <c r="AD15" s="554">
        <f t="shared" si="7"/>
        <v>0</v>
      </c>
      <c r="AE15" s="200">
        <f>IF($I$2="DRT",VLOOKUP(A15,'Misc. Data &amp; Mechanisms'!$A$1483:$H$1574,8,FALSE),AQ15)</f>
        <v>6.8000000000000005E-2</v>
      </c>
      <c r="AF15" s="554">
        <f t="shared" si="18"/>
        <v>2.04</v>
      </c>
      <c r="AG15" s="290"/>
      <c r="AH15" s="494">
        <f t="shared" si="19"/>
        <v>0</v>
      </c>
      <c r="AI15" s="495">
        <f>5%</f>
        <v>0.05</v>
      </c>
      <c r="AJ15" s="341">
        <f>'Misc. Data &amp; Mechanisms'!AN288</f>
        <v>2.9249787775891343</v>
      </c>
      <c r="AK15" s="424">
        <f>'Misc. Data &amp; Mechanisms'!AQ288</f>
        <v>3.1838910976324981</v>
      </c>
      <c r="AL15" s="424">
        <f>'Misc. Data &amp; Mechanisms'!AC288</f>
        <v>2.8880849218944875</v>
      </c>
      <c r="AM15" s="424">
        <f>'Misc. Data &amp; Mechanisms'!AD288</f>
        <v>1.8445471882212869</v>
      </c>
      <c r="AN15" s="1460">
        <f>'Misc. Data &amp; Mechanisms'!$B$260</f>
        <v>10.198990303636064</v>
      </c>
      <c r="AO15" s="197">
        <f>IFERROR(IF('Personalized Bill Menu'!$B$30="Yes", IF('Personalized Bill Menu'!$B$34="Natural Gas",VLOOKUP($A15, 'Personalized Bill Menu'!$H$4:$L$93, 2, FALSE), IF('Personalized Bill Menu'!$B$34="Both",VLOOKUP($A15,'Personalized Bill Menu'!$H$4:$P$93, 6, FALSE), 0)), 0),0)</f>
        <v>0</v>
      </c>
      <c r="AP15" s="1343">
        <f>IFERROR(IF('Personalized Bill Menu'!$C$37="Custom", IF('Personalized Bill Menu'!$B$34="Natural Gas",VLOOKUP($A15, 'Personalized Bill Menu'!$H$4:$L$93, 3, FALSE), IF('Personalized Bill Menu'!$B$34="Both",VLOOKUP($A15,'Personalized Bill Menu'!$H$4:$P$93, 7, FALSE), 0)), 0),0)</f>
        <v>0</v>
      </c>
      <c r="AQ15" s="1344">
        <f>IFERROR(IF('Personalized Bill Menu'!$C$37="Custom", IF('Personalized Bill Menu'!$B$34="Natural Gas",VLOOKUP($A15, 'Personalized Bill Menu'!$H$4:$L$93, 4, FALSE), IF('Personalized Bill Menu'!$B$34="Both",VLOOKUP($A15,'Personalized Bill Menu'!$H$4:$P$93, 8, FALSE), 0)), 0),0)</f>
        <v>0</v>
      </c>
      <c r="AR15" s="468"/>
      <c r="AS15" s="468"/>
      <c r="AT15" s="468"/>
    </row>
    <row r="16" spans="1:46" s="469" customFormat="1" ht="15" x14ac:dyDescent="0.25">
      <c r="A16" s="496">
        <v>41183</v>
      </c>
      <c r="B16" s="497">
        <f t="shared" si="8"/>
        <v>31</v>
      </c>
      <c r="C16" s="1581">
        <f t="shared" si="9"/>
        <v>5.6120101474676245</v>
      </c>
      <c r="D16" s="66">
        <f t="shared" si="10"/>
        <v>11.295885044340663</v>
      </c>
      <c r="E16" s="66">
        <f>(1+$AI16)*IF(AND('Service Zone Menu'!$X$5="Athabasca", $A16&lt;DATE(2019, 5, 1)),((1+$T16+$U16)*($N16+((1+$X16+$Y16)*$P16)+$Z16+$AA16)) + $AG16,((1+$U16)*($N16+((1+$X16+$Y16)*$P16)+$Z16+$AA16))+($T16*(((1+$X16+$Y16)*$P16)+$Z16+$AA16)) + $AG16)</f>
        <v>4.9839738795000006</v>
      </c>
      <c r="F16" s="488">
        <f t="shared" si="0"/>
        <v>63.39262149346758</v>
      </c>
      <c r="G16" s="489">
        <f t="shared" si="11"/>
        <v>13.609124607608988</v>
      </c>
      <c r="H16" s="490">
        <f t="shared" si="1"/>
        <v>38.072980712879179</v>
      </c>
      <c r="I16" s="490">
        <f t="shared" si="12"/>
        <v>5.0068450599473193</v>
      </c>
      <c r="J16" s="490">
        <f t="shared" si="13"/>
        <v>1.5769748514384025</v>
      </c>
      <c r="K16" s="490">
        <f t="shared" si="14"/>
        <v>2.1080000000000001</v>
      </c>
      <c r="L16" s="490">
        <f t="shared" si="15"/>
        <v>0</v>
      </c>
      <c r="M16" s="491">
        <f t="shared" si="16"/>
        <v>3.0186962615936945</v>
      </c>
      <c r="N16" s="273">
        <f>IF($I$2="DRT",VLOOKUP(A16,'Misc. Data &amp; Mechanisms'!$A$1381:$D$1471,4,FALSE),AP16)</f>
        <v>2.4249999999999998</v>
      </c>
      <c r="O16" s="552">
        <f t="shared" si="2"/>
        <v>13.609124607608988</v>
      </c>
      <c r="P16" s="387">
        <v>1.647</v>
      </c>
      <c r="Q16" s="278">
        <v>0.93</v>
      </c>
      <c r="R16" s="425">
        <f t="shared" si="3"/>
        <v>9.2429807128791772</v>
      </c>
      <c r="S16" s="425">
        <f t="shared" si="4"/>
        <v>28.830000000000002</v>
      </c>
      <c r="T16" s="391">
        <f>VLOOKUP($A16,'Misc. Data &amp; Mechanisms'!$A$63:$DY$152,HLOOKUP('Service Zone Menu'!$X$5&amp;"_AltaGas_NG_Y_1",'Misc. Data &amp; Mechanisms'!$A$55:$DY$62,8,FALSE), FALSE)</f>
        <v>0.06</v>
      </c>
      <c r="U16" s="205">
        <f>VLOOKUP($A16,'Misc. Data &amp; Mechanisms'!$A$63:$DY$152,HLOOKUP('Service Zone Menu'!$X$5&amp;"_AltaGas_NG_Y_2",'Misc. Data &amp; Mechanisms'!$A$55:$DY$62,8,FALSE), FALSE)</f>
        <v>3.0429999999999999E-2</v>
      </c>
      <c r="V16" s="425">
        <f>IF(AND('Service Zone Menu'!$X$5="Athabasca", $A16&lt;DATE(2019, 5, 1)),$T16*($G16+$H16+$J16+$K16),$T16*($H16+$J16+$K16))</f>
        <v>3.322024810315594</v>
      </c>
      <c r="W16" s="553">
        <f t="shared" si="5"/>
        <v>1.6848202496317253</v>
      </c>
      <c r="X16" s="391"/>
      <c r="Y16" s="205"/>
      <c r="Z16" s="278">
        <v>0.28100000000000003</v>
      </c>
      <c r="AA16" s="278"/>
      <c r="AB16" s="492">
        <f t="shared" si="17"/>
        <v>0</v>
      </c>
      <c r="AC16" s="492">
        <f t="shared" si="6"/>
        <v>1.5769748514384025</v>
      </c>
      <c r="AD16" s="554">
        <f t="shared" si="7"/>
        <v>0</v>
      </c>
      <c r="AE16" s="200">
        <f>IF($I$2="DRT",VLOOKUP(A16,'Misc. Data &amp; Mechanisms'!$A$1483:$H$1574,8,FALSE),AQ16)</f>
        <v>6.8000000000000005E-2</v>
      </c>
      <c r="AF16" s="554">
        <f t="shared" si="18"/>
        <v>2.1080000000000001</v>
      </c>
      <c r="AG16" s="290"/>
      <c r="AH16" s="494">
        <f t="shared" si="19"/>
        <v>0</v>
      </c>
      <c r="AI16" s="495">
        <f>5%</f>
        <v>0.05</v>
      </c>
      <c r="AJ16" s="341">
        <f>'Misc. Data &amp; Mechanisms'!AN289</f>
        <v>5.6837007999716196</v>
      </c>
      <c r="AK16" s="424">
        <f>'Misc. Data &amp; Mechanisms'!AQ289</f>
        <v>12.137511372775048</v>
      </c>
      <c r="AL16" s="424">
        <f>'Misc. Data &amp; Mechanisms'!AC289</f>
        <v>5.6120101474676245</v>
      </c>
      <c r="AM16" s="424">
        <f>'Misc. Data &amp; Mechanisms'!AD289</f>
        <v>3.5842497079311717</v>
      </c>
      <c r="AN16" s="1460">
        <f>'Misc. Data &amp; Mechanisms'!$B$260</f>
        <v>10.198990303636064</v>
      </c>
      <c r="AO16" s="197">
        <f>IFERROR(IF('Personalized Bill Menu'!$B$30="Yes", IF('Personalized Bill Menu'!$B$34="Natural Gas",VLOOKUP($A16, 'Personalized Bill Menu'!$H$4:$L$93, 2, FALSE), IF('Personalized Bill Menu'!$B$34="Both",VLOOKUP($A16,'Personalized Bill Menu'!$H$4:$P$93, 6, FALSE), 0)), 0),0)</f>
        <v>0</v>
      </c>
      <c r="AP16" s="1343">
        <f>IFERROR(IF('Personalized Bill Menu'!$C$37="Custom", IF('Personalized Bill Menu'!$B$34="Natural Gas",VLOOKUP($A16, 'Personalized Bill Menu'!$H$4:$L$93, 3, FALSE), IF('Personalized Bill Menu'!$B$34="Both",VLOOKUP($A16,'Personalized Bill Menu'!$H$4:$P$93, 7, FALSE), 0)), 0),0)</f>
        <v>0</v>
      </c>
      <c r="AQ16" s="1344">
        <f>IFERROR(IF('Personalized Bill Menu'!$C$37="Custom", IF('Personalized Bill Menu'!$B$34="Natural Gas",VLOOKUP($A16, 'Personalized Bill Menu'!$H$4:$L$93, 4, FALSE), IF('Personalized Bill Menu'!$B$34="Both",VLOOKUP($A16,'Personalized Bill Menu'!$H$4:$P$93, 8, FALSE), 0)), 0),0)</f>
        <v>0</v>
      </c>
      <c r="AR16" s="468"/>
      <c r="AS16" s="468"/>
      <c r="AT16" s="468"/>
    </row>
    <row r="17" spans="1:46" s="469" customFormat="1" ht="15" x14ac:dyDescent="0.25">
      <c r="A17" s="496">
        <v>41214</v>
      </c>
      <c r="B17" s="497">
        <f t="shared" si="8"/>
        <v>30</v>
      </c>
      <c r="C17" s="1581">
        <f t="shared" si="9"/>
        <v>15.111248285435805</v>
      </c>
      <c r="D17" s="66">
        <f t="shared" si="10"/>
        <v>8.2016374272054282</v>
      </c>
      <c r="E17" s="66">
        <f>(1+$AI17)*IF(AND('Service Zone Menu'!$X$5="Athabasca", $A17&lt;DATE(2019, 5, 1)),((1+$T17+$U17)*($N17+((1+$X17+$Y17)*$P17)+$Z17+$AA17)) + $AG17,((1+$U17)*($N17+((1+$X17+$Y17)*$P17)+$Z17+$AA17))+($T17*(((1+$X17+$Y17)*$P17)+$Z17+$AA17)) + $AG17)</f>
        <v>5.9331386730000002</v>
      </c>
      <c r="F17" s="488">
        <f t="shared" si="0"/>
        <v>123.93697950962414</v>
      </c>
      <c r="G17" s="489">
        <f t="shared" si="11"/>
        <v>50.970240466774975</v>
      </c>
      <c r="H17" s="490">
        <f t="shared" si="1"/>
        <v>52.788225926112773</v>
      </c>
      <c r="I17" s="490">
        <f t="shared" si="12"/>
        <v>9.7887299654660573</v>
      </c>
      <c r="J17" s="490">
        <f t="shared" si="13"/>
        <v>2.4480222222406005</v>
      </c>
      <c r="K17" s="490">
        <f t="shared" si="14"/>
        <v>2.04</v>
      </c>
      <c r="L17" s="490">
        <f t="shared" si="15"/>
        <v>0</v>
      </c>
      <c r="M17" s="491">
        <f t="shared" si="16"/>
        <v>5.901760929029721</v>
      </c>
      <c r="N17" s="273">
        <f>IF($I$2="DRT",VLOOKUP(A17,'Misc. Data &amp; Mechanisms'!$A$1381:$D$1471,4,FALSE),AP17)</f>
        <v>3.3730000000000002</v>
      </c>
      <c r="O17" s="552">
        <f t="shared" si="2"/>
        <v>50.970240466774975</v>
      </c>
      <c r="P17" s="387">
        <v>1.647</v>
      </c>
      <c r="Q17" s="278">
        <v>0.93</v>
      </c>
      <c r="R17" s="425">
        <f t="shared" si="3"/>
        <v>24.888225926112771</v>
      </c>
      <c r="S17" s="425">
        <f t="shared" si="4"/>
        <v>27.900000000000002</v>
      </c>
      <c r="T17" s="391">
        <f>VLOOKUP($A17,'Misc. Data &amp; Mechanisms'!$A$63:$DY$152,HLOOKUP('Service Zone Menu'!$X$5&amp;"_AltaGas_NG_Y_1",'Misc. Data &amp; Mechanisms'!$A$55:$DY$62,8,FALSE), FALSE)</f>
        <v>0.06</v>
      </c>
      <c r="U17" s="205">
        <f>VLOOKUP($A17,'Misc. Data &amp; Mechanisms'!$A$63:$DY$152,HLOOKUP('Service Zone Menu'!$X$5&amp;"_AltaGas_NG_Y_2",'Misc. Data &amp; Mechanisms'!$A$55:$DY$62,8,FALSE), FALSE)</f>
        <v>3.0429999999999999E-2</v>
      </c>
      <c r="V17" s="425">
        <f>IF(AND('Service Zone Menu'!$X$5="Athabasca", $A17&lt;DATE(2019, 5, 1)),$T17*($G17+$H17+$J17+$K17),$T17*($H17+$J17+$K17))</f>
        <v>6.4947893169077009</v>
      </c>
      <c r="W17" s="553">
        <f t="shared" si="5"/>
        <v>3.2939406485583556</v>
      </c>
      <c r="X17" s="391"/>
      <c r="Y17" s="205"/>
      <c r="Z17" s="278">
        <v>0.16200000000000001</v>
      </c>
      <c r="AA17" s="278"/>
      <c r="AB17" s="492">
        <f t="shared" si="17"/>
        <v>0</v>
      </c>
      <c r="AC17" s="492">
        <f t="shared" si="6"/>
        <v>2.4480222222406005</v>
      </c>
      <c r="AD17" s="554">
        <f t="shared" si="7"/>
        <v>0</v>
      </c>
      <c r="AE17" s="200">
        <f>IF($I$2="DRT",VLOOKUP(A17,'Misc. Data &amp; Mechanisms'!$A$1483:$H$1574,8,FALSE),AQ17)</f>
        <v>6.8000000000000005E-2</v>
      </c>
      <c r="AF17" s="554">
        <f t="shared" si="18"/>
        <v>2.04</v>
      </c>
      <c r="AG17" s="290"/>
      <c r="AH17" s="494">
        <f t="shared" si="19"/>
        <v>0</v>
      </c>
      <c r="AI17" s="495">
        <f>5%</f>
        <v>0.05</v>
      </c>
      <c r="AJ17" s="341">
        <f>'Misc. Data &amp; Mechanisms'!AN290</f>
        <v>15.304287004409186</v>
      </c>
      <c r="AK17" s="424">
        <f>'Misc. Data &amp; Mechanisms'!AQ290</f>
        <v>17.55422683228494</v>
      </c>
      <c r="AL17" s="424">
        <f>'Misc. Data &amp; Mechanisms'!AC290</f>
        <v>15.111248285435805</v>
      </c>
      <c r="AM17" s="424">
        <f>'Misc. Data &amp; Mechanisms'!AD290</f>
        <v>9.6511741479991962</v>
      </c>
      <c r="AN17" s="1460">
        <f>'Misc. Data &amp; Mechanisms'!$B$260</f>
        <v>10.198990303636064</v>
      </c>
      <c r="AO17" s="197">
        <f>IFERROR(IF('Personalized Bill Menu'!$B$30="Yes", IF('Personalized Bill Menu'!$B$34="Natural Gas",VLOOKUP($A17, 'Personalized Bill Menu'!$H$4:$L$93, 2, FALSE), IF('Personalized Bill Menu'!$B$34="Both",VLOOKUP($A17,'Personalized Bill Menu'!$H$4:$P$93, 6, FALSE), 0)), 0),0)</f>
        <v>0</v>
      </c>
      <c r="AP17" s="1343">
        <f>IFERROR(IF('Personalized Bill Menu'!$C$37="Custom", IF('Personalized Bill Menu'!$B$34="Natural Gas",VLOOKUP($A17, 'Personalized Bill Menu'!$H$4:$L$93, 3, FALSE), IF('Personalized Bill Menu'!$B$34="Both",VLOOKUP($A17,'Personalized Bill Menu'!$H$4:$P$93, 7, FALSE), 0)), 0),0)</f>
        <v>0</v>
      </c>
      <c r="AQ17" s="1344">
        <f>IFERROR(IF('Personalized Bill Menu'!$C$37="Custom", IF('Personalized Bill Menu'!$B$34="Natural Gas",VLOOKUP($A17, 'Personalized Bill Menu'!$H$4:$L$93, 4, FALSE), IF('Personalized Bill Menu'!$B$34="Both",VLOOKUP($A17,'Personalized Bill Menu'!$H$4:$P$93, 8, FALSE), 0)), 0),0)</f>
        <v>0</v>
      </c>
      <c r="AR17" s="468"/>
      <c r="AS17" s="468"/>
      <c r="AT17" s="468"/>
    </row>
    <row r="18" spans="1:46" s="469" customFormat="1" ht="15" x14ac:dyDescent="0.25">
      <c r="A18" s="508">
        <v>41244</v>
      </c>
      <c r="B18" s="509">
        <f t="shared" si="8"/>
        <v>31</v>
      </c>
      <c r="C18" s="231">
        <f t="shared" si="9"/>
        <v>19.859509463056124</v>
      </c>
      <c r="D18" s="344">
        <f t="shared" si="10"/>
        <v>7.6549660984238503</v>
      </c>
      <c r="E18" s="344">
        <f>(1+$AI18)*IF(AND('Service Zone Menu'!$X$5="Athabasca", $A18&lt;DATE(2019, 5, 1)),((1+$T18+$U18)*($N18+((1+$X18+$Y18)*$P18)+$Z18+$AA18)) + $AG18,((1+$U18)*($N18+((1+$X18+$Y18)*$P18)+$Z18+$AA18))+($T18*(((1+$X18+$Y18)*$P18)+$Z18+$AA18)) + $AG18)</f>
        <v>5.8713112919999997</v>
      </c>
      <c r="F18" s="510">
        <f t="shared" si="0"/>
        <v>152.02387167102228</v>
      </c>
      <c r="G18" s="511">
        <f t="shared" si="11"/>
        <v>67.145001494592748</v>
      </c>
      <c r="H18" s="512">
        <f t="shared" si="1"/>
        <v>61.53861208565344</v>
      </c>
      <c r="I18" s="512">
        <f t="shared" si="12"/>
        <v>12.007075160136079</v>
      </c>
      <c r="J18" s="512">
        <f t="shared" si="13"/>
        <v>1.9859509463056124</v>
      </c>
      <c r="K18" s="512">
        <f t="shared" si="14"/>
        <v>2.1080000000000001</v>
      </c>
      <c r="L18" s="512">
        <f t="shared" si="15"/>
        <v>0</v>
      </c>
      <c r="M18" s="513">
        <f t="shared" si="16"/>
        <v>7.2392319843343946</v>
      </c>
      <c r="N18" s="1243">
        <f>IF($I$2="DRT",VLOOKUP(A18,'Misc. Data &amp; Mechanisms'!$A$1381:$D$1471,4,FALSE),AP18)</f>
        <v>3.3809999999999998</v>
      </c>
      <c r="O18" s="558">
        <f t="shared" si="2"/>
        <v>67.145001494592748</v>
      </c>
      <c r="P18" s="438">
        <v>1.647</v>
      </c>
      <c r="Q18" s="283">
        <v>0.93</v>
      </c>
      <c r="R18" s="440">
        <f t="shared" si="3"/>
        <v>32.708612085653435</v>
      </c>
      <c r="S18" s="440">
        <f t="shared" si="4"/>
        <v>28.830000000000002</v>
      </c>
      <c r="T18" s="394">
        <f>VLOOKUP($A18,'Misc. Data &amp; Mechanisms'!$A$63:$DY$152,HLOOKUP('Service Zone Menu'!$X$5&amp;"_AltaGas_NG_Y_1",'Misc. Data &amp; Mechanisms'!$A$55:$DY$62,8,FALSE), FALSE)</f>
        <v>0.06</v>
      </c>
      <c r="U18" s="246">
        <f>VLOOKUP($A18,'Misc. Data &amp; Mechanisms'!$A$63:$DY$152,HLOOKUP('Service Zone Menu'!$X$5&amp;"_AltaGas_NG_Y_2",'Misc. Data &amp; Mechanisms'!$A$55:$DY$62,8,FALSE), FALSE)</f>
        <v>3.0429999999999999E-2</v>
      </c>
      <c r="V18" s="440">
        <f>IF(AND('Service Zone Menu'!$X$5="Athabasca", $A18&lt;DATE(2019, 5, 1)),$T18*($G18+$H18+$J18+$K18),$T18*($H18+$J18+$K18))</f>
        <v>7.9666538715931079</v>
      </c>
      <c r="W18" s="559">
        <f t="shared" si="5"/>
        <v>4.0404212885429711</v>
      </c>
      <c r="X18" s="394"/>
      <c r="Y18" s="246"/>
      <c r="Z18" s="283">
        <v>0.1</v>
      </c>
      <c r="AA18" s="283"/>
      <c r="AB18" s="514">
        <f t="shared" si="17"/>
        <v>0</v>
      </c>
      <c r="AC18" s="514">
        <f t="shared" si="6"/>
        <v>1.9859509463056124</v>
      </c>
      <c r="AD18" s="560">
        <f t="shared" si="7"/>
        <v>0</v>
      </c>
      <c r="AE18" s="239">
        <f>IF($I$2="DRT",VLOOKUP(A18,'Misc. Data &amp; Mechanisms'!$A$1483:$H$1574,8,FALSE),AQ18)</f>
        <v>6.8000000000000005E-2</v>
      </c>
      <c r="AF18" s="560">
        <f t="shared" si="18"/>
        <v>2.1080000000000001</v>
      </c>
      <c r="AG18" s="292"/>
      <c r="AH18" s="516">
        <f t="shared" si="19"/>
        <v>0</v>
      </c>
      <c r="AI18" s="517">
        <f>5%</f>
        <v>0.05</v>
      </c>
      <c r="AJ18" s="352">
        <f>'Misc. Data &amp; Mechanisms'!AN291</f>
        <v>20.113204868873986</v>
      </c>
      <c r="AK18" s="441">
        <f>'Misc. Data &amp; Mechanisms'!AQ291</f>
        <v>23.059498623787203</v>
      </c>
      <c r="AL18" s="441">
        <f>'Misc. Data &amp; Mechanisms'!AC291</f>
        <v>19.859509463056124</v>
      </c>
      <c r="AM18" s="441">
        <f>'Misc. Data &amp; Mechanisms'!AD291</f>
        <v>12.683769116977686</v>
      </c>
      <c r="AN18" s="1461">
        <f>'Misc. Data &amp; Mechanisms'!$B$260</f>
        <v>10.198990303636064</v>
      </c>
      <c r="AO18" s="243">
        <f>IFERROR(IF('Personalized Bill Menu'!$B$30="Yes", IF('Personalized Bill Menu'!$B$34="Natural Gas",VLOOKUP($A18, 'Personalized Bill Menu'!$H$4:$L$93, 2, FALSE), IF('Personalized Bill Menu'!$B$34="Both",VLOOKUP($A18,'Personalized Bill Menu'!$H$4:$P$93, 6, FALSE), 0)), 0),0)</f>
        <v>0</v>
      </c>
      <c r="AP18" s="1345">
        <f>IFERROR(IF('Personalized Bill Menu'!$C$37="Custom", IF('Personalized Bill Menu'!$B$34="Natural Gas",VLOOKUP($A18, 'Personalized Bill Menu'!$H$4:$L$93, 3, FALSE), IF('Personalized Bill Menu'!$B$34="Both",VLOOKUP($A18,'Personalized Bill Menu'!$H$4:$P$93, 7, FALSE), 0)), 0),0)</f>
        <v>0</v>
      </c>
      <c r="AQ18" s="1346">
        <f>IFERROR(IF('Personalized Bill Menu'!$C$37="Custom", IF('Personalized Bill Menu'!$B$34="Natural Gas",VLOOKUP($A18, 'Personalized Bill Menu'!$H$4:$L$93, 4, FALSE), IF('Personalized Bill Menu'!$B$34="Both",VLOOKUP($A18,'Personalized Bill Menu'!$H$4:$P$93, 8, FALSE), 0)), 0),0)</f>
        <v>0</v>
      </c>
      <c r="AR18" s="468"/>
      <c r="AS18" s="468"/>
      <c r="AT18" s="468"/>
    </row>
    <row r="19" spans="1:46" s="469" customFormat="1" ht="15" x14ac:dyDescent="0.25">
      <c r="A19" s="498">
        <v>41275</v>
      </c>
      <c r="B19" s="499">
        <f t="shared" si="8"/>
        <v>31</v>
      </c>
      <c r="C19" s="212">
        <f t="shared" si="9"/>
        <v>23.724379599252234</v>
      </c>
      <c r="D19" s="353">
        <f t="shared" si="10"/>
        <v>7.2633154188714597</v>
      </c>
      <c r="E19" s="353">
        <f>(1+$AI19)*IF(AND('Service Zone Menu'!$X$5="Athabasca", $A19&lt;DATE(2019, 5, 1)),((1+$T19+$U19)*($N19+((1+$X19+$Y19)*$P19)+$Z19+$AA19)) + $AG19,((1+$U19)*($N19+((1+$X19+$Y19)*$P19)+$Z19+$AA19))+($T19*(((1+$X19+$Y19)*$P19)+$Z19+$AA19)) + $AG19)</f>
        <v>5.5925950311000001</v>
      </c>
      <c r="F19" s="500">
        <f t="shared" si="0"/>
        <v>172.31765214640825</v>
      </c>
      <c r="G19" s="501">
        <f t="shared" si="11"/>
        <v>67.66193061706737</v>
      </c>
      <c r="H19" s="502">
        <f t="shared" si="1"/>
        <v>74.756300213444291</v>
      </c>
      <c r="I19" s="502">
        <f t="shared" si="12"/>
        <v>15.999956929640465</v>
      </c>
      <c r="J19" s="502">
        <f t="shared" si="13"/>
        <v>3.3688619030938169</v>
      </c>
      <c r="K19" s="502">
        <f t="shared" si="14"/>
        <v>2.3249999999999997</v>
      </c>
      <c r="L19" s="502">
        <f t="shared" si="15"/>
        <v>0</v>
      </c>
      <c r="M19" s="503">
        <f t="shared" si="16"/>
        <v>8.2056024831622985</v>
      </c>
      <c r="N19" s="273">
        <f>IF($I$2="DRT",VLOOKUP(A19,'Misc. Data &amp; Mechanisms'!$A$1381:$D$1471,4,FALSE),AP19)</f>
        <v>2.8519999999999999</v>
      </c>
      <c r="O19" s="555">
        <f t="shared" si="2"/>
        <v>67.66193061706737</v>
      </c>
      <c r="P19" s="431">
        <v>1.8129999999999999</v>
      </c>
      <c r="Q19" s="288">
        <v>1.024</v>
      </c>
      <c r="R19" s="433">
        <f t="shared" si="3"/>
        <v>43.012300213444298</v>
      </c>
      <c r="S19" s="433">
        <f t="shared" si="4"/>
        <v>31.744</v>
      </c>
      <c r="T19" s="391">
        <f>VLOOKUP($A19,'Misc. Data &amp; Mechanisms'!$A$63:$DY$152,HLOOKUP('Service Zone Menu'!$X$5&amp;"_AltaGas_NG_Y_1",'Misc. Data &amp; Mechanisms'!$A$55:$DY$62,8,FALSE), FALSE)</f>
        <v>0.06</v>
      </c>
      <c r="U19" s="205">
        <f>VLOOKUP($A19,'Misc. Data &amp; Mechanisms'!$A$63:$DY$152,HLOOKUP('Service Zone Menu'!$X$5&amp;"_AltaGas_NG_Y_2",'Misc. Data &amp; Mechanisms'!$A$55:$DY$62,8,FALSE), FALSE)</f>
        <v>4.8025999999999999E-2</v>
      </c>
      <c r="V19" s="433">
        <f>IF(AND('Service Zone Menu'!$X$5="Athabasca", $A19&lt;DATE(2019, 5, 1)),$T19*($G19+$H19+$J19+$K19),$T19*($H19+$J19+$K19))</f>
        <v>8.886725564016329</v>
      </c>
      <c r="W19" s="556">
        <f t="shared" si="5"/>
        <v>7.113231365624137</v>
      </c>
      <c r="X19" s="389"/>
      <c r="Y19" s="222"/>
      <c r="Z19" s="288">
        <v>0.14199999999999999</v>
      </c>
      <c r="AA19" s="288"/>
      <c r="AB19" s="504">
        <f t="shared" si="17"/>
        <v>0</v>
      </c>
      <c r="AC19" s="504">
        <f t="shared" si="6"/>
        <v>3.3688619030938169</v>
      </c>
      <c r="AD19" s="557">
        <f t="shared" si="7"/>
        <v>0</v>
      </c>
      <c r="AE19" s="200">
        <f>IF($I$2="DRT",VLOOKUP(A19,'Misc. Data &amp; Mechanisms'!$A$1483:$H$1574,8,FALSE),AQ19)</f>
        <v>7.4999999999999997E-2</v>
      </c>
      <c r="AF19" s="557">
        <f t="shared" si="18"/>
        <v>2.3249999999999997</v>
      </c>
      <c r="AG19" s="286"/>
      <c r="AH19" s="506">
        <f t="shared" si="19"/>
        <v>0</v>
      </c>
      <c r="AI19" s="507">
        <f>5%</f>
        <v>0.05</v>
      </c>
      <c r="AJ19" s="341">
        <f>'Misc. Data &amp; Mechanisms'!AN292</f>
        <v>24.027446808510639</v>
      </c>
      <c r="AK19" s="434">
        <f>'Misc. Data &amp; Mechanisms'!AQ292</f>
        <v>19.649007000163369</v>
      </c>
      <c r="AL19" s="434">
        <f>'Misc. Data &amp; Mechanisms'!AC292</f>
        <v>23.724379599252234</v>
      </c>
      <c r="AM19" s="434">
        <f>'Misc. Data &amp; Mechanisms'!AD292</f>
        <v>15.152164449994631</v>
      </c>
      <c r="AN19" s="1462">
        <f>'Misc. Data &amp; Mechanisms'!$B$260</f>
        <v>10.198990303636064</v>
      </c>
      <c r="AO19" s="197">
        <f>IFERROR(IF('Personalized Bill Menu'!$B$30="Yes", IF('Personalized Bill Menu'!$B$34="Natural Gas",VLOOKUP($A19, 'Personalized Bill Menu'!$H$4:$L$93, 2, FALSE), IF('Personalized Bill Menu'!$B$34="Both",VLOOKUP($A19,'Personalized Bill Menu'!$H$4:$P$93, 6, FALSE), 0)), 0),0)</f>
        <v>0</v>
      </c>
      <c r="AP19" s="1343">
        <f>IFERROR(IF('Personalized Bill Menu'!$C$37="Custom", IF('Personalized Bill Menu'!$B$34="Natural Gas",VLOOKUP($A19, 'Personalized Bill Menu'!$H$4:$L$93, 3, FALSE), IF('Personalized Bill Menu'!$B$34="Both",VLOOKUP($A19,'Personalized Bill Menu'!$H$4:$P$93, 7, FALSE), 0)), 0),0)</f>
        <v>0</v>
      </c>
      <c r="AQ19" s="1344">
        <f>IFERROR(IF('Personalized Bill Menu'!$C$37="Custom", IF('Personalized Bill Menu'!$B$34="Natural Gas",VLOOKUP($A19, 'Personalized Bill Menu'!$H$4:$L$93, 4, FALSE), IF('Personalized Bill Menu'!$B$34="Both",VLOOKUP($A19,'Personalized Bill Menu'!$H$4:$P$93, 8, FALSE), 0)), 0),0)</f>
        <v>0</v>
      </c>
      <c r="AR19" s="468"/>
      <c r="AS19" s="468"/>
      <c r="AT19" s="468"/>
    </row>
    <row r="20" spans="1:46" s="469" customFormat="1" ht="15" x14ac:dyDescent="0.25">
      <c r="A20" s="496">
        <v>41306</v>
      </c>
      <c r="B20" s="497">
        <f t="shared" si="8"/>
        <v>28</v>
      </c>
      <c r="C20" s="1581">
        <f t="shared" si="9"/>
        <v>19.812543406894441</v>
      </c>
      <c r="D20" s="66">
        <f t="shared" si="10"/>
        <v>7.4403008006041649</v>
      </c>
      <c r="E20" s="66">
        <f>(1+$AI20)*IF(AND('Service Zone Menu'!$X$5="Athabasca", $A20&lt;DATE(2019, 5, 1)),((1+$T20+$U20)*($N20+((1+$X20+$Y20)*$P20)+$Z20+$AA20)) + $AG20,((1+$U20)*($N20+((1+$X20+$Y20)*$P20)+$Z20+$AA20))+($T20*(((1+$X20+$Y20)*$P20)+$Z20+$AA20)) + $AG20)</f>
        <v>5.6333149865999994</v>
      </c>
      <c r="F20" s="488">
        <f t="shared" si="0"/>
        <v>147.41128257232148</v>
      </c>
      <c r="G20" s="489">
        <f t="shared" si="11"/>
        <v>56.743124317345675</v>
      </c>
      <c r="H20" s="490">
        <f t="shared" si="1"/>
        <v>64.592141196699629</v>
      </c>
      <c r="I20" s="490">
        <f t="shared" si="12"/>
        <v>13.687362511742332</v>
      </c>
      <c r="J20" s="490">
        <f t="shared" si="13"/>
        <v>3.269069662137583</v>
      </c>
      <c r="K20" s="490">
        <f t="shared" si="14"/>
        <v>2.1</v>
      </c>
      <c r="L20" s="490">
        <f t="shared" si="15"/>
        <v>0</v>
      </c>
      <c r="M20" s="491">
        <f t="shared" si="16"/>
        <v>7.0195848843962612</v>
      </c>
      <c r="N20" s="273">
        <f>IF($I$2="DRT",VLOOKUP(A20,'Misc. Data &amp; Mechanisms'!$A$1381:$D$1471,4,FALSE),AP20)</f>
        <v>2.8639999999999999</v>
      </c>
      <c r="O20" s="552">
        <f t="shared" si="2"/>
        <v>56.743124317345675</v>
      </c>
      <c r="P20" s="387">
        <v>1.8129999999999999</v>
      </c>
      <c r="Q20" s="278">
        <v>1.024</v>
      </c>
      <c r="R20" s="425">
        <f t="shared" si="3"/>
        <v>35.920141196699625</v>
      </c>
      <c r="S20" s="425">
        <f t="shared" si="4"/>
        <v>28.672000000000001</v>
      </c>
      <c r="T20" s="391">
        <f>VLOOKUP($A20,'Misc. Data &amp; Mechanisms'!$A$63:$DY$152,HLOOKUP('Service Zone Menu'!$X$5&amp;"_AltaGas_NG_Y_1",'Misc. Data &amp; Mechanisms'!$A$55:$DY$62,8,FALSE), FALSE)</f>
        <v>0.06</v>
      </c>
      <c r="U20" s="205">
        <f>VLOOKUP($A20,'Misc. Data &amp; Mechanisms'!$A$63:$DY$152,HLOOKUP('Service Zone Menu'!$X$5&amp;"_AltaGas_NG_Y_2",'Misc. Data &amp; Mechanisms'!$A$55:$DY$62,8,FALSE), FALSE)</f>
        <v>4.8025999999999999E-2</v>
      </c>
      <c r="V20" s="425">
        <f>IF(AND('Service Zone Menu'!$X$5="Athabasca", $A20&lt;DATE(2019, 5, 1)),$T20*($G20+$H20+$J20+$K20),$T20*($H20+$J20+$K20))</f>
        <v>7.6022601105709722</v>
      </c>
      <c r="W20" s="553">
        <f t="shared" si="5"/>
        <v>6.0851024011713593</v>
      </c>
      <c r="X20" s="391"/>
      <c r="Y20" s="205"/>
      <c r="Z20" s="278">
        <v>0.16500000000000001</v>
      </c>
      <c r="AA20" s="278"/>
      <c r="AB20" s="492">
        <f t="shared" si="17"/>
        <v>0</v>
      </c>
      <c r="AC20" s="492">
        <f t="shared" si="6"/>
        <v>3.269069662137583</v>
      </c>
      <c r="AD20" s="554">
        <f t="shared" si="7"/>
        <v>0</v>
      </c>
      <c r="AE20" s="200">
        <f>IF($I$2="DRT",VLOOKUP(A20,'Misc. Data &amp; Mechanisms'!$A$1483:$H$1574,8,FALSE),AQ20)</f>
        <v>7.4999999999999997E-2</v>
      </c>
      <c r="AF20" s="554">
        <f t="shared" si="18"/>
        <v>2.1</v>
      </c>
      <c r="AG20" s="290"/>
      <c r="AH20" s="494">
        <f t="shared" si="19"/>
        <v>0</v>
      </c>
      <c r="AI20" s="495">
        <f>5%</f>
        <v>0.05</v>
      </c>
      <c r="AJ20" s="341">
        <f>'Misc. Data &amp; Mechanisms'!AN293</f>
        <v>20.065638844586214</v>
      </c>
      <c r="AK20" s="424">
        <f>'Misc. Data &amp; Mechanisms'!AQ293</f>
        <v>14.409232709924963</v>
      </c>
      <c r="AL20" s="424">
        <f>'Misc. Data &amp; Mechanisms'!AC293</f>
        <v>19.812543406894441</v>
      </c>
      <c r="AM20" s="424">
        <f>'Misc. Data &amp; Mechanisms'!AD293</f>
        <v>12.653773078364651</v>
      </c>
      <c r="AN20" s="1460">
        <f>'Misc. Data &amp; Mechanisms'!$B$260</f>
        <v>10.198990303636064</v>
      </c>
      <c r="AO20" s="197">
        <f>IFERROR(IF('Personalized Bill Menu'!$B$30="Yes", IF('Personalized Bill Menu'!$B$34="Natural Gas",VLOOKUP($A20, 'Personalized Bill Menu'!$H$4:$L$93, 2, FALSE), IF('Personalized Bill Menu'!$B$34="Both",VLOOKUP($A20,'Personalized Bill Menu'!$H$4:$P$93, 6, FALSE), 0)), 0),0)</f>
        <v>0</v>
      </c>
      <c r="AP20" s="1343">
        <f>IFERROR(IF('Personalized Bill Menu'!$C$37="Custom", IF('Personalized Bill Menu'!$B$34="Natural Gas",VLOOKUP($A20, 'Personalized Bill Menu'!$H$4:$L$93, 3, FALSE), IF('Personalized Bill Menu'!$B$34="Both",VLOOKUP($A20,'Personalized Bill Menu'!$H$4:$P$93, 7, FALSE), 0)), 0),0)</f>
        <v>0</v>
      </c>
      <c r="AQ20" s="1344">
        <f>IFERROR(IF('Personalized Bill Menu'!$C$37="Custom", IF('Personalized Bill Menu'!$B$34="Natural Gas",VLOOKUP($A20, 'Personalized Bill Menu'!$H$4:$L$93, 4, FALSE), IF('Personalized Bill Menu'!$B$34="Both",VLOOKUP($A20,'Personalized Bill Menu'!$H$4:$P$93, 8, FALSE), 0)), 0),0)</f>
        <v>0</v>
      </c>
      <c r="AR20" s="468"/>
      <c r="AS20" s="468"/>
      <c r="AT20" s="468"/>
    </row>
    <row r="21" spans="1:46" s="469" customFormat="1" ht="15" x14ac:dyDescent="0.25">
      <c r="A21" s="496">
        <v>41334</v>
      </c>
      <c r="B21" s="497">
        <f t="shared" si="8"/>
        <v>31</v>
      </c>
      <c r="C21" s="1581">
        <f t="shared" si="9"/>
        <v>16.222696952455433</v>
      </c>
      <c r="D21" s="66">
        <f t="shared" si="10"/>
        <v>7.8090198788812808</v>
      </c>
      <c r="E21" s="66">
        <f>(1+$AI21)*IF(AND('Service Zone Menu'!$X$5="Athabasca", $A21&lt;DATE(2019, 5, 1)),((1+$T21+$U21)*($N21+((1+$X21+$Y21)*$P21)+$Z21+$AA21)) + $AG21,((1+$U21)*($N21+((1+$X21+$Y21)*$P21)+$Z21+$AA21))+($T21*(((1+$X21+$Y21)*$P21)+$Z21+$AA21)) + $AG21)</f>
        <v>5.3657267076000004</v>
      </c>
      <c r="F21" s="488">
        <f t="shared" si="0"/>
        <v>126.68336299079125</v>
      </c>
      <c r="G21" s="489">
        <f t="shared" si="11"/>
        <v>42.081675894669388</v>
      </c>
      <c r="H21" s="490">
        <f t="shared" si="1"/>
        <v>61.155749574801703</v>
      </c>
      <c r="I21" s="490">
        <f t="shared" si="12"/>
        <v>11.762743551267205</v>
      </c>
      <c r="J21" s="490">
        <f t="shared" si="13"/>
        <v>3.3256528752533634</v>
      </c>
      <c r="K21" s="490">
        <f t="shared" si="14"/>
        <v>2.3249999999999997</v>
      </c>
      <c r="L21" s="490">
        <f t="shared" si="15"/>
        <v>0</v>
      </c>
      <c r="M21" s="491">
        <f t="shared" si="16"/>
        <v>6.0325410947995834</v>
      </c>
      <c r="N21" s="273">
        <f>IF($I$2="DRT",VLOOKUP(A21,'Misc. Data &amp; Mechanisms'!$A$1381:$D$1471,4,FALSE),AP21)</f>
        <v>2.5939999999999999</v>
      </c>
      <c r="O21" s="552">
        <f t="shared" si="2"/>
        <v>42.081675894669388</v>
      </c>
      <c r="P21" s="387">
        <v>1.8129999999999999</v>
      </c>
      <c r="Q21" s="278">
        <v>1.024</v>
      </c>
      <c r="R21" s="425">
        <f t="shared" si="3"/>
        <v>29.4117495748017</v>
      </c>
      <c r="S21" s="425">
        <f t="shared" si="4"/>
        <v>31.744</v>
      </c>
      <c r="T21" s="391">
        <f>VLOOKUP($A21,'Misc. Data &amp; Mechanisms'!$A$63:$DY$152,HLOOKUP('Service Zone Menu'!$X$5&amp;"_AltaGas_NG_Y_1",'Misc. Data &amp; Mechanisms'!$A$55:$DY$62,8,FALSE), FALSE)</f>
        <v>0.06</v>
      </c>
      <c r="U21" s="205">
        <f>VLOOKUP($A21,'Misc. Data &amp; Mechanisms'!$A$63:$DY$152,HLOOKUP('Service Zone Menu'!$X$5&amp;"_AltaGas_NG_Y_2",'Misc. Data &amp; Mechanisms'!$A$55:$DY$62,8,FALSE), FALSE)</f>
        <v>4.8025999999999999E-2</v>
      </c>
      <c r="V21" s="425">
        <f>IF(AND('Service Zone Menu'!$X$5="Athabasca", $A21&lt;DATE(2019, 5, 1)),$T21*($G21+$H21+$J21+$K21),$T21*($H21+$J21+$K21))</f>
        <v>6.5332847006834678</v>
      </c>
      <c r="W21" s="553">
        <f t="shared" si="5"/>
        <v>5.2294588505837369</v>
      </c>
      <c r="X21" s="391"/>
      <c r="Y21" s="205"/>
      <c r="Z21" s="278">
        <v>0.20499999999999999</v>
      </c>
      <c r="AA21" s="278"/>
      <c r="AB21" s="492">
        <f t="shared" si="17"/>
        <v>0</v>
      </c>
      <c r="AC21" s="492">
        <f t="shared" si="6"/>
        <v>3.3256528752533634</v>
      </c>
      <c r="AD21" s="554">
        <f t="shared" si="7"/>
        <v>0</v>
      </c>
      <c r="AE21" s="200">
        <f>IF($I$2="DRT",VLOOKUP(A21,'Misc. Data &amp; Mechanisms'!$A$1483:$H$1574,8,FALSE),AQ21)</f>
        <v>7.4999999999999997E-2</v>
      </c>
      <c r="AF21" s="554">
        <f t="shared" si="18"/>
        <v>2.3249999999999997</v>
      </c>
      <c r="AG21" s="290"/>
      <c r="AH21" s="494">
        <f t="shared" si="19"/>
        <v>0</v>
      </c>
      <c r="AI21" s="495">
        <f>5%</f>
        <v>0.05</v>
      </c>
      <c r="AJ21" s="341">
        <f>'Misc. Data &amp; Mechanisms'!AN294</f>
        <v>16.429933878144332</v>
      </c>
      <c r="AK21" s="424">
        <f>'Misc. Data &amp; Mechanisms'!AQ294</f>
        <v>16.064872239178541</v>
      </c>
      <c r="AL21" s="424">
        <f>'Misc. Data &amp; Mechanisms'!AC294</f>
        <v>16.222696952455433</v>
      </c>
      <c r="AM21" s="424">
        <f>'Misc. Data &amp; Mechanisms'!AD294</f>
        <v>10.361028452511317</v>
      </c>
      <c r="AN21" s="1460">
        <f>'Misc. Data &amp; Mechanisms'!$B$260</f>
        <v>10.198990303636064</v>
      </c>
      <c r="AO21" s="197">
        <f>IFERROR(IF('Personalized Bill Menu'!$B$30="Yes", IF('Personalized Bill Menu'!$B$34="Natural Gas",VLOOKUP($A21, 'Personalized Bill Menu'!$H$4:$L$93, 2, FALSE), IF('Personalized Bill Menu'!$B$34="Both",VLOOKUP($A21,'Personalized Bill Menu'!$H$4:$P$93, 6, FALSE), 0)), 0),0)</f>
        <v>0</v>
      </c>
      <c r="AP21" s="1343">
        <f>IFERROR(IF('Personalized Bill Menu'!$C$37="Custom", IF('Personalized Bill Menu'!$B$34="Natural Gas",VLOOKUP($A21, 'Personalized Bill Menu'!$H$4:$L$93, 3, FALSE), IF('Personalized Bill Menu'!$B$34="Both",VLOOKUP($A21,'Personalized Bill Menu'!$H$4:$P$93, 7, FALSE), 0)), 0),0)</f>
        <v>0</v>
      </c>
      <c r="AQ21" s="1344">
        <f>IFERROR(IF('Personalized Bill Menu'!$C$37="Custom", IF('Personalized Bill Menu'!$B$34="Natural Gas",VLOOKUP($A21, 'Personalized Bill Menu'!$H$4:$L$93, 4, FALSE), IF('Personalized Bill Menu'!$B$34="Both",VLOOKUP($A21,'Personalized Bill Menu'!$H$4:$P$93, 8, FALSE), 0)), 0),0)</f>
        <v>0</v>
      </c>
      <c r="AR21" s="468"/>
      <c r="AS21" s="468"/>
      <c r="AT21" s="468"/>
    </row>
    <row r="22" spans="1:46" s="469" customFormat="1" ht="15" x14ac:dyDescent="0.25">
      <c r="A22" s="496">
        <v>41365</v>
      </c>
      <c r="B22" s="497">
        <f t="shared" si="8"/>
        <v>30</v>
      </c>
      <c r="C22" s="1581">
        <f t="shared" si="9"/>
        <v>15.616538639385974</v>
      </c>
      <c r="D22" s="66">
        <f t="shared" si="10"/>
        <v>8.6574752393389165</v>
      </c>
      <c r="E22" s="66">
        <f>(1+$AI22)*IF(AND('Service Zone Menu'!$X$5="Athabasca", $A22&lt;DATE(2019, 5, 1)),((1+$T22+$U22)*($N22+((1+$X22+$Y22)*$P22)+$Z22+$AA22)) + $AG22,((1+$U22)*($N22+((1+$X22+$Y22)*$P22)+$Z22+$AA22))+($T22*(((1+$X22+$Y22)*$P22)+$Z22+$AA22)) + $AG22)</f>
        <v>6.1766355357</v>
      </c>
      <c r="F22" s="488">
        <f t="shared" si="0"/>
        <v>135.19979659466352</v>
      </c>
      <c r="G22" s="489">
        <f t="shared" si="11"/>
        <v>51.628276741810033</v>
      </c>
      <c r="H22" s="490">
        <f t="shared" si="1"/>
        <v>59.675115325994483</v>
      </c>
      <c r="I22" s="490">
        <f t="shared" si="12"/>
        <v>12.553507406036562</v>
      </c>
      <c r="J22" s="490">
        <f t="shared" si="13"/>
        <v>2.6548115686956155</v>
      </c>
      <c r="K22" s="490">
        <f t="shared" si="14"/>
        <v>2.25</v>
      </c>
      <c r="L22" s="490">
        <f t="shared" si="15"/>
        <v>0</v>
      </c>
      <c r="M22" s="491">
        <f t="shared" si="16"/>
        <v>6.438085552126835</v>
      </c>
      <c r="N22" s="273">
        <f>IF($I$2="DRT",VLOOKUP(A22,'Misc. Data &amp; Mechanisms'!$A$1381:$D$1471,4,FALSE),AP22)</f>
        <v>3.306</v>
      </c>
      <c r="O22" s="552">
        <f t="shared" si="2"/>
        <v>51.628276741810033</v>
      </c>
      <c r="P22" s="387">
        <v>1.833</v>
      </c>
      <c r="Q22" s="278">
        <v>1.0349999999999999</v>
      </c>
      <c r="R22" s="425">
        <f t="shared" si="3"/>
        <v>28.625115325994489</v>
      </c>
      <c r="S22" s="425">
        <f t="shared" si="4"/>
        <v>31.049999999999997</v>
      </c>
      <c r="T22" s="391">
        <f>VLOOKUP($A22,'Misc. Data &amp; Mechanisms'!$A$63:$DY$152,HLOOKUP('Service Zone Menu'!$X$5&amp;"_AltaGas_NG_Y_1",'Misc. Data &amp; Mechanisms'!$A$55:$DY$62,8,FALSE), FALSE)</f>
        <v>0.06</v>
      </c>
      <c r="U22" s="205">
        <f>VLOOKUP($A22,'Misc. Data &amp; Mechanisms'!$A$63:$DY$152,HLOOKUP('Service Zone Menu'!$X$5&amp;"_AltaGas_NG_Y_2",'Misc. Data &amp; Mechanisms'!$A$55:$DY$62,8,FALSE), FALSE)</f>
        <v>4.8025999999999999E-2</v>
      </c>
      <c r="V22" s="425">
        <f>IF(AND('Service Zone Menu'!$X$5="Athabasca", $A22&lt;DATE(2019, 5, 1)),$T22*($G22+$H22+$J22+$K22),$T22*($H22+$J22+$K22))</f>
        <v>6.9724922181900073</v>
      </c>
      <c r="W22" s="553">
        <f t="shared" si="5"/>
        <v>5.581015187846555</v>
      </c>
      <c r="X22" s="391"/>
      <c r="Y22" s="205"/>
      <c r="Z22" s="278">
        <v>0.17</v>
      </c>
      <c r="AA22" s="278"/>
      <c r="AB22" s="492">
        <f t="shared" si="17"/>
        <v>0</v>
      </c>
      <c r="AC22" s="492">
        <f t="shared" si="6"/>
        <v>2.6548115686956155</v>
      </c>
      <c r="AD22" s="554">
        <f t="shared" si="7"/>
        <v>0</v>
      </c>
      <c r="AE22" s="200">
        <f>IF($I$2="DRT",VLOOKUP(A22,'Misc. Data &amp; Mechanisms'!$A$1483:$H$1574,8,FALSE),AQ22)</f>
        <v>7.4999999999999997E-2</v>
      </c>
      <c r="AF22" s="554">
        <f t="shared" si="18"/>
        <v>2.25</v>
      </c>
      <c r="AG22" s="290"/>
      <c r="AH22" s="494">
        <f t="shared" si="19"/>
        <v>0</v>
      </c>
      <c r="AI22" s="495">
        <f>5%</f>
        <v>0.05</v>
      </c>
      <c r="AJ22" s="341">
        <f>'Misc. Data &amp; Mechanisms'!AN295</f>
        <v>15.816032192585734</v>
      </c>
      <c r="AK22" s="424">
        <f>'Misc. Data &amp; Mechanisms'!AQ295</f>
        <v>12.325330349994104</v>
      </c>
      <c r="AL22" s="424">
        <f>'Misc. Data &amp; Mechanisms'!AC295</f>
        <v>15.616538639385974</v>
      </c>
      <c r="AM22" s="424">
        <f>'Misc. Data &amp; Mechanisms'!AD295</f>
        <v>9.9738903862054951</v>
      </c>
      <c r="AN22" s="1460">
        <f>'Misc. Data &amp; Mechanisms'!$B$260</f>
        <v>10.198990303636064</v>
      </c>
      <c r="AO22" s="197">
        <f>IFERROR(IF('Personalized Bill Menu'!$B$30="Yes", IF('Personalized Bill Menu'!$B$34="Natural Gas",VLOOKUP($A22, 'Personalized Bill Menu'!$H$4:$L$93, 2, FALSE), IF('Personalized Bill Menu'!$B$34="Both",VLOOKUP($A22,'Personalized Bill Menu'!$H$4:$P$93, 6, FALSE), 0)), 0),0)</f>
        <v>0</v>
      </c>
      <c r="AP22" s="1343">
        <f>IFERROR(IF('Personalized Bill Menu'!$C$37="Custom", IF('Personalized Bill Menu'!$B$34="Natural Gas",VLOOKUP($A22, 'Personalized Bill Menu'!$H$4:$L$93, 3, FALSE), IF('Personalized Bill Menu'!$B$34="Both",VLOOKUP($A22,'Personalized Bill Menu'!$H$4:$P$93, 7, FALSE), 0)), 0),0)</f>
        <v>0</v>
      </c>
      <c r="AQ22" s="1344">
        <f>IFERROR(IF('Personalized Bill Menu'!$C$37="Custom", IF('Personalized Bill Menu'!$B$34="Natural Gas",VLOOKUP($A22, 'Personalized Bill Menu'!$H$4:$L$93, 4, FALSE), IF('Personalized Bill Menu'!$B$34="Both",VLOOKUP($A22,'Personalized Bill Menu'!$H$4:$P$93, 8, FALSE), 0)), 0),0)</f>
        <v>0</v>
      </c>
      <c r="AR22" s="468"/>
      <c r="AS22" s="468"/>
      <c r="AT22" s="468"/>
    </row>
    <row r="23" spans="1:46" s="469" customFormat="1" ht="15" x14ac:dyDescent="0.25">
      <c r="A23" s="496">
        <v>41395</v>
      </c>
      <c r="B23" s="497">
        <f t="shared" si="8"/>
        <v>31</v>
      </c>
      <c r="C23" s="1581">
        <f t="shared" si="9"/>
        <v>8.7222403156507049</v>
      </c>
      <c r="D23" s="66">
        <f t="shared" si="10"/>
        <v>11.718946637466455</v>
      </c>
      <c r="E23" s="66">
        <f>(1+$AI23)*IF(AND('Service Zone Menu'!$X$5="Athabasca", $A23&lt;DATE(2019, 5, 1)),((1+$T23+$U23)*($N23+((1+$X23+$Y23)*$P23)+$Z23+$AA23)) + $AG23,((1+$U23)*($N23+((1+$X23+$Y23)*$P23)+$Z23+$AA23))+($T23*(((1+$X23+$Y23)*$P23)+$Z23+$AA23)) + $AG23)</f>
        <v>6.0927424218952204</v>
      </c>
      <c r="F23" s="488">
        <f t="shared" si="0"/>
        <v>102.21546881826919</v>
      </c>
      <c r="G23" s="489">
        <f t="shared" si="11"/>
        <v>25.10260762844273</v>
      </c>
      <c r="H23" s="490">
        <f t="shared" si="1"/>
        <v>48.072866498587743</v>
      </c>
      <c r="I23" s="490">
        <f t="shared" si="12"/>
        <v>9.4908622434443046</v>
      </c>
      <c r="J23" s="490">
        <f t="shared" si="13"/>
        <v>12.356729170733992</v>
      </c>
      <c r="K23" s="490">
        <f t="shared" si="14"/>
        <v>2.3249999999999997</v>
      </c>
      <c r="L23" s="490">
        <f t="shared" si="15"/>
        <v>0</v>
      </c>
      <c r="M23" s="491">
        <f t="shared" si="16"/>
        <v>4.8674032770604381</v>
      </c>
      <c r="N23" s="273">
        <f>IF($I$2="DRT",VLOOKUP(A23,'Misc. Data &amp; Mechanisms'!$A$1381:$D$1471,4,FALSE),AP23)</f>
        <v>2.8780000000000001</v>
      </c>
      <c r="O23" s="552">
        <f t="shared" si="2"/>
        <v>25.10260762844273</v>
      </c>
      <c r="P23" s="387">
        <v>1.833</v>
      </c>
      <c r="Q23" s="278">
        <v>1.0349999999999999</v>
      </c>
      <c r="R23" s="425">
        <f t="shared" si="3"/>
        <v>15.987866498587742</v>
      </c>
      <c r="S23" s="425">
        <f t="shared" si="4"/>
        <v>32.085000000000001</v>
      </c>
      <c r="T23" s="391">
        <f>VLOOKUP($A23,'Misc. Data &amp; Mechanisms'!$A$63:$DY$152,HLOOKUP('Service Zone Menu'!$X$5&amp;"_AltaGas_NG_Y_1",'Misc. Data &amp; Mechanisms'!$A$55:$DY$62,8,FALSE), FALSE)</f>
        <v>0.06</v>
      </c>
      <c r="U23" s="205">
        <f>VLOOKUP($A23,'Misc. Data &amp; Mechanisms'!$A$63:$DY$152,HLOOKUP('Service Zone Menu'!$X$5&amp;"_AltaGas_NG_Y_2",'Misc. Data &amp; Mechanisms'!$A$55:$DY$62,8,FALSE), FALSE)</f>
        <v>4.8025999999999999E-2</v>
      </c>
      <c r="V23" s="425">
        <f>IF(AND('Service Zone Menu'!$X$5="Athabasca", $A23&lt;DATE(2019, 5, 1)),$T23*($G23+$H23+$J23+$K23),$T23*($H23+$J23+$K23))</f>
        <v>5.2714321978658676</v>
      </c>
      <c r="W23" s="553">
        <f t="shared" si="5"/>
        <v>4.2194300455784362</v>
      </c>
      <c r="X23" s="391"/>
      <c r="Y23" s="205">
        <v>0.2258</v>
      </c>
      <c r="Z23" s="278">
        <v>0.112</v>
      </c>
      <c r="AA23" s="278"/>
      <c r="AB23" s="492">
        <f t="shared" si="17"/>
        <v>11.379838255381113</v>
      </c>
      <c r="AC23" s="492">
        <f t="shared" si="6"/>
        <v>0.97689091535287897</v>
      </c>
      <c r="AD23" s="554">
        <f t="shared" si="7"/>
        <v>0</v>
      </c>
      <c r="AE23" s="200">
        <f>IF($I$2="DRT",VLOOKUP(A23,'Misc. Data &amp; Mechanisms'!$A$1483:$H$1574,8,FALSE),AQ23)</f>
        <v>7.4999999999999997E-2</v>
      </c>
      <c r="AF23" s="554">
        <f t="shared" si="18"/>
        <v>2.3249999999999997</v>
      </c>
      <c r="AG23" s="290"/>
      <c r="AH23" s="494">
        <f t="shared" si="19"/>
        <v>0</v>
      </c>
      <c r="AI23" s="495">
        <f>5%</f>
        <v>0.05</v>
      </c>
      <c r="AJ23" s="341">
        <f>'Misc. Data &amp; Mechanisms'!AN296</f>
        <v>8.8336626194410517</v>
      </c>
      <c r="AK23" s="424">
        <f>'Misc. Data &amp; Mechanisms'!AQ296</f>
        <v>4.6848623516035648</v>
      </c>
      <c r="AL23" s="424">
        <f>'Misc. Data &amp; Mechanisms'!AC296</f>
        <v>8.7222403156507049</v>
      </c>
      <c r="AM23" s="424">
        <f>'Misc. Data &amp; Mechanisms'!AD296</f>
        <v>5.5706754767689732</v>
      </c>
      <c r="AN23" s="1460">
        <f>'Misc. Data &amp; Mechanisms'!$B$260</f>
        <v>10.198990303636064</v>
      </c>
      <c r="AO23" s="197">
        <f>IFERROR(IF('Personalized Bill Menu'!$B$30="Yes", IF('Personalized Bill Menu'!$B$34="Natural Gas",VLOOKUP($A23, 'Personalized Bill Menu'!$H$4:$L$93, 2, FALSE), IF('Personalized Bill Menu'!$B$34="Both",VLOOKUP($A23,'Personalized Bill Menu'!$H$4:$P$93, 6, FALSE), 0)), 0),0)</f>
        <v>0</v>
      </c>
      <c r="AP23" s="1343">
        <f>IFERROR(IF('Personalized Bill Menu'!$C$37="Custom", IF('Personalized Bill Menu'!$B$34="Natural Gas",VLOOKUP($A23, 'Personalized Bill Menu'!$H$4:$L$93, 3, FALSE), IF('Personalized Bill Menu'!$B$34="Both",VLOOKUP($A23,'Personalized Bill Menu'!$H$4:$P$93, 7, FALSE), 0)), 0),0)</f>
        <v>0</v>
      </c>
      <c r="AQ23" s="1344">
        <f>IFERROR(IF('Personalized Bill Menu'!$C$37="Custom", IF('Personalized Bill Menu'!$B$34="Natural Gas",VLOOKUP($A23, 'Personalized Bill Menu'!$H$4:$L$93, 4, FALSE), IF('Personalized Bill Menu'!$B$34="Both",VLOOKUP($A23,'Personalized Bill Menu'!$H$4:$P$93, 8, FALSE), 0)), 0),0)</f>
        <v>0</v>
      </c>
      <c r="AR23" s="468"/>
      <c r="AS23" s="468"/>
      <c r="AT23" s="468"/>
    </row>
    <row r="24" spans="1:46" s="469" customFormat="1" ht="15" x14ac:dyDescent="0.25">
      <c r="A24" s="496">
        <v>41426</v>
      </c>
      <c r="B24" s="497">
        <f t="shared" si="8"/>
        <v>30</v>
      </c>
      <c r="C24" s="1581">
        <f t="shared" si="9"/>
        <v>3.5919909660048792</v>
      </c>
      <c r="D24" s="66">
        <f t="shared" si="10"/>
        <v>21.234669267789464</v>
      </c>
      <c r="E24" s="66">
        <f>(1+$AI24)*IF(AND('Service Zone Menu'!$X$5="Athabasca", $A24&lt;DATE(2019, 5, 1)),((1+$T24+$U24)*($N24+((1+$X24+$Y24)*$P24)+$Z24+$AA24)) + $AG24,((1+$U24)*($N24+((1+$X24+$Y24)*$P24)+$Z24+$AA24))+($T24*(((1+$X24+$Y24)*$P24)+$Z24+$AA24)) + $AG24)</f>
        <v>8.0135608941952192</v>
      </c>
      <c r="F24" s="488">
        <f t="shared" si="0"/>
        <v>76.274740176001202</v>
      </c>
      <c r="G24" s="489">
        <f t="shared" si="11"/>
        <v>13.997988794521014</v>
      </c>
      <c r="H24" s="490">
        <f t="shared" si="1"/>
        <v>37.634119440686938</v>
      </c>
      <c r="I24" s="490">
        <f t="shared" si="12"/>
        <v>7.0822260078070247</v>
      </c>
      <c r="J24" s="490">
        <f t="shared" si="13"/>
        <v>11.678275448414741</v>
      </c>
      <c r="K24" s="490">
        <f t="shared" si="14"/>
        <v>2.25</v>
      </c>
      <c r="L24" s="490">
        <f t="shared" si="15"/>
        <v>0</v>
      </c>
      <c r="M24" s="491">
        <f t="shared" si="16"/>
        <v>3.6321304845714857</v>
      </c>
      <c r="N24" s="273">
        <f>IF($I$2="DRT",VLOOKUP(A24,'Misc. Data &amp; Mechanisms'!$A$1381:$D$1471,4,FALSE),AP24)</f>
        <v>3.8969999999999998</v>
      </c>
      <c r="O24" s="552">
        <f t="shared" si="2"/>
        <v>13.997988794521014</v>
      </c>
      <c r="P24" s="387">
        <v>1.833</v>
      </c>
      <c r="Q24" s="278">
        <v>1.0349999999999999</v>
      </c>
      <c r="R24" s="425">
        <f t="shared" si="3"/>
        <v>6.5841194406869432</v>
      </c>
      <c r="S24" s="425">
        <f t="shared" si="4"/>
        <v>31.049999999999997</v>
      </c>
      <c r="T24" s="391">
        <f>VLOOKUP($A24,'Misc. Data &amp; Mechanisms'!$A$63:$DY$152,HLOOKUP('Service Zone Menu'!$X$5&amp;"_AltaGas_NG_Y_1",'Misc. Data &amp; Mechanisms'!$A$55:$DY$62,8,FALSE), FALSE)</f>
        <v>0.06</v>
      </c>
      <c r="U24" s="205">
        <f>VLOOKUP($A24,'Misc. Data &amp; Mechanisms'!$A$63:$DY$152,HLOOKUP('Service Zone Menu'!$X$5&amp;"_AltaGas_NG_Y_2",'Misc. Data &amp; Mechanisms'!$A$55:$DY$62,8,FALSE), FALSE)</f>
        <v>4.8025999999999999E-2</v>
      </c>
      <c r="V24" s="425">
        <f>IF(AND('Service Zone Menu'!$X$5="Athabasca", $A24&lt;DATE(2019, 5, 1)),$T24*($G24+$H24+$J24+$K24),$T24*($H24+$J24+$K24))</f>
        <v>3.9336230210173611</v>
      </c>
      <c r="W24" s="553">
        <f t="shared" si="5"/>
        <v>3.1486029867896632</v>
      </c>
      <c r="X24" s="391"/>
      <c r="Y24" s="205">
        <v>0.2258</v>
      </c>
      <c r="Z24" s="278">
        <v>0.74399999999999999</v>
      </c>
      <c r="AA24" s="278"/>
      <c r="AB24" s="492">
        <f t="shared" si="17"/>
        <v>9.0058341697071107</v>
      </c>
      <c r="AC24" s="492">
        <f t="shared" si="6"/>
        <v>2.6724412787076299</v>
      </c>
      <c r="AD24" s="554">
        <f t="shared" si="7"/>
        <v>0</v>
      </c>
      <c r="AE24" s="200">
        <f>IF($I$2="DRT",VLOOKUP(A24,'Misc. Data &amp; Mechanisms'!$A$1483:$H$1574,8,FALSE),AQ24)</f>
        <v>7.4999999999999997E-2</v>
      </c>
      <c r="AF24" s="554">
        <f t="shared" si="18"/>
        <v>2.25</v>
      </c>
      <c r="AG24" s="290"/>
      <c r="AH24" s="494">
        <f t="shared" si="19"/>
        <v>0</v>
      </c>
      <c r="AI24" s="495">
        <f>5%</f>
        <v>0.05</v>
      </c>
      <c r="AJ24" s="341">
        <f>'Misc. Data &amp; Mechanisms'!AN297</f>
        <v>3.6378768730817836</v>
      </c>
      <c r="AK24" s="424">
        <f>'Misc. Data &amp; Mechanisms'!AQ297</f>
        <v>3.2449834042177264</v>
      </c>
      <c r="AL24" s="424">
        <f>'Misc. Data &amp; Mechanisms'!AC297</f>
        <v>3.5919909660048792</v>
      </c>
      <c r="AM24" s="424">
        <f>'Misc. Data &amp; Mechanisms'!AD297</f>
        <v>2.2941142714440659</v>
      </c>
      <c r="AN24" s="1460">
        <f>'Misc. Data &amp; Mechanisms'!$B$260</f>
        <v>10.198990303636064</v>
      </c>
      <c r="AO24" s="197">
        <f>IFERROR(IF('Personalized Bill Menu'!$B$30="Yes", IF('Personalized Bill Menu'!$B$34="Natural Gas",VLOOKUP($A24, 'Personalized Bill Menu'!$H$4:$L$93, 2, FALSE), IF('Personalized Bill Menu'!$B$34="Both",VLOOKUP($A24,'Personalized Bill Menu'!$H$4:$P$93, 6, FALSE), 0)), 0),0)</f>
        <v>0</v>
      </c>
      <c r="AP24" s="1343">
        <f>IFERROR(IF('Personalized Bill Menu'!$C$37="Custom", IF('Personalized Bill Menu'!$B$34="Natural Gas",VLOOKUP($A24, 'Personalized Bill Menu'!$H$4:$L$93, 3, FALSE), IF('Personalized Bill Menu'!$B$34="Both",VLOOKUP($A24,'Personalized Bill Menu'!$H$4:$P$93, 7, FALSE), 0)), 0),0)</f>
        <v>0</v>
      </c>
      <c r="AQ24" s="1344">
        <f>IFERROR(IF('Personalized Bill Menu'!$C$37="Custom", IF('Personalized Bill Menu'!$B$34="Natural Gas",VLOOKUP($A24, 'Personalized Bill Menu'!$H$4:$L$93, 4, FALSE), IF('Personalized Bill Menu'!$B$34="Both",VLOOKUP($A24,'Personalized Bill Menu'!$H$4:$P$93, 8, FALSE), 0)), 0),0)</f>
        <v>0</v>
      </c>
      <c r="AR24" s="468"/>
      <c r="AS24" s="468"/>
      <c r="AT24" s="468"/>
    </row>
    <row r="25" spans="1:46" s="469" customFormat="1" x14ac:dyDescent="0.35">
      <c r="A25" s="496">
        <v>41456</v>
      </c>
      <c r="B25" s="497">
        <f t="shared" si="8"/>
        <v>31</v>
      </c>
      <c r="C25" s="1581">
        <f t="shared" si="9"/>
        <v>2.655521511521961</v>
      </c>
      <c r="D25" s="66">
        <f t="shared" si="10"/>
        <v>26.30589801916102</v>
      </c>
      <c r="E25" s="66">
        <f>(1+$AI25)*IF(AND('Service Zone Menu'!$X$5="Athabasca", $A25&lt;DATE(2019, 5, 1)),((1+$T25+$U25)*($N25+((1+$X25+$Y25)*$P25)+$Z25+$AA25)) + $AG25,((1+$U25)*($N25+((1+$X25+$Y25)*$P25)+$Z25+$AA25))+($T25*(((1+$X25+$Y25)*$P25)+$Z25+$AA25)) + $AG25)</f>
        <v>7.8262490988952198</v>
      </c>
      <c r="F25" s="488">
        <f t="shared" si="0"/>
        <v>69.855878069785035</v>
      </c>
      <c r="G25" s="489">
        <f t="shared" si="11"/>
        <v>9.9847608833225721</v>
      </c>
      <c r="H25" s="490">
        <f t="shared" si="1"/>
        <v>36.952570930619757</v>
      </c>
      <c r="I25" s="490">
        <f t="shared" si="12"/>
        <v>6.4862248671374632</v>
      </c>
      <c r="J25" s="490">
        <f t="shared" si="13"/>
        <v>10.780851004429753</v>
      </c>
      <c r="K25" s="490">
        <f>SUM($AF25)</f>
        <v>2.3249999999999997</v>
      </c>
      <c r="L25" s="490">
        <f t="shared" si="15"/>
        <v>0</v>
      </c>
      <c r="M25" s="491">
        <f t="shared" si="16"/>
        <v>3.3264703842754777</v>
      </c>
      <c r="N25" s="273">
        <f>IF($I$2="DRT",VLOOKUP(A25,'Misc. Data &amp; Mechanisms'!$A$1381:$D$1471,4,FALSE),AP25)</f>
        <v>3.76</v>
      </c>
      <c r="O25" s="552">
        <f t="shared" si="2"/>
        <v>9.9847608833225721</v>
      </c>
      <c r="P25" s="387">
        <v>1.833</v>
      </c>
      <c r="Q25" s="278">
        <v>1.0349999999999999</v>
      </c>
      <c r="R25" s="425">
        <f t="shared" si="3"/>
        <v>4.8675709306197543</v>
      </c>
      <c r="S25" s="425">
        <f t="shared" si="4"/>
        <v>32.085000000000001</v>
      </c>
      <c r="T25" s="391">
        <f>VLOOKUP($A25,'Misc. Data &amp; Mechanisms'!$A$63:$DY$152,HLOOKUP('Service Zone Menu'!$X$5&amp;"_AltaGas_NG_Y_1",'Misc. Data &amp; Mechanisms'!$A$55:$DY$62,8,FALSE), FALSE)</f>
        <v>0.06</v>
      </c>
      <c r="U25" s="205">
        <f>VLOOKUP($A25,'Misc. Data &amp; Mechanisms'!$A$63:$DY$152,HLOOKUP('Service Zone Menu'!$X$5&amp;"_AltaGas_NG_Y_2",'Misc. Data &amp; Mechanisms'!$A$55:$DY$62,8,FALSE), FALSE)</f>
        <v>4.8025999999999999E-2</v>
      </c>
      <c r="V25" s="425">
        <f>IF(AND('Service Zone Menu'!$X$5="Athabasca", $A25&lt;DATE(2019, 5, 1)),$T25*($G25+$H25+$J25+$K25),$T25*($H25+$J25+$K25))</f>
        <v>3.6025909691023252</v>
      </c>
      <c r="W25" s="553">
        <f t="shared" si="5"/>
        <v>2.8836338980351379</v>
      </c>
      <c r="X25" s="391"/>
      <c r="Y25" s="205">
        <v>0.2258</v>
      </c>
      <c r="Z25" s="278">
        <v>0.72</v>
      </c>
      <c r="AA25" s="278"/>
      <c r="AB25" s="492">
        <f t="shared" si="17"/>
        <v>8.8688755161339419</v>
      </c>
      <c r="AC25" s="492">
        <f t="shared" si="6"/>
        <v>1.9119754882958118</v>
      </c>
      <c r="AD25" s="554">
        <f t="shared" si="7"/>
        <v>0</v>
      </c>
      <c r="AE25" s="200">
        <f>IF($I$2="DRT",VLOOKUP(A25,'Misc. Data &amp; Mechanisms'!$A$1483:$H$1574,8,FALSE),AQ25)</f>
        <v>7.4999999999999997E-2</v>
      </c>
      <c r="AF25" s="554">
        <f t="shared" si="18"/>
        <v>2.3249999999999997</v>
      </c>
      <c r="AG25" s="290"/>
      <c r="AH25" s="494">
        <f t="shared" si="19"/>
        <v>0</v>
      </c>
      <c r="AI25" s="495">
        <f>5%</f>
        <v>0.05</v>
      </c>
      <c r="AJ25" s="341">
        <f>'Misc. Data &amp; Mechanisms'!AN298</f>
        <v>2.6894444847342083</v>
      </c>
      <c r="AK25" s="424">
        <f>'Misc. Data &amp; Mechanisms'!AQ298</f>
        <v>2.8011489062021355</v>
      </c>
      <c r="AL25" s="424">
        <f>'Misc. Data &amp; Mechanisms'!AC298</f>
        <v>2.655521511521961</v>
      </c>
      <c r="AM25" s="424">
        <f>'Misc. Data &amp; Mechanisms'!AD298</f>
        <v>1.6960147882791121</v>
      </c>
      <c r="AN25" s="1460">
        <f>'Misc. Data &amp; Mechanisms'!$B$260</f>
        <v>10.198990303636064</v>
      </c>
      <c r="AO25" s="197">
        <f>IFERROR(IF('Personalized Bill Menu'!$B$30="Yes", IF('Personalized Bill Menu'!$B$34="Natural Gas",VLOOKUP($A25, 'Personalized Bill Menu'!$H$4:$L$93, 2, FALSE), IF('Personalized Bill Menu'!$B$34="Both",VLOOKUP($A25,'Personalized Bill Menu'!$H$4:$P$93, 6, FALSE), 0)), 0),0)</f>
        <v>0</v>
      </c>
      <c r="AP25" s="1343">
        <f>IFERROR(IF('Personalized Bill Menu'!$C$37="Custom", IF('Personalized Bill Menu'!$B$34="Natural Gas",VLOOKUP($A25, 'Personalized Bill Menu'!$H$4:$L$93, 3, FALSE), IF('Personalized Bill Menu'!$B$34="Both",VLOOKUP($A25,'Personalized Bill Menu'!$H$4:$P$93, 7, FALSE), 0)), 0),0)</f>
        <v>0</v>
      </c>
      <c r="AQ25" s="1344">
        <f>IFERROR(IF('Personalized Bill Menu'!$C$37="Custom", IF('Personalized Bill Menu'!$B$34="Natural Gas",VLOOKUP($A25, 'Personalized Bill Menu'!$H$4:$L$93, 4, FALSE), IF('Personalized Bill Menu'!$B$34="Both",VLOOKUP($A25,'Personalized Bill Menu'!$H$4:$P$93, 8, FALSE), 0)), 0),0)</f>
        <v>0</v>
      </c>
      <c r="AR25" s="468"/>
      <c r="AS25" s="468"/>
      <c r="AT25" s="468"/>
    </row>
    <row r="26" spans="1:46" s="469" customFormat="1" x14ac:dyDescent="0.35">
      <c r="A26" s="496">
        <v>41487</v>
      </c>
      <c r="B26" s="497">
        <f t="shared" si="8"/>
        <v>31</v>
      </c>
      <c r="C26" s="1581">
        <f t="shared" si="9"/>
        <v>2.4670666746942729</v>
      </c>
      <c r="D26" s="66">
        <f t="shared" si="10"/>
        <v>26.060805068106966</v>
      </c>
      <c r="E26" s="66">
        <f>(1+$AI26)*IF(AND('Service Zone Menu'!$X$5="Athabasca", $A26&lt;DATE(2019, 5, 1)),((1+$T26+$U26)*($N26+((1+$X26+$Y26)*$P26)+$Z26+$AA26)) + $AG26,((1+$U26)*($N26+((1+$X26+$Y26)*$P26)+$Z26+$AA26))+($T26*(((1+$X26+$Y26)*$P26)+$Z26+$AA26)) + $AG26)</f>
        <v>6.1695286236952196</v>
      </c>
      <c r="F26" s="488">
        <f t="shared" si="0"/>
        <v>64.293743699230305</v>
      </c>
      <c r="G26" s="489">
        <f t="shared" si="11"/>
        <v>6.061582819723828</v>
      </c>
      <c r="H26" s="490">
        <f t="shared" si="1"/>
        <v>36.607133214714601</v>
      </c>
      <c r="I26" s="490">
        <f t="shared" si="12"/>
        <v>5.9697722039469525</v>
      </c>
      <c r="J26" s="490">
        <f t="shared" si="13"/>
        <v>10.268648618024427</v>
      </c>
      <c r="K26" s="490">
        <f t="shared" si="14"/>
        <v>2.3249999999999997</v>
      </c>
      <c r="L26" s="490">
        <f t="shared" si="15"/>
        <v>0</v>
      </c>
      <c r="M26" s="491">
        <f t="shared" si="16"/>
        <v>3.061606842820491</v>
      </c>
      <c r="N26" s="273">
        <f>IF($I$2="DRT",VLOOKUP(A26,'Misc. Data &amp; Mechanisms'!$A$1381:$D$1471,4,FALSE),AP26)</f>
        <v>2.4569999999999999</v>
      </c>
      <c r="O26" s="552">
        <f t="shared" si="2"/>
        <v>6.061582819723828</v>
      </c>
      <c r="P26" s="387">
        <v>1.833</v>
      </c>
      <c r="Q26" s="278">
        <v>1.0349999999999999</v>
      </c>
      <c r="R26" s="425">
        <f t="shared" si="3"/>
        <v>4.5221332147146018</v>
      </c>
      <c r="S26" s="425">
        <f t="shared" si="4"/>
        <v>32.085000000000001</v>
      </c>
      <c r="T26" s="391">
        <f>VLOOKUP($A26,'Misc. Data &amp; Mechanisms'!$A$63:$DY$152,HLOOKUP('Service Zone Menu'!$X$5&amp;"_AltaGas_NG_Y_1",'Misc. Data &amp; Mechanisms'!$A$55:$DY$62,8,FALSE), FALSE)</f>
        <v>0.06</v>
      </c>
      <c r="U26" s="205">
        <f>VLOOKUP($A26,'Misc. Data &amp; Mechanisms'!$A$63:$DY$152,HLOOKUP('Service Zone Menu'!$X$5&amp;"_AltaGas_NG_Y_2",'Misc. Data &amp; Mechanisms'!$A$55:$DY$62,8,FALSE), FALSE)</f>
        <v>4.8025999999999999E-2</v>
      </c>
      <c r="V26" s="425">
        <f>IF(AND('Service Zone Menu'!$X$5="Athabasca", $A26&lt;DATE(2019, 5, 1)),$T26*($G26+$H26+$J26+$K26),$T26*($H26+$J26+$K26))</f>
        <v>3.3157418791477715</v>
      </c>
      <c r="W26" s="553">
        <f t="shared" si="5"/>
        <v>2.6540303247991814</v>
      </c>
      <c r="X26" s="391"/>
      <c r="Y26" s="205">
        <v>0.2258</v>
      </c>
      <c r="Z26" s="278">
        <v>0.59899999999999998</v>
      </c>
      <c r="AA26" s="278"/>
      <c r="AB26" s="492">
        <f t="shared" si="17"/>
        <v>8.7908756798825571</v>
      </c>
      <c r="AC26" s="492">
        <f t="shared" si="6"/>
        <v>1.4777729381418694</v>
      </c>
      <c r="AD26" s="554">
        <f t="shared" si="7"/>
        <v>0</v>
      </c>
      <c r="AE26" s="200">
        <f>IF($I$2="DRT",VLOOKUP(A26,'Misc. Data &amp; Mechanisms'!$A$1483:$H$1574,8,FALSE),AQ26)</f>
        <v>7.4999999999999997E-2</v>
      </c>
      <c r="AF26" s="554">
        <f t="shared" si="18"/>
        <v>2.3249999999999997</v>
      </c>
      <c r="AG26" s="290"/>
      <c r="AH26" s="494">
        <f t="shared" si="19"/>
        <v>0</v>
      </c>
      <c r="AI26" s="495">
        <f>5%</f>
        <v>0.05</v>
      </c>
      <c r="AJ26" s="341">
        <f>'Misc. Data &amp; Mechanisms'!AN299</f>
        <v>2.4985822306238186</v>
      </c>
      <c r="AK26" s="424">
        <f>'Misc. Data &amp; Mechanisms'!AQ299</f>
        <v>2.5466651697971794</v>
      </c>
      <c r="AL26" s="424">
        <f>'Misc. Data &amp; Mechanisms'!AC299</f>
        <v>2.4670666746942729</v>
      </c>
      <c r="AM26" s="424">
        <f>'Misc. Data &amp; Mechanisms'!AD299</f>
        <v>1.5756534246841696</v>
      </c>
      <c r="AN26" s="1460">
        <f>'Misc. Data &amp; Mechanisms'!$B$260</f>
        <v>10.198990303636064</v>
      </c>
      <c r="AO26" s="197">
        <f>IFERROR(IF('Personalized Bill Menu'!$B$30="Yes", IF('Personalized Bill Menu'!$B$34="Natural Gas",VLOOKUP($A26, 'Personalized Bill Menu'!$H$4:$L$93, 2, FALSE), IF('Personalized Bill Menu'!$B$34="Both",VLOOKUP($A26,'Personalized Bill Menu'!$H$4:$P$93, 6, FALSE), 0)), 0),0)</f>
        <v>0</v>
      </c>
      <c r="AP26" s="1343">
        <f>IFERROR(IF('Personalized Bill Menu'!$C$37="Custom", IF('Personalized Bill Menu'!$B$34="Natural Gas",VLOOKUP($A26, 'Personalized Bill Menu'!$H$4:$L$93, 3, FALSE), IF('Personalized Bill Menu'!$B$34="Both",VLOOKUP($A26,'Personalized Bill Menu'!$H$4:$P$93, 7, FALSE), 0)), 0),0)</f>
        <v>0</v>
      </c>
      <c r="AQ26" s="1344">
        <f>IFERROR(IF('Personalized Bill Menu'!$C$37="Custom", IF('Personalized Bill Menu'!$B$34="Natural Gas",VLOOKUP($A26, 'Personalized Bill Menu'!$H$4:$L$93, 4, FALSE), IF('Personalized Bill Menu'!$B$34="Both",VLOOKUP($A26,'Personalized Bill Menu'!$H$4:$P$93, 8, FALSE), 0)), 0),0)</f>
        <v>0</v>
      </c>
      <c r="AR26" s="468"/>
      <c r="AS26" s="468"/>
      <c r="AT26" s="468"/>
    </row>
    <row r="27" spans="1:46" s="469" customFormat="1" x14ac:dyDescent="0.35">
      <c r="A27" s="496">
        <v>41518</v>
      </c>
      <c r="B27" s="497">
        <f t="shared" si="8"/>
        <v>30</v>
      </c>
      <c r="C27" s="1581">
        <f t="shared" si="9"/>
        <v>2.3427887207191733</v>
      </c>
      <c r="D27" s="66">
        <f t="shared" si="10"/>
        <v>26.033086486352502</v>
      </c>
      <c r="E27" s="66">
        <f>(1+$AI27)*IF(AND('Service Zone Menu'!$X$5="Athabasca", $A27&lt;DATE(2019, 5, 1)),((1+$T27+$U27)*($N27+((1+$X27+$Y27)*$P27)+$Z27+$AA27)) + $AG27,((1+$U27)*($N27+((1+$X27+$Y27)*$P27)+$Z27+$AA27))+($T27*(((1+$X27+$Y27)*$P27)+$Z27+$AA27)) + $AG27)</f>
        <v>5.7623290686952204</v>
      </c>
      <c r="F27" s="488">
        <f t="shared" si="0"/>
        <v>60.990021385733378</v>
      </c>
      <c r="G27" s="489">
        <f t="shared" si="11"/>
        <v>5.5032107049693382</v>
      </c>
      <c r="H27" s="490">
        <f>SUM($R27:$S27)</f>
        <v>35.344331725078241</v>
      </c>
      <c r="I27" s="490">
        <f t="shared" si="12"/>
        <v>5.6630165462124138</v>
      </c>
      <c r="J27" s="490">
        <f t="shared" si="13"/>
        <v>9.3251756768194127</v>
      </c>
      <c r="K27" s="490">
        <f t="shared" si="14"/>
        <v>2.25</v>
      </c>
      <c r="L27" s="490">
        <f t="shared" si="15"/>
        <v>0</v>
      </c>
      <c r="M27" s="491">
        <f t="shared" si="16"/>
        <v>2.9042867326539703</v>
      </c>
      <c r="N27" s="273">
        <f>IF($I$2="DRT",VLOOKUP(A27,'Misc. Data &amp; Mechanisms'!$A$1381:$D$1471,4,FALSE),AP27)</f>
        <v>2.3490000000000002</v>
      </c>
      <c r="O27" s="552">
        <f t="shared" si="2"/>
        <v>5.5032107049693382</v>
      </c>
      <c r="P27" s="387">
        <v>1.833</v>
      </c>
      <c r="Q27" s="278">
        <v>1.0349999999999999</v>
      </c>
      <c r="R27" s="425">
        <f t="shared" si="3"/>
        <v>4.2943317250782442</v>
      </c>
      <c r="S27" s="425">
        <f t="shared" si="4"/>
        <v>31.049999999999997</v>
      </c>
      <c r="T27" s="391">
        <f>VLOOKUP($A27,'Misc. Data &amp; Mechanisms'!$A$63:$DY$152,HLOOKUP('Service Zone Menu'!$X$5&amp;"_AltaGas_NG_Y_1",'Misc. Data &amp; Mechanisms'!$A$55:$DY$62,8,FALSE), FALSE)</f>
        <v>0.06</v>
      </c>
      <c r="U27" s="205">
        <f>VLOOKUP($A27,'Misc. Data &amp; Mechanisms'!$A$63:$DY$152,HLOOKUP('Service Zone Menu'!$X$5&amp;"_AltaGas_NG_Y_2",'Misc. Data &amp; Mechanisms'!$A$55:$DY$62,8,FALSE), FALSE)</f>
        <v>4.8025999999999999E-2</v>
      </c>
      <c r="V27" s="425">
        <f>IF(AND('Service Zone Menu'!$X$5="Athabasca", $A27&lt;DATE(2019, 5, 1)),$T27*($G27+$H27+$J27+$K27),$T27*($H27+$J27+$K27))</f>
        <v>3.1453630864120194</v>
      </c>
      <c r="W27" s="553">
        <f t="shared" si="5"/>
        <v>2.5176534598003943</v>
      </c>
      <c r="X27" s="391"/>
      <c r="Y27" s="205">
        <v>0.2258</v>
      </c>
      <c r="Z27" s="278">
        <v>0.35699999999999998</v>
      </c>
      <c r="AA27" s="278"/>
      <c r="AB27" s="492">
        <f t="shared" si="17"/>
        <v>8.4888001035226672</v>
      </c>
      <c r="AC27" s="492">
        <f t="shared" si="6"/>
        <v>0.83637557329674483</v>
      </c>
      <c r="AD27" s="554">
        <f t="shared" si="7"/>
        <v>0</v>
      </c>
      <c r="AE27" s="200">
        <f>IF($I$2="DRT",VLOOKUP(A27,'Misc. Data &amp; Mechanisms'!$A$1483:$H$1574,8,FALSE),AQ27)</f>
        <v>7.4999999999999997E-2</v>
      </c>
      <c r="AF27" s="554">
        <f t="shared" si="18"/>
        <v>2.25</v>
      </c>
      <c r="AG27" s="290"/>
      <c r="AH27" s="494">
        <f t="shared" si="19"/>
        <v>0</v>
      </c>
      <c r="AI27" s="495">
        <f>5%</f>
        <v>0.05</v>
      </c>
      <c r="AJ27" s="341">
        <f>'Misc. Data &amp; Mechanisms'!AN300</f>
        <v>2.3727166872862235</v>
      </c>
      <c r="AK27" s="424">
        <f>'Misc. Data &amp; Mechanisms'!AQ300</f>
        <v>4.2479511386056892</v>
      </c>
      <c r="AL27" s="424">
        <f>'Misc. Data &amp; Mechanisms'!AC300</f>
        <v>2.3427887207191733</v>
      </c>
      <c r="AM27" s="424">
        <f>'Misc. Data &amp; Mechanisms'!AD300</f>
        <v>1.4962802217617663</v>
      </c>
      <c r="AN27" s="1460">
        <f>'Misc. Data &amp; Mechanisms'!$B$260</f>
        <v>10.198990303636064</v>
      </c>
      <c r="AO27" s="197">
        <f>IFERROR(IF('Personalized Bill Menu'!$B$30="Yes", IF('Personalized Bill Menu'!$B$34="Natural Gas",VLOOKUP($A27, 'Personalized Bill Menu'!$H$4:$L$93, 2, FALSE), IF('Personalized Bill Menu'!$B$34="Both",VLOOKUP($A27,'Personalized Bill Menu'!$H$4:$P$93, 6, FALSE), 0)), 0),0)</f>
        <v>0</v>
      </c>
      <c r="AP27" s="1343">
        <f>IFERROR(IF('Personalized Bill Menu'!$C$37="Custom", IF('Personalized Bill Menu'!$B$34="Natural Gas",VLOOKUP($A27, 'Personalized Bill Menu'!$H$4:$L$93, 3, FALSE), IF('Personalized Bill Menu'!$B$34="Both",VLOOKUP($A27,'Personalized Bill Menu'!$H$4:$P$93, 7, FALSE), 0)), 0),0)</f>
        <v>0</v>
      </c>
      <c r="AQ27" s="1344">
        <f>IFERROR(IF('Personalized Bill Menu'!$C$37="Custom", IF('Personalized Bill Menu'!$B$34="Natural Gas",VLOOKUP($A27, 'Personalized Bill Menu'!$H$4:$L$93, 4, FALSE), IF('Personalized Bill Menu'!$B$34="Both",VLOOKUP($A27,'Personalized Bill Menu'!$H$4:$P$93, 8, FALSE), 0)), 0),0)</f>
        <v>0</v>
      </c>
      <c r="AR27" s="468"/>
      <c r="AS27" s="468"/>
      <c r="AT27" s="468"/>
    </row>
    <row r="28" spans="1:46" s="469" customFormat="1" x14ac:dyDescent="0.35">
      <c r="A28" s="496">
        <v>41548</v>
      </c>
      <c r="B28" s="497">
        <f t="shared" si="8"/>
        <v>31</v>
      </c>
      <c r="C28" s="1581">
        <f t="shared" si="9"/>
        <v>5.7681502683022625</v>
      </c>
      <c r="D28" s="66">
        <f t="shared" si="10"/>
        <v>14.180343434762923</v>
      </c>
      <c r="E28" s="66">
        <f>(1+$AI28)*IF(AND('Service Zone Menu'!$X$5="Athabasca", $A28&lt;DATE(2019, 5, 1)),((1+$T28+$U28)*($N28+((1+$X28+$Y28)*$P28)+$Z28+$AA28)) + $AG28,((1+$U28)*($N28+((1+$X28+$Y28)*$P28)+$Z28+$AA28))+($T28*(((1+$X28+$Y28)*$P28)+$Z28+$AA28)) + $AG28)</f>
        <v>5.6727451665952202</v>
      </c>
      <c r="F28" s="488">
        <f t="shared" si="0"/>
        <v>81.794351787845983</v>
      </c>
      <c r="G28" s="489">
        <f t="shared" si="11"/>
        <v>13.664747985608061</v>
      </c>
      <c r="H28" s="490">
        <f t="shared" si="1"/>
        <v>42.658019441798047</v>
      </c>
      <c r="I28" s="490">
        <f t="shared" si="12"/>
        <v>7.5947303679687161</v>
      </c>
      <c r="J28" s="490">
        <f t="shared" si="13"/>
        <v>11.656884859716589</v>
      </c>
      <c r="K28" s="490">
        <f t="shared" si="14"/>
        <v>2.3249999999999997</v>
      </c>
      <c r="L28" s="490">
        <f t="shared" si="15"/>
        <v>0</v>
      </c>
      <c r="M28" s="491">
        <f t="shared" si="16"/>
        <v>3.894969132754571</v>
      </c>
      <c r="N28" s="273">
        <f>IF($I$2="DRT",VLOOKUP(A28,'Misc. Data &amp; Mechanisms'!$A$1381:$D$1471,4,FALSE),AP28)</f>
        <v>2.3690000000000002</v>
      </c>
      <c r="O28" s="552">
        <f t="shared" si="2"/>
        <v>13.664747985608061</v>
      </c>
      <c r="P28" s="387">
        <v>1.833</v>
      </c>
      <c r="Q28" s="278">
        <v>1.0349999999999999</v>
      </c>
      <c r="R28" s="425">
        <f t="shared" si="3"/>
        <v>10.573019441798047</v>
      </c>
      <c r="S28" s="425">
        <f t="shared" si="4"/>
        <v>32.085000000000001</v>
      </c>
      <c r="T28" s="391">
        <f>VLOOKUP($A28,'Misc. Data &amp; Mechanisms'!$A$63:$DY$152,HLOOKUP('Service Zone Menu'!$X$5&amp;"_AltaGas_NG_Y_1",'Misc. Data &amp; Mechanisms'!$A$55:$DY$62,8,FALSE), FALSE)</f>
        <v>0.06</v>
      </c>
      <c r="U28" s="205">
        <f>VLOOKUP($A28,'Misc. Data &amp; Mechanisms'!$A$63:$DY$152,HLOOKUP('Service Zone Menu'!$X$5&amp;"_AltaGas_NG_Y_2",'Misc. Data &amp; Mechanisms'!$A$55:$DY$62,8,FALSE), FALSE)</f>
        <v>4.8025999999999999E-2</v>
      </c>
      <c r="V28" s="425">
        <f>IF(AND('Service Zone Menu'!$X$5="Athabasca", $A28&lt;DATE(2019, 5, 1)),$T28*($G28+$H28+$J28+$K28),$T28*($H28+$J28+$K28))</f>
        <v>4.2182791372273618</v>
      </c>
      <c r="W28" s="553">
        <f t="shared" si="5"/>
        <v>3.3764512307413543</v>
      </c>
      <c r="X28" s="391"/>
      <c r="Y28" s="205">
        <v>0.2258</v>
      </c>
      <c r="Z28" s="296">
        <v>0.26</v>
      </c>
      <c r="AA28" s="296"/>
      <c r="AB28" s="492">
        <f t="shared" si="17"/>
        <v>10.157165789958</v>
      </c>
      <c r="AC28" s="492">
        <f t="shared" si="6"/>
        <v>1.4997190697585883</v>
      </c>
      <c r="AD28" s="554">
        <f t="shared" si="7"/>
        <v>0</v>
      </c>
      <c r="AE28" s="200">
        <f>IF($I$2="DRT",VLOOKUP(A28,'Misc. Data &amp; Mechanisms'!$A$1483:$H$1574,8,FALSE),AQ28)</f>
        <v>7.4999999999999997E-2</v>
      </c>
      <c r="AF28" s="554">
        <f t="shared" si="18"/>
        <v>2.3249999999999997</v>
      </c>
      <c r="AG28" s="290"/>
      <c r="AH28" s="494">
        <f t="shared" si="19"/>
        <v>0</v>
      </c>
      <c r="AI28" s="495">
        <f>5%</f>
        <v>0.05</v>
      </c>
      <c r="AJ28" s="341">
        <f>'Misc. Data &amp; Mechanisms'!AN301</f>
        <v>5.8418355335832386</v>
      </c>
      <c r="AK28" s="424">
        <f>'Misc. Data &amp; Mechanisms'!AQ301</f>
        <v>9.9374776852068845</v>
      </c>
      <c r="AL28" s="424">
        <f>'Misc. Data &amp; Mechanisms'!AC301</f>
        <v>5.7681502683022625</v>
      </c>
      <c r="AM28" s="424">
        <f>'Misc. Data &amp; Mechanisms'!AD301</f>
        <v>3.6839724753161205</v>
      </c>
      <c r="AN28" s="1460">
        <f>'Misc. Data &amp; Mechanisms'!$B$260</f>
        <v>10.198990303636064</v>
      </c>
      <c r="AO28" s="197">
        <f>IFERROR(IF('Personalized Bill Menu'!$B$30="Yes", IF('Personalized Bill Menu'!$B$34="Natural Gas",VLOOKUP($A28, 'Personalized Bill Menu'!$H$4:$L$93, 2, FALSE), IF('Personalized Bill Menu'!$B$34="Both",VLOOKUP($A28,'Personalized Bill Menu'!$H$4:$P$93, 6, FALSE), 0)), 0),0)</f>
        <v>0</v>
      </c>
      <c r="AP28" s="1343">
        <f>IFERROR(IF('Personalized Bill Menu'!$C$37="Custom", IF('Personalized Bill Menu'!$B$34="Natural Gas",VLOOKUP($A28, 'Personalized Bill Menu'!$H$4:$L$93, 3, FALSE), IF('Personalized Bill Menu'!$B$34="Both",VLOOKUP($A28,'Personalized Bill Menu'!$H$4:$P$93, 7, FALSE), 0)), 0),0)</f>
        <v>0</v>
      </c>
      <c r="AQ28" s="1344">
        <f>IFERROR(IF('Personalized Bill Menu'!$C$37="Custom", IF('Personalized Bill Menu'!$B$34="Natural Gas",VLOOKUP($A28, 'Personalized Bill Menu'!$H$4:$L$93, 4, FALSE), IF('Personalized Bill Menu'!$B$34="Both",VLOOKUP($A28,'Personalized Bill Menu'!$H$4:$P$93, 8, FALSE), 0)), 0),0)</f>
        <v>0</v>
      </c>
      <c r="AR28" s="468"/>
      <c r="AS28" s="468"/>
      <c r="AT28" s="468"/>
    </row>
    <row r="29" spans="1:46" s="469" customFormat="1" x14ac:dyDescent="0.35">
      <c r="A29" s="496">
        <v>41579</v>
      </c>
      <c r="B29" s="497">
        <f t="shared" si="8"/>
        <v>30</v>
      </c>
      <c r="C29" s="1581">
        <f t="shared" si="9"/>
        <v>12.636688690851479</v>
      </c>
      <c r="D29" s="66">
        <f t="shared" si="10"/>
        <v>9.7136686120308635</v>
      </c>
      <c r="E29" s="66">
        <f>(1+$AI29)*IF(AND('Service Zone Menu'!$X$5="Athabasca", $A29&lt;DATE(2019, 5, 1)),((1+$T29+$U29)*($N29+((1+$X29+$Y29)*$P29)+$Z29+$AA29)) + $AG29,((1+$U29)*($N29+((1+$X29+$Y29)*$P29)+$Z29+$AA29))+($T29*(((1+$X29+$Y29)*$P29)+$Z29+$AA29)) + $AG29)</f>
        <v>6.6478235921999991</v>
      </c>
      <c r="F29" s="488">
        <f t="shared" si="0"/>
        <v>122.74860629632938</v>
      </c>
      <c r="G29" s="489">
        <f t="shared" si="11"/>
        <v>45.959636768626829</v>
      </c>
      <c r="H29" s="490">
        <f t="shared" si="1"/>
        <v>54.213050370330755</v>
      </c>
      <c r="I29" s="490">
        <f t="shared" si="12"/>
        <v>11.397395388407404</v>
      </c>
      <c r="J29" s="490">
        <f t="shared" si="13"/>
        <v>3.0833520405677608</v>
      </c>
      <c r="K29" s="490">
        <f t="shared" si="14"/>
        <v>2.25</v>
      </c>
      <c r="L29" s="490">
        <f t="shared" si="15"/>
        <v>0</v>
      </c>
      <c r="M29" s="491">
        <f t="shared" si="16"/>
        <v>5.8451717283966378</v>
      </c>
      <c r="N29" s="273">
        <f>IF($I$2="DRT",VLOOKUP(A29,'Misc. Data &amp; Mechanisms'!$A$1381:$D$1471,4,FALSE),AP29)</f>
        <v>3.637</v>
      </c>
      <c r="O29" s="552">
        <f t="shared" si="2"/>
        <v>45.959636768626829</v>
      </c>
      <c r="P29" s="387">
        <v>1.833</v>
      </c>
      <c r="Q29" s="278">
        <v>1.0349999999999999</v>
      </c>
      <c r="R29" s="425">
        <f t="shared" si="3"/>
        <v>23.163050370330758</v>
      </c>
      <c r="S29" s="425">
        <f t="shared" si="4"/>
        <v>31.049999999999997</v>
      </c>
      <c r="T29" s="391">
        <f>VLOOKUP($A29,'Misc. Data &amp; Mechanisms'!$A$63:$DY$152,HLOOKUP('Service Zone Menu'!$X$5&amp;"_AltaGas_NG_Y_1",'Misc. Data &amp; Mechanisms'!$A$55:$DY$62,8,FALSE), FALSE)</f>
        <v>0.06</v>
      </c>
      <c r="U29" s="205">
        <f>VLOOKUP($A29,'Misc. Data &amp; Mechanisms'!$A$63:$DY$152,HLOOKUP('Service Zone Menu'!$X$5&amp;"_AltaGas_NG_Y_2",'Misc. Data &amp; Mechanisms'!$A$55:$DY$62,8,FALSE), FALSE)</f>
        <v>4.8025999999999999E-2</v>
      </c>
      <c r="V29" s="425">
        <f>IF(AND('Service Zone Menu'!$X$5="Athabasca", $A29&lt;DATE(2019, 5, 1)),$T29*($G29+$H29+$J29+$K29),$T29*($H29+$J29+$K29))</f>
        <v>6.3303623507715203</v>
      </c>
      <c r="W29" s="553">
        <f t="shared" si="5"/>
        <v>5.0670330376358841</v>
      </c>
      <c r="X29" s="391"/>
      <c r="Y29" s="205"/>
      <c r="Z29" s="278">
        <v>0.24399999999999999</v>
      </c>
      <c r="AA29" s="278"/>
      <c r="AB29" s="492">
        <f t="shared" si="17"/>
        <v>0</v>
      </c>
      <c r="AC29" s="492">
        <f t="shared" si="6"/>
        <v>3.0833520405677608</v>
      </c>
      <c r="AD29" s="554">
        <f t="shared" si="7"/>
        <v>0</v>
      </c>
      <c r="AE29" s="200">
        <f>IF($I$2="DRT",VLOOKUP(A29,'Misc. Data &amp; Mechanisms'!$A$1483:$H$1574,8,FALSE),AQ29)</f>
        <v>7.4999999999999997E-2</v>
      </c>
      <c r="AF29" s="554">
        <f t="shared" si="18"/>
        <v>2.25</v>
      </c>
      <c r="AG29" s="290"/>
      <c r="AH29" s="494">
        <f t="shared" si="19"/>
        <v>0</v>
      </c>
      <c r="AI29" s="495">
        <f>5%</f>
        <v>0.05</v>
      </c>
      <c r="AJ29" s="341">
        <f>'Misc. Data &amp; Mechanisms'!AN302</f>
        <v>12.798116135551625</v>
      </c>
      <c r="AK29" s="424">
        <f>'Misc. Data &amp; Mechanisms'!AQ302</f>
        <v>17.344183079197038</v>
      </c>
      <c r="AL29" s="424">
        <f>'Misc. Data &amp; Mechanisms'!AC302</f>
        <v>12.636688690851479</v>
      </c>
      <c r="AM29" s="424">
        <f>'Misc. Data &amp; Mechanisms'!AD302</f>
        <v>8.0707351838698429</v>
      </c>
      <c r="AN29" s="1460">
        <f>'Misc. Data &amp; Mechanisms'!$B$260</f>
        <v>10.198990303636064</v>
      </c>
      <c r="AO29" s="197">
        <f>IFERROR(IF('Personalized Bill Menu'!$B$30="Yes", IF('Personalized Bill Menu'!$B$34="Natural Gas",VLOOKUP($A29, 'Personalized Bill Menu'!$H$4:$L$93, 2, FALSE), IF('Personalized Bill Menu'!$B$34="Both",VLOOKUP($A29,'Personalized Bill Menu'!$H$4:$P$93, 6, FALSE), 0)), 0),0)</f>
        <v>0</v>
      </c>
      <c r="AP29" s="1343">
        <f>IFERROR(IF('Personalized Bill Menu'!$C$37="Custom", IF('Personalized Bill Menu'!$B$34="Natural Gas",VLOOKUP($A29, 'Personalized Bill Menu'!$H$4:$L$93, 3, FALSE), IF('Personalized Bill Menu'!$B$34="Both",VLOOKUP($A29,'Personalized Bill Menu'!$H$4:$P$93, 7, FALSE), 0)), 0),0)</f>
        <v>0</v>
      </c>
      <c r="AQ29" s="1344">
        <f>IFERROR(IF('Personalized Bill Menu'!$C$37="Custom", IF('Personalized Bill Menu'!$B$34="Natural Gas",VLOOKUP($A29, 'Personalized Bill Menu'!$H$4:$L$93, 4, FALSE), IF('Personalized Bill Menu'!$B$34="Both",VLOOKUP($A29,'Personalized Bill Menu'!$H$4:$P$93, 8, FALSE), 0)), 0),0)</f>
        <v>0</v>
      </c>
      <c r="AR29" s="468"/>
      <c r="AS29" s="468"/>
      <c r="AT29" s="468"/>
    </row>
    <row r="30" spans="1:46" s="469" customFormat="1" x14ac:dyDescent="0.35">
      <c r="A30" s="508">
        <v>41609</v>
      </c>
      <c r="B30" s="509">
        <f t="shared" si="8"/>
        <v>31</v>
      </c>
      <c r="C30" s="231">
        <f t="shared" si="9"/>
        <v>19.886766558749144</v>
      </c>
      <c r="D30" s="344">
        <f t="shared" si="10"/>
        <v>7.9081601637719316</v>
      </c>
      <c r="E30" s="344">
        <f>(1+$AI30)*IF(AND('Service Zone Menu'!$X$5="Athabasca", $A30&lt;DATE(2019, 5, 1)),((1+$T30+$U30)*($N30+((1+$X30+$Y30)*$P30)+$Z30+$AA30)) + $AG30,((1+$U30)*($N30+((1+$X30+$Y30)*$P30)+$Z30+$AA30))+($T30*(((1+$X30+$Y30)*$P30)+$Z30+$AA30)) + $AG30)</f>
        <v>5.8950861290999992</v>
      </c>
      <c r="F30" s="510">
        <f t="shared" si="0"/>
        <v>157.26773508613181</v>
      </c>
      <c r="G30" s="511">
        <f t="shared" si="11"/>
        <v>63.438785322409771</v>
      </c>
      <c r="H30" s="512">
        <f t="shared" si="1"/>
        <v>68.537443102187183</v>
      </c>
      <c r="I30" s="512">
        <f t="shared" si="12"/>
        <v>14.60254916694363</v>
      </c>
      <c r="J30" s="512">
        <f t="shared" si="13"/>
        <v>0.8750177285849623</v>
      </c>
      <c r="K30" s="512">
        <f t="shared" si="14"/>
        <v>2.3249999999999997</v>
      </c>
      <c r="L30" s="512">
        <f t="shared" si="15"/>
        <v>0</v>
      </c>
      <c r="M30" s="513">
        <f t="shared" si="16"/>
        <v>7.4889397660062773</v>
      </c>
      <c r="N30" s="1243">
        <f>IF($I$2="DRT",VLOOKUP(A30,'Misc. Data &amp; Mechanisms'!$A$1381:$D$1471,4,FALSE),AP30)</f>
        <v>3.19</v>
      </c>
      <c r="O30" s="558">
        <f t="shared" si="2"/>
        <v>63.438785322409771</v>
      </c>
      <c r="P30" s="438">
        <v>1.833</v>
      </c>
      <c r="Q30" s="283">
        <v>1.0349999999999999</v>
      </c>
      <c r="R30" s="440">
        <f t="shared" si="3"/>
        <v>36.452443102187182</v>
      </c>
      <c r="S30" s="440">
        <f t="shared" si="4"/>
        <v>32.085000000000001</v>
      </c>
      <c r="T30" s="394">
        <f>VLOOKUP($A30,'Misc. Data &amp; Mechanisms'!$A$63:$DY$152,HLOOKUP('Service Zone Menu'!$X$5&amp;"_AltaGas_NG_Y_1",'Misc. Data &amp; Mechanisms'!$A$55:$DY$62,8,FALSE), FALSE)</f>
        <v>0.06</v>
      </c>
      <c r="U30" s="246">
        <f>VLOOKUP($A30,'Misc. Data &amp; Mechanisms'!$A$63:$DY$152,HLOOKUP('Service Zone Menu'!$X$5&amp;"_AltaGas_NG_Y_2",'Misc. Data &amp; Mechanisms'!$A$55:$DY$62,8,FALSE), FALSE)</f>
        <v>4.8025999999999999E-2</v>
      </c>
      <c r="V30" s="440">
        <f>IF(AND('Service Zone Menu'!$X$5="Athabasca", $A30&lt;DATE(2019, 5, 1)),$T30*($G30+$H30+$J30+$K30),$T30*($H30+$J30+$K30))</f>
        <v>8.1105747691909151</v>
      </c>
      <c r="W30" s="559">
        <f t="shared" si="5"/>
        <v>6.4919743977527151</v>
      </c>
      <c r="X30" s="394"/>
      <c r="Y30" s="246"/>
      <c r="Z30" s="283">
        <v>4.3999999999999997E-2</v>
      </c>
      <c r="AA30" s="283"/>
      <c r="AB30" s="514">
        <f t="shared" si="17"/>
        <v>0</v>
      </c>
      <c r="AC30" s="514">
        <f t="shared" si="6"/>
        <v>0.8750177285849623</v>
      </c>
      <c r="AD30" s="560">
        <f t="shared" si="7"/>
        <v>0</v>
      </c>
      <c r="AE30" s="239">
        <f>IF($I$2="DRT",VLOOKUP(A30,'Misc. Data &amp; Mechanisms'!$A$1483:$H$1574,8,FALSE),AQ30)</f>
        <v>7.4999999999999997E-2</v>
      </c>
      <c r="AF30" s="560">
        <f t="shared" si="18"/>
        <v>2.3249999999999997</v>
      </c>
      <c r="AG30" s="292"/>
      <c r="AH30" s="516">
        <f t="shared" si="19"/>
        <v>0</v>
      </c>
      <c r="AI30" s="517">
        <f>5%</f>
        <v>0.05</v>
      </c>
      <c r="AJ30" s="352">
        <f>'Misc. Data &amp; Mechanisms'!AN303</f>
        <v>20.140810160476182</v>
      </c>
      <c r="AK30" s="441">
        <f>'Misc. Data &amp; Mechanisms'!AQ303</f>
        <v>23.873234678876095</v>
      </c>
      <c r="AL30" s="441">
        <f>'Misc. Data &amp; Mechanisms'!AC303</f>
        <v>19.886766558749144</v>
      </c>
      <c r="AM30" s="441">
        <f>'Misc. Data &amp; Mechanisms'!AD303</f>
        <v>12.70117753832932</v>
      </c>
      <c r="AN30" s="1461">
        <f>'Misc. Data &amp; Mechanisms'!$B$260</f>
        <v>10.198990303636064</v>
      </c>
      <c r="AO30" s="243">
        <f>IFERROR(IF('Personalized Bill Menu'!$B$30="Yes", IF('Personalized Bill Menu'!$B$34="Natural Gas",VLOOKUP($A30, 'Personalized Bill Menu'!$H$4:$L$93, 2, FALSE), IF('Personalized Bill Menu'!$B$34="Both",VLOOKUP($A30,'Personalized Bill Menu'!$H$4:$P$93, 6, FALSE), 0)), 0),0)</f>
        <v>0</v>
      </c>
      <c r="AP30" s="1345">
        <f>IFERROR(IF('Personalized Bill Menu'!$C$37="Custom", IF('Personalized Bill Menu'!$B$34="Natural Gas",VLOOKUP($A30, 'Personalized Bill Menu'!$H$4:$L$93, 3, FALSE), IF('Personalized Bill Menu'!$B$34="Both",VLOOKUP($A30,'Personalized Bill Menu'!$H$4:$P$93, 7, FALSE), 0)), 0),0)</f>
        <v>0</v>
      </c>
      <c r="AQ30" s="1346">
        <f>IFERROR(IF('Personalized Bill Menu'!$C$37="Custom", IF('Personalized Bill Menu'!$B$34="Natural Gas",VLOOKUP($A30, 'Personalized Bill Menu'!$H$4:$L$93, 4, FALSE), IF('Personalized Bill Menu'!$B$34="Both",VLOOKUP($A30,'Personalized Bill Menu'!$H$4:$P$93, 8, FALSE), 0)), 0),0)</f>
        <v>0</v>
      </c>
      <c r="AR30" s="468"/>
      <c r="AS30" s="468"/>
      <c r="AT30" s="468"/>
    </row>
    <row r="31" spans="1:46" s="469" customFormat="1" x14ac:dyDescent="0.35">
      <c r="A31" s="498">
        <v>41640</v>
      </c>
      <c r="B31" s="499">
        <f t="shared" si="8"/>
        <v>31</v>
      </c>
      <c r="C31" s="212">
        <f t="shared" si="9"/>
        <v>20.430361336930126</v>
      </c>
      <c r="D31" s="353">
        <f t="shared" si="10"/>
        <v>9.2920434586446472</v>
      </c>
      <c r="E31" s="353">
        <f>(1+$AI31)*IF(AND('Service Zone Menu'!$X$5="Athabasca", $A31&lt;DATE(2019, 5, 1)),((1+$T31+$U31)*($N31+((1+$X31+$Y31)*$P31)+$Z31+$AA31)) + $AG31,((1+$U31)*($N31+((1+$X31+$Y31)*$P31)+$Z31+$AA31))+($T31*(((1+$X31+$Y31)*$P31)+$Z31+$AA31)) + $AG31)</f>
        <v>7.1771830136999997</v>
      </c>
      <c r="F31" s="500">
        <f t="shared" si="0"/>
        <v>189.83980541856809</v>
      </c>
      <c r="G31" s="501">
        <f t="shared" si="11"/>
        <v>86.440858816551355</v>
      </c>
      <c r="H31" s="502">
        <f t="shared" si="1"/>
        <v>72.187155943962225</v>
      </c>
      <c r="I31" s="502">
        <f t="shared" si="12"/>
        <v>17.626915596828646</v>
      </c>
      <c r="J31" s="502">
        <f t="shared" si="13"/>
        <v>1.940884327008362</v>
      </c>
      <c r="K31" s="502">
        <f t="shared" si="14"/>
        <v>2.6040000000000001</v>
      </c>
      <c r="L31" s="502">
        <f t="shared" si="15"/>
        <v>0</v>
      </c>
      <c r="M31" s="503">
        <f t="shared" si="16"/>
        <v>9.039990734217529</v>
      </c>
      <c r="N31" s="273">
        <f>IF($I$2="DRT",VLOOKUP(A31,'Misc. Data &amp; Mechanisms'!$A$1381:$D$1471,4,FALSE),AP31)</f>
        <v>4.2309999999999999</v>
      </c>
      <c r="O31" s="555">
        <f t="shared" si="2"/>
        <v>86.440858816551355</v>
      </c>
      <c r="P31" s="431">
        <v>1.843</v>
      </c>
      <c r="Q31" s="288">
        <v>1.1140000000000001</v>
      </c>
      <c r="R31" s="433">
        <f t="shared" si="3"/>
        <v>37.653155943962219</v>
      </c>
      <c r="S31" s="433">
        <f t="shared" si="4"/>
        <v>34.534000000000006</v>
      </c>
      <c r="T31" s="391">
        <f>VLOOKUP($A31,'Misc. Data &amp; Mechanisms'!$A$63:$DY$152,HLOOKUP('Service Zone Menu'!$X$5&amp;"_AltaGas_NG_Y_1",'Misc. Data &amp; Mechanisms'!$A$55:$DY$62,8,FALSE), FALSE)</f>
        <v>0.06</v>
      </c>
      <c r="U31" s="205">
        <f>VLOOKUP($A31,'Misc. Data &amp; Mechanisms'!$A$63:$DY$152,HLOOKUP('Service Zone Menu'!$X$5&amp;"_AltaGas_NG_Y_2",'Misc. Data &amp; Mechanisms'!$A$55:$DY$62,8,FALSE), FALSE)</f>
        <v>4.8025999999999999E-2</v>
      </c>
      <c r="V31" s="433">
        <f>IF(AND('Service Zone Menu'!$X$5="Athabasca", $A31&lt;DATE(2019, 5, 1)),$T31*($G31+$H31+$J31+$K31),$T31*($H31+$J31+$K31))</f>
        <v>9.7903739452513161</v>
      </c>
      <c r="W31" s="556">
        <f t="shared" si="5"/>
        <v>7.8365416515773276</v>
      </c>
      <c r="X31" s="389"/>
      <c r="Y31" s="222"/>
      <c r="Z31" s="288">
        <v>9.5000000000000001E-2</v>
      </c>
      <c r="AA31" s="288"/>
      <c r="AB31" s="504">
        <f t="shared" si="17"/>
        <v>0</v>
      </c>
      <c r="AC31" s="504">
        <f t="shared" si="6"/>
        <v>1.940884327008362</v>
      </c>
      <c r="AD31" s="557">
        <f t="shared" si="7"/>
        <v>0</v>
      </c>
      <c r="AE31" s="200">
        <f>IF($I$2="DRT",VLOOKUP(A31,'Misc. Data &amp; Mechanisms'!$A$1483:$H$1574,8,FALSE),AQ31)</f>
        <v>8.4000000000000005E-2</v>
      </c>
      <c r="AF31" s="557">
        <f t="shared" si="18"/>
        <v>2.6040000000000001</v>
      </c>
      <c r="AG31" s="286"/>
      <c r="AH31" s="506">
        <f t="shared" si="19"/>
        <v>0</v>
      </c>
      <c r="AI31" s="507">
        <f>5%</f>
        <v>0.05</v>
      </c>
      <c r="AJ31" s="359">
        <f>'Misc. Data &amp; Mechanisms'!AN304</f>
        <v>20.691349092947963</v>
      </c>
      <c r="AK31" s="434">
        <f>'Misc. Data &amp; Mechanisms'!AQ304</f>
        <v>19.146506328872562</v>
      </c>
      <c r="AL31" s="434">
        <f>'Misc. Data &amp; Mechanisms'!AC304</f>
        <v>20.430361336930126</v>
      </c>
      <c r="AM31" s="434">
        <f>'Misc. Data &amp; Mechanisms'!AD304</f>
        <v>13.048357848722608</v>
      </c>
      <c r="AN31" s="1462">
        <f>'Misc. Data &amp; Mechanisms'!$B$260</f>
        <v>10.198990303636064</v>
      </c>
      <c r="AO31" s="197">
        <f>IFERROR(IF('Personalized Bill Menu'!$B$30="Yes", IF('Personalized Bill Menu'!$B$34="Natural Gas",VLOOKUP($A31, 'Personalized Bill Menu'!$H$4:$L$93, 2, FALSE), IF('Personalized Bill Menu'!$B$34="Both",VLOOKUP($A31,'Personalized Bill Menu'!$H$4:$P$93, 6, FALSE), 0)), 0),0)</f>
        <v>0</v>
      </c>
      <c r="AP31" s="1343">
        <f>IFERROR(IF('Personalized Bill Menu'!$C$37="Custom", IF('Personalized Bill Menu'!$B$34="Natural Gas",VLOOKUP($A31, 'Personalized Bill Menu'!$H$4:$L$93, 3, FALSE), IF('Personalized Bill Menu'!$B$34="Both",VLOOKUP($A31,'Personalized Bill Menu'!$H$4:$P$93, 7, FALSE), 0)), 0),0)</f>
        <v>0</v>
      </c>
      <c r="AQ31" s="1344">
        <f>IFERROR(IF('Personalized Bill Menu'!$C$37="Custom", IF('Personalized Bill Menu'!$B$34="Natural Gas",VLOOKUP($A31, 'Personalized Bill Menu'!$H$4:$L$93, 4, FALSE), IF('Personalized Bill Menu'!$B$34="Both",VLOOKUP($A31,'Personalized Bill Menu'!$H$4:$P$93, 8, FALSE), 0)), 0),0)</f>
        <v>0</v>
      </c>
      <c r="AR31" s="468"/>
      <c r="AS31" s="468"/>
      <c r="AT31" s="468"/>
    </row>
    <row r="32" spans="1:46" s="469" customFormat="1" x14ac:dyDescent="0.35">
      <c r="A32" s="496">
        <v>41671</v>
      </c>
      <c r="B32" s="497">
        <f t="shared" si="8"/>
        <v>28</v>
      </c>
      <c r="C32" s="1581">
        <f t="shared" si="9"/>
        <v>25.682146719020633</v>
      </c>
      <c r="D32" s="66">
        <f t="shared" si="10"/>
        <v>9.598416400400108</v>
      </c>
      <c r="E32" s="66">
        <f>(1+$AI32)*IF(AND('Service Zone Menu'!$X$5="Athabasca", $A32&lt;DATE(2019, 5, 1)),((1+$T32+$U32)*($N32+((1+$X32+$Y32)*$P32)+$Z32+$AA32)) + $AG32,((1+$U32)*($N32+((1+$X32+$Y32)*$P32)+$Z32+$AA32))+($T32*(((1+$X32+$Y32)*$P32)+$Z32+$AA32)) + $AG32)</f>
        <v>8.0788391712000003</v>
      </c>
      <c r="F32" s="488">
        <f t="shared" si="0"/>
        <v>246.50793826532947</v>
      </c>
      <c r="G32" s="489">
        <f t="shared" si="11"/>
        <v>124.91796164131635</v>
      </c>
      <c r="H32" s="490">
        <f t="shared" si="1"/>
        <v>78.524196403155031</v>
      </c>
      <c r="I32" s="490">
        <f t="shared" si="12"/>
        <v>22.888638197720205</v>
      </c>
      <c r="J32" s="490">
        <f t="shared" si="13"/>
        <v>6.0866687724078901</v>
      </c>
      <c r="K32" s="490">
        <f t="shared" si="14"/>
        <v>2.3520000000000003</v>
      </c>
      <c r="L32" s="490">
        <f t="shared" si="15"/>
        <v>0</v>
      </c>
      <c r="M32" s="491">
        <f t="shared" si="16"/>
        <v>11.738473250729974</v>
      </c>
      <c r="N32" s="273">
        <f>IF($I$2="DRT",VLOOKUP(A32,'Misc. Data &amp; Mechanisms'!$A$1381:$D$1471,4,FALSE),AP32)</f>
        <v>4.8639999999999999</v>
      </c>
      <c r="O32" s="552">
        <f t="shared" si="2"/>
        <v>124.91796164131635</v>
      </c>
      <c r="P32" s="387">
        <v>1.843</v>
      </c>
      <c r="Q32" s="278">
        <v>1.1140000000000001</v>
      </c>
      <c r="R32" s="425">
        <f t="shared" si="3"/>
        <v>47.332196403155024</v>
      </c>
      <c r="S32" s="425">
        <f t="shared" si="4"/>
        <v>31.192000000000004</v>
      </c>
      <c r="T32" s="391">
        <f>VLOOKUP($A32,'Misc. Data &amp; Mechanisms'!$A$63:$DY$152,HLOOKUP('Service Zone Menu'!$X$5&amp;"_AltaGas_NG_Y_1",'Misc. Data &amp; Mechanisms'!$A$55:$DY$62,8,FALSE), FALSE)</f>
        <v>0.06</v>
      </c>
      <c r="U32" s="205">
        <f>VLOOKUP($A32,'Misc. Data &amp; Mechanisms'!$A$63:$DY$152,HLOOKUP('Service Zone Menu'!$X$5&amp;"_AltaGas_NG_Y_2",'Misc. Data &amp; Mechanisms'!$A$55:$DY$62,8,FALSE), FALSE)</f>
        <v>4.8025999999999999E-2</v>
      </c>
      <c r="V32" s="425">
        <f>IF(AND('Service Zone Menu'!$X$5="Athabasca", $A32&lt;DATE(2019, 5, 1)),$T32*($G32+$H32+$J32+$K32),$T32*($H32+$J32+$K32))</f>
        <v>12.712849609012759</v>
      </c>
      <c r="W32" s="553">
        <f t="shared" si="5"/>
        <v>10.175788588707446</v>
      </c>
      <c r="X32" s="391"/>
      <c r="Y32" s="205"/>
      <c r="Z32" s="278">
        <v>0.23699999999999999</v>
      </c>
      <c r="AA32" s="278"/>
      <c r="AB32" s="492">
        <f t="shared" si="17"/>
        <v>0</v>
      </c>
      <c r="AC32" s="492">
        <f t="shared" si="6"/>
        <v>6.0866687724078901</v>
      </c>
      <c r="AD32" s="554">
        <f t="shared" si="7"/>
        <v>0</v>
      </c>
      <c r="AE32" s="200">
        <f>IF($I$2="DRT",VLOOKUP(A32,'Misc. Data &amp; Mechanisms'!$A$1483:$H$1574,8,FALSE),AQ32)</f>
        <v>8.4000000000000005E-2</v>
      </c>
      <c r="AF32" s="554">
        <f t="shared" si="18"/>
        <v>2.3520000000000003</v>
      </c>
      <c r="AG32" s="290"/>
      <c r="AH32" s="494">
        <f t="shared" si="19"/>
        <v>0</v>
      </c>
      <c r="AI32" s="495">
        <f>5%</f>
        <v>0.05</v>
      </c>
      <c r="AJ32" s="341">
        <f>'Misc. Data &amp; Mechanisms'!AN305</f>
        <v>26.010223434423711</v>
      </c>
      <c r="AK32" s="424">
        <f>'Misc. Data &amp; Mechanisms'!AQ305</f>
        <v>24.542492751227204</v>
      </c>
      <c r="AL32" s="424">
        <f>'Misc. Data &amp; Mechanisms'!AC305</f>
        <v>25.682146719020633</v>
      </c>
      <c r="AM32" s="424">
        <f>'Misc. Data &amp; Mechanisms'!AD305</f>
        <v>16.402541060663012</v>
      </c>
      <c r="AN32" s="1460">
        <f>'Misc. Data &amp; Mechanisms'!$B$260</f>
        <v>10.198990303636064</v>
      </c>
      <c r="AO32" s="197">
        <f>IFERROR(IF('Personalized Bill Menu'!$B$30="Yes", IF('Personalized Bill Menu'!$B$34="Natural Gas",VLOOKUP($A32, 'Personalized Bill Menu'!$H$4:$L$93, 2, FALSE), IF('Personalized Bill Menu'!$B$34="Both",VLOOKUP($A32,'Personalized Bill Menu'!$H$4:$P$93, 6, FALSE), 0)), 0),0)</f>
        <v>0</v>
      </c>
      <c r="AP32" s="1343">
        <f>IFERROR(IF('Personalized Bill Menu'!$C$37="Custom", IF('Personalized Bill Menu'!$B$34="Natural Gas",VLOOKUP($A32, 'Personalized Bill Menu'!$H$4:$L$93, 3, FALSE), IF('Personalized Bill Menu'!$B$34="Both",VLOOKUP($A32,'Personalized Bill Menu'!$H$4:$P$93, 7, FALSE), 0)), 0),0)</f>
        <v>0</v>
      </c>
      <c r="AQ32" s="1344">
        <f>IFERROR(IF('Personalized Bill Menu'!$C$37="Custom", IF('Personalized Bill Menu'!$B$34="Natural Gas",VLOOKUP($A32, 'Personalized Bill Menu'!$H$4:$L$93, 4, FALSE), IF('Personalized Bill Menu'!$B$34="Both",VLOOKUP($A32,'Personalized Bill Menu'!$H$4:$P$93, 8, FALSE), 0)), 0),0)</f>
        <v>0</v>
      </c>
      <c r="AR32" s="468"/>
      <c r="AS32" s="468"/>
      <c r="AT32" s="468"/>
    </row>
    <row r="33" spans="1:46" s="469" customFormat="1" x14ac:dyDescent="0.35">
      <c r="A33" s="496">
        <v>41699</v>
      </c>
      <c r="B33" s="497">
        <f t="shared" si="8"/>
        <v>31</v>
      </c>
      <c r="C33" s="1581">
        <f t="shared" si="9"/>
        <v>18.806637138917647</v>
      </c>
      <c r="D33" s="66">
        <f t="shared" si="10"/>
        <v>13.188295857073095</v>
      </c>
      <c r="E33" s="66">
        <f>(1+$AI33)*IF(AND('Service Zone Menu'!$X$5="Athabasca", $A33&lt;DATE(2019, 5, 1)),((1+$T33+$U33)*($N33+((1+$X33+$Y33)*$P33)+$Z33+$AA33)) + $AG33,((1+$U33)*($N33+((1+$X33+$Y33)*$P33)+$Z33+$AA33))+($T33*(((1+$X33+$Y33)*$P33)+$Z33+$AA33)) + $AG33)</f>
        <v>10.890842955299998</v>
      </c>
      <c r="F33" s="488">
        <f t="shared" si="0"/>
        <v>248.02749466466463</v>
      </c>
      <c r="G33" s="489">
        <f t="shared" si="11"/>
        <v>138.84940199662898</v>
      </c>
      <c r="H33" s="490">
        <f t="shared" si="1"/>
        <v>69.194632247025226</v>
      </c>
      <c r="I33" s="490">
        <f t="shared" si="12"/>
        <v>23.029731327986767</v>
      </c>
      <c r="J33" s="490">
        <f t="shared" si="13"/>
        <v>2.5388960137538827</v>
      </c>
      <c r="K33" s="490">
        <f t="shared" si="14"/>
        <v>2.6040000000000001</v>
      </c>
      <c r="L33" s="490">
        <f t="shared" si="15"/>
        <v>0</v>
      </c>
      <c r="M33" s="491">
        <f t="shared" si="16"/>
        <v>11.810833079269745</v>
      </c>
      <c r="N33" s="273">
        <f>IF($I$2="DRT",VLOOKUP(A33,'Misc. Data &amp; Mechanisms'!$A$1381:$D$1471,4,FALSE),AP33)</f>
        <v>7.383</v>
      </c>
      <c r="O33" s="552">
        <f t="shared" si="2"/>
        <v>138.84940199662898</v>
      </c>
      <c r="P33" s="387">
        <v>1.843</v>
      </c>
      <c r="Q33" s="278">
        <v>1.1140000000000001</v>
      </c>
      <c r="R33" s="425">
        <f t="shared" si="3"/>
        <v>34.660632247025227</v>
      </c>
      <c r="S33" s="425">
        <f t="shared" si="4"/>
        <v>34.534000000000006</v>
      </c>
      <c r="T33" s="391">
        <f>VLOOKUP($A33,'Misc. Data &amp; Mechanisms'!$A$63:$DY$152,HLOOKUP('Service Zone Menu'!$X$5&amp;"_AltaGas_NG_Y_1",'Misc. Data &amp; Mechanisms'!$A$55:$DY$62,8,FALSE), FALSE)</f>
        <v>0.06</v>
      </c>
      <c r="U33" s="205">
        <f>VLOOKUP($A33,'Misc. Data &amp; Mechanisms'!$A$63:$DY$152,HLOOKUP('Service Zone Menu'!$X$5&amp;"_AltaGas_NG_Y_2",'Misc. Data &amp; Mechanisms'!$A$55:$DY$62,8,FALSE), FALSE)</f>
        <v>4.8025999999999999E-2</v>
      </c>
      <c r="V33" s="425">
        <f>IF(AND('Service Zone Menu'!$X$5="Athabasca", $A33&lt;DATE(2019, 5, 1)),$T33*($G33+$H33+$J33+$K33),$T33*($H33+$J33+$K33))</f>
        <v>12.791215815444486</v>
      </c>
      <c r="W33" s="553">
        <f t="shared" si="5"/>
        <v>10.238515512542282</v>
      </c>
      <c r="X33" s="391"/>
      <c r="Y33" s="205"/>
      <c r="Z33" s="278">
        <v>0.13500000000000001</v>
      </c>
      <c r="AA33" s="278"/>
      <c r="AB33" s="492">
        <f t="shared" si="17"/>
        <v>0</v>
      </c>
      <c r="AC33" s="492">
        <f t="shared" si="6"/>
        <v>2.5388960137538827</v>
      </c>
      <c r="AD33" s="554">
        <f t="shared" si="7"/>
        <v>0</v>
      </c>
      <c r="AE33" s="200">
        <f>IF($I$2="DRT",VLOOKUP(A33,'Misc. Data &amp; Mechanisms'!$A$1483:$H$1574,8,FALSE),AQ33)</f>
        <v>8.4000000000000005E-2</v>
      </c>
      <c r="AF33" s="554">
        <f t="shared" si="18"/>
        <v>2.6040000000000001</v>
      </c>
      <c r="AG33" s="290"/>
      <c r="AH33" s="494">
        <f t="shared" si="19"/>
        <v>0</v>
      </c>
      <c r="AI33" s="495">
        <f>5%</f>
        <v>0.05</v>
      </c>
      <c r="AJ33" s="341">
        <f>'Misc. Data &amp; Mechanisms'!AN306</f>
        <v>19.046882621813516</v>
      </c>
      <c r="AK33" s="424">
        <f>'Misc. Data &amp; Mechanisms'!AQ306</f>
        <v>20.128310686777613</v>
      </c>
      <c r="AL33" s="424">
        <f>'Misc. Data &amp; Mechanisms'!AC306</f>
        <v>18.806637138917647</v>
      </c>
      <c r="AM33" s="424">
        <f>'Misc. Data &amp; Mechanisms'!AD306</f>
        <v>12.011326049143067</v>
      </c>
      <c r="AN33" s="1460">
        <f>'Misc. Data &amp; Mechanisms'!$B$260</f>
        <v>10.198990303636064</v>
      </c>
      <c r="AO33" s="197">
        <f>IFERROR(IF('Personalized Bill Menu'!$B$30="Yes", IF('Personalized Bill Menu'!$B$34="Natural Gas",VLOOKUP($A33, 'Personalized Bill Menu'!$H$4:$L$93, 2, FALSE), IF('Personalized Bill Menu'!$B$34="Both",VLOOKUP($A33,'Personalized Bill Menu'!$H$4:$P$93, 6, FALSE), 0)), 0),0)</f>
        <v>0</v>
      </c>
      <c r="AP33" s="1343">
        <f>IFERROR(IF('Personalized Bill Menu'!$C$37="Custom", IF('Personalized Bill Menu'!$B$34="Natural Gas",VLOOKUP($A33, 'Personalized Bill Menu'!$H$4:$L$93, 3, FALSE), IF('Personalized Bill Menu'!$B$34="Both",VLOOKUP($A33,'Personalized Bill Menu'!$H$4:$P$93, 7, FALSE), 0)), 0),0)</f>
        <v>0</v>
      </c>
      <c r="AQ33" s="1344">
        <f>IFERROR(IF('Personalized Bill Menu'!$C$37="Custom", IF('Personalized Bill Menu'!$B$34="Natural Gas",VLOOKUP($A33, 'Personalized Bill Menu'!$H$4:$L$93, 4, FALSE), IF('Personalized Bill Menu'!$B$34="Both",VLOOKUP($A33,'Personalized Bill Menu'!$H$4:$P$93, 8, FALSE), 0)), 0),0)</f>
        <v>0</v>
      </c>
      <c r="AR33" s="468"/>
      <c r="AS33" s="468"/>
      <c r="AT33" s="468"/>
    </row>
    <row r="34" spans="1:46" s="469" customFormat="1" x14ac:dyDescent="0.35">
      <c r="A34" s="496">
        <v>41730</v>
      </c>
      <c r="B34" s="497">
        <f t="shared" si="8"/>
        <v>30</v>
      </c>
      <c r="C34" s="1581">
        <f t="shared" si="9"/>
        <v>10.523135669054513</v>
      </c>
      <c r="D34" s="66">
        <f t="shared" si="10"/>
        <v>13.329362172208436</v>
      </c>
      <c r="E34" s="66">
        <f>(1+$AI34)*IF(AND('Service Zone Menu'!$X$5="Athabasca", $A34&lt;DATE(2019, 5, 1)),((1+$T34+$U34)*($N34+((1+$X34+$Y34)*$P34)+$Z34+$AA34)) + $AG34,((1+$U34)*($N34+((1+$X34+$Y34)*$P34)+$Z34+$AA34))+($T34*(((1+$X34+$Y34)*$P34)+$Z34+$AA34)) + $AG34)</f>
        <v>9.4984336608000017</v>
      </c>
      <c r="F34" s="488">
        <f t="shared" si="0"/>
        <v>140.26668652011253</v>
      </c>
      <c r="G34" s="489">
        <f t="shared" si="11"/>
        <v>67.200744382582116</v>
      </c>
      <c r="H34" s="490">
        <f t="shared" si="1"/>
        <v>52.814139038067466</v>
      </c>
      <c r="I34" s="490">
        <f t="shared" si="12"/>
        <v>8.5374076497916356</v>
      </c>
      <c r="J34" s="490">
        <f t="shared" si="13"/>
        <v>2.5150294249040286</v>
      </c>
      <c r="K34" s="490">
        <f t="shared" si="14"/>
        <v>2.52</v>
      </c>
      <c r="L34" s="490">
        <f t="shared" si="15"/>
        <v>0</v>
      </c>
      <c r="M34" s="491">
        <f t="shared" si="16"/>
        <v>6.6793660247672637</v>
      </c>
      <c r="N34" s="273">
        <f>IF($I$2="DRT",VLOOKUP(A34,'Misc. Data &amp; Mechanisms'!$A$1381:$D$1471,4,FALSE),AP34)</f>
        <v>6.3860000000000001</v>
      </c>
      <c r="O34" s="552">
        <f t="shared" si="2"/>
        <v>67.200744382582116</v>
      </c>
      <c r="P34" s="387">
        <v>1.843</v>
      </c>
      <c r="Q34" s="278">
        <v>1.1140000000000001</v>
      </c>
      <c r="R34" s="425">
        <f t="shared" si="3"/>
        <v>19.394139038067468</v>
      </c>
      <c r="S34" s="425">
        <f t="shared" si="4"/>
        <v>33.42</v>
      </c>
      <c r="T34" s="391">
        <f>VLOOKUP($A34,'Misc. Data &amp; Mechanisms'!$A$63:$DY$152,HLOOKUP('Service Zone Menu'!$X$5&amp;"_AltaGas_NG_Y_1",'Misc. Data &amp; Mechanisms'!$A$55:$DY$62,8,FALSE), FALSE)</f>
        <v>0.06</v>
      </c>
      <c r="U34" s="205">
        <f>VLOOKUP($A34,'Misc. Data &amp; Mechanisms'!$A$63:$DY$152,HLOOKUP('Service Zone Menu'!$X$5&amp;"_AltaGas_NG_Y_2",'Misc. Data &amp; Mechanisms'!$A$55:$DY$62,8,FALSE), FALSE)</f>
        <v>8.2719999999999998E-3</v>
      </c>
      <c r="V34" s="425">
        <f>IF(AND('Service Zone Menu'!$X$5="Athabasca", $A34&lt;DATE(2019, 5, 1)),$T34*($G34+$H34+$J34+$K34),$T34*($H34+$J34+$K34))</f>
        <v>7.5029947707332161</v>
      </c>
      <c r="W34" s="553">
        <f t="shared" si="5"/>
        <v>1.0344128790584195</v>
      </c>
      <c r="X34" s="391"/>
      <c r="Y34" s="205"/>
      <c r="Z34" s="278">
        <v>0.23899999999999999</v>
      </c>
      <c r="AA34" s="278"/>
      <c r="AB34" s="492">
        <f t="shared" si="17"/>
        <v>0</v>
      </c>
      <c r="AC34" s="492">
        <f t="shared" si="6"/>
        <v>2.5150294249040286</v>
      </c>
      <c r="AD34" s="554">
        <f t="shared" si="7"/>
        <v>0</v>
      </c>
      <c r="AE34" s="200">
        <f>IF($I$2="DRT",VLOOKUP(A34,'Misc. Data &amp; Mechanisms'!$A$1483:$H$1574,8,FALSE),AQ34)</f>
        <v>8.4000000000000005E-2</v>
      </c>
      <c r="AF34" s="554">
        <f t="shared" si="18"/>
        <v>2.52</v>
      </c>
      <c r="AG34" s="290"/>
      <c r="AH34" s="494">
        <f t="shared" si="19"/>
        <v>0</v>
      </c>
      <c r="AI34" s="495">
        <f>5%</f>
        <v>0.05</v>
      </c>
      <c r="AJ34" s="341">
        <f>'Misc. Data &amp; Mechanisms'!AN307</f>
        <v>10.657563519802967</v>
      </c>
      <c r="AK34" s="424">
        <f>'Misc. Data &amp; Mechanisms'!AQ307</f>
        <v>11.086628204984903</v>
      </c>
      <c r="AL34" s="424">
        <f>'Misc. Data &amp; Mechanisms'!AC307</f>
        <v>10.523135669054513</v>
      </c>
      <c r="AM34" s="424">
        <f>'Misc. Data &amp; Mechanisms'!AD307</f>
        <v>6.7208620364573788</v>
      </c>
      <c r="AN34" s="1460">
        <f>'Misc. Data &amp; Mechanisms'!$B$260</f>
        <v>10.198990303636064</v>
      </c>
      <c r="AO34" s="197">
        <f>IFERROR(IF('Personalized Bill Menu'!$B$30="Yes", IF('Personalized Bill Menu'!$B$34="Natural Gas",VLOOKUP($A34, 'Personalized Bill Menu'!$H$4:$L$93, 2, FALSE), IF('Personalized Bill Menu'!$B$34="Both",VLOOKUP($A34,'Personalized Bill Menu'!$H$4:$P$93, 6, FALSE), 0)), 0),0)</f>
        <v>0</v>
      </c>
      <c r="AP34" s="1343">
        <f>IFERROR(IF('Personalized Bill Menu'!$C$37="Custom", IF('Personalized Bill Menu'!$B$34="Natural Gas",VLOOKUP($A34, 'Personalized Bill Menu'!$H$4:$L$93, 3, FALSE), IF('Personalized Bill Menu'!$B$34="Both",VLOOKUP($A34,'Personalized Bill Menu'!$H$4:$P$93, 7, FALSE), 0)), 0),0)</f>
        <v>0</v>
      </c>
      <c r="AQ34" s="1344">
        <f>IFERROR(IF('Personalized Bill Menu'!$C$37="Custom", IF('Personalized Bill Menu'!$B$34="Natural Gas",VLOOKUP($A34, 'Personalized Bill Menu'!$H$4:$L$93, 4, FALSE), IF('Personalized Bill Menu'!$B$34="Both",VLOOKUP($A34,'Personalized Bill Menu'!$H$4:$P$93, 8, FALSE), 0)), 0),0)</f>
        <v>0</v>
      </c>
      <c r="AR34" s="468"/>
      <c r="AS34" s="468"/>
      <c r="AT34" s="468"/>
    </row>
    <row r="35" spans="1:46" s="469" customFormat="1" x14ac:dyDescent="0.35">
      <c r="A35" s="496">
        <v>41760</v>
      </c>
      <c r="B35" s="497">
        <f t="shared" si="8"/>
        <v>31</v>
      </c>
      <c r="C35" s="1581">
        <f t="shared" si="9"/>
        <v>6.3124183953447304</v>
      </c>
      <c r="D35" s="66">
        <f t="shared" si="10"/>
        <v>14.747163539620036</v>
      </c>
      <c r="E35" s="66">
        <f>(1+$AI35)*IF(AND('Service Zone Menu'!$X$5="Athabasca", $A35&lt;DATE(2019, 5, 1)),((1+$T35+$U35)*($N35+((1+$X35+$Y35)*$P35)+$Z35+$AA35)) + $AG35,((1+$U35)*($N35+((1+$X35+$Y35)*$P35)+$Z35+$AA35))+($T35*(((1+$X35+$Y35)*$P35)+$Z35+$AA35)) + $AG35)</f>
        <v>8.1479241984000019</v>
      </c>
      <c r="F35" s="488">
        <f t="shared" si="0"/>
        <v>93.090266406654621</v>
      </c>
      <c r="G35" s="489">
        <f t="shared" si="11"/>
        <v>31.366407006467966</v>
      </c>
      <c r="H35" s="490">
        <f t="shared" si="1"/>
        <v>46.167787102620345</v>
      </c>
      <c r="I35" s="490">
        <f t="shared" si="12"/>
        <v>5.6659893539821899</v>
      </c>
      <c r="J35" s="490">
        <f t="shared" si="13"/>
        <v>2.8532131146958184</v>
      </c>
      <c r="K35" s="490">
        <f t="shared" si="14"/>
        <v>2.6040000000000001</v>
      </c>
      <c r="L35" s="490">
        <f t="shared" si="15"/>
        <v>0</v>
      </c>
      <c r="M35" s="491">
        <f t="shared" si="16"/>
        <v>4.4328698288883155</v>
      </c>
      <c r="N35" s="273">
        <f>IF($I$2="DRT",VLOOKUP(A35,'Misc. Data &amp; Mechanisms'!$A$1381:$D$1471,4,FALSE),AP35)</f>
        <v>4.9690000000000003</v>
      </c>
      <c r="O35" s="552">
        <f t="shared" si="2"/>
        <v>31.366407006467966</v>
      </c>
      <c r="P35" s="387">
        <v>1.843</v>
      </c>
      <c r="Q35" s="278">
        <v>1.1140000000000001</v>
      </c>
      <c r="R35" s="425">
        <f t="shared" si="3"/>
        <v>11.633787102620339</v>
      </c>
      <c r="S35" s="425">
        <f t="shared" si="4"/>
        <v>34.534000000000006</v>
      </c>
      <c r="T35" s="391">
        <f>VLOOKUP($A35,'Misc. Data &amp; Mechanisms'!$A$63:$DY$152,HLOOKUP('Service Zone Menu'!$X$5&amp;"_AltaGas_NG_Y_1",'Misc. Data &amp; Mechanisms'!$A$55:$DY$62,8,FALSE), FALSE)</f>
        <v>0.06</v>
      </c>
      <c r="U35" s="205">
        <f>VLOOKUP($A35,'Misc. Data &amp; Mechanisms'!$A$63:$DY$152,HLOOKUP('Service Zone Menu'!$X$5&amp;"_AltaGas_NG_Y_2",'Misc. Data &amp; Mechanisms'!$A$55:$DY$62,8,FALSE), FALSE)</f>
        <v>8.2719999999999998E-3</v>
      </c>
      <c r="V35" s="425">
        <f>IF(AND('Service Zone Menu'!$X$5="Athabasca", $A35&lt;DATE(2019, 5, 1)),$T35*($G35+$H35+$J35+$K35),$T35*($H35+$J35+$K35))</f>
        <v>4.9794844334270474</v>
      </c>
      <c r="W35" s="553">
        <f t="shared" si="5"/>
        <v>0.68650492055514223</v>
      </c>
      <c r="X35" s="391"/>
      <c r="Y35" s="205"/>
      <c r="Z35" s="278">
        <v>0.45200000000000001</v>
      </c>
      <c r="AA35" s="278"/>
      <c r="AB35" s="492">
        <f t="shared" si="17"/>
        <v>0</v>
      </c>
      <c r="AC35" s="492">
        <f t="shared" si="6"/>
        <v>2.8532131146958184</v>
      </c>
      <c r="AD35" s="554">
        <f t="shared" si="7"/>
        <v>0</v>
      </c>
      <c r="AE35" s="200">
        <f>IF($I$2="DRT",VLOOKUP(A35,'Misc. Data &amp; Mechanisms'!$A$1483:$H$1574,8,FALSE),AQ35)</f>
        <v>8.4000000000000005E-2</v>
      </c>
      <c r="AF35" s="554">
        <f t="shared" si="18"/>
        <v>2.6040000000000001</v>
      </c>
      <c r="AG35" s="290"/>
      <c r="AH35" s="494">
        <f t="shared" si="19"/>
        <v>0</v>
      </c>
      <c r="AI35" s="495">
        <f>5%</f>
        <v>0.05</v>
      </c>
      <c r="AJ35" s="341">
        <f>'Misc. Data &amp; Mechanisms'!AN308</f>
        <v>6.3930564166150035</v>
      </c>
      <c r="AK35" s="424">
        <f>'Misc. Data &amp; Mechanisms'!AQ308</f>
        <v>7.1272528085922717</v>
      </c>
      <c r="AL35" s="424">
        <f>'Misc. Data &amp; Mechanisms'!AC308</f>
        <v>6.3124183953447304</v>
      </c>
      <c r="AM35" s="424">
        <f>'Misc. Data &amp; Mechanisms'!AD308</f>
        <v>4.0315828366887727</v>
      </c>
      <c r="AN35" s="1460">
        <f>'Misc. Data &amp; Mechanisms'!$B$260</f>
        <v>10.198990303636064</v>
      </c>
      <c r="AO35" s="197">
        <f>IFERROR(IF('Personalized Bill Menu'!$B$30="Yes", IF('Personalized Bill Menu'!$B$34="Natural Gas",VLOOKUP($A35, 'Personalized Bill Menu'!$H$4:$L$93, 2, FALSE), IF('Personalized Bill Menu'!$B$34="Both",VLOOKUP($A35,'Personalized Bill Menu'!$H$4:$P$93, 6, FALSE), 0)), 0),0)</f>
        <v>0</v>
      </c>
      <c r="AP35" s="1343">
        <f>IFERROR(IF('Personalized Bill Menu'!$C$37="Custom", IF('Personalized Bill Menu'!$B$34="Natural Gas",VLOOKUP($A35, 'Personalized Bill Menu'!$H$4:$L$93, 3, FALSE), IF('Personalized Bill Menu'!$B$34="Both",VLOOKUP($A35,'Personalized Bill Menu'!$H$4:$P$93, 7, FALSE), 0)), 0),0)</f>
        <v>0</v>
      </c>
      <c r="AQ35" s="1344">
        <f>IFERROR(IF('Personalized Bill Menu'!$C$37="Custom", IF('Personalized Bill Menu'!$B$34="Natural Gas",VLOOKUP($A35, 'Personalized Bill Menu'!$H$4:$L$93, 4, FALSE), IF('Personalized Bill Menu'!$B$34="Both",VLOOKUP($A35,'Personalized Bill Menu'!$H$4:$P$93, 8, FALSE), 0)), 0),0)</f>
        <v>0</v>
      </c>
      <c r="AR35" s="468"/>
      <c r="AS35" s="468"/>
      <c r="AT35" s="468"/>
    </row>
    <row r="36" spans="1:46" s="469" customFormat="1" x14ac:dyDescent="0.35">
      <c r="A36" s="496">
        <v>41791</v>
      </c>
      <c r="B36" s="497">
        <f t="shared" si="8"/>
        <v>30</v>
      </c>
      <c r="C36" s="1581">
        <f t="shared" si="9"/>
        <v>3.2789549470616799</v>
      </c>
      <c r="D36" s="66">
        <f t="shared" si="10"/>
        <v>18.379726377878754</v>
      </c>
      <c r="E36" s="66">
        <f>(1+$AI36)*IF(AND('Service Zone Menu'!$X$5="Athabasca", $A36&lt;DATE(2019, 5, 1)),((1+$T36+$U36)*($N36+((1+$X36+$Y36)*$P36)+$Z36+$AA36)) + $AG36,((1+$U36)*($N36+((1+$X36+$Y36)*$P36)+$Z36+$AA36))+($T36*(((1+$X36+$Y36)*$P36)+$Z36+$AA36)) + $AG36)</f>
        <v>6.0851443800000018</v>
      </c>
      <c r="F36" s="488">
        <f t="shared" si="0"/>
        <v>60.266294732385589</v>
      </c>
      <c r="G36" s="489">
        <f t="shared" si="11"/>
        <v>10.076228552320542</v>
      </c>
      <c r="H36" s="490">
        <f t="shared" si="1"/>
        <v>39.46311396743468</v>
      </c>
      <c r="I36" s="490">
        <f t="shared" si="12"/>
        <v>3.6681405858909386</v>
      </c>
      <c r="J36" s="490">
        <f t="shared" si="13"/>
        <v>1.6689880680543951</v>
      </c>
      <c r="K36" s="490">
        <f t="shared" si="14"/>
        <v>2.52</v>
      </c>
      <c r="L36" s="490">
        <f t="shared" si="15"/>
        <v>0</v>
      </c>
      <c r="M36" s="491">
        <f t="shared" si="16"/>
        <v>2.8698235586850283</v>
      </c>
      <c r="N36" s="273">
        <f>IF($I$2="DRT",VLOOKUP(A36,'Misc. Data &amp; Mechanisms'!$A$1381:$D$1471,4,FALSE),AP36)</f>
        <v>3.073</v>
      </c>
      <c r="O36" s="552">
        <f t="shared" si="2"/>
        <v>10.076228552320542</v>
      </c>
      <c r="P36" s="387">
        <v>1.843</v>
      </c>
      <c r="Q36" s="278">
        <v>1.1140000000000001</v>
      </c>
      <c r="R36" s="425">
        <f t="shared" si="3"/>
        <v>6.0431139674346763</v>
      </c>
      <c r="S36" s="425">
        <f t="shared" si="4"/>
        <v>33.42</v>
      </c>
      <c r="T36" s="391">
        <f>VLOOKUP($A36,'Misc. Data &amp; Mechanisms'!$A$63:$DY$152,HLOOKUP('Service Zone Menu'!$X$5&amp;"_AltaGas_NG_Y_1",'Misc. Data &amp; Mechanisms'!$A$55:$DY$62,8,FALSE), FALSE)</f>
        <v>0.06</v>
      </c>
      <c r="U36" s="205">
        <f>VLOOKUP($A36,'Misc. Data &amp; Mechanisms'!$A$63:$DY$152,HLOOKUP('Service Zone Menu'!$X$5&amp;"_AltaGas_NG_Y_2",'Misc. Data &amp; Mechanisms'!$A$55:$DY$62,8,FALSE), FALSE)</f>
        <v>8.2719999999999998E-3</v>
      </c>
      <c r="V36" s="425">
        <f>IF(AND('Service Zone Menu'!$X$5="Athabasca", $A36&lt;DATE(2019, 5, 1)),$T36*($G36+$H36+$J36+$K36),$T36*($H36+$J36+$K36))</f>
        <v>3.2236998352685773</v>
      </c>
      <c r="W36" s="553">
        <f t="shared" si="5"/>
        <v>0.44444075062236121</v>
      </c>
      <c r="X36" s="391"/>
      <c r="Y36" s="205"/>
      <c r="Z36" s="278">
        <v>0.50900000000000001</v>
      </c>
      <c r="AA36" s="278"/>
      <c r="AB36" s="492">
        <f t="shared" si="17"/>
        <v>0</v>
      </c>
      <c r="AC36" s="492">
        <f t="shared" si="6"/>
        <v>1.6689880680543951</v>
      </c>
      <c r="AD36" s="554">
        <f t="shared" si="7"/>
        <v>0</v>
      </c>
      <c r="AE36" s="200">
        <f>IF($I$2="DRT",VLOOKUP(A36,'Misc. Data &amp; Mechanisms'!$A$1483:$H$1574,8,FALSE),AQ36)</f>
        <v>8.4000000000000005E-2</v>
      </c>
      <c r="AF36" s="554">
        <f t="shared" si="18"/>
        <v>2.52</v>
      </c>
      <c r="AG36" s="290"/>
      <c r="AH36" s="494">
        <f t="shared" si="19"/>
        <v>0</v>
      </c>
      <c r="AI36" s="495">
        <f>5%</f>
        <v>0.05</v>
      </c>
      <c r="AJ36" s="341">
        <f>'Misc. Data &amp; Mechanisms'!AN309</f>
        <v>3.3208419739039474</v>
      </c>
      <c r="AK36" s="424">
        <f>'Misc. Data &amp; Mechanisms'!AQ309</f>
        <v>3.9060212169169208</v>
      </c>
      <c r="AL36" s="424">
        <f>'Misc. Data &amp; Mechanisms'!AC309</f>
        <v>3.2789549470616799</v>
      </c>
      <c r="AM36" s="424">
        <f>'Misc. Data &amp; Mechanisms'!AD309</f>
        <v>2.0941860407413126</v>
      </c>
      <c r="AN36" s="1460">
        <f>'Misc. Data &amp; Mechanisms'!$B$260</f>
        <v>10.198990303636064</v>
      </c>
      <c r="AO36" s="197">
        <f>IFERROR(IF('Personalized Bill Menu'!$B$30="Yes", IF('Personalized Bill Menu'!$B$34="Natural Gas",VLOOKUP($A36, 'Personalized Bill Menu'!$H$4:$L$93, 2, FALSE), IF('Personalized Bill Menu'!$B$34="Both",VLOOKUP($A36,'Personalized Bill Menu'!$H$4:$P$93, 6, FALSE), 0)), 0),0)</f>
        <v>0</v>
      </c>
      <c r="AP36" s="1343">
        <f>IFERROR(IF('Personalized Bill Menu'!$C$37="Custom", IF('Personalized Bill Menu'!$B$34="Natural Gas",VLOOKUP($A36, 'Personalized Bill Menu'!$H$4:$L$93, 3, FALSE), IF('Personalized Bill Menu'!$B$34="Both",VLOOKUP($A36,'Personalized Bill Menu'!$H$4:$P$93, 7, FALSE), 0)), 0),0)</f>
        <v>0</v>
      </c>
      <c r="AQ36" s="1344">
        <f>IFERROR(IF('Personalized Bill Menu'!$C$37="Custom", IF('Personalized Bill Menu'!$B$34="Natural Gas",VLOOKUP($A36, 'Personalized Bill Menu'!$H$4:$L$93, 4, FALSE), IF('Personalized Bill Menu'!$B$34="Both",VLOOKUP($A36,'Personalized Bill Menu'!$H$4:$P$93, 8, FALSE), 0)), 0),0)</f>
        <v>0</v>
      </c>
      <c r="AR36" s="468"/>
      <c r="AS36" s="468"/>
      <c r="AT36" s="468"/>
    </row>
    <row r="37" spans="1:46" s="469" customFormat="1" x14ac:dyDescent="0.35">
      <c r="A37" s="496">
        <v>41821</v>
      </c>
      <c r="B37" s="497">
        <f t="shared" si="8"/>
        <v>31</v>
      </c>
      <c r="C37" s="1581">
        <f t="shared" si="9"/>
        <v>2.1521169159270928</v>
      </c>
      <c r="D37" s="66">
        <f t="shared" si="10"/>
        <v>28.638935540054877</v>
      </c>
      <c r="E37" s="66">
        <f>(1+$AI37)*IF(AND('Service Zone Menu'!$X$5="Athabasca", $A37&lt;DATE(2019, 5, 1)),((1+$T37+$U37)*($N37+((1+$X37+$Y37)*$P37)+$Z37+$AA37)) + $AG37,((1+$U37)*($N37+((1+$X37+$Y37)*$P37)+$Z37+$AA37))+($T37*(((1+$X37+$Y37)*$P37)+$Z37+$AA37)) + $AG37)</f>
        <v>6.4729024549408809</v>
      </c>
      <c r="F37" s="488">
        <f t="shared" si="0"/>
        <v>61.634337629897715</v>
      </c>
      <c r="G37" s="489">
        <f t="shared" si="11"/>
        <v>6.4585028646972047</v>
      </c>
      <c r="H37" s="490">
        <f t="shared" si="1"/>
        <v>38.500351476053638</v>
      </c>
      <c r="I37" s="490">
        <f t="shared" si="12"/>
        <v>3.751407255890935</v>
      </c>
      <c r="J37" s="490">
        <f t="shared" si="13"/>
        <v>7.3851075746893846</v>
      </c>
      <c r="K37" s="490">
        <f t="shared" si="14"/>
        <v>2.6040000000000001</v>
      </c>
      <c r="L37" s="490">
        <f t="shared" si="15"/>
        <v>0</v>
      </c>
      <c r="M37" s="491">
        <f t="shared" si="16"/>
        <v>2.9349684585665581</v>
      </c>
      <c r="N37" s="273">
        <f>IF($I$2="DRT",VLOOKUP(A37,'Misc. Data &amp; Mechanisms'!$A$1381:$D$1471,4,FALSE),AP37)</f>
        <v>3.0009999999999999</v>
      </c>
      <c r="O37" s="552">
        <f t="shared" si="2"/>
        <v>6.4585028646972047</v>
      </c>
      <c r="P37" s="387">
        <v>1.843</v>
      </c>
      <c r="Q37" s="278">
        <v>1.1140000000000001</v>
      </c>
      <c r="R37" s="425">
        <f t="shared" si="3"/>
        <v>3.966351476053632</v>
      </c>
      <c r="S37" s="425">
        <f t="shared" si="4"/>
        <v>34.534000000000006</v>
      </c>
      <c r="T37" s="391">
        <f>VLOOKUP($A37,'Misc. Data &amp; Mechanisms'!$A$63:$DY$152,HLOOKUP('Service Zone Menu'!$X$5&amp;"_AltaGas_NG_Y_1",'Misc. Data &amp; Mechanisms'!$A$55:$DY$62,8,FALSE), FALSE)</f>
        <v>0.06</v>
      </c>
      <c r="U37" s="205">
        <f>VLOOKUP($A37,'Misc. Data &amp; Mechanisms'!$A$63:$DY$152,HLOOKUP('Service Zone Menu'!$X$5&amp;"_AltaGas_NG_Y_2",'Misc. Data &amp; Mechanisms'!$A$55:$DY$62,8,FALSE), FALSE)</f>
        <v>8.2719999999999998E-3</v>
      </c>
      <c r="V37" s="425">
        <f>IF(AND('Service Zone Menu'!$X$5="Athabasca", $A37&lt;DATE(2019, 5, 1)),$T37*($G37+$H37+$J37+$K37),$T37*($H37+$J37+$K37))</f>
        <v>3.2968777149264135</v>
      </c>
      <c r="W37" s="553">
        <f t="shared" si="5"/>
        <v>0.45452954096452153</v>
      </c>
      <c r="X37" s="391">
        <v>0.15609999999999999</v>
      </c>
      <c r="Y37" s="205"/>
      <c r="Z37" s="278">
        <v>0.63900000000000001</v>
      </c>
      <c r="AA37" s="278"/>
      <c r="AB37" s="492">
        <f t="shared" si="17"/>
        <v>6.009904865411972</v>
      </c>
      <c r="AC37" s="492">
        <f t="shared" si="6"/>
        <v>1.3752027092774124</v>
      </c>
      <c r="AD37" s="554">
        <f t="shared" si="7"/>
        <v>0</v>
      </c>
      <c r="AE37" s="200">
        <f>IF($I$2="DRT",VLOOKUP(A37,'Misc. Data &amp; Mechanisms'!$A$1483:$H$1574,8,FALSE),AQ37)</f>
        <v>8.4000000000000005E-2</v>
      </c>
      <c r="AF37" s="554">
        <f t="shared" si="18"/>
        <v>2.6040000000000001</v>
      </c>
      <c r="AG37" s="290"/>
      <c r="AH37" s="494">
        <f t="shared" si="19"/>
        <v>0</v>
      </c>
      <c r="AI37" s="495">
        <f>5%</f>
        <v>0.05</v>
      </c>
      <c r="AJ37" s="341">
        <f>'Misc. Data &amp; Mechanisms'!AN310</f>
        <v>2.179609144542773</v>
      </c>
      <c r="AK37" s="424">
        <f>'Misc. Data &amp; Mechanisms'!AQ310</f>
        <v>2.6354727480723614</v>
      </c>
      <c r="AL37" s="424">
        <f>'Misc. Data &amp; Mechanisms'!AC310</f>
        <v>2.1521169159270928</v>
      </c>
      <c r="AM37" s="424">
        <f>'Misc. Data &amp; Mechanisms'!AD310</f>
        <v>1.3745029364970363</v>
      </c>
      <c r="AN37" s="1460">
        <f>'Misc. Data &amp; Mechanisms'!$B$260</f>
        <v>10.198990303636064</v>
      </c>
      <c r="AO37" s="197">
        <f>IFERROR(IF('Personalized Bill Menu'!$B$30="Yes", IF('Personalized Bill Menu'!$B$34="Natural Gas",VLOOKUP($A37, 'Personalized Bill Menu'!$H$4:$L$93, 2, FALSE), IF('Personalized Bill Menu'!$B$34="Both",VLOOKUP($A37,'Personalized Bill Menu'!$H$4:$P$93, 6, FALSE), 0)), 0),0)</f>
        <v>0</v>
      </c>
      <c r="AP37" s="1343">
        <f>IFERROR(IF('Personalized Bill Menu'!$C$37="Custom", IF('Personalized Bill Menu'!$B$34="Natural Gas",VLOOKUP($A37, 'Personalized Bill Menu'!$H$4:$L$93, 3, FALSE), IF('Personalized Bill Menu'!$B$34="Both",VLOOKUP($A37,'Personalized Bill Menu'!$H$4:$P$93, 7, FALSE), 0)), 0),0)</f>
        <v>0</v>
      </c>
      <c r="AQ37" s="1344">
        <f>IFERROR(IF('Personalized Bill Menu'!$C$37="Custom", IF('Personalized Bill Menu'!$B$34="Natural Gas",VLOOKUP($A37, 'Personalized Bill Menu'!$H$4:$L$93, 4, FALSE), IF('Personalized Bill Menu'!$B$34="Both",VLOOKUP($A37,'Personalized Bill Menu'!$H$4:$P$93, 8, FALSE), 0)), 0),0)</f>
        <v>0</v>
      </c>
      <c r="AR37" s="468"/>
      <c r="AS37" s="468"/>
      <c r="AT37" s="468"/>
    </row>
    <row r="38" spans="1:46" s="469" customFormat="1" x14ac:dyDescent="0.35">
      <c r="A38" s="496">
        <v>41852</v>
      </c>
      <c r="B38" s="497">
        <f t="shared" si="8"/>
        <v>31</v>
      </c>
      <c r="C38" s="1581">
        <f t="shared" si="9"/>
        <v>2.4019854411424948</v>
      </c>
      <c r="D38" s="66">
        <f t="shared" si="10"/>
        <v>25.967426081395534</v>
      </c>
      <c r="E38" s="66">
        <f>(1+$AI38)*IF(AND('Service Zone Menu'!$X$5="Athabasca", $A38&lt;DATE(2019, 5, 1)),((1+$T38+$U38)*($N38+((1+$X38+$Y38)*$P38)+$Z38+$AA38)) + $AG38,((1+$U38)*($N38+((1+$X38+$Y38)*$P38)+$Z38+$AA38))+($T38*(((1+$X38+$Y38)*$P38)+$Z38+$AA38)) + $AG38)</f>
        <v>6.1072329493408812</v>
      </c>
      <c r="F38" s="488">
        <f t="shared" si="0"/>
        <v>62.373379391455977</v>
      </c>
      <c r="G38" s="489">
        <f t="shared" si="11"/>
        <v>6.3196236956459035</v>
      </c>
      <c r="H38" s="490">
        <f t="shared" si="1"/>
        <v>38.960859168025621</v>
      </c>
      <c r="I38" s="490">
        <f t="shared" si="12"/>
        <v>3.7963894319526634</v>
      </c>
      <c r="J38" s="490">
        <f t="shared" si="13"/>
        <v>7.7223461724291234</v>
      </c>
      <c r="K38" s="490">
        <f t="shared" si="14"/>
        <v>2.6040000000000001</v>
      </c>
      <c r="L38" s="490">
        <f t="shared" si="15"/>
        <v>0</v>
      </c>
      <c r="M38" s="491">
        <f t="shared" si="16"/>
        <v>2.9701609234026658</v>
      </c>
      <c r="N38" s="273">
        <f>IF($I$2="DRT",VLOOKUP(A38,'Misc. Data &amp; Mechanisms'!$A$1381:$D$1471,4,FALSE),AP38)</f>
        <v>2.6309999999999998</v>
      </c>
      <c r="O38" s="552">
        <f t="shared" si="2"/>
        <v>6.3196236956459035</v>
      </c>
      <c r="P38" s="387">
        <v>1.843</v>
      </c>
      <c r="Q38" s="278">
        <v>1.1140000000000001</v>
      </c>
      <c r="R38" s="425">
        <f t="shared" si="3"/>
        <v>4.4268591680256177</v>
      </c>
      <c r="S38" s="425">
        <f t="shared" si="4"/>
        <v>34.534000000000006</v>
      </c>
      <c r="T38" s="391">
        <f>VLOOKUP($A38,'Misc. Data &amp; Mechanisms'!$A$63:$DY$152,HLOOKUP('Service Zone Menu'!$X$5&amp;"_AltaGas_NG_Y_1",'Misc. Data &amp; Mechanisms'!$A$55:$DY$62,8,FALSE), FALSE)</f>
        <v>0.06</v>
      </c>
      <c r="U38" s="205">
        <f>VLOOKUP($A38,'Misc. Data &amp; Mechanisms'!$A$63:$DY$152,HLOOKUP('Service Zone Menu'!$X$5&amp;"_AltaGas_NG_Y_2",'Misc. Data &amp; Mechanisms'!$A$55:$DY$62,8,FALSE), FALSE)</f>
        <v>8.2719999999999998E-3</v>
      </c>
      <c r="V38" s="425">
        <f>IF(AND('Service Zone Menu'!$X$5="Athabasca", $A38&lt;DATE(2019, 5, 1)),$T38*($G38+$H38+$J38+$K38),$T38*($H38+$J38+$K38))</f>
        <v>3.336409742166039</v>
      </c>
      <c r="W38" s="553">
        <f t="shared" si="5"/>
        <v>0.45997968978662457</v>
      </c>
      <c r="X38" s="391">
        <v>0.15609999999999999</v>
      </c>
      <c r="Y38" s="205"/>
      <c r="Z38" s="278">
        <v>0.68300000000000005</v>
      </c>
      <c r="AA38" s="278"/>
      <c r="AB38" s="492">
        <f t="shared" si="17"/>
        <v>6.0817901161287988</v>
      </c>
      <c r="AC38" s="492">
        <f t="shared" si="6"/>
        <v>1.6405560563003241</v>
      </c>
      <c r="AD38" s="554">
        <f t="shared" si="7"/>
        <v>0</v>
      </c>
      <c r="AE38" s="200">
        <f>IF($I$2="DRT",VLOOKUP(A38,'Misc. Data &amp; Mechanisms'!$A$1483:$H$1574,8,FALSE),AQ38)</f>
        <v>8.4000000000000005E-2</v>
      </c>
      <c r="AF38" s="554">
        <f t="shared" si="18"/>
        <v>2.6040000000000001</v>
      </c>
      <c r="AG38" s="290"/>
      <c r="AH38" s="494">
        <f t="shared" si="19"/>
        <v>0</v>
      </c>
      <c r="AI38" s="495">
        <f>5%</f>
        <v>0.05</v>
      </c>
      <c r="AJ38" s="341">
        <f>'Misc. Data &amp; Mechanisms'!AN311</f>
        <v>2.4326696165191741</v>
      </c>
      <c r="AK38" s="424">
        <f>'Misc. Data &amp; Mechanisms'!AQ311</f>
        <v>2.965956936091811</v>
      </c>
      <c r="AL38" s="424">
        <f>'Misc. Data &amp; Mechanisms'!AC311</f>
        <v>2.4019854411424948</v>
      </c>
      <c r="AM38" s="424">
        <f>'Misc. Data &amp; Mechanisms'!AD311</f>
        <v>1.5340876779695058</v>
      </c>
      <c r="AN38" s="1460">
        <f>'Misc. Data &amp; Mechanisms'!$B$260</f>
        <v>10.198990303636064</v>
      </c>
      <c r="AO38" s="197">
        <f>IFERROR(IF('Personalized Bill Menu'!$B$30="Yes", IF('Personalized Bill Menu'!$B$34="Natural Gas",VLOOKUP($A38, 'Personalized Bill Menu'!$H$4:$L$93, 2, FALSE), IF('Personalized Bill Menu'!$B$34="Both",VLOOKUP($A38,'Personalized Bill Menu'!$H$4:$P$93, 6, FALSE), 0)), 0),0)</f>
        <v>0</v>
      </c>
      <c r="AP38" s="1343">
        <f>IFERROR(IF('Personalized Bill Menu'!$C$37="Custom", IF('Personalized Bill Menu'!$B$34="Natural Gas",VLOOKUP($A38, 'Personalized Bill Menu'!$H$4:$L$93, 3, FALSE), IF('Personalized Bill Menu'!$B$34="Both",VLOOKUP($A38,'Personalized Bill Menu'!$H$4:$P$93, 7, FALSE), 0)), 0),0)</f>
        <v>0</v>
      </c>
      <c r="AQ38" s="1344">
        <f>IFERROR(IF('Personalized Bill Menu'!$C$37="Custom", IF('Personalized Bill Menu'!$B$34="Natural Gas",VLOOKUP($A38, 'Personalized Bill Menu'!$H$4:$L$93, 4, FALSE), IF('Personalized Bill Menu'!$B$34="Both",VLOOKUP($A38,'Personalized Bill Menu'!$H$4:$P$93, 8, FALSE), 0)), 0),0)</f>
        <v>0</v>
      </c>
      <c r="AR38" s="468"/>
      <c r="AS38" s="468"/>
      <c r="AT38" s="468"/>
    </row>
    <row r="39" spans="1:46" s="469" customFormat="1" x14ac:dyDescent="0.35">
      <c r="A39" s="496">
        <v>41883</v>
      </c>
      <c r="B39" s="497">
        <f t="shared" si="8"/>
        <v>30</v>
      </c>
      <c r="C39" s="1581">
        <f t="shared" si="9"/>
        <v>4.5302651595948795</v>
      </c>
      <c r="D39" s="66">
        <f t="shared" si="10"/>
        <v>17.13409578415968</v>
      </c>
      <c r="E39" s="66">
        <f>(1+$AI39)*IF(AND('Service Zone Menu'!$X$5="Athabasca", $A39&lt;DATE(2019, 5, 1)),((1+$T39+$U39)*($N39+((1+$X39+$Y39)*$P39)+$Z39+$AA39)) + $AG39,((1+$U39)*($N39+((1+$X39+$Y39)*$P39)+$Z39+$AA39))+($T39*(((1+$X39+$Y39)*$P39)+$Z39+$AA39)) + $AG39)</f>
        <v>8.2354156752000005</v>
      </c>
      <c r="F39" s="488">
        <f t="shared" si="0"/>
        <v>77.621997172140098</v>
      </c>
      <c r="G39" s="489">
        <f t="shared" si="11"/>
        <v>23.009216745582393</v>
      </c>
      <c r="H39" s="490">
        <f t="shared" si="1"/>
        <v>41.769278689133365</v>
      </c>
      <c r="I39" s="490">
        <f t="shared" si="12"/>
        <v>4.7245047907687763</v>
      </c>
      <c r="J39" s="490">
        <f t="shared" si="13"/>
        <v>1.9027113670298492</v>
      </c>
      <c r="K39" s="490">
        <f t="shared" si="14"/>
        <v>2.52</v>
      </c>
      <c r="L39" s="490">
        <f t="shared" si="15"/>
        <v>0</v>
      </c>
      <c r="M39" s="491">
        <f t="shared" si="16"/>
        <v>3.696285579625719</v>
      </c>
      <c r="N39" s="273">
        <f>IF($I$2="DRT",VLOOKUP(A39,'Misc. Data &amp; Mechanisms'!$A$1381:$D$1471,4,FALSE),AP39)</f>
        <v>5.0789999999999997</v>
      </c>
      <c r="O39" s="552">
        <f t="shared" ref="O39:O58" si="20">$N39*$C39</f>
        <v>23.009216745582393</v>
      </c>
      <c r="P39" s="387">
        <v>1.843</v>
      </c>
      <c r="Q39" s="278">
        <v>1.1140000000000001</v>
      </c>
      <c r="R39" s="425">
        <f t="shared" ref="R39:R58" si="21">$P39*$C39</f>
        <v>8.3492786891333637</v>
      </c>
      <c r="S39" s="425">
        <f t="shared" ref="S39:S58" si="22">$Q39*$B39</f>
        <v>33.42</v>
      </c>
      <c r="T39" s="391">
        <f>VLOOKUP($A39,'Misc. Data &amp; Mechanisms'!$A$63:$DY$152,HLOOKUP('Service Zone Menu'!$X$5&amp;"_AltaGas_NG_Y_1",'Misc. Data &amp; Mechanisms'!$A$55:$DY$62,8,FALSE), FALSE)</f>
        <v>0.06</v>
      </c>
      <c r="U39" s="205">
        <f>VLOOKUP($A39,'Misc. Data &amp; Mechanisms'!$A$63:$DY$152,HLOOKUP('Service Zone Menu'!$X$5&amp;"_AltaGas_NG_Y_2",'Misc. Data &amp; Mechanisms'!$A$55:$DY$62,8,FALSE), FALSE)</f>
        <v>8.2719999999999998E-3</v>
      </c>
      <c r="V39" s="425">
        <f>IF(AND('Service Zone Menu'!$X$5="Athabasca", $A39&lt;DATE(2019, 5, 1)),$T39*($G39+$H39+$J39+$K39),$T39*($H39+$J39+$K39))</f>
        <v>4.1520724081047362</v>
      </c>
      <c r="W39" s="553">
        <f t="shared" ref="W39:W96" si="23">$U39*($G39+$H39+$J39+$K39)</f>
        <v>0.57243238266403962</v>
      </c>
      <c r="X39" s="391"/>
      <c r="Y39" s="205"/>
      <c r="Z39" s="278">
        <v>0.42</v>
      </c>
      <c r="AA39" s="278"/>
      <c r="AB39" s="492">
        <f t="shared" ref="AB39:AB96" si="24">IF($Y39=FALSE, ($X39*$H39), ($Y39*($H39+$K39)))</f>
        <v>0</v>
      </c>
      <c r="AC39" s="492">
        <f t="shared" ref="AC39:AC58" si="25">$Z39*$C39</f>
        <v>1.9027113670298492</v>
      </c>
      <c r="AD39" s="554">
        <f t="shared" ref="AD39:AD58" si="26">$AA39*$C39</f>
        <v>0</v>
      </c>
      <c r="AE39" s="200">
        <f>IF($I$2="DRT",VLOOKUP(A39,'Misc. Data &amp; Mechanisms'!$A$1483:$H$1574,8,FALSE),AQ39)</f>
        <v>8.4000000000000005E-2</v>
      </c>
      <c r="AF39" s="554">
        <f t="shared" si="18"/>
        <v>2.52</v>
      </c>
      <c r="AG39" s="290"/>
      <c r="AH39" s="494">
        <f t="shared" si="19"/>
        <v>0</v>
      </c>
      <c r="AI39" s="495">
        <f>5%</f>
        <v>0.05</v>
      </c>
      <c r="AJ39" s="341">
        <f>'Misc. Data &amp; Mechanisms'!AN312</f>
        <v>4.5881370551854506</v>
      </c>
      <c r="AK39" s="424">
        <f>'Misc. Data &amp; Mechanisms'!AQ312</f>
        <v>5.6954044717614627</v>
      </c>
      <c r="AL39" s="424">
        <f>'Misc. Data &amp; Mechanisms'!AC312</f>
        <v>4.5302651595948795</v>
      </c>
      <c r="AM39" s="424">
        <f>'Misc. Data &amp; Mechanisms'!AD312</f>
        <v>2.8933663960774907</v>
      </c>
      <c r="AN39" s="1460">
        <f>'Misc. Data &amp; Mechanisms'!$B$260</f>
        <v>10.198990303636064</v>
      </c>
      <c r="AO39" s="197">
        <f>IFERROR(IF('Personalized Bill Menu'!$B$30="Yes", IF('Personalized Bill Menu'!$B$34="Natural Gas",VLOOKUP($A39, 'Personalized Bill Menu'!$H$4:$L$93, 2, FALSE), IF('Personalized Bill Menu'!$B$34="Both",VLOOKUP($A39,'Personalized Bill Menu'!$H$4:$P$93, 6, FALSE), 0)), 0),0)</f>
        <v>0</v>
      </c>
      <c r="AP39" s="1343">
        <f>IFERROR(IF('Personalized Bill Menu'!$C$37="Custom", IF('Personalized Bill Menu'!$B$34="Natural Gas",VLOOKUP($A39, 'Personalized Bill Menu'!$H$4:$L$93, 3, FALSE), IF('Personalized Bill Menu'!$B$34="Both",VLOOKUP($A39,'Personalized Bill Menu'!$H$4:$P$93, 7, FALSE), 0)), 0),0)</f>
        <v>0</v>
      </c>
      <c r="AQ39" s="1344">
        <f>IFERROR(IF('Personalized Bill Menu'!$C$37="Custom", IF('Personalized Bill Menu'!$B$34="Natural Gas",VLOOKUP($A39, 'Personalized Bill Menu'!$H$4:$L$93, 4, FALSE), IF('Personalized Bill Menu'!$B$34="Both",VLOOKUP($A39,'Personalized Bill Menu'!$H$4:$P$93, 8, FALSE), 0)), 0),0)</f>
        <v>0</v>
      </c>
      <c r="AR39" s="468"/>
      <c r="AS39" s="468"/>
      <c r="AT39" s="468"/>
    </row>
    <row r="40" spans="1:46" s="469" customFormat="1" x14ac:dyDescent="0.35">
      <c r="A40" s="496">
        <v>41913</v>
      </c>
      <c r="B40" s="497">
        <f t="shared" si="8"/>
        <v>31</v>
      </c>
      <c r="C40" s="1581">
        <f t="shared" si="9"/>
        <v>7.8242811365042311</v>
      </c>
      <c r="D40" s="66">
        <f t="shared" si="10"/>
        <v>12.243766275367943</v>
      </c>
      <c r="E40" s="66">
        <f>(1+$AI40)*IF(AND('Service Zone Menu'!$X$5="Athabasca", $A40&lt;DATE(2019, 5, 1)),((1+$T40+$U40)*($N40+((1+$X40+$Y40)*$P40)+$Z40+$AA40)) + $AG40,((1+$U40)*($N40+((1+$X40+$Y40)*$P40)+$Z40+$AA40))+($T40*(((1+$X40+$Y40)*$P40)+$Z40+$AA40)) + $AG40)</f>
        <v>6.9196784664000015</v>
      </c>
      <c r="F40" s="488">
        <f t="shared" si="0"/>
        <v>95.798669508128057</v>
      </c>
      <c r="G40" s="489">
        <f t="shared" si="11"/>
        <v>31.289300264880421</v>
      </c>
      <c r="H40" s="490">
        <f t="shared" si="1"/>
        <v>48.954150134577304</v>
      </c>
      <c r="I40" s="490">
        <f t="shared" si="12"/>
        <v>5.8308377718844913</v>
      </c>
      <c r="J40" s="490">
        <f t="shared" si="13"/>
        <v>2.5585399316368838</v>
      </c>
      <c r="K40" s="490">
        <f t="shared" si="14"/>
        <v>2.6040000000000001</v>
      </c>
      <c r="L40" s="490">
        <f t="shared" si="15"/>
        <v>0</v>
      </c>
      <c r="M40" s="491">
        <f t="shared" si="16"/>
        <v>4.5618414051489555</v>
      </c>
      <c r="N40" s="273">
        <f>IF($I$2="DRT",VLOOKUP(A40,'Misc. Data &amp; Mechanisms'!$A$1381:$D$1471,4,FALSE),AP40)</f>
        <v>3.9990000000000001</v>
      </c>
      <c r="O40" s="552">
        <f t="shared" si="20"/>
        <v>31.289300264880421</v>
      </c>
      <c r="P40" s="387">
        <v>1.843</v>
      </c>
      <c r="Q40" s="278">
        <v>1.1140000000000001</v>
      </c>
      <c r="R40" s="425">
        <f t="shared" si="21"/>
        <v>14.420150134577298</v>
      </c>
      <c r="S40" s="425">
        <f t="shared" si="22"/>
        <v>34.534000000000006</v>
      </c>
      <c r="T40" s="391">
        <f>VLOOKUP($A40,'Misc. Data &amp; Mechanisms'!$A$63:$DY$152,HLOOKUP('Service Zone Menu'!$X$5&amp;"_AltaGas_NG_Y_1",'Misc. Data &amp; Mechanisms'!$A$55:$DY$62,8,FALSE), FALSE)</f>
        <v>0.06</v>
      </c>
      <c r="U40" s="205">
        <f>VLOOKUP($A40,'Misc. Data &amp; Mechanisms'!$A$63:$DY$152,HLOOKUP('Service Zone Menu'!$X$5&amp;"_AltaGas_NG_Y_2",'Misc. Data &amp; Mechanisms'!$A$55:$DY$62,8,FALSE), FALSE)</f>
        <v>8.2719999999999998E-3</v>
      </c>
      <c r="V40" s="425">
        <f>IF(AND('Service Zone Menu'!$X$5="Athabasca", $A40&lt;DATE(2019, 5, 1)),$T40*($G40+$H40+$J40+$K40),$T40*($H40+$J40+$K40))</f>
        <v>5.1243594198656766</v>
      </c>
      <c r="W40" s="553">
        <f t="shared" si="23"/>
        <v>0.70647835201881459</v>
      </c>
      <c r="X40" s="391"/>
      <c r="Y40" s="205"/>
      <c r="Z40" s="296">
        <v>0.32700000000000001</v>
      </c>
      <c r="AA40" s="296"/>
      <c r="AB40" s="492">
        <f t="shared" si="24"/>
        <v>0</v>
      </c>
      <c r="AC40" s="492">
        <f t="shared" si="25"/>
        <v>2.5585399316368838</v>
      </c>
      <c r="AD40" s="554">
        <f t="shared" si="26"/>
        <v>0</v>
      </c>
      <c r="AE40" s="200">
        <f>IF($I$2="DRT",VLOOKUP(A40,'Misc. Data &amp; Mechanisms'!$A$1483:$H$1574,8,FALSE),AQ40)</f>
        <v>8.4000000000000005E-2</v>
      </c>
      <c r="AF40" s="554">
        <f t="shared" si="18"/>
        <v>2.6040000000000001</v>
      </c>
      <c r="AG40" s="290"/>
      <c r="AH40" s="494">
        <f t="shared" si="19"/>
        <v>0</v>
      </c>
      <c r="AI40" s="495">
        <f>5%</f>
        <v>0.05</v>
      </c>
      <c r="AJ40" s="341">
        <f>'Misc. Data &amp; Mechanisms'!AN313</f>
        <v>7.9242324561403512</v>
      </c>
      <c r="AK40" s="424">
        <f>'Misc. Data &amp; Mechanisms'!AQ313</f>
        <v>8.5784139376618072</v>
      </c>
      <c r="AL40" s="424">
        <f>'Misc. Data &amp; Mechanisms'!AC313</f>
        <v>7.8242811365042311</v>
      </c>
      <c r="AM40" s="424">
        <f>'Misc. Data &amp; Mechanisms'!AD313</f>
        <v>4.9971715377138759</v>
      </c>
      <c r="AN40" s="1460">
        <f>'Misc. Data &amp; Mechanisms'!$B$260</f>
        <v>10.198990303636064</v>
      </c>
      <c r="AO40" s="197">
        <f>IFERROR(IF('Personalized Bill Menu'!$B$30="Yes", IF('Personalized Bill Menu'!$B$34="Natural Gas",VLOOKUP($A40, 'Personalized Bill Menu'!$H$4:$L$93, 2, FALSE), IF('Personalized Bill Menu'!$B$34="Both",VLOOKUP($A40,'Personalized Bill Menu'!$H$4:$P$93, 6, FALSE), 0)), 0),0)</f>
        <v>0</v>
      </c>
      <c r="AP40" s="1343">
        <f>IFERROR(IF('Personalized Bill Menu'!$C$37="Custom", IF('Personalized Bill Menu'!$B$34="Natural Gas",VLOOKUP($A40, 'Personalized Bill Menu'!$H$4:$L$93, 3, FALSE), IF('Personalized Bill Menu'!$B$34="Both",VLOOKUP($A40,'Personalized Bill Menu'!$H$4:$P$93, 7, FALSE), 0)), 0),0)</f>
        <v>0</v>
      </c>
      <c r="AQ40" s="1344">
        <f>IFERROR(IF('Personalized Bill Menu'!$C$37="Custom", IF('Personalized Bill Menu'!$B$34="Natural Gas",VLOOKUP($A40, 'Personalized Bill Menu'!$H$4:$L$93, 4, FALSE), IF('Personalized Bill Menu'!$B$34="Both",VLOOKUP($A40,'Personalized Bill Menu'!$H$4:$P$93, 8, FALSE), 0)), 0),0)</f>
        <v>0</v>
      </c>
      <c r="AR40" s="468"/>
      <c r="AS40" s="468"/>
      <c r="AT40" s="468"/>
    </row>
    <row r="41" spans="1:46" s="469" customFormat="1" x14ac:dyDescent="0.35">
      <c r="A41" s="496">
        <v>41944</v>
      </c>
      <c r="B41" s="497">
        <f t="shared" si="8"/>
        <v>30</v>
      </c>
      <c r="C41" s="1581">
        <f t="shared" si="9"/>
        <v>17.151024568960036</v>
      </c>
      <c r="D41" s="66">
        <f t="shared" si="10"/>
        <v>8.4535853566437105</v>
      </c>
      <c r="E41" s="66">
        <f>(1+$AI41)*IF(AND('Service Zone Menu'!$X$5="Athabasca", $A41&lt;DATE(2019, 5, 1)),((1+$T41+$U41)*($N41+((1+$X41+$Y41)*$P41)+$Z41+$AA41)) + $AG41,((1+$U41)*($N41+((1+$X41+$Y41)*$P41)+$Z41+$AA41))+($T41*(((1+$X41+$Y41)*$P41)+$Z41+$AA41)) + $AG41)</f>
        <v>6.1030913496000014</v>
      </c>
      <c r="F41" s="488">
        <f t="shared" si="0"/>
        <v>144.98765014759707</v>
      </c>
      <c r="G41" s="489">
        <f t="shared" si="11"/>
        <v>57.370177183171322</v>
      </c>
      <c r="H41" s="490">
        <f t="shared" si="1"/>
        <v>65.02933828059335</v>
      </c>
      <c r="I41" s="490">
        <f t="shared" si="12"/>
        <v>8.8247516513332691</v>
      </c>
      <c r="J41" s="490">
        <f t="shared" si="13"/>
        <v>4.3392092159468891</v>
      </c>
      <c r="K41" s="490">
        <f t="shared" si="14"/>
        <v>2.52</v>
      </c>
      <c r="L41" s="490">
        <f t="shared" si="15"/>
        <v>0</v>
      </c>
      <c r="M41" s="491">
        <f t="shared" si="16"/>
        <v>6.9041738165522419</v>
      </c>
      <c r="N41" s="273">
        <f>IF($I$2="DRT",VLOOKUP(A41,'Misc. Data &amp; Mechanisms'!$A$1381:$D$1471,4,FALSE),AP41)</f>
        <v>3.3450000000000002</v>
      </c>
      <c r="O41" s="552">
        <f t="shared" si="20"/>
        <v>57.370177183171322</v>
      </c>
      <c r="P41" s="387">
        <v>1.843</v>
      </c>
      <c r="Q41" s="278">
        <v>1.1140000000000001</v>
      </c>
      <c r="R41" s="425">
        <f t="shared" si="21"/>
        <v>31.609338280593345</v>
      </c>
      <c r="S41" s="425">
        <f t="shared" si="22"/>
        <v>33.42</v>
      </c>
      <c r="T41" s="391">
        <f>VLOOKUP($A41,'Misc. Data &amp; Mechanisms'!$A$63:$DY$152,HLOOKUP('Service Zone Menu'!$X$5&amp;"_AltaGas_NG_Y_1",'Misc. Data &amp; Mechanisms'!$A$55:$DY$62,8,FALSE), FALSE)</f>
        <v>0.06</v>
      </c>
      <c r="U41" s="205">
        <f>VLOOKUP($A41,'Misc. Data &amp; Mechanisms'!$A$63:$DY$152,HLOOKUP('Service Zone Menu'!$X$5&amp;"_AltaGas_NG_Y_2",'Misc. Data &amp; Mechanisms'!$A$55:$DY$62,8,FALSE), FALSE)</f>
        <v>8.2719999999999998E-3</v>
      </c>
      <c r="V41" s="425">
        <f>IF(AND('Service Zone Menu'!$X$5="Athabasca", $A41&lt;DATE(2019, 5, 1)),$T41*($G41+$H41+$J41+$K41),$T41*($H41+$J41+$K41))</f>
        <v>7.7555234807826947</v>
      </c>
      <c r="W41" s="553">
        <f t="shared" si="23"/>
        <v>1.0692281705505742</v>
      </c>
      <c r="X41" s="391"/>
      <c r="Y41" s="205"/>
      <c r="Z41" s="278">
        <v>0.253</v>
      </c>
      <c r="AA41" s="278"/>
      <c r="AB41" s="492">
        <f t="shared" si="24"/>
        <v>0</v>
      </c>
      <c r="AC41" s="492">
        <f t="shared" si="25"/>
        <v>4.3392092159468891</v>
      </c>
      <c r="AD41" s="554">
        <f t="shared" si="26"/>
        <v>0</v>
      </c>
      <c r="AE41" s="200">
        <f>IF($I$2="DRT",VLOOKUP(A41,'Misc. Data &amp; Mechanisms'!$A$1483:$H$1574,8,FALSE),AQ41)</f>
        <v>8.4000000000000005E-2</v>
      </c>
      <c r="AF41" s="554">
        <f t="shared" si="18"/>
        <v>2.52</v>
      </c>
      <c r="AG41" s="290"/>
      <c r="AH41" s="494">
        <f t="shared" si="19"/>
        <v>0</v>
      </c>
      <c r="AI41" s="495">
        <f>5%</f>
        <v>0.05</v>
      </c>
      <c r="AJ41" s="341">
        <f>'Misc. Data &amp; Mechanisms'!AN314</f>
        <v>17.370120420562447</v>
      </c>
      <c r="AK41" s="424">
        <f>'Misc. Data &amp; Mechanisms'!AQ314</f>
        <v>16.907322665594272</v>
      </c>
      <c r="AL41" s="424">
        <f>'Misc. Data &amp; Mechanisms'!AC314</f>
        <v>17.151024568960036</v>
      </c>
      <c r="AM41" s="424">
        <f>'Misc. Data &amp; Mechanisms'!AD314</f>
        <v>10.953927948572012</v>
      </c>
      <c r="AN41" s="1460">
        <f>'Misc. Data &amp; Mechanisms'!$B$260</f>
        <v>10.198990303636064</v>
      </c>
      <c r="AO41" s="197">
        <f>IFERROR(IF('Personalized Bill Menu'!$B$30="Yes", IF('Personalized Bill Menu'!$B$34="Natural Gas",VLOOKUP($A41, 'Personalized Bill Menu'!$H$4:$L$93, 2, FALSE), IF('Personalized Bill Menu'!$B$34="Both",VLOOKUP($A41,'Personalized Bill Menu'!$H$4:$P$93, 6, FALSE), 0)), 0),0)</f>
        <v>0</v>
      </c>
      <c r="AP41" s="1343">
        <f>IFERROR(IF('Personalized Bill Menu'!$C$37="Custom", IF('Personalized Bill Menu'!$B$34="Natural Gas",VLOOKUP($A41, 'Personalized Bill Menu'!$H$4:$L$93, 3, FALSE), IF('Personalized Bill Menu'!$B$34="Both",VLOOKUP($A41,'Personalized Bill Menu'!$H$4:$P$93, 7, FALSE), 0)), 0),0)</f>
        <v>0</v>
      </c>
      <c r="AQ41" s="1344">
        <f>IFERROR(IF('Personalized Bill Menu'!$C$37="Custom", IF('Personalized Bill Menu'!$B$34="Natural Gas",VLOOKUP($A41, 'Personalized Bill Menu'!$H$4:$L$93, 4, FALSE), IF('Personalized Bill Menu'!$B$34="Both",VLOOKUP($A41,'Personalized Bill Menu'!$H$4:$P$93, 8, FALSE), 0)), 0),0)</f>
        <v>0</v>
      </c>
      <c r="AR41" s="468"/>
      <c r="AS41" s="468"/>
      <c r="AT41" s="468"/>
    </row>
    <row r="42" spans="1:46" s="469" customFormat="1" x14ac:dyDescent="0.35">
      <c r="A42" s="508">
        <v>41974</v>
      </c>
      <c r="B42" s="509">
        <f t="shared" si="8"/>
        <v>31</v>
      </c>
      <c r="C42" s="231">
        <f t="shared" si="9"/>
        <v>19.168800783041576</v>
      </c>
      <c r="D42" s="344">
        <f t="shared" si="10"/>
        <v>9.0625680162947759</v>
      </c>
      <c r="E42" s="344">
        <f>(1+$AI42)*IF(AND('Service Zone Menu'!$X$5="Athabasca", $A42&lt;DATE(2019, 5, 1)),((1+$T42+$U42)*($N42+((1+$X42+$Y42)*$P42)+$Z42+$AA42)) + $AG42,((1+$U42)*($N42+((1+$X42+$Y42)*$P42)+$Z42+$AA42))+($T42*(((1+$X42+$Y42)*$P42)+$Z42+$AA42)) + $AG42)</f>
        <v>6.8893929552000008</v>
      </c>
      <c r="F42" s="510">
        <f t="shared" si="0"/>
        <v>173.71856088711885</v>
      </c>
      <c r="G42" s="511">
        <f t="shared" si="11"/>
        <v>80.029743269198576</v>
      </c>
      <c r="H42" s="512">
        <f t="shared" si="1"/>
        <v>69.862099843145629</v>
      </c>
      <c r="I42" s="512">
        <f t="shared" si="12"/>
        <v>10.57347405448138</v>
      </c>
      <c r="J42" s="512">
        <f t="shared" si="13"/>
        <v>2.3769312970971552</v>
      </c>
      <c r="K42" s="512">
        <f t="shared" si="14"/>
        <v>2.6040000000000001</v>
      </c>
      <c r="L42" s="512">
        <f t="shared" si="15"/>
        <v>0</v>
      </c>
      <c r="M42" s="513">
        <f t="shared" si="16"/>
        <v>8.2723124231961371</v>
      </c>
      <c r="N42" s="1243">
        <f>IF($I$2="DRT",VLOOKUP(A42,'Misc. Data &amp; Mechanisms'!$A$1381:$D$1471,4,FALSE),AP42)</f>
        <v>4.1749999999999998</v>
      </c>
      <c r="O42" s="558">
        <f t="shared" si="20"/>
        <v>80.029743269198576</v>
      </c>
      <c r="P42" s="438">
        <v>1.843</v>
      </c>
      <c r="Q42" s="283">
        <v>1.1140000000000001</v>
      </c>
      <c r="R42" s="440">
        <f t="shared" si="21"/>
        <v>35.328099843145623</v>
      </c>
      <c r="S42" s="440">
        <f t="shared" si="22"/>
        <v>34.534000000000006</v>
      </c>
      <c r="T42" s="394">
        <f>VLOOKUP($A42,'Misc. Data &amp; Mechanisms'!$A$63:$DY$152,HLOOKUP('Service Zone Menu'!$X$5&amp;"_AltaGas_NG_Y_1",'Misc. Data &amp; Mechanisms'!$A$55:$DY$62,8,FALSE), FALSE)</f>
        <v>0.06</v>
      </c>
      <c r="U42" s="246">
        <f>VLOOKUP($A42,'Misc. Data &amp; Mechanisms'!$A$63:$DY$152,HLOOKUP('Service Zone Menu'!$X$5&amp;"_AltaGas_NG_Y_2",'Misc. Data &amp; Mechanisms'!$A$55:$DY$62,8,FALSE), FALSE)</f>
        <v>8.2719999999999998E-3</v>
      </c>
      <c r="V42" s="440">
        <f>IF(AND('Service Zone Menu'!$X$5="Athabasca", $A42&lt;DATE(2019, 5, 1)),$T42*($G42+$H42+$J42+$K42),$T42*($H42+$J42+$K42))</f>
        <v>9.2923664645664807</v>
      </c>
      <c r="W42" s="559">
        <f t="shared" si="23"/>
        <v>1.2811075899148987</v>
      </c>
      <c r="X42" s="394"/>
      <c r="Y42" s="246"/>
      <c r="Z42" s="283">
        <v>0.124</v>
      </c>
      <c r="AA42" s="283"/>
      <c r="AB42" s="514">
        <f t="shared" si="24"/>
        <v>0</v>
      </c>
      <c r="AC42" s="514">
        <f t="shared" si="25"/>
        <v>2.3769312970971552</v>
      </c>
      <c r="AD42" s="560">
        <f t="shared" si="26"/>
        <v>0</v>
      </c>
      <c r="AE42" s="239">
        <f>IF($I$2="DRT",VLOOKUP(A42,'Misc. Data &amp; Mechanisms'!$A$1483:$H$1574,8,FALSE),AQ42)</f>
        <v>8.4000000000000005E-2</v>
      </c>
      <c r="AF42" s="560">
        <f t="shared" si="18"/>
        <v>2.6040000000000001</v>
      </c>
      <c r="AG42" s="292"/>
      <c r="AH42" s="516">
        <f t="shared" si="19"/>
        <v>0</v>
      </c>
      <c r="AI42" s="517">
        <f>5%</f>
        <v>0.05</v>
      </c>
      <c r="AJ42" s="352">
        <f>'Misc. Data &amp; Mechanisms'!AN315</f>
        <v>19.413672727272726</v>
      </c>
      <c r="AK42" s="441">
        <f>'Misc. Data &amp; Mechanisms'!AQ315</f>
        <v>18.539637816487613</v>
      </c>
      <c r="AL42" s="441">
        <f>'Misc. Data &amp; Mechanisms'!AC315</f>
        <v>19.168800783041576</v>
      </c>
      <c r="AM42" s="441">
        <f>'Misc. Data &amp; Mechanisms'!AD315</f>
        <v>12.242630858215842</v>
      </c>
      <c r="AN42" s="1461">
        <f>'Misc. Data &amp; Mechanisms'!$B$260</f>
        <v>10.198990303636064</v>
      </c>
      <c r="AO42" s="243">
        <f>IFERROR(IF('Personalized Bill Menu'!$B$30="Yes", IF('Personalized Bill Menu'!$B$34="Natural Gas",VLOOKUP($A42, 'Personalized Bill Menu'!$H$4:$L$93, 2, FALSE), IF('Personalized Bill Menu'!$B$34="Both",VLOOKUP($A42,'Personalized Bill Menu'!$H$4:$P$93, 6, FALSE), 0)), 0),0)</f>
        <v>0</v>
      </c>
      <c r="AP42" s="1345">
        <f>IFERROR(IF('Personalized Bill Menu'!$C$37="Custom", IF('Personalized Bill Menu'!$B$34="Natural Gas",VLOOKUP($A42, 'Personalized Bill Menu'!$H$4:$L$93, 3, FALSE), IF('Personalized Bill Menu'!$B$34="Both",VLOOKUP($A42,'Personalized Bill Menu'!$H$4:$P$93, 7, FALSE), 0)), 0),0)</f>
        <v>0</v>
      </c>
      <c r="AQ42" s="1346">
        <f>IFERROR(IF('Personalized Bill Menu'!$C$37="Custom", IF('Personalized Bill Menu'!$B$34="Natural Gas",VLOOKUP($A42, 'Personalized Bill Menu'!$H$4:$L$93, 4, FALSE), IF('Personalized Bill Menu'!$B$34="Both",VLOOKUP($A42,'Personalized Bill Menu'!$H$4:$P$93, 8, FALSE), 0)), 0),0)</f>
        <v>0</v>
      </c>
      <c r="AR42" s="468"/>
      <c r="AS42" s="468"/>
      <c r="AT42" s="468"/>
    </row>
    <row r="43" spans="1:46" s="469" customFormat="1" x14ac:dyDescent="0.35">
      <c r="A43" s="498">
        <v>42005</v>
      </c>
      <c r="B43" s="499">
        <f t="shared" si="8"/>
        <v>31</v>
      </c>
      <c r="C43" s="212">
        <f t="shared" si="9"/>
        <v>22.58457801411431</v>
      </c>
      <c r="D43" s="353">
        <f t="shared" si="10"/>
        <v>7.2226283876253126</v>
      </c>
      <c r="E43" s="353">
        <f>(1+$AI43)*IF(AND('Service Zone Menu'!$X$5="Athabasca", $A43&lt;DATE(2019, 5, 1)),((1+$T43+$U43)*($N43+((1+$X43+$Y43)*$P43)+$Z43+$AA43)) + $AG43,((1+$U43)*($N43+((1+$X43+$Y43)*$P43)+$Z43+$AA43))+($T43*(((1+$X43+$Y43)*$P43)+$Z43+$AA43)) + $AG43)</f>
        <v>5.3381017703999998</v>
      </c>
      <c r="F43" s="500">
        <f t="shared" si="0"/>
        <v>163.12001428728053</v>
      </c>
      <c r="G43" s="501">
        <f t="shared" si="11"/>
        <v>62.333435318955495</v>
      </c>
      <c r="H43" s="502">
        <f t="shared" si="1"/>
        <v>77.911929556605472</v>
      </c>
      <c r="I43" s="502">
        <f t="shared" si="12"/>
        <v>9.9283877901447752</v>
      </c>
      <c r="J43" s="502">
        <f t="shared" si="13"/>
        <v>2.5746418936090314</v>
      </c>
      <c r="K43" s="502">
        <f t="shared" si="14"/>
        <v>2.6040000000000001</v>
      </c>
      <c r="L43" s="502">
        <f t="shared" si="15"/>
        <v>0</v>
      </c>
      <c r="M43" s="503">
        <f t="shared" si="16"/>
        <v>7.7676197279657391</v>
      </c>
      <c r="N43" s="273">
        <f>IF($I$2="DRT",VLOOKUP(A43,'Misc. Data &amp; Mechanisms'!$A$1381:$D$1471,4,FALSE),AP43)</f>
        <v>2.76</v>
      </c>
      <c r="O43" s="555">
        <f t="shared" si="20"/>
        <v>62.333435318955495</v>
      </c>
      <c r="P43" s="431">
        <v>1.885</v>
      </c>
      <c r="Q43" s="288">
        <v>1.1399999999999999</v>
      </c>
      <c r="R43" s="433">
        <f t="shared" si="21"/>
        <v>42.571929556605475</v>
      </c>
      <c r="S43" s="433">
        <f t="shared" si="22"/>
        <v>35.339999999999996</v>
      </c>
      <c r="T43" s="391">
        <f>VLOOKUP($A43,'Misc. Data &amp; Mechanisms'!$A$63:$DY$152,HLOOKUP('Service Zone Menu'!$X$5&amp;"_AltaGas_NG_Y_1",'Misc. Data &amp; Mechanisms'!$A$55:$DY$62,8,FALSE), FALSE)</f>
        <v>0.06</v>
      </c>
      <c r="U43" s="205">
        <f>VLOOKUP($A43,'Misc. Data &amp; Mechanisms'!$A$63:$DY$152,HLOOKUP('Service Zone Menu'!$X$5&amp;"_AltaGas_NG_Y_2",'Misc. Data &amp; Mechanisms'!$A$55:$DY$62,8,FALSE), FALSE)</f>
        <v>8.2719999999999998E-3</v>
      </c>
      <c r="V43" s="433">
        <f>IF(AND('Service Zone Menu'!$X$5="Athabasca", $A43&lt;DATE(2019, 5, 1)),$T43*($G43+$H43+$J43+$K43),$T43*($H43+$J43+$K43))</f>
        <v>8.7254404061502004</v>
      </c>
      <c r="W43" s="556">
        <f t="shared" si="23"/>
        <v>1.2029473839945743</v>
      </c>
      <c r="X43" s="389"/>
      <c r="Y43" s="222"/>
      <c r="Z43" s="288">
        <v>0.114</v>
      </c>
      <c r="AA43" s="288"/>
      <c r="AB43" s="504">
        <f t="shared" si="24"/>
        <v>0</v>
      </c>
      <c r="AC43" s="504">
        <f t="shared" si="25"/>
        <v>2.5746418936090314</v>
      </c>
      <c r="AD43" s="557">
        <f t="shared" si="26"/>
        <v>0</v>
      </c>
      <c r="AE43" s="200">
        <f>IF($I$2="DRT",VLOOKUP(A43,'Misc. Data &amp; Mechanisms'!$A$1483:$H$1574,8,FALSE),AQ43)</f>
        <v>8.4000000000000005E-2</v>
      </c>
      <c r="AF43" s="557">
        <f t="shared" si="18"/>
        <v>2.6040000000000001</v>
      </c>
      <c r="AG43" s="286"/>
      <c r="AH43" s="506">
        <f t="shared" si="19"/>
        <v>0</v>
      </c>
      <c r="AI43" s="507">
        <f>5%</f>
        <v>0.05</v>
      </c>
      <c r="AJ43" s="359">
        <f>'Misc. Data &amp; Mechanisms'!AN316</f>
        <v>22.873084822158813</v>
      </c>
      <c r="AK43" s="434">
        <f>'Misc. Data &amp; Mechanisms'!AQ316</f>
        <v>18.915629602958987</v>
      </c>
      <c r="AL43" s="434">
        <f>'Misc. Data &amp; Mechanisms'!AC316</f>
        <v>22.58457801411431</v>
      </c>
      <c r="AM43" s="434">
        <f>'Misc. Data &amp; Mechanisms'!AD316</f>
        <v>14.42420184991388</v>
      </c>
      <c r="AN43" s="1462">
        <f>'Misc. Data &amp; Mechanisms'!$B$260</f>
        <v>10.198990303636064</v>
      </c>
      <c r="AO43" s="197">
        <f>IFERROR(IF('Personalized Bill Menu'!$B$30="Yes", IF('Personalized Bill Menu'!$B$34="Natural Gas",VLOOKUP($A43, 'Personalized Bill Menu'!$H$4:$L$93, 2, FALSE), IF('Personalized Bill Menu'!$B$34="Both",VLOOKUP($A43,'Personalized Bill Menu'!$H$4:$P$93, 6, FALSE), 0)), 0),0)</f>
        <v>0</v>
      </c>
      <c r="AP43" s="1343">
        <f>IFERROR(IF('Personalized Bill Menu'!$C$37="Custom", IF('Personalized Bill Menu'!$B$34="Natural Gas",VLOOKUP($A43, 'Personalized Bill Menu'!$H$4:$L$93, 3, FALSE), IF('Personalized Bill Menu'!$B$34="Both",VLOOKUP($A43,'Personalized Bill Menu'!$H$4:$P$93, 7, FALSE), 0)), 0),0)</f>
        <v>0</v>
      </c>
      <c r="AQ43" s="1344">
        <f>IFERROR(IF('Personalized Bill Menu'!$C$37="Custom", IF('Personalized Bill Menu'!$B$34="Natural Gas",VLOOKUP($A43, 'Personalized Bill Menu'!$H$4:$L$93, 4, FALSE), IF('Personalized Bill Menu'!$B$34="Both",VLOOKUP($A43,'Personalized Bill Menu'!$H$4:$P$93, 8, FALSE), 0)), 0),0)</f>
        <v>0</v>
      </c>
      <c r="AR43" s="468"/>
      <c r="AS43" s="468"/>
      <c r="AT43" s="468"/>
    </row>
    <row r="44" spans="1:46" s="469" customFormat="1" x14ac:dyDescent="0.35">
      <c r="A44" s="496">
        <v>42036</v>
      </c>
      <c r="B44" s="497">
        <f t="shared" si="8"/>
        <v>28</v>
      </c>
      <c r="C44" s="1581">
        <f t="shared" si="9"/>
        <v>18.900741411070008</v>
      </c>
      <c r="D44" s="66">
        <f t="shared" si="10"/>
        <v>7.470720204773297</v>
      </c>
      <c r="E44" s="66">
        <f>(1+$AI44)*IF(AND('Service Zone Menu'!$X$5="Athabasca", $A44&lt;DATE(2019, 5, 1)),((1+$T44+$U44)*($N44+((1+$X44+$Y44)*$P44)+$Z44+$AA44)) + $AG44,((1+$U44)*($N44+((1+$X44+$Y44)*$P44)+$Z44+$AA44))+($T44*(((1+$X44+$Y44)*$P44)+$Z44+$AA44)) + $AG44)</f>
        <v>5.4368101032000009</v>
      </c>
      <c r="F44" s="488">
        <f t="shared" si="0"/>
        <v>141.20215074487606</v>
      </c>
      <c r="G44" s="489">
        <f t="shared" si="11"/>
        <v>52.109344070320013</v>
      </c>
      <c r="H44" s="490">
        <f t="shared" si="1"/>
        <v>67.547897559866968</v>
      </c>
      <c r="I44" s="490">
        <f t="shared" si="12"/>
        <v>8.5943451851875228</v>
      </c>
      <c r="J44" s="490">
        <f t="shared" si="13"/>
        <v>3.8746519892693514</v>
      </c>
      <c r="K44" s="490">
        <f t="shared" si="14"/>
        <v>2.3520000000000003</v>
      </c>
      <c r="L44" s="490">
        <f t="shared" si="15"/>
        <v>0</v>
      </c>
      <c r="M44" s="491">
        <f t="shared" si="16"/>
        <v>6.7239119402321936</v>
      </c>
      <c r="N44" s="273">
        <f>IF($I$2="DRT",VLOOKUP(A44,'Misc. Data &amp; Mechanisms'!$A$1381:$D$1471,4,FALSE),AP44)</f>
        <v>2.7570000000000001</v>
      </c>
      <c r="O44" s="552">
        <f t="shared" si="20"/>
        <v>52.109344070320013</v>
      </c>
      <c r="P44" s="387">
        <v>1.885</v>
      </c>
      <c r="Q44" s="278">
        <v>1.1399999999999999</v>
      </c>
      <c r="R44" s="425">
        <f t="shared" si="21"/>
        <v>35.627897559866966</v>
      </c>
      <c r="S44" s="425">
        <f t="shared" si="22"/>
        <v>31.919999999999998</v>
      </c>
      <c r="T44" s="391">
        <f>VLOOKUP($A44,'Misc. Data &amp; Mechanisms'!$A$63:$DY$152,HLOOKUP('Service Zone Menu'!$X$5&amp;"_AltaGas_NG_Y_1",'Misc. Data &amp; Mechanisms'!$A$55:$DY$62,8,FALSE), FALSE)</f>
        <v>0.06</v>
      </c>
      <c r="U44" s="205">
        <f>VLOOKUP($A44,'Misc. Data &amp; Mechanisms'!$A$63:$DY$152,HLOOKUP('Service Zone Menu'!$X$5&amp;"_AltaGas_NG_Y_2",'Misc. Data &amp; Mechanisms'!$A$55:$DY$62,8,FALSE), FALSE)</f>
        <v>8.2719999999999998E-3</v>
      </c>
      <c r="V44" s="425">
        <f>IF(AND('Service Zone Menu'!$X$5="Athabasca", $A44&lt;DATE(2019, 5, 1)),$T44*($G44+$H44+$J44+$K44),$T44*($H44+$J44+$K44))</f>
        <v>7.5530336171673795</v>
      </c>
      <c r="W44" s="553">
        <f t="shared" si="23"/>
        <v>1.0413115680201428</v>
      </c>
      <c r="X44" s="391"/>
      <c r="Y44" s="205"/>
      <c r="Z44" s="278">
        <v>0.20499999999999999</v>
      </c>
      <c r="AA44" s="278"/>
      <c r="AB44" s="492">
        <f t="shared" si="24"/>
        <v>0</v>
      </c>
      <c r="AC44" s="492">
        <f t="shared" si="25"/>
        <v>3.8746519892693514</v>
      </c>
      <c r="AD44" s="554">
        <f t="shared" si="26"/>
        <v>0</v>
      </c>
      <c r="AE44" s="200">
        <f>IF($I$2="DRT",VLOOKUP(A44,'Misc. Data &amp; Mechanisms'!$A$1483:$H$1574,8,FALSE),AQ44)</f>
        <v>8.4000000000000005E-2</v>
      </c>
      <c r="AF44" s="554">
        <f t="shared" si="18"/>
        <v>2.3520000000000003</v>
      </c>
      <c r="AG44" s="290"/>
      <c r="AH44" s="494">
        <f t="shared" si="19"/>
        <v>0</v>
      </c>
      <c r="AI44" s="495">
        <f>5%</f>
        <v>0.05</v>
      </c>
      <c r="AJ44" s="341">
        <f>'Misc. Data &amp; Mechanisms'!AN317</f>
        <v>19.142189029474675</v>
      </c>
      <c r="AK44" s="424">
        <f>'Misc. Data &amp; Mechanisms'!AQ317</f>
        <v>17.653089811795009</v>
      </c>
      <c r="AL44" s="424">
        <f>'Misc. Data &amp; Mechanisms'!AC317</f>
        <v>18.900741411070008</v>
      </c>
      <c r="AM44" s="424">
        <f>'Misc. Data &amp; Mechanisms'!AD317</f>
        <v>12.071428080521141</v>
      </c>
      <c r="AN44" s="1460">
        <f>'Misc. Data &amp; Mechanisms'!$B$260</f>
        <v>10.198990303636064</v>
      </c>
      <c r="AO44" s="197">
        <f>IFERROR(IF('Personalized Bill Menu'!$B$30="Yes", IF('Personalized Bill Menu'!$B$34="Natural Gas",VLOOKUP($A44, 'Personalized Bill Menu'!$H$4:$L$93, 2, FALSE), IF('Personalized Bill Menu'!$B$34="Both",VLOOKUP($A44,'Personalized Bill Menu'!$H$4:$P$93, 6, FALSE), 0)), 0),0)</f>
        <v>0</v>
      </c>
      <c r="AP44" s="1343">
        <f>IFERROR(IF('Personalized Bill Menu'!$C$37="Custom", IF('Personalized Bill Menu'!$B$34="Natural Gas",VLOOKUP($A44, 'Personalized Bill Menu'!$H$4:$L$93, 3, FALSE), IF('Personalized Bill Menu'!$B$34="Both",VLOOKUP($A44,'Personalized Bill Menu'!$H$4:$P$93, 7, FALSE), 0)), 0),0)</f>
        <v>0</v>
      </c>
      <c r="AQ44" s="1344">
        <f>IFERROR(IF('Personalized Bill Menu'!$C$37="Custom", IF('Personalized Bill Menu'!$B$34="Natural Gas",VLOOKUP($A44, 'Personalized Bill Menu'!$H$4:$L$93, 4, FALSE), IF('Personalized Bill Menu'!$B$34="Both",VLOOKUP($A44,'Personalized Bill Menu'!$H$4:$P$93, 8, FALSE), 0)), 0),0)</f>
        <v>0</v>
      </c>
      <c r="AR44" s="468"/>
      <c r="AS44" s="468"/>
      <c r="AT44" s="468"/>
    </row>
    <row r="45" spans="1:46" s="469" customFormat="1" x14ac:dyDescent="0.35">
      <c r="A45" s="496">
        <v>42064</v>
      </c>
      <c r="B45" s="497">
        <f t="shared" si="8"/>
        <v>31</v>
      </c>
      <c r="C45" s="1581">
        <f t="shared" si="9"/>
        <v>17.227046907756637</v>
      </c>
      <c r="D45" s="66">
        <f t="shared" si="10"/>
        <v>7.5305293325812608</v>
      </c>
      <c r="E45" s="66">
        <f>(1+$AI45)*IF(AND('Service Zone Menu'!$X$5="Athabasca", $A45&lt;DATE(2019, 5, 1)),((1+$T45+$U45)*($N45+((1+$X45+$Y45)*$P45)+$Z45+$AA45)) + $AG45,((1+$U45)*($N45+((1+$X45+$Y45)*$P45)+$Z45+$AA45))+($T45*(((1+$X45+$Y45)*$P45)+$Z45+$AA45)) + $AG45)</f>
        <v>5.0599237416000005</v>
      </c>
      <c r="F45" s="488">
        <f t="shared" si="0"/>
        <v>129.72878205261466</v>
      </c>
      <c r="G45" s="489">
        <f t="shared" si="11"/>
        <v>40.810874124475475</v>
      </c>
      <c r="H45" s="490">
        <f t="shared" si="1"/>
        <v>67.81298342112126</v>
      </c>
      <c r="I45" s="490">
        <f t="shared" si="12"/>
        <v>7.8960124015999744</v>
      </c>
      <c r="J45" s="490">
        <f t="shared" si="13"/>
        <v>4.4273510552934559</v>
      </c>
      <c r="K45" s="490">
        <f t="shared" si="14"/>
        <v>2.6040000000000001</v>
      </c>
      <c r="L45" s="490">
        <f t="shared" si="15"/>
        <v>0</v>
      </c>
      <c r="M45" s="491">
        <f t="shared" si="16"/>
        <v>6.1775610501245088</v>
      </c>
      <c r="N45" s="273">
        <f>IF($I$2="DRT",VLOOKUP(A45,'Misc. Data &amp; Mechanisms'!$A$1381:$D$1471,4,FALSE),AP45)</f>
        <v>2.3690000000000002</v>
      </c>
      <c r="O45" s="552">
        <f t="shared" si="20"/>
        <v>40.810874124475475</v>
      </c>
      <c r="P45" s="387">
        <v>1.885</v>
      </c>
      <c r="Q45" s="278">
        <v>1.1399999999999999</v>
      </c>
      <c r="R45" s="425">
        <f t="shared" si="21"/>
        <v>32.472983421121263</v>
      </c>
      <c r="S45" s="425">
        <f t="shared" si="22"/>
        <v>35.339999999999996</v>
      </c>
      <c r="T45" s="391">
        <f>VLOOKUP($A45,'Misc. Data &amp; Mechanisms'!$A$63:$DY$152,HLOOKUP('Service Zone Menu'!$X$5&amp;"_AltaGas_NG_Y_1",'Misc. Data &amp; Mechanisms'!$A$55:$DY$62,8,FALSE), FALSE)</f>
        <v>0.06</v>
      </c>
      <c r="U45" s="205">
        <f>VLOOKUP($A45,'Misc. Data &amp; Mechanisms'!$A$63:$DY$152,HLOOKUP('Service Zone Menu'!$X$5&amp;"_AltaGas_NG_Y_2",'Misc. Data &amp; Mechanisms'!$A$55:$DY$62,8,FALSE), FALSE)</f>
        <v>8.2719999999999998E-3</v>
      </c>
      <c r="V45" s="425">
        <f>IF(AND('Service Zone Menu'!$X$5="Athabasca", $A45&lt;DATE(2019, 5, 1)),$T45*($G45+$H45+$J45+$K45),$T45*($H45+$J45+$K45))</f>
        <v>6.9393125160534108</v>
      </c>
      <c r="W45" s="553">
        <f t="shared" si="23"/>
        <v>0.9566998855465636</v>
      </c>
      <c r="X45" s="391"/>
      <c r="Y45" s="205"/>
      <c r="Z45" s="278">
        <v>0.25700000000000001</v>
      </c>
      <c r="AA45" s="278"/>
      <c r="AB45" s="492">
        <f t="shared" si="24"/>
        <v>0</v>
      </c>
      <c r="AC45" s="492">
        <f t="shared" si="25"/>
        <v>4.4273510552934559</v>
      </c>
      <c r="AD45" s="554">
        <f t="shared" si="26"/>
        <v>0</v>
      </c>
      <c r="AE45" s="200">
        <f>IF($I$2="DRT",VLOOKUP(A45,'Misc. Data &amp; Mechanisms'!$A$1483:$H$1574,8,FALSE),AQ45)</f>
        <v>8.4000000000000005E-2</v>
      </c>
      <c r="AF45" s="554">
        <f t="shared" si="18"/>
        <v>2.6040000000000001</v>
      </c>
      <c r="AG45" s="290"/>
      <c r="AH45" s="494">
        <f t="shared" si="19"/>
        <v>0</v>
      </c>
      <c r="AI45" s="495">
        <f>5%</f>
        <v>0.05</v>
      </c>
      <c r="AJ45" s="341">
        <f>'Misc. Data &amp; Mechanisms'!AN318</f>
        <v>17.44711390711716</v>
      </c>
      <c r="AK45" s="424">
        <f>'Misc. Data &amp; Mechanisms'!AQ318</f>
        <v>13.395570539927183</v>
      </c>
      <c r="AL45" s="424">
        <f>'Misc. Data &amp; Mechanisms'!AC318</f>
        <v>17.227046907756637</v>
      </c>
      <c r="AM45" s="424">
        <f>'Misc. Data &amp; Mechanisms'!AD318</f>
        <v>11.002481503976918</v>
      </c>
      <c r="AN45" s="1460">
        <f>'Misc. Data &amp; Mechanisms'!$B$260</f>
        <v>10.198990303636064</v>
      </c>
      <c r="AO45" s="197">
        <f>IFERROR(IF('Personalized Bill Menu'!$B$30="Yes", IF('Personalized Bill Menu'!$B$34="Natural Gas",VLOOKUP($A45, 'Personalized Bill Menu'!$H$4:$L$93, 2, FALSE), IF('Personalized Bill Menu'!$B$34="Both",VLOOKUP($A45,'Personalized Bill Menu'!$H$4:$P$93, 6, FALSE), 0)), 0),0)</f>
        <v>0</v>
      </c>
      <c r="AP45" s="1343">
        <f>IFERROR(IF('Personalized Bill Menu'!$C$37="Custom", IF('Personalized Bill Menu'!$B$34="Natural Gas",VLOOKUP($A45, 'Personalized Bill Menu'!$H$4:$L$93, 3, FALSE), IF('Personalized Bill Menu'!$B$34="Both",VLOOKUP($A45,'Personalized Bill Menu'!$H$4:$P$93, 7, FALSE), 0)), 0),0)</f>
        <v>0</v>
      </c>
      <c r="AQ45" s="1344">
        <f>IFERROR(IF('Personalized Bill Menu'!$C$37="Custom", IF('Personalized Bill Menu'!$B$34="Natural Gas",VLOOKUP($A45, 'Personalized Bill Menu'!$H$4:$L$93, 4, FALSE), IF('Personalized Bill Menu'!$B$34="Both",VLOOKUP($A45,'Personalized Bill Menu'!$H$4:$P$93, 8, FALSE), 0)), 0),0)</f>
        <v>0</v>
      </c>
      <c r="AR45" s="468"/>
      <c r="AS45" s="468"/>
      <c r="AT45" s="468"/>
    </row>
    <row r="46" spans="1:46" s="469" customFormat="1" x14ac:dyDescent="0.35">
      <c r="A46" s="496">
        <v>42095</v>
      </c>
      <c r="B46" s="497">
        <f t="shared" si="8"/>
        <v>30</v>
      </c>
      <c r="C46" s="1581">
        <f t="shared" si="9"/>
        <v>12.685679838353044</v>
      </c>
      <c r="D46" s="66">
        <f t="shared" si="10"/>
        <v>10.232768650712869</v>
      </c>
      <c r="E46" s="66">
        <f>(1+$AI46)*IF(AND('Service Zone Menu'!$X$5="Athabasca", $A46&lt;DATE(2019, 5, 1)),((1+$T46+$U46)*($N46+((1+$X46+$Y46)*$P46)+$Z46+$AA46)) + $AG46,((1+$U46)*($N46+((1+$X46+$Y46)*$P46)+$Z46+$AA46))+($T46*(((1+$X46+$Y46)*$P46)+$Z46+$AA46)) + $AG46)</f>
        <v>6.9023075236500011</v>
      </c>
      <c r="F46" s="488">
        <f t="shared" si="0"/>
        <v>129.80962696287932</v>
      </c>
      <c r="G46" s="489">
        <f t="shared" si="11"/>
        <v>47.622042113177329</v>
      </c>
      <c r="H46" s="490">
        <f t="shared" si="1"/>
        <v>58.112506495295484</v>
      </c>
      <c r="I46" s="490">
        <f t="shared" si="12"/>
        <v>10.806822804843261</v>
      </c>
      <c r="J46" s="490">
        <f t="shared" si="13"/>
        <v>4.5668447418070954</v>
      </c>
      <c r="K46" s="490">
        <f t="shared" si="14"/>
        <v>2.52</v>
      </c>
      <c r="L46" s="490">
        <f t="shared" si="15"/>
        <v>0</v>
      </c>
      <c r="M46" s="491">
        <f t="shared" si="16"/>
        <v>6.1814108077561585</v>
      </c>
      <c r="N46" s="273">
        <f>IF($I$2="DRT",VLOOKUP(A46,'Misc. Data &amp; Mechanisms'!$A$1381:$D$1471,4,FALSE),AP46)</f>
        <v>3.754</v>
      </c>
      <c r="O46" s="552">
        <f t="shared" si="20"/>
        <v>47.622042113177329</v>
      </c>
      <c r="P46" s="387">
        <v>1.885</v>
      </c>
      <c r="Q46" s="278">
        <v>1.1399999999999999</v>
      </c>
      <c r="R46" s="425">
        <f t="shared" si="21"/>
        <v>23.912506495295489</v>
      </c>
      <c r="S46" s="425">
        <f t="shared" si="22"/>
        <v>34.199999999999996</v>
      </c>
      <c r="T46" s="391">
        <f>VLOOKUP($A46,'Misc. Data &amp; Mechanisms'!$A$63:$DY$152,HLOOKUP('Service Zone Menu'!$X$5&amp;"_AltaGas_NG_Y_1",'Misc. Data &amp; Mechanisms'!$A$55:$DY$62,8,FALSE), FALSE)</f>
        <v>0.06</v>
      </c>
      <c r="U46" s="205">
        <f>VLOOKUP($A46,'Misc. Data &amp; Mechanisms'!$A$63:$DY$152,HLOOKUP('Service Zone Menu'!$X$5&amp;"_AltaGas_NG_Y_2",'Misc. Data &amp; Mechanisms'!$A$55:$DY$62,8,FALSE), FALSE)</f>
        <v>3.5786999999999999E-2</v>
      </c>
      <c r="V46" s="425">
        <f>IF(AND('Service Zone Menu'!$X$5="Athabasca", $A46&lt;DATE(2019, 5, 1)),$T46*($G46+$H46+$J46+$K46),$T46*($H46+$J46+$K46))</f>
        <v>6.7692836010167943</v>
      </c>
      <c r="W46" s="553">
        <f t="shared" si="23"/>
        <v>4.0375392038264666</v>
      </c>
      <c r="X46" s="391"/>
      <c r="Y46" s="205"/>
      <c r="Z46" s="278">
        <v>0.36</v>
      </c>
      <c r="AA46" s="278"/>
      <c r="AB46" s="492">
        <f t="shared" si="24"/>
        <v>0</v>
      </c>
      <c r="AC46" s="492">
        <f t="shared" si="25"/>
        <v>4.5668447418070954</v>
      </c>
      <c r="AD46" s="554">
        <f t="shared" si="26"/>
        <v>0</v>
      </c>
      <c r="AE46" s="200">
        <f>IF($I$2="DRT",VLOOKUP(A46,'Misc. Data &amp; Mechanisms'!$A$1483:$H$1574,8,FALSE),AQ46)</f>
        <v>8.4000000000000005E-2</v>
      </c>
      <c r="AF46" s="554">
        <f t="shared" si="18"/>
        <v>2.52</v>
      </c>
      <c r="AG46" s="290"/>
      <c r="AH46" s="494">
        <f t="shared" si="19"/>
        <v>0</v>
      </c>
      <c r="AI46" s="495">
        <f>5%</f>
        <v>0.05</v>
      </c>
      <c r="AJ46" s="341">
        <f>'Misc. Data &amp; Mechanisms'!AN319</f>
        <v>12.847733120719022</v>
      </c>
      <c r="AK46" s="424">
        <f>'Misc. Data &amp; Mechanisms'!AQ319</f>
        <v>9.9256518173290829</v>
      </c>
      <c r="AL46" s="424">
        <f>'Misc. Data &amp; Mechanisms'!AC319</f>
        <v>12.685679838353044</v>
      </c>
      <c r="AM46" s="424">
        <f>'Misc. Data &amp; Mechanisms'!AD319</f>
        <v>8.1020245973793568</v>
      </c>
      <c r="AN46" s="1460">
        <f>'Misc. Data &amp; Mechanisms'!$B$260</f>
        <v>10.198990303636064</v>
      </c>
      <c r="AO46" s="197">
        <f>IFERROR(IF('Personalized Bill Menu'!$B$30="Yes", IF('Personalized Bill Menu'!$B$34="Natural Gas",VLOOKUP($A46, 'Personalized Bill Menu'!$H$4:$L$93, 2, FALSE), IF('Personalized Bill Menu'!$B$34="Both",VLOOKUP($A46,'Personalized Bill Menu'!$H$4:$P$93, 6, FALSE), 0)), 0),0)</f>
        <v>0</v>
      </c>
      <c r="AP46" s="1343">
        <f>IFERROR(IF('Personalized Bill Menu'!$C$37="Custom", IF('Personalized Bill Menu'!$B$34="Natural Gas",VLOOKUP($A46, 'Personalized Bill Menu'!$H$4:$L$93, 3, FALSE), IF('Personalized Bill Menu'!$B$34="Both",VLOOKUP($A46,'Personalized Bill Menu'!$H$4:$P$93, 7, FALSE), 0)), 0),0)</f>
        <v>0</v>
      </c>
      <c r="AQ46" s="1344">
        <f>IFERROR(IF('Personalized Bill Menu'!$C$37="Custom", IF('Personalized Bill Menu'!$B$34="Natural Gas",VLOOKUP($A46, 'Personalized Bill Menu'!$H$4:$L$93, 4, FALSE), IF('Personalized Bill Menu'!$B$34="Both",VLOOKUP($A46,'Personalized Bill Menu'!$H$4:$P$93, 8, FALSE), 0)), 0),0)</f>
        <v>0</v>
      </c>
      <c r="AR46" s="468"/>
      <c r="AS46" s="468"/>
      <c r="AT46" s="468"/>
    </row>
    <row r="47" spans="1:46" s="469" customFormat="1" x14ac:dyDescent="0.35">
      <c r="A47" s="496">
        <v>42125</v>
      </c>
      <c r="B47" s="497">
        <f t="shared" si="8"/>
        <v>31</v>
      </c>
      <c r="C47" s="1581">
        <f t="shared" si="9"/>
        <v>7.5585758066909436</v>
      </c>
      <c r="D47" s="66">
        <f t="shared" si="10"/>
        <v>10.948876851875154</v>
      </c>
      <c r="E47" s="66">
        <f>(1+$AI47)*IF(AND('Service Zone Menu'!$X$5="Athabasca", $A47&lt;DATE(2019, 5, 1)),((1+$T47+$U47)*($N47+((1+$X47+$Y47)*$P47)+$Z47+$AA47)) + $AG47,((1+$U47)*($N47+((1+$X47+$Y47)*$P47)+$Z47+$AA47))+($T47*(((1+$X47+$Y47)*$P47)+$Z47+$AA47)) + $AG47)</f>
        <v>5.1729912695999998</v>
      </c>
      <c r="F47" s="488">
        <f t="shared" si="0"/>
        <v>82.757915683022034</v>
      </c>
      <c r="G47" s="489">
        <f t="shared" si="11"/>
        <v>16.643983926333458</v>
      </c>
      <c r="H47" s="490">
        <f t="shared" si="1"/>
        <v>49.587915395612427</v>
      </c>
      <c r="I47" s="490">
        <f t="shared" si="12"/>
        <v>6.8897057283765921</v>
      </c>
      <c r="J47" s="490">
        <f t="shared" si="13"/>
        <v>3.0914575049365958</v>
      </c>
      <c r="K47" s="490">
        <f t="shared" si="14"/>
        <v>2.6040000000000001</v>
      </c>
      <c r="L47" s="490">
        <f t="shared" si="15"/>
        <v>0</v>
      </c>
      <c r="M47" s="491">
        <f t="shared" si="16"/>
        <v>3.9408531277629546</v>
      </c>
      <c r="N47" s="273">
        <f>IF($I$2="DRT",VLOOKUP(A47,'Misc. Data &amp; Mechanisms'!$A$1381:$D$1471,4,FALSE),AP47)</f>
        <v>2.202</v>
      </c>
      <c r="O47" s="552">
        <f t="shared" si="20"/>
        <v>16.643983926333458</v>
      </c>
      <c r="P47" s="387">
        <v>1.885</v>
      </c>
      <c r="Q47" s="278">
        <v>1.1399999999999999</v>
      </c>
      <c r="R47" s="425">
        <f t="shared" si="21"/>
        <v>14.247915395612429</v>
      </c>
      <c r="S47" s="425">
        <f t="shared" si="22"/>
        <v>35.339999999999996</v>
      </c>
      <c r="T47" s="391">
        <f>VLOOKUP($A47,'Misc. Data &amp; Mechanisms'!$A$63:$DY$152,HLOOKUP('Service Zone Menu'!$X$5&amp;"_AltaGas_NG_Y_1",'Misc. Data &amp; Mechanisms'!$A$55:$DY$62,8,FALSE), FALSE)</f>
        <v>0.06</v>
      </c>
      <c r="U47" s="205">
        <f>VLOOKUP($A47,'Misc. Data &amp; Mechanisms'!$A$63:$DY$152,HLOOKUP('Service Zone Menu'!$X$5&amp;"_AltaGas_NG_Y_2",'Misc. Data &amp; Mechanisms'!$A$55:$DY$62,8,FALSE), FALSE)</f>
        <v>3.5786999999999999E-2</v>
      </c>
      <c r="V47" s="425">
        <f>IF(AND('Service Zone Menu'!$X$5="Athabasca", $A47&lt;DATE(2019, 5, 1)),$T47*($G47+$H47+$J47+$K47),$T47*($H47+$J47+$K47))</f>
        <v>4.3156414096129492</v>
      </c>
      <c r="W47" s="553">
        <f t="shared" si="23"/>
        <v>2.5740643187636434</v>
      </c>
      <c r="X47" s="391"/>
      <c r="Y47" s="205"/>
      <c r="Z47" s="278">
        <v>0.40899999999999997</v>
      </c>
      <c r="AA47" s="278"/>
      <c r="AB47" s="492">
        <f t="shared" si="24"/>
        <v>0</v>
      </c>
      <c r="AC47" s="492">
        <f t="shared" si="25"/>
        <v>3.0914575049365958</v>
      </c>
      <c r="AD47" s="554">
        <f t="shared" si="26"/>
        <v>0</v>
      </c>
      <c r="AE47" s="200">
        <f>IF($I$2="DRT",VLOOKUP(A47,'Misc. Data &amp; Mechanisms'!$A$1483:$H$1574,8,FALSE),AQ47)</f>
        <v>8.4000000000000005E-2</v>
      </c>
      <c r="AF47" s="554">
        <f t="shared" si="18"/>
        <v>2.6040000000000001</v>
      </c>
      <c r="AG47" s="290"/>
      <c r="AH47" s="494">
        <f t="shared" si="19"/>
        <v>0</v>
      </c>
      <c r="AI47" s="495">
        <f>5%</f>
        <v>0.05</v>
      </c>
      <c r="AJ47" s="341">
        <f>'Misc. Data &amp; Mechanisms'!AN320</f>
        <v>7.6551328722242449</v>
      </c>
      <c r="AK47" s="424">
        <f>'Misc. Data &amp; Mechanisms'!AQ320</f>
        <v>6.3069608641640134</v>
      </c>
      <c r="AL47" s="424">
        <f>'Misc. Data &amp; Mechanisms'!AC320</f>
        <v>7.5585758066909436</v>
      </c>
      <c r="AM47" s="424">
        <f>'Misc. Data &amp; Mechanisms'!AD320</f>
        <v>4.8274722275284203</v>
      </c>
      <c r="AN47" s="1460">
        <f>'Misc. Data &amp; Mechanisms'!$B$260</f>
        <v>10.198990303636064</v>
      </c>
      <c r="AO47" s="197">
        <f>IFERROR(IF('Personalized Bill Menu'!$B$30="Yes", IF('Personalized Bill Menu'!$B$34="Natural Gas",VLOOKUP($A47, 'Personalized Bill Menu'!$H$4:$L$93, 2, FALSE), IF('Personalized Bill Menu'!$B$34="Both",VLOOKUP($A47,'Personalized Bill Menu'!$H$4:$P$93, 6, FALSE), 0)), 0),0)</f>
        <v>0</v>
      </c>
      <c r="AP47" s="1343">
        <f>IFERROR(IF('Personalized Bill Menu'!$C$37="Custom", IF('Personalized Bill Menu'!$B$34="Natural Gas",VLOOKUP($A47, 'Personalized Bill Menu'!$H$4:$L$93, 3, FALSE), IF('Personalized Bill Menu'!$B$34="Both",VLOOKUP($A47,'Personalized Bill Menu'!$H$4:$P$93, 7, FALSE), 0)), 0),0)</f>
        <v>0</v>
      </c>
      <c r="AQ47" s="1344">
        <f>IFERROR(IF('Personalized Bill Menu'!$C$37="Custom", IF('Personalized Bill Menu'!$B$34="Natural Gas",VLOOKUP($A47, 'Personalized Bill Menu'!$H$4:$L$93, 4, FALSE), IF('Personalized Bill Menu'!$B$34="Both",VLOOKUP($A47,'Personalized Bill Menu'!$H$4:$P$93, 8, FALSE), 0)), 0),0)</f>
        <v>0</v>
      </c>
      <c r="AR47" s="468"/>
      <c r="AS47" s="468"/>
      <c r="AT47" s="468"/>
    </row>
    <row r="48" spans="1:46" s="469" customFormat="1" x14ac:dyDescent="0.35">
      <c r="A48" s="496">
        <v>42156</v>
      </c>
      <c r="B48" s="497">
        <f t="shared" si="8"/>
        <v>30</v>
      </c>
      <c r="C48" s="1581">
        <f t="shared" si="9"/>
        <v>4.0138235585562185</v>
      </c>
      <c r="D48" s="66">
        <f t="shared" si="10"/>
        <v>14.900405776858065</v>
      </c>
      <c r="E48" s="66">
        <f>(1+$AI48)*IF(AND('Service Zone Menu'!$X$5="Athabasca", $A48&lt;DATE(2019, 5, 1)),((1+$T48+$U48)*($N48+((1+$X48+$Y48)*$P48)+$Z48+$AA48)) + $AG48,((1+$U48)*($N48+((1+$X48+$Y48)*$P48)+$Z48+$AA48))+($T48*(((1+$X48+$Y48)*$P48)+$Z48+$AA48)) + $AG48)</f>
        <v>4.3744912827000011</v>
      </c>
      <c r="F48" s="488">
        <f t="shared" si="0"/>
        <v>59.807599739200072</v>
      </c>
      <c r="G48" s="489">
        <f t="shared" si="11"/>
        <v>4.8527126822944684</v>
      </c>
      <c r="H48" s="490">
        <f t="shared" si="1"/>
        <v>41.766057407878471</v>
      </c>
      <c r="I48" s="490">
        <f t="shared" si="12"/>
        <v>4.9790616296074202</v>
      </c>
      <c r="J48" s="490">
        <f t="shared" si="13"/>
        <v>2.8417870794578026</v>
      </c>
      <c r="K48" s="490">
        <f t="shared" si="14"/>
        <v>2.52</v>
      </c>
      <c r="L48" s="490">
        <f t="shared" si="15"/>
        <v>0</v>
      </c>
      <c r="M48" s="491">
        <f t="shared" si="16"/>
        <v>2.8479809399619085</v>
      </c>
      <c r="N48" s="273">
        <f>IF($I$2="DRT",VLOOKUP(A48,'Misc. Data &amp; Mechanisms'!$A$1381:$D$1471,4,FALSE),AP48)</f>
        <v>1.2090000000000001</v>
      </c>
      <c r="O48" s="552">
        <f t="shared" si="20"/>
        <v>4.8527126822944684</v>
      </c>
      <c r="P48" s="387">
        <v>1.885</v>
      </c>
      <c r="Q48" s="278">
        <v>1.1399999999999999</v>
      </c>
      <c r="R48" s="425">
        <f t="shared" si="21"/>
        <v>7.5660574078784721</v>
      </c>
      <c r="S48" s="425">
        <f t="shared" si="22"/>
        <v>34.199999999999996</v>
      </c>
      <c r="T48" s="391">
        <f>VLOOKUP($A48,'Misc. Data &amp; Mechanisms'!$A$63:$DY$152,HLOOKUP('Service Zone Menu'!$X$5&amp;"_AltaGas_NG_Y_1",'Misc. Data &amp; Mechanisms'!$A$55:$DY$62,8,FALSE), FALSE)</f>
        <v>0.06</v>
      </c>
      <c r="U48" s="205">
        <f>VLOOKUP($A48,'Misc. Data &amp; Mechanisms'!$A$63:$DY$152,HLOOKUP('Service Zone Menu'!$X$5&amp;"_AltaGas_NG_Y_2",'Misc. Data &amp; Mechanisms'!$A$55:$DY$62,8,FALSE), FALSE)</f>
        <v>3.5786999999999999E-2</v>
      </c>
      <c r="V48" s="425">
        <f>IF(AND('Service Zone Menu'!$X$5="Athabasca", $A48&lt;DATE(2019, 5, 1)),$T48*($G48+$H48+$J48+$K48),$T48*($H48+$J48+$K48))</f>
        <v>3.1188334301778444</v>
      </c>
      <c r="W48" s="553">
        <f t="shared" si="23"/>
        <v>1.8602281994295753</v>
      </c>
      <c r="X48" s="391"/>
      <c r="Y48" s="205"/>
      <c r="Z48" s="278">
        <v>0.70799999999999996</v>
      </c>
      <c r="AA48" s="278"/>
      <c r="AB48" s="492">
        <f t="shared" si="24"/>
        <v>0</v>
      </c>
      <c r="AC48" s="492">
        <f t="shared" si="25"/>
        <v>2.8417870794578026</v>
      </c>
      <c r="AD48" s="554">
        <f t="shared" si="26"/>
        <v>0</v>
      </c>
      <c r="AE48" s="200">
        <f>IF($I$2="DRT",VLOOKUP(A48,'Misc. Data &amp; Mechanisms'!$A$1483:$H$1574,8,FALSE),AQ48)</f>
        <v>8.4000000000000005E-2</v>
      </c>
      <c r="AF48" s="554">
        <f t="shared" si="18"/>
        <v>2.52</v>
      </c>
      <c r="AG48" s="290"/>
      <c r="AH48" s="494">
        <f t="shared" si="19"/>
        <v>0</v>
      </c>
      <c r="AI48" s="495">
        <f>5%</f>
        <v>0.05</v>
      </c>
      <c r="AJ48" s="341">
        <f>'Misc. Data &amp; Mechanisms'!AN321</f>
        <v>4.0650981682571024</v>
      </c>
      <c r="AK48" s="424">
        <f>'Misc. Data &amp; Mechanisms'!AQ321</f>
        <v>3.3189542225144737</v>
      </c>
      <c r="AL48" s="424">
        <f>'Misc. Data &amp; Mechanisms'!AC321</f>
        <v>4.0138235585562185</v>
      </c>
      <c r="AM48" s="424">
        <f>'Misc. Data &amp; Mechanisms'!AD321</f>
        <v>2.5635281368716334</v>
      </c>
      <c r="AN48" s="1460">
        <f>'Misc. Data &amp; Mechanisms'!$B$260</f>
        <v>10.198990303636064</v>
      </c>
      <c r="AO48" s="197">
        <f>IFERROR(IF('Personalized Bill Menu'!$B$30="Yes", IF('Personalized Bill Menu'!$B$34="Natural Gas",VLOOKUP($A48, 'Personalized Bill Menu'!$H$4:$L$93, 2, FALSE), IF('Personalized Bill Menu'!$B$34="Both",VLOOKUP($A48,'Personalized Bill Menu'!$H$4:$P$93, 6, FALSE), 0)), 0),0)</f>
        <v>0</v>
      </c>
      <c r="AP48" s="1343">
        <f>IFERROR(IF('Personalized Bill Menu'!$C$37="Custom", IF('Personalized Bill Menu'!$B$34="Natural Gas",VLOOKUP($A48, 'Personalized Bill Menu'!$H$4:$L$93, 3, FALSE), IF('Personalized Bill Menu'!$B$34="Both",VLOOKUP($A48,'Personalized Bill Menu'!$H$4:$P$93, 7, FALSE), 0)), 0),0)</f>
        <v>0</v>
      </c>
      <c r="AQ48" s="1344">
        <f>IFERROR(IF('Personalized Bill Menu'!$C$37="Custom", IF('Personalized Bill Menu'!$B$34="Natural Gas",VLOOKUP($A48, 'Personalized Bill Menu'!$H$4:$L$93, 4, FALSE), IF('Personalized Bill Menu'!$B$34="Both",VLOOKUP($A48,'Personalized Bill Menu'!$H$4:$P$93, 8, FALSE), 0)), 0),0)</f>
        <v>0</v>
      </c>
      <c r="AR48" s="468"/>
      <c r="AS48" s="468"/>
      <c r="AT48" s="468"/>
    </row>
    <row r="49" spans="1:46" s="469" customFormat="1" x14ac:dyDescent="0.35">
      <c r="A49" s="496">
        <v>42186</v>
      </c>
      <c r="B49" s="497">
        <f t="shared" si="8"/>
        <v>31</v>
      </c>
      <c r="C49" s="1581">
        <f t="shared" si="9"/>
        <v>2.5993788615463349</v>
      </c>
      <c r="D49" s="66">
        <f t="shared" si="10"/>
        <v>23.037223337226841</v>
      </c>
      <c r="E49" s="66">
        <f>(1+$AI49)*IF(AND('Service Zone Menu'!$X$5="Athabasca", $A49&lt;DATE(2019, 5, 1)),((1+$T49+$U49)*($N49+((1+$X49+$Y49)*$P49)+$Z49+$AA49)) + $AG49,((1+$U49)*($N49+((1+$X49+$Y49)*$P49)+$Z49+$AA49))+($T49*(((1+$X49+$Y49)*$P49)+$Z49+$AA49)) + $AG49)</f>
        <v>6.2418766987500005</v>
      </c>
      <c r="F49" s="488">
        <f t="shared" si="0"/>
        <v>59.882471371509361</v>
      </c>
      <c r="G49" s="489">
        <f t="shared" si="11"/>
        <v>6.836366405866861</v>
      </c>
      <c r="H49" s="490">
        <f t="shared" si="1"/>
        <v>40.239829154014835</v>
      </c>
      <c r="I49" s="490">
        <f t="shared" si="12"/>
        <v>4.9852947918343418</v>
      </c>
      <c r="J49" s="490">
        <f t="shared" si="13"/>
        <v>2.3654347640071647</v>
      </c>
      <c r="K49" s="490">
        <f t="shared" si="14"/>
        <v>2.6040000000000001</v>
      </c>
      <c r="L49" s="490">
        <f t="shared" si="15"/>
        <v>0</v>
      </c>
      <c r="M49" s="491">
        <f t="shared" si="16"/>
        <v>2.8515462557861602</v>
      </c>
      <c r="N49" s="273">
        <f>IF($I$2="DRT",VLOOKUP(A49,'Misc. Data &amp; Mechanisms'!$A$1381:$D$1471,4,FALSE),AP49)</f>
        <v>2.63</v>
      </c>
      <c r="O49" s="552">
        <f t="shared" si="20"/>
        <v>6.836366405866861</v>
      </c>
      <c r="P49" s="387">
        <v>1.885</v>
      </c>
      <c r="Q49" s="278">
        <v>1.1399999999999999</v>
      </c>
      <c r="R49" s="425">
        <f t="shared" si="21"/>
        <v>4.8998291540148413</v>
      </c>
      <c r="S49" s="425">
        <f t="shared" si="22"/>
        <v>35.339999999999996</v>
      </c>
      <c r="T49" s="391">
        <f>VLOOKUP($A49,'Misc. Data &amp; Mechanisms'!$A$63:$DY$152,HLOOKUP('Service Zone Menu'!$X$5&amp;"_AltaGas_NG_Y_1",'Misc. Data &amp; Mechanisms'!$A$55:$DY$62,8,FALSE), FALSE)</f>
        <v>0.06</v>
      </c>
      <c r="U49" s="205">
        <f>VLOOKUP($A49,'Misc. Data &amp; Mechanisms'!$A$63:$DY$152,HLOOKUP('Service Zone Menu'!$X$5&amp;"_AltaGas_NG_Y_2",'Misc. Data &amp; Mechanisms'!$A$55:$DY$62,8,FALSE), FALSE)</f>
        <v>3.5786999999999999E-2</v>
      </c>
      <c r="V49" s="425">
        <f>IF(AND('Service Zone Menu'!$X$5="Athabasca", $A49&lt;DATE(2019, 5, 1)),$T49*($G49+$H49+$J49+$K49),$T49*($H49+$J49+$K49))</f>
        <v>3.1227378194333313</v>
      </c>
      <c r="W49" s="553">
        <f t="shared" si="23"/>
        <v>1.8625569724010105</v>
      </c>
      <c r="X49" s="391"/>
      <c r="Y49" s="205"/>
      <c r="Z49" s="278">
        <v>0.91</v>
      </c>
      <c r="AA49" s="278"/>
      <c r="AB49" s="492">
        <f t="shared" si="24"/>
        <v>0</v>
      </c>
      <c r="AC49" s="492">
        <f t="shared" si="25"/>
        <v>2.3654347640071647</v>
      </c>
      <c r="AD49" s="554">
        <f t="shared" si="26"/>
        <v>0</v>
      </c>
      <c r="AE49" s="200">
        <f>IF($I$2="DRT",VLOOKUP(A49,'Misc. Data &amp; Mechanisms'!$A$1483:$H$1574,8,FALSE),AQ49)</f>
        <v>8.4000000000000005E-2</v>
      </c>
      <c r="AF49" s="554">
        <f t="shared" si="18"/>
        <v>2.6040000000000001</v>
      </c>
      <c r="AG49" s="290"/>
      <c r="AH49" s="494">
        <f t="shared" si="19"/>
        <v>0</v>
      </c>
      <c r="AI49" s="495">
        <f>5%</f>
        <v>0.05</v>
      </c>
      <c r="AJ49" s="341">
        <f>'Misc. Data &amp; Mechanisms'!AN322</f>
        <v>2.6325846401876007</v>
      </c>
      <c r="AK49" s="424">
        <f>'Misc. Data &amp; Mechanisms'!AQ322</f>
        <v>2.5505895982456868</v>
      </c>
      <c r="AL49" s="424">
        <f>'Misc. Data &amp; Mechanisms'!AC322</f>
        <v>2.5993788615463349</v>
      </c>
      <c r="AM49" s="424">
        <f>'Misc. Data &amp; Mechanisms'!AD322</f>
        <v>1.6601578900394638</v>
      </c>
      <c r="AN49" s="1460">
        <f>'Misc. Data &amp; Mechanisms'!$B$260</f>
        <v>10.198990303636064</v>
      </c>
      <c r="AO49" s="197">
        <f>IFERROR(IF('Personalized Bill Menu'!$B$30="Yes", IF('Personalized Bill Menu'!$B$34="Natural Gas",VLOOKUP($A49, 'Personalized Bill Menu'!$H$4:$L$93, 2, FALSE), IF('Personalized Bill Menu'!$B$34="Both",VLOOKUP($A49,'Personalized Bill Menu'!$H$4:$P$93, 6, FALSE), 0)), 0),0)</f>
        <v>0</v>
      </c>
      <c r="AP49" s="1343">
        <f>IFERROR(IF('Personalized Bill Menu'!$C$37="Custom", IF('Personalized Bill Menu'!$B$34="Natural Gas",VLOOKUP($A49, 'Personalized Bill Menu'!$H$4:$L$93, 3, FALSE), IF('Personalized Bill Menu'!$B$34="Both",VLOOKUP($A49,'Personalized Bill Menu'!$H$4:$P$93, 7, FALSE), 0)), 0),0)</f>
        <v>0</v>
      </c>
      <c r="AQ49" s="1344">
        <f>IFERROR(IF('Personalized Bill Menu'!$C$37="Custom", IF('Personalized Bill Menu'!$B$34="Natural Gas",VLOOKUP($A49, 'Personalized Bill Menu'!$H$4:$L$93, 4, FALSE), IF('Personalized Bill Menu'!$B$34="Both",VLOOKUP($A49,'Personalized Bill Menu'!$H$4:$P$93, 8, FALSE), 0)), 0),0)</f>
        <v>0</v>
      </c>
      <c r="AR49" s="468"/>
      <c r="AS49" s="468"/>
      <c r="AT49" s="468"/>
    </row>
    <row r="50" spans="1:46" s="469" customFormat="1" x14ac:dyDescent="0.35">
      <c r="A50" s="496">
        <v>42217</v>
      </c>
      <c r="B50" s="497">
        <f t="shared" si="8"/>
        <v>31</v>
      </c>
      <c r="C50" s="1581">
        <f t="shared" si="9"/>
        <v>2.208361416124315</v>
      </c>
      <c r="D50" s="66">
        <f t="shared" si="10"/>
        <v>26.375777937989252</v>
      </c>
      <c r="E50" s="66">
        <f>(1+$AI50)*IF(AND('Service Zone Menu'!$X$5="Athabasca", $A50&lt;DATE(2019, 5, 1)),((1+$T50+$U50)*($N50+((1+$X50+$Y50)*$P50)+$Z50+$AA50)) + $AG50,((1+$U50)*($N50+((1+$X50+$Y50)*$P50)+$Z50+$AA50))+($T50*(((1+$X50+$Y50)*$P50)+$Z50+$AA50)) + $AG50)</f>
        <v>6.6066094017000001</v>
      </c>
      <c r="F50" s="488">
        <f t="shared" si="0"/>
        <v>58.247250318518411</v>
      </c>
      <c r="G50" s="489">
        <f t="shared" si="11"/>
        <v>6.3424139871090324</v>
      </c>
      <c r="H50" s="490">
        <f t="shared" si="1"/>
        <v>39.502761269394327</v>
      </c>
      <c r="I50" s="490">
        <f t="shared" si="12"/>
        <v>4.8491604805364918</v>
      </c>
      <c r="J50" s="490">
        <f t="shared" si="13"/>
        <v>2.1752359948824505</v>
      </c>
      <c r="K50" s="490">
        <f t="shared" si="14"/>
        <v>2.6040000000000001</v>
      </c>
      <c r="L50" s="490">
        <f t="shared" si="15"/>
        <v>0</v>
      </c>
      <c r="M50" s="491">
        <f t="shared" si="16"/>
        <v>2.7736785865961151</v>
      </c>
      <c r="N50" s="273">
        <f>IF($I$2="DRT",VLOOKUP(A50,'Misc. Data &amp; Mechanisms'!$A$1381:$D$1471,4,FALSE),AP50)</f>
        <v>2.8719999999999999</v>
      </c>
      <c r="O50" s="552">
        <f t="shared" si="20"/>
        <v>6.3424139871090324</v>
      </c>
      <c r="P50" s="387">
        <v>1.885</v>
      </c>
      <c r="Q50" s="278">
        <v>1.1399999999999999</v>
      </c>
      <c r="R50" s="425">
        <f t="shared" si="21"/>
        <v>4.1627612693943341</v>
      </c>
      <c r="S50" s="425">
        <f t="shared" si="22"/>
        <v>35.339999999999996</v>
      </c>
      <c r="T50" s="391">
        <f>VLOOKUP($A50,'Misc. Data &amp; Mechanisms'!$A$63:$DY$152,HLOOKUP('Service Zone Menu'!$X$5&amp;"_AltaGas_NG_Y_1",'Misc. Data &amp; Mechanisms'!$A$55:$DY$62,8,FALSE), FALSE)</f>
        <v>0.06</v>
      </c>
      <c r="U50" s="205">
        <f>VLOOKUP($A50,'Misc. Data &amp; Mechanisms'!$A$63:$DY$152,HLOOKUP('Service Zone Menu'!$X$5&amp;"_AltaGas_NG_Y_2",'Misc. Data &amp; Mechanisms'!$A$55:$DY$62,8,FALSE), FALSE)</f>
        <v>3.5786999999999999E-2</v>
      </c>
      <c r="V50" s="425">
        <f>IF(AND('Service Zone Menu'!$X$5="Athabasca", $A50&lt;DATE(2019, 5, 1)),$T50*($G50+$H50+$J50+$K50),$T50*($H50+$J50+$K50))</f>
        <v>3.0374646750831484</v>
      </c>
      <c r="W50" s="553">
        <f t="shared" si="23"/>
        <v>1.8116958054533439</v>
      </c>
      <c r="X50" s="391"/>
      <c r="Y50" s="205"/>
      <c r="Z50" s="278">
        <v>0.98499999999999999</v>
      </c>
      <c r="AA50" s="278"/>
      <c r="AB50" s="492">
        <f t="shared" si="24"/>
        <v>0</v>
      </c>
      <c r="AC50" s="492">
        <f t="shared" si="25"/>
        <v>2.1752359948824505</v>
      </c>
      <c r="AD50" s="554">
        <f t="shared" si="26"/>
        <v>0</v>
      </c>
      <c r="AE50" s="200">
        <f>IF($I$2="DRT",VLOOKUP(A50,'Misc. Data &amp; Mechanisms'!$A$1483:$H$1574,8,FALSE),AQ50)</f>
        <v>8.4000000000000005E-2</v>
      </c>
      <c r="AF50" s="554">
        <f t="shared" si="18"/>
        <v>2.6040000000000001</v>
      </c>
      <c r="AG50" s="290"/>
      <c r="AH50" s="494">
        <f t="shared" si="19"/>
        <v>0</v>
      </c>
      <c r="AI50" s="495">
        <f>5%</f>
        <v>0.05</v>
      </c>
      <c r="AJ50" s="341">
        <f>'Misc. Data &amp; Mechanisms'!AN323</f>
        <v>2.2365721403971568</v>
      </c>
      <c r="AK50" s="424">
        <f>'Misc. Data &amp; Mechanisms'!AQ323</f>
        <v>2.9302752811694925</v>
      </c>
      <c r="AL50" s="424">
        <f>'Misc. Data &amp; Mechanisms'!AC323</f>
        <v>2.208361416124315</v>
      </c>
      <c r="AM50" s="424">
        <f>'Misc. Data &amp; Mechanisms'!AD323</f>
        <v>1.4104248839111186</v>
      </c>
      <c r="AN50" s="1460">
        <f>'Misc. Data &amp; Mechanisms'!$B$260</f>
        <v>10.198990303636064</v>
      </c>
      <c r="AO50" s="197">
        <f>IFERROR(IF('Personalized Bill Menu'!$B$30="Yes", IF('Personalized Bill Menu'!$B$34="Natural Gas",VLOOKUP($A50, 'Personalized Bill Menu'!$H$4:$L$93, 2, FALSE), IF('Personalized Bill Menu'!$B$34="Both",VLOOKUP($A50,'Personalized Bill Menu'!$H$4:$P$93, 6, FALSE), 0)), 0),0)</f>
        <v>0</v>
      </c>
      <c r="AP50" s="1343">
        <f>IFERROR(IF('Personalized Bill Menu'!$C$37="Custom", IF('Personalized Bill Menu'!$B$34="Natural Gas",VLOOKUP($A50, 'Personalized Bill Menu'!$H$4:$L$93, 3, FALSE), IF('Personalized Bill Menu'!$B$34="Both",VLOOKUP($A50,'Personalized Bill Menu'!$H$4:$P$93, 7, FALSE), 0)), 0),0)</f>
        <v>0</v>
      </c>
      <c r="AQ50" s="1344">
        <f>IFERROR(IF('Personalized Bill Menu'!$C$37="Custom", IF('Personalized Bill Menu'!$B$34="Natural Gas",VLOOKUP($A50, 'Personalized Bill Menu'!$H$4:$L$93, 4, FALSE), IF('Personalized Bill Menu'!$B$34="Both",VLOOKUP($A50,'Personalized Bill Menu'!$H$4:$P$93, 8, FALSE), 0)), 0),0)</f>
        <v>0</v>
      </c>
      <c r="AR50" s="468"/>
      <c r="AS50" s="468"/>
      <c r="AT50" s="468"/>
    </row>
    <row r="51" spans="1:46" s="469" customFormat="1" x14ac:dyDescent="0.35">
      <c r="A51" s="496">
        <v>42248</v>
      </c>
      <c r="B51" s="497">
        <f t="shared" si="8"/>
        <v>30</v>
      </c>
      <c r="C51" s="1581">
        <f t="shared" si="9"/>
        <v>2.9728384185822905</v>
      </c>
      <c r="D51" s="66">
        <f t="shared" si="10"/>
        <v>20.559455226735736</v>
      </c>
      <c r="E51" s="66">
        <f>(1+$AI51)*IF(AND('Service Zone Menu'!$X$5="Athabasca", $A51&lt;DATE(2019, 5, 1)),((1+$T51+$U51)*($N51+((1+$X51+$Y51)*$P51)+$Z51+$AA51)) + $AG51,((1+$U51)*($N51+((1+$X51+$Y51)*$P51)+$Z51+$AA51))+($T51*(((1+$X51+$Y51)*$P51)+$Z51+$AA51)) + $AG51)</f>
        <v>6.3477297229500005</v>
      </c>
      <c r="F51" s="488">
        <f t="shared" si="0"/>
        <v>61.119938363162468</v>
      </c>
      <c r="G51" s="489">
        <f t="shared" si="11"/>
        <v>8.796628880584997</v>
      </c>
      <c r="H51" s="490">
        <f t="shared" si="1"/>
        <v>39.80380041902761</v>
      </c>
      <c r="I51" s="490">
        <f t="shared" si="12"/>
        <v>5.0883155524552919</v>
      </c>
      <c r="J51" s="490">
        <f t="shared" si="13"/>
        <v>2.0007202557058816</v>
      </c>
      <c r="K51" s="490">
        <f t="shared" si="14"/>
        <v>2.52</v>
      </c>
      <c r="L51" s="490">
        <f t="shared" si="15"/>
        <v>0</v>
      </c>
      <c r="M51" s="491">
        <f t="shared" si="16"/>
        <v>2.9104732553886894</v>
      </c>
      <c r="N51" s="273">
        <f>IF($I$2="DRT",VLOOKUP(A51,'Misc. Data &amp; Mechanisms'!$A$1381:$D$1471,4,FALSE),AP51)</f>
        <v>2.9590000000000001</v>
      </c>
      <c r="O51" s="552">
        <f t="shared" si="20"/>
        <v>8.796628880584997</v>
      </c>
      <c r="P51" s="387">
        <v>1.885</v>
      </c>
      <c r="Q51" s="278">
        <v>1.1399999999999999</v>
      </c>
      <c r="R51" s="425">
        <f t="shared" si="21"/>
        <v>5.6038004190276176</v>
      </c>
      <c r="S51" s="425">
        <f t="shared" si="22"/>
        <v>34.199999999999996</v>
      </c>
      <c r="T51" s="391">
        <f>VLOOKUP($A51,'Misc. Data &amp; Mechanisms'!$A$63:$DY$152,HLOOKUP('Service Zone Menu'!$X$5&amp;"_AltaGas_NG_Y_1",'Misc. Data &amp; Mechanisms'!$A$55:$DY$62,8,FALSE), FALSE)</f>
        <v>0.06</v>
      </c>
      <c r="U51" s="205">
        <f>VLOOKUP($A51,'Misc. Data &amp; Mechanisms'!$A$63:$DY$152,HLOOKUP('Service Zone Menu'!$X$5&amp;"_AltaGas_NG_Y_2",'Misc. Data &amp; Mechanisms'!$A$55:$DY$62,8,FALSE), FALSE)</f>
        <v>3.5786999999999999E-2</v>
      </c>
      <c r="V51" s="425">
        <f>IF(AND('Service Zone Menu'!$X$5="Athabasca", $A51&lt;DATE(2019, 5, 1)),$T51*($G51+$H51+$J51+$K51),$T51*($H51+$J51+$K51))</f>
        <v>3.1872689733191093</v>
      </c>
      <c r="W51" s="553">
        <f t="shared" si="23"/>
        <v>1.9010465791361828</v>
      </c>
      <c r="X51" s="391"/>
      <c r="Y51" s="205"/>
      <c r="Z51" s="278">
        <v>0.67300000000000004</v>
      </c>
      <c r="AA51" s="278"/>
      <c r="AB51" s="492">
        <f t="shared" si="24"/>
        <v>0</v>
      </c>
      <c r="AC51" s="492">
        <f t="shared" si="25"/>
        <v>2.0007202557058816</v>
      </c>
      <c r="AD51" s="554">
        <f t="shared" si="26"/>
        <v>0</v>
      </c>
      <c r="AE51" s="200">
        <f>IF($I$2="DRT",VLOOKUP(A51,'Misc. Data &amp; Mechanisms'!$A$1483:$H$1574,8,FALSE),AQ51)</f>
        <v>8.4000000000000005E-2</v>
      </c>
      <c r="AF51" s="554">
        <f t="shared" si="18"/>
        <v>2.52</v>
      </c>
      <c r="AG51" s="290"/>
      <c r="AH51" s="494">
        <f t="shared" si="19"/>
        <v>0</v>
      </c>
      <c r="AI51" s="495">
        <f>5%</f>
        <v>0.05</v>
      </c>
      <c r="AJ51" s="341">
        <f>'Misc. Data &amp; Mechanisms'!AN324</f>
        <v>3.0108149582564532</v>
      </c>
      <c r="AK51" s="424">
        <f>'Misc. Data &amp; Mechanisms'!AQ324</f>
        <v>6.1007525590495604</v>
      </c>
      <c r="AL51" s="424">
        <f>'Misc. Data &amp; Mechanisms'!AC324</f>
        <v>2.9728384185822905</v>
      </c>
      <c r="AM51" s="424">
        <f>'Misc. Data &amp; Mechanisms'!AD324</f>
        <v>1.8986771145341395</v>
      </c>
      <c r="AN51" s="1460">
        <f>'Misc. Data &amp; Mechanisms'!$B$260</f>
        <v>10.198990303636064</v>
      </c>
      <c r="AO51" s="197">
        <f>IFERROR(IF('Personalized Bill Menu'!$B$30="Yes", IF('Personalized Bill Menu'!$B$34="Natural Gas",VLOOKUP($A51, 'Personalized Bill Menu'!$H$4:$L$93, 2, FALSE), IF('Personalized Bill Menu'!$B$34="Both",VLOOKUP($A51,'Personalized Bill Menu'!$H$4:$P$93, 6, FALSE), 0)), 0),0)</f>
        <v>0</v>
      </c>
      <c r="AP51" s="1343">
        <f>IFERROR(IF('Personalized Bill Menu'!$C$37="Custom", IF('Personalized Bill Menu'!$B$34="Natural Gas",VLOOKUP($A51, 'Personalized Bill Menu'!$H$4:$L$93, 3, FALSE), IF('Personalized Bill Menu'!$B$34="Both",VLOOKUP($A51,'Personalized Bill Menu'!$H$4:$P$93, 7, FALSE), 0)), 0),0)</f>
        <v>0</v>
      </c>
      <c r="AQ51" s="1344">
        <f>IFERROR(IF('Personalized Bill Menu'!$C$37="Custom", IF('Personalized Bill Menu'!$B$34="Natural Gas",VLOOKUP($A51, 'Personalized Bill Menu'!$H$4:$L$93, 4, FALSE), IF('Personalized Bill Menu'!$B$34="Both",VLOOKUP($A51,'Personalized Bill Menu'!$H$4:$P$93, 8, FALSE), 0)), 0),0)</f>
        <v>0</v>
      </c>
      <c r="AR51" s="468"/>
      <c r="AS51" s="468"/>
      <c r="AT51" s="468"/>
    </row>
    <row r="52" spans="1:46" s="469" customFormat="1" x14ac:dyDescent="0.35">
      <c r="A52" s="496">
        <v>42278</v>
      </c>
      <c r="B52" s="497">
        <f t="shared" si="8"/>
        <v>31</v>
      </c>
      <c r="C52" s="1581">
        <f t="shared" si="9"/>
        <v>5.5199634600357212</v>
      </c>
      <c r="D52" s="66">
        <f t="shared" si="10"/>
        <v>14.386726821722263</v>
      </c>
      <c r="E52" s="66">
        <f>(1+$AI52)*IF(AND('Service Zone Menu'!$X$5="Athabasca", $A52&lt;DATE(2019, 5, 1)),((1+$T52+$U52)*($N52+((1+$X52+$Y52)*$P52)+$Z52+$AA52)) + $AG52,((1+$U52)*($N52+((1+$X52+$Y52)*$P52)+$Z52+$AA52))+($T52*(((1+$X52+$Y52)*$P52)+$Z52+$AA52)) + $AG52)</f>
        <v>5.9141954307108762</v>
      </c>
      <c r="F52" s="488">
        <f t="shared" si="0"/>
        <v>79.414206365422743</v>
      </c>
      <c r="G52" s="489">
        <f t="shared" si="11"/>
        <v>15.560776993840697</v>
      </c>
      <c r="H52" s="490">
        <f t="shared" si="1"/>
        <v>45.745131122167329</v>
      </c>
      <c r="I52" s="490">
        <f t="shared" si="12"/>
        <v>6.6113375136945471</v>
      </c>
      <c r="J52" s="490">
        <f t="shared" si="13"/>
        <v>5.1113318611762315</v>
      </c>
      <c r="K52" s="490">
        <f t="shared" si="14"/>
        <v>2.6040000000000001</v>
      </c>
      <c r="L52" s="490">
        <f t="shared" si="15"/>
        <v>0</v>
      </c>
      <c r="M52" s="491">
        <f t="shared" si="16"/>
        <v>3.7816288745439404</v>
      </c>
      <c r="N52" s="273">
        <f>IF($I$2="DRT",VLOOKUP(A52,'Misc. Data &amp; Mechanisms'!$A$1381:$D$1471,4,FALSE),AP52)</f>
        <v>2.819</v>
      </c>
      <c r="O52" s="552">
        <f t="shared" si="20"/>
        <v>15.560776993840697</v>
      </c>
      <c r="P52" s="387">
        <v>1.885</v>
      </c>
      <c r="Q52" s="278">
        <v>1.1399999999999999</v>
      </c>
      <c r="R52" s="425">
        <f t="shared" si="21"/>
        <v>10.405131122167335</v>
      </c>
      <c r="S52" s="425">
        <f t="shared" si="22"/>
        <v>35.339999999999996</v>
      </c>
      <c r="T52" s="391">
        <f>VLOOKUP($A52,'Misc. Data &amp; Mechanisms'!$A$63:$DY$152,HLOOKUP('Service Zone Menu'!$X$5&amp;"_AltaGas_NG_Y_1",'Misc. Data &amp; Mechanisms'!$A$55:$DY$62,8,FALSE), FALSE)</f>
        <v>0.06</v>
      </c>
      <c r="U52" s="205">
        <f>VLOOKUP($A52,'Misc. Data &amp; Mechanisms'!$A$63:$DY$152,HLOOKUP('Service Zone Menu'!$X$5&amp;"_AltaGas_NG_Y_2",'Misc. Data &amp; Mechanisms'!$A$55:$DY$62,8,FALSE), FALSE)</f>
        <v>3.5786999999999999E-2</v>
      </c>
      <c r="V52" s="425">
        <f>IF(AND('Service Zone Menu'!$X$5="Athabasca", $A52&lt;DATE(2019, 5, 1)),$T52*($G52+$H52+$J52+$K52),$T52*($H52+$J52+$K52))</f>
        <v>4.1412743986310545</v>
      </c>
      <c r="W52" s="553">
        <f t="shared" si="23"/>
        <v>2.4700631150634926</v>
      </c>
      <c r="X52" s="391">
        <v>7.6499999999999999E-2</v>
      </c>
      <c r="Y52" s="205"/>
      <c r="Z52" s="296">
        <v>0.29199999999999998</v>
      </c>
      <c r="AA52" s="296"/>
      <c r="AB52" s="492">
        <f t="shared" si="24"/>
        <v>3.4995025308458008</v>
      </c>
      <c r="AC52" s="492">
        <f t="shared" si="25"/>
        <v>1.6118293303304305</v>
      </c>
      <c r="AD52" s="554">
        <f t="shared" si="26"/>
        <v>0</v>
      </c>
      <c r="AE52" s="200">
        <f>IF($I$2="DRT",VLOOKUP(A52,'Misc. Data &amp; Mechanisms'!$A$1483:$H$1574,8,FALSE),AQ52)</f>
        <v>8.4000000000000005E-2</v>
      </c>
      <c r="AF52" s="554">
        <f t="shared" si="18"/>
        <v>2.6040000000000001</v>
      </c>
      <c r="AG52" s="290"/>
      <c r="AH52" s="494">
        <f t="shared" si="19"/>
        <v>0</v>
      </c>
      <c r="AI52" s="495">
        <f>5%</f>
        <v>0.05</v>
      </c>
      <c r="AJ52" s="341">
        <f>'Misc. Data &amp; Mechanisms'!AN325</f>
        <v>5.5904782616575144</v>
      </c>
      <c r="AK52" s="424">
        <f>'Misc. Data &amp; Mechanisms'!AQ325</f>
        <v>8.2418787141546677</v>
      </c>
      <c r="AL52" s="424">
        <f>'Misc. Data &amp; Mechanisms'!AC325</f>
        <v>5.5199634600357212</v>
      </c>
      <c r="AM52" s="424">
        <f>'Misc. Data &amp; Mechanisms'!AD325</f>
        <v>3.5254618041543573</v>
      </c>
      <c r="AN52" s="1460">
        <f>'Misc. Data &amp; Mechanisms'!$B$260</f>
        <v>10.198990303636064</v>
      </c>
      <c r="AO52" s="197">
        <f>IFERROR(IF('Personalized Bill Menu'!$B$30="Yes", IF('Personalized Bill Menu'!$B$34="Natural Gas",VLOOKUP($A52, 'Personalized Bill Menu'!$H$4:$L$93, 2, FALSE), IF('Personalized Bill Menu'!$B$34="Both",VLOOKUP($A52,'Personalized Bill Menu'!$H$4:$P$93, 6, FALSE), 0)), 0),0)</f>
        <v>0</v>
      </c>
      <c r="AP52" s="1343">
        <f>IFERROR(IF('Personalized Bill Menu'!$C$37="Custom", IF('Personalized Bill Menu'!$B$34="Natural Gas",VLOOKUP($A52, 'Personalized Bill Menu'!$H$4:$L$93, 3, FALSE), IF('Personalized Bill Menu'!$B$34="Both",VLOOKUP($A52,'Personalized Bill Menu'!$H$4:$P$93, 7, FALSE), 0)), 0),0)</f>
        <v>0</v>
      </c>
      <c r="AQ52" s="1344">
        <f>IFERROR(IF('Personalized Bill Menu'!$C$37="Custom", IF('Personalized Bill Menu'!$B$34="Natural Gas",VLOOKUP($A52, 'Personalized Bill Menu'!$H$4:$L$93, 4, FALSE), IF('Personalized Bill Menu'!$B$34="Both",VLOOKUP($A52,'Personalized Bill Menu'!$H$4:$P$93, 8, FALSE), 0)), 0),0)</f>
        <v>0</v>
      </c>
      <c r="AR52" s="468"/>
      <c r="AS52" s="468"/>
      <c r="AT52" s="468"/>
    </row>
    <row r="53" spans="1:46" s="469" customFormat="1" x14ac:dyDescent="0.35">
      <c r="A53" s="496">
        <v>42309</v>
      </c>
      <c r="B53" s="497">
        <f t="shared" si="8"/>
        <v>30</v>
      </c>
      <c r="C53" s="1581">
        <f t="shared" si="9"/>
        <v>8.656210792207812</v>
      </c>
      <c r="D53" s="66">
        <f t="shared" si="10"/>
        <v>10.850497367207707</v>
      </c>
      <c r="E53" s="66">
        <f>(1+$AI53)*IF(AND('Service Zone Menu'!$X$5="Athabasca", $A53&lt;DATE(2019, 5, 1)),((1+$T53+$U53)*($N53+((1+$X53+$Y53)*$P53)+$Z53+$AA53)) + $AG53,((1+$U53)*($N53+((1+$X53+$Y53)*$P53)+$Z53+$AA53))+($T53*(((1+$X53+$Y53)*$P53)+$Z53+$AA53)) + $AG53)</f>
        <v>5.6219490378108761</v>
      </c>
      <c r="F53" s="488">
        <f t="shared" si="0"/>
        <v>93.924192410845805</v>
      </c>
      <c r="G53" s="489">
        <f t="shared" si="11"/>
        <v>21.441434132298749</v>
      </c>
      <c r="H53" s="490">
        <f t="shared" si="1"/>
        <v>50.516957343311716</v>
      </c>
      <c r="I53" s="490">
        <f t="shared" si="12"/>
        <v>7.8193130064403693</v>
      </c>
      <c r="J53" s="490">
        <f t="shared" si="13"/>
        <v>7.1539073378023144</v>
      </c>
      <c r="K53" s="490">
        <f t="shared" si="14"/>
        <v>2.52</v>
      </c>
      <c r="L53" s="490">
        <f t="shared" si="15"/>
        <v>0</v>
      </c>
      <c r="M53" s="491">
        <f t="shared" si="16"/>
        <v>4.4725805909926573</v>
      </c>
      <c r="N53" s="273">
        <f>IF($I$2="DRT",VLOOKUP(A53,'Misc. Data &amp; Mechanisms'!$A$1381:$D$1471,4,FALSE),AP53)</f>
        <v>2.4769999999999999</v>
      </c>
      <c r="O53" s="552">
        <f t="shared" si="20"/>
        <v>21.441434132298749</v>
      </c>
      <c r="P53" s="387">
        <v>1.885</v>
      </c>
      <c r="Q53" s="278">
        <v>1.1399999999999999</v>
      </c>
      <c r="R53" s="425">
        <f t="shared" si="21"/>
        <v>16.316957343311724</v>
      </c>
      <c r="S53" s="425">
        <f t="shared" si="22"/>
        <v>34.199999999999996</v>
      </c>
      <c r="T53" s="391">
        <f>VLOOKUP($A53,'Misc. Data &amp; Mechanisms'!$A$63:$DY$152,HLOOKUP('Service Zone Menu'!$X$5&amp;"_AltaGas_NG_Y_1",'Misc. Data &amp; Mechanisms'!$A$55:$DY$62,8,FALSE), FALSE)</f>
        <v>0.06</v>
      </c>
      <c r="U53" s="205">
        <f>VLOOKUP($A53,'Misc. Data &amp; Mechanisms'!$A$63:$DY$152,HLOOKUP('Service Zone Menu'!$X$5&amp;"_AltaGas_NG_Y_2",'Misc. Data &amp; Mechanisms'!$A$55:$DY$62,8,FALSE), FALSE)</f>
        <v>3.5786999999999999E-2</v>
      </c>
      <c r="V53" s="425">
        <f>IF(AND('Service Zone Menu'!$X$5="Athabasca", $A53&lt;DATE(2019, 5, 1)),$T53*($G53+$H53+$J53+$K53),$T53*($H53+$J53+$K53))</f>
        <v>4.8979379288047662</v>
      </c>
      <c r="W53" s="553">
        <f t="shared" si="23"/>
        <v>2.9213750776356031</v>
      </c>
      <c r="X53" s="391">
        <v>7.6499999999999999E-2</v>
      </c>
      <c r="Y53" s="205"/>
      <c r="Z53" s="278">
        <v>0.38</v>
      </c>
      <c r="AA53" s="278"/>
      <c r="AB53" s="492">
        <f t="shared" si="24"/>
        <v>3.8645472367633462</v>
      </c>
      <c r="AC53" s="492">
        <f t="shared" si="25"/>
        <v>3.2893601010389686</v>
      </c>
      <c r="AD53" s="554">
        <f t="shared" si="26"/>
        <v>0</v>
      </c>
      <c r="AE53" s="200">
        <f>IF($I$2="DRT",VLOOKUP(A53,'Misc. Data &amp; Mechanisms'!$A$1483:$H$1574,8,FALSE),AQ53)</f>
        <v>8.4000000000000005E-2</v>
      </c>
      <c r="AF53" s="554">
        <f t="shared" si="18"/>
        <v>2.52</v>
      </c>
      <c r="AG53" s="290"/>
      <c r="AH53" s="494">
        <f t="shared" si="19"/>
        <v>0</v>
      </c>
      <c r="AI53" s="495">
        <f>5%</f>
        <v>0.05</v>
      </c>
      <c r="AJ53" s="341">
        <f>'Misc. Data &amp; Mechanisms'!AN326</f>
        <v>8.7667896015111992</v>
      </c>
      <c r="AK53" s="424">
        <f>'Misc. Data &amp; Mechanisms'!AQ326</f>
        <v>14.638170158329318</v>
      </c>
      <c r="AL53" s="424">
        <f>'Misc. Data &amp; Mechanisms'!AC326</f>
        <v>8.656210792207812</v>
      </c>
      <c r="AM53" s="424">
        <f>'Misc. Data &amp; Mechanisms'!AD326</f>
        <v>5.5285040811556172</v>
      </c>
      <c r="AN53" s="1460">
        <f>'Misc. Data &amp; Mechanisms'!$B$260</f>
        <v>10.198990303636064</v>
      </c>
      <c r="AO53" s="197">
        <f>IFERROR(IF('Personalized Bill Menu'!$B$30="Yes", IF('Personalized Bill Menu'!$B$34="Natural Gas",VLOOKUP($A53, 'Personalized Bill Menu'!$H$4:$L$93, 2, FALSE), IF('Personalized Bill Menu'!$B$34="Both",VLOOKUP($A53,'Personalized Bill Menu'!$H$4:$P$93, 6, FALSE), 0)), 0),0)</f>
        <v>0</v>
      </c>
      <c r="AP53" s="1343">
        <f>IFERROR(IF('Personalized Bill Menu'!$C$37="Custom", IF('Personalized Bill Menu'!$B$34="Natural Gas",VLOOKUP($A53, 'Personalized Bill Menu'!$H$4:$L$93, 3, FALSE), IF('Personalized Bill Menu'!$B$34="Both",VLOOKUP($A53,'Personalized Bill Menu'!$H$4:$P$93, 7, FALSE), 0)), 0),0)</f>
        <v>0</v>
      </c>
      <c r="AQ53" s="1344">
        <f>IFERROR(IF('Personalized Bill Menu'!$C$37="Custom", IF('Personalized Bill Menu'!$B$34="Natural Gas",VLOOKUP($A53, 'Personalized Bill Menu'!$H$4:$L$93, 4, FALSE), IF('Personalized Bill Menu'!$B$34="Both",VLOOKUP($A53,'Personalized Bill Menu'!$H$4:$P$93, 8, FALSE), 0)), 0),0)</f>
        <v>0</v>
      </c>
      <c r="AR53" s="468"/>
      <c r="AS53" s="468"/>
      <c r="AT53" s="468"/>
    </row>
    <row r="54" spans="1:46" s="469" customFormat="1" x14ac:dyDescent="0.35">
      <c r="A54" s="508">
        <v>42339</v>
      </c>
      <c r="B54" s="509">
        <f t="shared" si="8"/>
        <v>31</v>
      </c>
      <c r="C54" s="231">
        <f t="shared" si="9"/>
        <v>15.58981233944856</v>
      </c>
      <c r="D54" s="344">
        <f t="shared" si="10"/>
        <v>8.0872828405079744</v>
      </c>
      <c r="E54" s="344">
        <f>(1+$AI54)*IF(AND('Service Zone Menu'!$X$5="Athabasca", $A54&lt;DATE(2019, 5, 1)),((1+$T54+$U54)*($N54+((1+$X54+$Y54)*$P54)+$Z54+$AA54)) + $AG54,((1+$U54)*($N54+((1+$X54+$Y54)*$P54)+$Z54+$AA54))+($T54*(((1+$X54+$Y54)*$P54)+$Z54+$AA54)) + $AG54)</f>
        <v>5.2868983282500013</v>
      </c>
      <c r="F54" s="510">
        <f t="shared" si="0"/>
        <v>126.07922181956182</v>
      </c>
      <c r="G54" s="511">
        <f t="shared" si="11"/>
        <v>38.538016103116838</v>
      </c>
      <c r="H54" s="512">
        <f t="shared" si="1"/>
        <v>64.726796259860535</v>
      </c>
      <c r="I54" s="512">
        <f t="shared" si="12"/>
        <v>10.496261652197498</v>
      </c>
      <c r="J54" s="512">
        <f t="shared" si="13"/>
        <v>3.7103753367887573</v>
      </c>
      <c r="K54" s="512">
        <f t="shared" si="14"/>
        <v>2.6040000000000001</v>
      </c>
      <c r="L54" s="512">
        <f t="shared" si="15"/>
        <v>0</v>
      </c>
      <c r="M54" s="513">
        <f t="shared" si="16"/>
        <v>6.0037724675981821</v>
      </c>
      <c r="N54" s="1243">
        <f>IF($I$2="DRT",VLOOKUP(A54,'Misc. Data &amp; Mechanisms'!$A$1381:$D$1471,4,FALSE),AP54)</f>
        <v>2.472</v>
      </c>
      <c r="O54" s="558">
        <f t="shared" si="20"/>
        <v>38.538016103116838</v>
      </c>
      <c r="P54" s="438">
        <v>1.885</v>
      </c>
      <c r="Q54" s="283">
        <v>1.1399999999999999</v>
      </c>
      <c r="R54" s="440">
        <f t="shared" si="21"/>
        <v>29.386796259860535</v>
      </c>
      <c r="S54" s="440">
        <f t="shared" si="22"/>
        <v>35.339999999999996</v>
      </c>
      <c r="T54" s="394">
        <f>VLOOKUP($A54,'Misc. Data &amp; Mechanisms'!$A$63:$DY$152,HLOOKUP('Service Zone Menu'!$X$5&amp;"_AltaGas_NG_Y_1",'Misc. Data &amp; Mechanisms'!$A$55:$DY$62,8,FALSE), FALSE)</f>
        <v>0.06</v>
      </c>
      <c r="U54" s="246">
        <f>VLOOKUP($A54,'Misc. Data &amp; Mechanisms'!$A$63:$DY$152,HLOOKUP('Service Zone Menu'!$X$5&amp;"_AltaGas_NG_Y_2",'Misc. Data &amp; Mechanisms'!$A$55:$DY$62,8,FALSE), FALSE)</f>
        <v>3.5786999999999999E-2</v>
      </c>
      <c r="V54" s="440">
        <f>IF(AND('Service Zone Menu'!$X$5="Athabasca", $A54&lt;DATE(2019, 5, 1)),$T54*($G54+$H54+$J54+$K54),$T54*($H54+$J54+$K54))</f>
        <v>6.574751261985968</v>
      </c>
      <c r="W54" s="559">
        <f t="shared" si="23"/>
        <v>3.9215103902115307</v>
      </c>
      <c r="X54" s="394"/>
      <c r="Y54" s="246"/>
      <c r="Z54" s="283">
        <v>0.23799999999999999</v>
      </c>
      <c r="AA54" s="283"/>
      <c r="AB54" s="514">
        <f t="shared" si="24"/>
        <v>0</v>
      </c>
      <c r="AC54" s="514">
        <f t="shared" si="25"/>
        <v>3.7103753367887573</v>
      </c>
      <c r="AD54" s="560">
        <f t="shared" si="26"/>
        <v>0</v>
      </c>
      <c r="AE54" s="239">
        <f>IF($I$2="DRT",VLOOKUP(A54,'Misc. Data &amp; Mechanisms'!$A$1483:$H$1574,8,FALSE),AQ54)</f>
        <v>8.4000000000000005E-2</v>
      </c>
      <c r="AF54" s="560">
        <f t="shared" si="18"/>
        <v>2.6040000000000001</v>
      </c>
      <c r="AG54" s="292"/>
      <c r="AH54" s="516">
        <f t="shared" si="19"/>
        <v>0</v>
      </c>
      <c r="AI54" s="517">
        <f>5%</f>
        <v>0.05</v>
      </c>
      <c r="AJ54" s="352">
        <f>'Misc. Data &amp; Mechanisms'!AN327</f>
        <v>15.788964477392257</v>
      </c>
      <c r="AK54" s="441">
        <f>'Misc. Data &amp; Mechanisms'!AQ327</f>
        <v>19.973805123316573</v>
      </c>
      <c r="AL54" s="441">
        <f>'Misc. Data &amp; Mechanisms'!AC327</f>
        <v>15.58981233944856</v>
      </c>
      <c r="AM54" s="441">
        <f>'Misc. Data &amp; Mechanisms'!AD327</f>
        <v>9.9568209707505044</v>
      </c>
      <c r="AN54" s="1461">
        <f>'Misc. Data &amp; Mechanisms'!$B$260</f>
        <v>10.198990303636064</v>
      </c>
      <c r="AO54" s="243">
        <f>IFERROR(IF('Personalized Bill Menu'!$B$30="Yes", IF('Personalized Bill Menu'!$B$34="Natural Gas",VLOOKUP($A54, 'Personalized Bill Menu'!$H$4:$L$93, 2, FALSE), IF('Personalized Bill Menu'!$B$34="Both",VLOOKUP($A54,'Personalized Bill Menu'!$H$4:$P$93, 6, FALSE), 0)), 0),0)</f>
        <v>0</v>
      </c>
      <c r="AP54" s="1345">
        <f>IFERROR(IF('Personalized Bill Menu'!$C$37="Custom", IF('Personalized Bill Menu'!$B$34="Natural Gas",VLOOKUP($A54, 'Personalized Bill Menu'!$H$4:$L$93, 3, FALSE), IF('Personalized Bill Menu'!$B$34="Both",VLOOKUP($A54,'Personalized Bill Menu'!$H$4:$P$93, 7, FALSE), 0)), 0),0)</f>
        <v>0</v>
      </c>
      <c r="AQ54" s="1346">
        <f>IFERROR(IF('Personalized Bill Menu'!$C$37="Custom", IF('Personalized Bill Menu'!$B$34="Natural Gas",VLOOKUP($A54, 'Personalized Bill Menu'!$H$4:$L$93, 4, FALSE), IF('Personalized Bill Menu'!$B$34="Both",VLOOKUP($A54,'Personalized Bill Menu'!$H$4:$P$93, 8, FALSE), 0)), 0),0)</f>
        <v>0</v>
      </c>
      <c r="AR54" s="468"/>
      <c r="AS54" s="468"/>
      <c r="AT54" s="468"/>
    </row>
    <row r="55" spans="1:46" s="469" customFormat="1" x14ac:dyDescent="0.35">
      <c r="A55" s="498">
        <v>42370</v>
      </c>
      <c r="B55" s="499">
        <f t="shared" si="8"/>
        <v>31</v>
      </c>
      <c r="C55" s="212">
        <f t="shared" si="9"/>
        <v>22.926260024509698</v>
      </c>
      <c r="D55" s="353">
        <f t="shared" si="10"/>
        <v>6.4329437712923472</v>
      </c>
      <c r="E55" s="353">
        <f>(1+$AI55)*IF(AND('Service Zone Menu'!$X$5="Athabasca", $A55&lt;DATE(2019, 5, 1)),((1+$T55+$U55)*($N55+((1+$X55+$Y55)*$P55)+$Z55+$AA55)) + $AG55,((1+$U55)*($N55+((1+$X55+$Y55)*$P55)+$Z55+$AA55))+($T55*(((1+$X55+$Y55)*$P55)+$Z55+$AA55)) + $AG55)</f>
        <v>4.4446764400500003</v>
      </c>
      <c r="F55" s="500">
        <f t="shared" si="0"/>
        <v>147.48334162369841</v>
      </c>
      <c r="G55" s="501">
        <f t="shared" si="11"/>
        <v>37.69077148029394</v>
      </c>
      <c r="H55" s="502">
        <f t="shared" si="1"/>
        <v>82.247511028357636</v>
      </c>
      <c r="I55" s="502">
        <f t="shared" si="12"/>
        <v>12.278182881222266</v>
      </c>
      <c r="J55" s="502">
        <f t="shared" si="13"/>
        <v>5.6398599660293858</v>
      </c>
      <c r="K55" s="502">
        <f t="shared" si="14"/>
        <v>2.6040000000000001</v>
      </c>
      <c r="L55" s="502">
        <f t="shared" si="15"/>
        <v>0</v>
      </c>
      <c r="M55" s="503">
        <f t="shared" si="16"/>
        <v>7.0230162677951631</v>
      </c>
      <c r="N55" s="273">
        <f>IF($I$2="DRT",VLOOKUP(A55,'Misc. Data &amp; Mechanisms'!$A$1381:$D$1471,4,FALSE),AP55)</f>
        <v>1.6439999999999999</v>
      </c>
      <c r="O55" s="555">
        <f t="shared" si="20"/>
        <v>37.69077148029394</v>
      </c>
      <c r="P55" s="431">
        <v>1.9730000000000001</v>
      </c>
      <c r="Q55" s="288">
        <v>1.194</v>
      </c>
      <c r="R55" s="433">
        <f t="shared" si="21"/>
        <v>45.23351102835764</v>
      </c>
      <c r="S55" s="433">
        <f t="shared" si="22"/>
        <v>37.013999999999996</v>
      </c>
      <c r="T55" s="391">
        <f>VLOOKUP($A55,'Misc. Data &amp; Mechanisms'!$A$63:$DY$152,HLOOKUP('Service Zone Menu'!$X$5&amp;"_AltaGas_NG_Y_1",'Misc. Data &amp; Mechanisms'!$A$55:$DY$62,8,FALSE), FALSE)</f>
        <v>0.06</v>
      </c>
      <c r="U55" s="205">
        <f>VLOOKUP($A55,'Misc. Data &amp; Mechanisms'!$A$63:$DY$152,HLOOKUP('Service Zone Menu'!$X$5&amp;"_AltaGas_NG_Y_2",'Misc. Data &amp; Mechanisms'!$A$55:$DY$62,8,FALSE), FALSE)</f>
        <v>3.5786999999999999E-2</v>
      </c>
      <c r="V55" s="433">
        <f>IF(AND('Service Zone Menu'!$X$5="Athabasca", $A55&lt;DATE(2019, 5, 1)),$T55*($G55+$H55+$J55+$K55),$T55*($H55+$J55+$K55))</f>
        <v>7.6909285484808585</v>
      </c>
      <c r="W55" s="556">
        <f t="shared" si="23"/>
        <v>4.5872543327414075</v>
      </c>
      <c r="X55" s="389"/>
      <c r="Y55" s="222"/>
      <c r="Z55" s="288">
        <v>0.246</v>
      </c>
      <c r="AA55" s="288"/>
      <c r="AB55" s="504">
        <f t="shared" si="24"/>
        <v>0</v>
      </c>
      <c r="AC55" s="504">
        <f t="shared" si="25"/>
        <v>5.6398599660293858</v>
      </c>
      <c r="AD55" s="557">
        <f t="shared" si="26"/>
        <v>0</v>
      </c>
      <c r="AE55" s="200">
        <f>IF($I$2="DRT",VLOOKUP(A55,'Misc. Data &amp; Mechanisms'!$A$1483:$H$1574,8,FALSE),AQ55)</f>
        <v>8.4000000000000005E-2</v>
      </c>
      <c r="AF55" s="557">
        <f t="shared" si="18"/>
        <v>2.6040000000000001</v>
      </c>
      <c r="AG55" s="286"/>
      <c r="AH55" s="506">
        <f t="shared" si="19"/>
        <v>0</v>
      </c>
      <c r="AI55" s="507">
        <f>5%</f>
        <v>0.05</v>
      </c>
      <c r="AJ55" s="359">
        <f>'Misc. Data &amp; Mechanisms'!AN328</f>
        <v>23.219131651154033</v>
      </c>
      <c r="AK55" s="434">
        <f>'Misc. Data &amp; Mechanisms'!AQ328</f>
        <v>19.784535093903379</v>
      </c>
      <c r="AL55" s="434">
        <f>'Misc. Data &amp; Mechanisms'!AC328</f>
        <v>22.926260024509698</v>
      </c>
      <c r="AM55" s="434">
        <f>'Misc. Data &amp; Mechanisms'!AD328</f>
        <v>14.642425554751197</v>
      </c>
      <c r="AN55" s="1462">
        <f>'Misc. Data &amp; Mechanisms'!$B$260</f>
        <v>10.198990303636064</v>
      </c>
      <c r="AO55" s="197">
        <f>IFERROR(IF('Personalized Bill Menu'!$B$30="Yes", IF('Personalized Bill Menu'!$B$34="Natural Gas",VLOOKUP($A55, 'Personalized Bill Menu'!$H$4:$L$93, 2, FALSE), IF('Personalized Bill Menu'!$B$34="Both",VLOOKUP($A55,'Personalized Bill Menu'!$H$4:$P$93, 6, FALSE), 0)), 0),0)</f>
        <v>0</v>
      </c>
      <c r="AP55" s="1343">
        <f>IFERROR(IF('Personalized Bill Menu'!$C$37="Custom", IF('Personalized Bill Menu'!$B$34="Natural Gas",VLOOKUP($A55, 'Personalized Bill Menu'!$H$4:$L$93, 3, FALSE), IF('Personalized Bill Menu'!$B$34="Both",VLOOKUP($A55,'Personalized Bill Menu'!$H$4:$P$93, 7, FALSE), 0)), 0),0)</f>
        <v>0</v>
      </c>
      <c r="AQ55" s="1344">
        <f>IFERROR(IF('Personalized Bill Menu'!$C$37="Custom", IF('Personalized Bill Menu'!$B$34="Natural Gas",VLOOKUP($A55, 'Personalized Bill Menu'!$H$4:$L$93, 4, FALSE), IF('Personalized Bill Menu'!$B$34="Both",VLOOKUP($A55,'Personalized Bill Menu'!$H$4:$P$93, 8, FALSE), 0)), 0),0)</f>
        <v>0</v>
      </c>
      <c r="AR55" s="468"/>
      <c r="AS55" s="468"/>
      <c r="AT55" s="468"/>
    </row>
    <row r="56" spans="1:46" s="469" customFormat="1" x14ac:dyDescent="0.35">
      <c r="A56" s="496">
        <v>42401</v>
      </c>
      <c r="B56" s="497">
        <f t="shared" si="8"/>
        <v>29</v>
      </c>
      <c r="C56" s="1581">
        <f t="shared" si="9"/>
        <v>18.534242924065573</v>
      </c>
      <c r="D56" s="66">
        <f t="shared" si="10"/>
        <v>7.2102593543039655</v>
      </c>
      <c r="E56" s="66">
        <f>(1+$AI56)*IF(AND('Service Zone Menu'!$X$5="Athabasca", $A56&lt;DATE(2019, 5, 1)),((1+$T56+$U56)*($N56+((1+$X56+$Y56)*$P56)+$Z56+$AA56)) + $AG56,((1+$U56)*($N56+((1+$X56+$Y56)*$P56)+$Z56+$AA56))+($T56*(((1+$X56+$Y56)*$P56)+$Z56+$AA56)) + $AG56)</f>
        <v>4.9095092854499995</v>
      </c>
      <c r="F56" s="488">
        <f t="shared" si="0"/>
        <v>133.63669841818589</v>
      </c>
      <c r="G56" s="489">
        <f t="shared" si="11"/>
        <v>37.253828277371795</v>
      </c>
      <c r="H56" s="490">
        <f t="shared" si="1"/>
        <v>71.194061289181377</v>
      </c>
      <c r="I56" s="490">
        <f t="shared" si="12"/>
        <v>11.125431555570191</v>
      </c>
      <c r="J56" s="490">
        <f t="shared" si="13"/>
        <v>5.2637249904346222</v>
      </c>
      <c r="K56" s="490">
        <f t="shared" si="14"/>
        <v>2.4359999999999999</v>
      </c>
      <c r="L56" s="490">
        <f t="shared" si="15"/>
        <v>0</v>
      </c>
      <c r="M56" s="491">
        <f t="shared" si="16"/>
        <v>6.3636523056278991</v>
      </c>
      <c r="N56" s="273">
        <f>IF($I$2="DRT",VLOOKUP(A56,'Misc. Data &amp; Mechanisms'!$A$1381:$D$1471,4,FALSE),AP56)</f>
        <v>2.0099999999999998</v>
      </c>
      <c r="O56" s="552">
        <f t="shared" si="20"/>
        <v>37.253828277371795</v>
      </c>
      <c r="P56" s="387">
        <v>1.9730000000000001</v>
      </c>
      <c r="Q56" s="278">
        <v>1.194</v>
      </c>
      <c r="R56" s="425">
        <f t="shared" si="21"/>
        <v>36.568061289181379</v>
      </c>
      <c r="S56" s="425">
        <f t="shared" si="22"/>
        <v>34.625999999999998</v>
      </c>
      <c r="T56" s="391">
        <f>VLOOKUP($A56,'Misc. Data &amp; Mechanisms'!$A$63:$DY$152,HLOOKUP('Service Zone Menu'!$X$5&amp;"_AltaGas_NG_Y_1",'Misc. Data &amp; Mechanisms'!$A$55:$DY$62,8,FALSE), FALSE)</f>
        <v>0.06</v>
      </c>
      <c r="U56" s="205">
        <f>VLOOKUP($A56,'Misc. Data &amp; Mechanisms'!$A$63:$DY$152,HLOOKUP('Service Zone Menu'!$X$5&amp;"_AltaGas_NG_Y_2",'Misc. Data &amp; Mechanisms'!$A$55:$DY$62,8,FALSE), FALSE)</f>
        <v>3.5786999999999999E-2</v>
      </c>
      <c r="V56" s="425">
        <f>IF(AND('Service Zone Menu'!$X$5="Athabasca", $A56&lt;DATE(2019, 5, 1)),$T56*($G56+$H56+$J56+$K56),$T56*($H56+$J56+$K56))</f>
        <v>6.9688568734192682</v>
      </c>
      <c r="W56" s="553">
        <f t="shared" si="23"/>
        <v>4.1565746821509224</v>
      </c>
      <c r="X56" s="391"/>
      <c r="Y56" s="205"/>
      <c r="Z56" s="278">
        <v>0.28399999999999997</v>
      </c>
      <c r="AA56" s="278"/>
      <c r="AB56" s="492">
        <f t="shared" si="24"/>
        <v>0</v>
      </c>
      <c r="AC56" s="492">
        <f t="shared" si="25"/>
        <v>5.2637249904346222</v>
      </c>
      <c r="AD56" s="554">
        <f t="shared" si="26"/>
        <v>0</v>
      </c>
      <c r="AE56" s="200">
        <f>IF($I$2="DRT",VLOOKUP(A56,'Misc. Data &amp; Mechanisms'!$A$1483:$H$1574,8,FALSE),AQ56)</f>
        <v>8.4000000000000005E-2</v>
      </c>
      <c r="AF56" s="554">
        <f t="shared" si="18"/>
        <v>2.4359999999999999</v>
      </c>
      <c r="AG56" s="290"/>
      <c r="AH56" s="494">
        <f t="shared" si="19"/>
        <v>0</v>
      </c>
      <c r="AI56" s="495">
        <f>5%</f>
        <v>0.05</v>
      </c>
      <c r="AJ56" s="341">
        <f>'Misc. Data &amp; Mechanisms'!AN329</f>
        <v>18.771008705662279</v>
      </c>
      <c r="AK56" s="424">
        <f>'Misc. Data &amp; Mechanisms'!AQ329</f>
        <v>14.532611712925958</v>
      </c>
      <c r="AL56" s="424">
        <f>'Misc. Data &amp; Mechanisms'!AC329</f>
        <v>18.534242924065573</v>
      </c>
      <c r="AM56" s="424">
        <f>'Misc. Data &amp; Mechanisms'!AD329</f>
        <v>11.837354716345985</v>
      </c>
      <c r="AN56" s="1460">
        <f>'Misc. Data &amp; Mechanisms'!$B$260</f>
        <v>10.198990303636064</v>
      </c>
      <c r="AO56" s="197">
        <f>IFERROR(IF('Personalized Bill Menu'!$B$30="Yes", IF('Personalized Bill Menu'!$B$34="Natural Gas",VLOOKUP($A56, 'Personalized Bill Menu'!$H$4:$L$93, 2, FALSE), IF('Personalized Bill Menu'!$B$34="Both",VLOOKUP($A56,'Personalized Bill Menu'!$H$4:$P$93, 6, FALSE), 0)), 0),0)</f>
        <v>0</v>
      </c>
      <c r="AP56" s="1343">
        <f>IFERROR(IF('Personalized Bill Menu'!$C$37="Custom", IF('Personalized Bill Menu'!$B$34="Natural Gas",VLOOKUP($A56, 'Personalized Bill Menu'!$H$4:$L$93, 3, FALSE), IF('Personalized Bill Menu'!$B$34="Both",VLOOKUP($A56,'Personalized Bill Menu'!$H$4:$P$93, 7, FALSE), 0)), 0),0)</f>
        <v>0</v>
      </c>
      <c r="AQ56" s="1344">
        <f>IFERROR(IF('Personalized Bill Menu'!$C$37="Custom", IF('Personalized Bill Menu'!$B$34="Natural Gas",VLOOKUP($A56, 'Personalized Bill Menu'!$H$4:$L$93, 4, FALSE), IF('Personalized Bill Menu'!$B$34="Both",VLOOKUP($A56,'Personalized Bill Menu'!$H$4:$P$93, 8, FALSE), 0)), 0),0)</f>
        <v>0</v>
      </c>
      <c r="AR56" s="468"/>
      <c r="AS56" s="468"/>
      <c r="AT56" s="468"/>
    </row>
    <row r="57" spans="1:46" s="469" customFormat="1" x14ac:dyDescent="0.35">
      <c r="A57" s="496">
        <v>42430</v>
      </c>
      <c r="B57" s="497">
        <f t="shared" si="8"/>
        <v>31</v>
      </c>
      <c r="C57" s="1581">
        <f t="shared" si="9"/>
        <v>14.595395349781855</v>
      </c>
      <c r="D57" s="66">
        <f t="shared" si="10"/>
        <v>7.0512125098533724</v>
      </c>
      <c r="E57" s="66">
        <f>(1+$AI57)*IF(AND('Service Zone Menu'!$X$5="Athabasca", $A57&lt;DATE(2019, 5, 1)),((1+$T57+$U57)*($N57+((1+$X57+$Y57)*$P57)+$Z57+$AA57)) + $AG57,((1+$U57)*($N57+((1+$X57+$Y57)*$P57)+$Z57+$AA57))+($T57*(((1+$X57+$Y57)*$P57)+$Z57+$AA57)) + $AG57)</f>
        <v>3.9280676589000003</v>
      </c>
      <c r="F57" s="488">
        <f t="shared" si="0"/>
        <v>102.91523427663755</v>
      </c>
      <c r="G57" s="489">
        <f t="shared" si="11"/>
        <v>16.434415163854368</v>
      </c>
      <c r="H57" s="490">
        <f t="shared" si="1"/>
        <v>65.810715025119592</v>
      </c>
      <c r="I57" s="490">
        <f t="shared" si="12"/>
        <v>8.5678291107376587</v>
      </c>
      <c r="J57" s="490">
        <f t="shared" si="13"/>
        <v>4.5975495351812841</v>
      </c>
      <c r="K57" s="490">
        <f t="shared" si="14"/>
        <v>2.6040000000000001</v>
      </c>
      <c r="L57" s="490">
        <f t="shared" si="15"/>
        <v>0</v>
      </c>
      <c r="M57" s="491">
        <f t="shared" si="16"/>
        <v>4.9007254417446457</v>
      </c>
      <c r="N57" s="273">
        <f>IF($I$2="DRT",VLOOKUP(A57,'Misc. Data &amp; Mechanisms'!$A$1381:$D$1471,4,FALSE),AP57)</f>
        <v>1.1259999999999999</v>
      </c>
      <c r="O57" s="552">
        <f t="shared" si="20"/>
        <v>16.434415163854368</v>
      </c>
      <c r="P57" s="387">
        <v>1.9730000000000001</v>
      </c>
      <c r="Q57" s="278">
        <v>1.194</v>
      </c>
      <c r="R57" s="425">
        <f t="shared" si="21"/>
        <v>28.7967150251196</v>
      </c>
      <c r="S57" s="425">
        <f t="shared" si="22"/>
        <v>37.013999999999996</v>
      </c>
      <c r="T57" s="391">
        <f>VLOOKUP($A57,'Misc. Data &amp; Mechanisms'!$A$63:$DY$152,HLOOKUP('Service Zone Menu'!$X$5&amp;"_AltaGas_NG_Y_1",'Misc. Data &amp; Mechanisms'!$A$55:$DY$62,8,FALSE), FALSE)</f>
        <v>0.06</v>
      </c>
      <c r="U57" s="205">
        <f>VLOOKUP($A57,'Misc. Data &amp; Mechanisms'!$A$63:$DY$152,HLOOKUP('Service Zone Menu'!$X$5&amp;"_AltaGas_NG_Y_2",'Misc. Data &amp; Mechanisms'!$A$55:$DY$62,8,FALSE), FALSE)</f>
        <v>3.5786999999999999E-2</v>
      </c>
      <c r="V57" s="425">
        <f>IF(AND('Service Zone Menu'!$X$5="Athabasca", $A57&lt;DATE(2019, 5, 1)),$T57*($G57+$H57+$J57+$K57),$T57*($H57+$J57+$K57))</f>
        <v>5.3668007834493148</v>
      </c>
      <c r="W57" s="553">
        <f t="shared" si="23"/>
        <v>3.2010283272883435</v>
      </c>
      <c r="X57" s="391"/>
      <c r="Y57" s="205"/>
      <c r="Z57" s="278">
        <v>0.315</v>
      </c>
      <c r="AA57" s="278"/>
      <c r="AB57" s="492">
        <f t="shared" si="24"/>
        <v>0</v>
      </c>
      <c r="AC57" s="492">
        <f t="shared" si="25"/>
        <v>4.5975495351812841</v>
      </c>
      <c r="AD57" s="554">
        <f t="shared" si="26"/>
        <v>0</v>
      </c>
      <c r="AE57" s="200">
        <f>IF($I$2="DRT",VLOOKUP(A57,'Misc. Data &amp; Mechanisms'!$A$1483:$H$1574,8,FALSE),AQ57)</f>
        <v>8.4000000000000005E-2</v>
      </c>
      <c r="AF57" s="554">
        <f t="shared" si="18"/>
        <v>2.6040000000000001</v>
      </c>
      <c r="AG57" s="290"/>
      <c r="AH57" s="494">
        <f t="shared" si="19"/>
        <v>0</v>
      </c>
      <c r="AI57" s="495">
        <f>5%</f>
        <v>0.05</v>
      </c>
      <c r="AJ57" s="341">
        <f>'Misc. Data &amp; Mechanisms'!AN330</f>
        <v>14.781844302774536</v>
      </c>
      <c r="AK57" s="424">
        <f>'Misc. Data &amp; Mechanisms'!AQ330</f>
        <v>13.124025870796624</v>
      </c>
      <c r="AL57" s="424">
        <f>'Misc. Data &amp; Mechanisms'!AC330</f>
        <v>14.595395349781855</v>
      </c>
      <c r="AM57" s="424">
        <f>'Misc. Data &amp; Mechanisms'!AD330</f>
        <v>9.3217118545663471</v>
      </c>
      <c r="AN57" s="1460">
        <f>'Misc. Data &amp; Mechanisms'!$B$260</f>
        <v>10.198990303636064</v>
      </c>
      <c r="AO57" s="197">
        <f>IFERROR(IF('Personalized Bill Menu'!$B$30="Yes", IF('Personalized Bill Menu'!$B$34="Natural Gas",VLOOKUP($A57, 'Personalized Bill Menu'!$H$4:$L$93, 2, FALSE), IF('Personalized Bill Menu'!$B$34="Both",VLOOKUP($A57,'Personalized Bill Menu'!$H$4:$P$93, 6, FALSE), 0)), 0),0)</f>
        <v>0</v>
      </c>
      <c r="AP57" s="1343">
        <f>IFERROR(IF('Personalized Bill Menu'!$C$37="Custom", IF('Personalized Bill Menu'!$B$34="Natural Gas",VLOOKUP($A57, 'Personalized Bill Menu'!$H$4:$L$93, 3, FALSE), IF('Personalized Bill Menu'!$B$34="Both",VLOOKUP($A57,'Personalized Bill Menu'!$H$4:$P$93, 7, FALSE), 0)), 0),0)</f>
        <v>0</v>
      </c>
      <c r="AQ57" s="1344">
        <f>IFERROR(IF('Personalized Bill Menu'!$C$37="Custom", IF('Personalized Bill Menu'!$B$34="Natural Gas",VLOOKUP($A57, 'Personalized Bill Menu'!$H$4:$L$93, 4, FALSE), IF('Personalized Bill Menu'!$B$34="Both",VLOOKUP($A57,'Personalized Bill Menu'!$H$4:$P$93, 8, FALSE), 0)), 0),0)</f>
        <v>0</v>
      </c>
      <c r="AR57" s="468"/>
      <c r="AS57" s="468"/>
      <c r="AT57" s="468"/>
    </row>
    <row r="58" spans="1:46" s="469" customFormat="1" x14ac:dyDescent="0.35">
      <c r="A58" s="496">
        <v>42461</v>
      </c>
      <c r="B58" s="497">
        <f t="shared" si="8"/>
        <v>30</v>
      </c>
      <c r="C58" s="1581">
        <f t="shared" si="9"/>
        <v>12.41902579732613</v>
      </c>
      <c r="D58" s="66">
        <f t="shared" si="10"/>
        <v>7.9420383801115264</v>
      </c>
      <c r="E58" s="66">
        <f>(1+$AI58)*IF(AND('Service Zone Menu'!$X$5="Athabasca", $A58&lt;DATE(2019, 5, 1)),((1+$T58+$U58)*($N58+((1+$X58+$Y58)*$P58)+$Z58+$AA58)) + $AG58,((1+$U58)*($N58+((1+$X58+$Y58)*$P58)+$Z58+$AA58))+($T58*(((1+$X58+$Y58)*$P58)+$Z58+$AA58)) + $AG58)</f>
        <v>4.3757922936000009</v>
      </c>
      <c r="F58" s="488">
        <f t="shared" si="0"/>
        <v>98.63237952595928</v>
      </c>
      <c r="G58" s="489">
        <f t="shared" si="11"/>
        <v>14.642031415047509</v>
      </c>
      <c r="H58" s="490">
        <f t="shared" si="1"/>
        <v>60.322737898124458</v>
      </c>
      <c r="I58" s="490">
        <f t="shared" si="12"/>
        <v>8.5523298282612625</v>
      </c>
      <c r="J58" s="490">
        <f t="shared" si="13"/>
        <v>7.8985004070994185</v>
      </c>
      <c r="K58" s="490">
        <f t="shared" si="14"/>
        <v>2.52</v>
      </c>
      <c r="L58" s="490">
        <f t="shared" si="15"/>
        <v>0</v>
      </c>
      <c r="M58" s="491">
        <f t="shared" si="16"/>
        <v>4.6967799774266323</v>
      </c>
      <c r="N58" s="273">
        <f>IF($I$2="DRT",VLOOKUP(A58,'Misc. Data &amp; Mechanisms'!$A$1381:$D$1471,4,FALSE),AP58)</f>
        <v>1.179</v>
      </c>
      <c r="O58" s="552">
        <f t="shared" si="20"/>
        <v>14.642031415047509</v>
      </c>
      <c r="P58" s="387">
        <v>1.9730000000000001</v>
      </c>
      <c r="Q58" s="278">
        <v>1.194</v>
      </c>
      <c r="R58" s="425">
        <f t="shared" si="21"/>
        <v>24.502737898124455</v>
      </c>
      <c r="S58" s="425">
        <f t="shared" si="22"/>
        <v>35.82</v>
      </c>
      <c r="T58" s="391">
        <f>VLOOKUP($A58,'Misc. Data &amp; Mechanisms'!$A$63:$DY$152,HLOOKUP('Service Zone Menu'!$X$5&amp;"_AltaGas_NG_Y_1",'Misc. Data &amp; Mechanisms'!$A$55:$DY$62,8,FALSE), FALSE)</f>
        <v>0.06</v>
      </c>
      <c r="U58" s="205">
        <f>VLOOKUP($A58,'Misc. Data &amp; Mechanisms'!$A$63:$DY$152,HLOOKUP('Service Zone Menu'!$X$5&amp;"_AltaGas_NG_Y_2",'Misc. Data &amp; Mechanisms'!$A$55:$DY$62,8,FALSE), FALSE)</f>
        <v>4.0163999999999998E-2</v>
      </c>
      <c r="V58" s="425">
        <f>IF(AND('Service Zone Menu'!$X$5="Athabasca", $A58&lt;DATE(2019, 5, 1)),$T58*($G58+$H58+$J58+$K58),$T58*($H58+$J58+$K58))</f>
        <v>5.1229961832162827</v>
      </c>
      <c r="W58" s="553">
        <f t="shared" si="23"/>
        <v>3.4293336450449798</v>
      </c>
      <c r="X58" s="391"/>
      <c r="Y58" s="205"/>
      <c r="Z58" s="278">
        <v>0.63600000000000001</v>
      </c>
      <c r="AA58" s="278"/>
      <c r="AB58" s="492">
        <f t="shared" si="24"/>
        <v>0</v>
      </c>
      <c r="AC58" s="492">
        <f t="shared" si="25"/>
        <v>7.8985004070994185</v>
      </c>
      <c r="AD58" s="554">
        <f t="shared" si="26"/>
        <v>0</v>
      </c>
      <c r="AE58" s="200">
        <f>IF($I$2="DRT",VLOOKUP(A58,'Misc. Data &amp; Mechanisms'!$A$1483:$H$1574,8,FALSE),AQ58)</f>
        <v>8.4000000000000005E-2</v>
      </c>
      <c r="AF58" s="554">
        <f t="shared" si="18"/>
        <v>2.52</v>
      </c>
      <c r="AG58" s="290"/>
      <c r="AH58" s="494">
        <f t="shared" si="19"/>
        <v>0</v>
      </c>
      <c r="AI58" s="495">
        <f>5%</f>
        <v>0.05</v>
      </c>
      <c r="AJ58" s="341">
        <f>'Misc. Data &amp; Mechanisms'!AN331</f>
        <v>12.57767270627301</v>
      </c>
      <c r="AK58" s="424">
        <f>'Misc. Data &amp; Mechanisms'!AQ331</f>
        <v>7.6471624167395547</v>
      </c>
      <c r="AL58" s="424">
        <f>'Misc. Data &amp; Mechanisms'!AC331</f>
        <v>12.41902579732613</v>
      </c>
      <c r="AM58" s="424">
        <f>'Misc. Data &amp; Mechanisms'!AD331</f>
        <v>7.9317193692071211</v>
      </c>
      <c r="AN58" s="1460">
        <f>'Misc. Data &amp; Mechanisms'!$B$260</f>
        <v>10.198990303636064</v>
      </c>
      <c r="AO58" s="197">
        <f>IFERROR(IF('Personalized Bill Menu'!$B$30="Yes", IF('Personalized Bill Menu'!$B$34="Natural Gas",VLOOKUP($A58, 'Personalized Bill Menu'!$H$4:$L$93, 2, FALSE), IF('Personalized Bill Menu'!$B$34="Both",VLOOKUP($A58,'Personalized Bill Menu'!$H$4:$P$93, 6, FALSE), 0)), 0),0)</f>
        <v>0</v>
      </c>
      <c r="AP58" s="1343">
        <f>IFERROR(IF('Personalized Bill Menu'!$C$37="Custom", IF('Personalized Bill Menu'!$B$34="Natural Gas",VLOOKUP($A58, 'Personalized Bill Menu'!$H$4:$L$93, 3, FALSE), IF('Personalized Bill Menu'!$B$34="Both",VLOOKUP($A58,'Personalized Bill Menu'!$H$4:$P$93, 7, FALSE), 0)), 0),0)</f>
        <v>0</v>
      </c>
      <c r="AQ58" s="1344">
        <f>IFERROR(IF('Personalized Bill Menu'!$C$37="Custom", IF('Personalized Bill Menu'!$B$34="Natural Gas",VLOOKUP($A58, 'Personalized Bill Menu'!$H$4:$L$93, 4, FALSE), IF('Personalized Bill Menu'!$B$34="Both",VLOOKUP($A58,'Personalized Bill Menu'!$H$4:$P$93, 8, FALSE), 0)), 0),0)</f>
        <v>0</v>
      </c>
      <c r="AR58" s="468"/>
      <c r="AS58" s="468"/>
      <c r="AT58" s="468"/>
    </row>
    <row r="59" spans="1:46" s="469" customFormat="1" x14ac:dyDescent="0.35">
      <c r="A59" s="496">
        <v>42491</v>
      </c>
      <c r="B59" s="497">
        <f t="shared" si="8"/>
        <v>31</v>
      </c>
      <c r="C59" s="1581">
        <f t="shared" si="9"/>
        <v>5.9255758498408371</v>
      </c>
      <c r="D59" s="66">
        <f t="shared" si="10"/>
        <v>12.673316201729913</v>
      </c>
      <c r="E59" s="66">
        <f>(1+$AI59)*IF(AND('Service Zone Menu'!$X$5="Athabasca", $A59&lt;DATE(2019, 5, 1)),((1+$T59+$U59)*($N59+((1+$X59+$Y59)*$P59)+$Z59+$AA59)) + $AG59,((1+$U59)*($N59+((1+$X59+$Y59)*$P59)+$Z59+$AA59))+($T59*(((1+$X59+$Y59)*$P59)+$Z59+$AA59)) + $AG59)</f>
        <v>4.9499128770000009</v>
      </c>
      <c r="F59" s="488">
        <f t="shared" si="0"/>
        <v>75.096696422367373</v>
      </c>
      <c r="G59" s="489">
        <f t="shared" si="11"/>
        <v>9.356484266898681</v>
      </c>
      <c r="H59" s="490">
        <f t="shared" si="1"/>
        <v>48.705161151735965</v>
      </c>
      <c r="I59" s="490">
        <f t="shared" si="12"/>
        <v>6.511570742829516</v>
      </c>
      <c r="J59" s="490">
        <f t="shared" si="13"/>
        <v>4.3434470979333337</v>
      </c>
      <c r="K59" s="490">
        <f t="shared" si="14"/>
        <v>2.6040000000000001</v>
      </c>
      <c r="L59" s="490">
        <f t="shared" si="15"/>
        <v>0</v>
      </c>
      <c r="M59" s="491">
        <f t="shared" si="16"/>
        <v>3.5760331629698747</v>
      </c>
      <c r="N59" s="273">
        <f>IF($I$2="DRT",VLOOKUP(A59,'Misc. Data &amp; Mechanisms'!$A$1381:$D$1471,4,FALSE),AP59)</f>
        <v>1.579</v>
      </c>
      <c r="O59" s="552">
        <f t="shared" ref="O59:O96" si="27">$N59*$C59</f>
        <v>9.356484266898681</v>
      </c>
      <c r="P59" s="387">
        <v>1.9730000000000001</v>
      </c>
      <c r="Q59" s="278">
        <v>1.194</v>
      </c>
      <c r="R59" s="425">
        <f t="shared" ref="R59:R96" si="28">$P59*$C59</f>
        <v>11.691161151735972</v>
      </c>
      <c r="S59" s="425">
        <f t="shared" ref="S59:S96" si="29">$Q59*$B59</f>
        <v>37.013999999999996</v>
      </c>
      <c r="T59" s="391">
        <f>VLOOKUP($A59,'Misc. Data &amp; Mechanisms'!$A$63:$DY$152,HLOOKUP('Service Zone Menu'!$X$5&amp;"_AltaGas_NG_Y_1",'Misc. Data &amp; Mechanisms'!$A$55:$DY$62,8,FALSE), FALSE)</f>
        <v>0.06</v>
      </c>
      <c r="U59" s="205">
        <f>VLOOKUP($A59,'Misc. Data &amp; Mechanisms'!$A$63:$DY$152,HLOOKUP('Service Zone Menu'!$X$5&amp;"_AltaGas_NG_Y_2",'Misc. Data &amp; Mechanisms'!$A$55:$DY$62,8,FALSE), FALSE)</f>
        <v>4.0163999999999998E-2</v>
      </c>
      <c r="V59" s="425">
        <f>IF(AND('Service Zone Menu'!$X$5="Athabasca", $A59&lt;DATE(2019, 5, 1)),$T59*($G59+$H59+$J59+$K59),$T59*($H59+$J59+$K59))</f>
        <v>3.9005455509940794</v>
      </c>
      <c r="W59" s="553">
        <f t="shared" si="23"/>
        <v>2.6110251918354366</v>
      </c>
      <c r="X59" s="391"/>
      <c r="Y59" s="205"/>
      <c r="Z59" s="278">
        <v>0.73299999999999998</v>
      </c>
      <c r="AA59" s="278"/>
      <c r="AB59" s="492">
        <f t="shared" si="24"/>
        <v>0</v>
      </c>
      <c r="AC59" s="492">
        <f t="shared" ref="AC59:AC96" si="30">$Z59*$C59</f>
        <v>4.3434470979333337</v>
      </c>
      <c r="AD59" s="554">
        <f t="shared" ref="AD59:AD96" si="31">$AA59*$C59</f>
        <v>0</v>
      </c>
      <c r="AE59" s="200">
        <f>IF($I$2="DRT",VLOOKUP(A59,'Misc. Data &amp; Mechanisms'!$A$1483:$H$1574,8,FALSE),AQ59)</f>
        <v>8.4000000000000005E-2</v>
      </c>
      <c r="AF59" s="554">
        <f t="shared" si="18"/>
        <v>2.6040000000000001</v>
      </c>
      <c r="AG59" s="290"/>
      <c r="AH59" s="494">
        <f t="shared" si="19"/>
        <v>0</v>
      </c>
      <c r="AI59" s="495">
        <f>5%</f>
        <v>0.05</v>
      </c>
      <c r="AJ59" s="341">
        <f>'Misc. Data &amp; Mechanisms'!AN332</f>
        <v>6.0012721490231709</v>
      </c>
      <c r="AK59" s="424">
        <f>'Misc. Data &amp; Mechanisms'!AQ332</f>
        <v>5.4568344952411101</v>
      </c>
      <c r="AL59" s="424">
        <f>'Misc. Data &amp; Mechanisms'!AC332</f>
        <v>5.9255758498408371</v>
      </c>
      <c r="AM59" s="424">
        <f>'Misc. Data &amp; Mechanisms'!AD332</f>
        <v>3.7845162341161909</v>
      </c>
      <c r="AN59" s="1460">
        <f>'Misc. Data &amp; Mechanisms'!$B$260</f>
        <v>10.198990303636064</v>
      </c>
      <c r="AO59" s="197">
        <f>IFERROR(IF('Personalized Bill Menu'!$B$30="Yes", IF('Personalized Bill Menu'!$B$34="Natural Gas",VLOOKUP($A59, 'Personalized Bill Menu'!$H$4:$L$93, 2, FALSE), IF('Personalized Bill Menu'!$B$34="Both",VLOOKUP($A59,'Personalized Bill Menu'!$H$4:$P$93, 6, FALSE), 0)), 0),0)</f>
        <v>0</v>
      </c>
      <c r="AP59" s="1343">
        <f>IFERROR(IF('Personalized Bill Menu'!$C$37="Custom", IF('Personalized Bill Menu'!$B$34="Natural Gas",VLOOKUP($A59, 'Personalized Bill Menu'!$H$4:$L$93, 3, FALSE), IF('Personalized Bill Menu'!$B$34="Both",VLOOKUP($A59,'Personalized Bill Menu'!$H$4:$P$93, 7, FALSE), 0)), 0),0)</f>
        <v>0</v>
      </c>
      <c r="AQ59" s="1344">
        <f>IFERROR(IF('Personalized Bill Menu'!$C$37="Custom", IF('Personalized Bill Menu'!$B$34="Natural Gas",VLOOKUP($A59, 'Personalized Bill Menu'!$H$4:$L$93, 4, FALSE), IF('Personalized Bill Menu'!$B$34="Both",VLOOKUP($A59,'Personalized Bill Menu'!$H$4:$P$93, 8, FALSE), 0)), 0),0)</f>
        <v>0</v>
      </c>
    </row>
    <row r="60" spans="1:46" s="469" customFormat="1" x14ac:dyDescent="0.35">
      <c r="A60" s="496">
        <v>42522</v>
      </c>
      <c r="B60" s="497">
        <f t="shared" si="8"/>
        <v>30</v>
      </c>
      <c r="C60" s="1581">
        <f t="shared" si="9"/>
        <v>4.3040468840022141</v>
      </c>
      <c r="D60" s="66">
        <f t="shared" si="10"/>
        <v>15.600479880451807</v>
      </c>
      <c r="E60" s="66">
        <f>(1+$AI60)*IF(AND('Service Zone Menu'!$X$5="Athabasca", $A60&lt;DATE(2019, 5, 1)),((1+$T60+$U60)*($N60+((1+$X60+$Y60)*$P60)+$Z60+$AA60)) + $AG60,((1+$U60)*($N60+((1+$X60+$Y60)*$P60)+$Z60+$AA60))+($T60*(((1+$X60+$Y60)*$P60)+$Z60+$AA60)) + $AG60)</f>
        <v>5.3103266034000018</v>
      </c>
      <c r="F60" s="488">
        <f t="shared" si="0"/>
        <v>67.145196818397835</v>
      </c>
      <c r="G60" s="489">
        <f t="shared" si="11"/>
        <v>7.9538786416360923</v>
      </c>
      <c r="H60" s="490">
        <f t="shared" si="1"/>
        <v>44.311884502136365</v>
      </c>
      <c r="I60" s="490">
        <f t="shared" si="12"/>
        <v>5.8221029679540424</v>
      </c>
      <c r="J60" s="490">
        <f t="shared" si="13"/>
        <v>3.3399403819857181</v>
      </c>
      <c r="K60" s="490">
        <f t="shared" si="14"/>
        <v>2.52</v>
      </c>
      <c r="L60" s="490">
        <f t="shared" si="15"/>
        <v>0</v>
      </c>
      <c r="M60" s="491">
        <f t="shared" si="16"/>
        <v>3.1973903246856117</v>
      </c>
      <c r="N60" s="273">
        <f>IF($I$2="DRT",VLOOKUP(A60,'Misc. Data &amp; Mechanisms'!$A$1381:$D$1471,4,FALSE),AP60)</f>
        <v>1.8480000000000001</v>
      </c>
      <c r="O60" s="552">
        <f t="shared" si="27"/>
        <v>7.9538786416360923</v>
      </c>
      <c r="P60" s="387">
        <v>1.9730000000000001</v>
      </c>
      <c r="Q60" s="278">
        <v>1.194</v>
      </c>
      <c r="R60" s="425">
        <f t="shared" si="28"/>
        <v>8.4918845021363687</v>
      </c>
      <c r="S60" s="425">
        <f t="shared" si="29"/>
        <v>35.82</v>
      </c>
      <c r="T60" s="391">
        <f>VLOOKUP($A60,'Misc. Data &amp; Mechanisms'!$A$63:$DY$152,HLOOKUP('Service Zone Menu'!$X$5&amp;"_AltaGas_NG_Y_1",'Misc. Data &amp; Mechanisms'!$A$55:$DY$62,8,FALSE), FALSE)</f>
        <v>0.06</v>
      </c>
      <c r="U60" s="205">
        <f>VLOOKUP($A60,'Misc. Data &amp; Mechanisms'!$A$63:$DY$152,HLOOKUP('Service Zone Menu'!$X$5&amp;"_AltaGas_NG_Y_2",'Misc. Data &amp; Mechanisms'!$A$55:$DY$62,8,FALSE), FALSE)</f>
        <v>4.0163999999999998E-2</v>
      </c>
      <c r="V60" s="425">
        <f>IF(AND('Service Zone Menu'!$X$5="Athabasca", $A60&lt;DATE(2019, 5, 1)),$T60*($G60+$H60+$J60+$K60),$T60*($H60+$J60+$K60))</f>
        <v>3.4875422115454908</v>
      </c>
      <c r="W60" s="553">
        <f t="shared" si="23"/>
        <v>2.3345607564085515</v>
      </c>
      <c r="X60" s="391"/>
      <c r="Y60" s="205"/>
      <c r="Z60" s="278">
        <v>0.77600000000000002</v>
      </c>
      <c r="AA60" s="278"/>
      <c r="AB60" s="492">
        <f t="shared" si="24"/>
        <v>0</v>
      </c>
      <c r="AC60" s="492">
        <f t="shared" si="30"/>
        <v>3.3399403819857181</v>
      </c>
      <c r="AD60" s="554">
        <f t="shared" si="31"/>
        <v>0</v>
      </c>
      <c r="AE60" s="200">
        <f>IF($I$2="DRT",VLOOKUP(A60,'Misc. Data &amp; Mechanisms'!$A$1483:$H$1574,8,FALSE),AQ60)</f>
        <v>8.4000000000000005E-2</v>
      </c>
      <c r="AF60" s="554">
        <f t="shared" si="18"/>
        <v>2.52</v>
      </c>
      <c r="AG60" s="290"/>
      <c r="AH60" s="494">
        <f t="shared" si="19"/>
        <v>0</v>
      </c>
      <c r="AI60" s="495">
        <f>5%</f>
        <v>0.05</v>
      </c>
      <c r="AJ60" s="341">
        <f>'Misc. Data &amp; Mechanisms'!AN333</f>
        <v>4.3590289530672779</v>
      </c>
      <c r="AK60" s="424">
        <f>'Misc. Data &amp; Mechanisms'!AQ333</f>
        <v>2.6768602994561568</v>
      </c>
      <c r="AL60" s="424">
        <f>'Misc. Data &amp; Mechanisms'!AC333</f>
        <v>4.3040468840022141</v>
      </c>
      <c r="AM60" s="424">
        <f>'Misc. Data &amp; Mechanisms'!AD333</f>
        <v>2.7488864741037964</v>
      </c>
      <c r="AN60" s="1460">
        <f>'Misc. Data &amp; Mechanisms'!$B$260</f>
        <v>10.198990303636064</v>
      </c>
      <c r="AO60" s="197">
        <f>IFERROR(IF('Personalized Bill Menu'!$B$30="Yes", IF('Personalized Bill Menu'!$B$34="Natural Gas",VLOOKUP($A60, 'Personalized Bill Menu'!$H$4:$L$93, 2, FALSE), IF('Personalized Bill Menu'!$B$34="Both",VLOOKUP($A60,'Personalized Bill Menu'!$H$4:$P$93, 6, FALSE), 0)), 0),0)</f>
        <v>0</v>
      </c>
      <c r="AP60" s="1343">
        <f>IFERROR(IF('Personalized Bill Menu'!$C$37="Custom", IF('Personalized Bill Menu'!$B$34="Natural Gas",VLOOKUP($A60, 'Personalized Bill Menu'!$H$4:$L$93, 3, FALSE), IF('Personalized Bill Menu'!$B$34="Both",VLOOKUP($A60,'Personalized Bill Menu'!$H$4:$P$93, 7, FALSE), 0)), 0),0)</f>
        <v>0</v>
      </c>
      <c r="AQ60" s="1344">
        <f>IFERROR(IF('Personalized Bill Menu'!$C$37="Custom", IF('Personalized Bill Menu'!$B$34="Natural Gas",VLOOKUP($A60, 'Personalized Bill Menu'!$H$4:$L$93, 4, FALSE), IF('Personalized Bill Menu'!$B$34="Both",VLOOKUP($A60,'Personalized Bill Menu'!$H$4:$P$93, 8, FALSE), 0)), 0),0)</f>
        <v>0</v>
      </c>
    </row>
    <row r="61" spans="1:46" s="469" customFormat="1" x14ac:dyDescent="0.35">
      <c r="A61" s="496">
        <v>42552</v>
      </c>
      <c r="B61" s="497">
        <f t="shared" si="8"/>
        <v>31</v>
      </c>
      <c r="C61" s="1581">
        <f t="shared" si="9"/>
        <v>2.48593570918458</v>
      </c>
      <c r="D61" s="66">
        <f t="shared" si="10"/>
        <v>26.239570446542544</v>
      </c>
      <c r="E61" s="66">
        <f>(1+$AI61)*IF(AND('Service Zone Menu'!$X$5="Athabasca", $A61&lt;DATE(2019, 5, 1)),((1+$T61+$U61)*($N61+((1+$X61+$Y61)*$P61)+$Z61+$AA61)) + $AG61,((1+$U61)*($N61+((1+$X61+$Y61)*$P61)+$Z61+$AA61))+($T61*(((1+$X61+$Y61)*$P61)+$Z61+$AA61)) + $AG61)</f>
        <v>7.8297571716000025</v>
      </c>
      <c r="F61" s="488">
        <f t="shared" si="0"/>
        <v>65.229885166724486</v>
      </c>
      <c r="G61" s="489">
        <f t="shared" si="11"/>
        <v>7.9699098836457631</v>
      </c>
      <c r="H61" s="490">
        <f t="shared" si="1"/>
        <v>41.918751154221169</v>
      </c>
      <c r="I61" s="490">
        <f t="shared" si="12"/>
        <v>5.6560279219321519</v>
      </c>
      <c r="J61" s="490">
        <f t="shared" si="13"/>
        <v>3.9750111989861434</v>
      </c>
      <c r="K61" s="490">
        <f t="shared" si="14"/>
        <v>2.6040000000000001</v>
      </c>
      <c r="L61" s="490">
        <f t="shared" si="15"/>
        <v>0</v>
      </c>
      <c r="M61" s="491">
        <f t="shared" si="16"/>
        <v>3.1061850079392617</v>
      </c>
      <c r="N61" s="273">
        <f>IF($I$2="DRT",VLOOKUP(A61,'Misc. Data &amp; Mechanisms'!$A$1381:$D$1471,4,FALSE),AP61)</f>
        <v>3.206</v>
      </c>
      <c r="O61" s="552">
        <f t="shared" si="27"/>
        <v>7.9699098836457631</v>
      </c>
      <c r="P61" s="387">
        <v>1.9730000000000001</v>
      </c>
      <c r="Q61" s="278">
        <v>1.194</v>
      </c>
      <c r="R61" s="425">
        <f t="shared" si="28"/>
        <v>4.9047511542211764</v>
      </c>
      <c r="S61" s="425">
        <f t="shared" si="29"/>
        <v>37.013999999999996</v>
      </c>
      <c r="T61" s="391">
        <f>VLOOKUP($A61,'Misc. Data &amp; Mechanisms'!$A$63:$DY$152,HLOOKUP('Service Zone Menu'!$X$5&amp;"_AltaGas_NG_Y_1",'Misc. Data &amp; Mechanisms'!$A$55:$DY$62,8,FALSE), FALSE)</f>
        <v>0.06</v>
      </c>
      <c r="U61" s="205">
        <f>VLOOKUP($A61,'Misc. Data &amp; Mechanisms'!$A$63:$DY$152,HLOOKUP('Service Zone Menu'!$X$5&amp;"_AltaGas_NG_Y_2",'Misc. Data &amp; Mechanisms'!$A$55:$DY$62,8,FALSE), FALSE)</f>
        <v>4.0163999999999998E-2</v>
      </c>
      <c r="V61" s="425">
        <f>IF(AND('Service Zone Menu'!$X$5="Athabasca", $A61&lt;DATE(2019, 5, 1)),$T61*($G61+$H61+$J61+$K61),$T61*($H61+$J61+$K61))</f>
        <v>3.3880603342111844</v>
      </c>
      <c r="W61" s="553">
        <f t="shared" si="23"/>
        <v>2.2679675877209671</v>
      </c>
      <c r="X61" s="391"/>
      <c r="Y61" s="205"/>
      <c r="Z61" s="278">
        <v>1.599</v>
      </c>
      <c r="AA61" s="278"/>
      <c r="AB61" s="492">
        <f t="shared" si="24"/>
        <v>0</v>
      </c>
      <c r="AC61" s="492">
        <f t="shared" si="30"/>
        <v>3.9750111989861434</v>
      </c>
      <c r="AD61" s="554">
        <f t="shared" si="31"/>
        <v>0</v>
      </c>
      <c r="AE61" s="200">
        <f>IF($I$2="DRT",VLOOKUP(A61,'Misc. Data &amp; Mechanisms'!$A$1483:$H$1574,8,FALSE),AQ61)</f>
        <v>8.4000000000000005E-2</v>
      </c>
      <c r="AF61" s="554">
        <f t="shared" si="18"/>
        <v>2.6040000000000001</v>
      </c>
      <c r="AG61" s="290"/>
      <c r="AH61" s="494">
        <f t="shared" si="19"/>
        <v>0</v>
      </c>
      <c r="AI61" s="495">
        <f>5%</f>
        <v>0.05</v>
      </c>
      <c r="AJ61" s="341">
        <f>'Misc. Data &amp; Mechanisms'!AN334</f>
        <v>2.5176923076923079</v>
      </c>
      <c r="AK61" s="424">
        <f>'Misc. Data &amp; Mechanisms'!AQ334</f>
        <v>2.1860170608535938</v>
      </c>
      <c r="AL61" s="424">
        <f>'Misc. Data &amp; Mechanisms'!AC334</f>
        <v>2.48593570918458</v>
      </c>
      <c r="AM61" s="424">
        <f>'Misc. Data &amp; Mechanisms'!AD334</f>
        <v>1.5877046023520047</v>
      </c>
      <c r="AN61" s="1460">
        <f>'Misc. Data &amp; Mechanisms'!$B$260</f>
        <v>10.198990303636064</v>
      </c>
      <c r="AO61" s="197">
        <f>IFERROR(IF('Personalized Bill Menu'!$B$30="Yes", IF('Personalized Bill Menu'!$B$34="Natural Gas",VLOOKUP($A61, 'Personalized Bill Menu'!$H$4:$L$93, 2, FALSE), IF('Personalized Bill Menu'!$B$34="Both",VLOOKUP($A61,'Personalized Bill Menu'!$H$4:$P$93, 6, FALSE), 0)), 0),0)</f>
        <v>0</v>
      </c>
      <c r="AP61" s="1343">
        <f>IFERROR(IF('Personalized Bill Menu'!$C$37="Custom", IF('Personalized Bill Menu'!$B$34="Natural Gas",VLOOKUP($A61, 'Personalized Bill Menu'!$H$4:$L$93, 3, FALSE), IF('Personalized Bill Menu'!$B$34="Both",VLOOKUP($A61,'Personalized Bill Menu'!$H$4:$P$93, 7, FALSE), 0)), 0),0)</f>
        <v>0</v>
      </c>
      <c r="AQ61" s="1344">
        <f>IFERROR(IF('Personalized Bill Menu'!$C$37="Custom", IF('Personalized Bill Menu'!$B$34="Natural Gas",VLOOKUP($A61, 'Personalized Bill Menu'!$H$4:$L$93, 4, FALSE), IF('Personalized Bill Menu'!$B$34="Both",VLOOKUP($A61,'Personalized Bill Menu'!$H$4:$P$93, 8, FALSE), 0)), 0),0)</f>
        <v>0</v>
      </c>
    </row>
    <row r="62" spans="1:46" s="469" customFormat="1" x14ac:dyDescent="0.35">
      <c r="A62" s="496">
        <v>42583</v>
      </c>
      <c r="B62" s="497">
        <f t="shared" si="8"/>
        <v>31</v>
      </c>
      <c r="C62" s="1581">
        <f t="shared" si="9"/>
        <v>2.1873362767239763</v>
      </c>
      <c r="D62" s="66">
        <f t="shared" si="10"/>
        <v>27.968383956305399</v>
      </c>
      <c r="E62" s="66">
        <f>(1+$AI62)*IF(AND('Service Zone Menu'!$X$5="Athabasca", $A62&lt;DATE(2019, 5, 1)),((1+$T62+$U62)*($N62+((1+$X62+$Y62)*$P62)+$Z62+$AA62)) + $AG62,((1+$U62)*($N62+((1+$X62+$Y62)*$P62)+$Z62+$AA62))+($T62*(((1+$X62+$Y62)*$P62)+$Z62+$AA62)) + $AG62)</f>
        <v>7.045395247800001</v>
      </c>
      <c r="F62" s="488">
        <f t="shared" si="0"/>
        <v>61.176260828971643</v>
      </c>
      <c r="G62" s="489">
        <f t="shared" si="11"/>
        <v>6.7610564313538113</v>
      </c>
      <c r="H62" s="490">
        <f t="shared" si="1"/>
        <v>41.329614473976399</v>
      </c>
      <c r="I62" s="490">
        <f t="shared" si="12"/>
        <v>5.3045415996620378</v>
      </c>
      <c r="J62" s="490">
        <f t="shared" si="13"/>
        <v>2.2638930464093154</v>
      </c>
      <c r="K62" s="490">
        <f t="shared" si="14"/>
        <v>2.6040000000000001</v>
      </c>
      <c r="L62" s="490">
        <f t="shared" si="15"/>
        <v>0</v>
      </c>
      <c r="M62" s="491">
        <f t="shared" si="16"/>
        <v>2.9131552775700786</v>
      </c>
      <c r="N62" s="273">
        <f>IF($I$2="DRT",VLOOKUP(A62,'Misc. Data &amp; Mechanisms'!$A$1381:$D$1471,4,FALSE),AP62)</f>
        <v>3.0910000000000002</v>
      </c>
      <c r="O62" s="552">
        <f t="shared" si="27"/>
        <v>6.7610564313538113</v>
      </c>
      <c r="P62" s="387">
        <v>1.9730000000000001</v>
      </c>
      <c r="Q62" s="278">
        <v>1.194</v>
      </c>
      <c r="R62" s="425">
        <f t="shared" si="28"/>
        <v>4.3156144739764057</v>
      </c>
      <c r="S62" s="425">
        <f t="shared" si="29"/>
        <v>37.013999999999996</v>
      </c>
      <c r="T62" s="391">
        <f>VLOOKUP($A62,'Misc. Data &amp; Mechanisms'!$A$63:$DY$152,HLOOKUP('Service Zone Menu'!$X$5&amp;"_AltaGas_NG_Y_1",'Misc. Data &amp; Mechanisms'!$A$55:$DY$62,8,FALSE), FALSE)</f>
        <v>0.06</v>
      </c>
      <c r="U62" s="205">
        <f>VLOOKUP($A62,'Misc. Data &amp; Mechanisms'!$A$63:$DY$152,HLOOKUP('Service Zone Menu'!$X$5&amp;"_AltaGas_NG_Y_2",'Misc. Data &amp; Mechanisms'!$A$55:$DY$62,8,FALSE), FALSE)</f>
        <v>4.0163999999999998E-2</v>
      </c>
      <c r="V62" s="425">
        <f>IF(AND('Service Zone Menu'!$X$5="Athabasca", $A62&lt;DATE(2019, 5, 1)),$T62*($G62+$H62+$J62+$K62),$T62*($H62+$J62+$K62))</f>
        <v>3.1775138371043714</v>
      </c>
      <c r="W62" s="553">
        <f t="shared" si="23"/>
        <v>2.1270277625576663</v>
      </c>
      <c r="X62" s="391"/>
      <c r="Y62" s="205"/>
      <c r="Z62" s="278">
        <v>1.0349999999999999</v>
      </c>
      <c r="AA62" s="278"/>
      <c r="AB62" s="492">
        <f t="shared" si="24"/>
        <v>0</v>
      </c>
      <c r="AC62" s="492">
        <f t="shared" si="30"/>
        <v>2.2638930464093154</v>
      </c>
      <c r="AD62" s="554">
        <f t="shared" si="31"/>
        <v>0</v>
      </c>
      <c r="AE62" s="200">
        <f>IF($I$2="DRT",VLOOKUP(A62,'Misc. Data &amp; Mechanisms'!$A$1483:$H$1574,8,FALSE),AQ62)</f>
        <v>8.4000000000000005E-2</v>
      </c>
      <c r="AF62" s="554">
        <f t="shared" si="18"/>
        <v>2.6040000000000001</v>
      </c>
      <c r="AG62" s="290"/>
      <c r="AH62" s="494">
        <f t="shared" si="19"/>
        <v>0</v>
      </c>
      <c r="AI62" s="495">
        <f>5%</f>
        <v>0.05</v>
      </c>
      <c r="AJ62" s="341">
        <f>'Misc. Data &amp; Mechanisms'!AN335</f>
        <v>2.2152784152453688</v>
      </c>
      <c r="AK62" s="424">
        <f>'Misc. Data &amp; Mechanisms'!AQ335</f>
        <v>2.5135649155232058</v>
      </c>
      <c r="AL62" s="424">
        <f>'Misc. Data &amp; Mechanisms'!AC335</f>
        <v>2.1873362767239763</v>
      </c>
      <c r="AM62" s="424">
        <f>'Misc. Data &amp; Mechanisms'!AD335</f>
        <v>1.396996656275272</v>
      </c>
      <c r="AN62" s="1460">
        <f>'Misc. Data &amp; Mechanisms'!$B$260</f>
        <v>10.198990303636064</v>
      </c>
      <c r="AO62" s="197">
        <f>IFERROR(IF('Personalized Bill Menu'!$B$30="Yes", IF('Personalized Bill Menu'!$B$34="Natural Gas",VLOOKUP($A62, 'Personalized Bill Menu'!$H$4:$L$93, 2, FALSE), IF('Personalized Bill Menu'!$B$34="Both",VLOOKUP($A62,'Personalized Bill Menu'!$H$4:$P$93, 6, FALSE), 0)), 0),0)</f>
        <v>0</v>
      </c>
      <c r="AP62" s="1343">
        <f>IFERROR(IF('Personalized Bill Menu'!$C$37="Custom", IF('Personalized Bill Menu'!$B$34="Natural Gas",VLOOKUP($A62, 'Personalized Bill Menu'!$H$4:$L$93, 3, FALSE), IF('Personalized Bill Menu'!$B$34="Both",VLOOKUP($A62,'Personalized Bill Menu'!$H$4:$P$93, 7, FALSE), 0)), 0),0)</f>
        <v>0</v>
      </c>
      <c r="AQ62" s="1344">
        <f>IFERROR(IF('Personalized Bill Menu'!$C$37="Custom", IF('Personalized Bill Menu'!$B$34="Natural Gas",VLOOKUP($A62, 'Personalized Bill Menu'!$H$4:$L$93, 4, FALSE), IF('Personalized Bill Menu'!$B$34="Both",VLOOKUP($A62,'Personalized Bill Menu'!$H$4:$P$93, 8, FALSE), 0)), 0),0)</f>
        <v>0</v>
      </c>
    </row>
    <row r="63" spans="1:46" s="469" customFormat="1" x14ac:dyDescent="0.35">
      <c r="A63" s="496">
        <v>42614</v>
      </c>
      <c r="B63" s="497">
        <f t="shared" si="8"/>
        <v>30</v>
      </c>
      <c r="C63" s="1581">
        <f t="shared" si="9"/>
        <v>3.3783792457592083</v>
      </c>
      <c r="D63" s="66">
        <f t="shared" si="10"/>
        <v>19.100353099179625</v>
      </c>
      <c r="E63" s="66">
        <f>(1+$AI63)*IF(AND('Service Zone Menu'!$X$5="Athabasca", $A63&lt;DATE(2019, 5, 1)),((1+$T63+$U63)*($N63+((1+$X63+$Y63)*$P63)+$Z63+$AA63)) + $AG63,((1+$U63)*($N63+((1+$X63+$Y63)*$P63)+$Z63+$AA63))+($T63*(((1+$X63+$Y63)*$P63)+$Z63+$AA63)) + $AG63)</f>
        <v>5.9907230292000007</v>
      </c>
      <c r="F63" s="488">
        <f t="shared" si="0"/>
        <v>64.52823649694102</v>
      </c>
      <c r="G63" s="489">
        <f t="shared" si="11"/>
        <v>7.8378398501613624</v>
      </c>
      <c r="H63" s="490">
        <f t="shared" si="1"/>
        <v>42.485542251882919</v>
      </c>
      <c r="I63" s="490">
        <f t="shared" si="12"/>
        <v>5.5951885619127602</v>
      </c>
      <c r="J63" s="490">
        <f t="shared" si="13"/>
        <v>3.0168926664629732</v>
      </c>
      <c r="K63" s="490">
        <f t="shared" si="14"/>
        <v>2.52</v>
      </c>
      <c r="L63" s="490">
        <f t="shared" si="15"/>
        <v>0</v>
      </c>
      <c r="M63" s="491">
        <f t="shared" si="16"/>
        <v>3.0727731665210012</v>
      </c>
      <c r="N63" s="273">
        <f>IF($I$2="DRT",VLOOKUP(A63,'Misc. Data &amp; Mechanisms'!$A$1381:$D$1471,4,FALSE),AP63)</f>
        <v>2.3199999999999998</v>
      </c>
      <c r="O63" s="552">
        <f t="shared" si="27"/>
        <v>7.8378398501613624</v>
      </c>
      <c r="P63" s="387">
        <v>1.9730000000000001</v>
      </c>
      <c r="Q63" s="278">
        <v>1.194</v>
      </c>
      <c r="R63" s="425">
        <f t="shared" si="28"/>
        <v>6.6655422518829184</v>
      </c>
      <c r="S63" s="425">
        <f t="shared" si="29"/>
        <v>35.82</v>
      </c>
      <c r="T63" s="391">
        <f>VLOOKUP($A63,'Misc. Data &amp; Mechanisms'!$A$63:$DY$152,HLOOKUP('Service Zone Menu'!$X$5&amp;"_AltaGas_NG_Y_1",'Misc. Data &amp; Mechanisms'!$A$55:$DY$62,8,FALSE), FALSE)</f>
        <v>0.06</v>
      </c>
      <c r="U63" s="205">
        <f>VLOOKUP($A63,'Misc. Data &amp; Mechanisms'!$A$63:$DY$152,HLOOKUP('Service Zone Menu'!$X$5&amp;"_AltaGas_NG_Y_2",'Misc. Data &amp; Mechanisms'!$A$55:$DY$62,8,FALSE), FALSE)</f>
        <v>4.0163999999999998E-2</v>
      </c>
      <c r="V63" s="425">
        <f>IF(AND('Service Zone Menu'!$X$5="Athabasca", $A63&lt;DATE(2019, 5, 1)),$T63*($G63+$H63+$J63+$K63),$T63*($H63+$J63+$K63))</f>
        <v>3.3516164861104349</v>
      </c>
      <c r="W63" s="553">
        <f t="shared" si="23"/>
        <v>2.2435720758023252</v>
      </c>
      <c r="X63" s="391"/>
      <c r="Y63" s="205"/>
      <c r="Z63" s="278">
        <v>0.89300000000000002</v>
      </c>
      <c r="AA63" s="278"/>
      <c r="AB63" s="492">
        <f t="shared" si="24"/>
        <v>0</v>
      </c>
      <c r="AC63" s="492">
        <f t="shared" si="30"/>
        <v>3.0168926664629732</v>
      </c>
      <c r="AD63" s="554">
        <f t="shared" si="31"/>
        <v>0</v>
      </c>
      <c r="AE63" s="200">
        <f>IF($I$2="DRT",VLOOKUP(A63,'Misc. Data &amp; Mechanisms'!$A$1483:$H$1574,8,FALSE),AQ63)</f>
        <v>8.4000000000000005E-2</v>
      </c>
      <c r="AF63" s="554">
        <f t="shared" si="18"/>
        <v>2.52</v>
      </c>
      <c r="AG63" s="290"/>
      <c r="AH63" s="494">
        <f t="shared" si="19"/>
        <v>0</v>
      </c>
      <c r="AI63" s="495">
        <f>5%</f>
        <v>0.05</v>
      </c>
      <c r="AJ63" s="341">
        <f>'Misc. Data &amp; Mechanisms'!AN336</f>
        <v>3.4215363688167497</v>
      </c>
      <c r="AK63" s="424">
        <f>'Misc. Data &amp; Mechanisms'!AQ336</f>
        <v>5.0796030530108007</v>
      </c>
      <c r="AL63" s="424">
        <f>'Misc. Data &amp; Mechanisms'!AC336</f>
        <v>3.3783792457592083</v>
      </c>
      <c r="AM63" s="424">
        <f>'Misc. Data &amp; Mechanisms'!AD336</f>
        <v>2.1576858392455409</v>
      </c>
      <c r="AN63" s="1460">
        <f>'Misc. Data &amp; Mechanisms'!$B$260</f>
        <v>10.198990303636064</v>
      </c>
      <c r="AO63" s="197">
        <f>IFERROR(IF('Personalized Bill Menu'!$B$30="Yes", IF('Personalized Bill Menu'!$B$34="Natural Gas",VLOOKUP($A63, 'Personalized Bill Menu'!$H$4:$L$93, 2, FALSE), IF('Personalized Bill Menu'!$B$34="Both",VLOOKUP($A63,'Personalized Bill Menu'!$H$4:$P$93, 6, FALSE), 0)), 0),0)</f>
        <v>0</v>
      </c>
      <c r="AP63" s="1343">
        <f>IFERROR(IF('Personalized Bill Menu'!$C$37="Custom", IF('Personalized Bill Menu'!$B$34="Natural Gas",VLOOKUP($A63, 'Personalized Bill Menu'!$H$4:$L$93, 3, FALSE), IF('Personalized Bill Menu'!$B$34="Both",VLOOKUP($A63,'Personalized Bill Menu'!$H$4:$P$93, 7, FALSE), 0)), 0),0)</f>
        <v>0</v>
      </c>
      <c r="AQ63" s="1344">
        <f>IFERROR(IF('Personalized Bill Menu'!$C$37="Custom", IF('Personalized Bill Menu'!$B$34="Natural Gas",VLOOKUP($A63, 'Personalized Bill Menu'!$H$4:$L$93, 4, FALSE), IF('Personalized Bill Menu'!$B$34="Both",VLOOKUP($A63,'Personalized Bill Menu'!$H$4:$P$93, 8, FALSE), 0)), 0),0)</f>
        <v>0</v>
      </c>
    </row>
    <row r="64" spans="1:46" s="469" customFormat="1" x14ac:dyDescent="0.35">
      <c r="A64" s="496">
        <v>42644</v>
      </c>
      <c r="B64" s="497">
        <f t="shared" si="8"/>
        <v>31</v>
      </c>
      <c r="C64" s="1581">
        <f t="shared" si="9"/>
        <v>6.6397155509738068</v>
      </c>
      <c r="D64" s="66">
        <f t="shared" si="10"/>
        <v>13.240280204547378</v>
      </c>
      <c r="E64" s="66">
        <f>(1+$AI64)*IF(AND('Service Zone Menu'!$X$5="Athabasca", $A64&lt;DATE(2019, 5, 1)),((1+$T64+$U64)*($N64+((1+$X64+$Y64)*$P64)+$Z64+$AA64)) + $AG64,((1+$U64)*($N64+((1+$X64+$Y64)*$P64)+$Z64+$AA64))+($T64*(((1+$X64+$Y64)*$P64)+$Z64+$AA64)) + $AG64)</f>
        <v>5.9534659533367211</v>
      </c>
      <c r="F64" s="488">
        <f t="shared" si="0"/>
        <v>87.911694373383881</v>
      </c>
      <c r="G64" s="489">
        <f t="shared" si="11"/>
        <v>17.296459010286767</v>
      </c>
      <c r="H64" s="490">
        <f t="shared" si="1"/>
        <v>50.114158782071314</v>
      </c>
      <c r="I64" s="490">
        <f t="shared" si="12"/>
        <v>7.6227483272326175</v>
      </c>
      <c r="J64" s="490">
        <f t="shared" si="13"/>
        <v>6.0880570931558466</v>
      </c>
      <c r="K64" s="490">
        <f t="shared" si="14"/>
        <v>2.6040000000000001</v>
      </c>
      <c r="L64" s="490">
        <f t="shared" si="15"/>
        <v>0</v>
      </c>
      <c r="M64" s="491">
        <f t="shared" si="16"/>
        <v>4.186271160637328</v>
      </c>
      <c r="N64" s="273">
        <f>IF($I$2="DRT",VLOOKUP(A64,'Misc. Data &amp; Mechanisms'!$A$1381:$D$1471,4,FALSE),AP64)</f>
        <v>2.605</v>
      </c>
      <c r="O64" s="552">
        <f t="shared" si="27"/>
        <v>17.296459010286767</v>
      </c>
      <c r="P64" s="387">
        <v>1.9730000000000001</v>
      </c>
      <c r="Q64" s="278">
        <v>1.194</v>
      </c>
      <c r="R64" s="425">
        <f t="shared" si="28"/>
        <v>13.100158782071322</v>
      </c>
      <c r="S64" s="425">
        <f t="shared" si="29"/>
        <v>37.013999999999996</v>
      </c>
      <c r="T64" s="391">
        <f>VLOOKUP($A64,'Misc. Data &amp; Mechanisms'!$A$63:$DY$152,HLOOKUP('Service Zone Menu'!$X$5&amp;"_AltaGas_NG_Y_1",'Misc. Data &amp; Mechanisms'!$A$55:$DY$62,8,FALSE), FALSE)</f>
        <v>0.06</v>
      </c>
      <c r="U64" s="205">
        <f>VLOOKUP($A64,'Misc. Data &amp; Mechanisms'!$A$63:$DY$152,HLOOKUP('Service Zone Menu'!$X$5&amp;"_AltaGas_NG_Y_2",'Misc. Data &amp; Mechanisms'!$A$55:$DY$62,8,FALSE), FALSE)</f>
        <v>4.0163999999999998E-2</v>
      </c>
      <c r="V64" s="425">
        <f>IF(AND('Service Zone Menu'!$X$5="Athabasca", $A64&lt;DATE(2019, 5, 1)),$T64*($G64+$H64+$J64+$K64),$T64*($H64+$J64+$K64))</f>
        <v>4.5661604931308357</v>
      </c>
      <c r="W64" s="553">
        <f t="shared" si="23"/>
        <v>3.0565878341017814</v>
      </c>
      <c r="X64" s="391">
        <v>6.1199999999999997E-2</v>
      </c>
      <c r="Y64" s="205"/>
      <c r="Z64" s="296">
        <v>0.45500000000000002</v>
      </c>
      <c r="AA64" s="296"/>
      <c r="AB64" s="492">
        <f t="shared" si="24"/>
        <v>3.0669865174627642</v>
      </c>
      <c r="AC64" s="492">
        <f t="shared" si="30"/>
        <v>3.021070575693082</v>
      </c>
      <c r="AD64" s="554">
        <f t="shared" si="31"/>
        <v>0</v>
      </c>
      <c r="AE64" s="200">
        <f>IF($I$2="DRT",VLOOKUP(A64,'Misc. Data &amp; Mechanisms'!$A$1483:$H$1574,8,FALSE),AQ64)</f>
        <v>8.4000000000000005E-2</v>
      </c>
      <c r="AF64" s="554">
        <f t="shared" si="18"/>
        <v>2.6040000000000001</v>
      </c>
      <c r="AG64" s="290"/>
      <c r="AH64" s="494">
        <f t="shared" si="19"/>
        <v>0</v>
      </c>
      <c r="AI64" s="495">
        <f>5%</f>
        <v>0.05</v>
      </c>
      <c r="AJ64" s="341">
        <f>'Misc. Data &amp; Mechanisms'!AN337</f>
        <v>6.7245346314426877</v>
      </c>
      <c r="AK64" s="424">
        <f>'Misc. Data &amp; Mechanisms'!AQ337</f>
        <v>12.142386952783736</v>
      </c>
      <c r="AL64" s="424">
        <f>'Misc. Data &amp; Mechanisms'!AC337</f>
        <v>6.6397155509738068</v>
      </c>
      <c r="AM64" s="424">
        <f>'Misc. Data &amp; Mechanisms'!AD337</f>
        <v>4.24061929664592</v>
      </c>
      <c r="AN64" s="1460">
        <f>'Misc. Data &amp; Mechanisms'!$B$260</f>
        <v>10.198990303636064</v>
      </c>
      <c r="AO64" s="197">
        <f>IFERROR(IF('Personalized Bill Menu'!$B$30="Yes", IF('Personalized Bill Menu'!$B$34="Natural Gas",VLOOKUP($A64, 'Personalized Bill Menu'!$H$4:$L$93, 2, FALSE), IF('Personalized Bill Menu'!$B$34="Both",VLOOKUP($A64,'Personalized Bill Menu'!$H$4:$P$93, 6, FALSE), 0)), 0),0)</f>
        <v>0</v>
      </c>
      <c r="AP64" s="1343">
        <f>IFERROR(IF('Personalized Bill Menu'!$C$37="Custom", IF('Personalized Bill Menu'!$B$34="Natural Gas",VLOOKUP($A64, 'Personalized Bill Menu'!$H$4:$L$93, 3, FALSE), IF('Personalized Bill Menu'!$B$34="Both",VLOOKUP($A64,'Personalized Bill Menu'!$H$4:$P$93, 7, FALSE), 0)), 0),0)</f>
        <v>0</v>
      </c>
      <c r="AQ64" s="1344">
        <f>IFERROR(IF('Personalized Bill Menu'!$C$37="Custom", IF('Personalized Bill Menu'!$B$34="Natural Gas",VLOOKUP($A64, 'Personalized Bill Menu'!$H$4:$L$93, 4, FALSE), IF('Personalized Bill Menu'!$B$34="Both",VLOOKUP($A64,'Personalized Bill Menu'!$H$4:$P$93, 8, FALSE), 0)), 0),0)</f>
        <v>0</v>
      </c>
    </row>
    <row r="65" spans="1:43" s="469" customFormat="1" x14ac:dyDescent="0.35">
      <c r="A65" s="496">
        <v>42675</v>
      </c>
      <c r="B65" s="497">
        <f t="shared" si="8"/>
        <v>30</v>
      </c>
      <c r="C65" s="1581">
        <f t="shared" si="9"/>
        <v>11.365329306826885</v>
      </c>
      <c r="D65" s="66">
        <f t="shared" si="10"/>
        <v>10.301881691655787</v>
      </c>
      <c r="E65" s="66">
        <f>(1+$AI65)*IF(AND('Service Zone Menu'!$X$5="Athabasca", $A65&lt;DATE(2019, 5, 1)),((1+$T65+$U65)*($N65+((1+$X65+$Y65)*$P65)+$Z65+$AA65)) + $AG65,((1+$U65)*($N65+((1+$X65+$Y65)*$P65)+$Z65+$AA65))+($T65*(((1+$X65+$Y65)*$P65)+$Z65+$AA65)) + $AG65)</f>
        <v>6.1821900489367207</v>
      </c>
      <c r="F65" s="488">
        <f t="shared" si="0"/>
        <v>117.08427790563883</v>
      </c>
      <c r="G65" s="489">
        <f t="shared" si="11"/>
        <v>35.505288754527193</v>
      </c>
      <c r="H65" s="490">
        <f t="shared" si="1"/>
        <v>58.243794722369444</v>
      </c>
      <c r="I65" s="490">
        <f t="shared" si="12"/>
        <v>10.15227825958797</v>
      </c>
      <c r="J65" s="490">
        <f t="shared" si="13"/>
        <v>5.0874743641238123</v>
      </c>
      <c r="K65" s="490">
        <f t="shared" si="14"/>
        <v>2.52</v>
      </c>
      <c r="L65" s="490">
        <f t="shared" si="15"/>
        <v>0</v>
      </c>
      <c r="M65" s="491">
        <f t="shared" si="16"/>
        <v>5.5754418050304206</v>
      </c>
      <c r="N65" s="273">
        <f>IF($I$2="DRT",VLOOKUP(A65,'Misc. Data &amp; Mechanisms'!$A$1381:$D$1471,4,FALSE),AP65)</f>
        <v>3.1240000000000001</v>
      </c>
      <c r="O65" s="552">
        <f t="shared" si="27"/>
        <v>35.505288754527193</v>
      </c>
      <c r="P65" s="387">
        <v>1.9730000000000001</v>
      </c>
      <c r="Q65" s="278">
        <v>1.194</v>
      </c>
      <c r="R65" s="425">
        <f t="shared" si="28"/>
        <v>22.423794722369443</v>
      </c>
      <c r="S65" s="425">
        <f t="shared" si="29"/>
        <v>35.82</v>
      </c>
      <c r="T65" s="391">
        <f>VLOOKUP($A65,'Misc. Data &amp; Mechanisms'!$A$63:$DY$152,HLOOKUP('Service Zone Menu'!$X$5&amp;"_AltaGas_NG_Y_1",'Misc. Data &amp; Mechanisms'!$A$55:$DY$62,8,FALSE), FALSE)</f>
        <v>0.06</v>
      </c>
      <c r="U65" s="205">
        <f>VLOOKUP($A65,'Misc. Data &amp; Mechanisms'!$A$63:$DY$152,HLOOKUP('Service Zone Menu'!$X$5&amp;"_AltaGas_NG_Y_2",'Misc. Data &amp; Mechanisms'!$A$55:$DY$62,8,FALSE), FALSE)</f>
        <v>4.0163999999999998E-2</v>
      </c>
      <c r="V65" s="425">
        <f>IF(AND('Service Zone Menu'!$X$5="Athabasca", $A65&lt;DATE(2019, 5, 1)),$T65*($G65+$H65+$J65+$K65),$T65*($H65+$J65+$K65))</f>
        <v>6.0813934704612258</v>
      </c>
      <c r="W65" s="553">
        <f t="shared" si="23"/>
        <v>4.0708847891267448</v>
      </c>
      <c r="X65" s="391">
        <v>6.1199999999999997E-2</v>
      </c>
      <c r="Y65" s="205"/>
      <c r="Z65" s="278">
        <v>0.13400000000000001</v>
      </c>
      <c r="AA65" s="278"/>
      <c r="AB65" s="492">
        <f t="shared" si="24"/>
        <v>3.5645202370090097</v>
      </c>
      <c r="AC65" s="492">
        <f t="shared" si="30"/>
        <v>1.5229541271148026</v>
      </c>
      <c r="AD65" s="554">
        <f t="shared" si="31"/>
        <v>0</v>
      </c>
      <c r="AE65" s="200">
        <f>IF($I$2="DRT",VLOOKUP(A65,'Misc. Data &amp; Mechanisms'!$A$1483:$H$1574,8,FALSE),AQ65)</f>
        <v>8.4000000000000005E-2</v>
      </c>
      <c r="AF65" s="554">
        <f t="shared" si="18"/>
        <v>2.52</v>
      </c>
      <c r="AG65" s="290"/>
      <c r="AH65" s="494">
        <f t="shared" si="19"/>
        <v>0</v>
      </c>
      <c r="AI65" s="495">
        <f>5%</f>
        <v>0.05</v>
      </c>
      <c r="AJ65" s="341">
        <f>'Misc. Data &amp; Mechanisms'!AN338</f>
        <v>11.510515764534354</v>
      </c>
      <c r="AK65" s="424">
        <f>'Misc. Data &amp; Mechanisms'!AQ338</f>
        <v>12.273913126871175</v>
      </c>
      <c r="AL65" s="424">
        <f>'Misc. Data &amp; Mechanisms'!AC338</f>
        <v>11.365329306826885</v>
      </c>
      <c r="AM65" s="424">
        <f>'Misc. Data &amp; Mechanisms'!AD338</f>
        <v>7.2587499270502436</v>
      </c>
      <c r="AN65" s="1460">
        <f>'Misc. Data &amp; Mechanisms'!$B$260</f>
        <v>10.198990303636064</v>
      </c>
      <c r="AO65" s="197">
        <f>IFERROR(IF('Personalized Bill Menu'!$B$30="Yes", IF('Personalized Bill Menu'!$B$34="Natural Gas",VLOOKUP($A65, 'Personalized Bill Menu'!$H$4:$L$93, 2, FALSE), IF('Personalized Bill Menu'!$B$34="Both",VLOOKUP($A65,'Personalized Bill Menu'!$H$4:$P$93, 6, FALSE), 0)), 0),0)</f>
        <v>0</v>
      </c>
      <c r="AP65" s="1343">
        <f>IFERROR(IF('Personalized Bill Menu'!$C$37="Custom", IF('Personalized Bill Menu'!$B$34="Natural Gas",VLOOKUP($A65, 'Personalized Bill Menu'!$H$4:$L$93, 3, FALSE), IF('Personalized Bill Menu'!$B$34="Both",VLOOKUP($A65,'Personalized Bill Menu'!$H$4:$P$93, 7, FALSE), 0)), 0),0)</f>
        <v>0</v>
      </c>
      <c r="AQ65" s="1344">
        <f>IFERROR(IF('Personalized Bill Menu'!$C$37="Custom", IF('Personalized Bill Menu'!$B$34="Natural Gas",VLOOKUP($A65, 'Personalized Bill Menu'!$H$4:$L$93, 4, FALSE), IF('Personalized Bill Menu'!$B$34="Both",VLOOKUP($A65,'Personalized Bill Menu'!$H$4:$P$93, 8, FALSE), 0)), 0),0)</f>
        <v>0</v>
      </c>
    </row>
    <row r="66" spans="1:43" s="469" customFormat="1" x14ac:dyDescent="0.35">
      <c r="A66" s="508">
        <v>42705</v>
      </c>
      <c r="B66" s="509">
        <f t="shared" si="8"/>
        <v>31</v>
      </c>
      <c r="C66" s="231">
        <f t="shared" si="9"/>
        <v>17.64635271439624</v>
      </c>
      <c r="D66" s="344">
        <f t="shared" si="10"/>
        <v>8.0412805605112219</v>
      </c>
      <c r="E66" s="344">
        <f>(1+$AI66)*IF(AND('Service Zone Menu'!$X$5="Athabasca", $A66&lt;DATE(2019, 5, 1)),((1+$T66+$U66)*($N66+((1+$X66+$Y66)*$P66)+$Z66+$AA66)) + $AG66,((1+$U66)*($N66+((1+$X66+$Y66)*$P66)+$Z66+$AA66))+($T66*(((1+$X66+$Y66)*$P66)+$Z66+$AA66)) + $AG66)</f>
        <v>5.4477920952000014</v>
      </c>
      <c r="F66" s="510">
        <f t="shared" si="0"/>
        <v>141.89927304619891</v>
      </c>
      <c r="G66" s="511">
        <f t="shared" si="11"/>
        <v>45.015845774424811</v>
      </c>
      <c r="H66" s="512">
        <f t="shared" si="1"/>
        <v>71.830253905503781</v>
      </c>
      <c r="I66" s="512">
        <f t="shared" si="12"/>
        <v>12.303965404811045</v>
      </c>
      <c r="J66" s="512">
        <f t="shared" si="13"/>
        <v>3.3880997211640782</v>
      </c>
      <c r="K66" s="512">
        <f t="shared" si="14"/>
        <v>2.6040000000000001</v>
      </c>
      <c r="L66" s="512">
        <f t="shared" si="15"/>
        <v>0</v>
      </c>
      <c r="M66" s="513">
        <f t="shared" si="16"/>
        <v>6.7571082402951861</v>
      </c>
      <c r="N66" s="1243">
        <f>IF($I$2="DRT",VLOOKUP(A66,'Misc. Data &amp; Mechanisms'!$A$1381:$D$1471,4,FALSE),AP66)</f>
        <v>2.5510000000000002</v>
      </c>
      <c r="O66" s="558">
        <f t="shared" si="27"/>
        <v>45.015845774424811</v>
      </c>
      <c r="P66" s="438">
        <v>1.9730000000000001</v>
      </c>
      <c r="Q66" s="283">
        <v>1.194</v>
      </c>
      <c r="R66" s="440">
        <f t="shared" si="28"/>
        <v>34.816253905503785</v>
      </c>
      <c r="S66" s="440">
        <f t="shared" si="29"/>
        <v>37.013999999999996</v>
      </c>
      <c r="T66" s="394">
        <f>VLOOKUP($A66,'Misc. Data &amp; Mechanisms'!$A$63:$DY$152,HLOOKUP('Service Zone Menu'!$X$5&amp;"_AltaGas_NG_Y_1",'Misc. Data &amp; Mechanisms'!$A$55:$DY$62,8,FALSE), FALSE)</f>
        <v>0.06</v>
      </c>
      <c r="U66" s="246">
        <f>VLOOKUP($A66,'Misc. Data &amp; Mechanisms'!$A$63:$DY$152,HLOOKUP('Service Zone Menu'!$X$5&amp;"_AltaGas_NG_Y_2",'Misc. Data &amp; Mechanisms'!$A$55:$DY$62,8,FALSE), FALSE)</f>
        <v>4.0163999999999998E-2</v>
      </c>
      <c r="V66" s="440">
        <f>IF(AND('Service Zone Menu'!$X$5="Athabasca", $A66&lt;DATE(2019, 5, 1)),$T66*($G66+$H66+$J66+$K66),$T66*($H66+$J66+$K66))</f>
        <v>7.3702919640655598</v>
      </c>
      <c r="W66" s="559">
        <f t="shared" si="23"/>
        <v>4.9336734407454852</v>
      </c>
      <c r="X66" s="394"/>
      <c r="Y66" s="246"/>
      <c r="Z66" s="283">
        <v>0.192</v>
      </c>
      <c r="AA66" s="283"/>
      <c r="AB66" s="514">
        <f t="shared" si="24"/>
        <v>0</v>
      </c>
      <c r="AC66" s="514">
        <f t="shared" si="30"/>
        <v>3.3880997211640782</v>
      </c>
      <c r="AD66" s="560">
        <f t="shared" si="31"/>
        <v>0</v>
      </c>
      <c r="AE66" s="239">
        <f>IF($I$2="DRT",VLOOKUP(A66,'Misc. Data &amp; Mechanisms'!$A$1483:$H$1574,8,FALSE),AQ66)</f>
        <v>8.4000000000000005E-2</v>
      </c>
      <c r="AF66" s="560">
        <f t="shared" si="18"/>
        <v>2.6040000000000001</v>
      </c>
      <c r="AG66" s="292"/>
      <c r="AH66" s="516">
        <f t="shared" si="19"/>
        <v>0</v>
      </c>
      <c r="AI66" s="517">
        <f>5%</f>
        <v>0.05</v>
      </c>
      <c r="AJ66" s="352">
        <f>'Misc. Data &amp; Mechanisms'!AN339</f>
        <v>17.871776137941112</v>
      </c>
      <c r="AK66" s="441">
        <f>'Misc. Data &amp; Mechanisms'!AQ339</f>
        <v>22.394201815157196</v>
      </c>
      <c r="AL66" s="441">
        <f>'Misc. Data &amp; Mechanisms'!AC339</f>
        <v>17.64635271439624</v>
      </c>
      <c r="AM66" s="441">
        <f>'Misc. Data &amp; Mechanisms'!AD339</f>
        <v>11.270281574805374</v>
      </c>
      <c r="AN66" s="1461">
        <f>'Misc. Data &amp; Mechanisms'!$B$260</f>
        <v>10.198990303636064</v>
      </c>
      <c r="AO66" s="243">
        <f>IFERROR(IF('Personalized Bill Menu'!$B$30="Yes", IF('Personalized Bill Menu'!$B$34="Natural Gas",VLOOKUP($A66, 'Personalized Bill Menu'!$H$4:$L$93, 2, FALSE), IF('Personalized Bill Menu'!$B$34="Both",VLOOKUP($A66,'Personalized Bill Menu'!$H$4:$P$93, 6, FALSE), 0)), 0),0)</f>
        <v>0</v>
      </c>
      <c r="AP66" s="1345">
        <f>IFERROR(IF('Personalized Bill Menu'!$C$37="Custom", IF('Personalized Bill Menu'!$B$34="Natural Gas",VLOOKUP($A66, 'Personalized Bill Menu'!$H$4:$L$93, 3, FALSE), IF('Personalized Bill Menu'!$B$34="Both",VLOOKUP($A66,'Personalized Bill Menu'!$H$4:$P$93, 7, FALSE), 0)), 0),0)</f>
        <v>0</v>
      </c>
      <c r="AQ66" s="1346">
        <f>IFERROR(IF('Personalized Bill Menu'!$C$37="Custom", IF('Personalized Bill Menu'!$B$34="Natural Gas",VLOOKUP($A66, 'Personalized Bill Menu'!$H$4:$L$93, 4, FALSE), IF('Personalized Bill Menu'!$B$34="Both",VLOOKUP($A66,'Personalized Bill Menu'!$H$4:$P$93, 8, FALSE), 0)), 0),0)</f>
        <v>0</v>
      </c>
    </row>
    <row r="67" spans="1:43" s="469" customFormat="1" x14ac:dyDescent="0.35">
      <c r="A67" s="498">
        <v>42736</v>
      </c>
      <c r="B67" s="499">
        <f t="shared" si="8"/>
        <v>31</v>
      </c>
      <c r="C67" s="212">
        <f t="shared" si="9"/>
        <v>22.069633284504654</v>
      </c>
      <c r="D67" s="353">
        <f t="shared" si="10"/>
        <v>9.4185719285318807</v>
      </c>
      <c r="E67" s="353">
        <f>(1+$AI67)*IF(AND('Service Zone Menu'!$X$5="Athabasca", $A67&lt;DATE(2019, 5, 1)),((1+$T67+$U67)*($N67+((1+$X67+$Y67)*$P67)+$Z67+$AA67)) + $AG67,((1+$U67)*($N67+((1+$X67+$Y67)*$P67)+$Z67+$AA67))+($T67*(((1+$X67+$Y67)*$P67)+$Z67+$AA67)) + $AG67)</f>
        <v>7.2394109256000005</v>
      </c>
      <c r="F67" s="500">
        <f t="shared" si="0"/>
        <v>207.86442852642838</v>
      </c>
      <c r="G67" s="501">
        <f t="shared" si="11"/>
        <v>68.106888315981365</v>
      </c>
      <c r="H67" s="502">
        <f t="shared" si="1"/>
        <v>85.084115764907693</v>
      </c>
      <c r="I67" s="502">
        <f t="shared" si="12"/>
        <v>15.992324349957196</v>
      </c>
      <c r="J67" s="502">
        <f t="shared" si="13"/>
        <v>3.9283947246418283</v>
      </c>
      <c r="K67" s="502">
        <f t="shared" si="14"/>
        <v>2.5420000000000003</v>
      </c>
      <c r="L67" s="502">
        <f t="shared" si="15"/>
        <v>22.312399250634204</v>
      </c>
      <c r="M67" s="503">
        <f t="shared" si="16"/>
        <v>9.8983061203061151</v>
      </c>
      <c r="N67" s="273">
        <f>IF($I$2="DRT",VLOOKUP(A67,'Misc. Data &amp; Mechanisms'!$A$1381:$D$1471,4,FALSE),AP67)</f>
        <v>3.0859999999999999</v>
      </c>
      <c r="O67" s="555">
        <f t="shared" si="27"/>
        <v>68.106888315981365</v>
      </c>
      <c r="P67" s="431">
        <v>2.0840000000000001</v>
      </c>
      <c r="Q67" s="288">
        <v>1.2609999999999999</v>
      </c>
      <c r="R67" s="433">
        <f t="shared" si="28"/>
        <v>45.993115764907699</v>
      </c>
      <c r="S67" s="433">
        <f t="shared" si="29"/>
        <v>39.090999999999994</v>
      </c>
      <c r="T67" s="391">
        <f>VLOOKUP($A67,'Misc. Data &amp; Mechanisms'!$A$63:$DY$152,HLOOKUP('Service Zone Menu'!$X$5&amp;"_AltaGas_NG_Y_1",'Misc. Data &amp; Mechanisms'!$A$55:$DY$62,8,FALSE), FALSE)</f>
        <v>0.06</v>
      </c>
      <c r="U67" s="205">
        <f>VLOOKUP($A67,'Misc. Data &amp; Mechanisms'!$A$63:$DY$152,HLOOKUP('Service Zone Menu'!$X$5&amp;"_AltaGas_NG_Y_2",'Misc. Data &amp; Mechanisms'!$A$55:$DY$62,8,FALSE), FALSE)</f>
        <v>4.0163999999999998E-2</v>
      </c>
      <c r="V67" s="433">
        <f>IF(AND('Service Zone Menu'!$X$5="Athabasca", $A67&lt;DATE(2019, 5, 1)),$T67*($G67+$H67+$J67+$K67),$T67*($H67+$J67+$K67))</f>
        <v>9.5796839283318533</v>
      </c>
      <c r="W67" s="556">
        <f t="shared" si="23"/>
        <v>6.4126404216253423</v>
      </c>
      <c r="X67" s="389"/>
      <c r="Y67" s="222"/>
      <c r="Z67" s="288">
        <v>0.17799999999999999</v>
      </c>
      <c r="AA67" s="288"/>
      <c r="AB67" s="504">
        <f t="shared" si="24"/>
        <v>0</v>
      </c>
      <c r="AC67" s="504">
        <f t="shared" si="30"/>
        <v>3.9283947246418283</v>
      </c>
      <c r="AD67" s="557">
        <f t="shared" si="31"/>
        <v>0</v>
      </c>
      <c r="AE67" s="200">
        <f>IF($I$2="DRT",VLOOKUP(A67,'Misc. Data &amp; Mechanisms'!$A$1483:$H$1574,8,FALSE),AQ67)</f>
        <v>8.2000000000000003E-2</v>
      </c>
      <c r="AF67" s="557">
        <f t="shared" si="18"/>
        <v>2.5420000000000003</v>
      </c>
      <c r="AG67" s="286">
        <v>1.0109999999999999</v>
      </c>
      <c r="AH67" s="506">
        <f t="shared" si="19"/>
        <v>22.312399250634204</v>
      </c>
      <c r="AI67" s="507">
        <f>5%</f>
        <v>0.05</v>
      </c>
      <c r="AJ67" s="359">
        <f>'Misc. Data &amp; Mechanisms'!AN340</f>
        <v>22.35156192845124</v>
      </c>
      <c r="AK67" s="434">
        <f>'Misc. Data &amp; Mechanisms'!AQ340</f>
        <v>20.530448595642721</v>
      </c>
      <c r="AL67" s="434">
        <f>'Misc. Data &amp; Mechanisms'!AC340</f>
        <v>22.069633284504654</v>
      </c>
      <c r="AM67" s="434">
        <f>'Misc. Data &amp; Mechanisms'!AD340</f>
        <v>14.095319604835089</v>
      </c>
      <c r="AN67" s="1462">
        <f>'Misc. Data &amp; Mechanisms'!$B$260</f>
        <v>10.198990303636064</v>
      </c>
      <c r="AO67" s="197">
        <f>IFERROR(IF('Personalized Bill Menu'!$B$30="Yes", IF('Personalized Bill Menu'!$B$34="Natural Gas",VLOOKUP($A67, 'Personalized Bill Menu'!$H$4:$L$93, 2, FALSE), IF('Personalized Bill Menu'!$B$34="Both",VLOOKUP($A67,'Personalized Bill Menu'!$H$4:$P$93, 6, FALSE), 0)), 0),0)</f>
        <v>0</v>
      </c>
      <c r="AP67" s="1343">
        <f>IFERROR(IF('Personalized Bill Menu'!$C$37="Custom", IF('Personalized Bill Menu'!$B$34="Natural Gas",VLOOKUP($A67, 'Personalized Bill Menu'!$H$4:$L$93, 3, FALSE), IF('Personalized Bill Menu'!$B$34="Both",VLOOKUP($A67,'Personalized Bill Menu'!$H$4:$P$93, 7, FALSE), 0)), 0),0)</f>
        <v>0</v>
      </c>
      <c r="AQ67" s="1344">
        <f>IFERROR(IF('Personalized Bill Menu'!$C$37="Custom", IF('Personalized Bill Menu'!$B$34="Natural Gas",VLOOKUP($A67, 'Personalized Bill Menu'!$H$4:$L$93, 4, FALSE), IF('Personalized Bill Menu'!$B$34="Both",VLOOKUP($A67,'Personalized Bill Menu'!$H$4:$P$93, 8, FALSE), 0)), 0),0)</f>
        <v>0</v>
      </c>
    </row>
    <row r="68" spans="1:43" s="469" customFormat="1" x14ac:dyDescent="0.35">
      <c r="A68" s="496">
        <v>42767</v>
      </c>
      <c r="B68" s="497">
        <f t="shared" si="8"/>
        <v>28</v>
      </c>
      <c r="C68" s="1581">
        <f t="shared" si="9"/>
        <v>17.890966618997677</v>
      </c>
      <c r="D68" s="66">
        <f t="shared" si="10"/>
        <v>8.7363325442022219</v>
      </c>
      <c r="E68" s="66">
        <f>(1+$AI68)*IF(AND('Service Zone Menu'!$X$5="Athabasca", $A68&lt;DATE(2019, 5, 1)),((1+$T68+$U68)*($N68+((1+$X68+$Y68)*$P68)+$Z68+$AA68)) + $AG68,((1+$U68)*($N68+((1+$X68+$Y68)*$P68)+$Z68+$AA68))+($T68*(((1+$X68+$Y68)*$P68)+$Z68+$AA68)) + $AG68)</f>
        <v>6.3083421324000009</v>
      </c>
      <c r="F68" s="488">
        <f t="shared" si="0"/>
        <v>156.301433920785</v>
      </c>
      <c r="G68" s="489">
        <f t="shared" si="11"/>
        <v>39.413799461651877</v>
      </c>
      <c r="H68" s="490">
        <f t="shared" si="1"/>
        <v>72.592774433991167</v>
      </c>
      <c r="I68" s="490">
        <f t="shared" si="12"/>
        <v>11.905970860691637</v>
      </c>
      <c r="J68" s="490">
        <f t="shared" si="13"/>
        <v>4.5621964878444077</v>
      </c>
      <c r="K68" s="490">
        <f t="shared" si="14"/>
        <v>2.2960000000000003</v>
      </c>
      <c r="L68" s="490">
        <f t="shared" si="15"/>
        <v>18.08776725180665</v>
      </c>
      <c r="M68" s="491">
        <f t="shared" si="16"/>
        <v>7.4429254247992862</v>
      </c>
      <c r="N68" s="273">
        <f>IF($I$2="DRT",VLOOKUP(A68,'Misc. Data &amp; Mechanisms'!$A$1381:$D$1471,4,FALSE),AP68)</f>
        <v>2.2029999999999998</v>
      </c>
      <c r="O68" s="552">
        <f t="shared" si="27"/>
        <v>39.413799461651877</v>
      </c>
      <c r="P68" s="387">
        <v>2.0840000000000001</v>
      </c>
      <c r="Q68" s="278">
        <v>1.2609999999999999</v>
      </c>
      <c r="R68" s="425">
        <f t="shared" si="28"/>
        <v>37.28477443399116</v>
      </c>
      <c r="S68" s="425">
        <f t="shared" si="29"/>
        <v>35.308</v>
      </c>
      <c r="T68" s="391">
        <f>VLOOKUP($A68,'Misc. Data &amp; Mechanisms'!$A$63:$DY$152,HLOOKUP('Service Zone Menu'!$X$5&amp;"_AltaGas_NG_Y_1",'Misc. Data &amp; Mechanisms'!$A$55:$DY$62,8,FALSE), FALSE)</f>
        <v>0.06</v>
      </c>
      <c r="U68" s="205">
        <f>VLOOKUP($A68,'Misc. Data &amp; Mechanisms'!$A$63:$DY$152,HLOOKUP('Service Zone Menu'!$X$5&amp;"_AltaGas_NG_Y_2",'Misc. Data &amp; Mechanisms'!$A$55:$DY$62,8,FALSE), FALSE)</f>
        <v>4.0163999999999998E-2</v>
      </c>
      <c r="V68" s="425">
        <f>IF(AND('Service Zone Menu'!$X$5="Athabasca", $A68&lt;DATE(2019, 5, 1)),$T68*($G68+$H68+$J68+$K68),$T68*($H68+$J68+$K68))</f>
        <v>7.1318862230092472</v>
      </c>
      <c r="W68" s="553">
        <f t="shared" si="23"/>
        <v>4.7740846376823898</v>
      </c>
      <c r="X68" s="391"/>
      <c r="Y68" s="205"/>
      <c r="Z68" s="278">
        <v>0.255</v>
      </c>
      <c r="AA68" s="278"/>
      <c r="AB68" s="492">
        <f t="shared" si="24"/>
        <v>0</v>
      </c>
      <c r="AC68" s="492">
        <f t="shared" si="30"/>
        <v>4.5621964878444077</v>
      </c>
      <c r="AD68" s="554">
        <f t="shared" si="31"/>
        <v>0</v>
      </c>
      <c r="AE68" s="200">
        <f>IF($I$2="DRT",VLOOKUP(A68,'Misc. Data &amp; Mechanisms'!$A$1483:$H$1574,8,FALSE),AQ68)</f>
        <v>8.2000000000000003E-2</v>
      </c>
      <c r="AF68" s="554">
        <f t="shared" si="18"/>
        <v>2.2960000000000003</v>
      </c>
      <c r="AG68" s="290">
        <v>1.0109999999999999</v>
      </c>
      <c r="AH68" s="494">
        <f t="shared" si="19"/>
        <v>18.08776725180665</v>
      </c>
      <c r="AI68" s="495">
        <f>5%</f>
        <v>0.05</v>
      </c>
      <c r="AJ68" s="341">
        <f>'Misc. Data &amp; Mechanisms'!AN341</f>
        <v>18.119514864125478</v>
      </c>
      <c r="AK68" s="424">
        <f>'Misc. Data &amp; Mechanisms'!AQ341</f>
        <v>18.469031499429875</v>
      </c>
      <c r="AL68" s="424">
        <f>'Misc. Data &amp; Mechanisms'!AC341</f>
        <v>17.890966618997677</v>
      </c>
      <c r="AM68" s="424">
        <f>'Misc. Data &amp; Mechanisms'!AD341</f>
        <v>11.426510322274627</v>
      </c>
      <c r="AN68" s="1460">
        <f>'Misc. Data &amp; Mechanisms'!$B$260</f>
        <v>10.198990303636064</v>
      </c>
      <c r="AO68" s="197">
        <f>IFERROR(IF('Personalized Bill Menu'!$B$30="Yes", IF('Personalized Bill Menu'!$B$34="Natural Gas",VLOOKUP($A68, 'Personalized Bill Menu'!$H$4:$L$93, 2, FALSE), IF('Personalized Bill Menu'!$B$34="Both",VLOOKUP($A68,'Personalized Bill Menu'!$H$4:$P$93, 6, FALSE), 0)), 0),0)</f>
        <v>0</v>
      </c>
      <c r="AP68" s="1343">
        <f>IFERROR(IF('Personalized Bill Menu'!$C$37="Custom", IF('Personalized Bill Menu'!$B$34="Natural Gas",VLOOKUP($A68, 'Personalized Bill Menu'!$H$4:$L$93, 3, FALSE), IF('Personalized Bill Menu'!$B$34="Both",VLOOKUP($A68,'Personalized Bill Menu'!$H$4:$P$93, 7, FALSE), 0)), 0),0)</f>
        <v>0</v>
      </c>
      <c r="AQ68" s="1344">
        <f>IFERROR(IF('Personalized Bill Menu'!$C$37="Custom", IF('Personalized Bill Menu'!$B$34="Natural Gas",VLOOKUP($A68, 'Personalized Bill Menu'!$H$4:$L$93, 4, FALSE), IF('Personalized Bill Menu'!$B$34="Both",VLOOKUP($A68,'Personalized Bill Menu'!$H$4:$P$93, 8, FALSE), 0)), 0),0)</f>
        <v>0</v>
      </c>
    </row>
    <row r="69" spans="1:43" s="117" customFormat="1" x14ac:dyDescent="0.35">
      <c r="A69" s="496">
        <v>42795</v>
      </c>
      <c r="B69" s="497">
        <f t="shared" si="8"/>
        <v>31</v>
      </c>
      <c r="C69" s="1581">
        <f t="shared" si="9"/>
        <v>17.516534855288537</v>
      </c>
      <c r="D69" s="66">
        <f t="shared" si="10"/>
        <v>10.006952695196158</v>
      </c>
      <c r="E69" s="66">
        <f>(1+$AI69)*IF(AND('Service Zone Menu'!$X$5="Athabasca", $A69&lt;DATE(2019, 5, 1)),((1+$T69+$U69)*($N69+((1+$X69+$Y69)*$P69)+$Z69+$AA69)) + $AG69,((1+$U69)*($N69+((1+$X69+$Y69)*$P69)+$Z69+$AA69))+($T69*(((1+$X69+$Y69)*$P69)+$Z69+$AA69)) + $AG69)</f>
        <v>7.2613591974000009</v>
      </c>
      <c r="F69" s="488">
        <f t="shared" si="0"/>
        <v>175.28713568062707</v>
      </c>
      <c r="G69" s="489">
        <f t="shared" si="11"/>
        <v>51.989075450496379</v>
      </c>
      <c r="H69" s="490">
        <f t="shared" si="1"/>
        <v>75.595458638421306</v>
      </c>
      <c r="I69" s="490">
        <f t="shared" si="12"/>
        <v>13.586669912614564</v>
      </c>
      <c r="J69" s="490">
        <f t="shared" si="13"/>
        <v>5.517708479415889</v>
      </c>
      <c r="K69" s="490">
        <f t="shared" si="14"/>
        <v>2.5420000000000003</v>
      </c>
      <c r="L69" s="490">
        <f t="shared" si="15"/>
        <v>17.709216738696711</v>
      </c>
      <c r="M69" s="491">
        <f t="shared" si="16"/>
        <v>8.3470064609822412</v>
      </c>
      <c r="N69" s="273">
        <f>IF($I$2="DRT",VLOOKUP(A69,'Misc. Data &amp; Mechanisms'!$A$1381:$D$1471,4,FALSE),AP69)</f>
        <v>2.968</v>
      </c>
      <c r="O69" s="552">
        <f t="shared" si="27"/>
        <v>51.989075450496379</v>
      </c>
      <c r="P69" s="387">
        <v>2.0840000000000001</v>
      </c>
      <c r="Q69" s="278">
        <v>1.2609999999999999</v>
      </c>
      <c r="R69" s="425">
        <f t="shared" si="28"/>
        <v>36.504458638421312</v>
      </c>
      <c r="S69" s="425">
        <f t="shared" si="29"/>
        <v>39.090999999999994</v>
      </c>
      <c r="T69" s="391">
        <f>VLOOKUP($A69,'Misc. Data &amp; Mechanisms'!$A$63:$DY$152,HLOOKUP('Service Zone Menu'!$X$5&amp;"_AltaGas_NG_Y_1",'Misc. Data &amp; Mechanisms'!$A$55:$DY$62,8,FALSE), FALSE)</f>
        <v>0.06</v>
      </c>
      <c r="U69" s="205">
        <f>VLOOKUP($A69,'Misc. Data &amp; Mechanisms'!$A$63:$DY$152,HLOOKUP('Service Zone Menu'!$X$5&amp;"_AltaGas_NG_Y_2",'Misc. Data &amp; Mechanisms'!$A$55:$DY$62,8,FALSE), FALSE)</f>
        <v>4.0163999999999998E-2</v>
      </c>
      <c r="V69" s="425">
        <f>IF(AND('Service Zone Menu'!$X$5="Athabasca", $A69&lt;DATE(2019, 5, 1)),$T69*($G69+$H69+$J69+$K69),$T69*($H69+$J69+$K69))</f>
        <v>8.1386545541000146</v>
      </c>
      <c r="W69" s="553">
        <f t="shared" si="23"/>
        <v>5.4480153585145494</v>
      </c>
      <c r="X69" s="391"/>
      <c r="Y69" s="205"/>
      <c r="Z69" s="278">
        <v>0.315</v>
      </c>
      <c r="AA69" s="278"/>
      <c r="AB69" s="492">
        <f t="shared" si="24"/>
        <v>0</v>
      </c>
      <c r="AC69" s="492">
        <f t="shared" si="30"/>
        <v>5.517708479415889</v>
      </c>
      <c r="AD69" s="554">
        <f t="shared" si="31"/>
        <v>0</v>
      </c>
      <c r="AE69" s="200">
        <f>IF($I$2="DRT",VLOOKUP(A69,'Misc. Data &amp; Mechanisms'!$A$1483:$H$1574,8,FALSE),AQ69)</f>
        <v>8.2000000000000003E-2</v>
      </c>
      <c r="AF69" s="554">
        <f t="shared" si="18"/>
        <v>2.5420000000000003</v>
      </c>
      <c r="AG69" s="290">
        <v>1.0109999999999999</v>
      </c>
      <c r="AH69" s="494">
        <f t="shared" si="19"/>
        <v>17.709216738696711</v>
      </c>
      <c r="AI69" s="495">
        <f>5%</f>
        <v>0.05</v>
      </c>
      <c r="AJ69" s="341">
        <f>'Misc. Data &amp; Mechanisms'!AN342</f>
        <v>17.740299919924293</v>
      </c>
      <c r="AK69" s="424">
        <f>'Misc. Data &amp; Mechanisms'!AQ342</f>
        <v>17.975545163864641</v>
      </c>
      <c r="AL69" s="424">
        <f>'Misc. Data &amp; Mechanisms'!AC342</f>
        <v>17.516534855288537</v>
      </c>
      <c r="AM69" s="424">
        <f>'Misc. Data &amp; Mechanisms'!AD342</f>
        <v>11.187370173834193</v>
      </c>
      <c r="AN69" s="1460">
        <f>'Misc. Data &amp; Mechanisms'!$B$260</f>
        <v>10.198990303636064</v>
      </c>
      <c r="AO69" s="197">
        <f>IFERROR(IF('Personalized Bill Menu'!$B$30="Yes", IF('Personalized Bill Menu'!$B$34="Natural Gas",VLOOKUP($A69, 'Personalized Bill Menu'!$H$4:$L$93, 2, FALSE), IF('Personalized Bill Menu'!$B$34="Both",VLOOKUP($A69,'Personalized Bill Menu'!$H$4:$P$93, 6, FALSE), 0)), 0),0)</f>
        <v>0</v>
      </c>
      <c r="AP69" s="1343">
        <f>IFERROR(IF('Personalized Bill Menu'!$C$37="Custom", IF('Personalized Bill Menu'!$B$34="Natural Gas",VLOOKUP($A69, 'Personalized Bill Menu'!$H$4:$L$93, 3, FALSE), IF('Personalized Bill Menu'!$B$34="Both",VLOOKUP($A69,'Personalized Bill Menu'!$H$4:$P$93, 7, FALSE), 0)), 0),0)</f>
        <v>0</v>
      </c>
      <c r="AQ69" s="1344">
        <f>IFERROR(IF('Personalized Bill Menu'!$C$37="Custom", IF('Personalized Bill Menu'!$B$34="Natural Gas",VLOOKUP($A69, 'Personalized Bill Menu'!$H$4:$L$93, 4, FALSE), IF('Personalized Bill Menu'!$B$34="Both",VLOOKUP($A69,'Personalized Bill Menu'!$H$4:$P$93, 8, FALSE), 0)), 0),0)</f>
        <v>0</v>
      </c>
    </row>
    <row r="70" spans="1:43" s="117" customFormat="1" x14ac:dyDescent="0.35">
      <c r="A70" s="496">
        <v>42826</v>
      </c>
      <c r="B70" s="497">
        <f t="shared" si="8"/>
        <v>30</v>
      </c>
      <c r="C70" s="1581">
        <f t="shared" si="9"/>
        <v>10.316366582677624</v>
      </c>
      <c r="D70" s="66">
        <f t="shared" si="10"/>
        <v>12.183160581739166</v>
      </c>
      <c r="E70" s="66">
        <f>(1+$AI70)*IF(AND('Service Zone Menu'!$X$5="Athabasca", $A70&lt;DATE(2019, 5, 1)),((1+$T70+$U70)*($N70+((1+$X70+$Y70)*$P70)+$Z70+$AA70)) + $AG70,((1+$U70)*($N70+((1+$X70+$Y70)*$P70)+$Z70+$AA70))+($T70*(((1+$X70+$Y70)*$P70)+$Z70+$AA70)) + $AG70)</f>
        <v>7.772388351</v>
      </c>
      <c r="F70" s="488">
        <f t="shared" si="0"/>
        <v>125.68595069684922</v>
      </c>
      <c r="G70" s="489">
        <f t="shared" si="11"/>
        <v>34.910584515781075</v>
      </c>
      <c r="H70" s="490">
        <f t="shared" si="1"/>
        <v>59.329307958300163</v>
      </c>
      <c r="I70" s="490">
        <f t="shared" si="12"/>
        <v>7.6812085762131872</v>
      </c>
      <c r="J70" s="490">
        <f t="shared" si="13"/>
        <v>4.8899577601891933</v>
      </c>
      <c r="K70" s="490">
        <f t="shared" si="14"/>
        <v>2.46</v>
      </c>
      <c r="L70" s="490">
        <f t="shared" si="15"/>
        <v>10.429846615087076</v>
      </c>
      <c r="M70" s="491">
        <f t="shared" si="16"/>
        <v>5.9850452712785343</v>
      </c>
      <c r="N70" s="273">
        <f>IF($I$2="DRT",VLOOKUP(A70,'Misc. Data &amp; Mechanisms'!$A$1381:$D$1471,4,FALSE),AP70)</f>
        <v>3.3839999999999999</v>
      </c>
      <c r="O70" s="552">
        <f t="shared" si="27"/>
        <v>34.910584515781075</v>
      </c>
      <c r="P70" s="387">
        <v>2.0840000000000001</v>
      </c>
      <c r="Q70" s="278">
        <v>1.2609999999999999</v>
      </c>
      <c r="R70" s="425">
        <f t="shared" si="28"/>
        <v>21.499307958300168</v>
      </c>
      <c r="S70" s="425">
        <f t="shared" si="29"/>
        <v>37.83</v>
      </c>
      <c r="T70" s="391">
        <f>VLOOKUP($A70,'Misc. Data &amp; Mechanisms'!$A$63:$DY$152,HLOOKUP('Service Zone Menu'!$X$5&amp;"_AltaGas_NG_Y_1",'Misc. Data &amp; Mechanisms'!$A$55:$DY$62,8,FALSE), FALSE)</f>
        <v>0.06</v>
      </c>
      <c r="U70" s="205">
        <f>VLOOKUP($A70,'Misc. Data &amp; Mechanisms'!$A$63:$DY$152,HLOOKUP('Service Zone Menu'!$X$5&amp;"_AltaGas_NG_Y_2",'Misc. Data &amp; Mechanisms'!$A$55:$DY$62,8,FALSE), FALSE)</f>
        <v>1.5610000000000001E-2</v>
      </c>
      <c r="V70" s="425">
        <f>IF(AND('Service Zone Menu'!$X$5="Athabasca", $A70&lt;DATE(2019, 5, 1)),$T70*($G70+$H70+$J70+$K70),$T70*($H70+$J70+$K70))</f>
        <v>6.0953910140562257</v>
      </c>
      <c r="W70" s="553">
        <f t="shared" si="23"/>
        <v>1.5858175621569615</v>
      </c>
      <c r="X70" s="391"/>
      <c r="Y70" s="205"/>
      <c r="Z70" s="278">
        <v>0.47399999999999998</v>
      </c>
      <c r="AA70" s="278"/>
      <c r="AB70" s="492">
        <f t="shared" si="24"/>
        <v>0</v>
      </c>
      <c r="AC70" s="492">
        <f t="shared" si="30"/>
        <v>4.8899577601891933</v>
      </c>
      <c r="AD70" s="554">
        <f t="shared" si="31"/>
        <v>0</v>
      </c>
      <c r="AE70" s="200">
        <f>IF($I$2="DRT",VLOOKUP(A70,'Misc. Data &amp; Mechanisms'!$A$1483:$H$1574,8,FALSE),AQ70)</f>
        <v>8.2000000000000003E-2</v>
      </c>
      <c r="AF70" s="554">
        <f t="shared" si="18"/>
        <v>2.46</v>
      </c>
      <c r="AG70" s="290">
        <v>1.0109999999999999</v>
      </c>
      <c r="AH70" s="494">
        <f t="shared" si="19"/>
        <v>10.429846615087076</v>
      </c>
      <c r="AI70" s="495">
        <f>5%</f>
        <v>0.05</v>
      </c>
      <c r="AJ70" s="341">
        <f>'Misc. Data &amp; Mechanisms'!AN343</f>
        <v>10.448153060668277</v>
      </c>
      <c r="AK70" s="424">
        <f>'Misc. Data &amp; Mechanisms'!AQ343</f>
        <v>10.662365274353636</v>
      </c>
      <c r="AL70" s="424">
        <f>'Misc. Data &amp; Mechanisms'!AC343</f>
        <v>10.316366582677624</v>
      </c>
      <c r="AM70" s="424">
        <f>'Misc. Data &amp; Mechanisms'!AD343</f>
        <v>6.5888038223805587</v>
      </c>
      <c r="AN70" s="1460">
        <f>'Misc. Data &amp; Mechanisms'!$B$260</f>
        <v>10.198990303636064</v>
      </c>
      <c r="AO70" s="197">
        <f>IFERROR(IF('Personalized Bill Menu'!$B$30="Yes", IF('Personalized Bill Menu'!$B$34="Natural Gas",VLOOKUP($A70, 'Personalized Bill Menu'!$H$4:$L$93, 2, FALSE), IF('Personalized Bill Menu'!$B$34="Both",VLOOKUP($A70,'Personalized Bill Menu'!$H$4:$P$93, 6, FALSE), 0)), 0),0)</f>
        <v>0</v>
      </c>
      <c r="AP70" s="1343">
        <f>IFERROR(IF('Personalized Bill Menu'!$C$37="Custom", IF('Personalized Bill Menu'!$B$34="Natural Gas",VLOOKUP($A70, 'Personalized Bill Menu'!$H$4:$L$93, 3, FALSE), IF('Personalized Bill Menu'!$B$34="Both",VLOOKUP($A70,'Personalized Bill Menu'!$H$4:$P$93, 7, FALSE), 0)), 0),0)</f>
        <v>0</v>
      </c>
      <c r="AQ70" s="1344">
        <f>IFERROR(IF('Personalized Bill Menu'!$C$37="Custom", IF('Personalized Bill Menu'!$B$34="Natural Gas",VLOOKUP($A70, 'Personalized Bill Menu'!$H$4:$L$93, 4, FALSE), IF('Personalized Bill Menu'!$B$34="Both",VLOOKUP($A70,'Personalized Bill Menu'!$H$4:$P$93, 8, FALSE), 0)), 0),0)</f>
        <v>0</v>
      </c>
    </row>
    <row r="71" spans="1:43" s="117" customFormat="1" x14ac:dyDescent="0.35">
      <c r="A71" s="496">
        <v>42856</v>
      </c>
      <c r="B71" s="497">
        <f t="shared" si="8"/>
        <v>31</v>
      </c>
      <c r="C71" s="1581">
        <f t="shared" si="9"/>
        <v>4.4464423212243354</v>
      </c>
      <c r="D71" s="66">
        <f t="shared" si="10"/>
        <v>18.968280355015978</v>
      </c>
      <c r="E71" s="66">
        <f>(1+$AI71)*IF(AND('Service Zone Menu'!$X$5="Athabasca", $A71&lt;DATE(2019, 5, 1)),((1+$T71+$U71)*($N71+((1+$X71+$Y71)*$P71)+$Z71+$AA71)) + $AG71,((1+$U71)*($N71+((1+$X71+$Y71)*$P71)+$Z71+$AA71))+($T71*(((1+$X71+$Y71)*$P71)+$Z71+$AA71)) + $AG71)</f>
        <v>8.3935531260000005</v>
      </c>
      <c r="F71" s="488">
        <f t="shared" ref="F71:F96" si="32">SUM($G71:$M71)</f>
        <v>84.341364531391207</v>
      </c>
      <c r="G71" s="489">
        <f t="shared" si="11"/>
        <v>16.567444088881874</v>
      </c>
      <c r="H71" s="490">
        <f t="shared" ref="H71:H96" si="33">SUM($R71:$S71)</f>
        <v>48.357385797431512</v>
      </c>
      <c r="I71" s="490">
        <f t="shared" si="12"/>
        <v>5.3304523413692557</v>
      </c>
      <c r="J71" s="490">
        <f t="shared" si="13"/>
        <v>3.0324736630749971</v>
      </c>
      <c r="K71" s="490">
        <f t="shared" si="14"/>
        <v>2.5420000000000003</v>
      </c>
      <c r="L71" s="490">
        <f t="shared" si="15"/>
        <v>4.4953531867578027</v>
      </c>
      <c r="M71" s="491">
        <f t="shared" si="16"/>
        <v>4.0162554538757718</v>
      </c>
      <c r="N71" s="273">
        <f>IF($I$2="DRT",VLOOKUP(A71,'Misc. Data &amp; Mechanisms'!$A$1381:$D$1471,4,FALSE),AP71)</f>
        <v>3.726</v>
      </c>
      <c r="O71" s="552">
        <f t="shared" si="27"/>
        <v>16.567444088881874</v>
      </c>
      <c r="P71" s="387">
        <v>2.0840000000000001</v>
      </c>
      <c r="Q71" s="278">
        <v>1.2609999999999999</v>
      </c>
      <c r="R71" s="425">
        <f t="shared" si="28"/>
        <v>9.266385797431516</v>
      </c>
      <c r="S71" s="425">
        <f t="shared" si="29"/>
        <v>39.090999999999994</v>
      </c>
      <c r="T71" s="391">
        <f>VLOOKUP($A71,'Misc. Data &amp; Mechanisms'!$A$63:$DY$152,HLOOKUP('Service Zone Menu'!$X$5&amp;"_AltaGas_NG_Y_1",'Misc. Data &amp; Mechanisms'!$A$55:$DY$62,8,FALSE), FALSE)</f>
        <v>0.06</v>
      </c>
      <c r="U71" s="205">
        <f>VLOOKUP($A71,'Misc. Data &amp; Mechanisms'!$A$63:$DY$152,HLOOKUP('Service Zone Menu'!$X$5&amp;"_AltaGas_NG_Y_2",'Misc. Data &amp; Mechanisms'!$A$55:$DY$62,8,FALSE), FALSE)</f>
        <v>1.5610000000000001E-2</v>
      </c>
      <c r="V71" s="425">
        <f>IF(AND('Service Zone Menu'!$X$5="Athabasca", $A71&lt;DATE(2019, 5, 1)),$T71*($G71+$H71+$J71+$K71),$T71*($H71+$J71+$K71))</f>
        <v>4.2299582129633029</v>
      </c>
      <c r="W71" s="553">
        <f t="shared" si="23"/>
        <v>1.1004941284059528</v>
      </c>
      <c r="X71" s="391"/>
      <c r="Y71" s="205"/>
      <c r="Z71" s="278">
        <v>0.68200000000000005</v>
      </c>
      <c r="AA71" s="278"/>
      <c r="AB71" s="492">
        <f t="shared" si="24"/>
        <v>0</v>
      </c>
      <c r="AC71" s="492">
        <f t="shared" si="30"/>
        <v>3.0324736630749971</v>
      </c>
      <c r="AD71" s="554">
        <f t="shared" si="31"/>
        <v>0</v>
      </c>
      <c r="AE71" s="200">
        <f>IF($I$2="DRT",VLOOKUP(A71,'Misc. Data &amp; Mechanisms'!$A$1483:$H$1574,8,FALSE),AQ71)</f>
        <v>8.2000000000000003E-2</v>
      </c>
      <c r="AF71" s="554">
        <f t="shared" si="18"/>
        <v>2.5420000000000003</v>
      </c>
      <c r="AG71" s="290">
        <v>1.0109999999999999</v>
      </c>
      <c r="AH71" s="494">
        <f t="shared" si="19"/>
        <v>4.4953531867578027</v>
      </c>
      <c r="AI71" s="495">
        <f>5%</f>
        <v>0.05</v>
      </c>
      <c r="AJ71" s="341">
        <f>'Misc. Data &amp; Mechanisms'!AN344</f>
        <v>4.5032434215348527</v>
      </c>
      <c r="AK71" s="424">
        <f>'Misc. Data &amp; Mechanisms'!AQ344</f>
        <v>4.7148114649840602</v>
      </c>
      <c r="AL71" s="424">
        <f>'Misc. Data &amp; Mechanisms'!AC344</f>
        <v>4.4464423212243354</v>
      </c>
      <c r="AM71" s="424">
        <f>'Misc. Data &amp; Mechanisms'!AD344</f>
        <v>2.8398308578206404</v>
      </c>
      <c r="AN71" s="1460">
        <f>'Misc. Data &amp; Mechanisms'!$B$260</f>
        <v>10.198990303636064</v>
      </c>
      <c r="AO71" s="197">
        <f>IFERROR(IF('Personalized Bill Menu'!$B$30="Yes", IF('Personalized Bill Menu'!$B$34="Natural Gas",VLOOKUP($A71, 'Personalized Bill Menu'!$H$4:$L$93, 2, FALSE), IF('Personalized Bill Menu'!$B$34="Both",VLOOKUP($A71,'Personalized Bill Menu'!$H$4:$P$93, 6, FALSE), 0)), 0),0)</f>
        <v>0</v>
      </c>
      <c r="AP71" s="1343">
        <f>IFERROR(IF('Personalized Bill Menu'!$C$37="Custom", IF('Personalized Bill Menu'!$B$34="Natural Gas",VLOOKUP($A71, 'Personalized Bill Menu'!$H$4:$L$93, 3, FALSE), IF('Personalized Bill Menu'!$B$34="Both",VLOOKUP($A71,'Personalized Bill Menu'!$H$4:$P$93, 7, FALSE), 0)), 0),0)</f>
        <v>0</v>
      </c>
      <c r="AQ71" s="1344">
        <f>IFERROR(IF('Personalized Bill Menu'!$C$37="Custom", IF('Personalized Bill Menu'!$B$34="Natural Gas",VLOOKUP($A71, 'Personalized Bill Menu'!$H$4:$L$93, 4, FALSE), IF('Personalized Bill Menu'!$B$34="Both",VLOOKUP($A71,'Personalized Bill Menu'!$H$4:$P$93, 8, FALSE), 0)), 0),0)</f>
        <v>0</v>
      </c>
    </row>
    <row r="72" spans="1:43" s="117" customFormat="1" x14ac:dyDescent="0.35">
      <c r="A72" s="496">
        <v>42887</v>
      </c>
      <c r="B72" s="497">
        <f t="shared" ref="B72:B96" si="34">DAY(DATE(YEAR($A72),MONTH($A72)+1,1)-1)</f>
        <v>30</v>
      </c>
      <c r="C72" s="1581">
        <f t="shared" ref="C72:C93" si="35">IFERROR(VLOOKUP($A72,$A$5:$AO$96,MATCH($I$1,$A$5:$AO$5,0),FALSE),0)</f>
        <v>3.2454693200146858</v>
      </c>
      <c r="D72" s="66">
        <f t="shared" ref="D72:D89" si="36">IFERROR($F72/$C72, "")</f>
        <v>23.900343547222406</v>
      </c>
      <c r="E72" s="66">
        <f>(1+$AI72)*IF(AND('Service Zone Menu'!$X$5="Athabasca", $A72&lt;DATE(2019, 5, 1)),((1+$T72+$U72)*($N72+((1+$X72+$Y72)*$P72)+$Z72+$AA72)) + $AG72,((1+$U72)*($N72+((1+$X72+$Y72)*$P72)+$Z72+$AA72))+($T72*(((1+$X72+$Y72)*$P72)+$Z72+$AA72)) + $AG72)</f>
        <v>9.8798310239999978</v>
      </c>
      <c r="F72" s="488">
        <f t="shared" si="32"/>
        <v>77.56783172032128</v>
      </c>
      <c r="G72" s="489">
        <f t="shared" ref="G72:G96" si="37">SUM($O72)</f>
        <v>15.591234613350551</v>
      </c>
      <c r="H72" s="490">
        <f t="shared" si="33"/>
        <v>44.593558062910603</v>
      </c>
      <c r="I72" s="490">
        <f t="shared" ref="I72:I96" si="38">SUM($V72:$W72)</f>
        <v>4.9623315147155109</v>
      </c>
      <c r="J72" s="490">
        <f t="shared" ref="J72:J96" si="39">SUM($AB72:$AD72)</f>
        <v>2.9858317744135112</v>
      </c>
      <c r="K72" s="490">
        <f t="shared" ref="K72:K96" si="40">SUM($AF72)</f>
        <v>2.46</v>
      </c>
      <c r="L72" s="490">
        <f t="shared" ref="L72:L81" si="41">AH72</f>
        <v>3.281169482534847</v>
      </c>
      <c r="M72" s="491">
        <f t="shared" ref="M72:M96" si="42">SUM($AI72)*SUM($G72:$L72)</f>
        <v>3.6937062723962515</v>
      </c>
      <c r="N72" s="273">
        <f>IF($I$2="DRT",VLOOKUP(A72,'Misc. Data &amp; Mechanisms'!$A$1381:$D$1471,4,FALSE),AP72)</f>
        <v>4.8040000000000003</v>
      </c>
      <c r="O72" s="552">
        <f t="shared" si="27"/>
        <v>15.591234613350551</v>
      </c>
      <c r="P72" s="387">
        <v>2.0840000000000001</v>
      </c>
      <c r="Q72" s="278">
        <v>1.2609999999999999</v>
      </c>
      <c r="R72" s="425">
        <f t="shared" si="28"/>
        <v>6.7635580629106054</v>
      </c>
      <c r="S72" s="425">
        <f t="shared" si="29"/>
        <v>37.83</v>
      </c>
      <c r="T72" s="391">
        <f>VLOOKUP($A72,'Misc. Data &amp; Mechanisms'!$A$63:$DY$152,HLOOKUP('Service Zone Menu'!$X$5&amp;"_AltaGas_NG_Y_1",'Misc. Data &amp; Mechanisms'!$A$55:$DY$62,8,FALSE), FALSE)</f>
        <v>0.06</v>
      </c>
      <c r="U72" s="205">
        <f>VLOOKUP($A72,'Misc. Data &amp; Mechanisms'!$A$63:$DY$152,HLOOKUP('Service Zone Menu'!$X$5&amp;"_AltaGas_NG_Y_2",'Misc. Data &amp; Mechanisms'!$A$55:$DY$62,8,FALSE), FALSE)</f>
        <v>1.5610000000000001E-2</v>
      </c>
      <c r="V72" s="425">
        <f>IF(AND('Service Zone Menu'!$X$5="Athabasca", $A72&lt;DATE(2019, 5, 1)),$T72*($G72+$H72+$J72+$K72),$T72*($H72+$J72+$K72))</f>
        <v>3.9378374670404792</v>
      </c>
      <c r="W72" s="553">
        <f t="shared" si="23"/>
        <v>1.0244940476750315</v>
      </c>
      <c r="X72" s="391"/>
      <c r="Y72" s="205"/>
      <c r="Z72" s="278">
        <v>0.92</v>
      </c>
      <c r="AA72" s="278"/>
      <c r="AB72" s="492">
        <f t="shared" si="24"/>
        <v>0</v>
      </c>
      <c r="AC72" s="492">
        <f t="shared" si="30"/>
        <v>2.9858317744135112</v>
      </c>
      <c r="AD72" s="554">
        <f t="shared" si="31"/>
        <v>0</v>
      </c>
      <c r="AE72" s="200">
        <f>IF($I$2="DRT",VLOOKUP(A72,'Misc. Data &amp; Mechanisms'!$A$1483:$H$1574,8,FALSE),AQ72)</f>
        <v>8.2000000000000003E-2</v>
      </c>
      <c r="AF72" s="554">
        <f t="shared" ref="AF72:AF96" si="43">IF($AE$6="$/day", $AE72*$B72, $AE72)</f>
        <v>2.46</v>
      </c>
      <c r="AG72" s="290">
        <v>1.0109999999999999</v>
      </c>
      <c r="AH72" s="494">
        <f t="shared" ref="AH72:AH81" si="44">AG72*C72</f>
        <v>3.281169482534847</v>
      </c>
      <c r="AI72" s="495">
        <f>5%</f>
        <v>0.05</v>
      </c>
      <c r="AJ72" s="341">
        <f>'Misc. Data &amp; Mechanisms'!AN345</f>
        <v>3.2869285845419496</v>
      </c>
      <c r="AK72" s="424">
        <f>'Misc. Data &amp; Mechanisms'!AQ345</f>
        <v>2.9399826368689084</v>
      </c>
      <c r="AL72" s="424">
        <f>'Misc. Data &amp; Mechanisms'!AC345</f>
        <v>3.2454693200146858</v>
      </c>
      <c r="AM72" s="424">
        <f>'Misc. Data &amp; Mechanisms'!AD345</f>
        <v>2.0727996130960884</v>
      </c>
      <c r="AN72" s="1460">
        <f>'Misc. Data &amp; Mechanisms'!$B$260</f>
        <v>10.198990303636064</v>
      </c>
      <c r="AO72" s="197">
        <f>IFERROR(IF('Personalized Bill Menu'!$B$30="Yes", IF('Personalized Bill Menu'!$B$34="Natural Gas",VLOOKUP($A72, 'Personalized Bill Menu'!$H$4:$L$93, 2, FALSE), IF('Personalized Bill Menu'!$B$34="Both",VLOOKUP($A72,'Personalized Bill Menu'!$H$4:$P$93, 6, FALSE), 0)), 0),0)</f>
        <v>0</v>
      </c>
      <c r="AP72" s="1343">
        <f>IFERROR(IF('Personalized Bill Menu'!$C$37="Custom", IF('Personalized Bill Menu'!$B$34="Natural Gas",VLOOKUP($A72, 'Personalized Bill Menu'!$H$4:$L$93, 3, FALSE), IF('Personalized Bill Menu'!$B$34="Both",VLOOKUP($A72,'Personalized Bill Menu'!$H$4:$P$93, 7, FALSE), 0)), 0),0)</f>
        <v>0</v>
      </c>
      <c r="AQ72" s="1344">
        <f>IFERROR(IF('Personalized Bill Menu'!$C$37="Custom", IF('Personalized Bill Menu'!$B$34="Natural Gas",VLOOKUP($A72, 'Personalized Bill Menu'!$H$4:$L$93, 4, FALSE), IF('Personalized Bill Menu'!$B$34="Both",VLOOKUP($A72,'Personalized Bill Menu'!$H$4:$P$93, 8, FALSE), 0)), 0),0)</f>
        <v>0</v>
      </c>
    </row>
    <row r="73" spans="1:43" s="117" customFormat="1" x14ac:dyDescent="0.35">
      <c r="A73" s="496">
        <v>42917</v>
      </c>
      <c r="B73" s="497">
        <f t="shared" si="34"/>
        <v>31</v>
      </c>
      <c r="C73" s="1581">
        <f t="shared" si="35"/>
        <v>1.9967167859726322</v>
      </c>
      <c r="D73" s="66">
        <f t="shared" si="36"/>
        <v>32.468464013656437</v>
      </c>
      <c r="E73" s="66">
        <f>(1+$AI73)*IF(AND('Service Zone Menu'!$X$5="Athabasca", $A73&lt;DATE(2019, 5, 1)),((1+$T73+$U73)*($N73+((1+$X73+$Y73)*$P73)+$Z73+$AA73)) + $AG73,((1+$U73)*($N73+((1+$X73+$Y73)*$P73)+$Z73+$AA73))+($T73*(((1+$X73+$Y73)*$P73)+$Z73+$AA73)) + $AG73)</f>
        <v>8.9198490990000003</v>
      </c>
      <c r="F73" s="488">
        <f t="shared" si="32"/>
        <v>64.830327110816157</v>
      </c>
      <c r="G73" s="489">
        <f t="shared" si="37"/>
        <v>5.7944721128925787</v>
      </c>
      <c r="H73" s="490">
        <f t="shared" si="33"/>
        <v>43.252157781966957</v>
      </c>
      <c r="I73" s="490">
        <f t="shared" si="38"/>
        <v>4.1983326095518638</v>
      </c>
      <c r="J73" s="490">
        <f t="shared" si="39"/>
        <v>3.9375255019380306</v>
      </c>
      <c r="K73" s="490">
        <f t="shared" si="40"/>
        <v>2.5420000000000003</v>
      </c>
      <c r="L73" s="490">
        <f t="shared" si="41"/>
        <v>2.0186806706183309</v>
      </c>
      <c r="M73" s="491">
        <f t="shared" si="42"/>
        <v>3.0871584338483884</v>
      </c>
      <c r="N73" s="273">
        <f>IF($I$2="DRT",VLOOKUP(A73,'Misc. Data &amp; Mechanisms'!$A$1381:$D$1471,4,FALSE),AP73)</f>
        <v>2.9020000000000001</v>
      </c>
      <c r="O73" s="552">
        <f t="shared" si="27"/>
        <v>5.7944721128925787</v>
      </c>
      <c r="P73" s="387">
        <v>2.0840000000000001</v>
      </c>
      <c r="Q73" s="278">
        <v>1.2609999999999999</v>
      </c>
      <c r="R73" s="425">
        <f t="shared" si="28"/>
        <v>4.1611577819669661</v>
      </c>
      <c r="S73" s="425">
        <f t="shared" si="29"/>
        <v>39.090999999999994</v>
      </c>
      <c r="T73" s="391">
        <f>VLOOKUP($A73,'Misc. Data &amp; Mechanisms'!$A$63:$DY$152,HLOOKUP('Service Zone Menu'!$X$5&amp;"_AltaGas_NG_Y_1",'Misc. Data &amp; Mechanisms'!$A$55:$DY$62,8,FALSE), FALSE)</f>
        <v>0.06</v>
      </c>
      <c r="U73" s="205">
        <f>VLOOKUP($A73,'Misc. Data &amp; Mechanisms'!$A$63:$DY$152,HLOOKUP('Service Zone Menu'!$X$5&amp;"_AltaGas_NG_Y_2",'Misc. Data &amp; Mechanisms'!$A$55:$DY$62,8,FALSE), FALSE)</f>
        <v>1.5610000000000001E-2</v>
      </c>
      <c r="V73" s="425">
        <f>IF(AND('Service Zone Menu'!$X$5="Athabasca", $A73&lt;DATE(2019, 5, 1)),$T73*($G73+$H73+$J73+$K73),$T73*($H73+$J73+$K73))</f>
        <v>3.3315693238078539</v>
      </c>
      <c r="W73" s="553">
        <f t="shared" si="23"/>
        <v>0.86676328574401007</v>
      </c>
      <c r="X73" s="391"/>
      <c r="Y73" s="205"/>
      <c r="Z73" s="278">
        <v>1.972</v>
      </c>
      <c r="AA73" s="278"/>
      <c r="AB73" s="492">
        <f t="shared" si="24"/>
        <v>0</v>
      </c>
      <c r="AC73" s="492">
        <f t="shared" si="30"/>
        <v>3.9375255019380306</v>
      </c>
      <c r="AD73" s="554">
        <f t="shared" si="31"/>
        <v>0</v>
      </c>
      <c r="AE73" s="200">
        <f>IF($I$2="DRT",VLOOKUP(A73,'Misc. Data &amp; Mechanisms'!$A$1483:$H$1574,8,FALSE),AQ73)</f>
        <v>8.2000000000000003E-2</v>
      </c>
      <c r="AF73" s="554">
        <f t="shared" si="43"/>
        <v>2.5420000000000003</v>
      </c>
      <c r="AG73" s="290">
        <v>1.0109999999999999</v>
      </c>
      <c r="AH73" s="494">
        <f t="shared" si="44"/>
        <v>2.0186806706183309</v>
      </c>
      <c r="AI73" s="495">
        <f>5%</f>
        <v>0.05</v>
      </c>
      <c r="AJ73" s="341">
        <f>'Misc. Data &amp; Mechanisms'!AN346</f>
        <v>2.0222238548286375</v>
      </c>
      <c r="AK73" s="424">
        <f>'Misc. Data &amp; Mechanisms'!AQ346</f>
        <v>2.4785051154381486</v>
      </c>
      <c r="AL73" s="424">
        <f>'Misc. Data &amp; Mechanisms'!AC346</f>
        <v>1.9967167859726322</v>
      </c>
      <c r="AM73" s="424">
        <f>'Misc. Data &amp; Mechanisms'!AD346</f>
        <v>1.2752527826723714</v>
      </c>
      <c r="AN73" s="1460">
        <f>'Misc. Data &amp; Mechanisms'!$B$260</f>
        <v>10.198990303636064</v>
      </c>
      <c r="AO73" s="197">
        <f>IFERROR(IF('Personalized Bill Menu'!$B$30="Yes", IF('Personalized Bill Menu'!$B$34="Natural Gas",VLOOKUP($A73, 'Personalized Bill Menu'!$H$4:$L$93, 2, FALSE), IF('Personalized Bill Menu'!$B$34="Both",VLOOKUP($A73,'Personalized Bill Menu'!$H$4:$P$93, 6, FALSE), 0)), 0),0)</f>
        <v>0</v>
      </c>
      <c r="AP73" s="1343">
        <f>IFERROR(IF('Personalized Bill Menu'!$C$37="Custom", IF('Personalized Bill Menu'!$B$34="Natural Gas",VLOOKUP($A73, 'Personalized Bill Menu'!$H$4:$L$93, 3, FALSE), IF('Personalized Bill Menu'!$B$34="Both",VLOOKUP($A73,'Personalized Bill Menu'!$H$4:$P$93, 7, FALSE), 0)), 0),0)</f>
        <v>0</v>
      </c>
      <c r="AQ73" s="1344">
        <f>IFERROR(IF('Personalized Bill Menu'!$C$37="Custom", IF('Personalized Bill Menu'!$B$34="Natural Gas",VLOOKUP($A73, 'Personalized Bill Menu'!$H$4:$L$93, 4, FALSE), IF('Personalized Bill Menu'!$B$34="Both",VLOOKUP($A73,'Personalized Bill Menu'!$H$4:$P$93, 8, FALSE), 0)), 0),0)</f>
        <v>0</v>
      </c>
    </row>
    <row r="74" spans="1:43" s="117" customFormat="1" x14ac:dyDescent="0.35">
      <c r="A74" s="496">
        <v>42948</v>
      </c>
      <c r="B74" s="497">
        <f t="shared" si="34"/>
        <v>31</v>
      </c>
      <c r="C74" s="1581">
        <f t="shared" si="35"/>
        <v>2.5662077718413112</v>
      </c>
      <c r="D74" s="66">
        <f t="shared" si="36"/>
        <v>25.332772967148532</v>
      </c>
      <c r="E74" s="66">
        <f>(1+$AI74)*IF(AND('Service Zone Menu'!$X$5="Athabasca", $A74&lt;DATE(2019, 5, 1)),((1+$T74+$U74)*($N74+((1+$X74+$Y74)*$P74)+$Z74+$AA74)) + $AG74,((1+$U74)*($N74+((1+$X74+$Y74)*$P74)+$Z74+$AA74))+($T74*(((1+$X74+$Y74)*$P74)+$Z74+$AA74)) + $AG74)</f>
        <v>7.0100497635000005</v>
      </c>
      <c r="F74" s="488">
        <f t="shared" si="32"/>
        <v>65.009158870588038</v>
      </c>
      <c r="G74" s="489">
        <f t="shared" si="37"/>
        <v>5.3094838799396724</v>
      </c>
      <c r="H74" s="490">
        <f t="shared" si="33"/>
        <v>44.438976996517283</v>
      </c>
      <c r="I74" s="490">
        <f t="shared" si="38"/>
        <v>4.1698322470355293</v>
      </c>
      <c r="J74" s="490">
        <f t="shared" si="39"/>
        <v>2.8587554578312209</v>
      </c>
      <c r="K74" s="490">
        <f t="shared" si="40"/>
        <v>2.5420000000000003</v>
      </c>
      <c r="L74" s="490">
        <f t="shared" si="41"/>
        <v>2.5944360573315652</v>
      </c>
      <c r="M74" s="491">
        <f t="shared" si="42"/>
        <v>3.0956742319327635</v>
      </c>
      <c r="N74" s="273">
        <f>IF($I$2="DRT",VLOOKUP(A74,'Misc. Data &amp; Mechanisms'!$A$1381:$D$1471,4,FALSE),AP74)</f>
        <v>2.069</v>
      </c>
      <c r="O74" s="552">
        <f t="shared" si="27"/>
        <v>5.3094838799396724</v>
      </c>
      <c r="P74" s="387">
        <v>2.0840000000000001</v>
      </c>
      <c r="Q74" s="278">
        <v>1.2609999999999999</v>
      </c>
      <c r="R74" s="425">
        <f t="shared" si="28"/>
        <v>5.3479769965172927</v>
      </c>
      <c r="S74" s="425">
        <f t="shared" si="29"/>
        <v>39.090999999999994</v>
      </c>
      <c r="T74" s="391">
        <f>VLOOKUP($A74,'Misc. Data &amp; Mechanisms'!$A$63:$DY$152,HLOOKUP('Service Zone Menu'!$X$5&amp;"_AltaGas_NG_Y_1",'Misc. Data &amp; Mechanisms'!$A$55:$DY$62,8,FALSE), FALSE)</f>
        <v>0.06</v>
      </c>
      <c r="U74" s="205">
        <f>VLOOKUP($A74,'Misc. Data &amp; Mechanisms'!$A$63:$DY$152,HLOOKUP('Service Zone Menu'!$X$5&amp;"_AltaGas_NG_Y_2",'Misc. Data &amp; Mechanisms'!$A$55:$DY$62,8,FALSE), FALSE)</f>
        <v>1.5610000000000001E-2</v>
      </c>
      <c r="V74" s="425">
        <f>IF(AND('Service Zone Menu'!$X$5="Athabasca", $A74&lt;DATE(2019, 5, 1)),$T74*($G74+$H74+$J74+$K74),$T74*($H74+$J74+$K74))</f>
        <v>3.3089529800572905</v>
      </c>
      <c r="W74" s="553">
        <f t="shared" si="23"/>
        <v>0.86087926697823847</v>
      </c>
      <c r="X74" s="391"/>
      <c r="Y74" s="205"/>
      <c r="Z74" s="278">
        <v>1.1140000000000001</v>
      </c>
      <c r="AA74" s="278"/>
      <c r="AB74" s="492">
        <f t="shared" si="24"/>
        <v>0</v>
      </c>
      <c r="AC74" s="492">
        <f t="shared" si="30"/>
        <v>2.8587554578312209</v>
      </c>
      <c r="AD74" s="554">
        <f t="shared" si="31"/>
        <v>0</v>
      </c>
      <c r="AE74" s="200">
        <f>IF($I$2="DRT",VLOOKUP(A74,'Misc. Data &amp; Mechanisms'!$A$1483:$H$1574,8,FALSE),AQ74)</f>
        <v>8.2000000000000003E-2</v>
      </c>
      <c r="AF74" s="554">
        <f t="shared" si="43"/>
        <v>2.5420000000000003</v>
      </c>
      <c r="AG74" s="290">
        <v>1.0109999999999999</v>
      </c>
      <c r="AH74" s="494">
        <f t="shared" si="44"/>
        <v>2.5944360573315652</v>
      </c>
      <c r="AI74" s="495">
        <f>5%</f>
        <v>0.05</v>
      </c>
      <c r="AJ74" s="341">
        <f>'Misc. Data &amp; Mechanisms'!AN347</f>
        <v>2.5989898062264669</v>
      </c>
      <c r="AK74" s="424">
        <f>'Misc. Data &amp; Mechanisms'!AQ347</f>
        <v>2.5725644768507392</v>
      </c>
      <c r="AL74" s="424">
        <f>'Misc. Data &amp; Mechanisms'!AC347</f>
        <v>2.5662077718413112</v>
      </c>
      <c r="AM74" s="424">
        <f>'Misc. Data &amp; Mechanisms'!AD347</f>
        <v>1.6389723494821931</v>
      </c>
      <c r="AN74" s="1460">
        <f>'Misc. Data &amp; Mechanisms'!$B$260</f>
        <v>10.198990303636064</v>
      </c>
      <c r="AO74" s="197">
        <f>IFERROR(IF('Personalized Bill Menu'!$B$30="Yes", IF('Personalized Bill Menu'!$B$34="Natural Gas",VLOOKUP($A74, 'Personalized Bill Menu'!$H$4:$L$93, 2, FALSE), IF('Personalized Bill Menu'!$B$34="Both",VLOOKUP($A74,'Personalized Bill Menu'!$H$4:$P$93, 6, FALSE), 0)), 0),0)</f>
        <v>0</v>
      </c>
      <c r="AP74" s="1343">
        <f>IFERROR(IF('Personalized Bill Menu'!$C$37="Custom", IF('Personalized Bill Menu'!$B$34="Natural Gas",VLOOKUP($A74, 'Personalized Bill Menu'!$H$4:$L$93, 3, FALSE), IF('Personalized Bill Menu'!$B$34="Both",VLOOKUP($A74,'Personalized Bill Menu'!$H$4:$P$93, 7, FALSE), 0)), 0),0)</f>
        <v>0</v>
      </c>
      <c r="AQ74" s="1344">
        <f>IFERROR(IF('Personalized Bill Menu'!$C$37="Custom", IF('Personalized Bill Menu'!$B$34="Natural Gas",VLOOKUP($A74, 'Personalized Bill Menu'!$H$4:$L$93, 4, FALSE), IF('Personalized Bill Menu'!$B$34="Both",VLOOKUP($A74,'Personalized Bill Menu'!$H$4:$P$93, 8, FALSE), 0)), 0),0)</f>
        <v>0</v>
      </c>
    </row>
    <row r="75" spans="1:43" s="117" customFormat="1" x14ac:dyDescent="0.35">
      <c r="A75" s="496">
        <v>42979</v>
      </c>
      <c r="B75" s="497">
        <f t="shared" si="34"/>
        <v>30</v>
      </c>
      <c r="C75" s="1581">
        <f t="shared" si="35"/>
        <v>4.1562546412726631</v>
      </c>
      <c r="D75" s="66">
        <f t="shared" si="36"/>
        <v>16.609669971299976</v>
      </c>
      <c r="E75" s="66">
        <f>(1+$AI75)*IF(AND('Service Zone Menu'!$X$5="Athabasca", $A75&lt;DATE(2019, 5, 1)),((1+$T75+$U75)*($N75+((1+$X75+$Y75)*$P75)+$Z75+$AA75)) + $AG75,((1+$U75)*($N75+((1+$X75+$Y75)*$P75)+$Z75+$AA75))+($T75*(((1+$X75+$Y75)*$P75)+$Z75+$AA75)) + $AG75)</f>
        <v>5.6615575065000003</v>
      </c>
      <c r="F75" s="488">
        <f t="shared" si="32"/>
        <v>69.034017908222708</v>
      </c>
      <c r="G75" s="489">
        <f t="shared" si="37"/>
        <v>5.0332243705811957</v>
      </c>
      <c r="H75" s="490">
        <f t="shared" si="33"/>
        <v>46.491634672412232</v>
      </c>
      <c r="I75" s="490">
        <f t="shared" si="38"/>
        <v>4.3262851258866482</v>
      </c>
      <c r="J75" s="490">
        <f t="shared" si="39"/>
        <v>3.2335661109101319</v>
      </c>
      <c r="K75" s="490">
        <f t="shared" si="40"/>
        <v>2.46</v>
      </c>
      <c r="L75" s="490">
        <f t="shared" si="41"/>
        <v>4.2019734423266621</v>
      </c>
      <c r="M75" s="491">
        <f t="shared" si="42"/>
        <v>3.2873341861058436</v>
      </c>
      <c r="N75" s="273">
        <f>IF($I$2="DRT",VLOOKUP(A75,'Misc. Data &amp; Mechanisms'!$A$1381:$D$1471,4,FALSE),AP75)</f>
        <v>1.2110000000000001</v>
      </c>
      <c r="O75" s="552">
        <f t="shared" si="27"/>
        <v>5.0332243705811957</v>
      </c>
      <c r="P75" s="387">
        <v>2.0840000000000001</v>
      </c>
      <c r="Q75" s="278">
        <v>1.2609999999999999</v>
      </c>
      <c r="R75" s="425">
        <f t="shared" si="28"/>
        <v>8.6616346724122302</v>
      </c>
      <c r="S75" s="425">
        <f t="shared" si="29"/>
        <v>37.83</v>
      </c>
      <c r="T75" s="391">
        <f>VLOOKUP($A75,'Misc. Data &amp; Mechanisms'!$A$63:$DY$152,HLOOKUP('Service Zone Menu'!$X$5&amp;"_AltaGas_NG_Y_1",'Misc. Data &amp; Mechanisms'!$A$55:$DY$62,8,FALSE), FALSE)</f>
        <v>0.06</v>
      </c>
      <c r="U75" s="205">
        <f>VLOOKUP($A75,'Misc. Data &amp; Mechanisms'!$A$63:$DY$152,HLOOKUP('Service Zone Menu'!$X$5&amp;"_AltaGas_NG_Y_2",'Misc. Data &amp; Mechanisms'!$A$55:$DY$62,8,FALSE), FALSE)</f>
        <v>1.5610000000000001E-2</v>
      </c>
      <c r="V75" s="425">
        <f>IF(AND('Service Zone Menu'!$X$5="Athabasca", $A75&lt;DATE(2019, 5, 1)),$T75*($G75+$H75+$J75+$K75),$T75*($H75+$J75+$K75))</f>
        <v>3.4331055092342133</v>
      </c>
      <c r="W75" s="553">
        <f t="shared" si="23"/>
        <v>0.89317961665243462</v>
      </c>
      <c r="X75" s="391"/>
      <c r="Y75" s="205"/>
      <c r="Z75" s="278">
        <v>0.77800000000000002</v>
      </c>
      <c r="AA75" s="278"/>
      <c r="AB75" s="492">
        <f t="shared" si="24"/>
        <v>0</v>
      </c>
      <c r="AC75" s="492">
        <f t="shared" si="30"/>
        <v>3.2335661109101319</v>
      </c>
      <c r="AD75" s="554">
        <f t="shared" si="31"/>
        <v>0</v>
      </c>
      <c r="AE75" s="200">
        <f>IF($I$2="DRT",VLOOKUP(A75,'Misc. Data &amp; Mechanisms'!$A$1483:$H$1574,8,FALSE),AQ75)</f>
        <v>8.2000000000000003E-2</v>
      </c>
      <c r="AF75" s="554">
        <f t="shared" si="43"/>
        <v>2.46</v>
      </c>
      <c r="AG75" s="290">
        <v>1.0109999999999999</v>
      </c>
      <c r="AH75" s="494">
        <f t="shared" si="44"/>
        <v>4.2019734423266621</v>
      </c>
      <c r="AI75" s="495">
        <f>5%</f>
        <v>0.05</v>
      </c>
      <c r="AJ75" s="341">
        <f>'Misc. Data &amp; Mechanisms'!AN348</f>
        <v>4.2093487375725509</v>
      </c>
      <c r="AK75" s="424">
        <f>'Misc. Data &amp; Mechanisms'!AQ348</f>
        <v>4.9608520612653884</v>
      </c>
      <c r="AL75" s="424">
        <f>'Misc. Data &amp; Mechanisms'!AC348</f>
        <v>4.1562546412726631</v>
      </c>
      <c r="AM75" s="424">
        <f>'Misc. Data &amp; Mechanisms'!AD348</f>
        <v>2.6544952864690199</v>
      </c>
      <c r="AN75" s="1460">
        <f>'Misc. Data &amp; Mechanisms'!$B$260</f>
        <v>10.198990303636064</v>
      </c>
      <c r="AO75" s="197">
        <f>IFERROR(IF('Personalized Bill Menu'!$B$30="Yes", IF('Personalized Bill Menu'!$B$34="Natural Gas",VLOOKUP($A75, 'Personalized Bill Menu'!$H$4:$L$93, 2, FALSE), IF('Personalized Bill Menu'!$B$34="Both",VLOOKUP($A75,'Personalized Bill Menu'!$H$4:$P$93, 6, FALSE), 0)), 0),0)</f>
        <v>0</v>
      </c>
      <c r="AP75" s="1343">
        <f>IFERROR(IF('Personalized Bill Menu'!$C$37="Custom", IF('Personalized Bill Menu'!$B$34="Natural Gas",VLOOKUP($A75, 'Personalized Bill Menu'!$H$4:$L$93, 3, FALSE), IF('Personalized Bill Menu'!$B$34="Both",VLOOKUP($A75,'Personalized Bill Menu'!$H$4:$P$93, 7, FALSE), 0)), 0),0)</f>
        <v>0</v>
      </c>
      <c r="AQ75" s="1344">
        <f>IFERROR(IF('Personalized Bill Menu'!$C$37="Custom", IF('Personalized Bill Menu'!$B$34="Natural Gas",VLOOKUP($A75, 'Personalized Bill Menu'!$H$4:$L$93, 4, FALSE), IF('Personalized Bill Menu'!$B$34="Both",VLOOKUP($A75,'Personalized Bill Menu'!$H$4:$P$93, 8, FALSE), 0)), 0),0)</f>
        <v>0</v>
      </c>
    </row>
    <row r="76" spans="1:43" s="117" customFormat="1" x14ac:dyDescent="0.35">
      <c r="A76" s="496">
        <v>43009</v>
      </c>
      <c r="B76" s="497">
        <f t="shared" si="34"/>
        <v>31</v>
      </c>
      <c r="C76" s="1581">
        <f t="shared" si="35"/>
        <v>9.980629210348571</v>
      </c>
      <c r="D76" s="66">
        <f t="shared" si="36"/>
        <v>10.393003810325386</v>
      </c>
      <c r="E76" s="66">
        <f>(1+$AI76)*IF(AND('Service Zone Menu'!$X$5="Athabasca", $A76&lt;DATE(2019, 5, 1)),((1+$T76+$U76)*($N76+((1+$X76+$Y76)*$P76)+$Z76+$AA76)) + $AG76,((1+$U76)*($N76+((1+$X76+$Y76)*$P76)+$Z76+$AA76))+($T76*(((1+$X76+$Y76)*$P76)+$Z76+$AA76)) + $AG76)</f>
        <v>5.6818865354999994</v>
      </c>
      <c r="F76" s="488">
        <f t="shared" si="32"/>
        <v>103.72871741259755</v>
      </c>
      <c r="G76" s="489">
        <f t="shared" si="37"/>
        <v>15.160575770519479</v>
      </c>
      <c r="H76" s="490">
        <f t="shared" si="33"/>
        <v>59.890631274366413</v>
      </c>
      <c r="I76" s="490">
        <f t="shared" si="38"/>
        <v>6.2350844474659173</v>
      </c>
      <c r="J76" s="490">
        <f t="shared" si="39"/>
        <v>4.8705470546501024</v>
      </c>
      <c r="K76" s="490">
        <f t="shared" si="40"/>
        <v>2.5420000000000003</v>
      </c>
      <c r="L76" s="490">
        <f t="shared" si="41"/>
        <v>10.090416131662405</v>
      </c>
      <c r="M76" s="491">
        <f t="shared" si="42"/>
        <v>4.9394627339332171</v>
      </c>
      <c r="N76" s="273">
        <f>IF($I$2="DRT",VLOOKUP(A76,'Misc. Data &amp; Mechanisms'!$A$1381:$D$1471,4,FALSE),AP76)</f>
        <v>1.5189999999999999</v>
      </c>
      <c r="O76" s="552">
        <f t="shared" si="27"/>
        <v>15.160575770519479</v>
      </c>
      <c r="P76" s="387">
        <v>2.0840000000000001</v>
      </c>
      <c r="Q76" s="278">
        <v>1.2609999999999999</v>
      </c>
      <c r="R76" s="425">
        <f t="shared" si="28"/>
        <v>20.799631274366423</v>
      </c>
      <c r="S76" s="425">
        <f t="shared" si="29"/>
        <v>39.090999999999994</v>
      </c>
      <c r="T76" s="391">
        <f>VLOOKUP($A76,'Misc. Data &amp; Mechanisms'!$A$63:$DY$152,HLOOKUP('Service Zone Menu'!$X$5&amp;"_AltaGas_NG_Y_1",'Misc. Data &amp; Mechanisms'!$A$55:$DY$62,8,FALSE), FALSE)</f>
        <v>0.06</v>
      </c>
      <c r="U76" s="205">
        <f>VLOOKUP($A76,'Misc. Data &amp; Mechanisms'!$A$63:$DY$152,HLOOKUP('Service Zone Menu'!$X$5&amp;"_AltaGas_NG_Y_2",'Misc. Data &amp; Mechanisms'!$A$55:$DY$62,8,FALSE), FALSE)</f>
        <v>1.5610000000000001E-2</v>
      </c>
      <c r="V76" s="425">
        <f>IF(AND('Service Zone Menu'!$X$5="Athabasca", $A76&lt;DATE(2019, 5, 1)),$T76*($G76+$H76+$J76+$K76),$T76*($H76+$J76+$K76))</f>
        <v>4.9478252459721599</v>
      </c>
      <c r="W76" s="553">
        <f t="shared" si="23"/>
        <v>1.2872592014937572</v>
      </c>
      <c r="X76" s="391"/>
      <c r="Y76" s="205"/>
      <c r="Z76" s="296">
        <v>0.48799999999999999</v>
      </c>
      <c r="AA76" s="296"/>
      <c r="AB76" s="492">
        <f t="shared" si="24"/>
        <v>0</v>
      </c>
      <c r="AC76" s="492">
        <f t="shared" si="30"/>
        <v>4.8705470546501024</v>
      </c>
      <c r="AD76" s="554">
        <f t="shared" si="31"/>
        <v>0</v>
      </c>
      <c r="AE76" s="200">
        <f>IF($I$2="DRT",VLOOKUP(A76,'Misc. Data &amp; Mechanisms'!$A$1483:$H$1574,8,FALSE),AQ76)</f>
        <v>8.2000000000000003E-2</v>
      </c>
      <c r="AF76" s="554">
        <f t="shared" si="43"/>
        <v>2.5420000000000003</v>
      </c>
      <c r="AG76" s="290">
        <v>1.0109999999999999</v>
      </c>
      <c r="AH76" s="494">
        <f t="shared" si="44"/>
        <v>10.090416131662405</v>
      </c>
      <c r="AI76" s="495">
        <f>5%</f>
        <v>0.05</v>
      </c>
      <c r="AJ76" s="341">
        <f>'Misc. Data &amp; Mechanisms'!AN349</f>
        <v>10.108126809548956</v>
      </c>
      <c r="AK76" s="424">
        <f>'Misc. Data &amp; Mechanisms'!AQ349</f>
        <v>10.184344619690055</v>
      </c>
      <c r="AL76" s="424">
        <f>'Misc. Data &amp; Mechanisms'!AC349</f>
        <v>9.980629210348571</v>
      </c>
      <c r="AM76" s="424">
        <f>'Misc. Data &amp; Mechanisms'!AD349</f>
        <v>6.3743768083355121</v>
      </c>
      <c r="AN76" s="1460">
        <f>'Misc. Data &amp; Mechanisms'!$B$260</f>
        <v>10.198990303636064</v>
      </c>
      <c r="AO76" s="197">
        <f>IFERROR(IF('Personalized Bill Menu'!$B$30="Yes", IF('Personalized Bill Menu'!$B$34="Natural Gas",VLOOKUP($A76, 'Personalized Bill Menu'!$H$4:$L$93, 2, FALSE), IF('Personalized Bill Menu'!$B$34="Both",VLOOKUP($A76,'Personalized Bill Menu'!$H$4:$P$93, 6, FALSE), 0)), 0),0)</f>
        <v>0</v>
      </c>
      <c r="AP76" s="1343">
        <f>IFERROR(IF('Personalized Bill Menu'!$C$37="Custom", IF('Personalized Bill Menu'!$B$34="Natural Gas",VLOOKUP($A76, 'Personalized Bill Menu'!$H$4:$L$93, 3, FALSE), IF('Personalized Bill Menu'!$B$34="Both",VLOOKUP($A76,'Personalized Bill Menu'!$H$4:$P$93, 7, FALSE), 0)), 0),0)</f>
        <v>0</v>
      </c>
      <c r="AQ76" s="1344">
        <f>IFERROR(IF('Personalized Bill Menu'!$C$37="Custom", IF('Personalized Bill Menu'!$B$34="Natural Gas",VLOOKUP($A76, 'Personalized Bill Menu'!$H$4:$L$93, 4, FALSE), IF('Personalized Bill Menu'!$B$34="Both",VLOOKUP($A76,'Personalized Bill Menu'!$H$4:$P$93, 8, FALSE), 0)), 0),0)</f>
        <v>0</v>
      </c>
    </row>
    <row r="77" spans="1:43" s="117" customFormat="1" x14ac:dyDescent="0.35">
      <c r="A77" s="496">
        <v>43040</v>
      </c>
      <c r="B77" s="497">
        <f t="shared" si="34"/>
        <v>30</v>
      </c>
      <c r="C77" s="1581">
        <f t="shared" si="35"/>
        <v>18.421617845928594</v>
      </c>
      <c r="D77" s="66">
        <f t="shared" si="36"/>
        <v>8.0717946532201221</v>
      </c>
      <c r="E77" s="66">
        <f>(1+$AI77)*IF(AND('Service Zone Menu'!$X$5="Athabasca", $A77&lt;DATE(2019, 5, 1)),((1+$T77+$U77)*($N77+((1+$X77+$Y77)*$P77)+$Z77+$AA77)) + $AG77,((1+$U77)*($N77+((1+$X77+$Y77)*$P77)+$Z77+$AA77))+($T77*(((1+$X77+$Y77)*$P77)+$Z77+$AA77)) + $AG77)</f>
        <v>5.6016998100000004</v>
      </c>
      <c r="F77" s="488">
        <f t="shared" si="32"/>
        <v>148.69551643243082</v>
      </c>
      <c r="G77" s="489">
        <f t="shared" si="37"/>
        <v>30.856209891930398</v>
      </c>
      <c r="H77" s="490">
        <f t="shared" si="33"/>
        <v>76.220651590915196</v>
      </c>
      <c r="I77" s="490">
        <f t="shared" si="38"/>
        <v>8.6456181718292573</v>
      </c>
      <c r="J77" s="490">
        <f t="shared" si="39"/>
        <v>4.8080422577873634</v>
      </c>
      <c r="K77" s="490">
        <f t="shared" si="40"/>
        <v>2.46</v>
      </c>
      <c r="L77" s="490">
        <f t="shared" si="41"/>
        <v>18.624255642233805</v>
      </c>
      <c r="M77" s="491">
        <f t="shared" si="42"/>
        <v>7.0807388777348015</v>
      </c>
      <c r="N77" s="273">
        <f>IF($I$2="DRT",VLOOKUP(A77,'Misc. Data &amp; Mechanisms'!$A$1381:$D$1471,4,FALSE),AP77)</f>
        <v>1.675</v>
      </c>
      <c r="O77" s="552">
        <f t="shared" si="27"/>
        <v>30.856209891930398</v>
      </c>
      <c r="P77" s="387">
        <v>2.0840000000000001</v>
      </c>
      <c r="Q77" s="278">
        <v>1.2609999999999999</v>
      </c>
      <c r="R77" s="425">
        <f t="shared" si="28"/>
        <v>38.390651590915191</v>
      </c>
      <c r="S77" s="425">
        <f t="shared" si="29"/>
        <v>37.83</v>
      </c>
      <c r="T77" s="391">
        <f>VLOOKUP($A77,'Misc. Data &amp; Mechanisms'!$A$63:$DY$152,HLOOKUP('Service Zone Menu'!$X$5&amp;"_AltaGas_NG_Y_1",'Misc. Data &amp; Mechanisms'!$A$55:$DY$62,8,FALSE), FALSE)</f>
        <v>0.06</v>
      </c>
      <c r="U77" s="205">
        <f>VLOOKUP($A77,'Misc. Data &amp; Mechanisms'!$A$63:$DY$152,HLOOKUP('Service Zone Menu'!$X$5&amp;"_AltaGas_NG_Y_2",'Misc. Data &amp; Mechanisms'!$A$55:$DY$62,8,FALSE), FALSE)</f>
        <v>1.5610000000000001E-2</v>
      </c>
      <c r="V77" s="425">
        <f>IF(AND('Service Zone Menu'!$X$5="Athabasca", $A77&lt;DATE(2019, 5, 1)),$T77*($G77+$H77+$J77+$K77),$T77*($H77+$J77+$K77))</f>
        <v>6.8606942244379772</v>
      </c>
      <c r="W77" s="553">
        <f t="shared" si="23"/>
        <v>1.7849239473912806</v>
      </c>
      <c r="X77" s="391"/>
      <c r="Y77" s="205"/>
      <c r="Z77" s="278">
        <v>0.26100000000000001</v>
      </c>
      <c r="AA77" s="278"/>
      <c r="AB77" s="492">
        <f t="shared" si="24"/>
        <v>0</v>
      </c>
      <c r="AC77" s="492">
        <f t="shared" si="30"/>
        <v>4.8080422577873634</v>
      </c>
      <c r="AD77" s="554">
        <f t="shared" si="31"/>
        <v>0</v>
      </c>
      <c r="AE77" s="200">
        <f>IF($I$2="DRT",VLOOKUP(A77,'Misc. Data &amp; Mechanisms'!$A$1483:$H$1574,8,FALSE),AQ77)</f>
        <v>8.2000000000000003E-2</v>
      </c>
      <c r="AF77" s="554">
        <f t="shared" si="43"/>
        <v>2.46</v>
      </c>
      <c r="AG77" s="290">
        <v>1.0109999999999999</v>
      </c>
      <c r="AH77" s="494">
        <f t="shared" si="44"/>
        <v>18.624255642233805</v>
      </c>
      <c r="AI77" s="495">
        <f>5%</f>
        <v>0.05</v>
      </c>
      <c r="AJ77" s="341">
        <f>'Misc. Data &amp; Mechanisms'!AN350</f>
        <v>18.656944897885154</v>
      </c>
      <c r="AK77" s="424">
        <f>'Misc. Data &amp; Mechanisms'!AQ350</f>
        <v>19.181580192680293</v>
      </c>
      <c r="AL77" s="424">
        <f>'Misc. Data &amp; Mechanisms'!AC350</f>
        <v>18.421617845928594</v>
      </c>
      <c r="AM77" s="424">
        <f>'Misc. Data &amp; Mechanisms'!AD350</f>
        <v>11.765423912086774</v>
      </c>
      <c r="AN77" s="1460">
        <f>'Misc. Data &amp; Mechanisms'!$B$260</f>
        <v>10.198990303636064</v>
      </c>
      <c r="AO77" s="197">
        <f>IFERROR(IF('Personalized Bill Menu'!$B$30="Yes", IF('Personalized Bill Menu'!$B$34="Natural Gas",VLOOKUP($A77, 'Personalized Bill Menu'!$H$4:$L$93, 2, FALSE), IF('Personalized Bill Menu'!$B$34="Both",VLOOKUP($A77,'Personalized Bill Menu'!$H$4:$P$93, 6, FALSE), 0)), 0),0)</f>
        <v>0</v>
      </c>
      <c r="AP77" s="1343">
        <f>IFERROR(IF('Personalized Bill Menu'!$C$37="Custom", IF('Personalized Bill Menu'!$B$34="Natural Gas",VLOOKUP($A77, 'Personalized Bill Menu'!$H$4:$L$93, 3, FALSE), IF('Personalized Bill Menu'!$B$34="Both",VLOOKUP($A77,'Personalized Bill Menu'!$H$4:$P$93, 7, FALSE), 0)), 0),0)</f>
        <v>0</v>
      </c>
      <c r="AQ77" s="1344">
        <f>IFERROR(IF('Personalized Bill Menu'!$C$37="Custom", IF('Personalized Bill Menu'!$B$34="Natural Gas",VLOOKUP($A77, 'Personalized Bill Menu'!$H$4:$L$93, 4, FALSE), IF('Personalized Bill Menu'!$B$34="Both",VLOOKUP($A77,'Personalized Bill Menu'!$H$4:$P$93, 8, FALSE), 0)), 0),0)</f>
        <v>0</v>
      </c>
    </row>
    <row r="78" spans="1:43" s="117" customFormat="1" x14ac:dyDescent="0.35">
      <c r="A78" s="508">
        <v>43070</v>
      </c>
      <c r="B78" s="509">
        <f t="shared" si="34"/>
        <v>31</v>
      </c>
      <c r="C78" s="231">
        <f t="shared" si="35"/>
        <v>20.911727180916632</v>
      </c>
      <c r="D78" s="344">
        <f t="shared" si="36"/>
        <v>8.4555481504623984</v>
      </c>
      <c r="E78" s="344">
        <f>(1+$AI78)*IF(AND('Service Zone Menu'!$X$5="Athabasca", $A78&lt;DATE(2019, 5, 1)),((1+$T78+$U78)*($N78+((1+$X78+$Y78)*$P78)+$Z78+$AA78)) + $AG78,((1+$U78)*($N78+((1+$X78+$Y78)*$P78)+$Z78+$AA78))+($T78*(((1+$X78+$Y78)*$P78)+$Z78+$AA78)) + $AG78)</f>
        <v>6.2070531180000001</v>
      </c>
      <c r="F78" s="510">
        <f t="shared" si="32"/>
        <v>176.82011608757389</v>
      </c>
      <c r="G78" s="511">
        <f t="shared" si="37"/>
        <v>46.298563978549424</v>
      </c>
      <c r="H78" s="512">
        <f t="shared" si="33"/>
        <v>82.67103944503026</v>
      </c>
      <c r="I78" s="512">
        <f t="shared" si="38"/>
        <v>10.351525343431328</v>
      </c>
      <c r="J78" s="512">
        <f t="shared" si="39"/>
        <v>5.3952256126764908</v>
      </c>
      <c r="K78" s="512">
        <f t="shared" si="40"/>
        <v>2.5420000000000003</v>
      </c>
      <c r="L78" s="512">
        <f>AH78</f>
        <v>21.141756179906714</v>
      </c>
      <c r="M78" s="513">
        <f t="shared" si="42"/>
        <v>8.4200055279797095</v>
      </c>
      <c r="N78" s="1243">
        <f>IF($I$2="DRT",VLOOKUP(A78,'Misc. Data &amp; Mechanisms'!$A$1381:$D$1471,4,FALSE),AP78)</f>
        <v>2.214</v>
      </c>
      <c r="O78" s="558">
        <f t="shared" si="27"/>
        <v>46.298563978549424</v>
      </c>
      <c r="P78" s="438">
        <v>2.0840000000000001</v>
      </c>
      <c r="Q78" s="283">
        <v>1.2609999999999999</v>
      </c>
      <c r="R78" s="440">
        <f t="shared" si="28"/>
        <v>43.580039445030259</v>
      </c>
      <c r="S78" s="440">
        <f t="shared" si="29"/>
        <v>39.090999999999994</v>
      </c>
      <c r="T78" s="394">
        <f>VLOOKUP($A78,'Misc. Data &amp; Mechanisms'!$A$63:$DY$152,HLOOKUP('Service Zone Menu'!$X$5&amp;"_AltaGas_NG_Y_1",'Misc. Data &amp; Mechanisms'!$A$55:$DY$62,8,FALSE), FALSE)</f>
        <v>0.06</v>
      </c>
      <c r="U78" s="246">
        <f>VLOOKUP($A78,'Misc. Data &amp; Mechanisms'!$A$63:$DY$152,HLOOKUP('Service Zone Menu'!$X$5&amp;"_AltaGas_NG_Y_2",'Misc. Data &amp; Mechanisms'!$A$55:$DY$62,8,FALSE), FALSE)</f>
        <v>1.5610000000000001E-2</v>
      </c>
      <c r="V78" s="440">
        <f>IF(AND('Service Zone Menu'!$X$5="Athabasca", $A78&lt;DATE(2019, 5, 1)),$T78*($G78+$H78+$J78+$K78),$T78*($H78+$J78+$K78))</f>
        <v>8.2144097421753699</v>
      </c>
      <c r="W78" s="559">
        <f t="shared" si="23"/>
        <v>2.1371156012559589</v>
      </c>
      <c r="X78" s="394"/>
      <c r="Y78" s="246"/>
      <c r="Z78" s="283">
        <v>0.25800000000000001</v>
      </c>
      <c r="AA78" s="283"/>
      <c r="AB78" s="514">
        <f t="shared" si="24"/>
        <v>0</v>
      </c>
      <c r="AC78" s="514">
        <f t="shared" si="30"/>
        <v>5.3952256126764908</v>
      </c>
      <c r="AD78" s="560">
        <f t="shared" si="31"/>
        <v>0</v>
      </c>
      <c r="AE78" s="239">
        <f>IF($I$2="DRT",VLOOKUP(A78,'Misc. Data &amp; Mechanisms'!$A$1483:$H$1574,8,FALSE),AQ78)</f>
        <v>8.2000000000000003E-2</v>
      </c>
      <c r="AF78" s="560">
        <f t="shared" si="43"/>
        <v>2.5420000000000003</v>
      </c>
      <c r="AG78" s="292">
        <v>1.0109999999999999</v>
      </c>
      <c r="AH78" s="516">
        <f t="shared" si="44"/>
        <v>21.141756179906714</v>
      </c>
      <c r="AI78" s="517">
        <f>5%</f>
        <v>0.05</v>
      </c>
      <c r="AJ78" s="352">
        <f>'Misc. Data &amp; Mechanisms'!AN351</f>
        <v>21.178864147385219</v>
      </c>
      <c r="AK78" s="441">
        <f>'Misc. Data &amp; Mechanisms'!AQ351</f>
        <v>17.677045038204845</v>
      </c>
      <c r="AL78" s="441">
        <f>'Misc. Data &amp; Mechanisms'!AC351</f>
        <v>20.911727180916632</v>
      </c>
      <c r="AM78" s="441">
        <f>'Misc. Data &amp; Mechanisms'!AD351</f>
        <v>13.355794104249554</v>
      </c>
      <c r="AN78" s="1461">
        <f>'Misc. Data &amp; Mechanisms'!$B$260</f>
        <v>10.198990303636064</v>
      </c>
      <c r="AO78" s="243">
        <f>IFERROR(IF('Personalized Bill Menu'!$B$30="Yes", IF('Personalized Bill Menu'!$B$34="Natural Gas",VLOOKUP($A78, 'Personalized Bill Menu'!$H$4:$L$93, 2, FALSE), IF('Personalized Bill Menu'!$B$34="Both",VLOOKUP($A78,'Personalized Bill Menu'!$H$4:$P$93, 6, FALSE), 0)), 0),0)</f>
        <v>0</v>
      </c>
      <c r="AP78" s="1345">
        <f>IFERROR(IF('Personalized Bill Menu'!$C$37="Custom", IF('Personalized Bill Menu'!$B$34="Natural Gas",VLOOKUP($A78, 'Personalized Bill Menu'!$H$4:$L$93, 3, FALSE), IF('Personalized Bill Menu'!$B$34="Both",VLOOKUP($A78,'Personalized Bill Menu'!$H$4:$P$93, 7, FALSE), 0)), 0),0)</f>
        <v>0</v>
      </c>
      <c r="AQ78" s="1346">
        <f>IFERROR(IF('Personalized Bill Menu'!$C$37="Custom", IF('Personalized Bill Menu'!$B$34="Natural Gas",VLOOKUP($A78, 'Personalized Bill Menu'!$H$4:$L$93, 4, FALSE), IF('Personalized Bill Menu'!$B$34="Both",VLOOKUP($A78,'Personalized Bill Menu'!$H$4:$P$93, 8, FALSE), 0)), 0),0)</f>
        <v>0</v>
      </c>
    </row>
    <row r="79" spans="1:43" s="117" customFormat="1" x14ac:dyDescent="0.35">
      <c r="A79" s="498">
        <v>43101</v>
      </c>
      <c r="B79" s="499">
        <f t="shared" si="34"/>
        <v>31</v>
      </c>
      <c r="C79" s="212">
        <f t="shared" si="35"/>
        <v>22.462790510530827</v>
      </c>
      <c r="D79" s="353">
        <f t="shared" si="36"/>
        <v>8.0873204637304923</v>
      </c>
      <c r="E79" s="353">
        <f>(1+$AI79)*IF(AND('Service Zone Menu'!$X$5="Athabasca", $A79&lt;DATE(2019, 5, 1)),((1+$T79+$U79)*($N79+((1+$X79+$Y79)*$P79)+$Z79+$AA79)) + $AG79,((1+$U79)*($N79+((1+$X79+$Y79)*$P79)+$Z79+$AA79))+($T79*(((1+$X79+$Y79)*$P79)+$Z79+$AA79)) + $AG79)</f>
        <v>5.9940847785000004</v>
      </c>
      <c r="F79" s="500">
        <f t="shared" si="32"/>
        <v>181.66378536830706</v>
      </c>
      <c r="G79" s="501">
        <f t="shared" si="37"/>
        <v>35.041953196428089</v>
      </c>
      <c r="H79" s="502">
        <f t="shared" si="33"/>
        <v>85.903455423946241</v>
      </c>
      <c r="I79" s="502">
        <f t="shared" si="38"/>
        <v>9.7665810981833161</v>
      </c>
      <c r="J79" s="502">
        <f t="shared" si="39"/>
        <v>5.683085999164299</v>
      </c>
      <c r="K79" s="502">
        <f t="shared" si="40"/>
        <v>2.5420000000000003</v>
      </c>
      <c r="L79" s="502">
        <f t="shared" si="41"/>
        <v>34.076053204475265</v>
      </c>
      <c r="M79" s="503">
        <f t="shared" si="42"/>
        <v>8.6506564461098616</v>
      </c>
      <c r="N79" s="1244">
        <f>IF($I$2="DRT",VLOOKUP(A79,'Misc. Data &amp; Mechanisms'!$A$1381:$D$1471,4,FALSE),AP79)</f>
        <v>1.56</v>
      </c>
      <c r="O79" s="555">
        <f t="shared" si="27"/>
        <v>35.041953196428089</v>
      </c>
      <c r="P79" s="431">
        <v>2.0840000000000001</v>
      </c>
      <c r="Q79" s="288">
        <v>1.2609999999999999</v>
      </c>
      <c r="R79" s="433">
        <f t="shared" si="28"/>
        <v>46.812455423946247</v>
      </c>
      <c r="S79" s="433">
        <f t="shared" si="29"/>
        <v>39.090999999999994</v>
      </c>
      <c r="T79" s="391">
        <f>VLOOKUP($A79,'Misc. Data &amp; Mechanisms'!$A$63:$DY$152,HLOOKUP('Service Zone Menu'!$X$5&amp;"_AltaGas_NG_Y_1",'Misc. Data &amp; Mechanisms'!$A$55:$DY$62,8,FALSE), FALSE)</f>
        <v>0.06</v>
      </c>
      <c r="U79" s="205">
        <f>VLOOKUP($A79,'Misc. Data &amp; Mechanisms'!$A$63:$DY$152,HLOOKUP('Service Zone Menu'!$X$5&amp;"_AltaGas_NG_Y_2",'Misc. Data &amp; Mechanisms'!$A$55:$DY$62,8,FALSE), FALSE)</f>
        <v>1.5610000000000001E-2</v>
      </c>
      <c r="V79" s="433">
        <f>IF(AND('Service Zone Menu'!$X$5="Athabasca", $A79&lt;DATE(2019, 5, 1)),$T79*($G79+$H79+$J79+$K79),$T79*($H79+$J79+$K79))</f>
        <v>7.7502296771723174</v>
      </c>
      <c r="W79" s="556">
        <f t="shared" si="23"/>
        <v>2.0163514210109983</v>
      </c>
      <c r="X79" s="389"/>
      <c r="Y79" s="222"/>
      <c r="Z79" s="288">
        <v>0.253</v>
      </c>
      <c r="AA79" s="288"/>
      <c r="AB79" s="504">
        <f t="shared" si="24"/>
        <v>0</v>
      </c>
      <c r="AC79" s="504">
        <f t="shared" si="30"/>
        <v>5.683085999164299</v>
      </c>
      <c r="AD79" s="557">
        <f t="shared" si="31"/>
        <v>0</v>
      </c>
      <c r="AE79" s="200">
        <f>IF($I$2="DRT",VLOOKUP(A79,'Misc. Data &amp; Mechanisms'!$A$1483:$H$1574,8,FALSE),AQ79)</f>
        <v>8.2000000000000003E-2</v>
      </c>
      <c r="AF79" s="557">
        <f t="shared" si="43"/>
        <v>2.5420000000000003</v>
      </c>
      <c r="AG79" s="286">
        <v>1.5169999999999999</v>
      </c>
      <c r="AH79" s="506">
        <f t="shared" si="44"/>
        <v>34.076053204475265</v>
      </c>
      <c r="AI79" s="507">
        <f>5%</f>
        <v>0.05</v>
      </c>
      <c r="AJ79" s="359">
        <f>'Misc. Data &amp; Mechanisms'!AN352</f>
        <v>22.749741543484173</v>
      </c>
      <c r="AK79" s="434">
        <f>'Misc. Data &amp; Mechanisms'!AQ352</f>
        <v>21.091427130610185</v>
      </c>
      <c r="AL79" s="434">
        <f>'Misc. Data &amp; Mechanisms'!AC352</f>
        <v>22.462790510530827</v>
      </c>
      <c r="AM79" s="434">
        <f>'Misc. Data &amp; Mechanisms'!AD352</f>
        <v>14.346419235007927</v>
      </c>
      <c r="AN79" s="1462">
        <f>'Misc. Data &amp; Mechanisms'!$B$260</f>
        <v>10.198990303636064</v>
      </c>
      <c r="AO79" s="197">
        <f>IFERROR(IF('Personalized Bill Menu'!$B$30="Yes", IF('Personalized Bill Menu'!$B$34="Natural Gas",VLOOKUP($A79, 'Personalized Bill Menu'!$H$4:$L$93, 2, FALSE), IF('Personalized Bill Menu'!$B$34="Both",VLOOKUP($A79,'Personalized Bill Menu'!$H$4:$P$93, 6, FALSE), 0)), 0),0)</f>
        <v>0</v>
      </c>
      <c r="AP79" s="1343">
        <f>IFERROR(IF('Personalized Bill Menu'!$C$37="Custom", IF('Personalized Bill Menu'!$B$34="Natural Gas",VLOOKUP($A79, 'Personalized Bill Menu'!$H$4:$L$93, 3, FALSE), IF('Personalized Bill Menu'!$B$34="Both",VLOOKUP($A79,'Personalized Bill Menu'!$H$4:$P$93, 7, FALSE), 0)), 0),0)</f>
        <v>0</v>
      </c>
      <c r="AQ79" s="1344">
        <f>IFERROR(IF('Personalized Bill Menu'!$C$37="Custom", IF('Personalized Bill Menu'!$B$34="Natural Gas",VLOOKUP($A79, 'Personalized Bill Menu'!$H$4:$L$93, 4, FALSE), IF('Personalized Bill Menu'!$B$34="Both",VLOOKUP($A79,'Personalized Bill Menu'!$H$4:$P$93, 8, FALSE), 0)), 0),0)</f>
        <v>0</v>
      </c>
    </row>
    <row r="80" spans="1:43" s="117" customFormat="1" x14ac:dyDescent="0.35">
      <c r="A80" s="496">
        <v>43132</v>
      </c>
      <c r="B80" s="497">
        <f t="shared" si="34"/>
        <v>28</v>
      </c>
      <c r="C80" s="226">
        <f t="shared" si="35"/>
        <v>21.590119903903343</v>
      </c>
      <c r="D80" s="66">
        <f t="shared" si="36"/>
        <v>8.6365452674320942</v>
      </c>
      <c r="E80" s="66">
        <f>(1+$AI80)*IF(AND('Service Zone Menu'!$X$5="Athabasca", $A80&lt;DATE(2019, 5, 1)),((1+$T80+$U80)*($N80+((1+$X80+$Y80)*$P80)+$Z80+$AA80)) + $AG80,((1+$U80)*($N80+((1+$X80+$Y80)*$P80)+$Z80+$AA80))+($T80*(((1+$X80+$Y80)*$P80)+$Z80+$AA80)) + $AG80)</f>
        <v>6.6694602974999997</v>
      </c>
      <c r="F80" s="488">
        <f t="shared" si="32"/>
        <v>186.46404787934787</v>
      </c>
      <c r="G80" s="489">
        <f t="shared" si="37"/>
        <v>46.267626954064859</v>
      </c>
      <c r="H80" s="490">
        <f t="shared" si="33"/>
        <v>80.301809879734577</v>
      </c>
      <c r="I80" s="490">
        <f t="shared" si="38"/>
        <v>10.181006641873923</v>
      </c>
      <c r="J80" s="490">
        <f t="shared" si="39"/>
        <v>5.7861521342460964</v>
      </c>
      <c r="K80" s="490">
        <f t="shared" si="40"/>
        <v>2.2960000000000003</v>
      </c>
      <c r="L80" s="490">
        <f t="shared" si="41"/>
        <v>32.752211894221368</v>
      </c>
      <c r="M80" s="491">
        <f t="shared" si="42"/>
        <v>8.8792403752070417</v>
      </c>
      <c r="N80" s="273">
        <f>IF($I$2="DRT",VLOOKUP(A80,'Misc. Data &amp; Mechanisms'!$A$1381:$D$1471,4,FALSE),AP80)</f>
        <v>2.1429999999999998</v>
      </c>
      <c r="O80" s="552">
        <f t="shared" si="27"/>
        <v>46.267626954064859</v>
      </c>
      <c r="P80" s="387">
        <v>2.0840000000000001</v>
      </c>
      <c r="Q80" s="278">
        <v>1.2609999999999999</v>
      </c>
      <c r="R80" s="425">
        <f t="shared" si="28"/>
        <v>44.99380987973457</v>
      </c>
      <c r="S80" s="425">
        <f t="shared" si="29"/>
        <v>35.308</v>
      </c>
      <c r="T80" s="391">
        <f>VLOOKUP($A80,'Misc. Data &amp; Mechanisms'!$A$63:$DY$152,HLOOKUP('Service Zone Menu'!$X$5&amp;"_AltaGas_NG_Y_1",'Misc. Data &amp; Mechanisms'!$A$55:$DY$62,8,FALSE), FALSE)</f>
        <v>0.06</v>
      </c>
      <c r="U80" s="205">
        <f>VLOOKUP($A80,'Misc. Data &amp; Mechanisms'!$A$63:$DY$152,HLOOKUP('Service Zone Menu'!$X$5&amp;"_AltaGas_NG_Y_2",'Misc. Data &amp; Mechanisms'!$A$55:$DY$62,8,FALSE), FALSE)</f>
        <v>1.5610000000000001E-2</v>
      </c>
      <c r="V80" s="425">
        <f>IF(AND('Service Zone Menu'!$X$5="Athabasca", $A80&lt;DATE(2019, 5, 1)),$T80*($G80+$H80+$J80+$K80),$T80*($H80+$J80+$K80))</f>
        <v>8.0790953380827322</v>
      </c>
      <c r="W80" s="553">
        <f t="shared" si="23"/>
        <v>2.1019113037911907</v>
      </c>
      <c r="X80" s="391"/>
      <c r="Y80" s="205"/>
      <c r="Z80" s="278">
        <v>0.26800000000000002</v>
      </c>
      <c r="AA80" s="278"/>
      <c r="AB80" s="492">
        <f t="shared" si="24"/>
        <v>0</v>
      </c>
      <c r="AC80" s="492">
        <f t="shared" si="30"/>
        <v>5.7861521342460964</v>
      </c>
      <c r="AD80" s="554">
        <f t="shared" si="31"/>
        <v>0</v>
      </c>
      <c r="AE80" s="200">
        <f>IF($I$2="DRT",VLOOKUP(A80,'Misc. Data &amp; Mechanisms'!$A$1483:$H$1574,8,FALSE),AQ80)</f>
        <v>8.2000000000000003E-2</v>
      </c>
      <c r="AF80" s="554">
        <f t="shared" si="43"/>
        <v>2.2960000000000003</v>
      </c>
      <c r="AG80" s="290">
        <v>1.5169999999999999</v>
      </c>
      <c r="AH80" s="494">
        <f t="shared" si="44"/>
        <v>32.752211894221368</v>
      </c>
      <c r="AI80" s="495">
        <f>5%</f>
        <v>0.05</v>
      </c>
      <c r="AJ80" s="341">
        <f>'Misc. Data &amp; Mechanisms'!AN353</f>
        <v>21.865923001702221</v>
      </c>
      <c r="AK80" s="424">
        <f>'Misc. Data &amp; Mechanisms'!AQ353</f>
        <v>22.137487627087168</v>
      </c>
      <c r="AL80" s="424">
        <f>'Misc. Data &amp; Mechanisms'!AC353</f>
        <v>21.590119903903343</v>
      </c>
      <c r="AM80" s="424">
        <f>'Misc. Data &amp; Mechanisms'!AD353</f>
        <v>13.789066471072511</v>
      </c>
      <c r="AN80" s="1460">
        <f>'Misc. Data &amp; Mechanisms'!$B$260</f>
        <v>10.198990303636064</v>
      </c>
      <c r="AO80" s="197">
        <f>IFERROR(IF('Personalized Bill Menu'!$B$30="Yes", IF('Personalized Bill Menu'!$B$34="Natural Gas",VLOOKUP($A80, 'Personalized Bill Menu'!$H$4:$L$93, 2, FALSE), IF('Personalized Bill Menu'!$B$34="Both",VLOOKUP($A80,'Personalized Bill Menu'!$H$4:$P$93, 6, FALSE), 0)), 0),0)</f>
        <v>0</v>
      </c>
      <c r="AP80" s="1343">
        <f>IFERROR(IF('Personalized Bill Menu'!$C$37="Custom", IF('Personalized Bill Menu'!$B$34="Natural Gas",VLOOKUP($A80, 'Personalized Bill Menu'!$H$4:$L$93, 3, FALSE), IF('Personalized Bill Menu'!$B$34="Both",VLOOKUP($A80,'Personalized Bill Menu'!$H$4:$P$93, 7, FALSE), 0)), 0),0)</f>
        <v>0</v>
      </c>
      <c r="AQ80" s="1344">
        <f>IFERROR(IF('Personalized Bill Menu'!$C$37="Custom", IF('Personalized Bill Menu'!$B$34="Natural Gas",VLOOKUP($A80, 'Personalized Bill Menu'!$H$4:$L$93, 4, FALSE), IF('Personalized Bill Menu'!$B$34="Both",VLOOKUP($A80,'Personalized Bill Menu'!$H$4:$P$93, 8, FALSE), 0)), 0),0)</f>
        <v>0</v>
      </c>
    </row>
    <row r="81" spans="1:43" s="117" customFormat="1" x14ac:dyDescent="0.35">
      <c r="A81" s="496">
        <v>43160</v>
      </c>
      <c r="B81" s="497">
        <f t="shared" si="34"/>
        <v>31</v>
      </c>
      <c r="C81" s="226">
        <f t="shared" si="35"/>
        <v>18.471940412168063</v>
      </c>
      <c r="D81" s="66">
        <f t="shared" si="36"/>
        <v>8.9868012405582913</v>
      </c>
      <c r="E81" s="66">
        <f>(1+$AI81)*IF(AND('Service Zone Menu'!$X$5="Athabasca", $A81&lt;DATE(2019, 5, 1)),((1+$T81+$U81)*($N81+((1+$X81+$Y81)*$P81)+$Z81+$AA81)) + $AG81,((1+$U81)*($N81+((1+$X81+$Y81)*$P81)+$Z81+$AA81))+($T81*(((1+$X81+$Y81)*$P81)+$Z81+$AA81)) + $AG81)</f>
        <v>6.4413234165000013</v>
      </c>
      <c r="F81" s="488">
        <f t="shared" si="32"/>
        <v>166.00365701159078</v>
      </c>
      <c r="G81" s="489">
        <f t="shared" si="37"/>
        <v>36.592913956504937</v>
      </c>
      <c r="H81" s="490">
        <f t="shared" si="33"/>
        <v>77.586523818958241</v>
      </c>
      <c r="I81" s="490">
        <f t="shared" si="38"/>
        <v>9.1437471687233689</v>
      </c>
      <c r="J81" s="490">
        <f t="shared" si="39"/>
        <v>4.2116024139743189</v>
      </c>
      <c r="K81" s="490">
        <f t="shared" si="40"/>
        <v>2.5420000000000003</v>
      </c>
      <c r="L81" s="490">
        <f t="shared" si="41"/>
        <v>28.021933605258951</v>
      </c>
      <c r="M81" s="491">
        <f t="shared" si="42"/>
        <v>7.90493604817099</v>
      </c>
      <c r="N81" s="273">
        <f>IF($I$2="DRT",VLOOKUP(A81,'Misc. Data &amp; Mechanisms'!$A$1381:$D$1471,4,FALSE),AP81)</f>
        <v>1.9810000000000001</v>
      </c>
      <c r="O81" s="552">
        <f t="shared" si="27"/>
        <v>36.592913956504937</v>
      </c>
      <c r="P81" s="387">
        <v>2.0840000000000001</v>
      </c>
      <c r="Q81" s="278">
        <v>1.2609999999999999</v>
      </c>
      <c r="R81" s="425">
        <f t="shared" si="28"/>
        <v>38.495523818958247</v>
      </c>
      <c r="S81" s="425">
        <f t="shared" si="29"/>
        <v>39.090999999999994</v>
      </c>
      <c r="T81" s="391">
        <f>VLOOKUP($A81,'Misc. Data &amp; Mechanisms'!$A$63:$DY$152,HLOOKUP('Service Zone Menu'!$X$5&amp;"_AltaGas_NG_Y_1",'Misc. Data &amp; Mechanisms'!$A$55:$DY$62,8,FALSE), FALSE)</f>
        <v>0.06</v>
      </c>
      <c r="U81" s="205">
        <f>VLOOKUP($A81,'Misc. Data &amp; Mechanisms'!$A$63:$DY$152,HLOOKUP('Service Zone Menu'!$X$5&amp;"_AltaGas_NG_Y_2",'Misc. Data &amp; Mechanisms'!$A$55:$DY$62,8,FALSE), FALSE)</f>
        <v>1.5610000000000001E-2</v>
      </c>
      <c r="V81" s="425">
        <f>IF(AND('Service Zone Menu'!$X$5="Athabasca", $A81&lt;DATE(2019, 5, 1)),$T81*($G81+$H81+$J81+$K81),$T81*($H81+$J81+$K81))</f>
        <v>7.2559824113662499</v>
      </c>
      <c r="W81" s="553">
        <f t="shared" si="23"/>
        <v>1.8877647573571195</v>
      </c>
      <c r="X81" s="391"/>
      <c r="Y81" s="205"/>
      <c r="Z81" s="278">
        <v>0.22800000000000001</v>
      </c>
      <c r="AA81" s="278"/>
      <c r="AB81" s="492">
        <f t="shared" si="24"/>
        <v>0</v>
      </c>
      <c r="AC81" s="492">
        <f t="shared" si="30"/>
        <v>4.2116024139743189</v>
      </c>
      <c r="AD81" s="554">
        <f t="shared" si="31"/>
        <v>0</v>
      </c>
      <c r="AE81" s="200">
        <f>IF($I$2="DRT",VLOOKUP(A81,'Misc. Data &amp; Mechanisms'!$A$1483:$H$1574,8,FALSE),AQ81)</f>
        <v>8.2000000000000003E-2</v>
      </c>
      <c r="AF81" s="554">
        <f t="shared" si="43"/>
        <v>2.5420000000000003</v>
      </c>
      <c r="AG81" s="290">
        <v>1.5169999999999999</v>
      </c>
      <c r="AH81" s="494">
        <f t="shared" si="44"/>
        <v>28.021933605258951</v>
      </c>
      <c r="AI81" s="495">
        <f>5%</f>
        <v>0.05</v>
      </c>
      <c r="AJ81" s="341">
        <f>'Misc. Data &amp; Mechanisms'!AN354</f>
        <v>18.707910310005971</v>
      </c>
      <c r="AK81" s="424">
        <f>'Misc. Data &amp; Mechanisms'!AQ354</f>
        <v>16.971699948483135</v>
      </c>
      <c r="AL81" s="424">
        <f>'Misc. Data &amp; Mechanisms'!AC354</f>
        <v>18.471940412168063</v>
      </c>
      <c r="AM81" s="424">
        <f>'Misc. Data &amp; Mechanisms'!AD354</f>
        <v>11.797563669251604</v>
      </c>
      <c r="AN81" s="1460">
        <f>'Misc. Data &amp; Mechanisms'!$B$260</f>
        <v>10.198990303636064</v>
      </c>
      <c r="AO81" s="197">
        <f>IFERROR(IF('Personalized Bill Menu'!$B$30="Yes", IF('Personalized Bill Menu'!$B$34="Natural Gas",VLOOKUP($A81, 'Personalized Bill Menu'!$H$4:$L$93, 2, FALSE), IF('Personalized Bill Menu'!$B$34="Both",VLOOKUP($A81,'Personalized Bill Menu'!$H$4:$P$93, 6, FALSE), 0)), 0),0)</f>
        <v>0</v>
      </c>
      <c r="AP81" s="1343">
        <f>IFERROR(IF('Personalized Bill Menu'!$C$37="Custom", IF('Personalized Bill Menu'!$B$34="Natural Gas",VLOOKUP($A81, 'Personalized Bill Menu'!$H$4:$L$93, 3, FALSE), IF('Personalized Bill Menu'!$B$34="Both",VLOOKUP($A81,'Personalized Bill Menu'!$H$4:$P$93, 7, FALSE), 0)), 0),0)</f>
        <v>0</v>
      </c>
      <c r="AQ81" s="1344">
        <f>IFERROR(IF('Personalized Bill Menu'!$C$37="Custom", IF('Personalized Bill Menu'!$B$34="Natural Gas",VLOOKUP($A81, 'Personalized Bill Menu'!$H$4:$L$93, 4, FALSE), IF('Personalized Bill Menu'!$B$34="Both",VLOOKUP($A81,'Personalized Bill Menu'!$H$4:$P$93, 8, FALSE), 0)), 0),0)</f>
        <v>0</v>
      </c>
    </row>
    <row r="82" spans="1:43" s="117" customFormat="1" x14ac:dyDescent="0.35">
      <c r="A82" s="496">
        <v>43191</v>
      </c>
      <c r="B82" s="497">
        <f t="shared" si="34"/>
        <v>30</v>
      </c>
      <c r="C82" s="226">
        <f t="shared" si="35"/>
        <v>11.76662444940607</v>
      </c>
      <c r="D82" s="66">
        <f t="shared" si="36"/>
        <v>11.212051172739789</v>
      </c>
      <c r="E82" s="66">
        <f>(1+$AI82)*IF(AND('Service Zone Menu'!$X$5="Athabasca", $A82&lt;DATE(2019, 5, 1)),((1+$T82+$U82)*($N82+((1+$X82+$Y82)*$P82)+$Z82+$AA82)) + $AG82,((1+$U82)*($N82+((1+$X82+$Y82)*$P82)+$Z82+$AA82))+($T82*(((1+$X82+$Y82)*$P82)+$Z82+$AA82)) + $AG82)</f>
        <v>7.0303464462000003</v>
      </c>
      <c r="F82" s="488">
        <f t="shared" si="32"/>
        <v>131.92799545715201</v>
      </c>
      <c r="G82" s="489">
        <f t="shared" si="37"/>
        <v>25.851273915345136</v>
      </c>
      <c r="H82" s="490">
        <f t="shared" si="33"/>
        <v>66.930172268871985</v>
      </c>
      <c r="I82" s="490">
        <f t="shared" si="38"/>
        <v>8.6295417924728515</v>
      </c>
      <c r="J82" s="490">
        <f t="shared" si="39"/>
        <v>3.8947526927534093</v>
      </c>
      <c r="K82" s="490">
        <f t="shared" si="40"/>
        <v>2.4900000000000002</v>
      </c>
      <c r="L82" s="490">
        <f t="shared" ref="L82:L84" si="45">AH82</f>
        <v>17.849969289749009</v>
      </c>
      <c r="M82" s="491">
        <f t="shared" si="42"/>
        <v>6.2822854979596201</v>
      </c>
      <c r="N82" s="273">
        <f>IF($I$2="DRT",VLOOKUP(A82,'Misc. Data &amp; Mechanisms'!$A$1381:$D$1471,4,FALSE),AP82)</f>
        <v>2.1970000000000001</v>
      </c>
      <c r="O82" s="552">
        <f t="shared" si="27"/>
        <v>25.851273915345136</v>
      </c>
      <c r="P82" s="387">
        <v>2.2360000000000002</v>
      </c>
      <c r="Q82" s="278">
        <v>1.3540000000000001</v>
      </c>
      <c r="R82" s="425">
        <f t="shared" si="28"/>
        <v>26.310172268871973</v>
      </c>
      <c r="S82" s="552">
        <f t="shared" si="29"/>
        <v>40.620000000000005</v>
      </c>
      <c r="T82" s="391">
        <f>VLOOKUP($A82,'Misc. Data &amp; Mechanisms'!$A$63:$DY$152,HLOOKUP('Service Zone Menu'!$X$5&amp;"_AltaGas_NG_Y_1",'Misc. Data &amp; Mechanisms'!$A$55:$DY$62,8,FALSE), FALSE)</f>
        <v>0.06</v>
      </c>
      <c r="U82" s="205">
        <f>VLOOKUP($A82,'Misc. Data &amp; Mechanisms'!$A$63:$DY$152,HLOOKUP('Service Zone Menu'!$X$5&amp;"_AltaGas_NG_Y_2",'Misc. Data &amp; Mechanisms'!$A$55:$DY$62,8,FALSE), FALSE)</f>
        <v>2.7021E-2</v>
      </c>
      <c r="V82" s="425">
        <f>IF(AND('Service Zone Menu'!$X$5="Athabasca", $A82&lt;DATE(2019, 5, 1)),$T82*($G82+$H82+$J82+$K82),$T82*($H82+$J82+$K82))</f>
        <v>5.9499719326182312</v>
      </c>
      <c r="W82" s="1499">
        <f t="shared" si="23"/>
        <v>2.6795698598546207</v>
      </c>
      <c r="X82" s="562"/>
      <c r="Y82" s="562"/>
      <c r="Z82" s="278">
        <v>0.33100000000000002</v>
      </c>
      <c r="AA82" s="445"/>
      <c r="AB82" s="492">
        <f t="shared" si="24"/>
        <v>0</v>
      </c>
      <c r="AC82" s="492">
        <f t="shared" si="30"/>
        <v>3.8947526927534093</v>
      </c>
      <c r="AD82" s="554">
        <f t="shared" si="31"/>
        <v>0</v>
      </c>
      <c r="AE82" s="200">
        <f>IF($I$2="DRT",VLOOKUP(A82,'Misc. Data &amp; Mechanisms'!$A$1483:$H$1574,8,FALSE),AQ82)</f>
        <v>8.3000000000000004E-2</v>
      </c>
      <c r="AF82" s="554">
        <f t="shared" si="43"/>
        <v>2.4900000000000002</v>
      </c>
      <c r="AG82" s="290">
        <v>1.5169999999999999</v>
      </c>
      <c r="AH82" s="494">
        <f t="shared" ref="AH82:AH84" si="46">AG82*C82</f>
        <v>17.849969289749009</v>
      </c>
      <c r="AI82" s="1498">
        <f>5%</f>
        <v>0.05</v>
      </c>
      <c r="AJ82" s="341">
        <f>'Misc. Data &amp; Mechanisms'!AN355</f>
        <v>11.91693725397718</v>
      </c>
      <c r="AK82" s="424">
        <f>'Misc. Data &amp; Mechanisms'!AQ355</f>
        <v>12.796653982772801</v>
      </c>
      <c r="AL82" s="424">
        <f>'Misc. Data &amp; Mechanisms'!AC355</f>
        <v>11.76662444940607</v>
      </c>
      <c r="AM82" s="424">
        <f>'Misc. Data &amp; Mechanisms'!AD355</f>
        <v>7.5150470398116456</v>
      </c>
      <c r="AN82" s="1460">
        <f>'Misc. Data &amp; Mechanisms'!$B$260</f>
        <v>10.198990303636064</v>
      </c>
      <c r="AO82" s="197">
        <f>IFERROR(IF('Personalized Bill Menu'!$B$30="Yes", IF('Personalized Bill Menu'!$B$34="Natural Gas",VLOOKUP($A82, 'Personalized Bill Menu'!$H$4:$L$93, 2, FALSE), IF('Personalized Bill Menu'!$B$34="Both",VLOOKUP($A82,'Personalized Bill Menu'!$H$4:$P$93, 6, FALSE), 0)), 0),0)</f>
        <v>0</v>
      </c>
      <c r="AP82" s="1343">
        <f>IFERROR(IF('Personalized Bill Menu'!$C$37="Custom", IF('Personalized Bill Menu'!$B$34="Natural Gas",VLOOKUP($A82, 'Personalized Bill Menu'!$H$4:$L$93, 3, FALSE), IF('Personalized Bill Menu'!$B$34="Both",VLOOKUP($A82,'Personalized Bill Menu'!$H$4:$P$93, 7, FALSE), 0)), 0),0)</f>
        <v>0</v>
      </c>
      <c r="AQ82" s="1344">
        <f>IFERROR(IF('Personalized Bill Menu'!$C$37="Custom", IF('Personalized Bill Menu'!$B$34="Natural Gas",VLOOKUP($A82, 'Personalized Bill Menu'!$H$4:$L$93, 4, FALSE), IF('Personalized Bill Menu'!$B$34="Both",VLOOKUP($A82,'Personalized Bill Menu'!$H$4:$P$93, 8, FALSE), 0)), 0),0)</f>
        <v>0</v>
      </c>
    </row>
    <row r="83" spans="1:43" s="117" customFormat="1" x14ac:dyDescent="0.35">
      <c r="A83" s="496">
        <v>43221</v>
      </c>
      <c r="B83" s="497">
        <f t="shared" si="34"/>
        <v>31</v>
      </c>
      <c r="C83" s="226">
        <f t="shared" si="35"/>
        <v>3.9147117999222729</v>
      </c>
      <c r="D83" s="66">
        <f t="shared" si="36"/>
        <v>18.451350893622426</v>
      </c>
      <c r="E83" s="66">
        <f>(1+$AI83)*IF(AND('Service Zone Menu'!$X$5="Athabasca", $A83&lt;DATE(2019, 5, 1)),((1+$T83+$U83)*($N83+((1+$X83+$Y83)*$P83)+$Z83+$AA83)) + $AG83,((1+$U83)*($N83+((1+$X83+$Y83)*$P83)+$Z83+$AA83))+($T83*(((1+$X83+$Y83)*$P83)+$Z83+$AA83)) + $AG83)</f>
        <v>5.463242621550001</v>
      </c>
      <c r="F83" s="488">
        <f t="shared" si="32"/>
        <v>72.231721067770081</v>
      </c>
      <c r="G83" s="489">
        <f t="shared" si="37"/>
        <v>2.3605712153531306</v>
      </c>
      <c r="H83" s="490">
        <f t="shared" si="33"/>
        <v>50.727295584626205</v>
      </c>
      <c r="I83" s="490">
        <f t="shared" si="38"/>
        <v>5.0317097886196533</v>
      </c>
      <c r="J83" s="490">
        <f t="shared" si="39"/>
        <v>2.1609209135570948</v>
      </c>
      <c r="K83" s="490">
        <f t="shared" si="40"/>
        <v>2.573</v>
      </c>
      <c r="L83" s="490">
        <f t="shared" si="45"/>
        <v>5.9386178004820875</v>
      </c>
      <c r="M83" s="491">
        <f t="shared" si="42"/>
        <v>3.4396057651319083</v>
      </c>
      <c r="N83" s="273">
        <f>IF($I$2="DRT",VLOOKUP(A83,'Misc. Data &amp; Mechanisms'!$A$1381:$D$1471,4,FALSE),AP83)</f>
        <v>0.60299999999999998</v>
      </c>
      <c r="O83" s="552">
        <f t="shared" si="27"/>
        <v>2.3605712153531306</v>
      </c>
      <c r="P83" s="387">
        <v>2.2360000000000002</v>
      </c>
      <c r="Q83" s="278">
        <v>1.3540000000000001</v>
      </c>
      <c r="R83" s="425">
        <f t="shared" si="28"/>
        <v>8.7532955846262031</v>
      </c>
      <c r="S83" s="552">
        <f t="shared" si="29"/>
        <v>41.974000000000004</v>
      </c>
      <c r="T83" s="391">
        <f>VLOOKUP($A83,'Misc. Data &amp; Mechanisms'!$A$63:$DY$152,HLOOKUP('Service Zone Menu'!$X$5&amp;"_AltaGas_NG_Y_1",'Misc. Data &amp; Mechanisms'!$A$55:$DY$62,8,FALSE), FALSE)</f>
        <v>0.06</v>
      </c>
      <c r="U83" s="205">
        <f>VLOOKUP($A83,'Misc. Data &amp; Mechanisms'!$A$63:$DY$152,HLOOKUP('Service Zone Menu'!$X$5&amp;"_AltaGas_NG_Y_2",'Misc. Data &amp; Mechanisms'!$A$55:$DY$62,8,FALSE), FALSE)</f>
        <v>2.7021E-2</v>
      </c>
      <c r="V83" s="425">
        <f>IF(AND('Service Zone Menu'!$X$5="Athabasca", $A83&lt;DATE(2019, 5, 1)),$T83*($G83+$H83+$J83+$K83),$T83*($H83+$J83+$K83))</f>
        <v>3.4693072628121855</v>
      </c>
      <c r="W83" s="1499">
        <f t="shared" si="23"/>
        <v>1.5624025258074679</v>
      </c>
      <c r="X83" s="562"/>
      <c r="Y83" s="562"/>
      <c r="Z83" s="278">
        <v>0.55200000000000005</v>
      </c>
      <c r="AA83" s="445"/>
      <c r="AB83" s="492">
        <f t="shared" si="24"/>
        <v>0</v>
      </c>
      <c r="AC83" s="492">
        <f t="shared" si="30"/>
        <v>2.1609209135570948</v>
      </c>
      <c r="AD83" s="554">
        <f t="shared" si="31"/>
        <v>0</v>
      </c>
      <c r="AE83" s="200">
        <f>IF($I$2="DRT",VLOOKUP(A83,'Misc. Data &amp; Mechanisms'!$A$1483:$H$1574,8,FALSE),AQ83)</f>
        <v>8.3000000000000004E-2</v>
      </c>
      <c r="AF83" s="554">
        <f t="shared" si="43"/>
        <v>2.573</v>
      </c>
      <c r="AG83" s="290">
        <v>1.5169999999999999</v>
      </c>
      <c r="AH83" s="494">
        <f t="shared" si="46"/>
        <v>5.9386178004820875</v>
      </c>
      <c r="AI83" s="1498">
        <f>5%</f>
        <v>0.05</v>
      </c>
      <c r="AJ83" s="341">
        <f>'Misc. Data &amp; Mechanisms'!AN356</f>
        <v>3.9647203059525333</v>
      </c>
      <c r="AK83" s="424">
        <f>'Misc. Data &amp; Mechanisms'!AQ356</f>
        <v>4.014746237667608</v>
      </c>
      <c r="AL83" s="424">
        <f>'Misc. Data &amp; Mechanisms'!AC356</f>
        <v>3.9147117999222729</v>
      </c>
      <c r="AM83" s="424">
        <f>'Misc. Data &amp; Mechanisms'!AD356</f>
        <v>2.5002279498438957</v>
      </c>
      <c r="AN83" s="1460">
        <f>'Misc. Data &amp; Mechanisms'!$B$260</f>
        <v>10.198990303636064</v>
      </c>
      <c r="AO83" s="197">
        <f>IFERROR(IF('Personalized Bill Menu'!$B$30="Yes", IF('Personalized Bill Menu'!$B$34="Natural Gas",VLOOKUP($A83, 'Personalized Bill Menu'!$H$4:$L$93, 2, FALSE), IF('Personalized Bill Menu'!$B$34="Both",VLOOKUP($A83,'Personalized Bill Menu'!$H$4:$P$93, 6, FALSE), 0)), 0),0)</f>
        <v>0</v>
      </c>
      <c r="AP83" s="1343">
        <f>IFERROR(IF('Personalized Bill Menu'!$C$37="Custom", IF('Personalized Bill Menu'!$B$34="Natural Gas",VLOOKUP($A83, 'Personalized Bill Menu'!$H$4:$L$93, 3, FALSE), IF('Personalized Bill Menu'!$B$34="Both",VLOOKUP($A83,'Personalized Bill Menu'!$H$4:$P$93, 7, FALSE), 0)), 0),0)</f>
        <v>0</v>
      </c>
      <c r="AQ83" s="1344">
        <f>IFERROR(IF('Personalized Bill Menu'!$C$37="Custom", IF('Personalized Bill Menu'!$B$34="Natural Gas",VLOOKUP($A83, 'Personalized Bill Menu'!$H$4:$L$93, 4, FALSE), IF('Personalized Bill Menu'!$B$34="Both",VLOOKUP($A83,'Personalized Bill Menu'!$H$4:$P$93, 8, FALSE), 0)), 0),0)</f>
        <v>0</v>
      </c>
    </row>
    <row r="84" spans="1:43" s="117" customFormat="1" x14ac:dyDescent="0.35">
      <c r="A84" s="496">
        <v>43252</v>
      </c>
      <c r="B84" s="497">
        <f t="shared" si="34"/>
        <v>30</v>
      </c>
      <c r="C84" s="226">
        <f t="shared" si="35"/>
        <v>2.8033284543369463</v>
      </c>
      <c r="D84" s="66">
        <f t="shared" si="36"/>
        <v>26.234100166127984</v>
      </c>
      <c r="E84" s="66">
        <f>(1+$AI84)*IF(AND('Service Zone Menu'!$X$5="Athabasca", $A84&lt;DATE(2019, 5, 1)),((1+$T84+$U84)*($N84+((1+$X84+$Y84)*$P84)+$Z84+$AA84)) + $AG84,((1+$U84)*($N84+((1+$X84+$Y84)*$P84)+$Z84+$AA84))+($T84*(((1+$X84+$Y84)*$P84)+$Z84+$AA84)) + $AG84)</f>
        <v>8.6819118025500011</v>
      </c>
      <c r="F84" s="488">
        <f t="shared" si="32"/>
        <v>73.542799469632186</v>
      </c>
      <c r="G84" s="489">
        <f t="shared" si="37"/>
        <v>7.2578173682783538</v>
      </c>
      <c r="H84" s="490">
        <f t="shared" si="33"/>
        <v>46.888242423897417</v>
      </c>
      <c r="I84" s="490">
        <f t="shared" si="38"/>
        <v>5.2666391045337768</v>
      </c>
      <c r="J84" s="490">
        <f t="shared" si="39"/>
        <v>3.8854132377110076</v>
      </c>
      <c r="K84" s="490">
        <f t="shared" si="40"/>
        <v>2.4900000000000002</v>
      </c>
      <c r="L84" s="490">
        <f t="shared" si="45"/>
        <v>4.252649265229147</v>
      </c>
      <c r="M84" s="491">
        <f t="shared" si="42"/>
        <v>3.5020380699824849</v>
      </c>
      <c r="N84" s="273">
        <f>IF($I$2="DRT",VLOOKUP(A84,'Misc. Data &amp; Mechanisms'!$A$1381:$D$1471,4,FALSE),AP84)</f>
        <v>2.589</v>
      </c>
      <c r="O84" s="552">
        <f t="shared" si="27"/>
        <v>7.2578173682783538</v>
      </c>
      <c r="P84" s="387">
        <v>2.2360000000000002</v>
      </c>
      <c r="Q84" s="278">
        <v>1.3540000000000001</v>
      </c>
      <c r="R84" s="425">
        <f t="shared" si="28"/>
        <v>6.2682424238974122</v>
      </c>
      <c r="S84" s="552">
        <f t="shared" si="29"/>
        <v>40.620000000000005</v>
      </c>
      <c r="T84" s="391">
        <f>VLOOKUP($A84,'Misc. Data &amp; Mechanisms'!$A$63:$DY$152,HLOOKUP('Service Zone Menu'!$X$5&amp;"_AltaGas_NG_Y_1",'Misc. Data &amp; Mechanisms'!$A$55:$DY$62,8,FALSE), FALSE)</f>
        <v>0.06</v>
      </c>
      <c r="U84" s="205">
        <f>VLOOKUP($A84,'Misc. Data &amp; Mechanisms'!$A$63:$DY$152,HLOOKUP('Service Zone Menu'!$X$5&amp;"_AltaGas_NG_Y_2",'Misc. Data &amp; Mechanisms'!$A$55:$DY$62,8,FALSE), FALSE)</f>
        <v>2.7021E-2</v>
      </c>
      <c r="V84" s="425">
        <f>IF(AND('Service Zone Menu'!$X$5="Athabasca", $A84&lt;DATE(2019, 5, 1)),$T84*($G84+$H84+$J84+$K84),$T84*($H84+$J84+$K84))</f>
        <v>3.6312883817932065</v>
      </c>
      <c r="W84" s="1499">
        <f t="shared" si="23"/>
        <v>1.6353507227405706</v>
      </c>
      <c r="X84" s="562"/>
      <c r="Y84" s="562"/>
      <c r="Z84" s="278">
        <v>1.3859999999999999</v>
      </c>
      <c r="AA84" s="445"/>
      <c r="AB84" s="492">
        <f t="shared" si="24"/>
        <v>0</v>
      </c>
      <c r="AC84" s="492">
        <f t="shared" si="30"/>
        <v>3.8854132377110076</v>
      </c>
      <c r="AD84" s="554">
        <f t="shared" si="31"/>
        <v>0</v>
      </c>
      <c r="AE84" s="200">
        <f>IF($I$2="DRT",VLOOKUP(A84,'Misc. Data &amp; Mechanisms'!$A$1483:$H$1574,8,FALSE),AQ84)</f>
        <v>8.3000000000000004E-2</v>
      </c>
      <c r="AF84" s="554">
        <f t="shared" si="43"/>
        <v>2.4900000000000002</v>
      </c>
      <c r="AG84" s="290">
        <v>1.5169999999999999</v>
      </c>
      <c r="AH84" s="494">
        <f t="shared" si="46"/>
        <v>4.252649265229147</v>
      </c>
      <c r="AI84" s="1498">
        <f>5%</f>
        <v>0.05</v>
      </c>
      <c r="AJ84" s="341">
        <f>'Misc. Data &amp; Mechanisms'!AN357</f>
        <v>2.8391395881006867</v>
      </c>
      <c r="AK84" s="424">
        <f>'Misc. Data &amp; Mechanisms'!AQ357</f>
        <v>3.079796351634791</v>
      </c>
      <c r="AL84" s="424">
        <f>'Misc. Data &amp; Mechanisms'!AC357</f>
        <v>2.8033284543369463</v>
      </c>
      <c r="AM84" s="424">
        <f>'Misc. Data &amp; Mechanisms'!AD357</f>
        <v>1.7904153644886664</v>
      </c>
      <c r="AN84" s="1460">
        <f>'Misc. Data &amp; Mechanisms'!$B$260</f>
        <v>10.198990303636064</v>
      </c>
      <c r="AO84" s="197">
        <f>IFERROR(IF('Personalized Bill Menu'!$B$30="Yes", IF('Personalized Bill Menu'!$B$34="Natural Gas",VLOOKUP($A84, 'Personalized Bill Menu'!$H$4:$L$93, 2, FALSE), IF('Personalized Bill Menu'!$B$34="Both",VLOOKUP($A84,'Personalized Bill Menu'!$H$4:$P$93, 6, FALSE), 0)), 0),0)</f>
        <v>0</v>
      </c>
      <c r="AP84" s="1343">
        <f>IFERROR(IF('Personalized Bill Menu'!$C$37="Custom", IF('Personalized Bill Menu'!$B$34="Natural Gas",VLOOKUP($A84, 'Personalized Bill Menu'!$H$4:$L$93, 3, FALSE), IF('Personalized Bill Menu'!$B$34="Both",VLOOKUP($A84,'Personalized Bill Menu'!$H$4:$P$93, 7, FALSE), 0)), 0),0)</f>
        <v>0</v>
      </c>
      <c r="AQ84" s="1344">
        <f>IFERROR(IF('Personalized Bill Menu'!$C$37="Custom", IF('Personalized Bill Menu'!$B$34="Natural Gas",VLOOKUP($A84, 'Personalized Bill Menu'!$H$4:$L$93, 4, FALSE), IF('Personalized Bill Menu'!$B$34="Both",VLOOKUP($A84,'Personalized Bill Menu'!$H$4:$P$93, 8, FALSE), 0)), 0),0)</f>
        <v>0</v>
      </c>
    </row>
    <row r="85" spans="1:43" s="117" customFormat="1" x14ac:dyDescent="0.35">
      <c r="A85" s="496">
        <v>43282</v>
      </c>
      <c r="B85" s="497">
        <f t="shared" si="34"/>
        <v>31</v>
      </c>
      <c r="C85" s="226">
        <f t="shared" si="35"/>
        <v>2.0880409039121046</v>
      </c>
      <c r="D85" s="66">
        <f>IFERROR($F85/$C85, "")</f>
        <v>33.367908462724863</v>
      </c>
      <c r="E85" s="66">
        <f>(1+$AI85)*IF(AND('Service Zone Menu'!$X$5="Athabasca", $A85&lt;DATE(2019, 5, 1)),((1+$T85+$U85)*($N85+((1+$X85+$Y85)*$P85)+$Z85+$AA85)) + $AG85,((1+$U85)*($N85+((1+$X85+$Y85)*$P85)+$Z85+$AA85))+($T85*(((1+$X85+$Y85)*$P85)+$Z85+$AA85)) + $AG85)</f>
        <v>9.0174751852499995</v>
      </c>
      <c r="F85" s="488">
        <f t="shared" si="32"/>
        <v>69.673557748164384</v>
      </c>
      <c r="G85" s="489">
        <f t="shared" si="37"/>
        <v>6.7297558333087126</v>
      </c>
      <c r="H85" s="490">
        <f t="shared" si="33"/>
        <v>46.642859461147467</v>
      </c>
      <c r="I85" s="490">
        <f t="shared" si="38"/>
        <v>5.0585051527831766</v>
      </c>
      <c r="J85" s="490">
        <f t="shared" si="39"/>
        <v>2.1840907854920615</v>
      </c>
      <c r="K85" s="490">
        <f t="shared" si="40"/>
        <v>2.573</v>
      </c>
      <c r="L85" s="490">
        <f t="shared" ref="L85:L87" si="47">AH85</f>
        <v>3.1675580512346624</v>
      </c>
      <c r="M85" s="491">
        <f t="shared" si="42"/>
        <v>3.3177884641983044</v>
      </c>
      <c r="N85" s="273">
        <f>IF($I$2="DRT",VLOOKUP(A85,'Misc. Data &amp; Mechanisms'!$A$1381:$D$1471,4,FALSE),AP85)</f>
        <v>3.2229999999999999</v>
      </c>
      <c r="O85" s="552">
        <f t="shared" si="27"/>
        <v>6.7297558333087126</v>
      </c>
      <c r="P85" s="445">
        <v>2.2360000000000002</v>
      </c>
      <c r="Q85" s="445">
        <v>1.3540000000000001</v>
      </c>
      <c r="R85" s="425">
        <f t="shared" si="28"/>
        <v>4.6688594611474663</v>
      </c>
      <c r="S85" s="552">
        <f t="shared" si="29"/>
        <v>41.974000000000004</v>
      </c>
      <c r="T85" s="391">
        <f>VLOOKUP($A85,'Misc. Data &amp; Mechanisms'!$A$63:$DY$152,HLOOKUP('Service Zone Menu'!$X$5&amp;"_AltaGas_NG_Y_1",'Misc. Data &amp; Mechanisms'!$A$55:$DY$62,8,FALSE), FALSE)</f>
        <v>0.06</v>
      </c>
      <c r="U85" s="205">
        <f>VLOOKUP($A85,'Misc. Data &amp; Mechanisms'!$A$63:$DY$152,HLOOKUP('Service Zone Menu'!$X$5&amp;"_AltaGas_NG_Y_2",'Misc. Data &amp; Mechanisms'!$A$55:$DY$62,8,FALSE), FALSE)</f>
        <v>2.7021E-2</v>
      </c>
      <c r="V85" s="425">
        <f>IF(AND('Service Zone Menu'!$X$5="Athabasca", $A85&lt;DATE(2019, 5, 1)),$T85*($G85+$H85+$J85+$K85),$T85*($H85+$J85+$K85))</f>
        <v>3.4877823647968946</v>
      </c>
      <c r="W85" s="1499">
        <f t="shared" si="23"/>
        <v>1.5707227879862815</v>
      </c>
      <c r="X85" s="562"/>
      <c r="Y85" s="562"/>
      <c r="Z85" s="445">
        <v>1.046</v>
      </c>
      <c r="AA85" s="445"/>
      <c r="AB85" s="492">
        <f t="shared" si="24"/>
        <v>0</v>
      </c>
      <c r="AC85" s="492">
        <f t="shared" si="30"/>
        <v>2.1840907854920615</v>
      </c>
      <c r="AD85" s="554">
        <f t="shared" si="31"/>
        <v>0</v>
      </c>
      <c r="AE85" s="200">
        <f>IF($I$2="DRT",VLOOKUP(A85,'Misc. Data &amp; Mechanisms'!$A$1483:$H$1574,8,FALSE),AQ85)</f>
        <v>8.3000000000000004E-2</v>
      </c>
      <c r="AF85" s="554">
        <f t="shared" si="43"/>
        <v>2.573</v>
      </c>
      <c r="AG85" s="290">
        <v>1.5169999999999999</v>
      </c>
      <c r="AH85" s="494">
        <f t="shared" ref="AH85:AH87" si="48">AG85*C85</f>
        <v>3.1675580512346624</v>
      </c>
      <c r="AI85" s="1498">
        <f>5%</f>
        <v>0.05</v>
      </c>
      <c r="AJ85" s="341">
        <f>'Misc. Data &amp; Mechanisms'!AN358</f>
        <v>2.1147145931826126</v>
      </c>
      <c r="AK85" s="449">
        <f>'Misc. Data &amp; Mechanisms'!AQ358</f>
        <v>2.6838016525899304</v>
      </c>
      <c r="AL85" s="449">
        <f>'Misc. Data &amp; Mechanisms'!AC358</f>
        <v>2.0880409039121046</v>
      </c>
      <c r="AM85" s="449">
        <f>'Misc. Data &amp; Mechanisms'!AD358</f>
        <v>1.33357919949101</v>
      </c>
      <c r="AN85" s="1460">
        <f>'Misc. Data &amp; Mechanisms'!$B$260</f>
        <v>10.198990303636064</v>
      </c>
      <c r="AO85" s="197">
        <f>IFERROR(IF('Personalized Bill Menu'!$B$30="Yes", IF('Personalized Bill Menu'!$B$34="Natural Gas",VLOOKUP($A85, 'Personalized Bill Menu'!$H$4:$L$93, 2, FALSE), IF('Personalized Bill Menu'!$B$34="Both",VLOOKUP($A85,'Personalized Bill Menu'!$H$4:$P$93, 6, FALSE), 0)), 0),0)</f>
        <v>0</v>
      </c>
      <c r="AP85" s="1343">
        <f>IFERROR(IF('Personalized Bill Menu'!$C$37="Custom", IF('Personalized Bill Menu'!$B$34="Natural Gas",VLOOKUP($A85, 'Personalized Bill Menu'!$H$4:$L$93, 3, FALSE), IF('Personalized Bill Menu'!$B$34="Both",VLOOKUP($A85,'Personalized Bill Menu'!$H$4:$P$93, 7, FALSE), 0)), 0),0)</f>
        <v>0</v>
      </c>
      <c r="AQ85" s="1344">
        <f>IFERROR(IF('Personalized Bill Menu'!$C$37="Custom", IF('Personalized Bill Menu'!$B$34="Natural Gas",VLOOKUP($A85, 'Personalized Bill Menu'!$H$4:$L$93, 4, FALSE), IF('Personalized Bill Menu'!$B$34="Both",VLOOKUP($A85,'Personalized Bill Menu'!$H$4:$P$93, 8, FALSE), 0)), 0),0)</f>
        <v>0</v>
      </c>
    </row>
    <row r="86" spans="1:43" s="117" customFormat="1" x14ac:dyDescent="0.35">
      <c r="A86" s="496">
        <v>43313</v>
      </c>
      <c r="B86" s="497">
        <f t="shared" si="34"/>
        <v>31</v>
      </c>
      <c r="C86" s="226">
        <f t="shared" si="35"/>
        <v>2.7632054433445155</v>
      </c>
      <c r="D86" s="66">
        <f t="shared" si="36"/>
        <v>24.589777911252412</v>
      </c>
      <c r="E86" s="66">
        <f>(1+$AI86)*IF(AND('Service Zone Menu'!$X$5="Athabasca", $A86&lt;DATE(2019, 5, 1)),((1+$T86+$U86)*($N86+((1+$X86+$Y86)*$P86)+$Z86+$AA86)) + $AG86,((1+$U86)*($N86+((1+$X86+$Y86)*$P86)+$Z86+$AA86))+($T86*(((1+$X86+$Y86)*$P86)+$Z86+$AA86)) + $AG86)</f>
        <v>6.1891552453500003</v>
      </c>
      <c r="F86" s="488">
        <f t="shared" si="32"/>
        <v>67.946608175005395</v>
      </c>
      <c r="G86" s="489">
        <f t="shared" si="37"/>
        <v>2.605702733073878</v>
      </c>
      <c r="H86" s="490">
        <f t="shared" si="33"/>
        <v>48.152527371318342</v>
      </c>
      <c r="I86" s="490">
        <f t="shared" si="38"/>
        <v>4.844844426865035</v>
      </c>
      <c r="J86" s="490">
        <f t="shared" si="39"/>
        <v>2.3431982159561491</v>
      </c>
      <c r="K86" s="490">
        <f t="shared" si="40"/>
        <v>2.573</v>
      </c>
      <c r="L86" s="490">
        <f t="shared" si="47"/>
        <v>4.1917826575536301</v>
      </c>
      <c r="M86" s="491">
        <f t="shared" si="42"/>
        <v>3.235552770238352</v>
      </c>
      <c r="N86" s="273">
        <f>IF($I$2="DRT",VLOOKUP(A86,'Misc. Data &amp; Mechanisms'!$A$1381:$D$1471,4,FALSE),AP86)</f>
        <v>0.94299999999999995</v>
      </c>
      <c r="O86" s="552">
        <f t="shared" si="27"/>
        <v>2.605702733073878</v>
      </c>
      <c r="P86" s="445">
        <v>2.2360000000000002</v>
      </c>
      <c r="Q86" s="445">
        <v>1.3540000000000001</v>
      </c>
      <c r="R86" s="425">
        <f t="shared" si="28"/>
        <v>6.1785273713183368</v>
      </c>
      <c r="S86" s="552">
        <f t="shared" si="29"/>
        <v>41.974000000000004</v>
      </c>
      <c r="T86" s="391">
        <f>VLOOKUP($A86,'Misc. Data &amp; Mechanisms'!$A$63:$DY$152,HLOOKUP('Service Zone Menu'!$X$5&amp;"_AltaGas_NG_Y_1",'Misc. Data &amp; Mechanisms'!$A$55:$DY$62,8,FALSE), FALSE)</f>
        <v>0.06</v>
      </c>
      <c r="U86" s="205">
        <f>VLOOKUP($A86,'Misc. Data &amp; Mechanisms'!$A$63:$DY$152,HLOOKUP('Service Zone Menu'!$X$5&amp;"_AltaGas_NG_Y_2",'Misc. Data &amp; Mechanisms'!$A$55:$DY$62,8,FALSE), FALSE)</f>
        <v>2.7021E-2</v>
      </c>
      <c r="V86" s="425">
        <f>IF(AND('Service Zone Menu'!$X$5="Athabasca", $A86&lt;DATE(2019, 5, 1)),$T86*($G86+$H86+$J86+$K86),$T86*($H86+$J86+$K86))</f>
        <v>3.3404656992209021</v>
      </c>
      <c r="W86" s="1499">
        <f t="shared" si="23"/>
        <v>1.5043787276441332</v>
      </c>
      <c r="X86" s="562"/>
      <c r="Y86" s="562"/>
      <c r="Z86" s="445">
        <v>0.84799999999999998</v>
      </c>
      <c r="AA86" s="445"/>
      <c r="AB86" s="492">
        <f t="shared" si="24"/>
        <v>0</v>
      </c>
      <c r="AC86" s="492">
        <f t="shared" si="30"/>
        <v>2.3431982159561491</v>
      </c>
      <c r="AD86" s="554">
        <f t="shared" si="31"/>
        <v>0</v>
      </c>
      <c r="AE86" s="200">
        <f>IF($I$2="DRT",VLOOKUP(A86,'Misc. Data &amp; Mechanisms'!$A$1483:$H$1574,8,FALSE),AQ86)</f>
        <v>8.3000000000000004E-2</v>
      </c>
      <c r="AF86" s="554">
        <f t="shared" si="43"/>
        <v>2.573</v>
      </c>
      <c r="AG86" s="290">
        <v>1.5169999999999999</v>
      </c>
      <c r="AH86" s="494">
        <f t="shared" si="48"/>
        <v>4.1917826575536301</v>
      </c>
      <c r="AI86" s="1498">
        <f>5%</f>
        <v>0.05</v>
      </c>
      <c r="AJ86" s="341">
        <f>'Misc. Data &amp; Mechanisms'!AN359</f>
        <v>2.7985040254978903</v>
      </c>
      <c r="AK86" s="449">
        <f>'Misc. Data &amp; Mechanisms'!AQ359</f>
        <v>3.2561512109550792</v>
      </c>
      <c r="AL86" s="449">
        <f>'Misc. Data &amp; Mechanisms'!AC359</f>
        <v>2.7632054433445155</v>
      </c>
      <c r="AM86" s="449">
        <f>'Misc. Data &amp; Mechanisms'!AD359</f>
        <v>1.7647898066845999</v>
      </c>
      <c r="AN86" s="1460">
        <f>'Misc. Data &amp; Mechanisms'!$B$260</f>
        <v>10.198990303636064</v>
      </c>
      <c r="AO86" s="197">
        <f>IFERROR(IF('Personalized Bill Menu'!$B$30="Yes", IF('Personalized Bill Menu'!$B$34="Natural Gas",VLOOKUP($A86, 'Personalized Bill Menu'!$H$4:$L$93, 2, FALSE), IF('Personalized Bill Menu'!$B$34="Both",VLOOKUP($A86,'Personalized Bill Menu'!$H$4:$P$93, 6, FALSE), 0)), 0),0)</f>
        <v>0</v>
      </c>
      <c r="AP86" s="1343">
        <f>IFERROR(IF('Personalized Bill Menu'!$C$37="Custom", IF('Personalized Bill Menu'!$B$34="Natural Gas",VLOOKUP($A86, 'Personalized Bill Menu'!$H$4:$L$93, 3, FALSE), IF('Personalized Bill Menu'!$B$34="Both",VLOOKUP($A86,'Personalized Bill Menu'!$H$4:$P$93, 7, FALSE), 0)), 0),0)</f>
        <v>0</v>
      </c>
      <c r="AQ86" s="1344">
        <f>IFERROR(IF('Personalized Bill Menu'!$C$37="Custom", IF('Personalized Bill Menu'!$B$34="Natural Gas",VLOOKUP($A86, 'Personalized Bill Menu'!$H$4:$L$93, 4, FALSE), IF('Personalized Bill Menu'!$B$34="Both",VLOOKUP($A86,'Personalized Bill Menu'!$H$4:$P$93, 8, FALSE), 0)), 0),0)</f>
        <v>0</v>
      </c>
    </row>
    <row r="87" spans="1:43" s="117" customFormat="1" x14ac:dyDescent="0.35">
      <c r="A87" s="496">
        <v>43344</v>
      </c>
      <c r="B87" s="497">
        <f t="shared" si="34"/>
        <v>30</v>
      </c>
      <c r="C87" s="226">
        <f t="shared" si="35"/>
        <v>6.9209361442748447</v>
      </c>
      <c r="D87" s="66">
        <f t="shared" si="36"/>
        <v>13.073827138928809</v>
      </c>
      <c r="E87" s="66">
        <f>(1+$AI87)*IF(AND('Service Zone Menu'!$X$5="Athabasca", $A87&lt;DATE(2019, 5, 1)),((1+$T87+$U87)*($N87+((1+$X87+$Y87)*$P87)+$Z87+$AA87)) + $AG87,((1+$U87)*($N87+((1+$X87+$Y87)*$P87)+$Z87+$AA87))+($T87*(((1+$X87+$Y87)*$P87)+$Z87+$AA87)) + $AG87)</f>
        <v>5.9643049515</v>
      </c>
      <c r="F87" s="488">
        <f t="shared" si="32"/>
        <v>90.483122789813777</v>
      </c>
      <c r="G87" s="489">
        <f t="shared" si="37"/>
        <v>6.3603403165885828</v>
      </c>
      <c r="H87" s="490">
        <f t="shared" si="33"/>
        <v>56.095213218598559</v>
      </c>
      <c r="I87" s="490">
        <f t="shared" si="38"/>
        <v>6.058157093527905</v>
      </c>
      <c r="J87" s="490">
        <f t="shared" si="39"/>
        <v>4.6716318973855202</v>
      </c>
      <c r="K87" s="490">
        <f t="shared" si="40"/>
        <v>2.4900000000000002</v>
      </c>
      <c r="L87" s="490">
        <f t="shared" si="47"/>
        <v>10.499060130864939</v>
      </c>
      <c r="M87" s="491">
        <f t="shared" si="42"/>
        <v>4.3087201328482747</v>
      </c>
      <c r="N87" s="273">
        <f>IF($I$2="DRT",VLOOKUP(A87,'Misc. Data &amp; Mechanisms'!$A$1381:$D$1471,4,FALSE),AP87)</f>
        <v>0.91900000000000004</v>
      </c>
      <c r="O87" s="552">
        <f t="shared" si="27"/>
        <v>6.3603403165885828</v>
      </c>
      <c r="P87" s="445">
        <v>2.2360000000000002</v>
      </c>
      <c r="Q87" s="445">
        <v>1.3540000000000001</v>
      </c>
      <c r="R87" s="425">
        <f t="shared" si="28"/>
        <v>15.475213218598554</v>
      </c>
      <c r="S87" s="552">
        <f t="shared" si="29"/>
        <v>40.620000000000005</v>
      </c>
      <c r="T87" s="391">
        <f>VLOOKUP($A87,'Misc. Data &amp; Mechanisms'!$A$63:$DY$152,HLOOKUP('Service Zone Menu'!$X$5&amp;"_AltaGas_NG_Y_1",'Misc. Data &amp; Mechanisms'!$A$55:$DY$62,8,FALSE), FALSE)</f>
        <v>0.06</v>
      </c>
      <c r="U87" s="205">
        <f>VLOOKUP($A87,'Misc. Data &amp; Mechanisms'!$A$63:$DY$152,HLOOKUP('Service Zone Menu'!$X$5&amp;"_AltaGas_NG_Y_2",'Misc. Data &amp; Mechanisms'!$A$55:$DY$62,8,FALSE), FALSE)</f>
        <v>2.7021E-2</v>
      </c>
      <c r="V87" s="425">
        <f>IF(AND('Service Zone Menu'!$X$5="Athabasca", $A87&lt;DATE(2019, 5, 1)),$T87*($G87+$H87+$J87+$K87),$T87*($H87+$J87+$K87))</f>
        <v>4.1770311259543593</v>
      </c>
      <c r="W87" s="1499">
        <f t="shared" si="23"/>
        <v>1.8811259675735457</v>
      </c>
      <c r="X87" s="562"/>
      <c r="Y87" s="562"/>
      <c r="Z87" s="445">
        <v>0.67500000000000004</v>
      </c>
      <c r="AA87" s="445"/>
      <c r="AB87" s="492">
        <f t="shared" si="24"/>
        <v>0</v>
      </c>
      <c r="AC87" s="492">
        <f t="shared" si="30"/>
        <v>4.6716318973855202</v>
      </c>
      <c r="AD87" s="554">
        <f t="shared" si="31"/>
        <v>0</v>
      </c>
      <c r="AE87" s="200">
        <f>IF($I$2="DRT",VLOOKUP(A87,'Misc. Data &amp; Mechanisms'!$A$1483:$H$1574,8,FALSE),AQ87)</f>
        <v>8.3000000000000004E-2</v>
      </c>
      <c r="AF87" s="554">
        <f t="shared" si="43"/>
        <v>2.4900000000000002</v>
      </c>
      <c r="AG87" s="290">
        <v>1.5169999999999999</v>
      </c>
      <c r="AH87" s="494">
        <f t="shared" si="48"/>
        <v>10.499060130864939</v>
      </c>
      <c r="AI87" s="1498">
        <f>5%</f>
        <v>0.05</v>
      </c>
      <c r="AJ87" s="341">
        <f>'Misc. Data &amp; Mechanisms'!AN360</f>
        <v>7.0093476786597995</v>
      </c>
      <c r="AK87" s="449">
        <f>'Misc. Data &amp; Mechanisms'!AQ360</f>
        <v>7.996989798454579</v>
      </c>
      <c r="AL87" s="449">
        <f>'Misc. Data &amp; Mechanisms'!AC360</f>
        <v>6.9209361442748447</v>
      </c>
      <c r="AM87" s="449">
        <f>'Misc. Data &amp; Mechanisms'!AD360</f>
        <v>4.4202278153258643</v>
      </c>
      <c r="AN87" s="1460">
        <f>'Misc. Data &amp; Mechanisms'!$B$260</f>
        <v>10.198990303636064</v>
      </c>
      <c r="AO87" s="197">
        <f>IFERROR(IF('Personalized Bill Menu'!$B$30="Yes", IF('Personalized Bill Menu'!$B$34="Natural Gas",VLOOKUP($A87, 'Personalized Bill Menu'!$H$4:$L$93, 2, FALSE), IF('Personalized Bill Menu'!$B$34="Both",VLOOKUP($A87,'Personalized Bill Menu'!$H$4:$P$93, 6, FALSE), 0)), 0),0)</f>
        <v>0</v>
      </c>
      <c r="AP87" s="1343">
        <f>IFERROR(IF('Personalized Bill Menu'!$C$37="Custom", IF('Personalized Bill Menu'!$B$34="Natural Gas",VLOOKUP($A87, 'Personalized Bill Menu'!$H$4:$L$93, 3, FALSE), IF('Personalized Bill Menu'!$B$34="Both",VLOOKUP($A87,'Personalized Bill Menu'!$H$4:$P$93, 7, FALSE), 0)), 0),0)</f>
        <v>0</v>
      </c>
      <c r="AQ87" s="1344">
        <f>IFERROR(IF('Personalized Bill Menu'!$C$37="Custom", IF('Personalized Bill Menu'!$B$34="Natural Gas",VLOOKUP($A87, 'Personalized Bill Menu'!$H$4:$L$93, 4, FALSE), IF('Personalized Bill Menu'!$B$34="Both",VLOOKUP($A87,'Personalized Bill Menu'!$H$4:$P$93, 8, FALSE), 0)), 0),0)</f>
        <v>0</v>
      </c>
    </row>
    <row r="88" spans="1:43" s="117" customFormat="1" x14ac:dyDescent="0.35">
      <c r="A88" s="496">
        <v>43374</v>
      </c>
      <c r="B88" s="497">
        <f t="shared" si="34"/>
        <v>31</v>
      </c>
      <c r="C88" s="226">
        <f t="shared" si="35"/>
        <v>11.464026351357919</v>
      </c>
      <c r="D88" s="66">
        <f>IFERROR($F88/$C88, "")</f>
        <v>10.221403026064028</v>
      </c>
      <c r="E88" s="66">
        <f>(1+$AI88)*IF(AND('Service Zone Menu'!$X$5="Athabasca", $A88&lt;DATE(2019, 5, 1)),((1+$T88+$U88)*($N88+((1+$X88+$Y88)*$P88)+$Z88+$AA88)) + $AG88,((1+$U88)*($N88+((1+$X88+$Y88)*$P88)+$Z88+$AA88))+($T88*(((1+$X88+$Y88)*$P88)+$Z88+$AA88)) + $AG88)</f>
        <v>5.7862509117000007</v>
      </c>
      <c r="F88" s="488">
        <f t="shared" si="32"/>
        <v>117.17843363864759</v>
      </c>
      <c r="G88" s="489">
        <f t="shared" si="37"/>
        <v>14.375889044602831</v>
      </c>
      <c r="H88" s="490">
        <f t="shared" si="33"/>
        <v>67.607562921636315</v>
      </c>
      <c r="I88" s="490">
        <f t="shared" si="38"/>
        <v>7.5417474373844557</v>
      </c>
      <c r="J88" s="490">
        <f t="shared" si="39"/>
        <v>2.1093808486498573</v>
      </c>
      <c r="K88" s="490">
        <f t="shared" si="40"/>
        <v>2.573</v>
      </c>
      <c r="L88" s="490">
        <f t="shared" ref="L88:L90" si="49">AH88</f>
        <v>17.390927975009962</v>
      </c>
      <c r="M88" s="491">
        <f t="shared" si="42"/>
        <v>5.5799254113641714</v>
      </c>
      <c r="N88" s="273">
        <f>IF($I$2="DRT",VLOOKUP(A88,'Misc. Data &amp; Mechanisms'!$A$1381:$D$1471,4,FALSE),AP88)</f>
        <v>1.254</v>
      </c>
      <c r="O88" s="552">
        <f t="shared" si="27"/>
        <v>14.375889044602831</v>
      </c>
      <c r="P88" s="445">
        <v>2.2360000000000002</v>
      </c>
      <c r="Q88" s="445">
        <v>1.3540000000000001</v>
      </c>
      <c r="R88" s="425">
        <f t="shared" si="28"/>
        <v>25.633562921636308</v>
      </c>
      <c r="S88" s="552">
        <f t="shared" si="29"/>
        <v>41.974000000000004</v>
      </c>
      <c r="T88" s="391">
        <f>VLOOKUP($A88,'Misc. Data &amp; Mechanisms'!$A$63:$DY$152,HLOOKUP('Service Zone Menu'!$X$5&amp;"_AltaGas_NG_Y_1",'Misc. Data &amp; Mechanisms'!$A$55:$DY$62,8,FALSE), FALSE)</f>
        <v>0.06</v>
      </c>
      <c r="U88" s="205">
        <f>VLOOKUP($A88,'Misc. Data &amp; Mechanisms'!$A$63:$DY$152,HLOOKUP('Service Zone Menu'!$X$5&amp;"_AltaGas_NG_Y_2",'Misc. Data &amp; Mechanisms'!$A$55:$DY$62,8,FALSE), FALSE)</f>
        <v>2.7021E-2</v>
      </c>
      <c r="V88" s="425">
        <f>IF(AND('Service Zone Menu'!$X$5="Athabasca", $A88&lt;DATE(2019, 5, 1)),$T88*($G88+$H88+$J88+$K88),$T88*($H88+$J88+$K88))</f>
        <v>5.1999499688933399</v>
      </c>
      <c r="W88" s="1499">
        <f t="shared" si="23"/>
        <v>2.3417974684911158</v>
      </c>
      <c r="X88" s="562"/>
      <c r="Y88" s="562"/>
      <c r="Z88" s="445">
        <v>0.184</v>
      </c>
      <c r="AA88" s="445"/>
      <c r="AB88" s="492">
        <f t="shared" si="24"/>
        <v>0</v>
      </c>
      <c r="AC88" s="492">
        <f t="shared" si="30"/>
        <v>2.1093808486498573</v>
      </c>
      <c r="AD88" s="554">
        <f t="shared" si="31"/>
        <v>0</v>
      </c>
      <c r="AE88" s="200">
        <f>IF($I$2="DRT",VLOOKUP(A88,'Misc. Data &amp; Mechanisms'!$A$1483:$H$1574,8,FALSE),AQ88)</f>
        <v>8.3000000000000004E-2</v>
      </c>
      <c r="AF88" s="554">
        <f t="shared" si="43"/>
        <v>2.573</v>
      </c>
      <c r="AG88" s="290">
        <v>1.5169999999999999</v>
      </c>
      <c r="AH88" s="494">
        <f t="shared" ref="AH88:AH96" si="50">AG88*C88</f>
        <v>17.390927975009962</v>
      </c>
      <c r="AI88" s="1498">
        <f>5%</f>
        <v>0.05</v>
      </c>
      <c r="AJ88" s="341">
        <f>'Misc. Data &amp; Mechanisms'!AN361</f>
        <v>11.610473614968571</v>
      </c>
      <c r="AK88" s="449">
        <f>'Misc. Data &amp; Mechanisms'!AQ361</f>
        <v>11.208007627363536</v>
      </c>
      <c r="AL88" s="449">
        <f>'Misc. Data &amp; Mechanisms'!AC361</f>
        <v>11.464026351357919</v>
      </c>
      <c r="AM88" s="449">
        <f>'Misc. Data &amp; Mechanisms'!AD361</f>
        <v>7.3217852466128175</v>
      </c>
      <c r="AN88" s="1460">
        <f>'Misc. Data &amp; Mechanisms'!$B$260</f>
        <v>10.198990303636064</v>
      </c>
      <c r="AO88" s="197">
        <f>IFERROR(IF('Personalized Bill Menu'!$B$30="Yes", IF('Personalized Bill Menu'!$B$34="Natural Gas",VLOOKUP($A88, 'Personalized Bill Menu'!$H$4:$L$93, 2, FALSE), IF('Personalized Bill Menu'!$B$34="Both",VLOOKUP($A88,'Personalized Bill Menu'!$H$4:$P$93, 6, FALSE), 0)), 0),0)</f>
        <v>0</v>
      </c>
      <c r="AP88" s="1343">
        <f>IFERROR(IF('Personalized Bill Menu'!$C$37="Custom", IF('Personalized Bill Menu'!$B$34="Natural Gas",VLOOKUP($A88, 'Personalized Bill Menu'!$H$4:$L$93, 3, FALSE), IF('Personalized Bill Menu'!$B$34="Both",VLOOKUP($A88,'Personalized Bill Menu'!$H$4:$P$93, 7, FALSE), 0)), 0),0)</f>
        <v>0</v>
      </c>
      <c r="AQ88" s="1344">
        <f>IFERROR(IF('Personalized Bill Menu'!$C$37="Custom", IF('Personalized Bill Menu'!$B$34="Natural Gas",VLOOKUP($A88, 'Personalized Bill Menu'!$H$4:$L$93, 4, FALSE), IF('Personalized Bill Menu'!$B$34="Both",VLOOKUP($A88,'Personalized Bill Menu'!$H$4:$P$93, 8, FALSE), 0)), 0),0)</f>
        <v>0</v>
      </c>
    </row>
    <row r="89" spans="1:43" s="117" customFormat="1" x14ac:dyDescent="0.35">
      <c r="A89" s="496">
        <v>43405</v>
      </c>
      <c r="B89" s="497">
        <f t="shared" si="34"/>
        <v>30</v>
      </c>
      <c r="C89" s="226">
        <f t="shared" si="35"/>
        <v>16.849974449203042</v>
      </c>
      <c r="D89" s="66">
        <f t="shared" si="36"/>
        <v>10.06007387147511</v>
      </c>
      <c r="E89" s="66">
        <f>(1+$AI89)*IF(AND('Service Zone Menu'!$X$5="Athabasca", $A89&lt;DATE(2019, 5, 1)),((1+$T89+$U89)*($N89+((1+$X89+$Y89)*$P89)+$Z89+$AA89)) + $AG89,((1+$U89)*($N89+((1+$X89+$Y89)*$P89)+$Z89+$AA89))+($T89*(((1+$X89+$Y89)*$P89)+$Z89+$AA89)) + $AG89)</f>
        <v>7.1399181630000008</v>
      </c>
      <c r="F89" s="488">
        <f t="shared" si="32"/>
        <v>169.51198769145074</v>
      </c>
      <c r="G89" s="489">
        <f t="shared" si="37"/>
        <v>37.086793762695898</v>
      </c>
      <c r="H89" s="490">
        <f t="shared" si="33"/>
        <v>78.296542868418015</v>
      </c>
      <c r="I89" s="490">
        <f t="shared" si="38"/>
        <v>10.877701215004317</v>
      </c>
      <c r="J89" s="490">
        <f t="shared" si="39"/>
        <v>7.127539192012887</v>
      </c>
      <c r="K89" s="490">
        <f t="shared" si="40"/>
        <v>2.4900000000000002</v>
      </c>
      <c r="L89" s="490">
        <f t="shared" si="49"/>
        <v>25.561411239441014</v>
      </c>
      <c r="M89" s="491">
        <f t="shared" si="42"/>
        <v>8.071999413878606</v>
      </c>
      <c r="N89" s="273">
        <f>IF($I$2="DRT",VLOOKUP(A89,'Misc. Data &amp; Mechanisms'!$A$1381:$D$1471,4,FALSE),AP89)</f>
        <v>2.2010000000000001</v>
      </c>
      <c r="O89" s="552">
        <f t="shared" si="27"/>
        <v>37.086793762695898</v>
      </c>
      <c r="P89" s="445">
        <v>2.2360000000000002</v>
      </c>
      <c r="Q89" s="445">
        <v>1.3540000000000001</v>
      </c>
      <c r="R89" s="425">
        <f t="shared" si="28"/>
        <v>37.676542868418004</v>
      </c>
      <c r="S89" s="552">
        <f t="shared" si="29"/>
        <v>40.620000000000005</v>
      </c>
      <c r="T89" s="391">
        <f>VLOOKUP($A89,'Misc. Data &amp; Mechanisms'!$A$63:$DY$152,HLOOKUP('Service Zone Menu'!$X$5&amp;"_AltaGas_NG_Y_1",'Misc. Data &amp; Mechanisms'!$A$55:$DY$62,8,FALSE), FALSE)</f>
        <v>0.06</v>
      </c>
      <c r="U89" s="205">
        <f>VLOOKUP($A89,'Misc. Data &amp; Mechanisms'!$A$63:$DY$152,HLOOKUP('Service Zone Menu'!$X$5&amp;"_AltaGas_NG_Y_2",'Misc. Data &amp; Mechanisms'!$A$55:$DY$62,8,FALSE), FALSE)</f>
        <v>2.7021E-2</v>
      </c>
      <c r="V89" s="425">
        <f>IF(AND('Service Zone Menu'!$X$5="Athabasca", $A89&lt;DATE(2019, 5, 1)),$T89*($G89+$H89+$J89+$K89),$T89*($H89+$J89+$K89))</f>
        <v>7.5000525493876076</v>
      </c>
      <c r="W89" s="1499">
        <f t="shared" si="23"/>
        <v>3.3776486656167091</v>
      </c>
      <c r="X89" s="562"/>
      <c r="Y89" s="562"/>
      <c r="Z89" s="445">
        <v>0.42299999999999999</v>
      </c>
      <c r="AA89" s="445"/>
      <c r="AB89" s="492">
        <f t="shared" si="24"/>
        <v>0</v>
      </c>
      <c r="AC89" s="492">
        <f t="shared" si="30"/>
        <v>7.127539192012887</v>
      </c>
      <c r="AD89" s="554">
        <f t="shared" si="31"/>
        <v>0</v>
      </c>
      <c r="AE89" s="200">
        <f>IF($I$2="DRT",VLOOKUP(A89,'Misc. Data &amp; Mechanisms'!$A$1483:$H$1574,8,FALSE),AQ89)</f>
        <v>8.3000000000000004E-2</v>
      </c>
      <c r="AF89" s="554">
        <f t="shared" si="43"/>
        <v>2.4900000000000002</v>
      </c>
      <c r="AG89" s="290">
        <v>1.5169999999999999</v>
      </c>
      <c r="AH89" s="494">
        <f t="shared" si="50"/>
        <v>25.561411239441014</v>
      </c>
      <c r="AI89" s="1498">
        <f>5%</f>
        <v>0.05</v>
      </c>
      <c r="AJ89" s="341">
        <f>'Misc. Data &amp; Mechanisms'!AN362</f>
        <v>17.065224534501642</v>
      </c>
      <c r="AK89" s="449">
        <f>'Misc. Data &amp; Mechanisms'!AQ362</f>
        <v>14.940756408765644</v>
      </c>
      <c r="AL89" s="449">
        <f>'Misc. Data &amp; Mechanisms'!AC362</f>
        <v>16.849974449203042</v>
      </c>
      <c r="AM89" s="449">
        <f>'Misc. Data &amp; Mechanisms'!AD362</f>
        <v>10.761654810167487</v>
      </c>
      <c r="AN89" s="1460">
        <f>'Misc. Data &amp; Mechanisms'!$B$260</f>
        <v>10.198990303636064</v>
      </c>
      <c r="AO89" s="197">
        <f>IFERROR(IF('Personalized Bill Menu'!$B$30="Yes", IF('Personalized Bill Menu'!$B$34="Natural Gas",VLOOKUP($A89, 'Personalized Bill Menu'!$H$4:$L$93, 2, FALSE), IF('Personalized Bill Menu'!$B$34="Both",VLOOKUP($A89,'Personalized Bill Menu'!$H$4:$P$93, 6, FALSE), 0)), 0),0)</f>
        <v>0</v>
      </c>
      <c r="AP89" s="1343">
        <f>IFERROR(IF('Personalized Bill Menu'!$C$37="Custom", IF('Personalized Bill Menu'!$B$34="Natural Gas",VLOOKUP($A89, 'Personalized Bill Menu'!$H$4:$L$93, 3, FALSE), IF('Personalized Bill Menu'!$B$34="Both",VLOOKUP($A89,'Personalized Bill Menu'!$H$4:$P$93, 7, FALSE), 0)), 0),0)</f>
        <v>0</v>
      </c>
      <c r="AQ89" s="1344">
        <f>IFERROR(IF('Personalized Bill Menu'!$C$37="Custom", IF('Personalized Bill Menu'!$B$34="Natural Gas",VLOOKUP($A89, 'Personalized Bill Menu'!$H$4:$L$93, 4, FALSE), IF('Personalized Bill Menu'!$B$34="Both",VLOOKUP($A89,'Personalized Bill Menu'!$H$4:$P$93, 8, FALSE), 0)), 0),0)</f>
        <v>0</v>
      </c>
    </row>
    <row r="90" spans="1:43" s="117" customFormat="1" x14ac:dyDescent="0.35">
      <c r="A90" s="508">
        <v>43435</v>
      </c>
      <c r="B90" s="509">
        <f t="shared" si="34"/>
        <v>31</v>
      </c>
      <c r="C90" s="231">
        <f t="shared" si="35"/>
        <v>19.506312373196373</v>
      </c>
      <c r="D90" s="344">
        <f>IFERROR($F90/$C90, "")</f>
        <v>9.2488567197645732</v>
      </c>
      <c r="E90" s="344">
        <f>(1+$AI90)*IF(AND('Service Zone Menu'!$X$5="Athabasca", $A90&lt;DATE(2019, 5, 1)),((1+$T90+$U90)*($N90+((1+$X90+$Y90)*$P90)+$Z90+$AA90)) + $AG90,((1+$U90)*($N90+((1+$X90+$Y90)*$P90)+$Z90+$AA90))+($T90*(((1+$X90+$Y90)*$P90)+$Z90+$AA90)) + $AG90)</f>
        <v>6.6422799491999998</v>
      </c>
      <c r="F90" s="510">
        <f t="shared" si="32"/>
        <v>180.41108827066412</v>
      </c>
      <c r="G90" s="511">
        <f t="shared" si="37"/>
        <v>37.725208129761782</v>
      </c>
      <c r="H90" s="512">
        <f t="shared" si="33"/>
        <v>85.590114466467099</v>
      </c>
      <c r="I90" s="512">
        <f t="shared" si="38"/>
        <v>11.386082258139526</v>
      </c>
      <c r="J90" s="512">
        <f t="shared" si="39"/>
        <v>4.954603342791879</v>
      </c>
      <c r="K90" s="512">
        <f t="shared" si="40"/>
        <v>2.573</v>
      </c>
      <c r="L90" s="512">
        <f t="shared" si="49"/>
        <v>29.591075870138894</v>
      </c>
      <c r="M90" s="513">
        <f t="shared" si="42"/>
        <v>8.5910042033649585</v>
      </c>
      <c r="N90" s="1243">
        <f>IF($I$2="DRT",VLOOKUP(A90,'Misc. Data &amp; Mechanisms'!$A$1381:$D$1471,4,FALSE),AP90)</f>
        <v>1.9339999999999999</v>
      </c>
      <c r="O90" s="558">
        <f t="shared" si="27"/>
        <v>37.725208129761782</v>
      </c>
      <c r="P90" s="1501">
        <v>2.2360000000000002</v>
      </c>
      <c r="Q90" s="1501">
        <v>1.3540000000000001</v>
      </c>
      <c r="R90" s="440">
        <f t="shared" si="28"/>
        <v>43.616114466467096</v>
      </c>
      <c r="S90" s="558">
        <f t="shared" si="29"/>
        <v>41.974000000000004</v>
      </c>
      <c r="T90" s="394">
        <f>VLOOKUP($A90,'Misc. Data &amp; Mechanisms'!$A$63:$DY$152,HLOOKUP('Service Zone Menu'!$X$5&amp;"_AltaGas_NG_Y_1",'Misc. Data &amp; Mechanisms'!$A$55:$DY$62,8,FALSE), FALSE)</f>
        <v>0.06</v>
      </c>
      <c r="U90" s="246">
        <f>VLOOKUP($A90,'Misc. Data &amp; Mechanisms'!$A$63:$DY$152,HLOOKUP('Service Zone Menu'!$X$5&amp;"_AltaGas_NG_Y_2",'Misc. Data &amp; Mechanisms'!$A$55:$DY$62,8,FALSE), FALSE)</f>
        <v>2.7021E-2</v>
      </c>
      <c r="V90" s="440">
        <f>IF(AND('Service Zone Menu'!$X$5="Athabasca", $A90&lt;DATE(2019, 5, 1)),$T90*($G90+$H90+$J90+$K90),$T90*($H90+$J90+$K90))</f>
        <v>7.850575556341246</v>
      </c>
      <c r="W90" s="1568">
        <f t="shared" si="23"/>
        <v>3.5355067017982802</v>
      </c>
      <c r="X90" s="1569"/>
      <c r="Y90" s="1569"/>
      <c r="Z90" s="1501">
        <v>0.254</v>
      </c>
      <c r="AA90" s="1501"/>
      <c r="AB90" s="514">
        <f t="shared" si="24"/>
        <v>0</v>
      </c>
      <c r="AC90" s="514">
        <f t="shared" si="30"/>
        <v>4.954603342791879</v>
      </c>
      <c r="AD90" s="560">
        <f t="shared" si="31"/>
        <v>0</v>
      </c>
      <c r="AE90" s="239">
        <f>IF($I$2="DRT",VLOOKUP(A90,'Misc. Data &amp; Mechanisms'!$A$1483:$H$1574,8,FALSE),AQ90)</f>
        <v>8.3000000000000004E-2</v>
      </c>
      <c r="AF90" s="560">
        <f t="shared" si="43"/>
        <v>2.573</v>
      </c>
      <c r="AG90" s="292">
        <v>1.5169999999999999</v>
      </c>
      <c r="AH90" s="516">
        <f t="shared" si="50"/>
        <v>29.591075870138894</v>
      </c>
      <c r="AI90" s="1567">
        <f>5%</f>
        <v>0.05</v>
      </c>
      <c r="AJ90" s="352">
        <f>'Misc. Data &amp; Mechanisms'!AN363</f>
        <v>19.755495860972534</v>
      </c>
      <c r="AK90" s="1566">
        <f>'Misc. Data &amp; Mechanisms'!AQ363</f>
        <v>18.333729949125683</v>
      </c>
      <c r="AL90" s="1566">
        <f>'Misc. Data &amp; Mechanisms'!AC363</f>
        <v>19.506312373196373</v>
      </c>
      <c r="AM90" s="1566">
        <f>'Misc. Data &amp; Mechanisms'!AD363</f>
        <v>12.458191020554748</v>
      </c>
      <c r="AN90" s="1461">
        <f>'Misc. Data &amp; Mechanisms'!$B$260</f>
        <v>10.198990303636064</v>
      </c>
      <c r="AO90" s="243">
        <f>IFERROR(IF('Personalized Bill Menu'!$B$30="Yes", IF('Personalized Bill Menu'!$B$34="Natural Gas",VLOOKUP($A90, 'Personalized Bill Menu'!$H$4:$L$93, 2, FALSE), IF('Personalized Bill Menu'!$B$34="Both",VLOOKUP($A90,'Personalized Bill Menu'!$H$4:$P$93, 6, FALSE), 0)), 0),0)</f>
        <v>0</v>
      </c>
      <c r="AP90" s="1560">
        <f>IFERROR(IF('Personalized Bill Menu'!$C$37="Custom", IF('Personalized Bill Menu'!$B$34="Natural Gas",VLOOKUP($A90, 'Personalized Bill Menu'!$H$4:$L$93, 3, FALSE), IF('Personalized Bill Menu'!$B$34="Both",VLOOKUP($A90,'Personalized Bill Menu'!$H$4:$P$93, 7, FALSE), 0)), 0),0)</f>
        <v>0</v>
      </c>
      <c r="AQ90" s="1346">
        <f>IFERROR(IF('Personalized Bill Menu'!$C$37="Custom", IF('Personalized Bill Menu'!$B$34="Natural Gas",VLOOKUP($A90, 'Personalized Bill Menu'!$H$4:$L$93, 4, FALSE), IF('Personalized Bill Menu'!$B$34="Both",VLOOKUP($A90,'Personalized Bill Menu'!$H$4:$P$93, 8, FALSE), 0)), 0),0)</f>
        <v>0</v>
      </c>
    </row>
    <row r="91" spans="1:43" s="117" customFormat="1" x14ac:dyDescent="0.35">
      <c r="A91" s="498">
        <v>43466</v>
      </c>
      <c r="B91" s="499">
        <f t="shared" si="34"/>
        <v>31</v>
      </c>
      <c r="C91" s="212">
        <f t="shared" si="35"/>
        <v>20.539954635625719</v>
      </c>
      <c r="D91" s="353">
        <f t="shared" ref="D91:D96" si="51">IFERROR($F91/$C91, "")</f>
        <v>8.1418115692609234</v>
      </c>
      <c r="E91" s="353">
        <f>(1+$AI91)*IF(AND('Service Zone Menu'!$X$5="Athabasca", $A91&lt;DATE(2019, 5, 1)),((1+$T91+$U91)*($N91+((1+$X91+$Y91)*$P91)+$Z91+$AA91)) + $AG91,((1+$U91)*($N91+((1+$X91+$Y91)*$P91)+$Z91+$AA91))+($T91*(((1+$X91+$Y91)*$P91)+$Z91+$AA91)) + $AG91)</f>
        <v>5.6664068464500001</v>
      </c>
      <c r="F91" s="500">
        <f t="shared" si="32"/>
        <v>167.23244028443202</v>
      </c>
      <c r="G91" s="501">
        <f t="shared" si="37"/>
        <v>24.216606515402724</v>
      </c>
      <c r="H91" s="502">
        <f t="shared" si="33"/>
        <v>87.901338565259124</v>
      </c>
      <c r="I91" s="502">
        <f t="shared" si="38"/>
        <v>10.25578147028568</v>
      </c>
      <c r="J91" s="502">
        <f t="shared" si="39"/>
        <v>3.1631530138863608</v>
      </c>
      <c r="K91" s="502">
        <f t="shared" si="40"/>
        <v>2.573</v>
      </c>
      <c r="L91" s="502">
        <f t="shared" ref="L91:L93" si="52">AH91</f>
        <v>31.159111182244214</v>
      </c>
      <c r="M91" s="503">
        <f t="shared" si="42"/>
        <v>7.963449537353906</v>
      </c>
      <c r="N91" s="1244">
        <f>IF($I$2="DRT",VLOOKUP(A91,'Misc. Data &amp; Mechanisms'!$A$1381:$D$1471,4,FALSE),AP91)</f>
        <v>1.179</v>
      </c>
      <c r="O91" s="555">
        <f t="shared" si="27"/>
        <v>24.216606515402724</v>
      </c>
      <c r="P91" s="431">
        <v>2.2360000000000002</v>
      </c>
      <c r="Q91" s="288">
        <v>1.3540000000000001</v>
      </c>
      <c r="R91" s="433">
        <f t="shared" si="28"/>
        <v>45.927338565259113</v>
      </c>
      <c r="S91" s="433">
        <f t="shared" si="29"/>
        <v>41.974000000000004</v>
      </c>
      <c r="T91" s="391">
        <f>VLOOKUP($A91,'Misc. Data &amp; Mechanisms'!$A$63:$DY$152,HLOOKUP('Service Zone Menu'!$X$5&amp;"_AltaGas_NG_Y_1",'Misc. Data &amp; Mechanisms'!$A$55:$DY$62,8,FALSE), FALSE)</f>
        <v>0.06</v>
      </c>
      <c r="U91" s="205">
        <f>VLOOKUP($A91,'Misc. Data &amp; Mechanisms'!$A$63:$DY$152,HLOOKUP('Service Zone Menu'!$X$5&amp;"_AltaGas_NG_Y_2",'Misc. Data &amp; Mechanisms'!$A$55:$DY$62,8,FALSE), FALSE)</f>
        <v>2.7021E-2</v>
      </c>
      <c r="V91" s="433">
        <f>IF(AND('Service Zone Menu'!$X$5="Athabasca", $A91&lt;DATE(2019, 5, 1)),$T91*($G91+$H91+$J91+$K91),$T91*($H91+$J91+$K91))</f>
        <v>7.0712458856728917</v>
      </c>
      <c r="W91" s="556">
        <f t="shared" si="23"/>
        <v>3.184535584612787</v>
      </c>
      <c r="X91" s="389"/>
      <c r="Y91" s="222"/>
      <c r="Z91" s="288">
        <v>0.154</v>
      </c>
      <c r="AA91" s="288"/>
      <c r="AB91" s="504">
        <f t="shared" si="24"/>
        <v>0</v>
      </c>
      <c r="AC91" s="504">
        <f t="shared" si="30"/>
        <v>3.1631530138863608</v>
      </c>
      <c r="AD91" s="557">
        <f t="shared" si="31"/>
        <v>0</v>
      </c>
      <c r="AE91" s="200">
        <f>IF($I$2="DRT",VLOOKUP(A91,'Misc. Data &amp; Mechanisms'!$A$1483:$H$1574,8,FALSE),AQ91)</f>
        <v>8.3000000000000004E-2</v>
      </c>
      <c r="AF91" s="557">
        <f t="shared" si="43"/>
        <v>2.573</v>
      </c>
      <c r="AG91" s="286">
        <v>1.5169999999999999</v>
      </c>
      <c r="AH91" s="506">
        <f t="shared" si="50"/>
        <v>31.159111182244214</v>
      </c>
      <c r="AI91" s="507">
        <f>5%</f>
        <v>0.05</v>
      </c>
      <c r="AJ91" s="359">
        <f>'Misc. Data &amp; Mechanisms'!AN364</f>
        <v>20.802342391801627</v>
      </c>
      <c r="AK91" s="434">
        <f>'Misc. Data &amp; Mechanisms'!AQ364</f>
        <v>18.609494087583368</v>
      </c>
      <c r="AL91" s="434">
        <f>'Misc. Data &amp; Mechanisms'!AC364</f>
        <v>20.539954635625719</v>
      </c>
      <c r="AM91" s="434">
        <f>'Misc. Data &amp; Mechanisms'!AD364</f>
        <v>13.118352331718713</v>
      </c>
      <c r="AN91" s="1462">
        <f>'Misc. Data &amp; Mechanisms'!$B$260</f>
        <v>10.198990303636064</v>
      </c>
      <c r="AO91" s="197">
        <f>IFERROR(IF('Personalized Bill Menu'!$B$30="Yes", IF('Personalized Bill Menu'!$B$34="Natural Gas",VLOOKUP($A91, 'Personalized Bill Menu'!$H$4:$L$93, 2, FALSE), IF('Personalized Bill Menu'!$B$34="Both",VLOOKUP($A91,'Personalized Bill Menu'!$H$4:$P$93, 6, FALSE), 0)), 0),0)</f>
        <v>0</v>
      </c>
      <c r="AP91" s="1343">
        <f>IFERROR(IF('Personalized Bill Menu'!$C$37="Custom", IF('Personalized Bill Menu'!$B$34="Natural Gas",VLOOKUP($A91, 'Personalized Bill Menu'!$H$4:$L$93, 3, FALSE), IF('Personalized Bill Menu'!$B$34="Both",VLOOKUP($A91,'Personalized Bill Menu'!$H$4:$P$93, 7, FALSE), 0)), 0),0)</f>
        <v>0</v>
      </c>
      <c r="AQ91" s="1344">
        <f>IFERROR(IF('Personalized Bill Menu'!$C$37="Custom", IF('Personalized Bill Menu'!$B$34="Natural Gas",VLOOKUP($A91, 'Personalized Bill Menu'!$H$4:$L$93, 4, FALSE), IF('Personalized Bill Menu'!$B$34="Both",VLOOKUP($A91,'Personalized Bill Menu'!$H$4:$P$93, 8, FALSE), 0)), 0),0)</f>
        <v>0</v>
      </c>
    </row>
    <row r="92" spans="1:43" s="117" customFormat="1" x14ac:dyDescent="0.35">
      <c r="A92" s="496">
        <v>43497</v>
      </c>
      <c r="B92" s="497">
        <f t="shared" si="34"/>
        <v>28</v>
      </c>
      <c r="C92" s="226">
        <f t="shared" si="35"/>
        <v>25.592826322195712</v>
      </c>
      <c r="D92" s="66">
        <f t="shared" si="51"/>
        <v>8.8635717828260159</v>
      </c>
      <c r="E92" s="66">
        <f>(1+$AI92)*IF(AND('Service Zone Menu'!$X$5="Athabasca", $A92&lt;DATE(2019, 5, 1)),((1+$T92+$U92)*($N92+((1+$X92+$Y92)*$P92)+$Z92+$AA92)) + $AG92,((1+$U92)*($N92+((1+$X92+$Y92)*$P92)+$Z92+$AA92))+($T92*(((1+$X92+$Y92)*$P92)+$Z92+$AA92)) + $AG92)</f>
        <v>7.0691530959000008</v>
      </c>
      <c r="F92" s="488">
        <f t="shared" si="32"/>
        <v>226.84385323218083</v>
      </c>
      <c r="G92" s="489">
        <f t="shared" si="37"/>
        <v>59.554506851749423</v>
      </c>
      <c r="H92" s="490">
        <f t="shared" si="33"/>
        <v>95.13755965642963</v>
      </c>
      <c r="I92" s="490">
        <f t="shared" si="38"/>
        <v>14.187066758363439</v>
      </c>
      <c r="J92" s="490">
        <f t="shared" si="39"/>
        <v>6.0143141857159916</v>
      </c>
      <c r="K92" s="490">
        <f t="shared" si="40"/>
        <v>2.3240000000000003</v>
      </c>
      <c r="L92" s="490">
        <f t="shared" si="52"/>
        <v>38.824317530770891</v>
      </c>
      <c r="M92" s="491">
        <f t="shared" si="42"/>
        <v>10.802088249151469</v>
      </c>
      <c r="N92" s="273">
        <f>IF($I$2="DRT",VLOOKUP(A92,'Misc. Data &amp; Mechanisms'!$A$1381:$D$1471,4,FALSE),AP92)</f>
        <v>2.327</v>
      </c>
      <c r="O92" s="552">
        <f t="shared" si="27"/>
        <v>59.554506851749423</v>
      </c>
      <c r="P92" s="387">
        <v>2.2360000000000002</v>
      </c>
      <c r="Q92" s="278">
        <v>1.3540000000000001</v>
      </c>
      <c r="R92" s="425">
        <f t="shared" si="28"/>
        <v>57.225559656429617</v>
      </c>
      <c r="S92" s="425">
        <f t="shared" si="29"/>
        <v>37.912000000000006</v>
      </c>
      <c r="T92" s="391">
        <f>VLOOKUP($A92,'Misc. Data &amp; Mechanisms'!$A$63:$DY$152,HLOOKUP('Service Zone Menu'!$X$5&amp;"_AltaGas_NG_Y_1",'Misc. Data &amp; Mechanisms'!$A$55:$DY$62,8,FALSE), FALSE)</f>
        <v>0.06</v>
      </c>
      <c r="U92" s="205">
        <f>VLOOKUP($A92,'Misc. Data &amp; Mechanisms'!$A$63:$DY$152,HLOOKUP('Service Zone Menu'!$X$5&amp;"_AltaGas_NG_Y_2",'Misc. Data &amp; Mechanisms'!$A$55:$DY$62,8,FALSE), FALSE)</f>
        <v>2.7021E-2</v>
      </c>
      <c r="V92" s="425">
        <f>IF(AND('Service Zone Menu'!$X$5="Athabasca", $A92&lt;DATE(2019, 5, 1)),$T92*($G92+$H92+$J92+$K92),$T92*($H92+$J92+$K92))</f>
        <v>9.7818228416337014</v>
      </c>
      <c r="W92" s="553">
        <f t="shared" si="23"/>
        <v>4.4052439167297379</v>
      </c>
      <c r="X92" s="391"/>
      <c r="Y92" s="205"/>
      <c r="Z92" s="278">
        <v>0.23499999999999999</v>
      </c>
      <c r="AA92" s="278"/>
      <c r="AB92" s="492">
        <f t="shared" si="24"/>
        <v>0</v>
      </c>
      <c r="AC92" s="492">
        <f t="shared" si="30"/>
        <v>6.0143141857159916</v>
      </c>
      <c r="AD92" s="554">
        <f t="shared" si="31"/>
        <v>0</v>
      </c>
      <c r="AE92" s="200">
        <f>IF($I$2="DRT",VLOOKUP(A92,'Misc. Data &amp; Mechanisms'!$A$1483:$H$1574,8,FALSE),AQ92)</f>
        <v>8.3000000000000004E-2</v>
      </c>
      <c r="AF92" s="554">
        <f t="shared" si="43"/>
        <v>2.3240000000000003</v>
      </c>
      <c r="AG92" s="290">
        <v>1.5169999999999999</v>
      </c>
      <c r="AH92" s="494">
        <f t="shared" si="50"/>
        <v>38.824317530770891</v>
      </c>
      <c r="AI92" s="495">
        <f>5%</f>
        <v>0.05</v>
      </c>
      <c r="AJ92" s="341">
        <f>'Misc. Data &amp; Mechanisms'!AN365</f>
        <v>25.919762013729976</v>
      </c>
      <c r="AK92" s="424">
        <f>'Misc. Data &amp; Mechanisms'!AQ365</f>
        <v>26.259910858269127</v>
      </c>
      <c r="AL92" s="424">
        <f>'Misc. Data &amp; Mechanisms'!AC365</f>
        <v>25.592826322195712</v>
      </c>
      <c r="AM92" s="424">
        <f>'Misc. Data &amp; Mechanisms'!AD365</f>
        <v>16.34549437011551</v>
      </c>
      <c r="AN92" s="1460">
        <f>'Misc. Data &amp; Mechanisms'!$B$260</f>
        <v>10.198990303636064</v>
      </c>
      <c r="AO92" s="197">
        <f>IFERROR(IF('Personalized Bill Menu'!$B$30="Yes", IF('Personalized Bill Menu'!$B$34="Natural Gas",VLOOKUP($A92, 'Personalized Bill Menu'!$H$4:$L$93, 2, FALSE), IF('Personalized Bill Menu'!$B$34="Both",VLOOKUP($A92,'Personalized Bill Menu'!$H$4:$P$93, 6, FALSE), 0)), 0),0)</f>
        <v>0</v>
      </c>
      <c r="AP92" s="1343">
        <f>IFERROR(IF('Personalized Bill Menu'!$C$37="Custom", IF('Personalized Bill Menu'!$B$34="Natural Gas",VLOOKUP($A92, 'Personalized Bill Menu'!$H$4:$L$93, 3, FALSE), IF('Personalized Bill Menu'!$B$34="Both",VLOOKUP($A92,'Personalized Bill Menu'!$H$4:$P$93, 7, FALSE), 0)), 0),0)</f>
        <v>0</v>
      </c>
      <c r="AQ92" s="1344">
        <f>IFERROR(IF('Personalized Bill Menu'!$C$37="Custom", IF('Personalized Bill Menu'!$B$34="Natural Gas",VLOOKUP($A92, 'Personalized Bill Menu'!$H$4:$L$93, 4, FALSE), IF('Personalized Bill Menu'!$B$34="Both",VLOOKUP($A92,'Personalized Bill Menu'!$H$4:$P$93, 8, FALSE), 0)), 0),0)</f>
        <v>0</v>
      </c>
    </row>
    <row r="93" spans="1:43" s="117" customFormat="1" x14ac:dyDescent="0.35">
      <c r="A93" s="496">
        <v>43525</v>
      </c>
      <c r="B93" s="497">
        <f t="shared" si="34"/>
        <v>31</v>
      </c>
      <c r="C93" s="226">
        <f t="shared" si="35"/>
        <v>16.393866341881203</v>
      </c>
      <c r="D93" s="66">
        <f t="shared" si="51"/>
        <v>10.959287763203056</v>
      </c>
      <c r="E93" s="66">
        <f>(1+$AI93)*IF(AND('Service Zone Menu'!$X$5="Athabasca", $A93&lt;DATE(2019, 5, 1)),((1+$T93+$U93)*($N93+((1+$X93+$Y93)*$P93)+$Z93+$AA93)) + $AG93,((1+$U93)*($N93+((1+$X93+$Y93)*$P93)+$Z93+$AA93))+($T93*(((1+$X93+$Y93)*$P93)+$Z93+$AA93)) + $AG93)</f>
        <v>7.8578411824500014</v>
      </c>
      <c r="F93" s="488">
        <f t="shared" si="32"/>
        <v>179.66509879216511</v>
      </c>
      <c r="G93" s="489">
        <f t="shared" si="37"/>
        <v>50.607865397387279</v>
      </c>
      <c r="H93" s="490">
        <f t="shared" si="33"/>
        <v>78.630685140446388</v>
      </c>
      <c r="I93" s="490">
        <f t="shared" si="38"/>
        <v>11.70719030608034</v>
      </c>
      <c r="J93" s="490">
        <f t="shared" si="39"/>
        <v>2.7213818127522797</v>
      </c>
      <c r="K93" s="490">
        <f t="shared" si="40"/>
        <v>2.573</v>
      </c>
      <c r="L93" s="490">
        <f t="shared" si="52"/>
        <v>24.869495240633785</v>
      </c>
      <c r="M93" s="491">
        <f t="shared" si="42"/>
        <v>8.5554808948650045</v>
      </c>
      <c r="N93" s="273">
        <f>IF($I$2="DRT",VLOOKUP(A93,'Misc. Data &amp; Mechanisms'!$A$1381:$D$1471,4,FALSE),AP93)</f>
        <v>3.0870000000000002</v>
      </c>
      <c r="O93" s="552">
        <f t="shared" si="27"/>
        <v>50.607865397387279</v>
      </c>
      <c r="P93" s="387">
        <v>2.2360000000000002</v>
      </c>
      <c r="Q93" s="278">
        <v>1.3540000000000001</v>
      </c>
      <c r="R93" s="425">
        <f t="shared" si="28"/>
        <v>36.656685140446378</v>
      </c>
      <c r="S93" s="425">
        <f t="shared" si="29"/>
        <v>41.974000000000004</v>
      </c>
      <c r="T93" s="391">
        <f>VLOOKUP($A93,'Misc. Data &amp; Mechanisms'!$A$63:$DY$152,HLOOKUP('Service Zone Menu'!$X$5&amp;"_AltaGas_NG_Y_1",'Misc. Data &amp; Mechanisms'!$A$55:$DY$62,8,FALSE), FALSE)</f>
        <v>0.06</v>
      </c>
      <c r="U93" s="205">
        <f>VLOOKUP($A93,'Misc. Data &amp; Mechanisms'!$A$63:$DY$152,HLOOKUP('Service Zone Menu'!$X$5&amp;"_AltaGas_NG_Y_2",'Misc. Data &amp; Mechanisms'!$A$55:$DY$62,8,FALSE), FALSE)</f>
        <v>2.7021E-2</v>
      </c>
      <c r="V93" s="425">
        <f>IF(AND('Service Zone Menu'!$X$5="Athabasca", $A93&lt;DATE(2019, 5, 1)),$T93*($G93+$H93+$J93+$K93),$T93*($H93+$J93+$K93))</f>
        <v>8.0719759410351575</v>
      </c>
      <c r="W93" s="553">
        <f t="shared" si="23"/>
        <v>3.6352143650451829</v>
      </c>
      <c r="X93" s="391"/>
      <c r="Y93" s="205"/>
      <c r="Z93" s="278">
        <v>0.16600000000000001</v>
      </c>
      <c r="AA93" s="278"/>
      <c r="AB93" s="492">
        <f t="shared" si="24"/>
        <v>0</v>
      </c>
      <c r="AC93" s="492">
        <f t="shared" si="30"/>
        <v>2.7213818127522797</v>
      </c>
      <c r="AD93" s="554">
        <f t="shared" si="31"/>
        <v>0</v>
      </c>
      <c r="AE93" s="200">
        <f>IF($I$2="DRT",VLOOKUP(A93,'Misc. Data &amp; Mechanisms'!$A$1483:$H$1574,8,FALSE),AQ93)</f>
        <v>8.3000000000000004E-2</v>
      </c>
      <c r="AF93" s="554">
        <f t="shared" si="43"/>
        <v>2.573</v>
      </c>
      <c r="AG93" s="290">
        <v>1.5169999999999999</v>
      </c>
      <c r="AH93" s="494">
        <f t="shared" si="50"/>
        <v>24.869495240633785</v>
      </c>
      <c r="AI93" s="495">
        <f>5%</f>
        <v>0.05</v>
      </c>
      <c r="AJ93" s="341">
        <f>'Misc. Data &amp; Mechanisms'!AN366</f>
        <v>16.603289871816031</v>
      </c>
      <c r="AK93" s="424">
        <f>'Misc. Data &amp; Mechanisms'!AQ366</f>
        <v>15.797501851450116</v>
      </c>
      <c r="AL93" s="424">
        <f>'Misc. Data &amp; Mechanisms'!AC366</f>
        <v>16.393866341881203</v>
      </c>
      <c r="AM93" s="424">
        <f>'Misc. Data &amp; Mechanisms'!AD366</f>
        <v>10.470350035675759</v>
      </c>
      <c r="AN93" s="1460">
        <f>'Misc. Data &amp; Mechanisms'!$B$260</f>
        <v>10.198990303636064</v>
      </c>
      <c r="AO93" s="197">
        <f>IFERROR(IF('Personalized Bill Menu'!$B$30="Yes", IF('Personalized Bill Menu'!$B$34="Natural Gas",VLOOKUP($A93, 'Personalized Bill Menu'!$H$4:$L$93, 2, FALSE), IF('Personalized Bill Menu'!$B$34="Both",VLOOKUP($A93,'Personalized Bill Menu'!$H$4:$P$93, 6, FALSE), 0)), 0),0)</f>
        <v>0</v>
      </c>
      <c r="AP93" s="1343">
        <f>IFERROR(IF('Personalized Bill Menu'!$C$37="Custom", IF('Personalized Bill Menu'!$B$34="Natural Gas",VLOOKUP($A93, 'Personalized Bill Menu'!$H$4:$L$93, 3, FALSE), IF('Personalized Bill Menu'!$B$34="Both",VLOOKUP($A93,'Personalized Bill Menu'!$H$4:$P$93, 7, FALSE), 0)), 0),0)</f>
        <v>0</v>
      </c>
      <c r="AQ93" s="1344">
        <f>IFERROR(IF('Personalized Bill Menu'!$C$37="Custom", IF('Personalized Bill Menu'!$B$34="Natural Gas",VLOOKUP($A93, 'Personalized Bill Menu'!$H$4:$L$93, 4, FALSE), IF('Personalized Bill Menu'!$B$34="Both",VLOOKUP($A93,'Personalized Bill Menu'!$H$4:$P$93, 8, FALSE), 0)), 0),0)</f>
        <v>0</v>
      </c>
    </row>
    <row r="94" spans="1:43" s="117" customFormat="1" x14ac:dyDescent="0.35">
      <c r="A94" s="496">
        <v>43556</v>
      </c>
      <c r="B94" s="497">
        <f t="shared" si="34"/>
        <v>30</v>
      </c>
      <c r="C94" s="1581">
        <f>IFERROR(VLOOKUP($A94,$A$5:$AO$96,MATCH($I$1,$A$5:$AO$5,0),FALSE),0)</f>
        <v>9.3327018980617975</v>
      </c>
      <c r="D94" s="66">
        <f t="shared" si="51"/>
        <v>12.637041118394963</v>
      </c>
      <c r="E94" s="66">
        <f>(1+$AI94)*IF(AND('Service Zone Menu'!$X$5="Athabasca", $A94&lt;DATE(2019, 5, 1)),((1+$T94+$U94)*($N94+((1+$X94+$Y94)*$P94)+$Z94+$AA94)) + $AG94,((1+$U94)*($N94+((1+$X94+$Y94)*$P94)+$Z94+$AA94))+($T94*(((1+$X94+$Y94)*$P94)+$Z94+$AA94)) + $AG94)</f>
        <v>7.3647684568500011</v>
      </c>
      <c r="F94" s="488">
        <f t="shared" si="32"/>
        <v>117.93773763152966</v>
      </c>
      <c r="G94" s="489">
        <f t="shared" si="37"/>
        <v>21.549208682624691</v>
      </c>
      <c r="H94" s="490">
        <f t="shared" si="33"/>
        <v>61.487921444066188</v>
      </c>
      <c r="I94" s="490">
        <f t="shared" si="38"/>
        <v>7.8584726093128392</v>
      </c>
      <c r="J94" s="490">
        <f t="shared" si="39"/>
        <v>4.7783433718076402</v>
      </c>
      <c r="K94" s="490">
        <f t="shared" si="40"/>
        <v>2.4900000000000002</v>
      </c>
      <c r="L94" s="490">
        <f t="shared" ref="L94:L96" si="53">AH94</f>
        <v>14.157708779359746</v>
      </c>
      <c r="M94" s="491">
        <f t="shared" si="42"/>
        <v>5.6160827443585557</v>
      </c>
      <c r="N94" s="273">
        <f>IF($I$2="DRT",VLOOKUP(A94,'Misc. Data &amp; Mechanisms'!$A$1381:$D$1471,4,FALSE),AP94)</f>
        <v>2.3090000000000002</v>
      </c>
      <c r="O94" s="552">
        <f t="shared" si="27"/>
        <v>21.549208682624691</v>
      </c>
      <c r="P94" s="445">
        <v>2.2360000000000002</v>
      </c>
      <c r="Q94" s="445">
        <v>1.3540000000000001</v>
      </c>
      <c r="R94" s="425">
        <f t="shared" si="28"/>
        <v>20.86792144406618</v>
      </c>
      <c r="S94" s="425">
        <f t="shared" si="29"/>
        <v>40.620000000000005</v>
      </c>
      <c r="T94" s="391">
        <f>VLOOKUP($A94,'Misc. Data &amp; Mechanisms'!$A$63:$DY$152,HLOOKUP('Service Zone Menu'!$X$5&amp;"_AltaGas_NG_Y_1",'Misc. Data &amp; Mechanisms'!$A$55:$DY$62,8,FALSE), FALSE)</f>
        <v>0.06</v>
      </c>
      <c r="U94" s="205">
        <f>VLOOKUP($A94,'Misc. Data &amp; Mechanisms'!$A$63:$DY$152,HLOOKUP('Service Zone Menu'!$X$5&amp;"_AltaGas_NG_Y_2",'Misc. Data &amp; Mechanisms'!$A$55:$DY$62,8,FALSE), FALSE)</f>
        <v>2.7021E-2</v>
      </c>
      <c r="V94" s="425">
        <f>IF(AND('Service Zone Menu'!$X$5="Athabasca", $A94&lt;DATE(2019, 5, 1)),$T94*($G94+$H94+$J94+$K94),$T94*($H94+$J94+$K94))</f>
        <v>5.4183284099099103</v>
      </c>
      <c r="W94" s="553">
        <f t="shared" si="23"/>
        <v>2.4401441994029285</v>
      </c>
      <c r="X94" s="1622"/>
      <c r="Y94" s="562"/>
      <c r="Z94" s="445">
        <v>0.51200000000000001</v>
      </c>
      <c r="AA94" s="445"/>
      <c r="AB94" s="492">
        <f t="shared" si="24"/>
        <v>0</v>
      </c>
      <c r="AC94" s="492">
        <f t="shared" si="30"/>
        <v>4.7783433718076402</v>
      </c>
      <c r="AD94" s="554">
        <f t="shared" si="31"/>
        <v>0</v>
      </c>
      <c r="AE94" s="200">
        <f>IF($I$2="DRT",VLOOKUP(A94,'Misc. Data &amp; Mechanisms'!$A$1483:$H$1574,8,FALSE),AQ94)</f>
        <v>8.3000000000000004E-2</v>
      </c>
      <c r="AF94" s="554">
        <f t="shared" si="43"/>
        <v>2.4900000000000002</v>
      </c>
      <c r="AG94" s="290">
        <v>1.5169999999999999</v>
      </c>
      <c r="AH94" s="494">
        <f t="shared" si="50"/>
        <v>14.157708779359746</v>
      </c>
      <c r="AI94" s="495">
        <f>5%</f>
        <v>0.05</v>
      </c>
      <c r="AJ94" s="341">
        <f>'Misc. Data &amp; Mechanisms'!AN367</f>
        <v>9.4519225464776309</v>
      </c>
      <c r="AK94" s="424">
        <f>'Misc. Data &amp; Mechanisms'!AQ367</f>
        <v>9.4447781777164028</v>
      </c>
      <c r="AL94" s="424">
        <f>'Misc. Data &amp; Mechanisms'!AC367</f>
        <v>9.3327018980617975</v>
      </c>
      <c r="AM94" s="424">
        <f>'Misc. Data &amp; Mechanisms'!AD367</f>
        <v>5.9605619329521478</v>
      </c>
      <c r="AN94" s="1460">
        <f>'Misc. Data &amp; Mechanisms'!$B$260</f>
        <v>10.198990303636064</v>
      </c>
      <c r="AO94" s="197">
        <f>IFERROR(IF('Personalized Bill Menu'!$B$30="Yes", IF('Personalized Bill Menu'!$B$34="Natural Gas",VLOOKUP($A94, 'Personalized Bill Menu'!$H$4:$L$93, 2, FALSE), IF('Personalized Bill Menu'!$B$34="Both",VLOOKUP($A94,'Personalized Bill Menu'!$H$4:$P$93, 6, FALSE), 0)), 0),0)</f>
        <v>0</v>
      </c>
      <c r="AP94" s="1343">
        <f>IFERROR(IF('Personalized Bill Menu'!$C$37="Custom", IF('Personalized Bill Menu'!$B$34="Natural Gas",VLOOKUP($A94, 'Personalized Bill Menu'!$H$4:$L$93, 3, FALSE), IF('Personalized Bill Menu'!$B$34="Both",VLOOKUP($A94,'Personalized Bill Menu'!$H$4:$P$93, 7, FALSE), 0)), 0),0)</f>
        <v>0</v>
      </c>
      <c r="AQ94" s="1344">
        <f>IFERROR(IF('Personalized Bill Menu'!$C$37="Custom", IF('Personalized Bill Menu'!$B$34="Natural Gas",VLOOKUP($A94, 'Personalized Bill Menu'!$H$4:$L$93, 4, FALSE), IF('Personalized Bill Menu'!$B$34="Both",VLOOKUP($A94,'Personalized Bill Menu'!$H$4:$P$93, 8, FALSE), 0)), 0),0)</f>
        <v>0</v>
      </c>
    </row>
    <row r="95" spans="1:43" s="117" customFormat="1" x14ac:dyDescent="0.35">
      <c r="A95" s="496">
        <v>43586</v>
      </c>
      <c r="B95" s="497">
        <f t="shared" si="34"/>
        <v>31</v>
      </c>
      <c r="C95" s="1581">
        <f t="shared" ref="C95:C96" si="54">IFERROR(VLOOKUP($A95,$A$5:$AO$96,MATCH($I$1,$A$5:$AO$5,0),FALSE),0)</f>
        <v>5.4083736065811738</v>
      </c>
      <c r="D95" s="66">
        <f t="shared" si="51"/>
        <v>16.874968984441068</v>
      </c>
      <c r="E95" s="66">
        <f>(1+$AI95)*IF(AND('Service Zone Menu'!$X$5="Athabasca", $A95&lt;DATE(2019, 5, 1)),((1+$T95+$U95)*($N95+((1+$X95+$Y95)*$P95)+$Z95+$AA95)) + $AG95,((1+$U95)*($N95+((1+$X95+$Y95)*$P95)+$Z95+$AA95))+($T95*(((1+$X95+$Y95)*$P95)+$Z95+$AA95)) + $AG95)</f>
        <v>7.1279214344709683</v>
      </c>
      <c r="F95" s="488">
        <f t="shared" si="32"/>
        <v>91.266136867326992</v>
      </c>
      <c r="G95" s="489">
        <f t="shared" si="37"/>
        <v>10.227234490044999</v>
      </c>
      <c r="H95" s="490">
        <f t="shared" si="33"/>
        <v>54.067123384315508</v>
      </c>
      <c r="I95" s="490">
        <f t="shared" si="38"/>
        <v>8.0238517197792909</v>
      </c>
      <c r="J95" s="490">
        <f t="shared" si="39"/>
        <v>4.3537407532978456</v>
      </c>
      <c r="K95" s="490">
        <f t="shared" si="40"/>
        <v>2.573</v>
      </c>
      <c r="L95" s="490">
        <f t="shared" si="53"/>
        <v>7.6751800023975978</v>
      </c>
      <c r="M95" s="491">
        <f t="shared" si="42"/>
        <v>4.3460065174917615</v>
      </c>
      <c r="N95" s="273">
        <f>IF($I$2="DRT",VLOOKUP(A95,'Misc. Data &amp; Mechanisms'!$A$1381:$D$1471,4,FALSE),AP95)</f>
        <v>1.891</v>
      </c>
      <c r="O95" s="552">
        <f t="shared" si="27"/>
        <v>10.227234490044999</v>
      </c>
      <c r="P95" s="445">
        <v>2.2360000000000002</v>
      </c>
      <c r="Q95" s="445">
        <v>1.3540000000000001</v>
      </c>
      <c r="R95" s="425">
        <f t="shared" si="28"/>
        <v>12.093123384315506</v>
      </c>
      <c r="S95" s="425">
        <f t="shared" si="29"/>
        <v>41.974000000000004</v>
      </c>
      <c r="T95" s="391">
        <f>VLOOKUP($A95,'Misc. Data &amp; Mechanisms'!$A$63:$DY$152,HLOOKUP('Service Zone Menu'!$X$5&amp;"_AltaGas_NG_Y_1",'Misc. Data &amp; Mechanisms'!$A$55:$DY$62,8,FALSE), FALSE)</f>
        <v>0.1</v>
      </c>
      <c r="U95" s="205">
        <f>VLOOKUP($A95,'Misc. Data &amp; Mechanisms'!$A$63:$DY$152,HLOOKUP('Service Zone Menu'!$X$5&amp;"_AltaGas_NG_Y_2",'Misc. Data &amp; Mechanisms'!$A$55:$DY$62,8,FALSE), FALSE)</f>
        <v>2.7021E-2</v>
      </c>
      <c r="V95" s="425">
        <f>IF(AND('Service Zone Menu'!$X$5="Athabasca", $A95&lt;DATE(2019, 5, 1)),$T95*($G95+$H95+$J95+$K95),$T95*($H95+$J95+$K95))</f>
        <v>6.0993864137613354</v>
      </c>
      <c r="W95" s="553">
        <f t="shared" si="23"/>
        <v>1.9244653060179562</v>
      </c>
      <c r="X95" s="1622"/>
      <c r="Y95" s="562"/>
      <c r="Z95" s="445">
        <v>0.80500000000000005</v>
      </c>
      <c r="AA95" s="445"/>
      <c r="AB95" s="492">
        <f t="shared" si="24"/>
        <v>0</v>
      </c>
      <c r="AC95" s="492">
        <f t="shared" si="30"/>
        <v>4.3537407532978456</v>
      </c>
      <c r="AD95" s="554">
        <f t="shared" si="31"/>
        <v>0</v>
      </c>
      <c r="AE95" s="200">
        <f>IF($I$2="DRT",VLOOKUP(A95,'Misc. Data &amp; Mechanisms'!$A$1483:$H$1574,8,FALSE),AQ95)</f>
        <v>8.3000000000000004E-2</v>
      </c>
      <c r="AF95" s="554">
        <f t="shared" si="43"/>
        <v>2.573</v>
      </c>
      <c r="AG95" s="290">
        <f>((29/31)*1.517)+((2/31)*0)</f>
        <v>1.4191290322580643</v>
      </c>
      <c r="AH95" s="494">
        <f t="shared" si="50"/>
        <v>7.6751800023975978</v>
      </c>
      <c r="AI95" s="495">
        <f>5%</f>
        <v>0.05</v>
      </c>
      <c r="AJ95" s="341">
        <f>'Misc. Data &amp; Mechanisms'!AN368</f>
        <v>5.477462903045855</v>
      </c>
      <c r="AK95" s="424">
        <f>'Misc. Data &amp; Mechanisms'!AQ368</f>
        <v>6.3638808061315242</v>
      </c>
      <c r="AL95" s="424">
        <f>'Misc. Data &amp; Mechanisms'!AC368</f>
        <v>5.4083736065811738</v>
      </c>
      <c r="AM95" s="424">
        <f>'Misc. Data &amp; Mechanisms'!AD368</f>
        <v>3.4541921718581605</v>
      </c>
      <c r="AN95" s="1460">
        <f>'Misc. Data &amp; Mechanisms'!$B$260</f>
        <v>10.198990303636064</v>
      </c>
      <c r="AO95" s="197">
        <f>IFERROR(IF('Personalized Bill Menu'!$B$30="Yes", IF('Personalized Bill Menu'!$B$34="Natural Gas",VLOOKUP($A95, 'Personalized Bill Menu'!$H$4:$L$93, 2, FALSE), IF('Personalized Bill Menu'!$B$34="Both",VLOOKUP($A95,'Personalized Bill Menu'!$H$4:$P$93, 6, FALSE), 0)), 0),0)</f>
        <v>0</v>
      </c>
      <c r="AP95" s="1343">
        <f>IFERROR(IF('Personalized Bill Menu'!$C$37="Custom", IF('Personalized Bill Menu'!$B$34="Natural Gas",VLOOKUP($A95, 'Personalized Bill Menu'!$H$4:$L$93, 3, FALSE), IF('Personalized Bill Menu'!$B$34="Both",VLOOKUP($A95,'Personalized Bill Menu'!$H$4:$P$93, 7, FALSE), 0)), 0),0)</f>
        <v>0</v>
      </c>
      <c r="AQ95" s="1344">
        <f>IFERROR(IF('Personalized Bill Menu'!$C$37="Custom", IF('Personalized Bill Menu'!$B$34="Natural Gas",VLOOKUP($A95, 'Personalized Bill Menu'!$H$4:$L$93, 4, FALSE), IF('Personalized Bill Menu'!$B$34="Both",VLOOKUP($A95,'Personalized Bill Menu'!$H$4:$P$93, 8, FALSE), 0)), 0),0)</f>
        <v>0</v>
      </c>
    </row>
    <row r="96" spans="1:43" s="117" customFormat="1" x14ac:dyDescent="0.35">
      <c r="A96" s="496">
        <v>43617</v>
      </c>
      <c r="B96" s="497">
        <f t="shared" si="34"/>
        <v>30</v>
      </c>
      <c r="C96" s="1581">
        <f t="shared" si="54"/>
        <v>3.6797894339620449</v>
      </c>
      <c r="D96" s="66">
        <f t="shared" si="51"/>
        <v>20.672720921108869</v>
      </c>
      <c r="E96" s="66">
        <f>(1+$AI96)*IF(AND('Service Zone Menu'!$X$5="Athabasca", $A96&lt;DATE(2019, 5, 1)),((1+$T96+$U96)*($N96+((1+$X96+$Y96)*$P96)+$Z96+$AA96)) + $AG96,((1+$U96)*($N96+((1+$X96+$Y96)*$P96)+$Z96+$AA96))+($T96*(((1+$X96+$Y96)*$P96)+$Z96+$AA96)) + $AG96)</f>
        <v>6.809109975150001</v>
      </c>
      <c r="F96" s="488">
        <f t="shared" si="32"/>
        <v>76.071260016742528</v>
      </c>
      <c r="G96" s="489">
        <f t="shared" si="37"/>
        <v>9.4975365290560383</v>
      </c>
      <c r="H96" s="490">
        <f t="shared" si="33"/>
        <v>48.84800917433914</v>
      </c>
      <c r="I96" s="490">
        <f t="shared" si="38"/>
        <v>7.3226388801694027</v>
      </c>
      <c r="J96" s="490">
        <f t="shared" si="39"/>
        <v>4.2906344799997438</v>
      </c>
      <c r="K96" s="490">
        <f t="shared" si="40"/>
        <v>2.4900000000000002</v>
      </c>
      <c r="L96" s="490">
        <f t="shared" si="53"/>
        <v>0</v>
      </c>
      <c r="M96" s="491">
        <f t="shared" si="42"/>
        <v>3.622440953178216</v>
      </c>
      <c r="N96" s="273">
        <f>IF($I$2="DRT",VLOOKUP(A96,'Misc. Data &amp; Mechanisms'!$A$1381:$D$1471,4,FALSE),AP96)</f>
        <v>2.581</v>
      </c>
      <c r="O96" s="552">
        <f t="shared" si="27"/>
        <v>9.4975365290560383</v>
      </c>
      <c r="P96" s="445">
        <v>2.2360000000000002</v>
      </c>
      <c r="Q96" s="445">
        <v>1.3540000000000001</v>
      </c>
      <c r="R96" s="425">
        <f t="shared" si="28"/>
        <v>8.2280091743391335</v>
      </c>
      <c r="S96" s="425">
        <f t="shared" si="29"/>
        <v>40.620000000000005</v>
      </c>
      <c r="T96" s="391">
        <f>VLOOKUP($A96,'Misc. Data &amp; Mechanisms'!$A$63:$DY$152,HLOOKUP('Service Zone Menu'!$X$5&amp;"_AltaGas_NG_Y_1",'Misc. Data &amp; Mechanisms'!$A$55:$DY$62,8,FALSE), FALSE)</f>
        <v>0.1</v>
      </c>
      <c r="U96" s="205">
        <f>VLOOKUP($A96,'Misc. Data &amp; Mechanisms'!$A$63:$DY$152,HLOOKUP('Service Zone Menu'!$X$5&amp;"_AltaGas_NG_Y_2",'Misc. Data &amp; Mechanisms'!$A$55:$DY$62,8,FALSE), FALSE)</f>
        <v>2.7021E-2</v>
      </c>
      <c r="V96" s="425">
        <f>IF(AND('Service Zone Menu'!$X$5="Athabasca", $A96&lt;DATE(2019, 5, 1)),$T96*($G96+$H96+$J96+$K96),$T96*($H96+$J96+$K96))</f>
        <v>5.5628643654338887</v>
      </c>
      <c r="W96" s="553">
        <f t="shared" si="23"/>
        <v>1.7597745147355142</v>
      </c>
      <c r="X96" s="1622"/>
      <c r="Y96" s="562"/>
      <c r="Z96" s="445">
        <v>1.1659999999999999</v>
      </c>
      <c r="AA96" s="445"/>
      <c r="AB96" s="492">
        <f t="shared" si="24"/>
        <v>0</v>
      </c>
      <c r="AC96" s="492">
        <f t="shared" si="30"/>
        <v>4.2906344799997438</v>
      </c>
      <c r="AD96" s="554">
        <f t="shared" si="31"/>
        <v>0</v>
      </c>
      <c r="AE96" s="200">
        <f>IF($I$2="DRT",VLOOKUP(A96,'Misc. Data &amp; Mechanisms'!$A$1483:$H$1574,8,FALSE),AQ96)</f>
        <v>8.3000000000000004E-2</v>
      </c>
      <c r="AF96" s="554">
        <f t="shared" si="43"/>
        <v>2.4900000000000002</v>
      </c>
      <c r="AG96" s="520"/>
      <c r="AH96" s="494">
        <f t="shared" si="50"/>
        <v>0</v>
      </c>
      <c r="AI96" s="495">
        <f>5%</f>
        <v>0.05</v>
      </c>
      <c r="AJ96" s="341">
        <f>'Misc. Data &amp; Mechanisms'!AN369</f>
        <v>3.726796923019613</v>
      </c>
      <c r="AK96" s="424">
        <f>'Misc. Data &amp; Mechanisms'!AQ369</f>
        <v>3.6190554790336229</v>
      </c>
      <c r="AL96" s="424">
        <f>'Misc. Data &amp; Mechanisms'!AC369</f>
        <v>3.6797894339620449</v>
      </c>
      <c r="AM96" s="424">
        <f>'Misc. Data &amp; Mechanisms'!AD369</f>
        <v>2.3501889443087038</v>
      </c>
      <c r="AN96" s="1460">
        <f>'Misc. Data &amp; Mechanisms'!$B$260</f>
        <v>10.198990303636064</v>
      </c>
      <c r="AO96" s="197">
        <f>IFERROR(IF('Personalized Bill Menu'!$B$30="Yes", IF('Personalized Bill Menu'!$B$34="Natural Gas",VLOOKUP($A96, 'Personalized Bill Menu'!$H$4:$L$93, 2, FALSE), IF('Personalized Bill Menu'!$B$34="Both",VLOOKUP($A96,'Personalized Bill Menu'!$H$4:$P$93, 6, FALSE), 0)), 0),0)</f>
        <v>0</v>
      </c>
      <c r="AP96" s="1343">
        <f>IFERROR(IF('Personalized Bill Menu'!$C$37="Custom", IF('Personalized Bill Menu'!$B$34="Natural Gas",VLOOKUP($A96, 'Personalized Bill Menu'!$H$4:$L$93, 3, FALSE), IF('Personalized Bill Menu'!$B$34="Both",VLOOKUP($A96,'Personalized Bill Menu'!$H$4:$P$93, 7, FALSE), 0)), 0),0)</f>
        <v>0</v>
      </c>
      <c r="AQ96" s="1344">
        <f>IFERROR(IF('Personalized Bill Menu'!$C$37="Custom", IF('Personalized Bill Menu'!$B$34="Natural Gas",VLOOKUP($A96, 'Personalized Bill Menu'!$H$4:$L$93, 4, FALSE), IF('Personalized Bill Menu'!$B$34="Both",VLOOKUP($A96,'Personalized Bill Menu'!$H$4:$P$93, 8, FALSE), 0)), 0),0)</f>
        <v>0</v>
      </c>
    </row>
    <row r="97" spans="1:40" s="117" customFormat="1" x14ac:dyDescent="0.35">
      <c r="A97" s="442"/>
      <c r="D97" s="443"/>
      <c r="E97" s="443"/>
      <c r="F97" s="444"/>
      <c r="G97" s="444"/>
      <c r="H97" s="444"/>
      <c r="I97" s="444"/>
      <c r="J97" s="444"/>
      <c r="K97" s="444"/>
      <c r="L97" s="444"/>
      <c r="M97" s="444"/>
      <c r="N97" s="519"/>
      <c r="O97" s="444"/>
      <c r="P97" s="445"/>
      <c r="Q97" s="445"/>
      <c r="R97" s="444"/>
      <c r="S97" s="444"/>
      <c r="T97" s="518"/>
      <c r="U97" s="561"/>
      <c r="V97" s="518"/>
      <c r="W97" s="444"/>
      <c r="X97" s="562"/>
      <c r="Y97" s="562"/>
      <c r="Z97" s="445"/>
      <c r="AA97" s="445"/>
      <c r="AB97" s="444"/>
      <c r="AC97" s="446"/>
      <c r="AD97" s="446"/>
      <c r="AE97" s="445"/>
      <c r="AF97" s="520"/>
      <c r="AG97" s="520"/>
      <c r="AH97" s="520"/>
      <c r="AI97" s="447"/>
      <c r="AJ97" s="448"/>
      <c r="AK97" s="448"/>
      <c r="AL97" s="522"/>
      <c r="AM97" s="522"/>
      <c r="AN97" s="522"/>
    </row>
    <row r="98" spans="1:40" s="117" customFormat="1" x14ac:dyDescent="0.35">
      <c r="A98" s="442"/>
      <c r="D98" s="443"/>
      <c r="E98" s="443"/>
      <c r="F98" s="444"/>
      <c r="G98" s="444"/>
      <c r="H98" s="444"/>
      <c r="I98" s="444"/>
      <c r="J98" s="444"/>
      <c r="K98" s="444"/>
      <c r="L98" s="444"/>
      <c r="M98" s="444"/>
      <c r="N98" s="519"/>
      <c r="O98" s="444"/>
      <c r="P98" s="445"/>
      <c r="Q98" s="445"/>
      <c r="R98" s="444"/>
      <c r="S98" s="444"/>
      <c r="T98" s="518"/>
      <c r="U98" s="561"/>
      <c r="V98" s="518"/>
      <c r="W98" s="444"/>
      <c r="X98" s="562"/>
      <c r="Y98" s="562"/>
      <c r="Z98" s="445"/>
      <c r="AA98" s="445"/>
      <c r="AB98" s="444"/>
      <c r="AC98" s="446"/>
      <c r="AD98" s="446"/>
      <c r="AE98" s="445"/>
      <c r="AF98" s="520"/>
      <c r="AG98" s="520"/>
      <c r="AH98" s="520"/>
      <c r="AI98" s="447"/>
      <c r="AJ98" s="448"/>
      <c r="AK98" s="448"/>
      <c r="AL98" s="522"/>
      <c r="AM98" s="522"/>
      <c r="AN98" s="522"/>
    </row>
    <row r="99" spans="1:40" s="117" customFormat="1" x14ac:dyDescent="0.35">
      <c r="A99" s="442"/>
      <c r="D99" s="443"/>
      <c r="E99" s="443"/>
      <c r="F99" s="444"/>
      <c r="G99" s="444"/>
      <c r="H99" s="444"/>
      <c r="I99" s="444"/>
      <c r="J99" s="444"/>
      <c r="K99" s="444"/>
      <c r="L99" s="444"/>
      <c r="M99" s="444"/>
      <c r="N99" s="519"/>
      <c r="O99" s="444"/>
      <c r="P99" s="445"/>
      <c r="Q99" s="445"/>
      <c r="R99" s="444"/>
      <c r="S99" s="444"/>
      <c r="T99" s="518"/>
      <c r="U99" s="561"/>
      <c r="V99" s="518"/>
      <c r="W99" s="444"/>
      <c r="X99" s="562"/>
      <c r="Y99" s="562"/>
      <c r="Z99" s="445"/>
      <c r="AA99" s="445"/>
      <c r="AB99" s="444"/>
      <c r="AC99" s="446"/>
      <c r="AD99" s="446"/>
      <c r="AE99" s="445"/>
      <c r="AF99" s="520"/>
      <c r="AG99" s="520"/>
      <c r="AH99" s="520"/>
      <c r="AI99" s="447"/>
      <c r="AJ99" s="448"/>
      <c r="AK99" s="448"/>
      <c r="AL99" s="522"/>
      <c r="AM99" s="522"/>
      <c r="AN99" s="522"/>
    </row>
    <row r="100" spans="1:40" s="117" customFormat="1" x14ac:dyDescent="0.35">
      <c r="A100" s="442"/>
      <c r="D100" s="443"/>
      <c r="E100" s="443"/>
      <c r="F100" s="444"/>
      <c r="G100" s="444"/>
      <c r="H100" s="444"/>
      <c r="I100" s="444"/>
      <c r="J100" s="444"/>
      <c r="K100" s="444"/>
      <c r="L100" s="444"/>
      <c r="M100" s="444"/>
      <c r="N100" s="519"/>
      <c r="O100" s="444"/>
      <c r="P100" s="445"/>
      <c r="Q100" s="445"/>
      <c r="R100" s="444"/>
      <c r="S100" s="444"/>
      <c r="T100" s="518"/>
      <c r="U100" s="561"/>
      <c r="V100" s="518"/>
      <c r="W100" s="444"/>
      <c r="X100" s="562"/>
      <c r="Y100" s="562"/>
      <c r="Z100" s="445"/>
      <c r="AA100" s="445"/>
      <c r="AB100" s="444"/>
      <c r="AC100" s="446"/>
      <c r="AD100" s="446"/>
      <c r="AE100" s="445"/>
      <c r="AF100" s="520"/>
      <c r="AG100" s="520"/>
      <c r="AH100" s="520"/>
      <c r="AI100" s="447"/>
      <c r="AJ100" s="448"/>
      <c r="AK100" s="448"/>
      <c r="AL100" s="522"/>
      <c r="AM100" s="522"/>
      <c r="AN100" s="522"/>
    </row>
    <row r="101" spans="1:40" s="117" customFormat="1" x14ac:dyDescent="0.35">
      <c r="A101" s="442"/>
      <c r="D101" s="443"/>
      <c r="E101" s="443"/>
      <c r="F101" s="444"/>
      <c r="G101" s="444"/>
      <c r="H101" s="444"/>
      <c r="I101" s="444"/>
      <c r="J101" s="444"/>
      <c r="K101" s="444"/>
      <c r="L101" s="444"/>
      <c r="M101" s="444"/>
      <c r="N101" s="519"/>
      <c r="O101" s="444"/>
      <c r="P101" s="445"/>
      <c r="Q101" s="445"/>
      <c r="R101" s="444"/>
      <c r="S101" s="444"/>
      <c r="T101" s="518"/>
      <c r="U101" s="561"/>
      <c r="V101" s="518"/>
      <c r="W101" s="444"/>
      <c r="X101" s="562"/>
      <c r="Y101" s="562"/>
      <c r="Z101" s="445"/>
      <c r="AA101" s="445"/>
      <c r="AB101" s="444"/>
      <c r="AC101" s="446"/>
      <c r="AD101" s="446"/>
      <c r="AE101" s="445"/>
      <c r="AF101" s="520"/>
      <c r="AG101" s="520"/>
      <c r="AH101" s="520"/>
      <c r="AI101" s="447"/>
      <c r="AJ101" s="448"/>
      <c r="AK101" s="448"/>
      <c r="AL101" s="522"/>
      <c r="AM101" s="522"/>
      <c r="AN101" s="522"/>
    </row>
    <row r="102" spans="1:40" s="117" customFormat="1" x14ac:dyDescent="0.35">
      <c r="A102" s="442"/>
      <c r="D102" s="443"/>
      <c r="E102" s="443"/>
      <c r="F102" s="444"/>
      <c r="G102" s="444"/>
      <c r="H102" s="444"/>
      <c r="I102" s="444"/>
      <c r="J102" s="444"/>
      <c r="K102" s="444"/>
      <c r="L102" s="444"/>
      <c r="M102" s="444"/>
      <c r="N102" s="519"/>
      <c r="O102" s="444"/>
      <c r="P102" s="445"/>
      <c r="Q102" s="445"/>
      <c r="R102" s="444"/>
      <c r="S102" s="444"/>
      <c r="T102" s="518"/>
      <c r="U102" s="561"/>
      <c r="V102" s="518"/>
      <c r="W102" s="444"/>
      <c r="X102" s="562"/>
      <c r="Y102" s="562"/>
      <c r="Z102" s="445"/>
      <c r="AA102" s="445"/>
      <c r="AB102" s="444"/>
      <c r="AC102" s="446"/>
      <c r="AD102" s="446"/>
      <c r="AE102" s="445"/>
      <c r="AF102" s="520"/>
      <c r="AG102" s="520"/>
      <c r="AH102" s="520"/>
      <c r="AI102" s="447"/>
      <c r="AJ102" s="448"/>
      <c r="AK102" s="448"/>
      <c r="AL102" s="522"/>
      <c r="AM102" s="522"/>
      <c r="AN102" s="522"/>
    </row>
    <row r="103" spans="1:40" s="117" customFormat="1" x14ac:dyDescent="0.35">
      <c r="A103" s="442"/>
      <c r="D103" s="443"/>
      <c r="E103" s="443"/>
      <c r="F103" s="444"/>
      <c r="G103" s="444"/>
      <c r="H103" s="444"/>
      <c r="I103" s="444"/>
      <c r="J103" s="444"/>
      <c r="K103" s="444"/>
      <c r="L103" s="444"/>
      <c r="M103" s="444"/>
      <c r="N103" s="519"/>
      <c r="O103" s="444"/>
      <c r="P103" s="445"/>
      <c r="Q103" s="445"/>
      <c r="R103" s="444"/>
      <c r="S103" s="444"/>
      <c r="T103" s="518"/>
      <c r="U103" s="561"/>
      <c r="V103" s="518"/>
      <c r="W103" s="444"/>
      <c r="X103" s="562"/>
      <c r="Y103" s="562"/>
      <c r="Z103" s="445"/>
      <c r="AA103" s="445"/>
      <c r="AB103" s="444"/>
      <c r="AC103" s="446"/>
      <c r="AD103" s="446"/>
      <c r="AE103" s="445"/>
      <c r="AF103" s="520"/>
      <c r="AG103" s="520"/>
      <c r="AH103" s="520"/>
      <c r="AI103" s="447"/>
      <c r="AJ103" s="448"/>
      <c r="AK103" s="448"/>
      <c r="AL103" s="522"/>
      <c r="AM103" s="522"/>
      <c r="AN103" s="522"/>
    </row>
    <row r="104" spans="1:40" s="117" customFormat="1" x14ac:dyDescent="0.35">
      <c r="A104" s="442"/>
      <c r="D104" s="443"/>
      <c r="E104" s="443"/>
      <c r="F104" s="444"/>
      <c r="G104" s="444"/>
      <c r="H104" s="444"/>
      <c r="I104" s="444"/>
      <c r="J104" s="444"/>
      <c r="K104" s="444"/>
      <c r="L104" s="444"/>
      <c r="M104" s="444"/>
      <c r="N104" s="519"/>
      <c r="O104" s="444"/>
      <c r="P104" s="445"/>
      <c r="Q104" s="445"/>
      <c r="R104" s="444"/>
      <c r="S104" s="444"/>
      <c r="T104" s="518"/>
      <c r="U104" s="561"/>
      <c r="V104" s="518"/>
      <c r="W104" s="444"/>
      <c r="X104" s="562"/>
      <c r="Y104" s="562"/>
      <c r="Z104" s="445"/>
      <c r="AA104" s="445"/>
      <c r="AB104" s="444"/>
      <c r="AC104" s="446"/>
      <c r="AD104" s="446"/>
      <c r="AE104" s="445"/>
      <c r="AF104" s="520"/>
      <c r="AG104" s="520"/>
      <c r="AH104" s="520"/>
      <c r="AI104" s="447"/>
      <c r="AJ104" s="448"/>
      <c r="AK104" s="448"/>
      <c r="AL104" s="522"/>
      <c r="AM104" s="522"/>
      <c r="AN104" s="522"/>
    </row>
    <row r="105" spans="1:40" s="117" customFormat="1" x14ac:dyDescent="0.35">
      <c r="A105" s="442"/>
      <c r="D105" s="443"/>
      <c r="E105" s="443"/>
      <c r="F105" s="444"/>
      <c r="G105" s="444"/>
      <c r="H105" s="444"/>
      <c r="I105" s="444"/>
      <c r="J105" s="444"/>
      <c r="K105" s="444"/>
      <c r="L105" s="444"/>
      <c r="M105" s="444"/>
      <c r="N105" s="519"/>
      <c r="O105" s="444"/>
      <c r="P105" s="445"/>
      <c r="Q105" s="445"/>
      <c r="R105" s="444"/>
      <c r="S105" s="444"/>
      <c r="T105" s="518"/>
      <c r="U105" s="561"/>
      <c r="V105" s="518"/>
      <c r="W105" s="444"/>
      <c r="X105" s="562"/>
      <c r="Y105" s="562"/>
      <c r="Z105" s="445"/>
      <c r="AA105" s="445"/>
      <c r="AB105" s="444"/>
      <c r="AC105" s="446"/>
      <c r="AD105" s="446"/>
      <c r="AE105" s="445"/>
      <c r="AF105" s="520"/>
      <c r="AG105" s="520"/>
      <c r="AH105" s="520"/>
      <c r="AI105" s="447"/>
      <c r="AJ105" s="448"/>
      <c r="AK105" s="448"/>
      <c r="AL105" s="522"/>
      <c r="AM105" s="522"/>
      <c r="AN105" s="522"/>
    </row>
    <row r="106" spans="1:40" s="117" customFormat="1" x14ac:dyDescent="0.35">
      <c r="A106" s="442"/>
      <c r="D106" s="443"/>
      <c r="E106" s="443"/>
      <c r="F106" s="444"/>
      <c r="G106" s="444"/>
      <c r="H106" s="444"/>
      <c r="I106" s="444"/>
      <c r="J106" s="444"/>
      <c r="K106" s="444"/>
      <c r="L106" s="444"/>
      <c r="M106" s="444"/>
      <c r="N106" s="519"/>
      <c r="O106" s="444"/>
      <c r="P106" s="445"/>
      <c r="Q106" s="445"/>
      <c r="R106" s="444"/>
      <c r="S106" s="444"/>
      <c r="T106" s="518"/>
      <c r="U106" s="561"/>
      <c r="V106" s="518"/>
      <c r="W106" s="444"/>
      <c r="X106" s="562"/>
      <c r="Y106" s="562"/>
      <c r="Z106" s="445"/>
      <c r="AA106" s="445"/>
      <c r="AB106" s="444"/>
      <c r="AC106" s="446"/>
      <c r="AD106" s="446"/>
      <c r="AE106" s="445"/>
      <c r="AF106" s="520"/>
      <c r="AG106" s="520"/>
      <c r="AH106" s="520"/>
      <c r="AI106" s="447"/>
      <c r="AJ106" s="448"/>
      <c r="AK106" s="448"/>
      <c r="AL106" s="522"/>
      <c r="AM106" s="522"/>
      <c r="AN106" s="522"/>
    </row>
    <row r="107" spans="1:40" s="117" customFormat="1" x14ac:dyDescent="0.35">
      <c r="A107" s="442"/>
      <c r="D107" s="443"/>
      <c r="E107" s="443"/>
      <c r="F107" s="444"/>
      <c r="G107" s="444"/>
      <c r="H107" s="444"/>
      <c r="I107" s="444"/>
      <c r="J107" s="444"/>
      <c r="K107" s="444"/>
      <c r="L107" s="444"/>
      <c r="M107" s="444"/>
      <c r="N107" s="519"/>
      <c r="O107" s="444"/>
      <c r="P107" s="445"/>
      <c r="Q107" s="445"/>
      <c r="R107" s="444"/>
      <c r="S107" s="444"/>
      <c r="T107" s="518"/>
      <c r="U107" s="561"/>
      <c r="V107" s="518"/>
      <c r="W107" s="444"/>
      <c r="X107" s="562"/>
      <c r="Y107" s="562"/>
      <c r="Z107" s="445"/>
      <c r="AA107" s="445"/>
      <c r="AB107" s="444"/>
      <c r="AC107" s="446"/>
      <c r="AD107" s="446"/>
      <c r="AE107" s="445"/>
      <c r="AF107" s="520"/>
      <c r="AG107" s="520"/>
      <c r="AH107" s="520"/>
      <c r="AI107" s="447"/>
      <c r="AJ107" s="448"/>
      <c r="AK107" s="448"/>
      <c r="AL107" s="522"/>
      <c r="AM107" s="522"/>
      <c r="AN107" s="522"/>
    </row>
    <row r="108" spans="1:40" s="117" customFormat="1" x14ac:dyDescent="0.35">
      <c r="A108" s="442"/>
      <c r="D108" s="443"/>
      <c r="E108" s="443"/>
      <c r="F108" s="444"/>
      <c r="G108" s="444"/>
      <c r="H108" s="444"/>
      <c r="I108" s="444"/>
      <c r="J108" s="444"/>
      <c r="K108" s="444"/>
      <c r="L108" s="444"/>
      <c r="M108" s="444"/>
      <c r="N108" s="519"/>
      <c r="O108" s="444"/>
      <c r="P108" s="445"/>
      <c r="Q108" s="445"/>
      <c r="R108" s="444"/>
      <c r="S108" s="444"/>
      <c r="T108" s="518"/>
      <c r="U108" s="561"/>
      <c r="V108" s="518"/>
      <c r="W108" s="444"/>
      <c r="X108" s="562"/>
      <c r="Y108" s="562"/>
      <c r="Z108" s="445"/>
      <c r="AA108" s="445"/>
      <c r="AB108" s="444"/>
      <c r="AC108" s="446"/>
      <c r="AD108" s="446"/>
      <c r="AE108" s="445"/>
      <c r="AF108" s="520"/>
      <c r="AG108" s="520"/>
      <c r="AH108" s="520"/>
      <c r="AI108" s="447"/>
      <c r="AJ108" s="448"/>
      <c r="AK108" s="448"/>
      <c r="AL108" s="522"/>
      <c r="AM108" s="522"/>
      <c r="AN108" s="522"/>
    </row>
    <row r="109" spans="1:40" s="117" customFormat="1" x14ac:dyDescent="0.35">
      <c r="A109" s="442"/>
      <c r="D109" s="443"/>
      <c r="E109" s="443"/>
      <c r="F109" s="444"/>
      <c r="G109" s="444"/>
      <c r="H109" s="444"/>
      <c r="I109" s="444"/>
      <c r="J109" s="444"/>
      <c r="K109" s="444"/>
      <c r="L109" s="444"/>
      <c r="M109" s="444"/>
      <c r="N109" s="519"/>
      <c r="O109" s="444"/>
      <c r="P109" s="445"/>
      <c r="Q109" s="445"/>
      <c r="R109" s="444"/>
      <c r="S109" s="444"/>
      <c r="T109" s="518"/>
      <c r="U109" s="561"/>
      <c r="V109" s="518"/>
      <c r="W109" s="444"/>
      <c r="X109" s="562"/>
      <c r="Y109" s="562"/>
      <c r="Z109" s="445"/>
      <c r="AA109" s="445"/>
      <c r="AB109" s="444"/>
      <c r="AC109" s="446"/>
      <c r="AD109" s="446"/>
      <c r="AE109" s="445"/>
      <c r="AF109" s="520"/>
      <c r="AG109" s="520"/>
      <c r="AH109" s="520"/>
      <c r="AI109" s="447"/>
      <c r="AJ109" s="448"/>
      <c r="AK109" s="448"/>
      <c r="AL109" s="522"/>
      <c r="AM109" s="522"/>
      <c r="AN109" s="522"/>
    </row>
    <row r="110" spans="1:40" s="117" customFormat="1" x14ac:dyDescent="0.35">
      <c r="A110" s="442"/>
      <c r="D110" s="443"/>
      <c r="E110" s="443"/>
      <c r="F110" s="444"/>
      <c r="G110" s="444"/>
      <c r="H110" s="444"/>
      <c r="I110" s="444"/>
      <c r="J110" s="444"/>
      <c r="K110" s="444"/>
      <c r="L110" s="444"/>
      <c r="M110" s="444"/>
      <c r="N110" s="519"/>
      <c r="O110" s="444"/>
      <c r="P110" s="445"/>
      <c r="Q110" s="445"/>
      <c r="R110" s="444"/>
      <c r="S110" s="444"/>
      <c r="T110" s="518"/>
      <c r="U110" s="561"/>
      <c r="V110" s="518"/>
      <c r="W110" s="444"/>
      <c r="X110" s="562"/>
      <c r="Y110" s="562"/>
      <c r="Z110" s="445"/>
      <c r="AA110" s="445"/>
      <c r="AB110" s="444"/>
      <c r="AC110" s="446"/>
      <c r="AD110" s="446"/>
      <c r="AE110" s="445"/>
      <c r="AF110" s="520"/>
      <c r="AG110" s="520"/>
      <c r="AH110" s="520"/>
      <c r="AI110" s="447"/>
      <c r="AJ110" s="448"/>
      <c r="AK110" s="448"/>
      <c r="AL110" s="522"/>
      <c r="AM110" s="522"/>
      <c r="AN110" s="522"/>
    </row>
    <row r="111" spans="1:40" s="117" customFormat="1" x14ac:dyDescent="0.35">
      <c r="A111" s="442"/>
      <c r="D111" s="443"/>
      <c r="E111" s="443"/>
      <c r="F111" s="444"/>
      <c r="G111" s="444"/>
      <c r="H111" s="444"/>
      <c r="I111" s="444"/>
      <c r="J111" s="444"/>
      <c r="K111" s="444"/>
      <c r="L111" s="444"/>
      <c r="M111" s="444"/>
      <c r="N111" s="519"/>
      <c r="O111" s="444"/>
      <c r="P111" s="445"/>
      <c r="Q111" s="445"/>
      <c r="R111" s="444"/>
      <c r="S111" s="444"/>
      <c r="T111" s="518"/>
      <c r="U111" s="561"/>
      <c r="V111" s="518"/>
      <c r="W111" s="444"/>
      <c r="X111" s="562"/>
      <c r="Y111" s="562"/>
      <c r="Z111" s="445"/>
      <c r="AA111" s="445"/>
      <c r="AB111" s="444"/>
      <c r="AC111" s="446"/>
      <c r="AD111" s="446"/>
      <c r="AE111" s="445"/>
      <c r="AF111" s="520"/>
      <c r="AG111" s="520"/>
      <c r="AH111" s="520"/>
      <c r="AI111" s="447"/>
      <c r="AJ111" s="448"/>
      <c r="AK111" s="448"/>
      <c r="AL111" s="522"/>
      <c r="AM111" s="522"/>
      <c r="AN111" s="522"/>
    </row>
    <row r="112" spans="1:40" s="117" customFormat="1" x14ac:dyDescent="0.35">
      <c r="A112" s="442"/>
      <c r="D112" s="443"/>
      <c r="E112" s="443"/>
      <c r="F112" s="444"/>
      <c r="G112" s="444"/>
      <c r="H112" s="444"/>
      <c r="I112" s="444"/>
      <c r="J112" s="444"/>
      <c r="K112" s="444"/>
      <c r="L112" s="444"/>
      <c r="M112" s="444"/>
      <c r="N112" s="519"/>
      <c r="O112" s="444"/>
      <c r="P112" s="445"/>
      <c r="Q112" s="445"/>
      <c r="R112" s="444"/>
      <c r="S112" s="444"/>
      <c r="T112" s="518"/>
      <c r="U112" s="561"/>
      <c r="V112" s="518"/>
      <c r="W112" s="444"/>
      <c r="X112" s="562"/>
      <c r="Y112" s="562"/>
      <c r="Z112" s="445"/>
      <c r="AA112" s="445"/>
      <c r="AB112" s="444"/>
      <c r="AC112" s="446"/>
      <c r="AD112" s="446"/>
      <c r="AE112" s="445"/>
      <c r="AF112" s="520"/>
      <c r="AG112" s="520"/>
      <c r="AH112" s="520"/>
      <c r="AI112" s="447"/>
      <c r="AJ112" s="448"/>
      <c r="AK112" s="448"/>
      <c r="AL112" s="522"/>
      <c r="AM112" s="522"/>
      <c r="AN112" s="522"/>
    </row>
    <row r="113" spans="1:40" s="117" customFormat="1" x14ac:dyDescent="0.35">
      <c r="A113" s="442"/>
      <c r="D113" s="443"/>
      <c r="E113" s="443"/>
      <c r="F113" s="444"/>
      <c r="G113" s="444"/>
      <c r="H113" s="444"/>
      <c r="I113" s="444"/>
      <c r="J113" s="444"/>
      <c r="K113" s="444"/>
      <c r="L113" s="444"/>
      <c r="M113" s="444"/>
      <c r="N113" s="519"/>
      <c r="O113" s="444"/>
      <c r="P113" s="445"/>
      <c r="Q113" s="445"/>
      <c r="R113" s="444"/>
      <c r="S113" s="444"/>
      <c r="T113" s="518"/>
      <c r="U113" s="561"/>
      <c r="V113" s="518"/>
      <c r="W113" s="444"/>
      <c r="X113" s="562"/>
      <c r="Y113" s="562"/>
      <c r="Z113" s="445"/>
      <c r="AA113" s="445"/>
      <c r="AB113" s="444"/>
      <c r="AC113" s="446"/>
      <c r="AD113" s="446"/>
      <c r="AE113" s="445"/>
      <c r="AF113" s="520"/>
      <c r="AG113" s="520"/>
      <c r="AH113" s="520"/>
      <c r="AI113" s="447"/>
      <c r="AJ113" s="448"/>
      <c r="AK113" s="448"/>
      <c r="AL113" s="522"/>
      <c r="AM113" s="522"/>
      <c r="AN113" s="522"/>
    </row>
    <row r="114" spans="1:40" s="117" customFormat="1" x14ac:dyDescent="0.35">
      <c r="A114" s="442"/>
      <c r="D114" s="443"/>
      <c r="E114" s="443"/>
      <c r="F114" s="444"/>
      <c r="G114" s="444"/>
      <c r="H114" s="444"/>
      <c r="I114" s="444"/>
      <c r="J114" s="444"/>
      <c r="K114" s="444"/>
      <c r="L114" s="444"/>
      <c r="M114" s="444"/>
      <c r="N114" s="519"/>
      <c r="O114" s="444"/>
      <c r="P114" s="445"/>
      <c r="Q114" s="445"/>
      <c r="R114" s="444"/>
      <c r="S114" s="444"/>
      <c r="T114" s="518"/>
      <c r="U114" s="561"/>
      <c r="V114" s="518"/>
      <c r="W114" s="444"/>
      <c r="X114" s="562"/>
      <c r="Y114" s="562"/>
      <c r="Z114" s="445"/>
      <c r="AA114" s="445"/>
      <c r="AB114" s="444"/>
      <c r="AC114" s="446"/>
      <c r="AD114" s="446"/>
      <c r="AE114" s="445"/>
      <c r="AF114" s="520"/>
      <c r="AG114" s="520"/>
      <c r="AH114" s="520"/>
      <c r="AI114" s="447"/>
      <c r="AJ114" s="448"/>
      <c r="AK114" s="448"/>
      <c r="AL114" s="522"/>
      <c r="AM114" s="522"/>
      <c r="AN114" s="522"/>
    </row>
    <row r="115" spans="1:40" s="117" customFormat="1" x14ac:dyDescent="0.35">
      <c r="A115" s="442"/>
      <c r="D115" s="443"/>
      <c r="E115" s="443"/>
      <c r="F115" s="444"/>
      <c r="G115" s="444"/>
      <c r="H115" s="444"/>
      <c r="I115" s="444"/>
      <c r="J115" s="444"/>
      <c r="K115" s="444"/>
      <c r="L115" s="444"/>
      <c r="M115" s="444"/>
      <c r="N115" s="519"/>
      <c r="O115" s="444"/>
      <c r="P115" s="445"/>
      <c r="Q115" s="445"/>
      <c r="R115" s="444"/>
      <c r="S115" s="444"/>
      <c r="T115" s="518"/>
      <c r="U115" s="561"/>
      <c r="V115" s="518"/>
      <c r="W115" s="444"/>
      <c r="X115" s="562"/>
      <c r="Y115" s="562"/>
      <c r="Z115" s="445"/>
      <c r="AA115" s="445"/>
      <c r="AB115" s="444"/>
      <c r="AC115" s="446"/>
      <c r="AD115" s="446"/>
      <c r="AE115" s="445"/>
      <c r="AF115" s="520"/>
      <c r="AG115" s="520"/>
      <c r="AH115" s="520"/>
      <c r="AI115" s="447"/>
      <c r="AJ115" s="448"/>
      <c r="AK115" s="448"/>
      <c r="AL115" s="522"/>
      <c r="AM115" s="522"/>
      <c r="AN115" s="522"/>
    </row>
    <row r="116" spans="1:40" s="117" customFormat="1" x14ac:dyDescent="0.35">
      <c r="A116" s="442"/>
      <c r="D116" s="443"/>
      <c r="E116" s="443"/>
      <c r="F116" s="444"/>
      <c r="G116" s="444"/>
      <c r="H116" s="444"/>
      <c r="I116" s="444"/>
      <c r="J116" s="444"/>
      <c r="K116" s="444"/>
      <c r="L116" s="444"/>
      <c r="M116" s="444"/>
      <c r="N116" s="519"/>
      <c r="O116" s="444"/>
      <c r="P116" s="445"/>
      <c r="Q116" s="445"/>
      <c r="R116" s="444"/>
      <c r="S116" s="444"/>
      <c r="T116" s="518"/>
      <c r="U116" s="561"/>
      <c r="V116" s="518"/>
      <c r="W116" s="444"/>
      <c r="X116" s="562"/>
      <c r="Y116" s="562"/>
      <c r="Z116" s="445"/>
      <c r="AA116" s="445"/>
      <c r="AB116" s="444"/>
      <c r="AC116" s="446"/>
      <c r="AD116" s="446"/>
      <c r="AE116" s="445"/>
      <c r="AF116" s="520"/>
      <c r="AG116" s="520"/>
      <c r="AH116" s="520"/>
      <c r="AI116" s="447"/>
      <c r="AJ116" s="448"/>
      <c r="AK116" s="448"/>
      <c r="AL116" s="522"/>
      <c r="AM116" s="522"/>
      <c r="AN116" s="522"/>
    </row>
    <row r="117" spans="1:40" s="117" customFormat="1" x14ac:dyDescent="0.35">
      <c r="A117" s="442"/>
      <c r="D117" s="443"/>
      <c r="E117" s="443"/>
      <c r="F117" s="444"/>
      <c r="G117" s="444"/>
      <c r="H117" s="444"/>
      <c r="I117" s="444"/>
      <c r="J117" s="444"/>
      <c r="K117" s="444"/>
      <c r="L117" s="444"/>
      <c r="M117" s="444"/>
      <c r="N117" s="519"/>
      <c r="O117" s="444"/>
      <c r="P117" s="445"/>
      <c r="Q117" s="445"/>
      <c r="R117" s="444"/>
      <c r="S117" s="444"/>
      <c r="T117" s="518"/>
      <c r="U117" s="561"/>
      <c r="V117" s="518"/>
      <c r="W117" s="444"/>
      <c r="X117" s="562"/>
      <c r="Y117" s="562"/>
      <c r="Z117" s="445"/>
      <c r="AA117" s="445"/>
      <c r="AB117" s="444"/>
      <c r="AC117" s="446"/>
      <c r="AD117" s="446"/>
      <c r="AE117" s="445"/>
      <c r="AF117" s="520"/>
      <c r="AG117" s="520"/>
      <c r="AH117" s="520"/>
      <c r="AI117" s="447"/>
      <c r="AJ117" s="448"/>
      <c r="AK117" s="448"/>
      <c r="AL117" s="522"/>
      <c r="AM117" s="522"/>
      <c r="AN117" s="522"/>
    </row>
    <row r="118" spans="1:40" s="117" customFormat="1" x14ac:dyDescent="0.35">
      <c r="A118" s="442"/>
      <c r="D118" s="443"/>
      <c r="E118" s="443"/>
      <c r="F118" s="444"/>
      <c r="G118" s="444"/>
      <c r="H118" s="444"/>
      <c r="I118" s="444"/>
      <c r="J118" s="444"/>
      <c r="K118" s="444"/>
      <c r="L118" s="444"/>
      <c r="M118" s="444"/>
      <c r="N118" s="519"/>
      <c r="O118" s="444"/>
      <c r="P118" s="445"/>
      <c r="Q118" s="445"/>
      <c r="R118" s="444"/>
      <c r="S118" s="444"/>
      <c r="T118" s="518"/>
      <c r="U118" s="561"/>
      <c r="V118" s="518"/>
      <c r="W118" s="444"/>
      <c r="X118" s="562"/>
      <c r="Y118" s="562"/>
      <c r="Z118" s="445"/>
      <c r="AA118" s="445"/>
      <c r="AB118" s="444"/>
      <c r="AC118" s="446"/>
      <c r="AD118" s="446"/>
      <c r="AE118" s="445"/>
      <c r="AF118" s="520"/>
      <c r="AG118" s="520"/>
      <c r="AH118" s="520"/>
      <c r="AI118" s="447"/>
      <c r="AJ118" s="448"/>
      <c r="AK118" s="448"/>
      <c r="AL118" s="522"/>
      <c r="AM118" s="522"/>
      <c r="AN118" s="522"/>
    </row>
    <row r="119" spans="1:40" s="117" customFormat="1" x14ac:dyDescent="0.35">
      <c r="A119" s="442"/>
      <c r="D119" s="443"/>
      <c r="E119" s="443"/>
      <c r="F119" s="444"/>
      <c r="G119" s="444"/>
      <c r="H119" s="444"/>
      <c r="I119" s="444"/>
      <c r="J119" s="444"/>
      <c r="K119" s="444"/>
      <c r="L119" s="444"/>
      <c r="M119" s="444"/>
      <c r="N119" s="519"/>
      <c r="O119" s="444"/>
      <c r="P119" s="445"/>
      <c r="Q119" s="445"/>
      <c r="R119" s="444"/>
      <c r="S119" s="444"/>
      <c r="T119" s="518"/>
      <c r="U119" s="561"/>
      <c r="V119" s="518"/>
      <c r="W119" s="444"/>
      <c r="X119" s="562"/>
      <c r="Y119" s="562"/>
      <c r="Z119" s="445"/>
      <c r="AA119" s="445"/>
      <c r="AB119" s="444"/>
      <c r="AC119" s="446"/>
      <c r="AD119" s="446"/>
      <c r="AE119" s="445"/>
      <c r="AF119" s="520"/>
      <c r="AG119" s="520"/>
      <c r="AH119" s="520"/>
      <c r="AI119" s="447"/>
      <c r="AJ119" s="448"/>
      <c r="AK119" s="448"/>
      <c r="AL119" s="522"/>
      <c r="AM119" s="522"/>
      <c r="AN119" s="522"/>
    </row>
    <row r="120" spans="1:40" s="117" customFormat="1" x14ac:dyDescent="0.35">
      <c r="A120" s="442"/>
      <c r="D120" s="443"/>
      <c r="E120" s="443"/>
      <c r="F120" s="444"/>
      <c r="G120" s="444"/>
      <c r="H120" s="444"/>
      <c r="I120" s="444"/>
      <c r="J120" s="444"/>
      <c r="K120" s="444"/>
      <c r="L120" s="444"/>
      <c r="M120" s="444"/>
      <c r="N120" s="519"/>
      <c r="O120" s="444"/>
      <c r="P120" s="445"/>
      <c r="Q120" s="445"/>
      <c r="R120" s="444"/>
      <c r="S120" s="444"/>
      <c r="T120" s="518"/>
      <c r="U120" s="561"/>
      <c r="V120" s="518"/>
      <c r="W120" s="444"/>
      <c r="X120" s="562"/>
      <c r="Y120" s="562"/>
      <c r="Z120" s="445"/>
      <c r="AA120" s="445"/>
      <c r="AB120" s="444"/>
      <c r="AC120" s="446"/>
      <c r="AD120" s="446"/>
      <c r="AE120" s="445"/>
      <c r="AF120" s="520"/>
      <c r="AG120" s="520"/>
      <c r="AH120" s="520"/>
      <c r="AI120" s="447"/>
      <c r="AJ120" s="448"/>
      <c r="AK120" s="448"/>
      <c r="AL120" s="522"/>
      <c r="AM120" s="522"/>
      <c r="AN120" s="522"/>
    </row>
    <row r="121" spans="1:40" s="117" customFormat="1" x14ac:dyDescent="0.35">
      <c r="A121" s="442"/>
      <c r="D121" s="443"/>
      <c r="E121" s="443"/>
      <c r="F121" s="444"/>
      <c r="G121" s="444"/>
      <c r="H121" s="444"/>
      <c r="I121" s="444"/>
      <c r="J121" s="444"/>
      <c r="K121" s="444"/>
      <c r="L121" s="444"/>
      <c r="M121" s="444"/>
      <c r="N121" s="519"/>
      <c r="O121" s="444"/>
      <c r="P121" s="445"/>
      <c r="Q121" s="445"/>
      <c r="R121" s="444"/>
      <c r="S121" s="444"/>
      <c r="T121" s="518"/>
      <c r="U121" s="561"/>
      <c r="V121" s="518"/>
      <c r="W121" s="444"/>
      <c r="X121" s="562"/>
      <c r="Y121" s="562"/>
      <c r="Z121" s="445"/>
      <c r="AA121" s="445"/>
      <c r="AB121" s="444"/>
      <c r="AC121" s="446"/>
      <c r="AD121" s="446"/>
      <c r="AE121" s="445"/>
      <c r="AF121" s="520"/>
      <c r="AG121" s="520"/>
      <c r="AH121" s="520"/>
      <c r="AI121" s="447"/>
      <c r="AJ121" s="448"/>
      <c r="AK121" s="448"/>
      <c r="AL121" s="522"/>
      <c r="AM121" s="522"/>
      <c r="AN121" s="522"/>
    </row>
    <row r="122" spans="1:40" s="117" customFormat="1" x14ac:dyDescent="0.35">
      <c r="A122" s="442"/>
      <c r="D122" s="443"/>
      <c r="E122" s="443"/>
      <c r="F122" s="444"/>
      <c r="G122" s="444"/>
      <c r="H122" s="444"/>
      <c r="I122" s="444"/>
      <c r="J122" s="444"/>
      <c r="K122" s="444"/>
      <c r="L122" s="444"/>
      <c r="M122" s="444"/>
      <c r="N122" s="519"/>
      <c r="O122" s="444"/>
      <c r="P122" s="445"/>
      <c r="Q122" s="445"/>
      <c r="R122" s="444"/>
      <c r="S122" s="444"/>
      <c r="T122" s="518"/>
      <c r="U122" s="561"/>
      <c r="V122" s="518"/>
      <c r="W122" s="444"/>
      <c r="X122" s="562"/>
      <c r="Y122" s="562"/>
      <c r="Z122" s="445"/>
      <c r="AA122" s="445"/>
      <c r="AB122" s="444"/>
      <c r="AC122" s="446"/>
      <c r="AD122" s="446"/>
      <c r="AE122" s="445"/>
      <c r="AF122" s="520"/>
      <c r="AG122" s="520"/>
      <c r="AH122" s="520"/>
      <c r="AI122" s="447"/>
      <c r="AJ122" s="448"/>
      <c r="AK122" s="448"/>
      <c r="AL122" s="522"/>
      <c r="AM122" s="522"/>
      <c r="AN122" s="522"/>
    </row>
    <row r="123" spans="1:40" s="117" customFormat="1" x14ac:dyDescent="0.35">
      <c r="A123" s="442"/>
      <c r="D123" s="443"/>
      <c r="E123" s="443"/>
      <c r="F123" s="444"/>
      <c r="G123" s="444"/>
      <c r="H123" s="444"/>
      <c r="I123" s="444"/>
      <c r="J123" s="444"/>
      <c r="K123" s="444"/>
      <c r="L123" s="444"/>
      <c r="M123" s="444"/>
      <c r="N123" s="519"/>
      <c r="O123" s="444"/>
      <c r="P123" s="445"/>
      <c r="Q123" s="445"/>
      <c r="R123" s="444"/>
      <c r="S123" s="444"/>
      <c r="T123" s="518"/>
      <c r="U123" s="561"/>
      <c r="V123" s="518"/>
      <c r="W123" s="444"/>
      <c r="X123" s="562"/>
      <c r="Y123" s="562"/>
      <c r="Z123" s="445"/>
      <c r="AA123" s="445"/>
      <c r="AB123" s="444"/>
      <c r="AC123" s="446"/>
      <c r="AD123" s="446"/>
      <c r="AE123" s="445"/>
      <c r="AF123" s="520"/>
      <c r="AG123" s="520"/>
      <c r="AH123" s="520"/>
      <c r="AI123" s="447"/>
      <c r="AJ123" s="448"/>
      <c r="AK123" s="448"/>
      <c r="AL123" s="522"/>
      <c r="AM123" s="522"/>
      <c r="AN123" s="522"/>
    </row>
    <row r="124" spans="1:40" s="117" customFormat="1" x14ac:dyDescent="0.35">
      <c r="A124" s="442"/>
      <c r="D124" s="443"/>
      <c r="E124" s="443"/>
      <c r="F124" s="444"/>
      <c r="G124" s="444"/>
      <c r="H124" s="444"/>
      <c r="I124" s="444"/>
      <c r="J124" s="444"/>
      <c r="K124" s="444"/>
      <c r="L124" s="444"/>
      <c r="M124" s="444"/>
      <c r="N124" s="519"/>
      <c r="O124" s="444"/>
      <c r="P124" s="445"/>
      <c r="Q124" s="445"/>
      <c r="R124" s="444"/>
      <c r="S124" s="444"/>
      <c r="T124" s="518"/>
      <c r="U124" s="561"/>
      <c r="V124" s="518"/>
      <c r="W124" s="444"/>
      <c r="X124" s="562"/>
      <c r="Y124" s="562"/>
      <c r="Z124" s="445"/>
      <c r="AA124" s="445"/>
      <c r="AB124" s="444"/>
      <c r="AC124" s="446"/>
      <c r="AD124" s="446"/>
      <c r="AE124" s="445"/>
      <c r="AF124" s="520"/>
      <c r="AG124" s="520"/>
      <c r="AH124" s="520"/>
      <c r="AI124" s="447"/>
      <c r="AJ124" s="448"/>
      <c r="AK124" s="448"/>
      <c r="AL124" s="522"/>
      <c r="AM124" s="522"/>
      <c r="AN124" s="522"/>
    </row>
    <row r="125" spans="1:40" s="117" customFormat="1" x14ac:dyDescent="0.35">
      <c r="A125" s="442"/>
      <c r="D125" s="443"/>
      <c r="E125" s="443"/>
      <c r="F125" s="444"/>
      <c r="G125" s="444"/>
      <c r="H125" s="444"/>
      <c r="I125" s="444"/>
      <c r="J125" s="444"/>
      <c r="K125" s="444"/>
      <c r="L125" s="444"/>
      <c r="M125" s="444"/>
      <c r="N125" s="519"/>
      <c r="O125" s="444"/>
      <c r="P125" s="445"/>
      <c r="Q125" s="445"/>
      <c r="R125" s="444"/>
      <c r="S125" s="444"/>
      <c r="T125" s="518"/>
      <c r="U125" s="561"/>
      <c r="V125" s="518"/>
      <c r="W125" s="444"/>
      <c r="X125" s="562"/>
      <c r="Y125" s="562"/>
      <c r="Z125" s="445"/>
      <c r="AA125" s="445"/>
      <c r="AB125" s="444"/>
      <c r="AC125" s="446"/>
      <c r="AD125" s="446"/>
      <c r="AE125" s="445"/>
      <c r="AF125" s="520"/>
      <c r="AG125" s="520"/>
      <c r="AH125" s="520"/>
      <c r="AI125" s="447"/>
      <c r="AJ125" s="448"/>
      <c r="AK125" s="448"/>
      <c r="AL125" s="522"/>
      <c r="AM125" s="522"/>
      <c r="AN125" s="522"/>
    </row>
    <row r="126" spans="1:40" s="117" customFormat="1" x14ac:dyDescent="0.35">
      <c r="A126" s="442"/>
      <c r="D126" s="443"/>
      <c r="E126" s="443"/>
      <c r="F126" s="444"/>
      <c r="G126" s="444"/>
      <c r="H126" s="444"/>
      <c r="I126" s="444"/>
      <c r="J126" s="444"/>
      <c r="K126" s="444"/>
      <c r="L126" s="444"/>
      <c r="M126" s="444"/>
      <c r="N126" s="519"/>
      <c r="O126" s="444"/>
      <c r="P126" s="445"/>
      <c r="Q126" s="445"/>
      <c r="R126" s="444"/>
      <c r="S126" s="444"/>
      <c r="T126" s="518"/>
      <c r="U126" s="561"/>
      <c r="V126" s="518"/>
      <c r="W126" s="444"/>
      <c r="X126" s="562"/>
      <c r="Y126" s="562"/>
      <c r="Z126" s="445"/>
      <c r="AA126" s="445"/>
      <c r="AB126" s="444"/>
      <c r="AC126" s="446"/>
      <c r="AD126" s="446"/>
      <c r="AE126" s="445"/>
      <c r="AF126" s="520"/>
      <c r="AG126" s="520"/>
      <c r="AH126" s="520"/>
      <c r="AI126" s="447"/>
      <c r="AJ126" s="448"/>
      <c r="AK126" s="448"/>
      <c r="AL126" s="522"/>
      <c r="AM126" s="522"/>
      <c r="AN126" s="522"/>
    </row>
    <row r="127" spans="1:40" s="117" customFormat="1" x14ac:dyDescent="0.35">
      <c r="A127" s="442"/>
      <c r="D127" s="443"/>
      <c r="E127" s="443"/>
      <c r="F127" s="444"/>
      <c r="G127" s="444"/>
      <c r="H127" s="444"/>
      <c r="I127" s="444"/>
      <c r="J127" s="444"/>
      <c r="K127" s="444"/>
      <c r="L127" s="444"/>
      <c r="M127" s="444"/>
      <c r="N127" s="519"/>
      <c r="O127" s="444"/>
      <c r="P127" s="445"/>
      <c r="Q127" s="445"/>
      <c r="R127" s="444"/>
      <c r="S127" s="444"/>
      <c r="T127" s="518"/>
      <c r="U127" s="561"/>
      <c r="V127" s="518"/>
      <c r="W127" s="444"/>
      <c r="X127" s="562"/>
      <c r="Y127" s="562"/>
      <c r="Z127" s="445"/>
      <c r="AA127" s="445"/>
      <c r="AB127" s="444"/>
      <c r="AC127" s="446"/>
      <c r="AD127" s="446"/>
      <c r="AE127" s="445"/>
      <c r="AF127" s="520"/>
      <c r="AG127" s="520"/>
      <c r="AH127" s="520"/>
      <c r="AI127" s="447"/>
      <c r="AJ127" s="448"/>
      <c r="AK127" s="448"/>
      <c r="AL127" s="522"/>
      <c r="AM127" s="522"/>
      <c r="AN127" s="522"/>
    </row>
    <row r="128" spans="1:40" s="117" customFormat="1" x14ac:dyDescent="0.35">
      <c r="A128" s="442"/>
      <c r="D128" s="443"/>
      <c r="E128" s="443"/>
      <c r="F128" s="444"/>
      <c r="G128" s="444"/>
      <c r="H128" s="444"/>
      <c r="I128" s="444"/>
      <c r="J128" s="444"/>
      <c r="K128" s="444"/>
      <c r="L128" s="444"/>
      <c r="M128" s="444"/>
      <c r="N128" s="519"/>
      <c r="O128" s="444"/>
      <c r="P128" s="445"/>
      <c r="Q128" s="445"/>
      <c r="R128" s="444"/>
      <c r="S128" s="444"/>
      <c r="T128" s="518"/>
      <c r="U128" s="561"/>
      <c r="V128" s="518"/>
      <c r="W128" s="444"/>
      <c r="X128" s="562"/>
      <c r="Y128" s="562"/>
      <c r="Z128" s="445"/>
      <c r="AA128" s="445"/>
      <c r="AB128" s="444"/>
      <c r="AC128" s="446"/>
      <c r="AD128" s="446"/>
      <c r="AE128" s="445"/>
      <c r="AF128" s="520"/>
      <c r="AG128" s="520"/>
      <c r="AH128" s="520"/>
      <c r="AI128" s="447"/>
      <c r="AJ128" s="448"/>
      <c r="AK128" s="448"/>
      <c r="AL128" s="522"/>
      <c r="AM128" s="522"/>
      <c r="AN128" s="522"/>
    </row>
    <row r="129" spans="1:40" x14ac:dyDescent="0.35">
      <c r="A129" s="442"/>
      <c r="B129" s="117"/>
      <c r="C129" s="117"/>
      <c r="D129" s="443"/>
      <c r="E129" s="443"/>
      <c r="F129" s="444"/>
      <c r="G129" s="444"/>
      <c r="H129" s="444"/>
      <c r="I129" s="444"/>
      <c r="J129" s="444"/>
      <c r="K129" s="444"/>
      <c r="L129" s="444"/>
      <c r="M129" s="444"/>
      <c r="N129" s="519"/>
      <c r="O129" s="444"/>
      <c r="P129" s="445"/>
      <c r="Q129" s="445"/>
      <c r="R129" s="444"/>
      <c r="S129" s="444"/>
      <c r="T129" s="518"/>
      <c r="U129" s="561"/>
      <c r="V129" s="518"/>
      <c r="W129" s="444"/>
      <c r="X129" s="562"/>
      <c r="Y129" s="562"/>
      <c r="Z129" s="445"/>
      <c r="AA129" s="445"/>
      <c r="AB129" s="444"/>
      <c r="AC129" s="446"/>
      <c r="AD129" s="446"/>
      <c r="AE129" s="445"/>
      <c r="AF129" s="520"/>
      <c r="AG129" s="520"/>
      <c r="AH129" s="520"/>
      <c r="AI129" s="447"/>
      <c r="AJ129" s="448"/>
      <c r="AK129" s="448"/>
      <c r="AL129" s="522"/>
      <c r="AM129" s="522"/>
      <c r="AN129" s="522"/>
    </row>
    <row r="130" spans="1:40" x14ac:dyDescent="0.35">
      <c r="A130" s="442"/>
      <c r="B130" s="117"/>
      <c r="C130" s="117"/>
      <c r="D130" s="443"/>
      <c r="E130" s="443"/>
      <c r="F130" s="444"/>
      <c r="G130" s="444"/>
      <c r="H130" s="444"/>
      <c r="I130" s="444"/>
      <c r="J130" s="444"/>
      <c r="K130" s="444"/>
      <c r="L130" s="444"/>
      <c r="M130" s="444"/>
      <c r="N130" s="519"/>
      <c r="O130" s="444"/>
      <c r="P130" s="445"/>
      <c r="Q130" s="445"/>
      <c r="R130" s="444"/>
      <c r="S130" s="444"/>
      <c r="T130" s="518"/>
      <c r="U130" s="561"/>
      <c r="V130" s="518"/>
      <c r="W130" s="444"/>
      <c r="X130" s="562"/>
      <c r="Y130" s="562"/>
      <c r="Z130" s="445"/>
      <c r="AA130" s="445"/>
      <c r="AB130" s="444"/>
      <c r="AC130" s="446"/>
      <c r="AD130" s="446"/>
      <c r="AE130" s="445"/>
      <c r="AF130" s="520"/>
      <c r="AG130" s="520"/>
      <c r="AH130" s="520"/>
      <c r="AI130" s="447"/>
      <c r="AJ130" s="448"/>
      <c r="AK130" s="448"/>
      <c r="AL130" s="522"/>
      <c r="AM130" s="522"/>
      <c r="AN130" s="522"/>
    </row>
    <row r="131" spans="1:40" x14ac:dyDescent="0.35">
      <c r="A131" s="442"/>
      <c r="B131" s="117"/>
      <c r="C131" s="117"/>
      <c r="D131" s="443"/>
      <c r="E131" s="443"/>
      <c r="F131" s="444"/>
      <c r="G131" s="444"/>
      <c r="H131" s="444"/>
      <c r="I131" s="444"/>
      <c r="J131" s="444"/>
      <c r="K131" s="444"/>
      <c r="L131" s="444"/>
      <c r="M131" s="444"/>
      <c r="N131" s="519"/>
      <c r="O131" s="444"/>
      <c r="P131" s="445"/>
      <c r="Q131" s="445"/>
      <c r="R131" s="444"/>
      <c r="S131" s="444"/>
      <c r="T131" s="518"/>
      <c r="U131" s="561"/>
      <c r="V131" s="518"/>
      <c r="W131" s="444"/>
      <c r="X131" s="562"/>
      <c r="Y131" s="562"/>
      <c r="Z131" s="445"/>
      <c r="AA131" s="445"/>
      <c r="AB131" s="444"/>
      <c r="AC131" s="446"/>
      <c r="AD131" s="446"/>
      <c r="AE131" s="445"/>
      <c r="AF131" s="520"/>
      <c r="AG131" s="520"/>
      <c r="AH131" s="520"/>
      <c r="AI131" s="447"/>
      <c r="AJ131" s="448"/>
      <c r="AK131" s="448"/>
      <c r="AL131" s="522"/>
      <c r="AM131" s="522"/>
      <c r="AN131" s="522"/>
    </row>
    <row r="132" spans="1:40" x14ac:dyDescent="0.35">
      <c r="A132" s="442"/>
      <c r="B132" s="117"/>
      <c r="C132" s="117"/>
      <c r="D132" s="443"/>
      <c r="E132" s="443"/>
      <c r="F132" s="444"/>
      <c r="G132" s="444"/>
      <c r="H132" s="444"/>
      <c r="I132" s="444"/>
      <c r="J132" s="444"/>
      <c r="K132" s="444"/>
      <c r="L132" s="444"/>
      <c r="M132" s="444"/>
      <c r="N132" s="519"/>
      <c r="O132" s="444"/>
      <c r="P132" s="445"/>
      <c r="Q132" s="445"/>
      <c r="R132" s="444"/>
      <c r="S132" s="444"/>
      <c r="T132" s="518"/>
      <c r="U132" s="561"/>
      <c r="V132" s="518"/>
      <c r="W132" s="444"/>
      <c r="X132" s="562"/>
      <c r="Y132" s="562"/>
      <c r="Z132" s="445"/>
      <c r="AA132" s="445"/>
      <c r="AB132" s="444"/>
      <c r="AC132" s="446"/>
      <c r="AD132" s="446"/>
      <c r="AE132" s="445"/>
      <c r="AF132" s="520"/>
      <c r="AG132" s="520"/>
      <c r="AH132" s="520"/>
      <c r="AI132" s="447"/>
      <c r="AJ132" s="448"/>
      <c r="AK132" s="448"/>
      <c r="AL132" s="522"/>
      <c r="AM132" s="522"/>
      <c r="AN132" s="522"/>
    </row>
    <row r="133" spans="1:40" x14ac:dyDescent="0.35">
      <c r="A133" s="442"/>
      <c r="B133" s="117"/>
      <c r="C133" s="117"/>
      <c r="D133" s="443"/>
      <c r="E133" s="443"/>
      <c r="F133" s="444"/>
      <c r="G133" s="444"/>
      <c r="H133" s="444"/>
      <c r="I133" s="444"/>
      <c r="J133" s="444"/>
      <c r="K133" s="444"/>
      <c r="L133" s="444"/>
      <c r="M133" s="444"/>
      <c r="N133" s="519"/>
      <c r="O133" s="444"/>
      <c r="P133" s="445"/>
      <c r="Q133" s="445"/>
      <c r="R133" s="444"/>
      <c r="S133" s="444"/>
      <c r="T133" s="518"/>
      <c r="U133" s="561"/>
      <c r="V133" s="518"/>
      <c r="W133" s="444"/>
      <c r="X133" s="562"/>
      <c r="Y133" s="562"/>
      <c r="Z133" s="445"/>
      <c r="AA133" s="445"/>
      <c r="AB133" s="444"/>
      <c r="AC133" s="446"/>
      <c r="AD133" s="446"/>
      <c r="AE133" s="445"/>
      <c r="AF133" s="520"/>
      <c r="AG133" s="520"/>
      <c r="AH133" s="520"/>
      <c r="AI133" s="447"/>
      <c r="AJ133" s="448"/>
      <c r="AK133" s="448"/>
      <c r="AL133" s="522"/>
      <c r="AM133" s="522"/>
      <c r="AN133" s="522"/>
    </row>
    <row r="134" spans="1:40" x14ac:dyDescent="0.35">
      <c r="A134" s="442"/>
      <c r="B134" s="117"/>
      <c r="C134" s="117"/>
      <c r="D134" s="443"/>
      <c r="E134" s="443"/>
      <c r="F134" s="444"/>
      <c r="G134" s="444"/>
      <c r="H134" s="444"/>
      <c r="I134" s="444"/>
      <c r="J134" s="444"/>
      <c r="K134" s="444"/>
      <c r="L134" s="444"/>
      <c r="M134" s="444"/>
      <c r="N134" s="519"/>
      <c r="O134" s="444"/>
      <c r="P134" s="445"/>
      <c r="Q134" s="445"/>
      <c r="R134" s="444"/>
      <c r="S134" s="444"/>
      <c r="T134" s="518"/>
      <c r="U134" s="561"/>
      <c r="V134" s="518"/>
      <c r="W134" s="444"/>
      <c r="X134" s="562"/>
      <c r="Y134" s="562"/>
      <c r="Z134" s="445"/>
      <c r="AA134" s="445"/>
      <c r="AB134" s="444"/>
      <c r="AC134" s="446"/>
      <c r="AD134" s="446"/>
      <c r="AE134" s="445"/>
      <c r="AF134" s="520"/>
      <c r="AG134" s="520"/>
      <c r="AH134" s="520"/>
      <c r="AI134" s="447"/>
      <c r="AJ134" s="448"/>
      <c r="AK134" s="448"/>
      <c r="AL134" s="522"/>
      <c r="AM134" s="522"/>
      <c r="AN134" s="522"/>
    </row>
    <row r="135" spans="1:40" x14ac:dyDescent="0.35">
      <c r="A135" s="442"/>
      <c r="B135" s="117"/>
      <c r="C135" s="117"/>
      <c r="D135" s="443"/>
      <c r="E135" s="443"/>
      <c r="F135" s="444"/>
      <c r="G135" s="444"/>
      <c r="H135" s="444"/>
      <c r="I135" s="444"/>
      <c r="J135" s="444"/>
      <c r="K135" s="444"/>
      <c r="L135" s="444"/>
      <c r="M135" s="444"/>
      <c r="N135" s="519"/>
      <c r="O135" s="444"/>
      <c r="P135" s="445"/>
      <c r="Q135" s="445"/>
      <c r="R135" s="444"/>
      <c r="S135" s="444"/>
      <c r="T135" s="518"/>
      <c r="U135" s="561"/>
      <c r="V135" s="518"/>
      <c r="W135" s="444"/>
      <c r="X135" s="562"/>
      <c r="Y135" s="562"/>
      <c r="Z135" s="445"/>
      <c r="AA135" s="445"/>
      <c r="AB135" s="444"/>
      <c r="AC135" s="446"/>
      <c r="AD135" s="446"/>
      <c r="AE135" s="445"/>
      <c r="AF135" s="520"/>
      <c r="AG135" s="520"/>
      <c r="AH135" s="520"/>
      <c r="AI135" s="447"/>
      <c r="AJ135" s="448"/>
      <c r="AK135" s="448"/>
      <c r="AL135" s="522"/>
      <c r="AM135" s="522"/>
      <c r="AN135" s="522"/>
    </row>
    <row r="136" spans="1:40" x14ac:dyDescent="0.35">
      <c r="A136" s="442"/>
      <c r="B136" s="117"/>
      <c r="C136" s="117"/>
      <c r="D136" s="443"/>
      <c r="E136" s="443"/>
      <c r="F136" s="444"/>
      <c r="G136" s="444"/>
      <c r="H136" s="444"/>
      <c r="I136" s="444"/>
      <c r="J136" s="444"/>
      <c r="K136" s="444"/>
      <c r="L136" s="444"/>
      <c r="M136" s="444"/>
      <c r="N136" s="519"/>
      <c r="O136" s="444"/>
      <c r="P136" s="445"/>
      <c r="Q136" s="445"/>
      <c r="R136" s="444"/>
      <c r="S136" s="444"/>
      <c r="T136" s="518"/>
      <c r="U136" s="561"/>
      <c r="V136" s="518"/>
      <c r="W136" s="444"/>
      <c r="X136" s="562"/>
      <c r="Y136" s="562"/>
      <c r="Z136" s="445"/>
      <c r="AA136" s="445"/>
      <c r="AB136" s="444"/>
      <c r="AC136" s="446"/>
      <c r="AD136" s="446"/>
      <c r="AE136" s="445"/>
      <c r="AF136" s="520"/>
      <c r="AG136" s="520"/>
      <c r="AH136" s="520"/>
      <c r="AI136" s="447"/>
      <c r="AJ136" s="448"/>
      <c r="AK136" s="448"/>
      <c r="AL136" s="522"/>
      <c r="AM136" s="522"/>
      <c r="AN136" s="522"/>
    </row>
    <row r="137" spans="1:40" x14ac:dyDescent="0.35">
      <c r="A137" s="442"/>
      <c r="B137" s="117"/>
      <c r="C137" s="117"/>
      <c r="D137" s="443"/>
      <c r="E137" s="443"/>
      <c r="F137" s="444"/>
      <c r="G137" s="444"/>
      <c r="H137" s="444"/>
      <c r="I137" s="444"/>
      <c r="J137" s="444"/>
      <c r="K137" s="444"/>
      <c r="L137" s="444"/>
      <c r="M137" s="444"/>
      <c r="N137" s="519"/>
      <c r="O137" s="444"/>
      <c r="P137" s="445"/>
      <c r="Q137" s="445"/>
      <c r="R137" s="444"/>
      <c r="S137" s="444"/>
      <c r="T137" s="518"/>
      <c r="U137" s="561"/>
      <c r="V137" s="518"/>
      <c r="W137" s="444"/>
      <c r="X137" s="562"/>
      <c r="Y137" s="562"/>
      <c r="Z137" s="445"/>
      <c r="AA137" s="445"/>
      <c r="AB137" s="444"/>
      <c r="AC137" s="446"/>
      <c r="AD137" s="446"/>
      <c r="AE137" s="445"/>
      <c r="AF137" s="520"/>
      <c r="AG137" s="520"/>
      <c r="AH137" s="520"/>
      <c r="AI137" s="447"/>
      <c r="AJ137" s="448"/>
      <c r="AK137" s="448"/>
      <c r="AL137" s="522"/>
      <c r="AM137" s="522"/>
      <c r="AN137" s="522"/>
    </row>
    <row r="138" spans="1:40" x14ac:dyDescent="0.35">
      <c r="A138" s="442"/>
      <c r="B138" s="117"/>
      <c r="C138" s="117"/>
      <c r="D138" s="443"/>
      <c r="E138" s="443"/>
      <c r="F138" s="444"/>
      <c r="G138" s="444"/>
      <c r="H138" s="444"/>
      <c r="I138" s="444"/>
      <c r="J138" s="444"/>
      <c r="K138" s="444"/>
      <c r="L138" s="444"/>
      <c r="M138" s="444"/>
      <c r="N138" s="519"/>
      <c r="O138" s="444"/>
      <c r="P138" s="445"/>
      <c r="Q138" s="445"/>
      <c r="R138" s="444"/>
      <c r="S138" s="444"/>
      <c r="T138" s="518"/>
      <c r="U138" s="561"/>
      <c r="V138" s="518"/>
      <c r="W138" s="444"/>
      <c r="X138" s="562"/>
      <c r="Y138" s="562"/>
      <c r="Z138" s="445"/>
      <c r="AA138" s="445"/>
      <c r="AB138" s="444"/>
      <c r="AC138" s="446"/>
      <c r="AD138" s="446"/>
      <c r="AE138" s="445"/>
      <c r="AF138" s="520"/>
      <c r="AG138" s="520"/>
      <c r="AH138" s="520"/>
      <c r="AI138" s="447"/>
      <c r="AJ138" s="448"/>
      <c r="AK138" s="448"/>
      <c r="AL138" s="522"/>
      <c r="AM138" s="522"/>
      <c r="AN138" s="522"/>
    </row>
    <row r="139" spans="1:40" x14ac:dyDescent="0.35">
      <c r="A139" s="442"/>
      <c r="B139" s="117"/>
      <c r="C139" s="117"/>
      <c r="D139" s="443"/>
      <c r="E139" s="443"/>
      <c r="F139" s="444"/>
      <c r="G139" s="444"/>
      <c r="H139" s="444"/>
      <c r="I139" s="444"/>
      <c r="J139" s="444"/>
      <c r="K139" s="444"/>
      <c r="L139" s="444"/>
      <c r="M139" s="444"/>
      <c r="N139" s="519"/>
      <c r="O139" s="444"/>
      <c r="P139" s="445"/>
      <c r="Q139" s="445"/>
      <c r="R139" s="444"/>
      <c r="S139" s="444"/>
      <c r="T139" s="518"/>
      <c r="U139" s="561"/>
      <c r="V139" s="518"/>
      <c r="W139" s="444"/>
      <c r="X139" s="562"/>
      <c r="Y139" s="562"/>
      <c r="Z139" s="445"/>
      <c r="AA139" s="445"/>
      <c r="AB139" s="444"/>
      <c r="AC139" s="446"/>
      <c r="AD139" s="446"/>
      <c r="AE139" s="445"/>
      <c r="AF139" s="520"/>
      <c r="AG139" s="520"/>
      <c r="AH139" s="520"/>
      <c r="AI139" s="447"/>
      <c r="AJ139" s="448"/>
      <c r="AK139" s="448"/>
      <c r="AL139" s="522"/>
      <c r="AM139" s="522"/>
      <c r="AN139" s="522"/>
    </row>
    <row r="140" spans="1:40" x14ac:dyDescent="0.35">
      <c r="A140" s="442"/>
      <c r="B140" s="117"/>
      <c r="C140" s="117"/>
      <c r="D140" s="443"/>
      <c r="E140" s="443"/>
      <c r="F140" s="444"/>
      <c r="G140" s="444"/>
      <c r="H140" s="444"/>
      <c r="I140" s="444"/>
      <c r="J140" s="444"/>
      <c r="K140" s="444"/>
      <c r="L140" s="444"/>
      <c r="M140" s="444"/>
      <c r="N140" s="519"/>
      <c r="O140" s="444"/>
      <c r="P140" s="445"/>
      <c r="Q140" s="445"/>
      <c r="R140" s="444"/>
      <c r="S140" s="444"/>
      <c r="T140" s="518"/>
      <c r="U140" s="561"/>
      <c r="V140" s="518"/>
      <c r="W140" s="444"/>
      <c r="X140" s="562"/>
      <c r="Y140" s="562"/>
      <c r="Z140" s="445"/>
      <c r="AA140" s="445"/>
      <c r="AB140" s="444"/>
      <c r="AC140" s="446"/>
      <c r="AD140" s="446"/>
      <c r="AE140" s="445"/>
      <c r="AF140" s="520"/>
      <c r="AG140" s="520"/>
      <c r="AH140" s="520"/>
      <c r="AI140" s="447"/>
      <c r="AJ140" s="448"/>
      <c r="AK140" s="448"/>
      <c r="AL140" s="522"/>
      <c r="AM140" s="522"/>
      <c r="AN140" s="522"/>
    </row>
    <row r="141" spans="1:40" x14ac:dyDescent="0.35">
      <c r="A141" s="442"/>
      <c r="B141" s="117"/>
      <c r="C141" s="117"/>
      <c r="D141" s="443"/>
      <c r="E141" s="443"/>
      <c r="F141" s="444"/>
      <c r="G141" s="444"/>
      <c r="H141" s="444"/>
      <c r="I141" s="444"/>
      <c r="J141" s="444"/>
      <c r="K141" s="444"/>
      <c r="L141" s="444"/>
      <c r="M141" s="444"/>
      <c r="N141" s="519"/>
      <c r="O141" s="444"/>
      <c r="P141" s="445"/>
      <c r="Q141" s="445"/>
      <c r="R141" s="444"/>
      <c r="S141" s="444"/>
      <c r="T141" s="518"/>
      <c r="U141" s="561"/>
      <c r="V141" s="518"/>
      <c r="W141" s="444"/>
      <c r="X141" s="562"/>
      <c r="Y141" s="562"/>
      <c r="Z141" s="445"/>
      <c r="AA141" s="445"/>
      <c r="AB141" s="444"/>
      <c r="AC141" s="446"/>
      <c r="AD141" s="446"/>
      <c r="AE141" s="445"/>
      <c r="AF141" s="520"/>
      <c r="AG141" s="520"/>
      <c r="AH141" s="520"/>
      <c r="AI141" s="447"/>
      <c r="AJ141" s="448"/>
      <c r="AK141" s="448"/>
      <c r="AL141" s="522"/>
      <c r="AM141" s="522"/>
      <c r="AN141" s="522"/>
    </row>
    <row r="142" spans="1:40" x14ac:dyDescent="0.35">
      <c r="A142" s="442"/>
      <c r="B142" s="117"/>
      <c r="C142" s="117"/>
      <c r="D142" s="443"/>
      <c r="E142" s="443"/>
      <c r="F142" s="444"/>
      <c r="G142" s="444"/>
      <c r="H142" s="444"/>
      <c r="I142" s="444"/>
      <c r="J142" s="444"/>
      <c r="K142" s="444"/>
      <c r="L142" s="444"/>
      <c r="M142" s="444"/>
      <c r="N142" s="519"/>
      <c r="O142" s="444"/>
      <c r="P142" s="445"/>
      <c r="Q142" s="445"/>
      <c r="R142" s="444"/>
      <c r="S142" s="444"/>
      <c r="T142" s="518"/>
      <c r="U142" s="561"/>
      <c r="V142" s="518"/>
      <c r="W142" s="444"/>
      <c r="X142" s="562"/>
      <c r="Y142" s="562"/>
      <c r="Z142" s="445"/>
      <c r="AA142" s="445"/>
      <c r="AB142" s="444"/>
      <c r="AC142" s="446"/>
      <c r="AD142" s="446"/>
      <c r="AE142" s="445"/>
      <c r="AF142" s="520"/>
      <c r="AG142" s="520"/>
      <c r="AH142" s="520"/>
      <c r="AI142" s="447"/>
      <c r="AJ142" s="448"/>
      <c r="AK142" s="448"/>
      <c r="AL142" s="522"/>
      <c r="AM142" s="522"/>
      <c r="AN142" s="522"/>
    </row>
    <row r="143" spans="1:40" x14ac:dyDescent="0.35">
      <c r="A143" s="442"/>
      <c r="B143" s="117"/>
      <c r="C143" s="117"/>
      <c r="D143" s="443"/>
      <c r="E143" s="443"/>
      <c r="F143" s="444"/>
      <c r="G143" s="444"/>
      <c r="H143" s="444"/>
      <c r="I143" s="444"/>
      <c r="J143" s="444"/>
      <c r="K143" s="444"/>
      <c r="L143" s="444"/>
      <c r="M143" s="444"/>
      <c r="N143" s="519"/>
      <c r="O143" s="444"/>
      <c r="P143" s="445"/>
      <c r="Q143" s="445"/>
      <c r="R143" s="444"/>
      <c r="S143" s="444"/>
      <c r="T143" s="518"/>
      <c r="U143" s="561"/>
      <c r="V143" s="518"/>
      <c r="W143" s="444"/>
      <c r="X143" s="562"/>
      <c r="Y143" s="562"/>
      <c r="Z143" s="445"/>
      <c r="AA143" s="445"/>
      <c r="AB143" s="444"/>
      <c r="AC143" s="446"/>
      <c r="AD143" s="446"/>
      <c r="AE143" s="445"/>
      <c r="AF143" s="520"/>
      <c r="AG143" s="520"/>
      <c r="AH143" s="520"/>
      <c r="AI143" s="447"/>
      <c r="AJ143" s="448"/>
      <c r="AK143" s="448"/>
      <c r="AL143" s="522"/>
      <c r="AM143" s="522"/>
      <c r="AN143" s="522"/>
    </row>
    <row r="144" spans="1:40" x14ac:dyDescent="0.35">
      <c r="A144" s="442"/>
      <c r="B144" s="117"/>
      <c r="C144" s="117"/>
      <c r="D144" s="443"/>
      <c r="E144" s="443"/>
      <c r="F144" s="444"/>
      <c r="G144" s="444"/>
      <c r="H144" s="444"/>
      <c r="I144" s="444"/>
      <c r="J144" s="444"/>
      <c r="K144" s="444"/>
      <c r="L144" s="444"/>
      <c r="M144" s="444"/>
      <c r="N144" s="519"/>
      <c r="O144" s="444"/>
      <c r="P144" s="445"/>
      <c r="Q144" s="445"/>
      <c r="R144" s="444"/>
      <c r="S144" s="444"/>
      <c r="T144" s="518"/>
      <c r="U144" s="561"/>
      <c r="V144" s="518"/>
      <c r="W144" s="444"/>
      <c r="X144" s="562"/>
      <c r="Y144" s="562"/>
      <c r="Z144" s="445"/>
      <c r="AA144" s="445"/>
      <c r="AB144" s="444"/>
      <c r="AC144" s="446"/>
      <c r="AD144" s="446"/>
      <c r="AE144" s="445"/>
      <c r="AF144" s="520"/>
      <c r="AG144" s="520"/>
      <c r="AH144" s="520"/>
      <c r="AI144" s="447"/>
      <c r="AJ144" s="448"/>
      <c r="AK144" s="448"/>
      <c r="AL144" s="522"/>
      <c r="AM144" s="522"/>
      <c r="AN144" s="522"/>
    </row>
    <row r="145" spans="1:40" x14ac:dyDescent="0.35">
      <c r="A145" s="442"/>
      <c r="B145" s="117"/>
      <c r="C145" s="117"/>
      <c r="D145" s="443"/>
      <c r="E145" s="443"/>
      <c r="F145" s="444"/>
      <c r="G145" s="444"/>
      <c r="H145" s="444"/>
      <c r="I145" s="444"/>
      <c r="J145" s="444"/>
      <c r="K145" s="444"/>
      <c r="L145" s="444"/>
      <c r="M145" s="444"/>
      <c r="N145" s="519"/>
      <c r="O145" s="444"/>
      <c r="P145" s="445"/>
      <c r="Q145" s="445"/>
      <c r="R145" s="444"/>
      <c r="S145" s="444"/>
      <c r="T145" s="518"/>
      <c r="U145" s="561"/>
      <c r="V145" s="518"/>
      <c r="W145" s="444"/>
      <c r="X145" s="562"/>
      <c r="Y145" s="562"/>
      <c r="Z145" s="445"/>
      <c r="AA145" s="445"/>
      <c r="AB145" s="444"/>
      <c r="AC145" s="446"/>
      <c r="AD145" s="446"/>
      <c r="AE145" s="445"/>
      <c r="AF145" s="520"/>
      <c r="AG145" s="520"/>
      <c r="AH145" s="520"/>
      <c r="AI145" s="447"/>
      <c r="AJ145" s="448"/>
      <c r="AK145" s="448"/>
      <c r="AL145" s="522"/>
      <c r="AM145" s="522"/>
      <c r="AN145" s="522"/>
    </row>
    <row r="146" spans="1:40" x14ac:dyDescent="0.35">
      <c r="A146" s="442"/>
      <c r="B146" s="117"/>
      <c r="C146" s="117"/>
      <c r="D146" s="443"/>
      <c r="E146" s="443"/>
      <c r="F146" s="444"/>
      <c r="G146" s="444"/>
      <c r="H146" s="444"/>
      <c r="I146" s="444"/>
      <c r="J146" s="444"/>
      <c r="K146" s="444"/>
      <c r="L146" s="444"/>
      <c r="M146" s="444"/>
      <c r="N146" s="519"/>
      <c r="O146" s="444"/>
      <c r="P146" s="445"/>
      <c r="Q146" s="445"/>
      <c r="R146" s="444"/>
      <c r="S146" s="444"/>
      <c r="T146" s="518"/>
      <c r="U146" s="561"/>
      <c r="V146" s="518"/>
      <c r="W146" s="444"/>
      <c r="X146" s="562"/>
      <c r="Y146" s="562"/>
      <c r="Z146" s="445"/>
      <c r="AA146" s="445"/>
      <c r="AB146" s="444"/>
      <c r="AC146" s="446"/>
      <c r="AD146" s="446"/>
      <c r="AE146" s="445"/>
      <c r="AF146" s="520"/>
      <c r="AG146" s="520"/>
      <c r="AH146" s="520"/>
      <c r="AI146" s="447"/>
      <c r="AJ146" s="448"/>
      <c r="AK146" s="448"/>
      <c r="AL146" s="522"/>
      <c r="AM146" s="522"/>
      <c r="AN146" s="522"/>
    </row>
    <row r="147" spans="1:40" x14ac:dyDescent="0.35">
      <c r="A147" s="442"/>
      <c r="B147" s="117"/>
      <c r="C147" s="117"/>
      <c r="D147" s="443"/>
      <c r="E147" s="443"/>
      <c r="F147" s="444"/>
      <c r="G147" s="444"/>
      <c r="H147" s="444"/>
      <c r="I147" s="444"/>
      <c r="J147" s="444"/>
      <c r="K147" s="444"/>
      <c r="L147" s="444"/>
      <c r="M147" s="444"/>
      <c r="N147" s="519"/>
      <c r="O147" s="444"/>
      <c r="P147" s="445"/>
      <c r="Q147" s="445"/>
      <c r="R147" s="444"/>
      <c r="S147" s="444"/>
      <c r="T147" s="518"/>
      <c r="U147" s="561"/>
      <c r="V147" s="518"/>
      <c r="W147" s="444"/>
      <c r="X147" s="562"/>
      <c r="Y147" s="562"/>
      <c r="Z147" s="445"/>
      <c r="AA147" s="445"/>
      <c r="AB147" s="444"/>
      <c r="AC147" s="446"/>
      <c r="AD147" s="446"/>
      <c r="AE147" s="445"/>
      <c r="AF147" s="520"/>
      <c r="AG147" s="520"/>
      <c r="AH147" s="520"/>
      <c r="AI147" s="447"/>
      <c r="AJ147" s="448"/>
      <c r="AK147" s="448"/>
      <c r="AL147" s="522"/>
      <c r="AM147" s="522"/>
      <c r="AN147" s="522"/>
    </row>
    <row r="148" spans="1:40" x14ac:dyDescent="0.35">
      <c r="A148" s="442"/>
      <c r="B148" s="117"/>
      <c r="C148" s="117"/>
      <c r="D148" s="443"/>
      <c r="E148" s="443"/>
      <c r="F148" s="444"/>
      <c r="G148" s="444"/>
      <c r="H148" s="444"/>
      <c r="I148" s="444"/>
      <c r="J148" s="444"/>
      <c r="K148" s="444"/>
      <c r="L148" s="444"/>
      <c r="M148" s="444"/>
      <c r="N148" s="519"/>
      <c r="O148" s="444"/>
      <c r="P148" s="445"/>
      <c r="Q148" s="445"/>
      <c r="R148" s="444"/>
      <c r="S148" s="444"/>
      <c r="T148" s="518"/>
      <c r="U148" s="561"/>
      <c r="V148" s="518"/>
      <c r="W148" s="444"/>
      <c r="X148" s="562"/>
      <c r="Y148" s="562"/>
      <c r="Z148" s="445"/>
      <c r="AA148" s="445"/>
      <c r="AB148" s="444"/>
      <c r="AC148" s="446"/>
      <c r="AD148" s="446"/>
      <c r="AE148" s="445"/>
      <c r="AF148" s="520"/>
      <c r="AG148" s="520"/>
      <c r="AH148" s="520"/>
      <c r="AI148" s="447"/>
      <c r="AJ148" s="448"/>
      <c r="AK148" s="448"/>
      <c r="AL148" s="522"/>
      <c r="AM148" s="522"/>
      <c r="AN148" s="522"/>
    </row>
    <row r="149" spans="1:40" x14ac:dyDescent="0.35">
      <c r="A149" s="442"/>
      <c r="B149" s="117"/>
      <c r="C149" s="117"/>
      <c r="D149" s="443"/>
      <c r="E149" s="443"/>
      <c r="F149" s="444"/>
      <c r="G149" s="444"/>
      <c r="H149" s="444"/>
      <c r="I149" s="444"/>
      <c r="J149" s="444"/>
      <c r="K149" s="444"/>
      <c r="L149" s="444"/>
      <c r="M149" s="444"/>
      <c r="N149" s="519"/>
      <c r="O149" s="444"/>
      <c r="P149" s="445"/>
      <c r="Q149" s="445"/>
      <c r="R149" s="444"/>
      <c r="S149" s="444"/>
      <c r="T149" s="518"/>
      <c r="U149" s="561"/>
      <c r="V149" s="518"/>
      <c r="W149" s="444"/>
      <c r="X149" s="562"/>
      <c r="Y149" s="562"/>
      <c r="Z149" s="445"/>
      <c r="AA149" s="445"/>
      <c r="AB149" s="444"/>
      <c r="AC149" s="446"/>
      <c r="AD149" s="446"/>
      <c r="AE149" s="445"/>
      <c r="AF149" s="520"/>
      <c r="AG149" s="520"/>
      <c r="AH149" s="520"/>
      <c r="AI149" s="447"/>
      <c r="AJ149" s="448"/>
      <c r="AK149" s="448"/>
      <c r="AL149" s="522"/>
      <c r="AM149" s="522"/>
      <c r="AN149" s="522"/>
    </row>
    <row r="150" spans="1:40" x14ac:dyDescent="0.35">
      <c r="A150" s="442"/>
      <c r="B150" s="117"/>
      <c r="C150" s="117"/>
      <c r="D150" s="443"/>
      <c r="E150" s="443"/>
      <c r="F150" s="444"/>
      <c r="G150" s="444"/>
      <c r="H150" s="444"/>
      <c r="I150" s="444"/>
      <c r="J150" s="444"/>
      <c r="K150" s="444"/>
      <c r="L150" s="444"/>
      <c r="M150" s="444"/>
      <c r="N150" s="519"/>
      <c r="O150" s="444"/>
      <c r="P150" s="445"/>
      <c r="Q150" s="445"/>
      <c r="R150" s="444"/>
      <c r="S150" s="444"/>
      <c r="T150" s="518"/>
      <c r="U150" s="561"/>
      <c r="V150" s="518"/>
      <c r="W150" s="444"/>
      <c r="X150" s="562"/>
      <c r="Y150" s="562"/>
      <c r="Z150" s="445"/>
      <c r="AA150" s="445"/>
      <c r="AB150" s="444"/>
      <c r="AC150" s="446"/>
      <c r="AD150" s="446"/>
      <c r="AE150" s="445"/>
      <c r="AF150" s="520"/>
      <c r="AG150" s="520"/>
      <c r="AH150" s="520"/>
      <c r="AI150" s="447"/>
      <c r="AJ150" s="448"/>
      <c r="AK150" s="448"/>
      <c r="AL150" s="522"/>
      <c r="AM150" s="522"/>
      <c r="AN150" s="522"/>
    </row>
    <row r="151" spans="1:40" x14ac:dyDescent="0.35">
      <c r="A151" s="442"/>
      <c r="B151" s="117"/>
      <c r="C151" s="117"/>
      <c r="D151" s="443"/>
      <c r="E151" s="443"/>
      <c r="F151" s="444"/>
      <c r="G151" s="444"/>
      <c r="H151" s="444"/>
      <c r="I151" s="444"/>
      <c r="J151" s="444"/>
      <c r="K151" s="444"/>
      <c r="L151" s="444"/>
      <c r="M151" s="444"/>
      <c r="N151" s="519"/>
      <c r="O151" s="444"/>
      <c r="P151" s="445"/>
      <c r="Q151" s="445"/>
      <c r="R151" s="444"/>
      <c r="S151" s="444"/>
      <c r="T151" s="518"/>
      <c r="U151" s="561"/>
      <c r="V151" s="518"/>
      <c r="W151" s="444"/>
      <c r="X151" s="562"/>
      <c r="Y151" s="562"/>
      <c r="Z151" s="445"/>
      <c r="AA151" s="445"/>
      <c r="AB151" s="444"/>
      <c r="AC151" s="446"/>
      <c r="AD151" s="446"/>
      <c r="AE151" s="445"/>
      <c r="AF151" s="520"/>
      <c r="AG151" s="520"/>
      <c r="AH151" s="520"/>
      <c r="AI151" s="447"/>
      <c r="AJ151" s="448"/>
      <c r="AK151" s="448"/>
      <c r="AL151" s="522"/>
      <c r="AM151" s="522"/>
      <c r="AN151" s="522"/>
    </row>
    <row r="152" spans="1:40" x14ac:dyDescent="0.35">
      <c r="A152" s="442"/>
      <c r="B152" s="117"/>
      <c r="C152" s="117"/>
      <c r="D152" s="443"/>
      <c r="E152" s="443"/>
      <c r="F152" s="444"/>
      <c r="G152" s="444"/>
      <c r="H152" s="444"/>
      <c r="I152" s="444"/>
      <c r="J152" s="444"/>
      <c r="K152" s="444"/>
      <c r="L152" s="444"/>
      <c r="M152" s="444"/>
      <c r="N152" s="519"/>
      <c r="O152" s="444"/>
      <c r="P152" s="445"/>
      <c r="Q152" s="445"/>
      <c r="R152" s="444"/>
      <c r="S152" s="444"/>
      <c r="T152" s="518"/>
      <c r="U152" s="561"/>
      <c r="V152" s="518"/>
      <c r="W152" s="444"/>
      <c r="X152" s="562"/>
      <c r="Y152" s="562"/>
      <c r="Z152" s="445"/>
      <c r="AA152" s="445"/>
      <c r="AB152" s="444"/>
      <c r="AC152" s="446"/>
      <c r="AD152" s="446"/>
      <c r="AE152" s="445"/>
      <c r="AF152" s="520"/>
      <c r="AG152" s="520"/>
      <c r="AH152" s="520"/>
      <c r="AI152" s="447"/>
      <c r="AJ152" s="448"/>
      <c r="AK152" s="448"/>
      <c r="AL152" s="522"/>
      <c r="AM152" s="522"/>
      <c r="AN152" s="522"/>
    </row>
    <row r="153" spans="1:40" x14ac:dyDescent="0.35">
      <c r="A153" s="442"/>
      <c r="B153" s="117"/>
      <c r="C153" s="117"/>
      <c r="D153" s="443"/>
      <c r="E153" s="443"/>
      <c r="F153" s="444"/>
      <c r="G153" s="444"/>
      <c r="H153" s="444"/>
      <c r="I153" s="444"/>
      <c r="J153" s="444"/>
      <c r="K153" s="444"/>
      <c r="L153" s="444"/>
      <c r="M153" s="444"/>
      <c r="N153" s="519"/>
      <c r="O153" s="444"/>
      <c r="P153" s="445"/>
      <c r="Q153" s="445"/>
      <c r="R153" s="444"/>
      <c r="S153" s="444"/>
      <c r="T153" s="518"/>
      <c r="U153" s="561"/>
      <c r="V153" s="518"/>
      <c r="W153" s="444"/>
      <c r="X153" s="562"/>
      <c r="Y153" s="562"/>
      <c r="Z153" s="445"/>
      <c r="AA153" s="445"/>
      <c r="AB153" s="444"/>
      <c r="AC153" s="446"/>
      <c r="AD153" s="446"/>
      <c r="AE153" s="445"/>
      <c r="AF153" s="520"/>
      <c r="AG153" s="520"/>
      <c r="AH153" s="520"/>
      <c r="AI153" s="447"/>
      <c r="AJ153" s="448"/>
      <c r="AK153" s="448"/>
      <c r="AL153" s="522"/>
      <c r="AM153" s="522"/>
      <c r="AN153" s="522"/>
    </row>
    <row r="154" spans="1:40" x14ac:dyDescent="0.35">
      <c r="A154" s="442"/>
      <c r="B154" s="117"/>
      <c r="C154" s="117"/>
      <c r="D154" s="443"/>
      <c r="E154" s="443"/>
      <c r="F154" s="444"/>
      <c r="G154" s="444"/>
      <c r="H154" s="444"/>
      <c r="I154" s="444"/>
      <c r="J154" s="444"/>
      <c r="K154" s="444"/>
      <c r="L154" s="444"/>
      <c r="M154" s="444"/>
      <c r="N154" s="519"/>
      <c r="O154" s="444"/>
      <c r="P154" s="445"/>
      <c r="Q154" s="445"/>
      <c r="R154" s="444"/>
      <c r="S154" s="444"/>
      <c r="T154" s="518"/>
      <c r="U154" s="561"/>
      <c r="V154" s="518"/>
      <c r="W154" s="444"/>
      <c r="X154" s="562"/>
      <c r="Y154" s="562"/>
      <c r="Z154" s="445"/>
      <c r="AA154" s="445"/>
      <c r="AB154" s="444"/>
      <c r="AC154" s="446"/>
      <c r="AD154" s="446"/>
      <c r="AE154" s="445"/>
      <c r="AF154" s="520"/>
      <c r="AG154" s="520"/>
      <c r="AH154" s="520"/>
      <c r="AI154" s="447"/>
      <c r="AJ154" s="448"/>
      <c r="AK154" s="448"/>
      <c r="AL154" s="522"/>
      <c r="AM154" s="522"/>
      <c r="AN154" s="522"/>
    </row>
    <row r="155" spans="1:40" x14ac:dyDescent="0.35">
      <c r="A155" s="442"/>
      <c r="B155" s="117"/>
      <c r="C155" s="117"/>
      <c r="D155" s="443"/>
      <c r="E155" s="443"/>
      <c r="F155" s="444"/>
      <c r="G155" s="444"/>
      <c r="H155" s="444"/>
      <c r="I155" s="444"/>
      <c r="J155" s="444"/>
      <c r="K155" s="444"/>
      <c r="L155" s="444"/>
      <c r="M155" s="444"/>
      <c r="N155" s="519"/>
      <c r="O155" s="444"/>
      <c r="P155" s="445"/>
      <c r="Q155" s="445"/>
      <c r="R155" s="444"/>
      <c r="S155" s="444"/>
      <c r="T155" s="518"/>
      <c r="U155" s="561"/>
      <c r="V155" s="518"/>
      <c r="W155" s="444"/>
      <c r="X155" s="562"/>
      <c r="Y155" s="562"/>
      <c r="Z155" s="445"/>
      <c r="AA155" s="445"/>
      <c r="AB155" s="444"/>
      <c r="AC155" s="446"/>
      <c r="AD155" s="446"/>
      <c r="AE155" s="445"/>
      <c r="AF155" s="520"/>
      <c r="AG155" s="520"/>
      <c r="AH155" s="520"/>
      <c r="AI155" s="447"/>
      <c r="AJ155" s="448"/>
      <c r="AK155" s="448"/>
      <c r="AL155" s="522"/>
      <c r="AM155" s="522"/>
      <c r="AN155" s="522"/>
    </row>
    <row r="156" spans="1:40" x14ac:dyDescent="0.35">
      <c r="A156" s="442"/>
      <c r="B156" s="117"/>
      <c r="C156" s="117"/>
      <c r="D156" s="443"/>
      <c r="E156" s="443"/>
      <c r="F156" s="444"/>
      <c r="G156" s="444"/>
      <c r="H156" s="444"/>
      <c r="I156" s="444"/>
      <c r="J156" s="444"/>
      <c r="K156" s="444"/>
      <c r="L156" s="444"/>
      <c r="M156" s="444"/>
      <c r="N156" s="519"/>
      <c r="O156" s="444"/>
      <c r="P156" s="445"/>
      <c r="Q156" s="445"/>
      <c r="R156" s="444"/>
      <c r="S156" s="444"/>
      <c r="T156" s="518"/>
      <c r="U156" s="561"/>
      <c r="V156" s="518"/>
      <c r="W156" s="444"/>
      <c r="X156" s="562"/>
      <c r="Y156" s="562"/>
      <c r="Z156" s="445"/>
      <c r="AA156" s="445"/>
      <c r="AB156" s="444"/>
      <c r="AC156" s="446"/>
      <c r="AD156" s="446"/>
      <c r="AE156" s="445"/>
      <c r="AF156" s="520"/>
      <c r="AG156" s="520"/>
      <c r="AH156" s="520"/>
      <c r="AI156" s="447"/>
      <c r="AJ156" s="448"/>
      <c r="AK156" s="448"/>
      <c r="AL156" s="522"/>
      <c r="AM156" s="522"/>
      <c r="AN156" s="522"/>
    </row>
    <row r="157" spans="1:40" x14ac:dyDescent="0.35">
      <c r="A157" s="442"/>
      <c r="B157" s="117"/>
      <c r="C157" s="117"/>
      <c r="D157" s="443"/>
      <c r="E157" s="443"/>
      <c r="F157" s="444"/>
      <c r="G157" s="444"/>
      <c r="H157" s="444"/>
      <c r="I157" s="444"/>
      <c r="J157" s="444"/>
      <c r="K157" s="444"/>
      <c r="L157" s="444"/>
      <c r="M157" s="444"/>
      <c r="N157" s="519"/>
      <c r="O157" s="444"/>
      <c r="P157" s="445"/>
      <c r="Q157" s="445"/>
      <c r="R157" s="444"/>
      <c r="S157" s="444"/>
      <c r="T157" s="518"/>
      <c r="U157" s="561"/>
      <c r="V157" s="518"/>
      <c r="W157" s="444"/>
      <c r="X157" s="562"/>
      <c r="Y157" s="562"/>
      <c r="Z157" s="445"/>
      <c r="AA157" s="445"/>
      <c r="AB157" s="444"/>
      <c r="AC157" s="446"/>
      <c r="AD157" s="446"/>
      <c r="AE157" s="445"/>
      <c r="AF157" s="520"/>
      <c r="AG157" s="520"/>
      <c r="AH157" s="520"/>
      <c r="AI157" s="447"/>
      <c r="AJ157" s="448"/>
      <c r="AK157" s="448"/>
      <c r="AL157" s="522"/>
      <c r="AM157" s="522"/>
      <c r="AN157" s="522"/>
    </row>
    <row r="158" spans="1:40" x14ac:dyDescent="0.35">
      <c r="A158" s="442"/>
      <c r="B158" s="117"/>
      <c r="C158" s="117"/>
      <c r="D158" s="443"/>
      <c r="E158" s="443"/>
      <c r="F158" s="444"/>
      <c r="G158" s="444"/>
      <c r="H158" s="444"/>
      <c r="I158" s="444"/>
      <c r="J158" s="444"/>
      <c r="K158" s="444"/>
      <c r="L158" s="444"/>
      <c r="M158" s="444"/>
      <c r="N158" s="519"/>
      <c r="O158" s="444"/>
      <c r="P158" s="445"/>
      <c r="Q158" s="445"/>
      <c r="R158" s="444"/>
      <c r="S158" s="444"/>
      <c r="T158" s="518"/>
      <c r="U158" s="561"/>
      <c r="V158" s="518"/>
      <c r="W158" s="444"/>
      <c r="X158" s="562"/>
      <c r="Y158" s="562"/>
      <c r="Z158" s="445"/>
      <c r="AA158" s="445"/>
      <c r="AB158" s="444"/>
      <c r="AC158" s="446"/>
      <c r="AD158" s="446"/>
      <c r="AE158" s="445"/>
      <c r="AF158" s="520"/>
      <c r="AG158" s="520"/>
      <c r="AH158" s="520"/>
      <c r="AI158" s="447"/>
      <c r="AJ158" s="448"/>
      <c r="AK158" s="448"/>
      <c r="AL158" s="522"/>
      <c r="AM158" s="522"/>
      <c r="AN158" s="522"/>
    </row>
    <row r="159" spans="1:40" x14ac:dyDescent="0.35">
      <c r="A159" s="442"/>
      <c r="B159" s="117"/>
      <c r="C159" s="117"/>
      <c r="D159" s="443"/>
      <c r="E159" s="443"/>
      <c r="F159" s="444"/>
      <c r="G159" s="444"/>
      <c r="H159" s="444"/>
      <c r="I159" s="444"/>
      <c r="J159" s="444"/>
      <c r="K159" s="444"/>
      <c r="L159" s="444"/>
      <c r="M159" s="444"/>
      <c r="N159" s="519"/>
      <c r="O159" s="444"/>
      <c r="P159" s="445"/>
      <c r="Q159" s="445"/>
      <c r="R159" s="444"/>
      <c r="S159" s="444"/>
      <c r="T159" s="518"/>
      <c r="U159" s="561"/>
      <c r="V159" s="518"/>
      <c r="W159" s="444"/>
      <c r="X159" s="562"/>
      <c r="Y159" s="562"/>
      <c r="Z159" s="445"/>
      <c r="AA159" s="445"/>
      <c r="AB159" s="444"/>
      <c r="AC159" s="446"/>
      <c r="AD159" s="446"/>
      <c r="AE159" s="445"/>
      <c r="AF159" s="520"/>
      <c r="AG159" s="520"/>
      <c r="AH159" s="520"/>
      <c r="AI159" s="447"/>
      <c r="AJ159" s="448"/>
      <c r="AK159" s="448"/>
      <c r="AL159" s="522"/>
      <c r="AM159" s="522"/>
      <c r="AN159" s="522"/>
    </row>
    <row r="160" spans="1:40" x14ac:dyDescent="0.35">
      <c r="A160" s="442"/>
      <c r="B160" s="117"/>
      <c r="C160" s="117"/>
      <c r="D160" s="443"/>
      <c r="E160" s="443"/>
      <c r="F160" s="444"/>
      <c r="G160" s="444"/>
      <c r="H160" s="444"/>
      <c r="I160" s="444"/>
      <c r="J160" s="444"/>
      <c r="K160" s="444"/>
      <c r="L160" s="444"/>
      <c r="M160" s="444"/>
      <c r="N160" s="519"/>
      <c r="O160" s="444"/>
      <c r="P160" s="445"/>
      <c r="Q160" s="445"/>
      <c r="R160" s="444"/>
      <c r="S160" s="444"/>
      <c r="T160" s="518"/>
      <c r="U160" s="561"/>
      <c r="V160" s="518"/>
      <c r="W160" s="444"/>
      <c r="X160" s="562"/>
      <c r="Y160" s="562"/>
      <c r="Z160" s="445"/>
      <c r="AA160" s="445"/>
      <c r="AB160" s="444"/>
      <c r="AC160" s="446"/>
      <c r="AD160" s="446"/>
      <c r="AE160" s="445"/>
      <c r="AF160" s="520"/>
      <c r="AG160" s="520"/>
      <c r="AH160" s="520"/>
      <c r="AI160" s="447"/>
      <c r="AJ160" s="448"/>
      <c r="AK160" s="448"/>
      <c r="AL160" s="522"/>
      <c r="AM160" s="522"/>
      <c r="AN160" s="522"/>
    </row>
    <row r="161" spans="1:40" x14ac:dyDescent="0.35">
      <c r="A161" s="442"/>
      <c r="B161" s="117"/>
      <c r="C161" s="117"/>
      <c r="D161" s="443"/>
      <c r="E161" s="443"/>
      <c r="F161" s="444"/>
      <c r="G161" s="444"/>
      <c r="H161" s="444"/>
      <c r="I161" s="444"/>
      <c r="J161" s="444"/>
      <c r="K161" s="444"/>
      <c r="L161" s="444"/>
      <c r="M161" s="444"/>
      <c r="N161" s="519"/>
      <c r="O161" s="444"/>
      <c r="P161" s="445"/>
      <c r="Q161" s="445"/>
      <c r="R161" s="444"/>
      <c r="S161" s="444"/>
      <c r="T161" s="518"/>
      <c r="U161" s="561"/>
      <c r="V161" s="518"/>
      <c r="W161" s="444"/>
      <c r="X161" s="562"/>
      <c r="Y161" s="562"/>
      <c r="Z161" s="445"/>
      <c r="AA161" s="445"/>
      <c r="AB161" s="444"/>
      <c r="AC161" s="446"/>
      <c r="AD161" s="446"/>
      <c r="AE161" s="445"/>
      <c r="AF161" s="520"/>
      <c r="AG161" s="520"/>
      <c r="AH161" s="520"/>
      <c r="AI161" s="447"/>
      <c r="AJ161" s="448"/>
      <c r="AK161" s="448"/>
      <c r="AL161" s="522"/>
      <c r="AM161" s="522"/>
      <c r="AN161" s="522"/>
    </row>
    <row r="162" spans="1:40" x14ac:dyDescent="0.35">
      <c r="A162" s="442"/>
      <c r="B162" s="117"/>
      <c r="C162" s="117"/>
      <c r="D162" s="443"/>
      <c r="E162" s="443"/>
      <c r="F162" s="444"/>
      <c r="G162" s="444"/>
      <c r="H162" s="444"/>
      <c r="I162" s="444"/>
      <c r="J162" s="444"/>
      <c r="K162" s="444"/>
      <c r="L162" s="444"/>
      <c r="M162" s="444"/>
      <c r="N162" s="519"/>
      <c r="O162" s="444"/>
      <c r="P162" s="445"/>
      <c r="Q162" s="445"/>
      <c r="R162" s="444"/>
      <c r="S162" s="444"/>
      <c r="T162" s="518"/>
      <c r="U162" s="561"/>
      <c r="V162" s="518"/>
      <c r="W162" s="444"/>
      <c r="X162" s="562"/>
      <c r="Y162" s="562"/>
      <c r="Z162" s="445"/>
      <c r="AA162" s="445"/>
      <c r="AB162" s="444"/>
      <c r="AC162" s="446"/>
      <c r="AD162" s="446"/>
      <c r="AE162" s="445"/>
      <c r="AF162" s="520"/>
      <c r="AG162" s="520"/>
      <c r="AH162" s="520"/>
      <c r="AI162" s="447"/>
      <c r="AJ162" s="448"/>
      <c r="AK162" s="448"/>
      <c r="AL162" s="522"/>
      <c r="AM162" s="522"/>
      <c r="AN162" s="522"/>
    </row>
    <row r="163" spans="1:40" x14ac:dyDescent="0.35">
      <c r="A163" s="442"/>
      <c r="B163" s="117"/>
      <c r="C163" s="117"/>
      <c r="D163" s="443"/>
      <c r="E163" s="443"/>
      <c r="F163" s="444"/>
      <c r="G163" s="444"/>
      <c r="H163" s="444"/>
      <c r="I163" s="444"/>
      <c r="J163" s="444"/>
      <c r="K163" s="444"/>
      <c r="L163" s="444"/>
      <c r="M163" s="444"/>
      <c r="N163" s="519"/>
      <c r="O163" s="444"/>
      <c r="P163" s="445"/>
      <c r="Q163" s="445"/>
      <c r="R163" s="444"/>
      <c r="S163" s="444"/>
      <c r="T163" s="518"/>
      <c r="U163" s="561"/>
      <c r="V163" s="518"/>
      <c r="W163" s="444"/>
      <c r="X163" s="562"/>
      <c r="Y163" s="562"/>
      <c r="Z163" s="445"/>
      <c r="AA163" s="445"/>
      <c r="AB163" s="444"/>
      <c r="AC163" s="446"/>
      <c r="AD163" s="446"/>
      <c r="AE163" s="445"/>
      <c r="AF163" s="520"/>
      <c r="AG163" s="520"/>
      <c r="AH163" s="520"/>
      <c r="AI163" s="447"/>
      <c r="AJ163" s="448"/>
      <c r="AK163" s="448"/>
      <c r="AL163" s="522"/>
      <c r="AM163" s="522"/>
      <c r="AN163" s="522"/>
    </row>
    <row r="164" spans="1:40" x14ac:dyDescent="0.35">
      <c r="A164" s="442"/>
      <c r="B164" s="117"/>
      <c r="C164" s="117"/>
      <c r="D164" s="443"/>
      <c r="E164" s="443"/>
      <c r="F164" s="444"/>
      <c r="G164" s="444"/>
      <c r="H164" s="444"/>
      <c r="I164" s="444"/>
      <c r="J164" s="444"/>
      <c r="K164" s="444"/>
      <c r="L164" s="444"/>
      <c r="M164" s="444"/>
      <c r="N164" s="519"/>
      <c r="O164" s="444"/>
      <c r="P164" s="445"/>
      <c r="Q164" s="445"/>
      <c r="R164" s="444"/>
      <c r="S164" s="444"/>
      <c r="T164" s="518"/>
      <c r="U164" s="561"/>
      <c r="V164" s="518"/>
      <c r="W164" s="444"/>
      <c r="X164" s="562"/>
      <c r="Y164" s="562"/>
      <c r="Z164" s="445"/>
      <c r="AA164" s="445"/>
      <c r="AB164" s="444"/>
      <c r="AC164" s="446"/>
      <c r="AD164" s="446"/>
      <c r="AE164" s="445"/>
      <c r="AF164" s="520"/>
      <c r="AG164" s="520"/>
      <c r="AH164" s="520"/>
      <c r="AI164" s="447"/>
      <c r="AJ164" s="448"/>
      <c r="AK164" s="448"/>
      <c r="AL164" s="522"/>
      <c r="AM164" s="522"/>
      <c r="AN164" s="522"/>
    </row>
    <row r="165" spans="1:40" x14ac:dyDescent="0.35">
      <c r="A165" s="442"/>
      <c r="B165" s="117"/>
      <c r="C165" s="117"/>
      <c r="D165" s="443"/>
      <c r="E165" s="443"/>
      <c r="F165" s="444"/>
      <c r="G165" s="444"/>
      <c r="H165" s="444"/>
      <c r="I165" s="444"/>
      <c r="J165" s="444"/>
      <c r="K165" s="444"/>
      <c r="L165" s="444"/>
      <c r="M165" s="444"/>
      <c r="N165" s="519"/>
      <c r="O165" s="444"/>
      <c r="P165" s="445"/>
      <c r="Q165" s="445"/>
      <c r="R165" s="444"/>
      <c r="S165" s="444"/>
      <c r="T165" s="518"/>
      <c r="U165" s="561"/>
      <c r="V165" s="518"/>
      <c r="W165" s="444"/>
      <c r="X165" s="562"/>
      <c r="Y165" s="562"/>
      <c r="Z165" s="445"/>
      <c r="AA165" s="445"/>
      <c r="AB165" s="444"/>
      <c r="AC165" s="446"/>
      <c r="AD165" s="446"/>
      <c r="AE165" s="445"/>
      <c r="AF165" s="520"/>
      <c r="AG165" s="520"/>
      <c r="AH165" s="520"/>
      <c r="AI165" s="447"/>
      <c r="AJ165" s="448"/>
      <c r="AK165" s="448"/>
      <c r="AL165" s="522"/>
      <c r="AM165" s="522"/>
      <c r="AN165" s="522"/>
    </row>
    <row r="166" spans="1:40" x14ac:dyDescent="0.35">
      <c r="A166" s="442"/>
      <c r="B166" s="117"/>
      <c r="C166" s="117"/>
      <c r="D166" s="443"/>
      <c r="E166" s="443"/>
      <c r="F166" s="444"/>
      <c r="G166" s="444"/>
      <c r="H166" s="444"/>
      <c r="I166" s="444"/>
      <c r="J166" s="444"/>
      <c r="K166" s="444"/>
      <c r="L166" s="444"/>
      <c r="M166" s="444"/>
      <c r="N166" s="519"/>
      <c r="O166" s="444"/>
      <c r="P166" s="445"/>
      <c r="Q166" s="445"/>
      <c r="R166" s="444"/>
      <c r="S166" s="444"/>
      <c r="T166" s="518"/>
      <c r="U166" s="561"/>
      <c r="V166" s="518"/>
      <c r="W166" s="444"/>
      <c r="X166" s="562"/>
      <c r="Y166" s="562"/>
      <c r="Z166" s="445"/>
      <c r="AA166" s="445"/>
      <c r="AB166" s="444"/>
      <c r="AC166" s="446"/>
      <c r="AD166" s="446"/>
      <c r="AE166" s="445"/>
      <c r="AF166" s="520"/>
      <c r="AG166" s="520"/>
      <c r="AH166" s="520"/>
      <c r="AI166" s="447"/>
      <c r="AJ166" s="448"/>
      <c r="AK166" s="448"/>
      <c r="AL166" s="522"/>
      <c r="AM166" s="522"/>
      <c r="AN166" s="522"/>
    </row>
    <row r="167" spans="1:40" x14ac:dyDescent="0.35">
      <c r="A167" s="442"/>
      <c r="B167" s="117"/>
      <c r="C167" s="117"/>
      <c r="D167" s="443"/>
      <c r="E167" s="443"/>
      <c r="F167" s="444"/>
      <c r="G167" s="444"/>
      <c r="H167" s="444"/>
      <c r="I167" s="444"/>
      <c r="J167" s="444"/>
      <c r="K167" s="444"/>
      <c r="L167" s="444"/>
      <c r="M167" s="444"/>
      <c r="N167" s="519"/>
      <c r="O167" s="444"/>
      <c r="P167" s="445"/>
      <c r="Q167" s="445"/>
      <c r="R167" s="444"/>
      <c r="S167" s="444"/>
      <c r="T167" s="518"/>
      <c r="U167" s="561"/>
      <c r="V167" s="518"/>
      <c r="W167" s="444"/>
      <c r="X167" s="562"/>
      <c r="Y167" s="562"/>
      <c r="Z167" s="445"/>
      <c r="AA167" s="445"/>
      <c r="AB167" s="444"/>
      <c r="AC167" s="446"/>
      <c r="AD167" s="446"/>
      <c r="AE167" s="445"/>
      <c r="AF167" s="520"/>
      <c r="AG167" s="520"/>
      <c r="AH167" s="520"/>
      <c r="AI167" s="447"/>
      <c r="AJ167" s="448"/>
      <c r="AK167" s="448"/>
      <c r="AL167" s="522"/>
      <c r="AM167" s="522"/>
      <c r="AN167" s="522"/>
    </row>
    <row r="168" spans="1:40" x14ac:dyDescent="0.35">
      <c r="A168" s="442"/>
      <c r="B168" s="117"/>
      <c r="C168" s="117"/>
      <c r="D168" s="443"/>
      <c r="E168" s="443"/>
      <c r="F168" s="444"/>
      <c r="G168" s="444"/>
      <c r="H168" s="444"/>
      <c r="I168" s="444"/>
      <c r="J168" s="444"/>
      <c r="K168" s="444"/>
      <c r="L168" s="444"/>
      <c r="M168" s="444"/>
      <c r="N168" s="519"/>
      <c r="O168" s="444"/>
      <c r="P168" s="445"/>
      <c r="Q168" s="445"/>
      <c r="R168" s="444"/>
      <c r="S168" s="444"/>
      <c r="T168" s="518"/>
      <c r="U168" s="561"/>
      <c r="V168" s="518"/>
      <c r="W168" s="444"/>
      <c r="X168" s="562"/>
      <c r="Y168" s="562"/>
      <c r="Z168" s="445"/>
      <c r="AA168" s="445"/>
      <c r="AB168" s="444"/>
      <c r="AC168" s="446"/>
      <c r="AD168" s="446"/>
      <c r="AE168" s="445"/>
      <c r="AF168" s="520"/>
      <c r="AG168" s="520"/>
      <c r="AH168" s="520"/>
      <c r="AI168" s="447"/>
      <c r="AJ168" s="448"/>
      <c r="AK168" s="448"/>
      <c r="AL168" s="522"/>
      <c r="AM168" s="522"/>
      <c r="AN168" s="522"/>
    </row>
    <row r="169" spans="1:40" x14ac:dyDescent="0.35">
      <c r="A169" s="442"/>
      <c r="B169" s="117"/>
      <c r="C169" s="117"/>
      <c r="D169" s="443"/>
      <c r="E169" s="443"/>
      <c r="F169" s="444"/>
      <c r="G169" s="444"/>
      <c r="H169" s="444"/>
      <c r="I169" s="444"/>
      <c r="J169" s="444"/>
      <c r="K169" s="444"/>
      <c r="L169" s="444"/>
      <c r="M169" s="444"/>
      <c r="N169" s="519"/>
      <c r="O169" s="444"/>
      <c r="P169" s="445"/>
      <c r="Q169" s="445"/>
      <c r="R169" s="444"/>
      <c r="S169" s="444"/>
      <c r="T169" s="518"/>
      <c r="U169" s="561"/>
      <c r="V169" s="518"/>
      <c r="W169" s="444"/>
      <c r="X169" s="562"/>
      <c r="Y169" s="562"/>
      <c r="Z169" s="445"/>
      <c r="AA169" s="445"/>
      <c r="AB169" s="444"/>
      <c r="AC169" s="446"/>
      <c r="AD169" s="446"/>
      <c r="AE169" s="445"/>
      <c r="AF169" s="520"/>
      <c r="AG169" s="520"/>
      <c r="AH169" s="520"/>
      <c r="AI169" s="447"/>
      <c r="AJ169" s="448"/>
      <c r="AK169" s="448"/>
      <c r="AL169" s="522"/>
      <c r="AM169" s="522"/>
      <c r="AN169" s="522"/>
    </row>
    <row r="170" spans="1:40" x14ac:dyDescent="0.35">
      <c r="A170" s="442"/>
      <c r="B170" s="117"/>
      <c r="C170" s="117"/>
      <c r="D170" s="443"/>
      <c r="E170" s="443"/>
      <c r="F170" s="444"/>
      <c r="G170" s="444"/>
      <c r="H170" s="444"/>
      <c r="I170" s="444"/>
      <c r="J170" s="444"/>
      <c r="K170" s="444"/>
      <c r="L170" s="444"/>
      <c r="M170" s="444"/>
      <c r="N170" s="519"/>
      <c r="O170" s="444"/>
      <c r="P170" s="445"/>
      <c r="Q170" s="445"/>
      <c r="R170" s="444"/>
      <c r="S170" s="444"/>
      <c r="T170" s="518"/>
      <c r="U170" s="561"/>
      <c r="V170" s="518"/>
      <c r="W170" s="444"/>
      <c r="X170" s="562"/>
      <c r="Y170" s="562"/>
      <c r="Z170" s="445"/>
      <c r="AA170" s="445"/>
      <c r="AB170" s="444"/>
      <c r="AC170" s="446"/>
      <c r="AD170" s="446"/>
      <c r="AE170" s="445"/>
      <c r="AF170" s="520"/>
      <c r="AG170" s="520"/>
      <c r="AH170" s="520"/>
      <c r="AI170" s="447"/>
      <c r="AJ170" s="448"/>
      <c r="AK170" s="448"/>
      <c r="AL170" s="522"/>
      <c r="AM170" s="522"/>
      <c r="AN170" s="522"/>
    </row>
    <row r="171" spans="1:40" x14ac:dyDescent="0.35">
      <c r="A171" s="442"/>
      <c r="B171" s="117"/>
      <c r="C171" s="117"/>
      <c r="D171" s="443"/>
      <c r="E171" s="443"/>
      <c r="F171" s="444"/>
      <c r="G171" s="444"/>
      <c r="H171" s="444"/>
      <c r="I171" s="444"/>
      <c r="J171" s="444"/>
      <c r="K171" s="444"/>
      <c r="L171" s="444"/>
      <c r="M171" s="444"/>
      <c r="N171" s="519"/>
      <c r="O171" s="444"/>
      <c r="P171" s="445"/>
      <c r="Q171" s="445"/>
      <c r="R171" s="444"/>
      <c r="S171" s="444"/>
      <c r="T171" s="518"/>
      <c r="U171" s="561"/>
      <c r="V171" s="518"/>
      <c r="W171" s="444"/>
      <c r="X171" s="562"/>
      <c r="Y171" s="562"/>
      <c r="Z171" s="445"/>
      <c r="AA171" s="445"/>
      <c r="AB171" s="444"/>
      <c r="AC171" s="446"/>
      <c r="AD171" s="446"/>
      <c r="AE171" s="445"/>
      <c r="AF171" s="520"/>
      <c r="AG171" s="520"/>
      <c r="AH171" s="520"/>
      <c r="AI171" s="447"/>
      <c r="AJ171" s="448"/>
      <c r="AK171" s="448"/>
      <c r="AL171" s="522"/>
      <c r="AM171" s="522"/>
      <c r="AN171" s="522"/>
    </row>
    <row r="172" spans="1:40" x14ac:dyDescent="0.35">
      <c r="A172" s="442"/>
      <c r="B172" s="117"/>
      <c r="C172" s="117"/>
      <c r="D172" s="443"/>
      <c r="E172" s="443"/>
      <c r="F172" s="444"/>
      <c r="G172" s="444"/>
      <c r="H172" s="444"/>
      <c r="I172" s="444"/>
      <c r="J172" s="444"/>
      <c r="K172" s="444"/>
      <c r="L172" s="444"/>
      <c r="M172" s="444"/>
      <c r="N172" s="519"/>
      <c r="O172" s="444"/>
      <c r="P172" s="445"/>
      <c r="Q172" s="445"/>
      <c r="R172" s="444"/>
      <c r="S172" s="444"/>
      <c r="T172" s="518"/>
      <c r="U172" s="561"/>
      <c r="V172" s="518"/>
      <c r="W172" s="444"/>
      <c r="X172" s="562"/>
      <c r="Y172" s="562"/>
      <c r="Z172" s="445"/>
      <c r="AA172" s="445"/>
      <c r="AB172" s="444"/>
      <c r="AC172" s="446"/>
      <c r="AD172" s="446"/>
      <c r="AE172" s="445"/>
      <c r="AF172" s="520"/>
      <c r="AG172" s="520"/>
      <c r="AH172" s="520"/>
      <c r="AI172" s="447"/>
      <c r="AJ172" s="448"/>
      <c r="AK172" s="448"/>
      <c r="AL172" s="522"/>
      <c r="AM172" s="522"/>
      <c r="AN172" s="522"/>
    </row>
    <row r="173" spans="1:40" x14ac:dyDescent="0.35">
      <c r="A173" s="442"/>
      <c r="B173" s="117"/>
      <c r="C173" s="117"/>
      <c r="D173" s="443"/>
      <c r="E173" s="443"/>
      <c r="F173" s="444"/>
      <c r="G173" s="444"/>
      <c r="H173" s="444"/>
      <c r="I173" s="444"/>
      <c r="J173" s="444"/>
      <c r="K173" s="444"/>
      <c r="L173" s="444"/>
      <c r="M173" s="444"/>
      <c r="N173" s="519"/>
      <c r="O173" s="444"/>
      <c r="P173" s="445"/>
      <c r="Q173" s="445"/>
      <c r="R173" s="444"/>
      <c r="S173" s="444"/>
      <c r="T173" s="518"/>
      <c r="U173" s="561"/>
      <c r="V173" s="518"/>
      <c r="W173" s="444"/>
      <c r="X173" s="562"/>
      <c r="Y173" s="562"/>
      <c r="Z173" s="445"/>
      <c r="AA173" s="445"/>
      <c r="AB173" s="444"/>
      <c r="AC173" s="446"/>
      <c r="AD173" s="446"/>
      <c r="AE173" s="445"/>
      <c r="AF173" s="520"/>
      <c r="AG173" s="520"/>
      <c r="AH173" s="520"/>
      <c r="AI173" s="447"/>
      <c r="AJ173" s="448"/>
      <c r="AK173" s="448"/>
      <c r="AL173" s="522"/>
      <c r="AM173" s="522"/>
      <c r="AN173" s="522"/>
    </row>
    <row r="174" spans="1:40" x14ac:dyDescent="0.35">
      <c r="A174" s="442"/>
      <c r="B174" s="117"/>
      <c r="C174" s="117"/>
      <c r="D174" s="443"/>
      <c r="E174" s="443"/>
      <c r="F174" s="444"/>
      <c r="G174" s="444"/>
      <c r="H174" s="444"/>
      <c r="I174" s="444"/>
      <c r="J174" s="444"/>
      <c r="K174" s="444"/>
      <c r="L174" s="444"/>
      <c r="M174" s="444"/>
      <c r="N174" s="519"/>
      <c r="O174" s="444"/>
      <c r="P174" s="445"/>
      <c r="Q174" s="445"/>
      <c r="R174" s="444"/>
      <c r="S174" s="444"/>
      <c r="T174" s="518"/>
      <c r="U174" s="561"/>
      <c r="V174" s="518"/>
      <c r="W174" s="444"/>
      <c r="X174" s="562"/>
      <c r="Y174" s="562"/>
      <c r="Z174" s="445"/>
      <c r="AA174" s="445"/>
      <c r="AB174" s="444"/>
      <c r="AC174" s="446"/>
      <c r="AD174" s="446"/>
      <c r="AE174" s="445"/>
      <c r="AF174" s="520"/>
      <c r="AG174" s="520"/>
      <c r="AH174" s="520"/>
      <c r="AI174" s="447"/>
      <c r="AJ174" s="448"/>
      <c r="AK174" s="448"/>
      <c r="AL174" s="522"/>
      <c r="AM174" s="522"/>
      <c r="AN174" s="522"/>
    </row>
    <row r="175" spans="1:40" x14ac:dyDescent="0.35">
      <c r="A175" s="442"/>
      <c r="B175" s="117"/>
      <c r="C175" s="117"/>
      <c r="D175" s="443"/>
      <c r="E175" s="443"/>
      <c r="F175" s="444"/>
      <c r="G175" s="444"/>
      <c r="H175" s="444"/>
      <c r="I175" s="444"/>
      <c r="J175" s="444"/>
      <c r="K175" s="444"/>
      <c r="L175" s="444"/>
      <c r="M175" s="444"/>
      <c r="N175" s="519"/>
      <c r="O175" s="444"/>
      <c r="P175" s="445"/>
      <c r="Q175" s="445"/>
      <c r="R175" s="444"/>
      <c r="S175" s="444"/>
      <c r="T175" s="518"/>
      <c r="U175" s="561"/>
      <c r="V175" s="518"/>
      <c r="W175" s="444"/>
      <c r="X175" s="562"/>
      <c r="Y175" s="562"/>
      <c r="Z175" s="445"/>
      <c r="AA175" s="445"/>
      <c r="AB175" s="444"/>
      <c r="AC175" s="446"/>
      <c r="AD175" s="446"/>
      <c r="AE175" s="445"/>
      <c r="AF175" s="520"/>
      <c r="AG175" s="520"/>
      <c r="AH175" s="520"/>
      <c r="AI175" s="447"/>
      <c r="AJ175" s="448"/>
      <c r="AK175" s="448"/>
      <c r="AL175" s="522"/>
      <c r="AM175" s="522"/>
      <c r="AN175" s="522"/>
    </row>
    <row r="176" spans="1:40" x14ac:dyDescent="0.35">
      <c r="A176" s="442"/>
      <c r="B176" s="117"/>
      <c r="C176" s="117"/>
      <c r="D176" s="443"/>
      <c r="E176" s="443"/>
      <c r="F176" s="444"/>
      <c r="G176" s="444"/>
      <c r="H176" s="444"/>
      <c r="I176" s="444"/>
      <c r="J176" s="444"/>
      <c r="K176" s="444"/>
      <c r="L176" s="444"/>
      <c r="M176" s="444"/>
      <c r="N176" s="519"/>
      <c r="O176" s="444"/>
      <c r="P176" s="445"/>
      <c r="Q176" s="445"/>
      <c r="R176" s="444"/>
      <c r="S176" s="444"/>
      <c r="T176" s="518"/>
      <c r="U176" s="561"/>
      <c r="V176" s="518"/>
      <c r="W176" s="444"/>
      <c r="X176" s="562"/>
      <c r="Y176" s="562"/>
      <c r="Z176" s="445"/>
      <c r="AA176" s="445"/>
      <c r="AB176" s="444"/>
      <c r="AC176" s="446"/>
      <c r="AD176" s="446"/>
      <c r="AE176" s="445"/>
      <c r="AF176" s="520"/>
      <c r="AG176" s="520"/>
      <c r="AH176" s="520"/>
      <c r="AI176" s="447"/>
      <c r="AJ176" s="448"/>
      <c r="AK176" s="448"/>
      <c r="AL176" s="522"/>
      <c r="AM176" s="522"/>
      <c r="AN176" s="522"/>
    </row>
    <row r="177" spans="1:40" x14ac:dyDescent="0.35">
      <c r="A177" s="442"/>
      <c r="B177" s="117"/>
      <c r="C177" s="117"/>
      <c r="D177" s="443"/>
      <c r="E177" s="443"/>
      <c r="F177" s="444"/>
      <c r="G177" s="444"/>
      <c r="H177" s="444"/>
      <c r="I177" s="444"/>
      <c r="J177" s="444"/>
      <c r="K177" s="444"/>
      <c r="L177" s="444"/>
      <c r="M177" s="444"/>
      <c r="N177" s="519"/>
      <c r="O177" s="444"/>
      <c r="P177" s="445"/>
      <c r="Q177" s="445"/>
      <c r="R177" s="444"/>
      <c r="S177" s="444"/>
      <c r="T177" s="518"/>
      <c r="U177" s="561"/>
      <c r="V177" s="518"/>
      <c r="W177" s="444"/>
      <c r="X177" s="562"/>
      <c r="Y177" s="562"/>
      <c r="Z177" s="445"/>
      <c r="AA177" s="445"/>
      <c r="AB177" s="444"/>
      <c r="AC177" s="446"/>
      <c r="AD177" s="446"/>
      <c r="AE177" s="445"/>
      <c r="AF177" s="520"/>
      <c r="AG177" s="520"/>
      <c r="AH177" s="520"/>
      <c r="AI177" s="447"/>
      <c r="AJ177" s="448"/>
      <c r="AK177" s="448"/>
      <c r="AL177" s="522"/>
      <c r="AM177" s="522"/>
      <c r="AN177" s="522"/>
    </row>
    <row r="178" spans="1:40" x14ac:dyDescent="0.35">
      <c r="A178" s="442"/>
      <c r="B178" s="117"/>
      <c r="C178" s="117"/>
      <c r="D178" s="443"/>
      <c r="E178" s="443"/>
      <c r="F178" s="444"/>
      <c r="G178" s="444"/>
      <c r="H178" s="444"/>
      <c r="I178" s="444"/>
      <c r="J178" s="444"/>
      <c r="K178" s="444"/>
      <c r="L178" s="444"/>
      <c r="M178" s="444"/>
      <c r="N178" s="519"/>
      <c r="O178" s="444"/>
      <c r="P178" s="445"/>
      <c r="Q178" s="445"/>
      <c r="R178" s="444"/>
      <c r="S178" s="444"/>
      <c r="T178" s="518"/>
      <c r="U178" s="561"/>
      <c r="V178" s="518"/>
      <c r="W178" s="444"/>
      <c r="X178" s="562"/>
      <c r="Y178" s="562"/>
      <c r="Z178" s="445"/>
      <c r="AA178" s="445"/>
      <c r="AB178" s="444"/>
      <c r="AC178" s="446"/>
      <c r="AD178" s="446"/>
      <c r="AE178" s="445"/>
      <c r="AF178" s="520"/>
      <c r="AG178" s="520"/>
      <c r="AH178" s="520"/>
      <c r="AI178" s="447"/>
      <c r="AJ178" s="448"/>
      <c r="AK178" s="448"/>
      <c r="AL178" s="522"/>
      <c r="AM178" s="522"/>
      <c r="AN178" s="522"/>
    </row>
    <row r="179" spans="1:40" x14ac:dyDescent="0.35">
      <c r="A179" s="442"/>
      <c r="B179" s="117"/>
      <c r="C179" s="117"/>
      <c r="D179" s="443"/>
      <c r="E179" s="443"/>
      <c r="F179" s="444"/>
      <c r="G179" s="444"/>
      <c r="H179" s="444"/>
      <c r="I179" s="444"/>
      <c r="J179" s="444"/>
      <c r="K179" s="444"/>
      <c r="L179" s="444"/>
      <c r="M179" s="444"/>
      <c r="N179" s="519"/>
      <c r="O179" s="444"/>
      <c r="P179" s="445"/>
      <c r="Q179" s="445"/>
      <c r="R179" s="444"/>
      <c r="S179" s="444"/>
      <c r="T179" s="518"/>
      <c r="U179" s="561"/>
      <c r="V179" s="518"/>
      <c r="W179" s="444"/>
      <c r="X179" s="562"/>
      <c r="Y179" s="562"/>
      <c r="Z179" s="445"/>
      <c r="AA179" s="445"/>
      <c r="AB179" s="444"/>
      <c r="AC179" s="446"/>
      <c r="AD179" s="446"/>
      <c r="AE179" s="445"/>
      <c r="AF179" s="520"/>
      <c r="AG179" s="520"/>
      <c r="AH179" s="520"/>
      <c r="AI179" s="447"/>
      <c r="AJ179" s="448"/>
      <c r="AK179" s="448"/>
      <c r="AL179" s="522"/>
      <c r="AM179" s="522"/>
      <c r="AN179" s="522"/>
    </row>
    <row r="180" spans="1:40" x14ac:dyDescent="0.35">
      <c r="A180" s="442"/>
      <c r="B180" s="117"/>
      <c r="C180" s="117"/>
      <c r="D180" s="443"/>
      <c r="E180" s="443"/>
      <c r="F180" s="444"/>
      <c r="G180" s="444"/>
      <c r="H180" s="444"/>
      <c r="I180" s="444"/>
      <c r="J180" s="444"/>
      <c r="K180" s="444"/>
      <c r="L180" s="444"/>
      <c r="M180" s="444"/>
      <c r="N180" s="519"/>
      <c r="O180" s="444"/>
      <c r="P180" s="445"/>
      <c r="Q180" s="445"/>
      <c r="R180" s="444"/>
      <c r="S180" s="444"/>
      <c r="T180" s="518"/>
      <c r="U180" s="561"/>
      <c r="V180" s="518"/>
      <c r="W180" s="444"/>
      <c r="X180" s="562"/>
      <c r="Y180" s="562"/>
      <c r="Z180" s="445"/>
      <c r="AA180" s="445"/>
      <c r="AB180" s="444"/>
      <c r="AC180" s="446"/>
      <c r="AD180" s="446"/>
      <c r="AE180" s="445"/>
      <c r="AF180" s="520"/>
      <c r="AG180" s="520"/>
      <c r="AH180" s="520"/>
      <c r="AI180" s="447"/>
      <c r="AJ180" s="448"/>
      <c r="AK180" s="448"/>
      <c r="AL180" s="522"/>
      <c r="AM180" s="522"/>
      <c r="AN180" s="522"/>
    </row>
    <row r="181" spans="1:40" x14ac:dyDescent="0.35">
      <c r="A181" s="442"/>
      <c r="B181" s="117"/>
      <c r="C181" s="117"/>
      <c r="D181" s="443"/>
      <c r="E181" s="443"/>
      <c r="F181" s="444"/>
      <c r="G181" s="444"/>
      <c r="H181" s="444"/>
      <c r="I181" s="444"/>
      <c r="J181" s="444"/>
      <c r="K181" s="444"/>
      <c r="L181" s="444"/>
      <c r="M181" s="444"/>
      <c r="N181" s="519"/>
      <c r="O181" s="444"/>
      <c r="P181" s="445"/>
      <c r="Q181" s="445"/>
      <c r="R181" s="444"/>
      <c r="S181" s="444"/>
      <c r="T181" s="518"/>
      <c r="U181" s="561"/>
      <c r="V181" s="518"/>
      <c r="W181" s="444"/>
      <c r="X181" s="562"/>
      <c r="Y181" s="562"/>
      <c r="Z181" s="445"/>
      <c r="AA181" s="445"/>
      <c r="AB181" s="444"/>
      <c r="AC181" s="446"/>
      <c r="AD181" s="446"/>
      <c r="AE181" s="445"/>
      <c r="AF181" s="520"/>
      <c r="AG181" s="520"/>
      <c r="AH181" s="520"/>
      <c r="AI181" s="447"/>
      <c r="AJ181" s="448"/>
      <c r="AK181" s="448"/>
      <c r="AL181" s="522"/>
      <c r="AM181" s="522"/>
      <c r="AN181" s="522"/>
    </row>
    <row r="182" spans="1:40" x14ac:dyDescent="0.35">
      <c r="A182" s="442"/>
      <c r="B182" s="117"/>
      <c r="C182" s="117"/>
      <c r="D182" s="443"/>
      <c r="E182" s="443"/>
      <c r="F182" s="444"/>
      <c r="G182" s="444"/>
      <c r="H182" s="444"/>
      <c r="I182" s="444"/>
      <c r="J182" s="444"/>
      <c r="K182" s="444"/>
      <c r="L182" s="444"/>
      <c r="M182" s="444"/>
      <c r="N182" s="519"/>
      <c r="O182" s="444"/>
      <c r="P182" s="445"/>
      <c r="Q182" s="445"/>
      <c r="R182" s="444"/>
      <c r="S182" s="444"/>
      <c r="T182" s="518"/>
      <c r="U182" s="561"/>
      <c r="V182" s="518"/>
      <c r="W182" s="444"/>
      <c r="X182" s="562"/>
      <c r="Y182" s="562"/>
      <c r="Z182" s="445"/>
      <c r="AA182" s="445"/>
      <c r="AB182" s="444"/>
      <c r="AC182" s="446"/>
      <c r="AD182" s="446"/>
      <c r="AE182" s="445"/>
      <c r="AF182" s="520"/>
      <c r="AG182" s="520"/>
      <c r="AH182" s="520"/>
      <c r="AI182" s="447"/>
      <c r="AJ182" s="448"/>
      <c r="AK182" s="448"/>
      <c r="AL182" s="522"/>
      <c r="AM182" s="522"/>
      <c r="AN182" s="522"/>
    </row>
    <row r="183" spans="1:40" x14ac:dyDescent="0.35">
      <c r="A183" s="442"/>
      <c r="B183" s="117"/>
      <c r="C183" s="117"/>
      <c r="D183" s="443"/>
      <c r="E183" s="443"/>
      <c r="F183" s="444"/>
      <c r="G183" s="444"/>
      <c r="H183" s="444"/>
      <c r="I183" s="444"/>
      <c r="J183" s="444"/>
      <c r="K183" s="444"/>
      <c r="L183" s="444"/>
      <c r="M183" s="444"/>
      <c r="N183" s="519"/>
      <c r="O183" s="444"/>
      <c r="P183" s="445"/>
      <c r="Q183" s="445"/>
      <c r="R183" s="444"/>
      <c r="S183" s="444"/>
      <c r="T183" s="518"/>
      <c r="U183" s="561"/>
      <c r="V183" s="518"/>
      <c r="W183" s="444"/>
      <c r="X183" s="562"/>
      <c r="Y183" s="562"/>
      <c r="Z183" s="445"/>
      <c r="AA183" s="445"/>
      <c r="AB183" s="444"/>
      <c r="AC183" s="446"/>
      <c r="AD183" s="446"/>
      <c r="AE183" s="445"/>
      <c r="AF183" s="520"/>
      <c r="AG183" s="520"/>
      <c r="AH183" s="520"/>
      <c r="AI183" s="447"/>
      <c r="AJ183" s="448"/>
      <c r="AK183" s="448"/>
      <c r="AL183" s="522"/>
      <c r="AM183" s="522"/>
      <c r="AN183" s="522"/>
    </row>
    <row r="184" spans="1:40" x14ac:dyDescent="0.35">
      <c r="A184" s="442"/>
      <c r="B184" s="117"/>
      <c r="C184" s="117"/>
      <c r="D184" s="443"/>
      <c r="E184" s="443"/>
      <c r="F184" s="444"/>
      <c r="G184" s="444"/>
      <c r="H184" s="444"/>
      <c r="I184" s="444"/>
      <c r="J184" s="444"/>
      <c r="K184" s="444"/>
      <c r="L184" s="444"/>
      <c r="M184" s="444"/>
      <c r="N184" s="519"/>
      <c r="O184" s="444"/>
      <c r="P184" s="445"/>
      <c r="Q184" s="445"/>
      <c r="R184" s="444"/>
      <c r="S184" s="444"/>
      <c r="T184" s="518"/>
      <c r="U184" s="561"/>
      <c r="V184" s="518"/>
      <c r="W184" s="444"/>
      <c r="X184" s="562"/>
      <c r="Y184" s="562"/>
      <c r="Z184" s="445"/>
      <c r="AA184" s="445"/>
      <c r="AB184" s="444"/>
      <c r="AC184" s="446"/>
      <c r="AD184" s="446"/>
      <c r="AE184" s="445"/>
      <c r="AF184" s="520"/>
      <c r="AG184" s="520"/>
      <c r="AH184" s="520"/>
      <c r="AI184" s="447"/>
      <c r="AJ184" s="448"/>
      <c r="AK184" s="448"/>
      <c r="AL184" s="522"/>
      <c r="AM184" s="522"/>
      <c r="AN184" s="522"/>
    </row>
    <row r="185" spans="1:40" x14ac:dyDescent="0.35">
      <c r="A185" s="442"/>
      <c r="B185" s="117"/>
      <c r="C185" s="117"/>
      <c r="D185" s="443"/>
      <c r="E185" s="443"/>
      <c r="F185" s="444"/>
      <c r="G185" s="444"/>
      <c r="H185" s="444"/>
      <c r="I185" s="444"/>
      <c r="J185" s="444"/>
      <c r="K185" s="444"/>
      <c r="L185" s="444"/>
      <c r="M185" s="444"/>
      <c r="N185" s="519"/>
      <c r="O185" s="444"/>
      <c r="P185" s="445"/>
      <c r="Q185" s="445"/>
      <c r="R185" s="444"/>
      <c r="S185" s="444"/>
      <c r="T185" s="518"/>
      <c r="U185" s="561"/>
      <c r="V185" s="518"/>
      <c r="W185" s="444"/>
      <c r="X185" s="562"/>
      <c r="Y185" s="562"/>
      <c r="Z185" s="445"/>
      <c r="AA185" s="445"/>
      <c r="AB185" s="444"/>
      <c r="AC185" s="446"/>
      <c r="AD185" s="446"/>
      <c r="AE185" s="445"/>
      <c r="AF185" s="520"/>
      <c r="AG185" s="520"/>
      <c r="AH185" s="520"/>
      <c r="AI185" s="447"/>
      <c r="AJ185" s="448"/>
      <c r="AK185" s="448"/>
      <c r="AL185" s="522"/>
      <c r="AM185" s="522"/>
      <c r="AN185" s="522"/>
    </row>
    <row r="186" spans="1:40" x14ac:dyDescent="0.35">
      <c r="A186" s="442"/>
      <c r="B186" s="117"/>
      <c r="C186" s="117"/>
      <c r="D186" s="443"/>
      <c r="E186" s="443"/>
      <c r="F186" s="444"/>
      <c r="G186" s="444"/>
      <c r="H186" s="444"/>
      <c r="I186" s="444"/>
      <c r="J186" s="444"/>
      <c r="K186" s="444"/>
      <c r="L186" s="444"/>
      <c r="M186" s="444"/>
      <c r="N186" s="519"/>
      <c r="O186" s="444"/>
      <c r="P186" s="445"/>
      <c r="Q186" s="445"/>
      <c r="R186" s="444"/>
      <c r="S186" s="444"/>
      <c r="T186" s="518"/>
      <c r="U186" s="561"/>
      <c r="V186" s="518"/>
      <c r="W186" s="444"/>
      <c r="X186" s="562"/>
      <c r="Y186" s="562"/>
      <c r="Z186" s="445"/>
      <c r="AA186" s="445"/>
      <c r="AB186" s="444"/>
      <c r="AC186" s="446"/>
      <c r="AD186" s="446"/>
      <c r="AE186" s="445"/>
      <c r="AF186" s="520"/>
      <c r="AG186" s="520"/>
      <c r="AH186" s="520"/>
      <c r="AI186" s="447"/>
      <c r="AJ186" s="448"/>
      <c r="AK186" s="448"/>
      <c r="AL186" s="522"/>
      <c r="AM186" s="522"/>
      <c r="AN186" s="522"/>
    </row>
    <row r="187" spans="1:40" x14ac:dyDescent="0.35">
      <c r="A187" s="442"/>
      <c r="B187" s="117"/>
      <c r="C187" s="117"/>
      <c r="D187" s="443"/>
      <c r="E187" s="443"/>
      <c r="F187" s="444"/>
      <c r="G187" s="444"/>
      <c r="H187" s="444"/>
      <c r="I187" s="444"/>
      <c r="J187" s="444"/>
      <c r="K187" s="444"/>
      <c r="L187" s="444"/>
      <c r="M187" s="444"/>
      <c r="N187" s="519"/>
      <c r="O187" s="444"/>
      <c r="P187" s="445"/>
      <c r="Q187" s="445"/>
      <c r="R187" s="444"/>
      <c r="S187" s="444"/>
      <c r="T187" s="518"/>
      <c r="U187" s="561"/>
      <c r="V187" s="518"/>
      <c r="W187" s="444"/>
      <c r="X187" s="562"/>
      <c r="Y187" s="562"/>
      <c r="Z187" s="445"/>
      <c r="AA187" s="445"/>
      <c r="AB187" s="444"/>
      <c r="AC187" s="446"/>
      <c r="AD187" s="446"/>
      <c r="AE187" s="445"/>
      <c r="AF187" s="520"/>
      <c r="AG187" s="520"/>
      <c r="AH187" s="520"/>
      <c r="AI187" s="447"/>
      <c r="AJ187" s="448"/>
      <c r="AK187" s="448"/>
      <c r="AL187" s="522"/>
      <c r="AM187" s="522"/>
      <c r="AN187" s="522"/>
    </row>
    <row r="188" spans="1:40" x14ac:dyDescent="0.35">
      <c r="A188" s="442"/>
      <c r="B188" s="117"/>
      <c r="C188" s="117"/>
      <c r="D188" s="443"/>
      <c r="E188" s="443"/>
      <c r="F188" s="444"/>
      <c r="G188" s="444"/>
      <c r="H188" s="444"/>
      <c r="I188" s="444"/>
      <c r="J188" s="444"/>
      <c r="K188" s="444"/>
      <c r="L188" s="444"/>
      <c r="M188" s="444"/>
      <c r="N188" s="519"/>
      <c r="O188" s="444"/>
      <c r="P188" s="445"/>
      <c r="Q188" s="445"/>
      <c r="R188" s="444"/>
      <c r="S188" s="444"/>
      <c r="T188" s="518"/>
      <c r="U188" s="561"/>
      <c r="V188" s="518"/>
      <c r="W188" s="444"/>
      <c r="X188" s="562"/>
      <c r="Y188" s="562"/>
      <c r="Z188" s="445"/>
      <c r="AA188" s="445"/>
      <c r="AB188" s="444"/>
      <c r="AC188" s="446"/>
      <c r="AD188" s="446"/>
      <c r="AE188" s="445"/>
      <c r="AF188" s="520"/>
      <c r="AG188" s="520"/>
      <c r="AH188" s="520"/>
      <c r="AI188" s="447"/>
      <c r="AJ188" s="448"/>
      <c r="AK188" s="448"/>
      <c r="AL188" s="522"/>
      <c r="AM188" s="522"/>
      <c r="AN188" s="522"/>
    </row>
    <row r="189" spans="1:40" x14ac:dyDescent="0.35">
      <c r="A189" s="442"/>
      <c r="B189" s="117"/>
      <c r="C189" s="117"/>
      <c r="D189" s="443"/>
      <c r="E189" s="443"/>
      <c r="F189" s="444"/>
      <c r="G189" s="444"/>
      <c r="H189" s="444"/>
      <c r="I189" s="444"/>
      <c r="J189" s="444"/>
      <c r="K189" s="444"/>
      <c r="L189" s="444"/>
      <c r="M189" s="444"/>
      <c r="N189" s="519"/>
      <c r="O189" s="444"/>
      <c r="P189" s="445"/>
      <c r="Q189" s="445"/>
      <c r="R189" s="444"/>
      <c r="S189" s="444"/>
      <c r="T189" s="518"/>
      <c r="U189" s="561"/>
      <c r="V189" s="518"/>
      <c r="W189" s="444"/>
      <c r="X189" s="562"/>
      <c r="Y189" s="562"/>
      <c r="Z189" s="445"/>
      <c r="AA189" s="445"/>
      <c r="AB189" s="444"/>
      <c r="AC189" s="446"/>
      <c r="AD189" s="446"/>
      <c r="AE189" s="445"/>
      <c r="AF189" s="520"/>
      <c r="AG189" s="520"/>
      <c r="AH189" s="520"/>
      <c r="AI189" s="447"/>
      <c r="AJ189" s="448"/>
      <c r="AK189" s="448"/>
      <c r="AL189" s="522"/>
      <c r="AM189" s="522"/>
      <c r="AN189" s="522"/>
    </row>
    <row r="190" spans="1:40" x14ac:dyDescent="0.35">
      <c r="A190" s="442"/>
      <c r="B190" s="117"/>
      <c r="C190" s="117"/>
      <c r="D190" s="443"/>
      <c r="E190" s="443"/>
      <c r="F190" s="444"/>
      <c r="G190" s="444"/>
      <c r="H190" s="444"/>
      <c r="I190" s="444"/>
      <c r="J190" s="444"/>
      <c r="K190" s="444"/>
      <c r="L190" s="444"/>
      <c r="M190" s="444"/>
      <c r="N190" s="519"/>
      <c r="O190" s="444"/>
      <c r="P190" s="445"/>
      <c r="Q190" s="445"/>
      <c r="R190" s="444"/>
      <c r="S190" s="444"/>
      <c r="T190" s="518"/>
      <c r="U190" s="561"/>
      <c r="V190" s="518"/>
      <c r="W190" s="444"/>
      <c r="X190" s="562"/>
      <c r="Y190" s="562"/>
      <c r="Z190" s="445"/>
      <c r="AA190" s="445"/>
      <c r="AB190" s="444"/>
      <c r="AC190" s="446"/>
      <c r="AD190" s="446"/>
      <c r="AE190" s="445"/>
      <c r="AF190" s="520"/>
      <c r="AG190" s="520"/>
      <c r="AH190" s="520"/>
      <c r="AI190" s="447"/>
      <c r="AJ190" s="448"/>
      <c r="AK190" s="448"/>
      <c r="AL190" s="522"/>
      <c r="AM190" s="522"/>
      <c r="AN190" s="522"/>
    </row>
    <row r="191" spans="1:40" x14ac:dyDescent="0.35">
      <c r="A191" s="442"/>
      <c r="B191" s="117"/>
      <c r="C191" s="117"/>
      <c r="D191" s="443"/>
      <c r="E191" s="443"/>
      <c r="F191" s="444"/>
      <c r="G191" s="444"/>
      <c r="H191" s="444"/>
      <c r="I191" s="444"/>
      <c r="J191" s="444"/>
      <c r="K191" s="444"/>
      <c r="L191" s="444"/>
      <c r="M191" s="444"/>
      <c r="N191" s="519"/>
      <c r="O191" s="444"/>
      <c r="P191" s="445"/>
      <c r="Q191" s="445"/>
      <c r="R191" s="444"/>
      <c r="S191" s="444"/>
      <c r="T191" s="518"/>
      <c r="U191" s="561"/>
      <c r="V191" s="518"/>
      <c r="W191" s="444"/>
      <c r="X191" s="562"/>
      <c r="Y191" s="562"/>
      <c r="Z191" s="445"/>
      <c r="AA191" s="445"/>
      <c r="AB191" s="444"/>
      <c r="AC191" s="446"/>
      <c r="AD191" s="446"/>
      <c r="AE191" s="445"/>
      <c r="AF191" s="520"/>
      <c r="AG191" s="520"/>
      <c r="AH191" s="520"/>
      <c r="AI191" s="447"/>
      <c r="AJ191" s="448"/>
      <c r="AK191" s="448"/>
      <c r="AL191" s="522"/>
      <c r="AM191" s="522"/>
      <c r="AN191" s="522"/>
    </row>
    <row r="192" spans="1:40" x14ac:dyDescent="0.35">
      <c r="A192" s="442"/>
      <c r="B192" s="117"/>
      <c r="C192" s="117"/>
      <c r="D192" s="443"/>
      <c r="E192" s="443"/>
      <c r="F192" s="444"/>
      <c r="G192" s="444"/>
      <c r="H192" s="444"/>
      <c r="I192" s="444"/>
      <c r="J192" s="444"/>
      <c r="K192" s="444"/>
      <c r="L192" s="444"/>
      <c r="M192" s="444"/>
      <c r="N192" s="519"/>
      <c r="O192" s="444"/>
      <c r="P192" s="445"/>
      <c r="Q192" s="445"/>
      <c r="R192" s="444"/>
      <c r="S192" s="444"/>
      <c r="T192" s="518"/>
      <c r="U192" s="561"/>
      <c r="V192" s="518"/>
      <c r="W192" s="444"/>
      <c r="X192" s="562"/>
      <c r="Y192" s="562"/>
      <c r="Z192" s="445"/>
      <c r="AA192" s="445"/>
      <c r="AB192" s="444"/>
      <c r="AC192" s="446"/>
      <c r="AD192" s="446"/>
      <c r="AE192" s="445"/>
      <c r="AF192" s="520"/>
      <c r="AG192" s="520"/>
      <c r="AH192" s="520"/>
      <c r="AI192" s="447"/>
      <c r="AJ192" s="448"/>
      <c r="AK192" s="448"/>
      <c r="AL192" s="522"/>
      <c r="AM192" s="522"/>
      <c r="AN192" s="522"/>
    </row>
    <row r="193" spans="1:40" x14ac:dyDescent="0.35">
      <c r="A193" s="442"/>
      <c r="B193" s="117"/>
      <c r="C193" s="117"/>
      <c r="D193" s="443"/>
      <c r="E193" s="443"/>
      <c r="F193" s="444"/>
      <c r="G193" s="444"/>
      <c r="H193" s="444"/>
      <c r="I193" s="444"/>
      <c r="J193" s="444"/>
      <c r="K193" s="444"/>
      <c r="L193" s="444"/>
      <c r="M193" s="444"/>
      <c r="N193" s="519"/>
      <c r="O193" s="444"/>
      <c r="P193" s="445"/>
      <c r="Q193" s="445"/>
      <c r="R193" s="444"/>
      <c r="S193" s="444"/>
      <c r="T193" s="518"/>
      <c r="U193" s="561"/>
      <c r="V193" s="518"/>
      <c r="W193" s="444"/>
      <c r="X193" s="562"/>
      <c r="Y193" s="562"/>
      <c r="Z193" s="445"/>
      <c r="AA193" s="445"/>
      <c r="AB193" s="444"/>
      <c r="AC193" s="446"/>
      <c r="AD193" s="446"/>
      <c r="AE193" s="445"/>
      <c r="AF193" s="520"/>
      <c r="AG193" s="520"/>
      <c r="AH193" s="520"/>
      <c r="AI193" s="447"/>
      <c r="AJ193" s="448"/>
      <c r="AK193" s="448"/>
      <c r="AL193" s="522"/>
      <c r="AM193" s="522"/>
      <c r="AN193" s="522"/>
    </row>
    <row r="194" spans="1:40" x14ac:dyDescent="0.35">
      <c r="A194" s="442"/>
      <c r="B194" s="117"/>
      <c r="C194" s="117"/>
      <c r="D194" s="443"/>
      <c r="E194" s="443"/>
      <c r="F194" s="444"/>
      <c r="G194" s="444"/>
      <c r="H194" s="444"/>
      <c r="I194" s="444"/>
      <c r="J194" s="444"/>
      <c r="K194" s="444"/>
      <c r="L194" s="444"/>
      <c r="M194" s="444"/>
      <c r="N194" s="519"/>
      <c r="O194" s="444"/>
      <c r="P194" s="445"/>
      <c r="Q194" s="445"/>
      <c r="R194" s="444"/>
      <c r="S194" s="444"/>
      <c r="T194" s="518"/>
      <c r="U194" s="561"/>
      <c r="V194" s="518"/>
      <c r="W194" s="444"/>
      <c r="X194" s="562"/>
      <c r="Y194" s="562"/>
      <c r="Z194" s="445"/>
      <c r="AA194" s="445"/>
      <c r="AB194" s="444"/>
      <c r="AC194" s="446"/>
      <c r="AD194" s="446"/>
      <c r="AE194" s="445"/>
      <c r="AF194" s="520"/>
      <c r="AG194" s="520"/>
      <c r="AH194" s="520"/>
      <c r="AI194" s="447"/>
      <c r="AJ194" s="448"/>
      <c r="AK194" s="448"/>
      <c r="AL194" s="522"/>
      <c r="AM194" s="522"/>
      <c r="AN194" s="522"/>
    </row>
    <row r="195" spans="1:40" x14ac:dyDescent="0.35">
      <c r="A195" s="442"/>
      <c r="B195" s="117"/>
      <c r="C195" s="117"/>
      <c r="D195" s="443"/>
      <c r="E195" s="443"/>
      <c r="F195" s="444"/>
      <c r="G195" s="444"/>
      <c r="H195" s="444"/>
      <c r="I195" s="444"/>
      <c r="J195" s="444"/>
      <c r="K195" s="444"/>
      <c r="L195" s="444"/>
      <c r="M195" s="444"/>
      <c r="N195" s="519"/>
      <c r="O195" s="444"/>
      <c r="P195" s="445"/>
      <c r="Q195" s="445"/>
      <c r="R195" s="444"/>
      <c r="S195" s="444"/>
      <c r="T195" s="518"/>
      <c r="U195" s="561"/>
      <c r="V195" s="518"/>
      <c r="W195" s="444"/>
      <c r="X195" s="562"/>
      <c r="Y195" s="562"/>
      <c r="Z195" s="445"/>
      <c r="AA195" s="445"/>
      <c r="AB195" s="444"/>
      <c r="AC195" s="446"/>
      <c r="AD195" s="446"/>
      <c r="AE195" s="445"/>
      <c r="AF195" s="520"/>
      <c r="AG195" s="520"/>
      <c r="AH195" s="520"/>
      <c r="AI195" s="447"/>
      <c r="AJ195" s="448"/>
      <c r="AK195" s="448"/>
      <c r="AL195" s="522"/>
      <c r="AM195" s="522"/>
      <c r="AN195" s="522"/>
    </row>
    <row r="196" spans="1:40" x14ac:dyDescent="0.35">
      <c r="A196" s="442"/>
      <c r="B196" s="117"/>
      <c r="C196" s="117"/>
      <c r="D196" s="443"/>
      <c r="E196" s="443"/>
      <c r="F196" s="444"/>
      <c r="G196" s="444"/>
      <c r="H196" s="444"/>
      <c r="I196" s="444"/>
      <c r="J196" s="444"/>
      <c r="K196" s="444"/>
      <c r="L196" s="444"/>
      <c r="M196" s="444"/>
      <c r="N196" s="519"/>
      <c r="O196" s="444"/>
      <c r="P196" s="445"/>
      <c r="Q196" s="445"/>
      <c r="R196" s="444"/>
      <c r="S196" s="444"/>
      <c r="T196" s="518"/>
      <c r="U196" s="561"/>
      <c r="V196" s="518"/>
      <c r="W196" s="444"/>
      <c r="X196" s="562"/>
      <c r="Y196" s="562"/>
      <c r="Z196" s="445"/>
      <c r="AA196" s="445"/>
      <c r="AB196" s="444"/>
      <c r="AC196" s="446"/>
      <c r="AD196" s="446"/>
      <c r="AE196" s="445"/>
      <c r="AF196" s="520"/>
      <c r="AG196" s="520"/>
      <c r="AH196" s="520"/>
      <c r="AI196" s="447"/>
      <c r="AJ196" s="448"/>
      <c r="AK196" s="448"/>
      <c r="AL196" s="522"/>
      <c r="AM196" s="522"/>
      <c r="AN196" s="522"/>
    </row>
    <row r="197" spans="1:40" x14ac:dyDescent="0.35">
      <c r="A197" s="442"/>
      <c r="B197" s="117"/>
      <c r="C197" s="117"/>
      <c r="D197" s="443"/>
      <c r="E197" s="443"/>
      <c r="F197" s="444"/>
      <c r="G197" s="444"/>
      <c r="H197" s="444"/>
      <c r="I197" s="444"/>
      <c r="J197" s="444"/>
      <c r="K197" s="444"/>
      <c r="L197" s="444"/>
      <c r="M197" s="444"/>
      <c r="N197" s="519"/>
      <c r="O197" s="444"/>
      <c r="P197" s="445"/>
      <c r="Q197" s="445"/>
      <c r="R197" s="444"/>
      <c r="S197" s="444"/>
      <c r="T197" s="518"/>
      <c r="U197" s="561"/>
      <c r="V197" s="518"/>
      <c r="W197" s="444"/>
      <c r="X197" s="562"/>
      <c r="Y197" s="562"/>
      <c r="Z197" s="445"/>
      <c r="AA197" s="445"/>
      <c r="AB197" s="444"/>
      <c r="AC197" s="446"/>
      <c r="AD197" s="446"/>
      <c r="AE197" s="445"/>
      <c r="AF197" s="520"/>
      <c r="AG197" s="520"/>
      <c r="AH197" s="520"/>
      <c r="AI197" s="447"/>
      <c r="AJ197" s="448"/>
      <c r="AK197" s="448"/>
      <c r="AL197" s="522"/>
      <c r="AM197" s="522"/>
      <c r="AN197" s="522"/>
    </row>
    <row r="198" spans="1:40" x14ac:dyDescent="0.35">
      <c r="A198" s="442"/>
      <c r="B198" s="117"/>
      <c r="C198" s="117"/>
      <c r="D198" s="443"/>
      <c r="E198" s="443"/>
      <c r="F198" s="444"/>
      <c r="G198" s="444"/>
      <c r="H198" s="444"/>
      <c r="I198" s="444"/>
      <c r="J198" s="444"/>
      <c r="K198" s="444"/>
      <c r="L198" s="444"/>
      <c r="M198" s="444"/>
      <c r="N198" s="519"/>
      <c r="O198" s="444"/>
      <c r="P198" s="445"/>
      <c r="Q198" s="445"/>
      <c r="R198" s="444"/>
      <c r="S198" s="444"/>
      <c r="T198" s="518"/>
      <c r="U198" s="561"/>
      <c r="V198" s="518"/>
      <c r="W198" s="444"/>
      <c r="X198" s="562"/>
      <c r="Y198" s="562"/>
      <c r="Z198" s="445"/>
      <c r="AA198" s="445"/>
      <c r="AB198" s="444"/>
      <c r="AC198" s="446"/>
      <c r="AD198" s="446"/>
      <c r="AE198" s="445"/>
      <c r="AF198" s="520"/>
      <c r="AG198" s="520"/>
      <c r="AH198" s="520"/>
      <c r="AI198" s="447"/>
      <c r="AJ198" s="448"/>
      <c r="AK198" s="448"/>
      <c r="AL198" s="522"/>
      <c r="AM198" s="522"/>
      <c r="AN198" s="522"/>
    </row>
  </sheetData>
  <sheetProtection sheet="1" objects="1" scenarios="1"/>
  <mergeCells count="28">
    <mergeCell ref="AC5:AC6"/>
    <mergeCell ref="AB5:AB6"/>
    <mergeCell ref="AD5:AD6"/>
    <mergeCell ref="F1:H1"/>
    <mergeCell ref="I1:K1"/>
    <mergeCell ref="A4:F4"/>
    <mergeCell ref="G4:M4"/>
    <mergeCell ref="N4:O4"/>
    <mergeCell ref="A2:D2"/>
    <mergeCell ref="A1:D1"/>
    <mergeCell ref="N1:O1"/>
    <mergeCell ref="N2:O2"/>
    <mergeCell ref="AH5:AH6"/>
    <mergeCell ref="F2:H2"/>
    <mergeCell ref="I2:K2"/>
    <mergeCell ref="AP4:AQ4"/>
    <mergeCell ref="AG4:AH4"/>
    <mergeCell ref="AJ4:AO4"/>
    <mergeCell ref="T4:W4"/>
    <mergeCell ref="AE4:AF4"/>
    <mergeCell ref="X4:AD4"/>
    <mergeCell ref="P4:S4"/>
    <mergeCell ref="AF5:AF6"/>
    <mergeCell ref="O5:O6"/>
    <mergeCell ref="R5:R6"/>
    <mergeCell ref="S5:S6"/>
    <mergeCell ref="V5:V6"/>
    <mergeCell ref="W5:W6"/>
  </mergeCells>
  <hyperlinks>
    <hyperlink ref="N2" location="'Elec. Analysis'!A1" display="Go to Electricity Analysis"/>
    <hyperlink ref="N2:O2" location="'NG Analysis'!A1" display="Go to Natural Gas Analysis"/>
    <hyperlink ref="N1" location="'Regional Menu'!A1" display="Return to Regional Menu"/>
    <hyperlink ref="N1:O1" location="'Service Zone Menu'!A1" display="Return to Service Zone Menu"/>
  </hyperlinks>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theme="2" tint="-9.9978637043366805E-2"/>
  </sheetPr>
  <dimension ref="A1:CX99"/>
  <sheetViews>
    <sheetView showGridLines="0" zoomScale="60" zoomScaleNormal="60" workbookViewId="0">
      <selection sqref="A1:D2"/>
    </sheetView>
  </sheetViews>
  <sheetFormatPr defaultColWidth="9.1796875" defaultRowHeight="14" outlineLevelCol="1" x14ac:dyDescent="0.3"/>
  <cols>
    <col min="1" max="3" width="9.1796875" style="47"/>
    <col min="4" max="4" width="17.1796875" style="796" customWidth="1"/>
    <col min="5" max="5" width="44" style="108" hidden="1" customWidth="1" outlineLevel="1"/>
    <col min="6" max="6" width="46.26953125" style="108" hidden="1" customWidth="1" outlineLevel="1"/>
    <col min="7" max="8" width="55.453125" style="108" hidden="1" customWidth="1" outlineLevel="1"/>
    <col min="9" max="9" width="69" style="108" hidden="1" customWidth="1" outlineLevel="1"/>
    <col min="10" max="10" width="29.81640625" style="108" hidden="1" customWidth="1" outlineLevel="1"/>
    <col min="11" max="11" width="31.1796875" style="108" hidden="1" customWidth="1" outlineLevel="1"/>
    <col min="12" max="12" width="37.26953125" style="108" hidden="1" customWidth="1" outlineLevel="1"/>
    <col min="13" max="13" width="56.26953125" style="108" hidden="1" customWidth="1" outlineLevel="1"/>
    <col min="14" max="14" width="51.54296875" style="108" hidden="1" customWidth="1" outlineLevel="1"/>
    <col min="15" max="15" width="23" style="108" hidden="1" customWidth="1" outlineLevel="1"/>
    <col min="16" max="16" width="42.7265625" style="108" hidden="1" customWidth="1" outlineLevel="1"/>
    <col min="17" max="17" width="41.26953125" style="108" hidden="1" customWidth="1" outlineLevel="1"/>
    <col min="18" max="19" width="43.453125" style="108" hidden="1" customWidth="1" outlineLevel="1"/>
    <col min="20" max="20" width="43.26953125" style="108" hidden="1" customWidth="1" outlineLevel="1"/>
    <col min="21" max="21" width="28.26953125" style="108" hidden="1" customWidth="1" outlineLevel="1"/>
    <col min="22" max="22" width="16.26953125" style="108" bestFit="1" customWidth="1" collapsed="1"/>
    <col min="23" max="26" width="9.1796875" style="108"/>
    <col min="27" max="27" width="49" style="108" hidden="1" customWidth="1" outlineLevel="1"/>
    <col min="28" max="28" width="66.81640625" style="108" hidden="1" customWidth="1" outlineLevel="1"/>
    <col min="29" max="29" width="55.453125" style="108" hidden="1" customWidth="1" outlineLevel="1"/>
    <col min="30" max="30" width="52" style="108" hidden="1" customWidth="1" outlineLevel="1"/>
    <col min="31" max="31" width="69" style="108" hidden="1" customWidth="1" outlineLevel="1"/>
    <col min="32" max="32" width="61.1796875" style="108" hidden="1" customWidth="1" outlineLevel="1"/>
    <col min="33" max="33" width="43" style="108" hidden="1" customWidth="1" outlineLevel="1"/>
    <col min="34" max="34" width="61.1796875" style="108" hidden="1" customWidth="1" outlineLevel="1"/>
    <col min="35" max="36" width="57.7265625" style="108" hidden="1" customWidth="1" outlineLevel="1"/>
    <col min="37" max="37" width="51.26953125" style="108" hidden="1" customWidth="1" outlineLevel="1"/>
    <col min="38" max="38" width="26.26953125" style="108" hidden="1" customWidth="1" outlineLevel="1"/>
    <col min="39" max="39" width="42.7265625" style="108" hidden="1" customWidth="1" outlineLevel="1"/>
    <col min="40" max="40" width="39" style="108" hidden="1" customWidth="1" outlineLevel="1"/>
    <col min="41" max="41" width="39.453125" style="108" hidden="1" customWidth="1" outlineLevel="1"/>
    <col min="42" max="42" width="41.1796875" style="108" hidden="1" customWidth="1" outlineLevel="1"/>
    <col min="43" max="43" width="40.1796875" style="108" hidden="1" customWidth="1" outlineLevel="1"/>
    <col min="44" max="44" width="28.7265625" style="108" hidden="1" customWidth="1" outlineLevel="1"/>
    <col min="45" max="45" width="16.26953125" style="108" bestFit="1" customWidth="1" collapsed="1"/>
    <col min="46" max="49" width="9.1796875" style="108"/>
    <col min="50" max="50" width="44.81640625" style="797" hidden="1" customWidth="1" outlineLevel="1"/>
    <col min="51" max="51" width="71.1796875" style="797" hidden="1" customWidth="1" outlineLevel="1"/>
    <col min="52" max="52" width="75.54296875" style="797" hidden="1" customWidth="1" outlineLevel="1"/>
    <col min="53" max="54" width="69.7265625" style="797" hidden="1" customWidth="1" outlineLevel="1"/>
    <col min="55" max="55" width="47.26953125" style="797" hidden="1" customWidth="1" outlineLevel="1"/>
    <col min="56" max="57" width="36.54296875" style="797" hidden="1" customWidth="1" outlineLevel="1"/>
    <col min="58" max="58" width="36.26953125" style="797" hidden="1" customWidth="1" outlineLevel="1"/>
    <col min="59" max="59" width="58.7265625" style="797" hidden="1" customWidth="1" outlineLevel="1"/>
    <col min="60" max="60" width="36.54296875" style="797" hidden="1" customWidth="1" outlineLevel="1"/>
    <col min="61" max="62" width="46.54296875" style="797" hidden="1" customWidth="1" outlineLevel="1"/>
    <col min="63" max="63" width="51.26953125" style="797" hidden="1" customWidth="1" outlineLevel="1"/>
    <col min="64" max="64" width="32" style="797" hidden="1" customWidth="1" outlineLevel="1"/>
    <col min="65" max="65" width="41.26953125" style="797" hidden="1" customWidth="1" outlineLevel="1"/>
    <col min="66" max="66" width="39" style="797" hidden="1" customWidth="1" outlineLevel="1"/>
    <col min="67" max="67" width="43.453125" style="797" hidden="1" customWidth="1" outlineLevel="1"/>
    <col min="68" max="68" width="44.7265625" style="797" hidden="1" customWidth="1" outlineLevel="1"/>
    <col min="69" max="69" width="43.26953125" style="797" hidden="1" customWidth="1" outlineLevel="1"/>
    <col min="70" max="70" width="28.81640625" style="797" hidden="1" customWidth="1" outlineLevel="1"/>
    <col min="71" max="71" width="16.26953125" style="335" bestFit="1" customWidth="1" collapsed="1"/>
    <col min="72" max="75" width="9.1796875" style="335"/>
    <col min="76" max="76" width="48.453125" style="108" hidden="1" customWidth="1" outlineLevel="1"/>
    <col min="77" max="77" width="62" style="108" hidden="1" customWidth="1" outlineLevel="1"/>
    <col min="78" max="79" width="48" style="108" hidden="1" customWidth="1" outlineLevel="1"/>
    <col min="80" max="80" width="42.26953125" style="108" hidden="1" customWidth="1" outlineLevel="1"/>
    <col min="81" max="81" width="36.54296875" style="108" hidden="1" customWidth="1" outlineLevel="1"/>
    <col min="82" max="82" width="36.26953125" style="108" hidden="1" customWidth="1" outlineLevel="1"/>
    <col min="83" max="83" width="31.26953125" style="108" hidden="1" customWidth="1" outlineLevel="1"/>
    <col min="84" max="84" width="34.1796875" style="108" hidden="1" customWidth="1" outlineLevel="1"/>
    <col min="85" max="89" width="35.54296875" style="108" hidden="1" customWidth="1" outlineLevel="1"/>
    <col min="90" max="90" width="52.26953125" style="108" hidden="1" customWidth="1" outlineLevel="1"/>
    <col min="91" max="91" width="22.54296875" style="108" hidden="1" customWidth="1" outlineLevel="1"/>
    <col min="92" max="92" width="37.54296875" style="108" hidden="1" customWidth="1" outlineLevel="1"/>
    <col min="93" max="93" width="39" style="108" hidden="1" customWidth="1" outlineLevel="1"/>
    <col min="94" max="94" width="43.453125" style="108" hidden="1" customWidth="1" outlineLevel="1"/>
    <col min="95" max="95" width="43.26953125" style="108" hidden="1" customWidth="1" outlineLevel="1"/>
    <col min="96" max="96" width="39.453125" style="108" hidden="1" customWidth="1" outlineLevel="1"/>
    <col min="97" max="97" width="27.81640625" style="108" hidden="1" customWidth="1" outlineLevel="1"/>
    <col min="98" max="98" width="16.26953125" style="108" bestFit="1" customWidth="1" collapsed="1"/>
    <col min="99" max="102" width="9.1796875" style="108"/>
    <col min="103" max="16384" width="9.1796875" style="47"/>
  </cols>
  <sheetData>
    <row r="1" spans="1:102" s="136" customFormat="1" x14ac:dyDescent="0.3">
      <c r="A1" s="2272" t="s">
        <v>106</v>
      </c>
      <c r="B1" s="2273"/>
      <c r="C1" s="2273"/>
      <c r="D1" s="2274"/>
      <c r="E1" s="2384" t="s">
        <v>108</v>
      </c>
      <c r="F1" s="2384"/>
      <c r="G1" s="2384"/>
      <c r="H1" s="2384"/>
      <c r="I1" s="2384"/>
      <c r="J1" s="2384"/>
      <c r="K1" s="2384"/>
      <c r="L1" s="2384"/>
      <c r="M1" s="2384"/>
      <c r="N1" s="2384"/>
      <c r="O1" s="2384"/>
      <c r="P1" s="2384"/>
      <c r="Q1" s="2384"/>
      <c r="R1" s="2384"/>
      <c r="S1" s="2384"/>
      <c r="T1" s="2384"/>
      <c r="U1" s="2385"/>
      <c r="V1" s="2388" t="s">
        <v>2</v>
      </c>
      <c r="W1" s="2297" t="s">
        <v>108</v>
      </c>
      <c r="X1" s="2297"/>
      <c r="Y1" s="2297"/>
      <c r="Z1" s="2298"/>
      <c r="AA1" s="2290" t="s">
        <v>109</v>
      </c>
      <c r="AB1" s="2290"/>
      <c r="AC1" s="2290"/>
      <c r="AD1" s="2290"/>
      <c r="AE1" s="2290"/>
      <c r="AF1" s="2290"/>
      <c r="AG1" s="2290"/>
      <c r="AH1" s="2290"/>
      <c r="AI1" s="2290"/>
      <c r="AJ1" s="2290"/>
      <c r="AK1" s="2290"/>
      <c r="AL1" s="2290"/>
      <c r="AM1" s="2290"/>
      <c r="AN1" s="2290"/>
      <c r="AO1" s="2290"/>
      <c r="AP1" s="2290"/>
      <c r="AQ1" s="2290"/>
      <c r="AR1" s="2291"/>
      <c r="AS1" s="2357" t="s">
        <v>2</v>
      </c>
      <c r="AT1" s="2359" t="s">
        <v>109</v>
      </c>
      <c r="AU1" s="2359"/>
      <c r="AV1" s="2359"/>
      <c r="AW1" s="2360"/>
      <c r="AX1" s="2319" t="s">
        <v>110</v>
      </c>
      <c r="AY1" s="2319"/>
      <c r="AZ1" s="2319"/>
      <c r="BA1" s="2319"/>
      <c r="BB1" s="2319"/>
      <c r="BC1" s="2319"/>
      <c r="BD1" s="2319"/>
      <c r="BE1" s="2319"/>
      <c r="BF1" s="2319"/>
      <c r="BG1" s="2319"/>
      <c r="BH1" s="2319"/>
      <c r="BI1" s="2319"/>
      <c r="BJ1" s="2319"/>
      <c r="BK1" s="2319"/>
      <c r="BL1" s="2319"/>
      <c r="BM1" s="2319"/>
      <c r="BN1" s="2319"/>
      <c r="BO1" s="2319"/>
      <c r="BP1" s="2319"/>
      <c r="BQ1" s="2319"/>
      <c r="BR1" s="2320"/>
      <c r="BS1" s="2323" t="s">
        <v>2</v>
      </c>
      <c r="BT1" s="2315" t="s">
        <v>110</v>
      </c>
      <c r="BU1" s="2315"/>
      <c r="BV1" s="2315"/>
      <c r="BW1" s="2316"/>
      <c r="BX1" s="2353" t="s">
        <v>111</v>
      </c>
      <c r="BY1" s="2353"/>
      <c r="BZ1" s="2353"/>
      <c r="CA1" s="2353"/>
      <c r="CB1" s="2353"/>
      <c r="CC1" s="2353"/>
      <c r="CD1" s="2353"/>
      <c r="CE1" s="2353"/>
      <c r="CF1" s="2353"/>
      <c r="CG1" s="2353"/>
      <c r="CH1" s="2353"/>
      <c r="CI1" s="2353"/>
      <c r="CJ1" s="2353"/>
      <c r="CK1" s="2353"/>
      <c r="CL1" s="2353"/>
      <c r="CM1" s="2353"/>
      <c r="CN1" s="2353"/>
      <c r="CO1" s="2353"/>
      <c r="CP1" s="2353"/>
      <c r="CQ1" s="2353"/>
      <c r="CR1" s="2353"/>
      <c r="CS1" s="2354"/>
      <c r="CT1" s="2378" t="s">
        <v>2</v>
      </c>
      <c r="CU1" s="2349" t="s">
        <v>111</v>
      </c>
      <c r="CV1" s="2349"/>
      <c r="CW1" s="2349"/>
      <c r="CX1" s="2350"/>
    </row>
    <row r="2" spans="1:102" s="136" customFormat="1" ht="14.5" thickBot="1" x14ac:dyDescent="0.35">
      <c r="A2" s="2275"/>
      <c r="B2" s="2276"/>
      <c r="C2" s="2276"/>
      <c r="D2" s="2277"/>
      <c r="E2" s="2386"/>
      <c r="F2" s="2386"/>
      <c r="G2" s="2386"/>
      <c r="H2" s="2386"/>
      <c r="I2" s="2386"/>
      <c r="J2" s="2386"/>
      <c r="K2" s="2386"/>
      <c r="L2" s="2386"/>
      <c r="M2" s="2386"/>
      <c r="N2" s="2386"/>
      <c r="O2" s="2386"/>
      <c r="P2" s="2386"/>
      <c r="Q2" s="2386"/>
      <c r="R2" s="2386"/>
      <c r="S2" s="2386"/>
      <c r="T2" s="2386"/>
      <c r="U2" s="2387"/>
      <c r="V2" s="2389"/>
      <c r="W2" s="2299"/>
      <c r="X2" s="2299"/>
      <c r="Y2" s="2299"/>
      <c r="Z2" s="2300"/>
      <c r="AA2" s="2292"/>
      <c r="AB2" s="2292"/>
      <c r="AC2" s="2292"/>
      <c r="AD2" s="2292"/>
      <c r="AE2" s="2292"/>
      <c r="AF2" s="2292"/>
      <c r="AG2" s="2292"/>
      <c r="AH2" s="2292"/>
      <c r="AI2" s="2292"/>
      <c r="AJ2" s="2292"/>
      <c r="AK2" s="2292"/>
      <c r="AL2" s="2292"/>
      <c r="AM2" s="2292"/>
      <c r="AN2" s="2292"/>
      <c r="AO2" s="2292"/>
      <c r="AP2" s="2292"/>
      <c r="AQ2" s="2292"/>
      <c r="AR2" s="2293"/>
      <c r="AS2" s="2358"/>
      <c r="AT2" s="2361"/>
      <c r="AU2" s="2361"/>
      <c r="AV2" s="2361"/>
      <c r="AW2" s="2362"/>
      <c r="AX2" s="2321"/>
      <c r="AY2" s="2321"/>
      <c r="AZ2" s="2321"/>
      <c r="BA2" s="2321"/>
      <c r="BB2" s="2321"/>
      <c r="BC2" s="2321"/>
      <c r="BD2" s="2321"/>
      <c r="BE2" s="2321"/>
      <c r="BF2" s="2321"/>
      <c r="BG2" s="2321"/>
      <c r="BH2" s="2321"/>
      <c r="BI2" s="2321"/>
      <c r="BJ2" s="2321"/>
      <c r="BK2" s="2321"/>
      <c r="BL2" s="2321"/>
      <c r="BM2" s="2321"/>
      <c r="BN2" s="2321"/>
      <c r="BO2" s="2321"/>
      <c r="BP2" s="2321"/>
      <c r="BQ2" s="2321"/>
      <c r="BR2" s="2322"/>
      <c r="BS2" s="2324"/>
      <c r="BT2" s="2317"/>
      <c r="BU2" s="2317"/>
      <c r="BV2" s="2317"/>
      <c r="BW2" s="2318"/>
      <c r="BX2" s="2355"/>
      <c r="BY2" s="2355"/>
      <c r="BZ2" s="2355"/>
      <c r="CA2" s="2355"/>
      <c r="CB2" s="2355"/>
      <c r="CC2" s="2355"/>
      <c r="CD2" s="2355"/>
      <c r="CE2" s="2355"/>
      <c r="CF2" s="2355"/>
      <c r="CG2" s="2355"/>
      <c r="CH2" s="2355"/>
      <c r="CI2" s="2355"/>
      <c r="CJ2" s="2355"/>
      <c r="CK2" s="2355"/>
      <c r="CL2" s="2355"/>
      <c r="CM2" s="2355"/>
      <c r="CN2" s="2355"/>
      <c r="CO2" s="2355"/>
      <c r="CP2" s="2355"/>
      <c r="CQ2" s="2355"/>
      <c r="CR2" s="2355"/>
      <c r="CS2" s="2356"/>
      <c r="CT2" s="2379"/>
      <c r="CU2" s="2351"/>
      <c r="CV2" s="2351"/>
      <c r="CW2" s="2351"/>
      <c r="CX2" s="2352"/>
    </row>
    <row r="3" spans="1:102" s="136" customFormat="1" ht="69.75" customHeight="1" x14ac:dyDescent="0.3">
      <c r="A3" s="2279" t="s">
        <v>537</v>
      </c>
      <c r="B3" s="2280"/>
      <c r="C3" s="2280"/>
      <c r="D3" s="2281"/>
      <c r="E3" s="743" t="s">
        <v>5</v>
      </c>
      <c r="F3" s="1417" t="s">
        <v>6</v>
      </c>
      <c r="G3" s="2223" t="s">
        <v>7</v>
      </c>
      <c r="H3" s="2294"/>
      <c r="I3" s="1417" t="s">
        <v>8</v>
      </c>
      <c r="J3" s="2223" t="s">
        <v>9</v>
      </c>
      <c r="K3" s="2224"/>
      <c r="L3" s="2224"/>
      <c r="M3" s="2224"/>
      <c r="N3" s="1419" t="s">
        <v>10</v>
      </c>
      <c r="O3" s="744" t="s">
        <v>11</v>
      </c>
      <c r="P3" s="2223" t="s">
        <v>12</v>
      </c>
      <c r="Q3" s="2224"/>
      <c r="R3" s="2224"/>
      <c r="S3" s="2224"/>
      <c r="T3" s="2224"/>
      <c r="U3" s="2224"/>
      <c r="V3" s="2146" t="s">
        <v>125</v>
      </c>
      <c r="W3" s="2147"/>
      <c r="X3" s="2147"/>
      <c r="Y3" s="2147"/>
      <c r="Z3" s="2148"/>
      <c r="AA3" s="1524" t="s">
        <v>5</v>
      </c>
      <c r="AB3" s="1417" t="s">
        <v>6</v>
      </c>
      <c r="AC3" s="2223" t="s">
        <v>7</v>
      </c>
      <c r="AD3" s="2294"/>
      <c r="AE3" s="1418" t="s">
        <v>8</v>
      </c>
      <c r="AF3" s="2295" t="s">
        <v>9</v>
      </c>
      <c r="AG3" s="2296"/>
      <c r="AH3" s="2296"/>
      <c r="AI3" s="2296"/>
      <c r="AJ3" s="2296"/>
      <c r="AK3" s="746" t="s">
        <v>10</v>
      </c>
      <c r="AL3" s="747" t="s">
        <v>11</v>
      </c>
      <c r="AM3" s="2295" t="s">
        <v>12</v>
      </c>
      <c r="AN3" s="2296"/>
      <c r="AO3" s="2296"/>
      <c r="AP3" s="2296"/>
      <c r="AQ3" s="2296"/>
      <c r="AR3" s="2296"/>
      <c r="AS3" s="2155" t="s">
        <v>165</v>
      </c>
      <c r="AT3" s="2156"/>
      <c r="AU3" s="2156"/>
      <c r="AV3" s="2156"/>
      <c r="AW3" s="2157"/>
      <c r="AX3" s="1421" t="s">
        <v>5</v>
      </c>
      <c r="AY3" s="2223" t="s">
        <v>6</v>
      </c>
      <c r="AZ3" s="2294"/>
      <c r="BA3" s="2223" t="s">
        <v>7</v>
      </c>
      <c r="BB3" s="2294"/>
      <c r="BC3" s="2325" t="s">
        <v>8</v>
      </c>
      <c r="BD3" s="2326"/>
      <c r="BE3" s="2325" t="s">
        <v>9</v>
      </c>
      <c r="BF3" s="2326"/>
      <c r="BG3" s="2326"/>
      <c r="BH3" s="2326"/>
      <c r="BI3" s="2326"/>
      <c r="BJ3" s="2326"/>
      <c r="BK3" s="1420" t="s">
        <v>10</v>
      </c>
      <c r="BL3" s="748" t="s">
        <v>11</v>
      </c>
      <c r="BM3" s="2325" t="s">
        <v>12</v>
      </c>
      <c r="BN3" s="2326"/>
      <c r="BO3" s="2326"/>
      <c r="BP3" s="2326"/>
      <c r="BQ3" s="2326"/>
      <c r="BR3" s="2326"/>
      <c r="BS3" s="2164" t="s">
        <v>469</v>
      </c>
      <c r="BT3" s="2165"/>
      <c r="BU3" s="2165"/>
      <c r="BV3" s="2165"/>
      <c r="BW3" s="2166"/>
      <c r="BX3" s="1422" t="s">
        <v>5</v>
      </c>
      <c r="BY3" s="1419" t="s">
        <v>6</v>
      </c>
      <c r="BZ3" s="2381" t="s">
        <v>7</v>
      </c>
      <c r="CA3" s="2381"/>
      <c r="CB3" s="2381"/>
      <c r="CC3" s="2224" t="s">
        <v>8</v>
      </c>
      <c r="CD3" s="2224"/>
      <c r="CE3" s="2223" t="s">
        <v>9</v>
      </c>
      <c r="CF3" s="2224"/>
      <c r="CG3" s="2224"/>
      <c r="CH3" s="2224"/>
      <c r="CI3" s="2224"/>
      <c r="CJ3" s="2224"/>
      <c r="CK3" s="1597"/>
      <c r="CL3" s="1597" t="s">
        <v>10</v>
      </c>
      <c r="CM3" s="749" t="s">
        <v>11</v>
      </c>
      <c r="CN3" s="2223" t="s">
        <v>12</v>
      </c>
      <c r="CO3" s="2224"/>
      <c r="CP3" s="2224"/>
      <c r="CQ3" s="2224"/>
      <c r="CR3" s="2224"/>
      <c r="CS3" s="2224"/>
      <c r="CT3" s="2173" t="s">
        <v>470</v>
      </c>
      <c r="CU3" s="2174"/>
      <c r="CV3" s="2174"/>
      <c r="CW3" s="2174"/>
      <c r="CX3" s="2175"/>
    </row>
    <row r="4" spans="1:102" ht="112.5" customHeight="1" x14ac:dyDescent="0.3">
      <c r="A4" s="2282"/>
      <c r="B4" s="2283"/>
      <c r="C4" s="2283"/>
      <c r="D4" s="2284"/>
      <c r="E4" s="1387" t="s">
        <v>22</v>
      </c>
      <c r="F4" s="750" t="s">
        <v>268</v>
      </c>
      <c r="G4" s="751" t="s">
        <v>420</v>
      </c>
      <c r="H4" s="1387" t="s">
        <v>421</v>
      </c>
      <c r="I4" s="167" t="s">
        <v>25</v>
      </c>
      <c r="J4" s="750" t="s">
        <v>439</v>
      </c>
      <c r="K4" s="1387" t="s">
        <v>440</v>
      </c>
      <c r="L4" s="752" t="s">
        <v>26</v>
      </c>
      <c r="M4" s="752" t="s">
        <v>27</v>
      </c>
      <c r="N4" s="753" t="s">
        <v>446</v>
      </c>
      <c r="O4" s="754" t="s">
        <v>30</v>
      </c>
      <c r="P4" s="750" t="s">
        <v>1</v>
      </c>
      <c r="Q4" s="1370" t="s">
        <v>31</v>
      </c>
      <c r="R4" s="160" t="s">
        <v>337</v>
      </c>
      <c r="S4" s="160" t="s">
        <v>338</v>
      </c>
      <c r="T4" s="160" t="s">
        <v>336</v>
      </c>
      <c r="U4" s="1387" t="s">
        <v>605</v>
      </c>
      <c r="V4" s="2149"/>
      <c r="W4" s="2150"/>
      <c r="X4" s="2150"/>
      <c r="Y4" s="2150"/>
      <c r="Z4" s="2151"/>
      <c r="AA4" s="1370" t="s">
        <v>22</v>
      </c>
      <c r="AB4" s="755" t="s">
        <v>422</v>
      </c>
      <c r="AC4" s="755" t="s">
        <v>423</v>
      </c>
      <c r="AD4" s="1371" t="s">
        <v>424</v>
      </c>
      <c r="AE4" s="1370" t="s">
        <v>38</v>
      </c>
      <c r="AF4" s="755" t="s">
        <v>40</v>
      </c>
      <c r="AG4" s="1370" t="s">
        <v>437</v>
      </c>
      <c r="AH4" s="1370" t="s">
        <v>41</v>
      </c>
      <c r="AI4" s="1370" t="s">
        <v>42</v>
      </c>
      <c r="AJ4" s="1370" t="s">
        <v>43</v>
      </c>
      <c r="AK4" s="756" t="s">
        <v>444</v>
      </c>
      <c r="AL4" s="757" t="s">
        <v>30</v>
      </c>
      <c r="AM4" s="755" t="s">
        <v>37</v>
      </c>
      <c r="AN4" s="1370" t="s">
        <v>31</v>
      </c>
      <c r="AO4" s="160" t="s">
        <v>337</v>
      </c>
      <c r="AP4" s="160" t="s">
        <v>338</v>
      </c>
      <c r="AQ4" s="160" t="s">
        <v>336</v>
      </c>
      <c r="AR4" s="1387" t="s">
        <v>605</v>
      </c>
      <c r="AS4" s="2158"/>
      <c r="AT4" s="2159"/>
      <c r="AU4" s="2159"/>
      <c r="AV4" s="2159"/>
      <c r="AW4" s="2160"/>
      <c r="AX4" s="1391" t="s">
        <v>22</v>
      </c>
      <c r="AY4" s="2375" t="s">
        <v>268</v>
      </c>
      <c r="AZ4" s="1752"/>
      <c r="BA4" s="1408" t="s">
        <v>417</v>
      </c>
      <c r="BB4" s="1391" t="s">
        <v>425</v>
      </c>
      <c r="BC4" s="1408" t="s">
        <v>292</v>
      </c>
      <c r="BD4" s="1391" t="s">
        <v>293</v>
      </c>
      <c r="BE4" s="758" t="s">
        <v>28</v>
      </c>
      <c r="BF4" s="2090" t="s">
        <v>432</v>
      </c>
      <c r="BG4" s="2090"/>
      <c r="BH4" s="1392" t="s">
        <v>296</v>
      </c>
      <c r="BI4" s="1392" t="s">
        <v>297</v>
      </c>
      <c r="BJ4" s="759" t="s">
        <v>46</v>
      </c>
      <c r="BK4" s="1408" t="s">
        <v>444</v>
      </c>
      <c r="BL4" s="760" t="s">
        <v>30</v>
      </c>
      <c r="BM4" s="1408" t="s">
        <v>45</v>
      </c>
      <c r="BN4" s="1370" t="s">
        <v>31</v>
      </c>
      <c r="BO4" s="160" t="s">
        <v>337</v>
      </c>
      <c r="BP4" s="160" t="s">
        <v>338</v>
      </c>
      <c r="BQ4" s="160" t="s">
        <v>336</v>
      </c>
      <c r="BR4" s="1387" t="s">
        <v>605</v>
      </c>
      <c r="BS4" s="2167"/>
      <c r="BT4" s="2168"/>
      <c r="BU4" s="2168"/>
      <c r="BV4" s="2168"/>
      <c r="BW4" s="2169"/>
      <c r="BX4" s="1370" t="s">
        <v>22</v>
      </c>
      <c r="BY4" s="755" t="s">
        <v>268</v>
      </c>
      <c r="BZ4" s="755" t="s">
        <v>417</v>
      </c>
      <c r="CA4" s="1370" t="s">
        <v>418</v>
      </c>
      <c r="CB4" s="1371" t="s">
        <v>419</v>
      </c>
      <c r="CC4" s="761" t="s">
        <v>292</v>
      </c>
      <c r="CD4" s="761" t="s">
        <v>293</v>
      </c>
      <c r="CE4" s="755" t="s">
        <v>48</v>
      </c>
      <c r="CF4" s="1370" t="s">
        <v>49</v>
      </c>
      <c r="CG4" s="1370" t="s">
        <v>50</v>
      </c>
      <c r="CH4" s="1370" t="s">
        <v>51</v>
      </c>
      <c r="CI4" s="1388" t="s">
        <v>562</v>
      </c>
      <c r="CJ4" s="1590" t="s">
        <v>563</v>
      </c>
      <c r="CK4" s="1591" t="s">
        <v>669</v>
      </c>
      <c r="CL4" s="1589" t="s">
        <v>445</v>
      </c>
      <c r="CM4" s="762" t="s">
        <v>30</v>
      </c>
      <c r="CN4" s="755" t="s">
        <v>47</v>
      </c>
      <c r="CO4" s="1370" t="s">
        <v>31</v>
      </c>
      <c r="CP4" s="160" t="s">
        <v>337</v>
      </c>
      <c r="CQ4" s="160" t="s">
        <v>338</v>
      </c>
      <c r="CR4" s="160" t="s">
        <v>336</v>
      </c>
      <c r="CS4" s="1387" t="s">
        <v>605</v>
      </c>
      <c r="CT4" s="2176"/>
      <c r="CU4" s="2177"/>
      <c r="CV4" s="2177"/>
      <c r="CW4" s="2177"/>
      <c r="CX4" s="2178"/>
    </row>
    <row r="5" spans="1:102" ht="55.15" customHeight="1" thickBot="1" x14ac:dyDescent="0.35">
      <c r="A5" s="2285"/>
      <c r="B5" s="2286"/>
      <c r="C5" s="2286"/>
      <c r="D5" s="2287"/>
      <c r="E5" s="763" t="s">
        <v>33</v>
      </c>
      <c r="F5" s="764" t="s">
        <v>33</v>
      </c>
      <c r="G5" s="764" t="s">
        <v>33</v>
      </c>
      <c r="H5" s="765" t="s">
        <v>35</v>
      </c>
      <c r="I5" s="766" t="s">
        <v>36</v>
      </c>
      <c r="J5" s="764" t="s">
        <v>33</v>
      </c>
      <c r="K5" s="765" t="s">
        <v>33</v>
      </c>
      <c r="L5" s="767" t="s">
        <v>36</v>
      </c>
      <c r="M5" s="767" t="s">
        <v>35</v>
      </c>
      <c r="N5" s="766" t="s">
        <v>35</v>
      </c>
      <c r="O5" s="768" t="s">
        <v>36</v>
      </c>
      <c r="P5" s="769" t="s">
        <v>32</v>
      </c>
      <c r="Q5" s="770" t="s">
        <v>32</v>
      </c>
      <c r="R5" s="770" t="s">
        <v>32</v>
      </c>
      <c r="S5" s="770" t="s">
        <v>32</v>
      </c>
      <c r="T5" s="770" t="s">
        <v>32</v>
      </c>
      <c r="U5" s="770" t="s">
        <v>32</v>
      </c>
      <c r="V5" s="2149"/>
      <c r="W5" s="2150"/>
      <c r="X5" s="2150"/>
      <c r="Y5" s="2150"/>
      <c r="Z5" s="2151"/>
      <c r="AA5" s="770" t="s">
        <v>33</v>
      </c>
      <c r="AB5" s="769" t="s">
        <v>44</v>
      </c>
      <c r="AC5" s="769" t="s">
        <v>33</v>
      </c>
      <c r="AD5" s="770" t="s">
        <v>35</v>
      </c>
      <c r="AE5" s="769" t="s">
        <v>33</v>
      </c>
      <c r="AF5" s="769" t="s">
        <v>33</v>
      </c>
      <c r="AG5" s="770" t="s">
        <v>33</v>
      </c>
      <c r="AH5" s="770" t="s">
        <v>33</v>
      </c>
      <c r="AI5" s="770" t="s">
        <v>33</v>
      </c>
      <c r="AJ5" s="770" t="s">
        <v>33</v>
      </c>
      <c r="AK5" s="772" t="s">
        <v>34</v>
      </c>
      <c r="AL5" s="773" t="s">
        <v>36</v>
      </c>
      <c r="AM5" s="769" t="s">
        <v>32</v>
      </c>
      <c r="AN5" s="770" t="s">
        <v>32</v>
      </c>
      <c r="AO5" s="770" t="s">
        <v>32</v>
      </c>
      <c r="AP5" s="770" t="s">
        <v>32</v>
      </c>
      <c r="AQ5" s="770" t="s">
        <v>32</v>
      </c>
      <c r="AR5" s="770" t="s">
        <v>32</v>
      </c>
      <c r="AS5" s="2158"/>
      <c r="AT5" s="2159"/>
      <c r="AU5" s="2159"/>
      <c r="AV5" s="2159"/>
      <c r="AW5" s="2160"/>
      <c r="AX5" s="1523" t="s">
        <v>33</v>
      </c>
      <c r="AY5" s="2376" t="s">
        <v>33</v>
      </c>
      <c r="AZ5" s="2377"/>
      <c r="BA5" s="1409" t="s">
        <v>33</v>
      </c>
      <c r="BB5" s="1411" t="s">
        <v>35</v>
      </c>
      <c r="BC5" s="1409" t="s">
        <v>36</v>
      </c>
      <c r="BD5" s="1411" t="s">
        <v>36</v>
      </c>
      <c r="BE5" s="1409" t="s">
        <v>33</v>
      </c>
      <c r="BF5" s="2329" t="s">
        <v>36</v>
      </c>
      <c r="BG5" s="2329"/>
      <c r="BH5" s="1411" t="s">
        <v>36</v>
      </c>
      <c r="BI5" s="1411" t="s">
        <v>33</v>
      </c>
      <c r="BJ5" s="1426" t="s">
        <v>36</v>
      </c>
      <c r="BK5" s="1409" t="s">
        <v>34</v>
      </c>
      <c r="BL5" s="774" t="s">
        <v>36</v>
      </c>
      <c r="BM5" s="1409" t="s">
        <v>32</v>
      </c>
      <c r="BN5" s="770" t="s">
        <v>32</v>
      </c>
      <c r="BO5" s="770" t="s">
        <v>32</v>
      </c>
      <c r="BP5" s="770" t="s">
        <v>32</v>
      </c>
      <c r="BQ5" s="770" t="s">
        <v>32</v>
      </c>
      <c r="BR5" s="770" t="s">
        <v>32</v>
      </c>
      <c r="BS5" s="2167"/>
      <c r="BT5" s="2168"/>
      <c r="BU5" s="2168"/>
      <c r="BV5" s="2168"/>
      <c r="BW5" s="2169"/>
      <c r="BX5" s="770" t="s">
        <v>33</v>
      </c>
      <c r="BY5" s="769" t="s">
        <v>33</v>
      </c>
      <c r="BZ5" s="769" t="s">
        <v>33</v>
      </c>
      <c r="CA5" s="770" t="s">
        <v>52</v>
      </c>
      <c r="CB5" s="775" t="s">
        <v>52</v>
      </c>
      <c r="CC5" s="776" t="s">
        <v>36</v>
      </c>
      <c r="CD5" s="776" t="s">
        <v>36</v>
      </c>
      <c r="CE5" s="769" t="s">
        <v>33</v>
      </c>
      <c r="CF5" s="770" t="s">
        <v>33</v>
      </c>
      <c r="CG5" s="770" t="s">
        <v>33</v>
      </c>
      <c r="CH5" s="770" t="s">
        <v>36</v>
      </c>
      <c r="CI5" s="770" t="s">
        <v>34</v>
      </c>
      <c r="CJ5" s="770" t="s">
        <v>35</v>
      </c>
      <c r="CK5" s="775" t="s">
        <v>35</v>
      </c>
      <c r="CL5" s="775" t="s">
        <v>35</v>
      </c>
      <c r="CM5" s="777" t="s">
        <v>36</v>
      </c>
      <c r="CN5" s="769" t="s">
        <v>32</v>
      </c>
      <c r="CO5" s="770" t="s">
        <v>32</v>
      </c>
      <c r="CP5" s="770" t="s">
        <v>32</v>
      </c>
      <c r="CQ5" s="770" t="s">
        <v>32</v>
      </c>
      <c r="CR5" s="770" t="s">
        <v>32</v>
      </c>
      <c r="CS5" s="770" t="s">
        <v>32</v>
      </c>
      <c r="CT5" s="2176"/>
      <c r="CU5" s="2177"/>
      <c r="CV5" s="2177"/>
      <c r="CW5" s="2177"/>
      <c r="CX5" s="2178"/>
    </row>
    <row r="6" spans="1:102" s="794" customFormat="1" ht="168.75" customHeight="1" x14ac:dyDescent="0.25">
      <c r="A6" s="2302" t="s">
        <v>112</v>
      </c>
      <c r="B6" s="2303"/>
      <c r="C6" s="2303"/>
      <c r="D6" s="2304"/>
      <c r="E6" s="778" t="s">
        <v>137</v>
      </c>
      <c r="F6" s="779" t="s">
        <v>136</v>
      </c>
      <c r="G6" s="780" t="s">
        <v>135</v>
      </c>
      <c r="H6" s="781" t="s">
        <v>151</v>
      </c>
      <c r="I6" s="779" t="s">
        <v>128</v>
      </c>
      <c r="J6" s="780" t="s">
        <v>123</v>
      </c>
      <c r="K6" s="782" t="s">
        <v>124</v>
      </c>
      <c r="L6" s="783" t="s">
        <v>127</v>
      </c>
      <c r="M6" s="783" t="s">
        <v>126</v>
      </c>
      <c r="N6" s="779" t="s">
        <v>129</v>
      </c>
      <c r="O6" s="784" t="s">
        <v>141</v>
      </c>
      <c r="P6" s="1423" t="s">
        <v>130</v>
      </c>
      <c r="Q6" s="785" t="s">
        <v>131</v>
      </c>
      <c r="R6" s="786" t="s">
        <v>606</v>
      </c>
      <c r="S6" s="786" t="s">
        <v>607</v>
      </c>
      <c r="T6" s="786" t="s">
        <v>608</v>
      </c>
      <c r="U6" s="786" t="s">
        <v>609</v>
      </c>
      <c r="V6" s="2149"/>
      <c r="W6" s="2150"/>
      <c r="X6" s="2150"/>
      <c r="Y6" s="2150"/>
      <c r="Z6" s="2151"/>
      <c r="AA6" s="1532" t="s">
        <v>138</v>
      </c>
      <c r="AB6" s="787" t="s">
        <v>147</v>
      </c>
      <c r="AC6" s="780" t="s">
        <v>135</v>
      </c>
      <c r="AD6" s="781" t="s">
        <v>151</v>
      </c>
      <c r="AE6" s="787" t="s">
        <v>139</v>
      </c>
      <c r="AF6" s="780" t="s">
        <v>146</v>
      </c>
      <c r="AG6" s="788" t="s">
        <v>145</v>
      </c>
      <c r="AH6" s="788" t="s">
        <v>143</v>
      </c>
      <c r="AI6" s="788" t="s">
        <v>144</v>
      </c>
      <c r="AJ6" s="789" t="s">
        <v>142</v>
      </c>
      <c r="AK6" s="790" t="s">
        <v>140</v>
      </c>
      <c r="AL6" s="784" t="s">
        <v>141</v>
      </c>
      <c r="AM6" s="1423" t="s">
        <v>132</v>
      </c>
      <c r="AN6" s="785" t="s">
        <v>131</v>
      </c>
      <c r="AO6" s="786" t="s">
        <v>606</v>
      </c>
      <c r="AP6" s="786" t="s">
        <v>607</v>
      </c>
      <c r="AQ6" s="786" t="s">
        <v>608</v>
      </c>
      <c r="AR6" s="786" t="s">
        <v>609</v>
      </c>
      <c r="AS6" s="2158"/>
      <c r="AT6" s="2159"/>
      <c r="AU6" s="2159"/>
      <c r="AV6" s="2159"/>
      <c r="AW6" s="2160"/>
      <c r="AX6" s="781" t="s">
        <v>122</v>
      </c>
      <c r="AY6" s="2363" t="s">
        <v>163</v>
      </c>
      <c r="AZ6" s="2364"/>
      <c r="BA6" s="780" t="s">
        <v>150</v>
      </c>
      <c r="BB6" s="781" t="s">
        <v>152</v>
      </c>
      <c r="BC6" s="1412" t="s">
        <v>149</v>
      </c>
      <c r="BD6" s="792" t="s">
        <v>153</v>
      </c>
      <c r="BE6" s="793" t="s">
        <v>123</v>
      </c>
      <c r="BF6" s="2330" t="s">
        <v>154</v>
      </c>
      <c r="BG6" s="2330"/>
      <c r="BH6" s="1412" t="s">
        <v>155</v>
      </c>
      <c r="BI6" s="1412" t="s">
        <v>156</v>
      </c>
      <c r="BJ6" s="792" t="s">
        <v>157</v>
      </c>
      <c r="BK6" s="790" t="s">
        <v>164</v>
      </c>
      <c r="BL6" s="784" t="s">
        <v>141</v>
      </c>
      <c r="BM6" s="1423" t="s">
        <v>133</v>
      </c>
      <c r="BN6" s="785" t="s">
        <v>131</v>
      </c>
      <c r="BO6" s="786" t="s">
        <v>606</v>
      </c>
      <c r="BP6" s="786" t="s">
        <v>607</v>
      </c>
      <c r="BQ6" s="786" t="s">
        <v>608</v>
      </c>
      <c r="BR6" s="786" t="s">
        <v>609</v>
      </c>
      <c r="BS6" s="2167"/>
      <c r="BT6" s="2168"/>
      <c r="BU6" s="2168"/>
      <c r="BV6" s="2168"/>
      <c r="BW6" s="2169"/>
      <c r="BX6" s="1532" t="s">
        <v>158</v>
      </c>
      <c r="BY6" s="787" t="s">
        <v>162</v>
      </c>
      <c r="BZ6" s="1423" t="s">
        <v>176</v>
      </c>
      <c r="CA6" s="785" t="s">
        <v>175</v>
      </c>
      <c r="CB6" s="1424" t="s">
        <v>177</v>
      </c>
      <c r="CC6" s="1412" t="s">
        <v>149</v>
      </c>
      <c r="CD6" s="792" t="s">
        <v>148</v>
      </c>
      <c r="CE6" s="1423" t="s">
        <v>161</v>
      </c>
      <c r="CF6" s="785" t="s">
        <v>160</v>
      </c>
      <c r="CG6" s="785" t="s">
        <v>156</v>
      </c>
      <c r="CH6" s="786" t="s">
        <v>159</v>
      </c>
      <c r="CI6" s="1453" t="s">
        <v>611</v>
      </c>
      <c r="CJ6" s="785" t="s">
        <v>612</v>
      </c>
      <c r="CK6" s="1600" t="s">
        <v>675</v>
      </c>
      <c r="CL6" s="1600" t="s">
        <v>174</v>
      </c>
      <c r="CM6" s="784" t="s">
        <v>141</v>
      </c>
      <c r="CN6" s="1423" t="s">
        <v>134</v>
      </c>
      <c r="CO6" s="785" t="s">
        <v>131</v>
      </c>
      <c r="CP6" s="786" t="s">
        <v>606</v>
      </c>
      <c r="CQ6" s="786" t="s">
        <v>607</v>
      </c>
      <c r="CR6" s="786" t="s">
        <v>608</v>
      </c>
      <c r="CS6" s="786" t="s">
        <v>609</v>
      </c>
      <c r="CT6" s="2176"/>
      <c r="CU6" s="2177"/>
      <c r="CV6" s="2177"/>
      <c r="CW6" s="2177"/>
      <c r="CX6" s="2178"/>
    </row>
    <row r="7" spans="1:102" s="794" customFormat="1" ht="31.5" customHeight="1" thickBot="1" x14ac:dyDescent="0.3">
      <c r="A7" s="2305" t="s">
        <v>121</v>
      </c>
      <c r="B7" s="2306"/>
      <c r="C7" s="2306"/>
      <c r="D7" s="2307"/>
      <c r="E7" s="2253" t="str">
        <f>HYPERLINK("http://www.energy.alberta.ca/Electricity/pdfs/FactSheet_Electricity_RRO.pdf", "Energy Alberta RRO Fact Sheet, Page 1")</f>
        <v>Energy Alberta RRO Fact Sheet, Page 1</v>
      </c>
      <c r="F7" s="2263" t="str">
        <f>HYPERLINK("http://www.auc.ab.ca/applications/decisions/Decisions/2014/2014-311.pdf", "AUC ENMAX  2015 Interim Distribution and Transmission Tariff Application, Page 9")</f>
        <v>AUC ENMAX  2015 Interim Distribution and Transmission Tariff Application, Page 9</v>
      </c>
      <c r="G7" s="2263" t="str">
        <f>HYPERLINK("http://www.auc.ab.ca/applications/decisions/Decisions/2014/2014-311.pdf", "AUC ENMAX  2015 Interim Distribution and Transmission Tariff Application, Page 7")</f>
        <v>AUC ENMAX  2015 Interim Distribution and Transmission Tariff Application, Page 7</v>
      </c>
      <c r="H7" s="2234" t="str">
        <f>HYPERLINK("http://www.auc.ab.ca/applications/decisions/Decisions/2014/2014-311.pdf", "AUC ENMAX  2015 Interim Distribution and Transmission Tariff Application, Page 7")</f>
        <v>AUC ENMAX  2015 Interim Distribution and Transmission Tariff Application, Page 7</v>
      </c>
      <c r="I7" s="2234" t="str">
        <f>HYPERLINK("http://callmepower.ca/en/ab/energy-literacy/local-access-fee#how", "Call Me Power Energy Literacy - Local Access Fees for Electricity in Alberta")</f>
        <v>Call Me Power Energy Literacy - Local Access Fees for Electricity in Alberta</v>
      </c>
      <c r="J7" s="2263" t="str">
        <f>HYPERLINK("https://www.enmax.com/ForYourHomeSite/Documents/2016-04-01-DT-Rate-Schedule.pdf", "ENMAX April 2016 Distribution Tariff Rate Schedule, Page 19")</f>
        <v>ENMAX April 2016 Distribution Tariff Rate Schedule, Page 19</v>
      </c>
      <c r="K7" s="2311" t="str">
        <f>HYPERLINK("https://www.enmax.com/ForYourHomeSite/Documents/2016-04-01-DT-Rate-Schedule.pdf", "ENMAX April 2016 Distribution Tariff Rate Schedule, Page 20")</f>
        <v>ENMAX April 2016 Distribution Tariff Rate Schedule, Page 20</v>
      </c>
      <c r="L7" s="2311" t="str">
        <f>HYPERLINK("https://www.enmax.com/ForYourHomeSite/Documents/DT-Rate-Schedule-2015-01-01.pdf", "ENMAX January 2015 Distribution Tariff Rate Schedule, Page 22")</f>
        <v>ENMAX January 2015 Distribution Tariff Rate Schedule, Page 22</v>
      </c>
      <c r="M7" s="2234" t="str">
        <f>HYPERLINK("http://www.auc.ab.ca/applications/decisions/Decisions/2014/2014-332.pdf", "AUC ENMAX 2014 RRO Non-Energy Final Tariff Compliance Filing and Non-Energy Rate Rider Application, Page 13")</f>
        <v>AUC ENMAX 2014 RRO Non-Energy Final Tariff Compliance Filing and Non-Energy Rate Rider Application, Page 13</v>
      </c>
      <c r="N7" s="2266" t="str">
        <f>HYPERLINK("http://www.auc.ab.ca/applications/decisions/Decisions/2011/2011-458.pdf", "AUC 2011 RRO Non-Energy Tariff Compliance Filing, Page 7")</f>
        <v>AUC 2011 RRO Non-Energy Tariff Compliance Filing, Page 7</v>
      </c>
      <c r="O7" s="2266" t="str">
        <f>HYPERLINK("http://www.cra-arc.gc.ca/tx/bsnss/tpcs/gst-tps/rts-eng.html#rt", "Canada Revenue Agency GST/HST Rates")</f>
        <v>Canada Revenue Agency GST/HST Rates</v>
      </c>
      <c r="P7" s="2270"/>
      <c r="Q7" s="2268"/>
      <c r="R7" s="2268"/>
      <c r="S7" s="2268"/>
      <c r="T7" s="2268"/>
      <c r="U7" s="2268"/>
      <c r="V7" s="2149"/>
      <c r="W7" s="2150"/>
      <c r="X7" s="2150"/>
      <c r="Y7" s="2150"/>
      <c r="Z7" s="2151"/>
      <c r="AA7" s="2234" t="str">
        <f>HYPERLINK("http://www.epcor.com/power-natural-gas/regulated-rate-option/Pages/about-rro.aspx", "EPCOR About the Regulated Rate Option (RRO)")</f>
        <v>EPCOR About the Regulated Rate Option (RRO)</v>
      </c>
      <c r="AB7" s="2261" t="str">
        <f>HYPERLINK("https://www2.auc.ab.ca/Proceeding20821/_layouts/download.aspx?SourceUrl=//www2.auc.ab.ca/Proceeding20821%2fProceedingDocuments%2fAppendixF-2016SASCOSS_0007.xlsx", "AUC EPCOR Decision 20821-D01-2015, Exhibit 20821-X0006 Appendix F - 2016 SAS COSS, Sheets 'SAS-2 2016', 'SAS-4 2016', 'SAS 2016'")</f>
        <v>AUC EPCOR Decision 20821-D01-2015, Exhibit 20821-X0006 Appendix F - 2016 SAS COSS, Sheets 'SAS-2 2016', 'SAS-4 2016', 'SAS 2016'</v>
      </c>
      <c r="AC7" s="2259" t="str">
        <f>HYPERLINK("http://www.auc.ab.ca/regulatory_documents/ProceedingDocuments/2015/20821-D01-2015.pdf", "AUC EPCOR Distribution &amp; Transmission 2016 Annual PBR Rate Adjustment Filing, Page 24")</f>
        <v>AUC EPCOR Distribution &amp; Transmission 2016 Annual PBR Rate Adjustment Filing, Page 24</v>
      </c>
      <c r="AD7" s="2182" t="str">
        <f>HYPERLINK("http://www.auc.ab.ca/regulatory_documents/ProceedingDocuments/2015/20821-D01-2015.pdf", "AUC EPCOR Distribution &amp; Transmission 2016 Annual PBR Rate Adjustment Filing, Page 24")</f>
        <v>AUC EPCOR Distribution &amp; Transmission 2016 Annual PBR Rate Adjustment Filing, Page 24</v>
      </c>
      <c r="AE7" s="2256" t="str">
        <f>HYPERLINK("http://callmepower.ca/en/ab/energy-literacy/local-access-fee#how", "Call Me Power Energy Literacy - Local Access Fees for Electricity in Alberta")</f>
        <v>Call Me Power Energy Literacy - Local Access Fees for Electricity in Alberta</v>
      </c>
      <c r="AF7" s="2225" t="str">
        <f>HYPERLINK("http://www.auc.ab.ca/applications/decisions/Decisions/2014/2014-346.pdf", "AUC EPCOR Distribution &amp; Transmission 2015 Annual PBR Rate Adjustment Filing ,Page 15")</f>
        <v>AUC EPCOR Distribution &amp; Transmission 2015 Annual PBR Rate Adjustment Filing ,Page 15</v>
      </c>
      <c r="AG7" s="2225" t="str">
        <f>HYPERLINK("http://www.auc.ab.ca/applications/decisions/Decisions/2014/2014-346.pdf", "AUC EPCOR Distribution &amp; Transmission 2015 Annual PBR Rate Adjustment Filing ,Page 15")</f>
        <v>AUC EPCOR Distribution &amp; Transmission 2015 Annual PBR Rate Adjustment Filing ,Page 15</v>
      </c>
      <c r="AH7" s="2225" t="str">
        <f>HYPERLINK("http://www.auc.ab.ca/applications/decisions/Decisions/2014/2014-346.pdf", "AUC EPCOR Distribution &amp; Transmission 2015 Annual PBR Rate Adjustment Filing ,Page 15")</f>
        <v>AUC EPCOR Distribution &amp; Transmission 2015 Annual PBR Rate Adjustment Filing ,Page 15</v>
      </c>
      <c r="AI7" s="2225" t="str">
        <f>HYPERLINK("http://www.auc.ab.ca/applications/decisions/Decisions/2014/2014-346.pdf", "AUC EPCOR Distribution &amp; Transmission 2015 Annual PBR Rate Adjustment Filing ,Page 15")</f>
        <v>AUC EPCOR Distribution &amp; Transmission 2015 Annual PBR Rate Adjustment Filing ,Page 15</v>
      </c>
      <c r="AJ7" s="2182" t="str">
        <f>HYPERLINK("http://www.auc.ab.ca/applications/decisions/Decisions/2014/2014-346.pdf", "AUC EPCOR Distribution &amp; Transmission 2015 Annual PBR Rate Adjustment Filing ,Page 15")</f>
        <v>AUC EPCOR Distribution &amp; Transmission 2015 Annual PBR Rate Adjustment Filing ,Page 15</v>
      </c>
      <c r="AK7" s="2256" t="str">
        <f>HYPERLINK("http://www.epcor.com/power-natural-gas/regulated-rate-option/Pages/about-rro.aspx", "EPCOR About the Regulated Rate Option (RRO)")</f>
        <v>EPCOR About the Regulated Rate Option (RRO)</v>
      </c>
      <c r="AL7" s="2266" t="str">
        <f>HYPERLINK("http://www.cra-arc.gc.ca/tx/bsnss/tpcs/gst-tps/rts-eng.html#rt", "Canada Revenue Agency GST/HST Rates")</f>
        <v>Canada Revenue Agency GST/HST Rates</v>
      </c>
      <c r="AM7" s="2270"/>
      <c r="AN7" s="2268"/>
      <c r="AO7" s="2268"/>
      <c r="AP7" s="2268"/>
      <c r="AQ7" s="2268"/>
      <c r="AR7" s="2268"/>
      <c r="AS7" s="2158"/>
      <c r="AT7" s="2159"/>
      <c r="AU7" s="2159"/>
      <c r="AV7" s="2159"/>
      <c r="AW7" s="2160"/>
      <c r="AX7" s="2234" t="str">
        <f>HYPERLINK("http://www.energy.alberta.ca/Electricity/pdfs/FactSheet_Electricity_RRO.pdf", "Energy Alberta RRO Fact Sheet, Page 1")</f>
        <v>Energy Alberta RRO Fact Sheet, Page 1</v>
      </c>
      <c r="AY7" s="2344" t="str">
        <f>HYPERLINK("https://www2.auc.ab.ca/Proceeding20818/_layouts/download.aspx?SourceUrl=//www2.auc.ab.ca/Proceeding20818%2fProceedingDocuments%2fRevisedSchedule322016TransmissionCostAll_0103.xlsx", "AUC Fortis Alberta Proceeding 20818, Exhibit 20818-X0100 Revised Schedule 3.2 2016 Transmission Cost Allocation, Sheet 'Schedule 3.2-A Total'")</f>
        <v>AUC Fortis Alberta Proceeding 20818, Exhibit 20818-X0100 Revised Schedule 3.2 2016 Transmission Cost Allocation, Sheet 'Schedule 3.2-A Total'</v>
      </c>
      <c r="AZ7" s="2333" t="str">
        <f>HYPERLINK("https://www2.auc.ab.ca/Proceeding20818/_layouts/download.aspx?SourceUrl=//www2.auc.ab.ca/Proceeding20818%2fProceedingDocuments%2fRevisedSchedule412016RevenueandRateDesig_0104.xlsx", "AUC Fortis Alberta Proceeding 20818, Exhibit 20818-X0099 Revised Schedule 4.1 2016 Revenue and Rate Design, Sheets '4.1-B3 2016 Base Rates', '4.1-F 2016 BDs'")</f>
        <v>AUC Fortis Alberta Proceeding 20818, Exhibit 20818-X0099 Revised Schedule 4.1 2016 Revenue and Rate Design, Sheets '4.1-B3 2016 Base Rates', '4.1-F 2016 BDs'</v>
      </c>
      <c r="BA7" s="2331" t="str">
        <f>HYPERLINK("https://www2.auc.ab.ca/Proceeding20818/_layouts/download.aspx?SourceUrl=//www2.auc.ab.ca/Proceeding20818%2fProceedingDocuments%2fRevisedSchedule412016RevenueandRateDesig_0104.xlsx", "AUC Fortis Alberta Proceeding 20818, Exhibit 20818-X0099 Revised Schedule 4.1 2016 Revenue and Rate Design, Sheets '4.1-B1 2016 PBR Rates'")</f>
        <v>AUC Fortis Alberta Proceeding 20818, Exhibit 20818-X0099 Revised Schedule 4.1 2016 Revenue and Rate Design, Sheets '4.1-B1 2016 PBR Rates'</v>
      </c>
      <c r="BB7" s="2333" t="str">
        <f>HYPERLINK("https://www2.auc.ab.ca/Proceeding20818/_layouts/download.aspx?SourceUrl=//www2.auc.ab.ca/Proceeding20818%2fProceedingDocuments%2fRevisedSchedule412016RevenueandRateDesig_0104.xlsx", "AUC Fortis Alberta Proceeding 20818, Exhibit 20818-X0099 Revised Schedule 4.1 2016 Revenue and Rate Design, Sheets '4.1-B1 2016 PBR Rates'")</f>
        <v>AUC Fortis Alberta Proceeding 20818, Exhibit 20818-X0099 Revised Schedule 4.1 2016 Revenue and Rate Design, Sheets '4.1-B1 2016 PBR Rates'</v>
      </c>
      <c r="BC7" s="2259" t="str">
        <f>HYPERLINK("http://www.auc.ab.ca/applications/decisions/Decisions/2012/2012-255.pdf", "AUC Fortis Alberta Franchise Agreement with Town of Hinton, Pages 5, 7, 8")</f>
        <v>AUC Fortis Alberta Franchise Agreement with Town of Hinton, Pages 5, 7, 8</v>
      </c>
      <c r="BD7" s="2182"/>
      <c r="BE7" s="2259" t="str">
        <f>HYPERLINK("http://fortisalberta.com/docs/default-source/default-document-library/2016-april-rates-options-riders.pdf?sfvrsn=10", "Fortis Alberta April 2016 Rates, Options, and Riders, Page 30")</f>
        <v>Fortis Alberta April 2016 Rates, Options, and Riders, Page 30</v>
      </c>
      <c r="BF7" s="2225" t="str">
        <f>HYPERLINK("http://www.auc.ab.ca/applications/decisions/Decisions/2011/2011-390.pdf", "AUC Fortis Alberta Q4 2011 Quarterly Transmission Adjustment Rider, Page 8")</f>
        <v>AUC Fortis Alberta Q4 2011 Quarterly Transmission Adjustment Rider, Page 8</v>
      </c>
      <c r="BG7" s="2225" t="str">
        <f>HYPERLINK("http://www.auc.ab.ca/regulatory_documents/ProceedingDocuments/2015/20818-D01-2015.pdf", "AUC Fortis Alberta 2016 Annual Performance-Based Regulation Rate Adjustment Filing, Page 20")</f>
        <v>AUC Fortis Alberta 2016 Annual Performance-Based Regulation Rate Adjustment Filing, Page 20</v>
      </c>
      <c r="BH7" s="2225" t="str">
        <f>HYPERLINK("http://www.auc.ab.ca/applications/decisions/Decisions/2011/2011-390.pdf", "AUC Fortis Alberta Q4 2011 Quarterly Transmission Adjustment Rider, Page 8")</f>
        <v>AUC Fortis Alberta Q4 2011 Quarterly Transmission Adjustment Rider, Page 8</v>
      </c>
      <c r="BI7" s="2225" t="str">
        <f>HYPERLINK("http://www.auc.ab.ca/regulatory_documents/ProceedingDocuments/2015/20818-D01-2015.pdf", "AUC Fortis Alberta 2016 Annual Performance-Based Regulation Rate Adjustment Filing, Page 20")</f>
        <v>AUC Fortis Alberta 2016 Annual Performance-Based Regulation Rate Adjustment Filing, Page 20</v>
      </c>
      <c r="BJ7" s="2182" t="str">
        <f>HYPERLINK("http://www.auc.ab.ca/regulatory_documents/ProceedingDocuments/2015/20818-D01-2015.pdf", "AUC Fortis Alberta 2016 Annual Performance-Based Regulation Rate Adjustment Filing, Page 20")</f>
        <v>AUC Fortis Alberta 2016 Annual Performance-Based Regulation Rate Adjustment Filing, Page 20</v>
      </c>
      <c r="BK7" s="2256" t="str">
        <f>HYPERLINK("http://fortisalberta.com/customer-service/rates-and-billing", "Fortis Alberta Understanding Your Electricity Bill")</f>
        <v>Fortis Alberta Understanding Your Electricity Bill</v>
      </c>
      <c r="BL7" s="2266" t="str">
        <f>HYPERLINK("http://www.cra-arc.gc.ca/tx/bsnss/tpcs/gst-tps/rts-eng.html#rt", "Canada Revenue Agency GST/HST Rates")</f>
        <v>Canada Revenue Agency GST/HST Rates</v>
      </c>
      <c r="BM7" s="2374"/>
      <c r="BN7" s="2372"/>
      <c r="BO7" s="2268"/>
      <c r="BP7" s="2268"/>
      <c r="BQ7" s="2268"/>
      <c r="BR7" s="2268"/>
      <c r="BS7" s="2167"/>
      <c r="BT7" s="2168"/>
      <c r="BU7" s="2168"/>
      <c r="BV7" s="2168"/>
      <c r="BW7" s="2169"/>
      <c r="BX7" s="2234" t="str">
        <f>HYPERLINK("http://www.energy.alberta.ca/Electricity/pdfs/FactSheet_Electricity_RRO.pdf", "Energy Alberta RRO Fact Sheet, Page 1")</f>
        <v>Energy Alberta RRO Fact Sheet, Page 1</v>
      </c>
      <c r="BY7" s="1414" t="str">
        <f>HYPERLINK("http://www.auc.ab.ca/regulatory_documents/ProceedingDocuments/2015/20822-D01-2015.pdf", "AUC ATCO Electric, 2016 Annual PBR Rate Adjustment Filing Decision, Pages 7, 28")</f>
        <v>AUC ATCO Electric, 2016 Annual PBR Rate Adjustment Filing Decision, Pages 7, 28</v>
      </c>
      <c r="BZ7" s="2259" t="str">
        <f>HYPERLINK("http://www.auc.ab.ca/regulatory_documents/ProceedingDocuments/2015/20822-D01-2015.pdf", "AUC ATCO Electric, 2016 Annual PBR Rate Adjustment Filing Decision, Page 7")</f>
        <v>AUC ATCO Electric, 2016 Annual PBR Rate Adjustment Filing Decision, Page 7</v>
      </c>
      <c r="CA7" s="2225"/>
      <c r="CB7" s="2182"/>
      <c r="CC7" s="2259" t="str">
        <f>HYPERLINK("http://www.atcoelectric.com/Rates/tariffs/Documents/2015-01-01AE_RiderA.pdf", "ATCO Electric January 2015 Rider A Rate Schedule, Page 1")</f>
        <v>ATCO Electric January 2015 Rider A Rate Schedule, Page 1</v>
      </c>
      <c r="CD7" s="2182" t="str">
        <f>HYPERLINK("http://www.atcoelectric.com/Rates/tariffs/Documents/2015-01-01AE_RiderA.pdf", "ATCO Electric January 2015 Rider A Rate Schedule, Page 1")</f>
        <v>ATCO Electric January 2015 Rider A Rate Schedule, Page 1</v>
      </c>
      <c r="CE7" s="2259" t="str">
        <f>HYPERLINK("http://www.auc.ab.ca/regulatory_documents/ProceedingDocuments/2015/20822-D01-2015.pdf", "AUC ATCO Electric 2016 Annual PBR Application Rate Adjustment Filing Decision, Page 25")</f>
        <v>AUC ATCO Electric 2016 Annual PBR Application Rate Adjustment Filing Decision, Page 25</v>
      </c>
      <c r="CF7" s="2225"/>
      <c r="CG7" s="2225"/>
      <c r="CH7" s="2225"/>
      <c r="CI7" s="2225" t="str">
        <f>HYPERLINK("http://www.auc.ab.ca/regulatory_documents/ProceedingDocuments/2016/21952-D01-2016.pdf", "AUC Decision 21952-D01-2016 DERS Late Payment Penalty Settlement Compliance Filing")</f>
        <v>AUC Decision 21952-D01-2016 DERS Late Payment Penalty Settlement Compliance Filing</v>
      </c>
      <c r="CJ7" s="2191" t="str">
        <f>HYPERLINK("http://www.auc.ab.ca/regulatory_documents/ProceedingDocuments/2017/22472-D01-2017.pdf", "AUC Decision 22472-D01-2017 DERS Review of Decision 21568-D01-2016")</f>
        <v>AUC Decision 22472-D01-2017 DERS Review of Decision 21568-D01-2016</v>
      </c>
      <c r="CK7" s="2182" t="str">
        <f>HYPERLINK("http://www.auc.ab.ca/regulatory_documents/ProceedingDocuments/2018/23986-D01-2018.pdf", "AUC Decision 23986-D01-2018 DERS Application for True-Up of 2017 and 2018 Interim Rates for the Default Rate Tariff and Regulated Rate Tariff")</f>
        <v>AUC Decision 23986-D01-2018 DERS Application for True-Up of 2017 and 2018 Interim Rates for the Default Rate Tariff and Regulated Rate Tariff</v>
      </c>
      <c r="CL7" s="2182" t="str">
        <f>HYPERLINK("http://www.directenergyregulatedservices.com/CUS/Your-Electricity-Bill.aspx", "Direct Energy Regulated Services Understanding Your Electricity Bill")</f>
        <v>Direct Energy Regulated Services Understanding Your Electricity Bill</v>
      </c>
      <c r="CM7" s="2266" t="str">
        <f>HYPERLINK("http://www.cra-arc.gc.ca/tx/bsnss/tpcs/gst-tps/rts-eng.html#rt", "Canada Revenue Agency GST/HST Rates")</f>
        <v>Canada Revenue Agency GST/HST Rates</v>
      </c>
      <c r="CN7" s="2270"/>
      <c r="CO7" s="2268"/>
      <c r="CP7" s="2268"/>
      <c r="CQ7" s="2268"/>
      <c r="CR7" s="2268"/>
      <c r="CS7" s="2268"/>
      <c r="CT7" s="2176"/>
      <c r="CU7" s="2177"/>
      <c r="CV7" s="2177"/>
      <c r="CW7" s="2177"/>
      <c r="CX7" s="2178"/>
    </row>
    <row r="8" spans="1:102" s="794" customFormat="1" ht="54.75" customHeight="1" thickBot="1" x14ac:dyDescent="0.3">
      <c r="A8" s="2288" t="s">
        <v>13</v>
      </c>
      <c r="B8" s="2288"/>
      <c r="C8" s="2288"/>
      <c r="D8" s="2289"/>
      <c r="E8" s="2254"/>
      <c r="F8" s="2264"/>
      <c r="G8" s="2264"/>
      <c r="H8" s="2265"/>
      <c r="I8" s="2265"/>
      <c r="J8" s="2264"/>
      <c r="K8" s="2312"/>
      <c r="L8" s="2313"/>
      <c r="M8" s="2314"/>
      <c r="N8" s="2267"/>
      <c r="O8" s="2348"/>
      <c r="P8" s="2271"/>
      <c r="Q8" s="2269"/>
      <c r="R8" s="2269"/>
      <c r="S8" s="2269"/>
      <c r="T8" s="2269"/>
      <c r="U8" s="2269"/>
      <c r="V8" s="2149"/>
      <c r="W8" s="2150"/>
      <c r="X8" s="2150"/>
      <c r="Y8" s="2150"/>
      <c r="Z8" s="2151"/>
      <c r="AA8" s="2235"/>
      <c r="AB8" s="2262"/>
      <c r="AC8" s="2260"/>
      <c r="AD8" s="2258"/>
      <c r="AE8" s="2257"/>
      <c r="AF8" s="2255"/>
      <c r="AG8" s="2255"/>
      <c r="AH8" s="2255"/>
      <c r="AI8" s="2255"/>
      <c r="AJ8" s="2342"/>
      <c r="AK8" s="2308"/>
      <c r="AL8" s="2309"/>
      <c r="AM8" s="2271"/>
      <c r="AN8" s="2269"/>
      <c r="AO8" s="2269"/>
      <c r="AP8" s="2269"/>
      <c r="AQ8" s="2269"/>
      <c r="AR8" s="2269"/>
      <c r="AS8" s="2158"/>
      <c r="AT8" s="2159"/>
      <c r="AU8" s="2159"/>
      <c r="AV8" s="2159"/>
      <c r="AW8" s="2160"/>
      <c r="AX8" s="2235"/>
      <c r="AY8" s="2345"/>
      <c r="AZ8" s="2343"/>
      <c r="BA8" s="2332"/>
      <c r="BB8" s="2334"/>
      <c r="BC8" s="2368"/>
      <c r="BD8" s="2183"/>
      <c r="BE8" s="2328"/>
      <c r="BF8" s="2226"/>
      <c r="BG8" s="2327"/>
      <c r="BH8" s="2327"/>
      <c r="BI8" s="2327"/>
      <c r="BJ8" s="2366"/>
      <c r="BK8" s="2308"/>
      <c r="BL8" s="2309"/>
      <c r="BM8" s="2367"/>
      <c r="BN8" s="2373"/>
      <c r="BO8" s="2269"/>
      <c r="BP8" s="2269"/>
      <c r="BQ8" s="2269"/>
      <c r="BR8" s="2269"/>
      <c r="BS8" s="2167"/>
      <c r="BT8" s="2168"/>
      <c r="BU8" s="2168"/>
      <c r="BV8" s="2168"/>
      <c r="BW8" s="2169"/>
      <c r="BX8" s="2235"/>
      <c r="BY8" s="795" t="str">
        <f>HYPERLINK("https://www2.auc.ab.ca/Proceeding20822/_layouts/download.aspx?SourceUrl=//www2.auc.ab.ca/Proceeding20822%2fProceedingDocuments%2fAE-AUC-2015OCT13-005Attachment1_0042.xlsx", "AUC Fortis Alberta Proceeding 20822, Exhibit 20822-X0043 October 2015 Attachment 1, Sheets 'T.2', 'R.1'")</f>
        <v>AUC Fortis Alberta Proceeding 20822, Exhibit 20822-X0043 October 2015 Attachment 1, Sheets 'T.2', 'R.1'</v>
      </c>
      <c r="BZ8" s="2369" t="str">
        <f>HYPERLINK("https://www2.auc.ab.ca/Proceeding20822/_layouts/download.aspx?SourceUrl=//www2.auc.ab.ca/Proceeding20822%2fProceedingDocuments%2fAE-AUC-2015OCT13-005Attachment1_0042.xlsx", "AUC Fortis Alberta Proceeding 20822, Exhibit 20822-X0043 October 2015 Attachment 1, Sheets 'D.2', 'R.1'")</f>
        <v>AUC Fortis Alberta Proceeding 20822, Exhibit 20822-X0043 October 2015 Attachment 1, Sheets 'D.2', 'R.1'</v>
      </c>
      <c r="CA8" s="2370"/>
      <c r="CB8" s="2371"/>
      <c r="CC8" s="2367"/>
      <c r="CD8" s="2366"/>
      <c r="CE8" s="2368"/>
      <c r="CF8" s="2226"/>
      <c r="CG8" s="2226"/>
      <c r="CH8" s="2226"/>
      <c r="CI8" s="2226"/>
      <c r="CJ8" s="2226"/>
      <c r="CK8" s="2183"/>
      <c r="CL8" s="2365"/>
      <c r="CM8" s="2309"/>
      <c r="CN8" s="2271"/>
      <c r="CO8" s="2269"/>
      <c r="CP8" s="2269"/>
      <c r="CQ8" s="2269"/>
      <c r="CR8" s="2269"/>
      <c r="CS8" s="2269"/>
      <c r="CT8" s="2176"/>
      <c r="CU8" s="2177"/>
      <c r="CV8" s="2177"/>
      <c r="CW8" s="2177"/>
      <c r="CX8" s="2178"/>
    </row>
    <row r="9" spans="1:102" ht="52.5" customHeight="1" x14ac:dyDescent="0.3">
      <c r="A9" s="2206">
        <v>2012</v>
      </c>
      <c r="B9" s="2206"/>
      <c r="C9" s="2207"/>
      <c r="D9" s="1037">
        <v>40909</v>
      </c>
      <c r="E9" s="2140" t="str">
        <f>HYPERLINK("http://www.auc.ab.ca/Shared%20Documents/Historic_RRO.pdf","AUC Historic RRO, Page 2")</f>
        <v>AUC Historic RRO, Page 2</v>
      </c>
      <c r="F9" s="2187" t="str">
        <f>HYPERLINK("https://www.enmax.com/ForYourHomeSite/Documents/2012_Jan_DT_Rate_Schedule.pdf", "ENMAX January 2012 Distribution Tariff Rate Schedule, Page 3")</f>
        <v>ENMAX January 2012 Distribution Tariff Rate Schedule, Page 3</v>
      </c>
      <c r="G9" s="2107"/>
      <c r="H9" s="2107"/>
      <c r="I9" s="2120" t="str">
        <f>HYPERLINK("http://www.auc.ab.ca/regulatory_documents/ProceedingDocuments/2004/2004-066.pdf", "EUB ENMAX 2004 Distribution Tariff Application, Page 182")</f>
        <v>EUB ENMAX 2004 Distribution Tariff Application, Page 182</v>
      </c>
      <c r="J9" s="2107" t="str">
        <f>HYPERLINK("https://www.enmax.com/ForYourHomeSite/Documents/2012_Jan_DT_Rate_Schedule.pdf", "ENMAX January 2012 Distribution Tariff Rate Schedule, Pages 20, 21")</f>
        <v>ENMAX January 2012 Distribution Tariff Rate Schedule, Pages 20, 21</v>
      </c>
      <c r="K9" s="2107"/>
      <c r="L9" s="2107"/>
      <c r="M9" s="2244" t="str">
        <f>HYPERLINK("http://www.auc.ab.ca/applications/decisions/Decisions/2011/2011-458.pdf", "AUC 2011 RRO Non-Energy Tariff Compliance Filing, Pages 26, 27")</f>
        <v>AUC 2011 RRO Non-Energy Tariff Compliance Filing, Pages 26, 27</v>
      </c>
      <c r="N9" s="2244" t="str">
        <f>HYPERLINK("http://www.auc.ab.ca/applications/decisions/Decisions/2011/2011-458.pdf", "AUC 2011 RRO Non-Energy Tariff Compliance Filing, Page 27")</f>
        <v>AUC 2011 RRO Non-Energy Tariff Compliance Filing, Page 27</v>
      </c>
      <c r="O9" s="2119" t="str">
        <f>HYPERLINK("http://www.cra-arc.gc.ca/tx/bsnss/tpcs/gst-tps/rts-eng.html", "Canada Revenue Agency Provincial Rates Table")</f>
        <v>Canada Revenue Agency Provincial Rates Table</v>
      </c>
      <c r="P9" s="2122" t="str">
        <f>HYPERLINK("https://albertamsa.ca/", "Market Reporting &gt; Retail Statistics")</f>
        <v>Market Reporting &gt; Retail Statistics</v>
      </c>
      <c r="Q9" s="2123"/>
      <c r="R9" s="2105" t="str">
        <f>HYPERLINK("http://oee.nrcan.gc.ca/corporate/statistics/neud/dpa/showTable.cfm?type=CP&amp;sector=res&amp;juris=ab&amp;rn=34&amp;page=0", "Natural Resources Canada Household Energy Consumption Data, Table 34: Single Detached Secondary Energy Use and GHG Emissions by Energy Source, 2015 Column")</f>
        <v>Natural Resources Canada Household Energy Consumption Data, Table 34: Single Detached Secondary Energy Use and GHG Emissions by Energy Source, 2015 Column</v>
      </c>
      <c r="S9" s="2105" t="str">
        <f>HYPERLINK("http://oee.nrcan.gc.ca/corporate/statistics/neud/dpa/showTable.cfm?type=CP&amp;sector=res&amp;juris=ab&amp;rn=36&amp;page=0", "Natural Resources Canada Household Energy Consumption Data, Table 36: Single Attached Secondary Energy Use and GHG Emissions by Energy Source, 2015 Column")</f>
        <v>Natural Resources Canada Household Energy Consumption Data, Table 36: Single Attached Secondary Energy Use and GHG Emissions by Energy Source, 2015 Column</v>
      </c>
      <c r="T9" s="2105" t="str">
        <f>HYPERLINK("http://oee.nrcan.gc.ca/corporate/statistics/neud/dpa/showTable.cfm?type=CP&amp;sector=res&amp;juris=ab&amp;rn=36&amp;page=0", "Natural Resources Canada Household Energy Consumption Data, Table 38: Apartments Secondary Energy Use and GHG Emissions by Energy Source, 2015 Column")</f>
        <v>Natural Resources Canada Household Energy Consumption Data, Table 38: Apartments Secondary Energy Use and GHG Emissions by Energy Source, 2015 Column</v>
      </c>
      <c r="U9" s="2108" t="str">
        <f>HYPERLINK("http://oee.nrcan.gc.ca/corporate/statistics/neud/dpa/showTable.cfm?type=CP&amp;sector=res&amp;juris=ab&amp;rn=34&amp;page=0", "Natural Resources Canada Household Energy Consumption Data, Table 34: Single Detached Secondary Energy Use and GHG Emissions by Energy Source, 2015 Column")</f>
        <v>Natural Resources Canada Household Energy Consumption Data, Table 34: Single Detached Secondary Energy Use and GHG Emissions by Energy Source, 2015 Column</v>
      </c>
      <c r="V9" s="2149"/>
      <c r="W9" s="2150"/>
      <c r="X9" s="2150"/>
      <c r="Y9" s="2150"/>
      <c r="Z9" s="2151"/>
      <c r="AA9" s="2140" t="str">
        <f>HYPERLINK("http://www.auc.ab.ca/Shared%20Documents/Historic_RRO.pdf","AUC Historic RRO, Page 4")</f>
        <v>AUC Historic RRO, Page 4</v>
      </c>
      <c r="AB9" s="2246" t="str">
        <f>HYPERLINK("https://www.epcor.com/products-services/power/rates-tariffs-fees/Documents2/SystemAccessServiceTariff-2012-01.pdf", "EPCOR January 2012 System Access Service Tariff, Page 3")</f>
        <v>EPCOR January 2012 System Access Service Tariff, Page 3</v>
      </c>
      <c r="AC9" s="2347" t="str">
        <f>HYPERLINK("https://www.epcor.com/products-services/power/rates-tariffs-fees/Documents2/DistributionAccessServiceTariff-2011-11.pdf", "EPCOR November 2011 Distribution Access Service Tariff, Page 3")</f>
        <v>EPCOR November 2011 Distribution Access Service Tariff, Page 3</v>
      </c>
      <c r="AD9" s="2347"/>
      <c r="AE9" s="2107" t="str">
        <f>HYPERLINK("https://www.epcor.com/products-services/power/rates-tariffs-fees/Documents2/LocalAccessFee-RetailersNotice-2011-01.pdf", "EPCOR January 2011 Local Access Fee Retailer Notice, Page 1")</f>
        <v>EPCOR January 2011 Local Access Fee Retailer Notice, Page 1</v>
      </c>
      <c r="AF9" s="2247" t="str">
        <f>HYPERLINK("https://www.epcor.com/products-services/power/rates-tariffs-fees/Documents2/SystemAccessServiceTariff-2012-01.pdf", "EPCOR January 2012 System Access Service Tariff, Page 3")</f>
        <v>EPCOR January 2012 System Access Service Tariff, Page 3</v>
      </c>
      <c r="AG9" s="2106" t="str">
        <f>HYPERLINK("https://www.epcor.com/products-services/power/rates-tariffs-fees/Documents2/SystemAccessServiceTariff-2012-01.pdf", "EPCOR January 2012 System Access Service Tariff, Page 24")</f>
        <v>EPCOR January 2012 System Access Service Tariff, Page 24</v>
      </c>
      <c r="AH9" s="2106" t="str">
        <f>HYPERLINK("https://www.epcor.com/products-services/power/rates-tariffs-fees/Documents2/SystemAccessServiceTariff-2012-01.pdf", "EPCOR January 2012 System Access Service Tariff, Page 23")</f>
        <v>EPCOR January 2012 System Access Service Tariff, Page 23</v>
      </c>
      <c r="AI9" s="2107" t="str">
        <f>HYPERLINK("https://www.epcor.com/products-services/power/rates-tariffs-fees/Documents2/DistributionAccessServiceTariff-2011-11.pdf", "EPCOR November 2011 Distribution Access Service Tariff, Page 25")</f>
        <v>EPCOR November 2011 Distribution Access Service Tariff, Page 25</v>
      </c>
      <c r="AJ9" s="2186" t="str">
        <f>HYPERLINK("https://www.epcor.com/products-services/power/rates-tariffs-fees/Documents2/DistributionAccessServiceTariff-2011-11.pdf", "EPCOR November 2011 Distribution Access Service Tariff, Page 23")</f>
        <v>EPCOR November 2011 Distribution Access Service Tariff, Page 23</v>
      </c>
      <c r="AK9" s="1573" t="str">
        <f>HYPERLINK("https://www.epcor.com/products-services/power/rates-tariffs-fees/Documents/RegulatedRateTariff-Edmonton-2012-01.pdf", "EPCOR January 2012 Regulated Rate Tariff, Page 2")</f>
        <v>EPCOR January 2012 Regulated Rate Tariff, Page 2</v>
      </c>
      <c r="AL9" s="2119" t="str">
        <f>HYPERLINK("http://www.cra-arc.gc.ca/tx/bsnss/tpcs/gst-tps/rts-eng.html", "Canada Revenue Agency Provincial Rates Table")</f>
        <v>Canada Revenue Agency Provincial Rates Table</v>
      </c>
      <c r="AM9" s="2122" t="str">
        <f>HYPERLINK("https://albertamsa.ca/", "Market Reporting &gt; Retail Statistics")</f>
        <v>Market Reporting &gt; Retail Statistics</v>
      </c>
      <c r="AN9" s="2123"/>
      <c r="AO9" s="2105" t="str">
        <f>HYPERLINK("http://oee.nrcan.gc.ca/corporate/statistics/neud/dpa/showTable.cfm?type=CP&amp;sector=res&amp;juris=ab&amp;rn=34&amp;page=0", "Natural Resources Canada Household Energy Consumption Data, Table 34: Single Detached Secondary Energy Use and GHG Emissions by Energy Source, 2015 Column")</f>
        <v>Natural Resources Canada Household Energy Consumption Data, Table 34: Single Detached Secondary Energy Use and GHG Emissions by Energy Source, 2015 Column</v>
      </c>
      <c r="AP9" s="2105" t="str">
        <f>HYPERLINK("http://oee.nrcan.gc.ca/corporate/statistics/neud/dpa/showTable.cfm?type=CP&amp;sector=res&amp;juris=ab&amp;rn=36&amp;page=0", "Natural Resources Canada Household Energy Consumption Data, Table 36: Single Attached Secondary Energy Use and GHG Emissions by Energy Source, 2015 Column")</f>
        <v>Natural Resources Canada Household Energy Consumption Data, Table 36: Single Attached Secondary Energy Use and GHG Emissions by Energy Source, 2015 Column</v>
      </c>
      <c r="AQ9" s="2105" t="str">
        <f>HYPERLINK("http://oee.nrcan.gc.ca/corporate/statistics/neud/dpa/showTable.cfm?type=CP&amp;sector=res&amp;juris=ab&amp;rn=36&amp;page=0", "Natural Resources Canada Household Energy Consumption Data, Table 38: Apartments Secondary Energy Use and GHG Emissions by Energy Source, 2015 Column")</f>
        <v>Natural Resources Canada Household Energy Consumption Data, Table 38: Apartments Secondary Energy Use and GHG Emissions by Energy Source, 2015 Column</v>
      </c>
      <c r="AR9" s="2108" t="str">
        <f>HYPERLINK("http://oee.nrcan.gc.ca/corporate/statistics/neud/dpa/showTable.cfm?type=CP&amp;sector=res&amp;juris=ab&amp;rn=34&amp;page=0", "Natural Resources Canada Household Energy Consumption Data, Table 34: Single Detached Secondary Energy Use and GHG Emissions by Energy Source, 2015 Column")</f>
        <v>Natural Resources Canada Household Energy Consumption Data, Table 34: Single Detached Secondary Energy Use and GHG Emissions by Energy Source, 2015 Column</v>
      </c>
      <c r="AS9" s="2158"/>
      <c r="AT9" s="2159"/>
      <c r="AU9" s="2159"/>
      <c r="AV9" s="2159"/>
      <c r="AW9" s="2160"/>
      <c r="AX9" s="2140" t="str">
        <f>HYPERLINK("http://www.auc.ab.ca/Shared%20Documents/Historic_RRO.pdf","AUC Historic RRO, Page 3")</f>
        <v>AUC Historic RRO, Page 3</v>
      </c>
      <c r="AY9" s="2187" t="str">
        <f>HYPERLINK("http://www.auc.ab.ca/regulatory_documents/ProceedingDocuments/2011/2011-509.pdf", "AUC Fortis January 2012 Distribution Tariff Rate Filing, Page 16")</f>
        <v>AUC Fortis January 2012 Distribution Tariff Rate Filing, Page 16</v>
      </c>
      <c r="AZ9" s="2107"/>
      <c r="BA9" s="2107"/>
      <c r="BB9" s="2107"/>
      <c r="BC9" s="2184" t="str">
        <f>HYPERLINK("http://www.auc.ab.ca/regulatory_documents/ProceedingDocuments/2011/2011-509.pdf", "AUC Fortis January 2012 Distribution Tariff Rate Filing, Page 41-43")</f>
        <v>AUC Fortis January 2012 Distribution Tariff Rate Filing, Page 41-43</v>
      </c>
      <c r="BD9" s="2184" t="str">
        <f>HYPERLINK("http://www.auc.ab.ca/regulatory_documents/ProceedingDocuments/2011/2011-509.pdf", "AUC Fortis January 2012 Distribution Tariff Rate Filing, Page 38-40")</f>
        <v>AUC Fortis January 2012 Distribution Tariff Rate Filing, Page 38-40</v>
      </c>
      <c r="BE9" s="2107" t="str">
        <f>HYPERLINK("http://www.auc.ab.ca/regulatory_documents/ProceedingDocuments/2011/2011-509.pdf", "AUC Fortis January 2012 Distribution Tariff Rate Filing, Page 44")</f>
        <v>AUC Fortis January 2012 Distribution Tariff Rate Filing, Page 44</v>
      </c>
      <c r="BF9" s="2107" t="str">
        <f>HYPERLINK("http://www.auc.ab.ca/regulatory_documents/ProceedingDocuments/2011/2011-509.pdf", "AUC Fortis January 2012 Distribution Tariff Rate Filing")</f>
        <v>AUC Fortis January 2012 Distribution Tariff Rate Filing</v>
      </c>
      <c r="BG9" s="2107"/>
      <c r="BH9" s="2184" t="str">
        <f>HYPERLINK("http://www.fortisalberta.com/docs/default-source/default-document-library/2012-oct-rates-options-riders.pdf?sfvrsn=6", "Fortis Alberta October 2012 Rates, Options, and Riders, Page 31")</f>
        <v>Fortis Alberta October 2012 Rates, Options, and Riders, Page 31</v>
      </c>
      <c r="BI9" s="2185"/>
      <c r="BJ9" s="2107" t="str">
        <f>HYPERLINK("http://www.auc.ab.ca/regulatory_documents/ProceedingDocuments/2011/2011-509.pdf", "AUC Fortis January 2012 Distribution Tariff Rate Filing")</f>
        <v>AUC Fortis January 2012 Distribution Tariff Rate Filing</v>
      </c>
      <c r="BK9" s="2186" t="str">
        <f>HYPERLINK("http://www.auc.ab.ca/regulatory_documents/ProceedingDocuments/2011/DA2011-0167.pdf", "AUC EPCOR First Quarter 2012 Non-Energy Charges Proceeding, Pages 2 - 3 ")</f>
        <v xml:space="preserve">AUC EPCOR First Quarter 2012 Non-Energy Charges Proceeding, Pages 2 - 3 </v>
      </c>
      <c r="BL9" s="2119" t="str">
        <f>HYPERLINK("http://www.cra-arc.gc.ca/tx/bsnss/tpcs/gst-tps/rts-eng.html", "Canada Revenue Agency Provincial Rates Table")</f>
        <v>Canada Revenue Agency Provincial Rates Table</v>
      </c>
      <c r="BM9" s="2122" t="str">
        <f>HYPERLINK("https://albertamsa.ca/", "Market Reporting &gt; Retail Statistics")</f>
        <v>Market Reporting &gt; Retail Statistics</v>
      </c>
      <c r="BN9" s="2123"/>
      <c r="BO9" s="2105" t="str">
        <f>HYPERLINK("http://oee.nrcan.gc.ca/corporate/statistics/neud/dpa/showTable.cfm?type=CP&amp;sector=res&amp;juris=ab&amp;rn=34&amp;page=0", "Natural Resources Canada Household Energy Consumption Data, Table 34: Single Detached Secondary Energy Use and GHG Emissions by Energy Source, 2015 Column")</f>
        <v>Natural Resources Canada Household Energy Consumption Data, Table 34: Single Detached Secondary Energy Use and GHG Emissions by Energy Source, 2015 Column</v>
      </c>
      <c r="BP9" s="2105" t="str">
        <f>HYPERLINK("http://oee.nrcan.gc.ca/corporate/statistics/neud/dpa/showTable.cfm?type=CP&amp;sector=res&amp;juris=ab&amp;rn=36&amp;page=0", "Natural Resources Canada Household Energy Consumption Data, Table 36: Single Attached Secondary Energy Use and GHG Emissions by Energy Source, 2015 Column")</f>
        <v>Natural Resources Canada Household Energy Consumption Data, Table 36: Single Attached Secondary Energy Use and GHG Emissions by Energy Source, 2015 Column</v>
      </c>
      <c r="BQ9" s="2105" t="str">
        <f>HYPERLINK("http://oee.nrcan.gc.ca/corporate/statistics/neud/dpa/showTable.cfm?type=CP&amp;sector=res&amp;juris=ab&amp;rn=36&amp;page=0", "Natural Resources Canada Household Energy Consumption Data, Table 38: Apartments Secondary Energy Use and GHG Emissions by Energy Source, 2015 Column")</f>
        <v>Natural Resources Canada Household Energy Consumption Data, Table 38: Apartments Secondary Energy Use and GHG Emissions by Energy Source, 2015 Column</v>
      </c>
      <c r="BR9" s="2108" t="str">
        <f>HYPERLINK("http://oee.nrcan.gc.ca/corporate/statistics/neud/dpa/showTable.cfm?type=CP&amp;sector=res&amp;juris=ab&amp;rn=34&amp;page=0", "Natural Resources Canada Household Energy Consumption Data, Table 34: Single Detached Secondary Energy Use and GHG Emissions by Energy Source, 2015 Column")</f>
        <v>Natural Resources Canada Household Energy Consumption Data, Table 34: Single Detached Secondary Energy Use and GHG Emissions by Energy Source, 2015 Column</v>
      </c>
      <c r="BS9" s="2167"/>
      <c r="BT9" s="2168"/>
      <c r="BU9" s="2168"/>
      <c r="BV9" s="2168"/>
      <c r="BW9" s="2169"/>
      <c r="BX9" s="2140" t="str">
        <f>HYPERLINK("http://www.auc.ab.ca/Shared%20Documents/Historic_RRO.pdf","AUC Historic RRO, Page 1")</f>
        <v>AUC Historic RRO, Page 1</v>
      </c>
      <c r="BY9" s="2191" t="str">
        <f>HYPERLINK("http://www.atcoelectric.com/Rates/tariffs/Documents/2012%20Tariffs/2012-01-01%20AE%202012%20Interim%20Rates.pdf", "ATCO Electric January 2012 Price Schedule Index, Page 2")</f>
        <v>ATCO Electric January 2012 Price Schedule Index, Page 2</v>
      </c>
      <c r="BZ9" s="2191"/>
      <c r="CA9" s="2191"/>
      <c r="CB9" s="2185"/>
      <c r="CC9" s="2184" t="str">
        <f>HYPERLINK("http://www.atcoelectric.com/Rates/tariffs/Documents/2012%20Tariffs/2012-01-01%20AE%202012%20Interim%20Rates.pdf", "ATCO Electric January 2012 Price Schedule Index, Pages 45, 46")</f>
        <v>ATCO Electric January 2012 Price Schedule Index, Pages 45, 46</v>
      </c>
      <c r="CD9" s="2185"/>
      <c r="CE9" s="2106" t="str">
        <f>HYPERLINK("http://www.atcoelectric.com/Rates/tariffs/Documents/2012%20Tariffs/2012-01-01%20AE%202012%20Interim%20Rates.pdf", "ATCO Electric January 2012 Price Schedule Index, Page 51")</f>
        <v>ATCO Electric January 2012 Price Schedule Index, Page 51</v>
      </c>
      <c r="CF9" s="2106" t="str">
        <f>HYPERLINK("http://www.atcoelectric.com/Rates/tariffs/Documents/2012%20Tariffs/2012-01-01%20AE%202012%20Interim%20Rates.pdf", "ATCO Electric January 2012 Price Schedule Index, Page 52")</f>
        <v>ATCO Electric January 2012 Price Schedule Index, Page 52</v>
      </c>
      <c r="CG9" s="2106" t="str">
        <f>HYPERLINK("http://www.atcoelectric.com/Rates/tariffs/Documents/2012%20Tariffs/2012_01_01_AE_Rider_S.pdf", "ATCO Electric Q1 2012 Rider S Quarterly SAS Adjustment, Page 1")</f>
        <v>ATCO Electric Q1 2012 Rider S Quarterly SAS Adjustment, Page 1</v>
      </c>
      <c r="CH9" s="2106" t="str">
        <f>HYPERLINK("http://www.atcoelectric.com/Rates/tariffs/Documents/2012%20Tariffs/2012-01-01%20AE%202012%20Interim%20Rates.pdf", "ATCO Electric Price January 2012 Schedule Index, Page 53")</f>
        <v>ATCO Electric Price January 2012 Schedule Index, Page 53</v>
      </c>
      <c r="CI9" s="2227" t="s">
        <v>610</v>
      </c>
      <c r="CJ9" s="2228"/>
      <c r="CK9" s="2130" t="s">
        <v>610</v>
      </c>
      <c r="CL9" s="2191" t="str">
        <f>HYPERLINK("http://www.directenergyregulatedservices.com/Documents/regulatory/january2012/111221_DERS_January_2012_RRT_Interim_Rate_Schedules.pdf", "Direct Energy Regulated Services 2012 Interim RRT Rate Schedules , Page 2")</f>
        <v>Direct Energy Regulated Services 2012 Interim RRT Rate Schedules , Page 2</v>
      </c>
      <c r="CM9" s="2119" t="str">
        <f>HYPERLINK("http://www.cra-arc.gc.ca/tx/bsnss/tpcs/gst-tps/rts-eng.html", "Canada Revenue Agency Provincial Rates Table")</f>
        <v>Canada Revenue Agency Provincial Rates Table</v>
      </c>
      <c r="CN9" s="2122" t="str">
        <f>HYPERLINK("https://albertamsa.ca/", "Market Reporting &gt; Retail Statistics")</f>
        <v>Market Reporting &gt; Retail Statistics</v>
      </c>
      <c r="CO9" s="2123"/>
      <c r="CP9" s="2105" t="str">
        <f>HYPERLINK("http://oee.nrcan.gc.ca/corporate/statistics/neud/dpa/showTable.cfm?type=CP&amp;sector=res&amp;juris=ab&amp;rn=34&amp;page=0", "Natural Resources Canada Household Energy Consumption Data, Table 34: Single Detached Secondary Energy Use and GHG Emissions by Energy Source, 2015 Column")</f>
        <v>Natural Resources Canada Household Energy Consumption Data, Table 34: Single Detached Secondary Energy Use and GHG Emissions by Energy Source, 2015 Column</v>
      </c>
      <c r="CQ9" s="2105" t="str">
        <f>HYPERLINK("http://oee.nrcan.gc.ca/corporate/statistics/neud/dpa/showTable.cfm?type=CP&amp;sector=res&amp;juris=ab&amp;rn=36&amp;page=0", "Natural Resources Canada Household Energy Consumption Data, Table 36: Single Attached Secondary Energy Use and GHG Emissions by Energy Source, 2015 Column")</f>
        <v>Natural Resources Canada Household Energy Consumption Data, Table 36: Single Attached Secondary Energy Use and GHG Emissions by Energy Source, 2015 Column</v>
      </c>
      <c r="CR9" s="2105" t="str">
        <f>HYPERLINK("http://oee.nrcan.gc.ca/corporate/statistics/neud/dpa/showTable.cfm?type=CP&amp;sector=res&amp;juris=ab&amp;rn=36&amp;page=0", "Natural Resources Canada Household Energy Consumption Data, Table 38: Apartments Secondary Energy Use and GHG Emissions by Energy Source, 2015 Column")</f>
        <v>Natural Resources Canada Household Energy Consumption Data, Table 38: Apartments Secondary Energy Use and GHG Emissions by Energy Source, 2015 Column</v>
      </c>
      <c r="CS9" s="2108" t="str">
        <f>HYPERLINK("http://oee.nrcan.gc.ca/corporate/statistics/neud/dpa/showTable.cfm?type=CP&amp;sector=res&amp;juris=ab&amp;rn=34&amp;page=0", "Natural Resources Canada Household Energy Consumption Data, Table 34: Single Detached Secondary Energy Use and GHG Emissions by Energy Source, 2015 Column")</f>
        <v>Natural Resources Canada Household Energy Consumption Data, Table 34: Single Detached Secondary Energy Use and GHG Emissions by Energy Source, 2015 Column</v>
      </c>
      <c r="CT9" s="2176"/>
      <c r="CU9" s="2177"/>
      <c r="CV9" s="2177"/>
      <c r="CW9" s="2177"/>
      <c r="CX9" s="2178"/>
    </row>
    <row r="10" spans="1:102" ht="33.75" customHeight="1" x14ac:dyDescent="0.3">
      <c r="A10" s="2206"/>
      <c r="B10" s="2206"/>
      <c r="C10" s="2207"/>
      <c r="D10" s="1037">
        <v>40940</v>
      </c>
      <c r="E10" s="2141"/>
      <c r="F10" s="2195"/>
      <c r="G10" s="2115"/>
      <c r="H10" s="2115"/>
      <c r="I10" s="2120"/>
      <c r="J10" s="2115"/>
      <c r="K10" s="2115"/>
      <c r="L10" s="2115"/>
      <c r="M10" s="2245"/>
      <c r="N10" s="2245"/>
      <c r="O10" s="2120"/>
      <c r="P10" s="2124"/>
      <c r="Q10" s="2125"/>
      <c r="R10" s="2106"/>
      <c r="S10" s="2106"/>
      <c r="T10" s="2106"/>
      <c r="U10" s="2109"/>
      <c r="V10" s="2149"/>
      <c r="W10" s="2150"/>
      <c r="X10" s="2150"/>
      <c r="Y10" s="2150"/>
      <c r="Z10" s="2151"/>
      <c r="AA10" s="2141"/>
      <c r="AB10" s="2310"/>
      <c r="AC10" s="2247"/>
      <c r="AD10" s="2247"/>
      <c r="AE10" s="2278"/>
      <c r="AF10" s="2301"/>
      <c r="AG10" s="2106"/>
      <c r="AH10" s="2106"/>
      <c r="AI10" s="2115"/>
      <c r="AJ10" s="2217"/>
      <c r="AK10" s="1574" t="str">
        <f>HYPERLINK("https://www.epcor.com/products-services/power/rates-tariffs-fees/Documents/RegulatedRateTariff-Edmonton-2012-02.pdf", "EPCOR February 2012 Regulated Rate Tariff, Page 2")</f>
        <v>EPCOR February 2012 Regulated Rate Tariff, Page 2</v>
      </c>
      <c r="AL10" s="2120"/>
      <c r="AM10" s="2124"/>
      <c r="AN10" s="2125"/>
      <c r="AO10" s="2106"/>
      <c r="AP10" s="2106"/>
      <c r="AQ10" s="2106"/>
      <c r="AR10" s="2109"/>
      <c r="AS10" s="2158"/>
      <c r="AT10" s="2159"/>
      <c r="AU10" s="2159"/>
      <c r="AV10" s="2159"/>
      <c r="AW10" s="2160"/>
      <c r="AX10" s="2141"/>
      <c r="AY10" s="2195"/>
      <c r="AZ10" s="2115"/>
      <c r="BA10" s="2115"/>
      <c r="BB10" s="2115"/>
      <c r="BC10" s="2232"/>
      <c r="BD10" s="2232"/>
      <c r="BE10" s="2199"/>
      <c r="BF10" s="2115"/>
      <c r="BG10" s="2115"/>
      <c r="BH10" s="2184"/>
      <c r="BI10" s="2185"/>
      <c r="BJ10" s="2199"/>
      <c r="BK10" s="2236"/>
      <c r="BL10" s="2120"/>
      <c r="BM10" s="2124"/>
      <c r="BN10" s="2125"/>
      <c r="BO10" s="2106"/>
      <c r="BP10" s="2106"/>
      <c r="BQ10" s="2106"/>
      <c r="BR10" s="2109"/>
      <c r="BS10" s="2167"/>
      <c r="BT10" s="2168"/>
      <c r="BU10" s="2168"/>
      <c r="BV10" s="2168"/>
      <c r="BW10" s="2169"/>
      <c r="BX10" s="2141"/>
      <c r="BY10" s="2191"/>
      <c r="BZ10" s="2191"/>
      <c r="CA10" s="2191"/>
      <c r="CB10" s="2185"/>
      <c r="CC10" s="2184"/>
      <c r="CD10" s="2185"/>
      <c r="CE10" s="2106"/>
      <c r="CF10" s="2248"/>
      <c r="CG10" s="2106"/>
      <c r="CH10" s="2106"/>
      <c r="CI10" s="2227"/>
      <c r="CJ10" s="2228"/>
      <c r="CK10" s="2131"/>
      <c r="CL10" s="2390"/>
      <c r="CM10" s="2120"/>
      <c r="CN10" s="2124"/>
      <c r="CO10" s="2125"/>
      <c r="CP10" s="2106"/>
      <c r="CQ10" s="2106"/>
      <c r="CR10" s="2106"/>
      <c r="CS10" s="2109"/>
      <c r="CT10" s="2176"/>
      <c r="CU10" s="2177"/>
      <c r="CV10" s="2177"/>
      <c r="CW10" s="2177"/>
      <c r="CX10" s="2178"/>
    </row>
    <row r="11" spans="1:102" ht="31.5" customHeight="1" x14ac:dyDescent="0.3">
      <c r="A11" s="2206"/>
      <c r="B11" s="2206"/>
      <c r="C11" s="2207"/>
      <c r="D11" s="1037">
        <v>40969</v>
      </c>
      <c r="E11" s="2141"/>
      <c r="F11" s="2195"/>
      <c r="G11" s="2115"/>
      <c r="H11" s="2115"/>
      <c r="I11" s="2120"/>
      <c r="J11" s="2115"/>
      <c r="K11" s="2115"/>
      <c r="L11" s="2115"/>
      <c r="M11" s="2245"/>
      <c r="N11" s="2245"/>
      <c r="O11" s="2120"/>
      <c r="P11" s="2124"/>
      <c r="Q11" s="2125"/>
      <c r="R11" s="2106"/>
      <c r="S11" s="2106"/>
      <c r="T11" s="2106"/>
      <c r="U11" s="2109"/>
      <c r="V11" s="2149"/>
      <c r="W11" s="2150"/>
      <c r="X11" s="2150"/>
      <c r="Y11" s="2150"/>
      <c r="Z11" s="2151"/>
      <c r="AA11" s="2141"/>
      <c r="AB11" s="2310"/>
      <c r="AC11" s="2247"/>
      <c r="AD11" s="2247"/>
      <c r="AE11" s="2278"/>
      <c r="AF11" s="2301"/>
      <c r="AG11" s="2106"/>
      <c r="AH11" s="2106"/>
      <c r="AI11" s="2115"/>
      <c r="AJ11" s="2217"/>
      <c r="AK11" s="1574" t="str">
        <f>HYPERLINK("https://www.epcor.com/products-services/power/rates-tariffs-fees/Documents/RegulatedRateTariff-Edmonton-2012-03.pdf", "EPCOR March 2012 Regulated Rate Tariff, Page 2")</f>
        <v>EPCOR March 2012 Regulated Rate Tariff, Page 2</v>
      </c>
      <c r="AL11" s="2120"/>
      <c r="AM11" s="2124"/>
      <c r="AN11" s="2125"/>
      <c r="AO11" s="2106"/>
      <c r="AP11" s="2106"/>
      <c r="AQ11" s="2106"/>
      <c r="AR11" s="2109"/>
      <c r="AS11" s="2158"/>
      <c r="AT11" s="2159"/>
      <c r="AU11" s="2159"/>
      <c r="AV11" s="2159"/>
      <c r="AW11" s="2160"/>
      <c r="AX11" s="2141"/>
      <c r="AY11" s="2195"/>
      <c r="AZ11" s="2115"/>
      <c r="BA11" s="2115"/>
      <c r="BB11" s="2115"/>
      <c r="BC11" s="2232"/>
      <c r="BD11" s="2232"/>
      <c r="BE11" s="2199"/>
      <c r="BF11" s="2115"/>
      <c r="BG11" s="2115"/>
      <c r="BH11" s="2184"/>
      <c r="BI11" s="2185"/>
      <c r="BJ11" s="2199"/>
      <c r="BK11" s="2236"/>
      <c r="BL11" s="2120"/>
      <c r="BM11" s="2124"/>
      <c r="BN11" s="2125"/>
      <c r="BO11" s="2106"/>
      <c r="BP11" s="2106"/>
      <c r="BQ11" s="2106"/>
      <c r="BR11" s="2109"/>
      <c r="BS11" s="2167"/>
      <c r="BT11" s="2168"/>
      <c r="BU11" s="2168"/>
      <c r="BV11" s="2168"/>
      <c r="BW11" s="2169"/>
      <c r="BX11" s="2141"/>
      <c r="BY11" s="2192"/>
      <c r="BZ11" s="2192"/>
      <c r="CA11" s="2192"/>
      <c r="CB11" s="2187"/>
      <c r="CC11" s="2186"/>
      <c r="CD11" s="2187"/>
      <c r="CE11" s="2107"/>
      <c r="CF11" s="2249"/>
      <c r="CG11" s="2107"/>
      <c r="CH11" s="2107"/>
      <c r="CI11" s="2227"/>
      <c r="CJ11" s="2228"/>
      <c r="CK11" s="2131"/>
      <c r="CL11" s="2390"/>
      <c r="CM11" s="2120"/>
      <c r="CN11" s="2124"/>
      <c r="CO11" s="2125"/>
      <c r="CP11" s="2106"/>
      <c r="CQ11" s="2106"/>
      <c r="CR11" s="2106"/>
      <c r="CS11" s="2109"/>
      <c r="CT11" s="2176"/>
      <c r="CU11" s="2177"/>
      <c r="CV11" s="2177"/>
      <c r="CW11" s="2177"/>
      <c r="CX11" s="2178"/>
    </row>
    <row r="12" spans="1:102" ht="28.5" customHeight="1" x14ac:dyDescent="0.3">
      <c r="A12" s="2206"/>
      <c r="B12" s="2206"/>
      <c r="C12" s="2207"/>
      <c r="D12" s="1037">
        <v>41000</v>
      </c>
      <c r="E12" s="2141"/>
      <c r="F12" s="2195" t="str">
        <f>HYPERLINK("https://www.enmax.com/ForYourHomeSite/Documents/2012_Apr_DT_Rate_Schedule.pdf", "ENMAX April 2012 Distribution Tariff Rate Schedule, Page 3")</f>
        <v>ENMAX April 2012 Distribution Tariff Rate Schedule, Page 3</v>
      </c>
      <c r="G12" s="2115"/>
      <c r="H12" s="2115"/>
      <c r="I12" s="2120"/>
      <c r="J12" s="2115" t="str">
        <f>HYPERLINK("https://www.enmax.com/ForYourHomeSite/Documents/2012_Apr_DT_Rate_Schedule.pdf", "ENMAX April 2012 Distribution Tariff Rate Schedule, Pages 20, 21")</f>
        <v>ENMAX April 2012 Distribution Tariff Rate Schedule, Pages 20, 21</v>
      </c>
      <c r="K12" s="2115"/>
      <c r="L12" s="2115"/>
      <c r="M12" s="2245"/>
      <c r="N12" s="2245"/>
      <c r="O12" s="2120"/>
      <c r="P12" s="2124"/>
      <c r="Q12" s="2125"/>
      <c r="R12" s="2106"/>
      <c r="S12" s="2106"/>
      <c r="T12" s="2106"/>
      <c r="U12" s="2109"/>
      <c r="V12" s="2149"/>
      <c r="W12" s="2150"/>
      <c r="X12" s="2150"/>
      <c r="Y12" s="2150"/>
      <c r="Z12" s="2151"/>
      <c r="AA12" s="2141"/>
      <c r="AB12" s="2310"/>
      <c r="AC12" s="2247"/>
      <c r="AD12" s="2247"/>
      <c r="AE12" s="2278"/>
      <c r="AF12" s="2301"/>
      <c r="AG12" s="2106"/>
      <c r="AH12" s="2106"/>
      <c r="AI12" s="2115"/>
      <c r="AJ12" s="2217"/>
      <c r="AK12" s="1574" t="str">
        <f>HYPERLINK("https://www.epcor.com/products-services/power/rates-tariffs-fees/Documents/RegulatedRateTariff-Edmonton-2012-04.pdf", "EPCOR April 2012 Regulated Rate Tariff, Page 2")</f>
        <v>EPCOR April 2012 Regulated Rate Tariff, Page 2</v>
      </c>
      <c r="AL12" s="2120"/>
      <c r="AM12" s="2124"/>
      <c r="AN12" s="2125"/>
      <c r="AO12" s="2106"/>
      <c r="AP12" s="2106"/>
      <c r="AQ12" s="2106"/>
      <c r="AR12" s="2109"/>
      <c r="AS12" s="2158"/>
      <c r="AT12" s="2159"/>
      <c r="AU12" s="2159"/>
      <c r="AV12" s="2159"/>
      <c r="AW12" s="2160"/>
      <c r="AX12" s="2141"/>
      <c r="AY12" s="2195" t="str">
        <f>HYPERLINK("http://www.fortisalberta.com/docs/default-source/default-document-library/2012-mar-rates-options-riders.pdf?sfvrsn=8", "Fortis Alberta April 2012 Rates, Options, and Riders, Page 2")</f>
        <v>Fortis Alberta April 2012 Rates, Options, and Riders, Page 2</v>
      </c>
      <c r="AZ12" s="2115"/>
      <c r="BA12" s="2115"/>
      <c r="BB12" s="2115"/>
      <c r="BC12" s="2115" t="str">
        <f>HYPERLINK("http://www.fortisalberta.com/docs/default-source/default-document-library/2012-mar-rates-options-riders.pdf?sfvrsn=8", "Fortis Alberta April 2012 Rates, Options, and Riders, Page 27-29")</f>
        <v>Fortis Alberta April 2012 Rates, Options, and Riders, Page 27-29</v>
      </c>
      <c r="BD12" s="2115" t="str">
        <f>HYPERLINK("http://www.fortisalberta.com/docs/default-source/default-document-library/2012-mar-rates-options-riders.pdf?sfvrsn=8", "Fortis Alberta April 2012 Rates, Options, and Riders, Page 24-26")</f>
        <v>Fortis Alberta April 2012 Rates, Options, and Riders, Page 24-26</v>
      </c>
      <c r="BE12" s="2115" t="str">
        <f>HYPERLINK("http://www.fortisalberta.com/docs/default-source/default-document-library/2012-mar-rates-options-riders.pdf?sfvrsn=8", "Fortis Alberta April 2012 Rates, Options, and Riders, Page 30")</f>
        <v>Fortis Alberta April 2012 Rates, Options, and Riders, Page 30</v>
      </c>
      <c r="BF12" s="2115" t="str">
        <f>HYPERLINK("http://www.fortisalberta.com/docs/default-source/default-document-library/2012-mar-rates-options-riders.pdf?sfvrsn=8", "Fortis Alberta April 2012 Rates, Options, and Riders")</f>
        <v>Fortis Alberta April 2012 Rates, Options, and Riders</v>
      </c>
      <c r="BG12" s="2115"/>
      <c r="BH12" s="2184"/>
      <c r="BI12" s="2185"/>
      <c r="BJ12" s="2115" t="str">
        <f>HYPERLINK("http://www.fortisalberta.com/docs/default-source/default-document-library/2012-mar-rates-options-riders.pdf?sfvrsn=8", "Fortis Alberta April 2012 Rates, Options, and Riders")</f>
        <v>Fortis Alberta April 2012 Rates, Options, and Riders</v>
      </c>
      <c r="BK12" s="2217" t="str">
        <f>HYPERLINK("http://www.auc.ab.ca/applications/decisions/Decisions/2012/2012-089.pdf", "AUC EPCOR Second Quarter 2012 Non-Energy Charges Proceeding, Page 4")</f>
        <v>AUC EPCOR Second Quarter 2012 Non-Energy Charges Proceeding, Page 4</v>
      </c>
      <c r="BL12" s="2120"/>
      <c r="BM12" s="2124"/>
      <c r="BN12" s="2125"/>
      <c r="BO12" s="2106"/>
      <c r="BP12" s="2106"/>
      <c r="BQ12" s="2106"/>
      <c r="BR12" s="2109"/>
      <c r="BS12" s="2167"/>
      <c r="BT12" s="2168"/>
      <c r="BU12" s="2168"/>
      <c r="BV12" s="2168"/>
      <c r="BW12" s="2169"/>
      <c r="BX12" s="2141"/>
      <c r="BY12" s="2190" t="str">
        <f>HYPERLINK("http://www.atcoelectric.com/Rates/tariffs/Documents/2012%20Tariffs/2012-04-01%20AE%202012%20Final%20Price%20Schedules.pdf", "ATCO Electric April 2012 Price Schedule Index, Page 2")</f>
        <v>ATCO Electric April 2012 Price Schedule Index, Page 2</v>
      </c>
      <c r="BZ12" s="2190"/>
      <c r="CA12" s="2190"/>
      <c r="CB12" s="2200"/>
      <c r="CC12" s="2219" t="str">
        <f>HYPERLINK("http://www.atcoelectric.com/Rates/tariffs/Documents/2012%20Tariffs/2012-04-01%20AE%202012%20Final%20Price%20Schedules.pdf", "ATCO Electric April 2012 Price Schedule Index, Pages 45, 46")</f>
        <v>ATCO Electric April 2012 Price Schedule Index, Pages 45, 46</v>
      </c>
      <c r="CD12" s="2200"/>
      <c r="CE12" s="2115" t="str">
        <f>HYPERLINK("http://www.atcoelectric.com/Rates/tariffs/Documents/2012%20Tariffs/2012-04-01%20AE%202012%20Final%20Price%20Schedules.pdf", "ATCO Electric April 2012 Price Schedule Index, Page 51")</f>
        <v>ATCO Electric April 2012 Price Schedule Index, Page 51</v>
      </c>
      <c r="CF12" s="2115" t="str">
        <f>HYPERLINK("http://www.atcoelectric.com/Rates/tariffs/Documents/2012%20Tariffs/2012-04-01%20AE%202012%20Final%20Price%20Schedules.pdf", "ATCO Electric April 2012 Price Schedule Index, Page 52")</f>
        <v>ATCO Electric April 2012 Price Schedule Index, Page 52</v>
      </c>
      <c r="CG12" s="2115" t="str">
        <f>HYPERLINK("http://www.atcoelectric.com/Rates/tariffs/Documents/2012%20Tariffs/2012-04-01%20AE%20Rider%20S.pdf", "ATCO Electric Q2 2012 Rider S Quarterly SAS Adjustment, Page 1")</f>
        <v>ATCO Electric Q2 2012 Rider S Quarterly SAS Adjustment, Page 1</v>
      </c>
      <c r="CH12" s="2115" t="str">
        <f>HYPERLINK("http://www.atcoelectric.com/Rates/tariffs/Documents/2012%20Tariffs/2012-04-01%20AE%202012%20Final%20Price%20Schedules.pdf", "ATCO Electric April 2012 Price Schedule Index, Page 53")</f>
        <v>ATCO Electric April 2012 Price Schedule Index, Page 53</v>
      </c>
      <c r="CI12" s="2227"/>
      <c r="CJ12" s="2228"/>
      <c r="CK12" s="2131"/>
      <c r="CL12" s="2391"/>
      <c r="CM12" s="2120"/>
      <c r="CN12" s="2124"/>
      <c r="CO12" s="2125"/>
      <c r="CP12" s="2106"/>
      <c r="CQ12" s="2106"/>
      <c r="CR12" s="2106"/>
      <c r="CS12" s="2109"/>
      <c r="CT12" s="2176"/>
      <c r="CU12" s="2177"/>
      <c r="CV12" s="2177"/>
      <c r="CW12" s="2177"/>
      <c r="CX12" s="2178"/>
    </row>
    <row r="13" spans="1:102" ht="31.5" customHeight="1" x14ac:dyDescent="0.3">
      <c r="A13" s="2206"/>
      <c r="B13" s="2206"/>
      <c r="C13" s="2207"/>
      <c r="D13" s="1037">
        <v>41030</v>
      </c>
      <c r="E13" s="2141"/>
      <c r="F13" s="2195"/>
      <c r="G13" s="2115"/>
      <c r="H13" s="2115"/>
      <c r="I13" s="2120"/>
      <c r="J13" s="2115"/>
      <c r="K13" s="2115"/>
      <c r="L13" s="2115"/>
      <c r="M13" s="2245"/>
      <c r="N13" s="2245"/>
      <c r="O13" s="2120"/>
      <c r="P13" s="2124"/>
      <c r="Q13" s="2125"/>
      <c r="R13" s="2106"/>
      <c r="S13" s="2106"/>
      <c r="T13" s="2106"/>
      <c r="U13" s="2109"/>
      <c r="V13" s="2149"/>
      <c r="W13" s="2150"/>
      <c r="X13" s="2150"/>
      <c r="Y13" s="2150"/>
      <c r="Z13" s="2151"/>
      <c r="AA13" s="2141"/>
      <c r="AB13" s="2310"/>
      <c r="AC13" s="2247"/>
      <c r="AD13" s="2247"/>
      <c r="AE13" s="2278"/>
      <c r="AF13" s="2301"/>
      <c r="AG13" s="2106"/>
      <c r="AH13" s="2106"/>
      <c r="AI13" s="2115"/>
      <c r="AJ13" s="2217"/>
      <c r="AK13" s="1574" t="str">
        <f>HYPERLINK("https://www.epcor.com/products-services/power/rates-tariffs-fees/Documents/RegulatedRateTariff-Edmonton-2012-05.pdf", "EPCOR May 2012 Regulated Rate Tariff, Page 2")</f>
        <v>EPCOR May 2012 Regulated Rate Tariff, Page 2</v>
      </c>
      <c r="AL13" s="2120"/>
      <c r="AM13" s="2124"/>
      <c r="AN13" s="2125"/>
      <c r="AO13" s="2106"/>
      <c r="AP13" s="2106"/>
      <c r="AQ13" s="2106"/>
      <c r="AR13" s="2109"/>
      <c r="AS13" s="2158"/>
      <c r="AT13" s="2159"/>
      <c r="AU13" s="2159"/>
      <c r="AV13" s="2159"/>
      <c r="AW13" s="2160"/>
      <c r="AX13" s="2141"/>
      <c r="AY13" s="2195"/>
      <c r="AZ13" s="2115"/>
      <c r="BA13" s="2115"/>
      <c r="BB13" s="2115"/>
      <c r="BC13" s="2199"/>
      <c r="BD13" s="2115"/>
      <c r="BE13" s="2199"/>
      <c r="BF13" s="2115"/>
      <c r="BG13" s="2115"/>
      <c r="BH13" s="2184"/>
      <c r="BI13" s="2185"/>
      <c r="BJ13" s="2115"/>
      <c r="BK13" s="2236"/>
      <c r="BL13" s="2120"/>
      <c r="BM13" s="2124"/>
      <c r="BN13" s="2125"/>
      <c r="BO13" s="2106"/>
      <c r="BP13" s="2106"/>
      <c r="BQ13" s="2106"/>
      <c r="BR13" s="2109"/>
      <c r="BS13" s="2167"/>
      <c r="BT13" s="2168"/>
      <c r="BU13" s="2168"/>
      <c r="BV13" s="2168"/>
      <c r="BW13" s="2169"/>
      <c r="BX13" s="2141"/>
      <c r="BY13" s="2191"/>
      <c r="BZ13" s="2191"/>
      <c r="CA13" s="2191"/>
      <c r="CB13" s="2185"/>
      <c r="CC13" s="2184"/>
      <c r="CD13" s="2185"/>
      <c r="CE13" s="2197"/>
      <c r="CF13" s="2197"/>
      <c r="CG13" s="2115"/>
      <c r="CH13" s="2115"/>
      <c r="CI13" s="2227"/>
      <c r="CJ13" s="2228"/>
      <c r="CK13" s="2131"/>
      <c r="CL13" s="2190" t="str">
        <f>HYPERLINK("http://www.auc.ab.ca/regulatory_documents/ProceedingDocuments/2012/2012-343.pdf", "AUC Direct Energy Regulated Services 2013 DRT and RRT , Page 94")</f>
        <v>AUC Direct Energy Regulated Services 2013 DRT and RRT , Page 94</v>
      </c>
      <c r="CM13" s="2120"/>
      <c r="CN13" s="2124"/>
      <c r="CO13" s="2125"/>
      <c r="CP13" s="2106"/>
      <c r="CQ13" s="2106"/>
      <c r="CR13" s="2106"/>
      <c r="CS13" s="2109"/>
      <c r="CT13" s="2176"/>
      <c r="CU13" s="2177"/>
      <c r="CV13" s="2177"/>
      <c r="CW13" s="2177"/>
      <c r="CX13" s="2178"/>
    </row>
    <row r="14" spans="1:102" ht="31.5" customHeight="1" x14ac:dyDescent="0.3">
      <c r="A14" s="2206"/>
      <c r="B14" s="2206"/>
      <c r="C14" s="2207"/>
      <c r="D14" s="1037">
        <v>41061</v>
      </c>
      <c r="E14" s="2141"/>
      <c r="F14" s="2195"/>
      <c r="G14" s="2115"/>
      <c r="H14" s="2115"/>
      <c r="I14" s="2120"/>
      <c r="J14" s="2115"/>
      <c r="K14" s="2115"/>
      <c r="L14" s="2115"/>
      <c r="M14" s="2245"/>
      <c r="N14" s="2245"/>
      <c r="O14" s="2120"/>
      <c r="P14" s="2124"/>
      <c r="Q14" s="2125"/>
      <c r="R14" s="2106"/>
      <c r="S14" s="2106"/>
      <c r="T14" s="2106"/>
      <c r="U14" s="2109"/>
      <c r="V14" s="2149"/>
      <c r="W14" s="2150"/>
      <c r="X14" s="2150"/>
      <c r="Y14" s="2150"/>
      <c r="Z14" s="2151"/>
      <c r="AA14" s="2141"/>
      <c r="AB14" s="2310"/>
      <c r="AC14" s="2247"/>
      <c r="AD14" s="2247"/>
      <c r="AE14" s="2278"/>
      <c r="AF14" s="2301"/>
      <c r="AG14" s="2106"/>
      <c r="AH14" s="2106"/>
      <c r="AI14" s="2115"/>
      <c r="AJ14" s="2217"/>
      <c r="AK14" s="1574" t="str">
        <f>HYPERLINK("https://www.epcor.com/products-services/power/rates-tariffs-fees/Documents/RegulatedRateTariff-Edmonton-2012-06.pdf", "EPCOR June 2012 Regulated Rate Tariff, Page 2")</f>
        <v>EPCOR June 2012 Regulated Rate Tariff, Page 2</v>
      </c>
      <c r="AL14" s="2120"/>
      <c r="AM14" s="2124"/>
      <c r="AN14" s="2125"/>
      <c r="AO14" s="2106"/>
      <c r="AP14" s="2106"/>
      <c r="AQ14" s="2106"/>
      <c r="AR14" s="2109"/>
      <c r="AS14" s="2158"/>
      <c r="AT14" s="2159"/>
      <c r="AU14" s="2159"/>
      <c r="AV14" s="2159"/>
      <c r="AW14" s="2160"/>
      <c r="AX14" s="2141"/>
      <c r="AY14" s="2195"/>
      <c r="AZ14" s="2115"/>
      <c r="BA14" s="2115"/>
      <c r="BB14" s="2115"/>
      <c r="BC14" s="2199"/>
      <c r="BD14" s="2115"/>
      <c r="BE14" s="2199"/>
      <c r="BF14" s="2115"/>
      <c r="BG14" s="2115"/>
      <c r="BH14" s="2184"/>
      <c r="BI14" s="2185"/>
      <c r="BJ14" s="2115"/>
      <c r="BK14" s="2236"/>
      <c r="BL14" s="2120"/>
      <c r="BM14" s="2124"/>
      <c r="BN14" s="2125"/>
      <c r="BO14" s="2106"/>
      <c r="BP14" s="2106"/>
      <c r="BQ14" s="2106"/>
      <c r="BR14" s="2109"/>
      <c r="BS14" s="2167"/>
      <c r="BT14" s="2168"/>
      <c r="BU14" s="2168"/>
      <c r="BV14" s="2168"/>
      <c r="BW14" s="2169"/>
      <c r="BX14" s="2141"/>
      <c r="BY14" s="2191"/>
      <c r="BZ14" s="2191"/>
      <c r="CA14" s="2191"/>
      <c r="CB14" s="2185"/>
      <c r="CC14" s="2186"/>
      <c r="CD14" s="2187"/>
      <c r="CE14" s="2197"/>
      <c r="CF14" s="2197"/>
      <c r="CG14" s="2115"/>
      <c r="CH14" s="2115"/>
      <c r="CI14" s="2227"/>
      <c r="CJ14" s="2228"/>
      <c r="CK14" s="2131"/>
      <c r="CL14" s="2390"/>
      <c r="CM14" s="2120"/>
      <c r="CN14" s="2124"/>
      <c r="CO14" s="2125"/>
      <c r="CP14" s="2106"/>
      <c r="CQ14" s="2106"/>
      <c r="CR14" s="2106"/>
      <c r="CS14" s="2109"/>
      <c r="CT14" s="2176"/>
      <c r="CU14" s="2177"/>
      <c r="CV14" s="2177"/>
      <c r="CW14" s="2177"/>
      <c r="CX14" s="2178"/>
    </row>
    <row r="15" spans="1:102" ht="34.5" customHeight="1" x14ac:dyDescent="0.3">
      <c r="A15" s="2206"/>
      <c r="B15" s="2206"/>
      <c r="C15" s="2207"/>
      <c r="D15" s="1037">
        <v>41091</v>
      </c>
      <c r="E15" s="2141"/>
      <c r="F15" s="2195"/>
      <c r="G15" s="2115"/>
      <c r="H15" s="2115"/>
      <c r="I15" s="2120"/>
      <c r="J15" s="2115"/>
      <c r="K15" s="2115"/>
      <c r="L15" s="2115"/>
      <c r="M15" s="2245"/>
      <c r="N15" s="2245"/>
      <c r="O15" s="2120"/>
      <c r="P15" s="2124"/>
      <c r="Q15" s="2125"/>
      <c r="R15" s="2106"/>
      <c r="S15" s="2106"/>
      <c r="T15" s="2106"/>
      <c r="U15" s="2109"/>
      <c r="V15" s="2149"/>
      <c r="W15" s="2150"/>
      <c r="X15" s="2150"/>
      <c r="Y15" s="2150"/>
      <c r="Z15" s="2151"/>
      <c r="AA15" s="2141"/>
      <c r="AB15" s="2310"/>
      <c r="AC15" s="2247"/>
      <c r="AD15" s="2247"/>
      <c r="AE15" s="2278"/>
      <c r="AF15" s="2301"/>
      <c r="AG15" s="2106"/>
      <c r="AH15" s="2106"/>
      <c r="AI15" s="2115"/>
      <c r="AJ15" s="2217"/>
      <c r="AK15" s="1574" t="str">
        <f>HYPERLINK("https://www.epcor.com/products-services/power/rates-tariffs-fees/Documents/RegulatedRateTariff-Edmonton-2012-07.pdf", "EPCOR July 2012 Regulated Rate Tariff, Page 2")</f>
        <v>EPCOR July 2012 Regulated Rate Tariff, Page 2</v>
      </c>
      <c r="AL15" s="2120"/>
      <c r="AM15" s="2124"/>
      <c r="AN15" s="2125"/>
      <c r="AO15" s="2106"/>
      <c r="AP15" s="2106"/>
      <c r="AQ15" s="2106"/>
      <c r="AR15" s="2109"/>
      <c r="AS15" s="2158"/>
      <c r="AT15" s="2159"/>
      <c r="AU15" s="2159"/>
      <c r="AV15" s="2159"/>
      <c r="AW15" s="2160"/>
      <c r="AX15" s="2141"/>
      <c r="AY15" s="2195" t="str">
        <f>HYPERLINK("http://www.fortisalberta.com/docs/default-source/default-document-library/2012-jul-rates-options-and-riders-schedules.pdf?sfvrsn=6", "Fortis Alberta July 2012 Rates, Options, and Riders, Page 2")</f>
        <v>Fortis Alberta July 2012 Rates, Options, and Riders, Page 2</v>
      </c>
      <c r="AZ15" s="2115"/>
      <c r="BA15" s="2115"/>
      <c r="BB15" s="2115"/>
      <c r="BC15" s="2219" t="str">
        <f>HYPERLINK("http://www.fortisalberta.com/docs/default-source/default-document-library/2012-jul-rates-options-and-riders-schedules.pdf?sfvrsn=6", "Fortis Alberta July 2012 Rates, Options, and Riders, Page 27-29")</f>
        <v>Fortis Alberta July 2012 Rates, Options, and Riders, Page 27-29</v>
      </c>
      <c r="BD15" s="2202" t="str">
        <f>HYPERLINK("http://www.fortisalberta.com/docs/default-source/default-document-library/2012-jul-rates-options-and-riders-schedules.pdf?sfvrsn=6", "Fortis Alberta July 2012 Rates, Options, and Riders, Page 24-26")</f>
        <v>Fortis Alberta July 2012 Rates, Options, and Riders, Page 24-26</v>
      </c>
      <c r="BE15" s="2115" t="str">
        <f>HYPERLINK("http://www.fortisalberta.com/docs/default-source/default-document-library/2012-jul-rates-options-and-riders-schedules.pdf?sfvrsn=6", "Fortis Alberta July 2012 Rates, Options, and Riders, Page 30")</f>
        <v>Fortis Alberta July 2012 Rates, Options, and Riders, Page 30</v>
      </c>
      <c r="BF15" s="2115" t="str">
        <f>HYPERLINK("http://www.fortisalberta.com/docs/default-source/default-document-library/2012-jul-rates-options-and-riders-schedules.pdf?sfvrsn=6", "Fortis Alberta July 2012 Rates, Options, and Riders")</f>
        <v>Fortis Alberta July 2012 Rates, Options, and Riders</v>
      </c>
      <c r="BG15" s="2115"/>
      <c r="BH15" s="2184"/>
      <c r="BI15" s="2185"/>
      <c r="BJ15" s="2115" t="str">
        <f>HYPERLINK("http://www.fortisalberta.com/docs/default-source/default-document-library/2012-jul-rates-options-and-riders-schedules.pdf?sfvrsn=6", "Fortis Alberta July 2012 Rates, Options, and Riders")</f>
        <v>Fortis Alberta July 2012 Rates, Options, and Riders</v>
      </c>
      <c r="BK15" s="2217" t="str">
        <f>HYPERLINK("http://www.auc.ab.ca/applications/decisions/Decisions/2012/2012-175_Errata.pdf", "AUC EPCOR Third Quarter 2012 Non-Energy Charges Decision, Page 7")</f>
        <v>AUC EPCOR Third Quarter 2012 Non-Energy Charges Decision, Page 7</v>
      </c>
      <c r="BL15" s="2120"/>
      <c r="BM15" s="2124"/>
      <c r="BN15" s="2125"/>
      <c r="BO15" s="2106"/>
      <c r="BP15" s="2106"/>
      <c r="BQ15" s="2106"/>
      <c r="BR15" s="2109"/>
      <c r="BS15" s="2167"/>
      <c r="BT15" s="2168"/>
      <c r="BU15" s="2168"/>
      <c r="BV15" s="2168"/>
      <c r="BW15" s="2169"/>
      <c r="BX15" s="2141"/>
      <c r="BY15" s="2191"/>
      <c r="BZ15" s="2191"/>
      <c r="CA15" s="2191"/>
      <c r="CB15" s="2185"/>
      <c r="CC15" s="2115" t="str">
        <f>HYPERLINK("http://www.atcoelectric.com/Rates/tariffs/Documents/2012%20Tariffs/Rider_A_-_Rate_Schedule.pdf", "ATCO Electric July 2012 Rider A Rate Schedule, Page 2")</f>
        <v>ATCO Electric July 2012 Rider A Rate Schedule, Page 2</v>
      </c>
      <c r="CD15" s="2199"/>
      <c r="CE15" s="2197"/>
      <c r="CF15" s="2197"/>
      <c r="CG15" s="2115"/>
      <c r="CH15" s="2115"/>
      <c r="CI15" s="2227"/>
      <c r="CJ15" s="2228"/>
      <c r="CK15" s="2131"/>
      <c r="CL15" s="2390"/>
      <c r="CM15" s="2120"/>
      <c r="CN15" s="2124"/>
      <c r="CO15" s="2125"/>
      <c r="CP15" s="2106"/>
      <c r="CQ15" s="2106"/>
      <c r="CR15" s="2106"/>
      <c r="CS15" s="2109"/>
      <c r="CT15" s="2176"/>
      <c r="CU15" s="2177"/>
      <c r="CV15" s="2177"/>
      <c r="CW15" s="2177"/>
      <c r="CX15" s="2178"/>
    </row>
    <row r="16" spans="1:102" ht="33.75" customHeight="1" x14ac:dyDescent="0.3">
      <c r="A16" s="2206"/>
      <c r="B16" s="2206"/>
      <c r="C16" s="2207"/>
      <c r="D16" s="1037">
        <v>41122</v>
      </c>
      <c r="E16" s="2141"/>
      <c r="F16" s="2195"/>
      <c r="G16" s="2115"/>
      <c r="H16" s="2115"/>
      <c r="I16" s="2120"/>
      <c r="J16" s="2115"/>
      <c r="K16" s="2115"/>
      <c r="L16" s="2115"/>
      <c r="M16" s="2245"/>
      <c r="N16" s="2245"/>
      <c r="O16" s="2120"/>
      <c r="P16" s="2124"/>
      <c r="Q16" s="2125"/>
      <c r="R16" s="2106"/>
      <c r="S16" s="2106"/>
      <c r="T16" s="2106"/>
      <c r="U16" s="2109"/>
      <c r="V16" s="2149"/>
      <c r="W16" s="2150"/>
      <c r="X16" s="2150"/>
      <c r="Y16" s="2150"/>
      <c r="Z16" s="2151"/>
      <c r="AA16" s="2141"/>
      <c r="AB16" s="2310"/>
      <c r="AC16" s="2247"/>
      <c r="AD16" s="2247"/>
      <c r="AE16" s="2278"/>
      <c r="AF16" s="2301"/>
      <c r="AG16" s="2106"/>
      <c r="AH16" s="2106"/>
      <c r="AI16" s="2115"/>
      <c r="AJ16" s="2217"/>
      <c r="AK16" s="1574" t="str">
        <f>HYPERLINK("https://www.epcor.com/products-services/power/rates-tariffs-fees/Documents/RegulatedRateTariff-Edmonton-2012-08.pdf", "EPCOR August 2012 Regulated Rate Tariff, Page 2")</f>
        <v>EPCOR August 2012 Regulated Rate Tariff, Page 2</v>
      </c>
      <c r="AL16" s="2120"/>
      <c r="AM16" s="2124"/>
      <c r="AN16" s="2125"/>
      <c r="AO16" s="2106"/>
      <c r="AP16" s="2106"/>
      <c r="AQ16" s="2106"/>
      <c r="AR16" s="2109"/>
      <c r="AS16" s="2158"/>
      <c r="AT16" s="2159"/>
      <c r="AU16" s="2159"/>
      <c r="AV16" s="2159"/>
      <c r="AW16" s="2160"/>
      <c r="AX16" s="2141"/>
      <c r="AY16" s="2195"/>
      <c r="AZ16" s="2115"/>
      <c r="BA16" s="2115"/>
      <c r="BB16" s="2115"/>
      <c r="BC16" s="2232"/>
      <c r="BD16" s="2248"/>
      <c r="BE16" s="2199"/>
      <c r="BF16" s="2115"/>
      <c r="BG16" s="2115"/>
      <c r="BH16" s="2184"/>
      <c r="BI16" s="2185"/>
      <c r="BJ16" s="2199"/>
      <c r="BK16" s="2236"/>
      <c r="BL16" s="2120"/>
      <c r="BM16" s="2124"/>
      <c r="BN16" s="2125"/>
      <c r="BO16" s="2106"/>
      <c r="BP16" s="2106"/>
      <c r="BQ16" s="2106"/>
      <c r="BR16" s="2109"/>
      <c r="BS16" s="2167"/>
      <c r="BT16" s="2168"/>
      <c r="BU16" s="2168"/>
      <c r="BV16" s="2168"/>
      <c r="BW16" s="2169"/>
      <c r="BX16" s="2141"/>
      <c r="BY16" s="2191"/>
      <c r="BZ16" s="2191"/>
      <c r="CA16" s="2191"/>
      <c r="CB16" s="2185"/>
      <c r="CC16" s="2199"/>
      <c r="CD16" s="2199"/>
      <c r="CE16" s="2197"/>
      <c r="CF16" s="2197"/>
      <c r="CG16" s="2115"/>
      <c r="CH16" s="2115"/>
      <c r="CI16" s="2227"/>
      <c r="CJ16" s="2228"/>
      <c r="CK16" s="2131"/>
      <c r="CL16" s="2390"/>
      <c r="CM16" s="2120"/>
      <c r="CN16" s="2124"/>
      <c r="CO16" s="2125"/>
      <c r="CP16" s="2106"/>
      <c r="CQ16" s="2106"/>
      <c r="CR16" s="2106"/>
      <c r="CS16" s="2109"/>
      <c r="CT16" s="2176"/>
      <c r="CU16" s="2177"/>
      <c r="CV16" s="2177"/>
      <c r="CW16" s="2177"/>
      <c r="CX16" s="2178"/>
    </row>
    <row r="17" spans="1:102" ht="36.75" customHeight="1" x14ac:dyDescent="0.3">
      <c r="A17" s="2206"/>
      <c r="B17" s="2206"/>
      <c r="C17" s="2207"/>
      <c r="D17" s="1037">
        <v>41153</v>
      </c>
      <c r="E17" s="2141"/>
      <c r="F17" s="2195"/>
      <c r="G17" s="2115"/>
      <c r="H17" s="2115"/>
      <c r="I17" s="2120"/>
      <c r="J17" s="2115"/>
      <c r="K17" s="2115"/>
      <c r="L17" s="2115"/>
      <c r="M17" s="2245"/>
      <c r="N17" s="2245"/>
      <c r="O17" s="2120"/>
      <c r="P17" s="2124"/>
      <c r="Q17" s="2125"/>
      <c r="R17" s="2106"/>
      <c r="S17" s="2106"/>
      <c r="T17" s="2106"/>
      <c r="U17" s="2109"/>
      <c r="V17" s="2149"/>
      <c r="W17" s="2150"/>
      <c r="X17" s="2150"/>
      <c r="Y17" s="2150"/>
      <c r="Z17" s="2151"/>
      <c r="AA17" s="2141"/>
      <c r="AB17" s="2310"/>
      <c r="AC17" s="2247"/>
      <c r="AD17" s="2247"/>
      <c r="AE17" s="2278"/>
      <c r="AF17" s="2301"/>
      <c r="AG17" s="2106"/>
      <c r="AH17" s="2106"/>
      <c r="AI17" s="2115"/>
      <c r="AJ17" s="2217"/>
      <c r="AK17" s="1574" t="str">
        <f>HYPERLINK("https://www.epcor.com/products-services/power/rates-tariffs-fees/Documents/RegulatedRateTariff-Edmonton-2012-09.pdf", "EPCOR September 2012 Regulated Rate Tariff, Page 2")</f>
        <v>EPCOR September 2012 Regulated Rate Tariff, Page 2</v>
      </c>
      <c r="AL17" s="2120"/>
      <c r="AM17" s="2124"/>
      <c r="AN17" s="2125"/>
      <c r="AO17" s="2106"/>
      <c r="AP17" s="2106"/>
      <c r="AQ17" s="2106"/>
      <c r="AR17" s="2109"/>
      <c r="AS17" s="2158"/>
      <c r="AT17" s="2159"/>
      <c r="AU17" s="2159"/>
      <c r="AV17" s="2159"/>
      <c r="AW17" s="2160"/>
      <c r="AX17" s="2141"/>
      <c r="AY17" s="2195"/>
      <c r="AZ17" s="2115"/>
      <c r="BA17" s="2115"/>
      <c r="BB17" s="2115"/>
      <c r="BC17" s="2233"/>
      <c r="BD17" s="2249"/>
      <c r="BE17" s="2199"/>
      <c r="BF17" s="2115"/>
      <c r="BG17" s="2115"/>
      <c r="BH17" s="2184"/>
      <c r="BI17" s="2185"/>
      <c r="BJ17" s="2199"/>
      <c r="BK17" s="2236"/>
      <c r="BL17" s="2120"/>
      <c r="BM17" s="2124"/>
      <c r="BN17" s="2125"/>
      <c r="BO17" s="2106"/>
      <c r="BP17" s="2106"/>
      <c r="BQ17" s="2106"/>
      <c r="BR17" s="2109"/>
      <c r="BS17" s="2167"/>
      <c r="BT17" s="2168"/>
      <c r="BU17" s="2168"/>
      <c r="BV17" s="2168"/>
      <c r="BW17" s="2169"/>
      <c r="BX17" s="2141"/>
      <c r="BY17" s="2191"/>
      <c r="BZ17" s="2191"/>
      <c r="CA17" s="2191"/>
      <c r="CB17" s="2185"/>
      <c r="CC17" s="2199"/>
      <c r="CD17" s="2199"/>
      <c r="CE17" s="2197"/>
      <c r="CF17" s="2197"/>
      <c r="CG17" s="2115"/>
      <c r="CH17" s="2115"/>
      <c r="CI17" s="2227"/>
      <c r="CJ17" s="2228"/>
      <c r="CK17" s="2131"/>
      <c r="CL17" s="2390"/>
      <c r="CM17" s="2120"/>
      <c r="CN17" s="2124"/>
      <c r="CO17" s="2125"/>
      <c r="CP17" s="2106"/>
      <c r="CQ17" s="2106"/>
      <c r="CR17" s="2106"/>
      <c r="CS17" s="2109"/>
      <c r="CT17" s="2176"/>
      <c r="CU17" s="2177"/>
      <c r="CV17" s="2177"/>
      <c r="CW17" s="2177"/>
      <c r="CX17" s="2178"/>
    </row>
    <row r="18" spans="1:102" ht="36" customHeight="1" x14ac:dyDescent="0.3">
      <c r="A18" s="2206"/>
      <c r="B18" s="2206"/>
      <c r="C18" s="2207"/>
      <c r="D18" s="1037">
        <v>41183</v>
      </c>
      <c r="E18" s="2141"/>
      <c r="F18" s="2195" t="str">
        <f>HYPERLINK("https://www.enmax.com/ForYourHomeSite/Documents/DT_Rate_Schedule_Oct_2012.pdf", "ENMAX October 2012 Distribution Tariff Rate Schedule, Page 3")</f>
        <v>ENMAX October 2012 Distribution Tariff Rate Schedule, Page 3</v>
      </c>
      <c r="G18" s="2115"/>
      <c r="H18" s="2115"/>
      <c r="I18" s="2120"/>
      <c r="J18" s="2115" t="str">
        <f>HYPERLINK("https://www.enmax.com/ForYourHomeSite/Documents/DT_Rate_Schedule_Oct_2012.pdf", "ENMAX October 2012 Distribution Tariff Rate Schedule, Pages 20, 21")</f>
        <v>ENMAX October 2012 Distribution Tariff Rate Schedule, Pages 20, 21</v>
      </c>
      <c r="K18" s="2115"/>
      <c r="L18" s="2115"/>
      <c r="M18" s="2245"/>
      <c r="N18" s="2245"/>
      <c r="O18" s="2120"/>
      <c r="P18" s="2124"/>
      <c r="Q18" s="2125"/>
      <c r="R18" s="2106"/>
      <c r="S18" s="2106"/>
      <c r="T18" s="2106"/>
      <c r="U18" s="2109"/>
      <c r="V18" s="2149"/>
      <c r="W18" s="2150"/>
      <c r="X18" s="2150"/>
      <c r="Y18" s="2150"/>
      <c r="Z18" s="2151"/>
      <c r="AA18" s="2141"/>
      <c r="AB18" s="2310"/>
      <c r="AC18" s="2247"/>
      <c r="AD18" s="2247"/>
      <c r="AE18" s="2278"/>
      <c r="AF18" s="2301"/>
      <c r="AG18" s="2106"/>
      <c r="AH18" s="2106"/>
      <c r="AI18" s="2115"/>
      <c r="AJ18" s="2217"/>
      <c r="AK18" s="1574" t="str">
        <f>HYPERLINK("https://www.epcor.com/products-services/power/rates-tariffs-fees/Documents/RegulatedRateTariff-Edmonton-2012-10.pdf", "EPCOR October 2012 Regulated Rate Tariff, Page 2")</f>
        <v>EPCOR October 2012 Regulated Rate Tariff, Page 2</v>
      </c>
      <c r="AL18" s="2120"/>
      <c r="AM18" s="2124"/>
      <c r="AN18" s="2125"/>
      <c r="AO18" s="2106"/>
      <c r="AP18" s="2106"/>
      <c r="AQ18" s="2106"/>
      <c r="AR18" s="2109"/>
      <c r="AS18" s="2158"/>
      <c r="AT18" s="2159"/>
      <c r="AU18" s="2159"/>
      <c r="AV18" s="2159"/>
      <c r="AW18" s="2160"/>
      <c r="AX18" s="2141"/>
      <c r="AY18" s="2195" t="str">
        <f>HYPERLINK("http://www.fortisalberta.com/docs/default-source/default-document-library/2012-oct-rates-options-riders.pdf?sfvrsn=6", "Fortis Alberta October 2012 Rates, Options, and Riders, Page 2")</f>
        <v>Fortis Alberta October 2012 Rates, Options, and Riders, Page 2</v>
      </c>
      <c r="AZ18" s="2115"/>
      <c r="BA18" s="2115"/>
      <c r="BB18" s="2115"/>
      <c r="BC18" s="2115" t="str">
        <f>HYPERLINK("http://www.fortisalberta.com/docs/default-source/default-document-library/2012-oct-rates-options-riders.pdf?sfvrsn=6", "Fortis Alberta October 2012 Rates, Options, and Riders, Page 27-29")</f>
        <v>Fortis Alberta October 2012 Rates, Options, and Riders, Page 27-29</v>
      </c>
      <c r="BD18" s="2115" t="str">
        <f>HYPERLINK("http://www.fortisalberta.com/docs/default-source/default-document-library/2012-oct-rates-options-riders.pdf?sfvrsn=6", "Fortis Alberta October 2012 Rates, Options, and Riders, Page 24-26")</f>
        <v>Fortis Alberta October 2012 Rates, Options, and Riders, Page 24-26</v>
      </c>
      <c r="BE18" s="2115" t="str">
        <f>HYPERLINK("http://www.fortisalberta.com/docs/default-source/default-document-library/2012-oct-rates-options-riders.pdf?sfvrsn=6", "Fortis Alberta October 2012 Rates, Options, and Riders, Page 30")</f>
        <v>Fortis Alberta October 2012 Rates, Options, and Riders, Page 30</v>
      </c>
      <c r="BF18" s="2115" t="str">
        <f>HYPERLINK("http://www.fortisalberta.com/docs/default-source/default-document-library/2012-oct-rates-options-riders.pdf?sfvrsn=6", "Fortis Alberta October 2012 Rates, Options, and Riders")</f>
        <v>Fortis Alberta October 2012 Rates, Options, and Riders</v>
      </c>
      <c r="BG18" s="2115"/>
      <c r="BH18" s="2184"/>
      <c r="BI18" s="2185"/>
      <c r="BJ18" s="2115" t="str">
        <f>HYPERLINK("http://www.fortisalberta.com/docs/default-source/default-document-library/2012-oct-rates-options-riders.pdf?sfvrsn=6", "Fortis Alberta October 2012 Rates, Options, and Riders")</f>
        <v>Fortis Alberta October 2012 Rates, Options, and Riders</v>
      </c>
      <c r="BK18" s="2219" t="str">
        <f>HYPERLINK("http://www.auc.ab.ca/applications/decisions/Decisions/2012/2012-260.pdf", "AUC EPCOR Fourth Quarter 2012 Non-Energy Charges Decision, Page 4")</f>
        <v>AUC EPCOR Fourth Quarter 2012 Non-Energy Charges Decision, Page 4</v>
      </c>
      <c r="BL18" s="2120"/>
      <c r="BM18" s="2124"/>
      <c r="BN18" s="2125"/>
      <c r="BO18" s="2106"/>
      <c r="BP18" s="2106"/>
      <c r="BQ18" s="2106"/>
      <c r="BR18" s="2109"/>
      <c r="BS18" s="2167"/>
      <c r="BT18" s="2168"/>
      <c r="BU18" s="2168"/>
      <c r="BV18" s="2168"/>
      <c r="BW18" s="2169"/>
      <c r="BX18" s="2141"/>
      <c r="BY18" s="2191"/>
      <c r="BZ18" s="2191"/>
      <c r="CA18" s="2191"/>
      <c r="CB18" s="2185"/>
      <c r="CC18" s="2199"/>
      <c r="CD18" s="2199"/>
      <c r="CE18" s="2197"/>
      <c r="CF18" s="2197"/>
      <c r="CG18" s="2115"/>
      <c r="CH18" s="2115"/>
      <c r="CI18" s="2227"/>
      <c r="CJ18" s="2228"/>
      <c r="CK18" s="2131"/>
      <c r="CL18" s="2390"/>
      <c r="CM18" s="2120"/>
      <c r="CN18" s="2124"/>
      <c r="CO18" s="2125"/>
      <c r="CP18" s="2106"/>
      <c r="CQ18" s="2106"/>
      <c r="CR18" s="2106"/>
      <c r="CS18" s="2109"/>
      <c r="CT18" s="2176"/>
      <c r="CU18" s="2177"/>
      <c r="CV18" s="2177"/>
      <c r="CW18" s="2177"/>
      <c r="CX18" s="2178"/>
    </row>
    <row r="19" spans="1:102" ht="36.75" customHeight="1" x14ac:dyDescent="0.3">
      <c r="A19" s="2206"/>
      <c r="B19" s="2206"/>
      <c r="C19" s="2207"/>
      <c r="D19" s="1037">
        <v>41214</v>
      </c>
      <c r="E19" s="2141"/>
      <c r="F19" s="2195"/>
      <c r="G19" s="2115"/>
      <c r="H19" s="2115"/>
      <c r="I19" s="2120"/>
      <c r="J19" s="2115"/>
      <c r="K19" s="2115"/>
      <c r="L19" s="2115"/>
      <c r="M19" s="2245"/>
      <c r="N19" s="2245"/>
      <c r="O19" s="2120"/>
      <c r="P19" s="2124"/>
      <c r="Q19" s="2125"/>
      <c r="R19" s="2106"/>
      <c r="S19" s="2106"/>
      <c r="T19" s="2106"/>
      <c r="U19" s="2109"/>
      <c r="V19" s="2149"/>
      <c r="W19" s="2150"/>
      <c r="X19" s="2150"/>
      <c r="Y19" s="2150"/>
      <c r="Z19" s="2151"/>
      <c r="AA19" s="2141"/>
      <c r="AB19" s="2310"/>
      <c r="AC19" s="2247"/>
      <c r="AD19" s="2247"/>
      <c r="AE19" s="2278"/>
      <c r="AF19" s="2301"/>
      <c r="AG19" s="2106"/>
      <c r="AH19" s="2106"/>
      <c r="AI19" s="2115"/>
      <c r="AJ19" s="2217"/>
      <c r="AK19" s="1574" t="str">
        <f>HYPERLINK("https://www.epcor.com/products-services/power/rates-tariffs-fees/Documents/RegulatedRateTariff-Edmonton-2012-11.pdf", "EPCOR November 2012 Regulated Rate Tariff, Page 2")</f>
        <v>EPCOR November 2012 Regulated Rate Tariff, Page 2</v>
      </c>
      <c r="AL19" s="2120"/>
      <c r="AM19" s="2124"/>
      <c r="AN19" s="2125"/>
      <c r="AO19" s="2106"/>
      <c r="AP19" s="2106"/>
      <c r="AQ19" s="2106"/>
      <c r="AR19" s="2109"/>
      <c r="AS19" s="2158"/>
      <c r="AT19" s="2159"/>
      <c r="AU19" s="2159"/>
      <c r="AV19" s="2159"/>
      <c r="AW19" s="2160"/>
      <c r="AX19" s="2141"/>
      <c r="AY19" s="2195"/>
      <c r="AZ19" s="2115"/>
      <c r="BA19" s="2115"/>
      <c r="BB19" s="2115"/>
      <c r="BC19" s="2199"/>
      <c r="BD19" s="2199"/>
      <c r="BE19" s="2199"/>
      <c r="BF19" s="2115"/>
      <c r="BG19" s="2115"/>
      <c r="BH19" s="2184"/>
      <c r="BI19" s="2185"/>
      <c r="BJ19" s="2199"/>
      <c r="BK19" s="2242"/>
      <c r="BL19" s="2120"/>
      <c r="BM19" s="2124"/>
      <c r="BN19" s="2125"/>
      <c r="BO19" s="2106"/>
      <c r="BP19" s="2106"/>
      <c r="BQ19" s="2106"/>
      <c r="BR19" s="2109"/>
      <c r="BS19" s="2167"/>
      <c r="BT19" s="2168"/>
      <c r="BU19" s="2168"/>
      <c r="BV19" s="2168"/>
      <c r="BW19" s="2169"/>
      <c r="BX19" s="2141"/>
      <c r="BY19" s="2191"/>
      <c r="BZ19" s="2191"/>
      <c r="CA19" s="2191"/>
      <c r="CB19" s="2185"/>
      <c r="CC19" s="2199"/>
      <c r="CD19" s="2199"/>
      <c r="CE19" s="2197"/>
      <c r="CF19" s="2197"/>
      <c r="CG19" s="2115"/>
      <c r="CH19" s="2115"/>
      <c r="CI19" s="2227"/>
      <c r="CJ19" s="2228"/>
      <c r="CK19" s="2131"/>
      <c r="CL19" s="2390"/>
      <c r="CM19" s="2120"/>
      <c r="CN19" s="2124"/>
      <c r="CO19" s="2125"/>
      <c r="CP19" s="2106"/>
      <c r="CQ19" s="2106"/>
      <c r="CR19" s="2106"/>
      <c r="CS19" s="2109"/>
      <c r="CT19" s="2176"/>
      <c r="CU19" s="2177"/>
      <c r="CV19" s="2177"/>
      <c r="CW19" s="2177"/>
      <c r="CX19" s="2178"/>
    </row>
    <row r="20" spans="1:102" ht="41.25" customHeight="1" x14ac:dyDescent="0.3">
      <c r="A20" s="2208"/>
      <c r="B20" s="2208"/>
      <c r="C20" s="2209"/>
      <c r="D20" s="1037">
        <v>41244</v>
      </c>
      <c r="E20" s="2141"/>
      <c r="F20" s="2195"/>
      <c r="G20" s="2115"/>
      <c r="H20" s="2115"/>
      <c r="I20" s="2120"/>
      <c r="J20" s="2115"/>
      <c r="K20" s="2115"/>
      <c r="L20" s="2115"/>
      <c r="M20" s="2245"/>
      <c r="N20" s="2245"/>
      <c r="O20" s="2120"/>
      <c r="P20" s="2124"/>
      <c r="Q20" s="2125"/>
      <c r="R20" s="2106"/>
      <c r="S20" s="2106"/>
      <c r="T20" s="2106"/>
      <c r="U20" s="2109"/>
      <c r="V20" s="2149"/>
      <c r="W20" s="2150"/>
      <c r="X20" s="2150"/>
      <c r="Y20" s="2150"/>
      <c r="Z20" s="2151"/>
      <c r="AA20" s="2141"/>
      <c r="AB20" s="2310"/>
      <c r="AC20" s="2247"/>
      <c r="AD20" s="2247"/>
      <c r="AE20" s="2278"/>
      <c r="AF20" s="2301"/>
      <c r="AG20" s="2106"/>
      <c r="AH20" s="2106"/>
      <c r="AI20" s="2115"/>
      <c r="AJ20" s="2217"/>
      <c r="AK20" s="1574" t="str">
        <f>HYPERLINK("https://www.epcor.com/products-services/power/rates-tariffs-fees/Documents/RegulatedRateTariff-Edmonton-2012-12.pdf", "EPCOR December 2012 Regulated Rate Tariff, Page 2")</f>
        <v>EPCOR December 2012 Regulated Rate Tariff, Page 2</v>
      </c>
      <c r="AL20" s="2120"/>
      <c r="AM20" s="2124"/>
      <c r="AN20" s="2125"/>
      <c r="AO20" s="2106"/>
      <c r="AP20" s="2106"/>
      <c r="AQ20" s="2106"/>
      <c r="AR20" s="2109"/>
      <c r="AS20" s="2158"/>
      <c r="AT20" s="2159"/>
      <c r="AU20" s="2159"/>
      <c r="AV20" s="2159"/>
      <c r="AW20" s="2160"/>
      <c r="AX20" s="2141"/>
      <c r="AY20" s="2195"/>
      <c r="AZ20" s="2115"/>
      <c r="BA20" s="2115"/>
      <c r="BB20" s="2115"/>
      <c r="BC20" s="2199"/>
      <c r="BD20" s="2199"/>
      <c r="BE20" s="2199"/>
      <c r="BF20" s="2115"/>
      <c r="BG20" s="2115"/>
      <c r="BH20" s="2186"/>
      <c r="BI20" s="2187"/>
      <c r="BJ20" s="2199"/>
      <c r="BK20" s="2243"/>
      <c r="BL20" s="2120"/>
      <c r="BM20" s="2124"/>
      <c r="BN20" s="2125"/>
      <c r="BO20" s="2106"/>
      <c r="BP20" s="2106"/>
      <c r="BQ20" s="2106"/>
      <c r="BR20" s="2109"/>
      <c r="BS20" s="2167"/>
      <c r="BT20" s="2168"/>
      <c r="BU20" s="2168"/>
      <c r="BV20" s="2168"/>
      <c r="BW20" s="2169"/>
      <c r="BX20" s="2141"/>
      <c r="BY20" s="2191"/>
      <c r="BZ20" s="2191"/>
      <c r="CA20" s="2191"/>
      <c r="CB20" s="2185"/>
      <c r="CC20" s="2199"/>
      <c r="CD20" s="2199"/>
      <c r="CE20" s="2197"/>
      <c r="CF20" s="2197"/>
      <c r="CG20" s="2115"/>
      <c r="CH20" s="2115"/>
      <c r="CI20" s="2227"/>
      <c r="CJ20" s="2228"/>
      <c r="CK20" s="2131"/>
      <c r="CL20" s="2391"/>
      <c r="CM20" s="2120"/>
      <c r="CN20" s="2124"/>
      <c r="CO20" s="2125"/>
      <c r="CP20" s="2106"/>
      <c r="CQ20" s="2106"/>
      <c r="CR20" s="2106"/>
      <c r="CS20" s="2109"/>
      <c r="CT20" s="2176"/>
      <c r="CU20" s="2177"/>
      <c r="CV20" s="2177"/>
      <c r="CW20" s="2177"/>
      <c r="CX20" s="2178"/>
    </row>
    <row r="21" spans="1:102" ht="40.5" customHeight="1" x14ac:dyDescent="0.3">
      <c r="A21" s="2204">
        <v>2013</v>
      </c>
      <c r="B21" s="2204"/>
      <c r="C21" s="2205"/>
      <c r="D21" s="1101">
        <v>41275</v>
      </c>
      <c r="E21" s="2141"/>
      <c r="F21" s="2190" t="str">
        <f>HYPERLINK("https://www.enmax.com/ForYourHomeSite/Documents/DT_Rate_Schedule_01_01_2013.pdf", "ENMAX January 2013 Distribution Tariff Rate Schedule, Page 3")</f>
        <v>ENMAX January 2013 Distribution Tariff Rate Schedule, Page 3</v>
      </c>
      <c r="G21" s="2190"/>
      <c r="H21" s="2200"/>
      <c r="I21" s="2120"/>
      <c r="J21" s="2219" t="str">
        <f>HYPERLINK("https://www.enmax.com/ForYourHomeSite/Documents/DT_Rate_Schedule_01_01_2013.pdf", "ENMAX January 2013 Distribution Tariff Rate Schedule, Pages 20, 21")</f>
        <v>ENMAX January 2013 Distribution Tariff Rate Schedule, Pages 20, 21</v>
      </c>
      <c r="K21" s="2190"/>
      <c r="L21" s="2200"/>
      <c r="M21" s="2245"/>
      <c r="N21" s="2245"/>
      <c r="O21" s="2120"/>
      <c r="P21" s="2124"/>
      <c r="Q21" s="2125"/>
      <c r="R21" s="2106"/>
      <c r="S21" s="2106"/>
      <c r="T21" s="2106"/>
      <c r="U21" s="2109"/>
      <c r="V21" s="2149"/>
      <c r="W21" s="2150"/>
      <c r="X21" s="2150"/>
      <c r="Y21" s="2150"/>
      <c r="Z21" s="2151"/>
      <c r="AA21" s="2141"/>
      <c r="AB21" s="2246" t="str">
        <f>HYPERLINK("https://www.epcor.com/products-services/power/rates-tariffs-fees/Documents2/SystemAccessServiceTariff-2013-01.pdf", "EPCOR January 2013 System Access Service Tariff, Page 3")</f>
        <v>EPCOR January 2013 System Access Service Tariff, Page 3</v>
      </c>
      <c r="AC21" s="2247" t="str">
        <f>HYPERLINK("https://www.epcor.com/products-services/power/rates-tariffs-fees/Documents2/DistributionAccessServiceTariff-2013-01.pdf", "EPCOR January 2013 Distribution Access Service Tariff, Page 3")</f>
        <v>EPCOR January 2013 Distribution Access Service Tariff, Page 3</v>
      </c>
      <c r="AD21" s="2247"/>
      <c r="AE21" s="2115" t="str">
        <f>HYPERLINK("https://www.epcor.com/products-services/power/rates-tariffs-fees/Documents2/LocalAccessFee-RetailersNotice-2013-01.pdf", "EPCOR January 2013 Local Access Fee Retailer Notice, Page 1")</f>
        <v>EPCOR January 2013 Local Access Fee Retailer Notice, Page 1</v>
      </c>
      <c r="AF21" s="2247" t="str">
        <f>HYPERLINK("https://www.epcor.com/products-services/power/rates-tariffs-fees/Documents2/SystemAccessServiceTariff-2013-01.pdf", "EPCOR January 2013 System Access Service Tariff, Page 3")</f>
        <v>EPCOR January 2013 System Access Service Tariff, Page 3</v>
      </c>
      <c r="AG21" s="2106"/>
      <c r="AH21" s="2106"/>
      <c r="AI21" s="2115" t="str">
        <f>HYPERLINK("https://www.epcor.com/products-services/power/rates-tariffs-fees/Documents2/DistributionAccessServiceTariff-2013-01.pdf", "EPCOR January 2013 Distribution Access Service Tariff, Page 25")</f>
        <v>EPCOR January 2013 Distribution Access Service Tariff, Page 25</v>
      </c>
      <c r="AJ21" s="2217" t="str">
        <f>HYPERLINK("https://www.epcor.com/products-services/power/rates-tariffs-fees/Documents2/DistributionAccessServiceTariff-2013-01.pdf", "EPCOR January 2013 Distribution Access Service Tariff, Page 23")</f>
        <v>EPCOR January 2013 Distribution Access Service Tariff, Page 23</v>
      </c>
      <c r="AK21" s="1574" t="str">
        <f>HYPERLINK("https://www.epcor.com/products-services/power/rates-tariffs-fees/Documents/RegulatedRateTariff-Edmonton-2013-01.pdf", "EPCOR January 2013 Regulated Rate Tariff, Page 2")</f>
        <v>EPCOR January 2013 Regulated Rate Tariff, Page 2</v>
      </c>
      <c r="AL21" s="2120"/>
      <c r="AM21" s="2124"/>
      <c r="AN21" s="2125"/>
      <c r="AO21" s="2106"/>
      <c r="AP21" s="2106"/>
      <c r="AQ21" s="2106"/>
      <c r="AR21" s="2109"/>
      <c r="AS21" s="2158"/>
      <c r="AT21" s="2159"/>
      <c r="AU21" s="2159"/>
      <c r="AV21" s="2159"/>
      <c r="AW21" s="2160"/>
      <c r="AX21" s="2141"/>
      <c r="AY21" s="2195" t="str">
        <f>HYPERLINK("http://fortisalberta.com/docs/default-source/default-document-library/2013-jan-rates-options-riders-schedules.pdf?sfvrsn=10", "Fortis Alberta January 2013 Rates, Options, and Riders, Page 2")</f>
        <v>Fortis Alberta January 2013 Rates, Options, and Riders, Page 2</v>
      </c>
      <c r="AZ21" s="2115"/>
      <c r="BA21" s="2115"/>
      <c r="BB21" s="2115"/>
      <c r="BC21" s="2115" t="str">
        <f>HYPERLINK("http://fortisalberta.com/docs/default-source/default-document-library/2013-jan-rates-options-riders-schedules.pdf?sfvrsn=10", "Fortis Alberta January 2013 Rates, Options, and Riders, Page 27-29")</f>
        <v>Fortis Alberta January 2013 Rates, Options, and Riders, Page 27-29</v>
      </c>
      <c r="BD21" s="2115" t="str">
        <f>HYPERLINK("http://fortisalberta.com/docs/default-source/default-document-library/2013-jan-rates-options-riders-schedules.pdf?sfvrsn=10", "Fortis Alberta January 2013 Rates, Options, and Riders, Page 24-26")</f>
        <v>Fortis Alberta January 2013 Rates, Options, and Riders, Page 24-26</v>
      </c>
      <c r="BE21" s="2115" t="str">
        <f>HYPERLINK("http://fortisalberta.com/docs/default-source/default-document-library/2013-jan-rates-options-riders-schedules.pdf?sfvrsn=10", "Fortis Alberta January 2013 Rates, Options, and Riders, Page 30")</f>
        <v>Fortis Alberta January 2013 Rates, Options, and Riders, Page 30</v>
      </c>
      <c r="BF21" s="2115" t="str">
        <f>HYPERLINK("http://fortisalberta.com/docs/default-source/default-document-library/2013-jan-rates-options-riders-schedules.pdf?sfvrsn=10", "Fortis Alberta January 2013 Rates, Options, and Riders")</f>
        <v>Fortis Alberta January 2013 Rates, Options, and Riders</v>
      </c>
      <c r="BG21" s="2115"/>
      <c r="BH21" s="2115" t="str">
        <f>HYPERLINK("http://fortisalberta.com/docs/default-source/default-document-library/2013-jan-rates-options-riders-schedules.pdf?sfvrsn=10", "Fortis Alberta January 2013 Rates, Options, and Riders, Page 31")</f>
        <v>Fortis Alberta January 2013 Rates, Options, and Riders, Page 31</v>
      </c>
      <c r="BI21" s="2115"/>
      <c r="BJ21" s="2115" t="str">
        <f>HYPERLINK("http://fortisalberta.com/docs/default-source/default-document-library/2013-jan-rates-options-riders-schedules.pdf?sfvrsn=10", "Fortis Alberta January 2013 Rates, Options, and Riders")</f>
        <v>Fortis Alberta January 2013 Rates, Options, and Riders</v>
      </c>
      <c r="BK21" s="2219" t="str">
        <f>HYPERLINK("http://www.auc.ab.ca/regulatory_documents/ProceedingDocuments/2012/2012-359.pdf", "AUC EPCOR First Quarter 2013 Non-Energy Charges Decision, Page 4")</f>
        <v>AUC EPCOR First Quarter 2013 Non-Energy Charges Decision, Page 4</v>
      </c>
      <c r="BL21" s="2120"/>
      <c r="BM21" s="2124"/>
      <c r="BN21" s="2125"/>
      <c r="BO21" s="2106"/>
      <c r="BP21" s="2106"/>
      <c r="BQ21" s="2106"/>
      <c r="BR21" s="2109"/>
      <c r="BS21" s="2167"/>
      <c r="BT21" s="2168"/>
      <c r="BU21" s="2168"/>
      <c r="BV21" s="2168"/>
      <c r="BW21" s="2169"/>
      <c r="BX21" s="2141"/>
      <c r="BY21" s="2191"/>
      <c r="BZ21" s="2191"/>
      <c r="CA21" s="2191"/>
      <c r="CB21" s="2185"/>
      <c r="CC21" s="2199"/>
      <c r="CD21" s="2199"/>
      <c r="CE21" s="2197"/>
      <c r="CF21" s="2197"/>
      <c r="CG21" s="2115"/>
      <c r="CH21" s="2115"/>
      <c r="CI21" s="2227"/>
      <c r="CJ21" s="2228"/>
      <c r="CK21" s="2131"/>
      <c r="CL21" s="2190" t="str">
        <f>HYPERLINK("http://www.auc.ab.ca/regulatory_documents/ProceedingDocuments/2012/2012-343.pdf", "AUC Direct Energy Regulated Services 2013 DRT and RRT , Pages 46, 94")</f>
        <v>AUC Direct Energy Regulated Services 2013 DRT and RRT , Pages 46, 94</v>
      </c>
      <c r="CM21" s="2120"/>
      <c r="CN21" s="2124"/>
      <c r="CO21" s="2125"/>
      <c r="CP21" s="2106"/>
      <c r="CQ21" s="2106"/>
      <c r="CR21" s="2106"/>
      <c r="CS21" s="2109"/>
      <c r="CT21" s="2176"/>
      <c r="CU21" s="2177"/>
      <c r="CV21" s="2177"/>
      <c r="CW21" s="2177"/>
      <c r="CX21" s="2178"/>
    </row>
    <row r="22" spans="1:102" ht="34.5" customHeight="1" x14ac:dyDescent="0.3">
      <c r="A22" s="2206"/>
      <c r="B22" s="2206"/>
      <c r="C22" s="2207"/>
      <c r="D22" s="1037">
        <v>41306</v>
      </c>
      <c r="E22" s="2141"/>
      <c r="F22" s="2191"/>
      <c r="G22" s="2191"/>
      <c r="H22" s="2185"/>
      <c r="I22" s="2120"/>
      <c r="J22" s="2184"/>
      <c r="K22" s="2191"/>
      <c r="L22" s="2185"/>
      <c r="M22" s="2245"/>
      <c r="N22" s="2245"/>
      <c r="O22" s="2120"/>
      <c r="P22" s="2124"/>
      <c r="Q22" s="2125"/>
      <c r="R22" s="2106"/>
      <c r="S22" s="2106"/>
      <c r="T22" s="2106"/>
      <c r="U22" s="2109"/>
      <c r="V22" s="2149"/>
      <c r="W22" s="2150"/>
      <c r="X22" s="2150"/>
      <c r="Y22" s="2150"/>
      <c r="Z22" s="2151"/>
      <c r="AA22" s="2141"/>
      <c r="AB22" s="2246"/>
      <c r="AC22" s="2247"/>
      <c r="AD22" s="2247"/>
      <c r="AE22" s="2188"/>
      <c r="AF22" s="2247"/>
      <c r="AG22" s="2106"/>
      <c r="AH22" s="2106"/>
      <c r="AI22" s="2115"/>
      <c r="AJ22" s="2217"/>
      <c r="AK22" s="1574" t="str">
        <f>HYPERLINK("https://www.epcor.com/products-services/power/rates-tariffs-fees/Documents/RegulatedRateTariff-Edmonton-2013-02.pdf", "EPCOR February 2013 Regulated Rate Tariff, Page 2")</f>
        <v>EPCOR February 2013 Regulated Rate Tariff, Page 2</v>
      </c>
      <c r="AL22" s="2120"/>
      <c r="AM22" s="2124"/>
      <c r="AN22" s="2125"/>
      <c r="AO22" s="2106"/>
      <c r="AP22" s="2106"/>
      <c r="AQ22" s="2106"/>
      <c r="AR22" s="2109"/>
      <c r="AS22" s="2158"/>
      <c r="AT22" s="2159"/>
      <c r="AU22" s="2159"/>
      <c r="AV22" s="2159"/>
      <c r="AW22" s="2160"/>
      <c r="AX22" s="2141"/>
      <c r="AY22" s="2195"/>
      <c r="AZ22" s="2115"/>
      <c r="BA22" s="2115"/>
      <c r="BB22" s="2115"/>
      <c r="BC22" s="2199"/>
      <c r="BD22" s="2199"/>
      <c r="BE22" s="2199"/>
      <c r="BF22" s="2115"/>
      <c r="BG22" s="2115"/>
      <c r="BH22" s="2115"/>
      <c r="BI22" s="2115"/>
      <c r="BJ22" s="2199"/>
      <c r="BK22" s="2242"/>
      <c r="BL22" s="2120"/>
      <c r="BM22" s="2124"/>
      <c r="BN22" s="2125"/>
      <c r="BO22" s="2106"/>
      <c r="BP22" s="2106"/>
      <c r="BQ22" s="2106"/>
      <c r="BR22" s="2109"/>
      <c r="BS22" s="2167"/>
      <c r="BT22" s="2168"/>
      <c r="BU22" s="2168"/>
      <c r="BV22" s="2168"/>
      <c r="BW22" s="2169"/>
      <c r="BX22" s="2141"/>
      <c r="BY22" s="2191"/>
      <c r="BZ22" s="2191"/>
      <c r="CA22" s="2191"/>
      <c r="CB22" s="2185"/>
      <c r="CC22" s="2199"/>
      <c r="CD22" s="2199"/>
      <c r="CE22" s="2197"/>
      <c r="CF22" s="2197"/>
      <c r="CG22" s="2115"/>
      <c r="CH22" s="2115"/>
      <c r="CI22" s="2227"/>
      <c r="CJ22" s="2228"/>
      <c r="CK22" s="2131"/>
      <c r="CL22" s="2191"/>
      <c r="CM22" s="2120"/>
      <c r="CN22" s="2124"/>
      <c r="CO22" s="2125"/>
      <c r="CP22" s="2106"/>
      <c r="CQ22" s="2106"/>
      <c r="CR22" s="2106"/>
      <c r="CS22" s="2109"/>
      <c r="CT22" s="2176"/>
      <c r="CU22" s="2177"/>
      <c r="CV22" s="2177"/>
      <c r="CW22" s="2177"/>
      <c r="CX22" s="2178"/>
    </row>
    <row r="23" spans="1:102" ht="34.5" customHeight="1" x14ac:dyDescent="0.3">
      <c r="A23" s="2206"/>
      <c r="B23" s="2206"/>
      <c r="C23" s="2207"/>
      <c r="D23" s="1037">
        <v>41334</v>
      </c>
      <c r="E23" s="2141"/>
      <c r="F23" s="2192"/>
      <c r="G23" s="2192"/>
      <c r="H23" s="2187"/>
      <c r="I23" s="2120"/>
      <c r="J23" s="2186"/>
      <c r="K23" s="2192"/>
      <c r="L23" s="2187"/>
      <c r="M23" s="2245"/>
      <c r="N23" s="2245"/>
      <c r="O23" s="2120"/>
      <c r="P23" s="2124"/>
      <c r="Q23" s="2125"/>
      <c r="R23" s="2106"/>
      <c r="S23" s="2106"/>
      <c r="T23" s="2106"/>
      <c r="U23" s="2109"/>
      <c r="V23" s="2149"/>
      <c r="W23" s="2150"/>
      <c r="X23" s="2150"/>
      <c r="Y23" s="2150"/>
      <c r="Z23" s="2151"/>
      <c r="AA23" s="2141"/>
      <c r="AB23" s="2246"/>
      <c r="AC23" s="2247"/>
      <c r="AD23" s="2247"/>
      <c r="AE23" s="2188"/>
      <c r="AF23" s="2247"/>
      <c r="AG23" s="2107"/>
      <c r="AH23" s="2107"/>
      <c r="AI23" s="2115"/>
      <c r="AJ23" s="2217"/>
      <c r="AK23" s="1574" t="str">
        <f>HYPERLINK("https://www.epcor.com/products-services/power/rates-tariffs-fees/Documents/RegulatedRateTariff-Edmonton-2013-03.pdf", "EPCOR March 2013 Regulated Rate Tariff, Page 2")</f>
        <v>EPCOR March 2013 Regulated Rate Tariff, Page 2</v>
      </c>
      <c r="AL23" s="2120"/>
      <c r="AM23" s="2124"/>
      <c r="AN23" s="2125"/>
      <c r="AO23" s="2106"/>
      <c r="AP23" s="2106"/>
      <c r="AQ23" s="2106"/>
      <c r="AR23" s="2109"/>
      <c r="AS23" s="2158"/>
      <c r="AT23" s="2159"/>
      <c r="AU23" s="2159"/>
      <c r="AV23" s="2159"/>
      <c r="AW23" s="2160"/>
      <c r="AX23" s="2141"/>
      <c r="AY23" s="2195"/>
      <c r="AZ23" s="2115"/>
      <c r="BA23" s="2115"/>
      <c r="BB23" s="2115"/>
      <c r="BC23" s="2199"/>
      <c r="BD23" s="2199"/>
      <c r="BE23" s="2199"/>
      <c r="BF23" s="2115"/>
      <c r="BG23" s="2115"/>
      <c r="BH23" s="2115"/>
      <c r="BI23" s="2115"/>
      <c r="BJ23" s="2199"/>
      <c r="BK23" s="2243"/>
      <c r="BL23" s="2120"/>
      <c r="BM23" s="2124"/>
      <c r="BN23" s="2125"/>
      <c r="BO23" s="2106"/>
      <c r="BP23" s="2106"/>
      <c r="BQ23" s="2106"/>
      <c r="BR23" s="2109"/>
      <c r="BS23" s="2167"/>
      <c r="BT23" s="2168"/>
      <c r="BU23" s="2168"/>
      <c r="BV23" s="2168"/>
      <c r="BW23" s="2169"/>
      <c r="BX23" s="2141"/>
      <c r="BY23" s="2192"/>
      <c r="BZ23" s="2192"/>
      <c r="CA23" s="2192"/>
      <c r="CB23" s="2192"/>
      <c r="CC23" s="2115" t="str">
        <f>HYPERLINK("http://www.atcoelectric.com/Rates/tariffs/Documents/2013-03-01-AE-Rider-A.pdf", "ATCO Electric March 2013 Rider A Rate Schedule, Page 2")</f>
        <v>ATCO Electric March 2013 Rider A Rate Schedule, Page 2</v>
      </c>
      <c r="CD23" s="2199"/>
      <c r="CE23" s="2198"/>
      <c r="CF23" s="2197"/>
      <c r="CG23" s="2115"/>
      <c r="CH23" s="2115"/>
      <c r="CI23" s="2227"/>
      <c r="CJ23" s="2228"/>
      <c r="CK23" s="2131"/>
      <c r="CL23" s="2191"/>
      <c r="CM23" s="2120"/>
      <c r="CN23" s="2124"/>
      <c r="CO23" s="2125"/>
      <c r="CP23" s="2106"/>
      <c r="CQ23" s="2106"/>
      <c r="CR23" s="2106"/>
      <c r="CS23" s="2109"/>
      <c r="CT23" s="2176"/>
      <c r="CU23" s="2177"/>
      <c r="CV23" s="2177"/>
      <c r="CW23" s="2177"/>
      <c r="CX23" s="2178"/>
    </row>
    <row r="24" spans="1:102" ht="66" customHeight="1" x14ac:dyDescent="0.3">
      <c r="A24" s="2206"/>
      <c r="B24" s="2206"/>
      <c r="C24" s="2207"/>
      <c r="D24" s="1037">
        <v>41365</v>
      </c>
      <c r="E24" s="2141"/>
      <c r="F24" s="2190" t="str">
        <f>HYPERLINK("https://www.enmax.com/ForYourHomeSite/Documents/DT_Rate_Schedule_04_01_2013.pdf", "ENMAX April 2013 Distribution Tariff Rate Schedule, Page 3")</f>
        <v>ENMAX April 2013 Distribution Tariff Rate Schedule, Page 3</v>
      </c>
      <c r="G24" s="2190"/>
      <c r="H24" s="2200"/>
      <c r="I24" s="2120"/>
      <c r="J24" s="2219" t="str">
        <f>HYPERLINK("https://www.enmax.com/ForYourHomeSite/Documents/DT_Rate_Schedule_04_01_2013.pdf", "ENMAX April 2013 Distribution Tariff Rate Schedule, Pages 21, 22")</f>
        <v>ENMAX April 2013 Distribution Tariff Rate Schedule, Pages 21, 22</v>
      </c>
      <c r="K24" s="2190"/>
      <c r="L24" s="2200"/>
      <c r="M24" s="2245"/>
      <c r="N24" s="2245"/>
      <c r="O24" s="2120"/>
      <c r="P24" s="2124"/>
      <c r="Q24" s="2125"/>
      <c r="R24" s="2106"/>
      <c r="S24" s="2106"/>
      <c r="T24" s="2106"/>
      <c r="U24" s="2109"/>
      <c r="V24" s="2149"/>
      <c r="W24" s="2150"/>
      <c r="X24" s="2150"/>
      <c r="Y24" s="2150"/>
      <c r="Z24" s="2151"/>
      <c r="AA24" s="2141"/>
      <c r="AB24" s="2246" t="str">
        <f>HYPERLINK("https://www.epcor.com/products-services/power/rates-tariffs-fees/Documents2/SystemAccessServiceTariff-2013-04.pdf", "EPCOR April 2013 System Access Service Tariff, Page 3")</f>
        <v>EPCOR April 2013 System Access Service Tariff, Page 3</v>
      </c>
      <c r="AC24" s="2250" t="str">
        <f>HYPERLINK("https://www.epcor.com/products-services/power/rates-tariffs-fees/Documents2/DistributionAccessServiceTariff-2013-04.pdf", "EPCOR April 2013 Distribution Access Service Tariff, Page 3")</f>
        <v>EPCOR April 2013 Distribution Access Service Tariff, Page 3</v>
      </c>
      <c r="AD24" s="2250"/>
      <c r="AE24" s="2188"/>
      <c r="AF24" s="2247" t="str">
        <f>HYPERLINK("https://www.epcor.com/products-services/power/rates-tariffs-fees/Documents2/SystemAccessServiceTariff-2013-04.pdf", "EPCOR April 2013 System Access Service Tariff, Page 3")</f>
        <v>EPCOR April 2013 System Access Service Tariff, Page 3</v>
      </c>
      <c r="AG24" s="2115" t="str">
        <f>HYPERLINK("https://www.epcor.com/products-services/power/rates-tariffs-fees/Documents2/TransmissionChargeDeferralAccountTrueUP(TCDA)-RiderK-2013-04.pdf", "EPCOR April 2013 Rider K Short-Term Adjustment, Page 1")</f>
        <v>EPCOR April 2013 Rider K Short-Term Adjustment, Page 1</v>
      </c>
      <c r="AH24" s="2250" t="str">
        <f>HYPERLINK("https://www.epcor.com/products-services/power/rates-tariffs-fees/Documents2/SystemAccessServiceTariff-2013-04.pdf", "EPCOR April 2013 System Access Service Tariff, Page 23")</f>
        <v>EPCOR April 2013 System Access Service Tariff, Page 23</v>
      </c>
      <c r="AI24" s="2115" t="str">
        <f>HYPERLINK("https://www.epcor.com/products-services/power/rates-tariffs-fees/Documents2/DistributionAccessServiceTariff-2013-04.pdf", "EPCOR April 2013 Distribution Access Service Tariff, Page 25")</f>
        <v>EPCOR April 2013 Distribution Access Service Tariff, Page 25</v>
      </c>
      <c r="AJ24" s="2217" t="str">
        <f>HYPERLINK("https://www.epcor.com/products-services/power/rates-tariffs-fees/Documents2/DistributionAccessServiceTariff-2013-04.pdf", "EPCOR April 2013 Distribution Access Service Tariff, Page 23")</f>
        <v>EPCOR April 2013 Distribution Access Service Tariff, Page 23</v>
      </c>
      <c r="AK24" s="1574" t="str">
        <f>HYPERLINK("https://www.epcor.com/products-services/power/rates-tariffs-fees/Documents/RegulatedRateTariff-Edmonton-2013-04.pdf", "EPCOR April 2013 Regulated Rate Tariff, Page 2")</f>
        <v>EPCOR April 2013 Regulated Rate Tariff, Page 2</v>
      </c>
      <c r="AL24" s="2120"/>
      <c r="AM24" s="2124"/>
      <c r="AN24" s="2125"/>
      <c r="AO24" s="2106"/>
      <c r="AP24" s="2106"/>
      <c r="AQ24" s="2106"/>
      <c r="AR24" s="2109"/>
      <c r="AS24" s="2158"/>
      <c r="AT24" s="2159"/>
      <c r="AU24" s="2159"/>
      <c r="AV24" s="2159"/>
      <c r="AW24" s="2160"/>
      <c r="AX24" s="2141"/>
      <c r="AY24" s="2195" t="str">
        <f>HYPERLINK("http://fortisalberta.com/docs/default-source/default-document-library/2013-april-rates-options-riders-schedules.pdf?sfvrsn=10", "Fortis Alberta April 2013 Rates, Options, and Riders, Page 2")</f>
        <v>Fortis Alberta April 2013 Rates, Options, and Riders, Page 2</v>
      </c>
      <c r="AZ24" s="2115"/>
      <c r="BA24" s="2115"/>
      <c r="BB24" s="2115"/>
      <c r="BC24" s="2115" t="str">
        <f>HYPERLINK("http://fortisalberta.com/docs/default-source/default-document-library/2013-april-rates-options-riders-schedules.pdf?sfvrsn=10", "Fortis Alberta April 2013 Rates, Options, and Riders, Page 27-29")</f>
        <v>Fortis Alberta April 2013 Rates, Options, and Riders, Page 27-29</v>
      </c>
      <c r="BD24" s="2115" t="str">
        <f>HYPERLINK("http://fortisalberta.com/docs/default-source/default-document-library/2013-april-rates-options-riders-schedules.pdf?sfvrsn=10", "Fortis Alberta April 2013 Rates, Options, and Riders, Page 24-26")</f>
        <v>Fortis Alberta April 2013 Rates, Options, and Riders, Page 24-26</v>
      </c>
      <c r="BE24" s="2115" t="str">
        <f>HYPERLINK("http://fortisalberta.com/docs/default-source/default-document-library/2013-april-rates-options-riders-schedules.pdf?sfvrsn=10", "Fortis Alberta April 2013 Rates, Options, and Riders, Page 30")</f>
        <v>Fortis Alberta April 2013 Rates, Options, and Riders, Page 30</v>
      </c>
      <c r="BF24" s="2115" t="str">
        <f>HYPERLINK("http://fortisalberta.com/docs/default-source/default-document-library/2013-april-rates-options-riders-schedules.pdf?sfvrsn=10", "Fortis Alberta April 2013 Rates, Options, and Riders, Page 31")</f>
        <v>Fortis Alberta April 2013 Rates, Options, and Riders, Page 31</v>
      </c>
      <c r="BG24" s="2115"/>
      <c r="BH24" s="2219" t="str">
        <f>HYPERLINK("http://fortisalberta.com/docs/default-source/default-document-library/2013-april-rates-options-riders-schedules.pdf?sfvrsn=10", "Fortis Alberta April 2013 Rates, Options, and Riders, Page 32")</f>
        <v>Fortis Alberta April 2013 Rates, Options, and Riders, Page 32</v>
      </c>
      <c r="BI24" s="2200"/>
      <c r="BJ24" s="2115" t="str">
        <f>HYPERLINK("http://fortisalberta.com/docs/default-source/default-document-library/2013-april-rates-options-riders-schedules.pdf?sfvrsn=10", "Fortis Alberta April 2013 Rates, Options, and Riders, Page 33")</f>
        <v>Fortis Alberta April 2013 Rates, Options, and Riders, Page 33</v>
      </c>
      <c r="BK24" s="2219" t="str">
        <f>HYPERLINK("http://www.auc.ab.ca/applications/decisions/Decisions/2013/DA2013-90.pdf", "AUC EPCOR Second Quarter 2013 Non-Energy Charges Proceeding, Page 3")</f>
        <v>AUC EPCOR Second Quarter 2013 Non-Energy Charges Proceeding, Page 3</v>
      </c>
      <c r="BL24" s="2120"/>
      <c r="BM24" s="2124"/>
      <c r="BN24" s="2125"/>
      <c r="BO24" s="2106"/>
      <c r="BP24" s="2106"/>
      <c r="BQ24" s="2106"/>
      <c r="BR24" s="2109"/>
      <c r="BS24" s="2167"/>
      <c r="BT24" s="2168"/>
      <c r="BU24" s="2168"/>
      <c r="BV24" s="2168"/>
      <c r="BW24" s="2169"/>
      <c r="BX24" s="2141"/>
      <c r="BY24" s="2190" t="str">
        <f>HYPERLINK("http://www.atcoelectric.com/Rates/tariffs/Documents/2013-04-01_AE_Interim_Price_Schedules.pdf", "ATCO Electric April 2013 Price Schedule Index, Page 2")</f>
        <v>ATCO Electric April 2013 Price Schedule Index, Page 2</v>
      </c>
      <c r="BZ24" s="2237"/>
      <c r="CA24" s="2237"/>
      <c r="CB24" s="2238"/>
      <c r="CC24" s="2199"/>
      <c r="CD24" s="2199"/>
      <c r="CE24" s="2115" t="str">
        <f>HYPERLINK("http://www.atcoelectric.com/Rates/tariffs/Documents/2013-04-01_AE_Interim_Price_Schedules.pdf", "ATCO Electric April 2013 Price Schedule Index, Page 45")</f>
        <v>ATCO Electric April 2013 Price Schedule Index, Page 45</v>
      </c>
      <c r="CF24" s="1407" t="str">
        <f>HYPERLINK("http://www.atcoelectric.com/Rates/tariffs/Documents/2013-04-01_AE_Interim_Price_Schedules.pdf", "ATCO Electric April 2013 Price Schedule Index, Page 47")</f>
        <v>ATCO Electric April 2013 Price Schedule Index, Page 47</v>
      </c>
      <c r="CG24" s="2115" t="str">
        <f>HYPERLINK("http://www.atcoelectric.com/Rates/tariffs/Documents/2013-04-01_AE_Interim_Price_Schedules.pdf", "ATCO Electric April 2013 Price Schedule Index, Page 49")</f>
        <v>ATCO Electric April 2013 Price Schedule Index, Page 49</v>
      </c>
      <c r="CH24" s="2115" t="str">
        <f>HYPERLINK("http://www.atcoelectric.com/Rates/tariffs/Documents/2013-04-01_AE_Interim_Price_Schedules.pdf", "ATCO Electric April 2013 Price Schedule Index, Page 48")</f>
        <v>ATCO Electric April 2013 Price Schedule Index, Page 48</v>
      </c>
      <c r="CI24" s="2227"/>
      <c r="CJ24" s="2228"/>
      <c r="CK24" s="2131"/>
      <c r="CL24" s="2191"/>
      <c r="CM24" s="2120"/>
      <c r="CN24" s="2124"/>
      <c r="CO24" s="2125"/>
      <c r="CP24" s="2106"/>
      <c r="CQ24" s="2106"/>
      <c r="CR24" s="2106"/>
      <c r="CS24" s="2109"/>
      <c r="CT24" s="2176"/>
      <c r="CU24" s="2177"/>
      <c r="CV24" s="2177"/>
      <c r="CW24" s="2177"/>
      <c r="CX24" s="2178"/>
    </row>
    <row r="25" spans="1:102" ht="39.75" customHeight="1" x14ac:dyDescent="0.3">
      <c r="A25" s="2206"/>
      <c r="B25" s="2206"/>
      <c r="C25" s="2207"/>
      <c r="D25" s="1037">
        <v>41395</v>
      </c>
      <c r="E25" s="2141"/>
      <c r="F25" s="2191"/>
      <c r="G25" s="2191"/>
      <c r="H25" s="2185"/>
      <c r="I25" s="2120"/>
      <c r="J25" s="2184"/>
      <c r="K25" s="2191"/>
      <c r="L25" s="2185"/>
      <c r="M25" s="2245"/>
      <c r="N25" s="2245"/>
      <c r="O25" s="2120"/>
      <c r="P25" s="2124"/>
      <c r="Q25" s="2125"/>
      <c r="R25" s="2106"/>
      <c r="S25" s="2106"/>
      <c r="T25" s="2106"/>
      <c r="U25" s="2109"/>
      <c r="V25" s="2149"/>
      <c r="W25" s="2150"/>
      <c r="X25" s="2150"/>
      <c r="Y25" s="2150"/>
      <c r="Z25" s="2151"/>
      <c r="AA25" s="2141"/>
      <c r="AB25" s="2246"/>
      <c r="AC25" s="2250"/>
      <c r="AD25" s="2250"/>
      <c r="AE25" s="2188"/>
      <c r="AF25" s="2247"/>
      <c r="AG25" s="2188"/>
      <c r="AH25" s="2250"/>
      <c r="AI25" s="2115"/>
      <c r="AJ25" s="2217"/>
      <c r="AK25" s="1574" t="str">
        <f>HYPERLINK("https://www.epcor.com/products-services/power/rates-tariffs-fees/Documents/RegulatedRateTariff-Edmonton-2013-05.pdf", "EPCOR May 2013 Regulated Rate Tariff, Page 2")</f>
        <v>EPCOR May 2013 Regulated Rate Tariff, Page 2</v>
      </c>
      <c r="AL25" s="2120"/>
      <c r="AM25" s="2124"/>
      <c r="AN25" s="2125"/>
      <c r="AO25" s="2106"/>
      <c r="AP25" s="2106"/>
      <c r="AQ25" s="2106"/>
      <c r="AR25" s="2109"/>
      <c r="AS25" s="2158"/>
      <c r="AT25" s="2159"/>
      <c r="AU25" s="2159"/>
      <c r="AV25" s="2159"/>
      <c r="AW25" s="2160"/>
      <c r="AX25" s="2141"/>
      <c r="AY25" s="2195"/>
      <c r="AZ25" s="2115"/>
      <c r="BA25" s="2115"/>
      <c r="BB25" s="2115"/>
      <c r="BC25" s="2199"/>
      <c r="BD25" s="2199"/>
      <c r="BE25" s="2199"/>
      <c r="BF25" s="2115"/>
      <c r="BG25" s="2115"/>
      <c r="BH25" s="2184"/>
      <c r="BI25" s="2185"/>
      <c r="BJ25" s="2199"/>
      <c r="BK25" s="2242"/>
      <c r="BL25" s="2120"/>
      <c r="BM25" s="2124"/>
      <c r="BN25" s="2125"/>
      <c r="BO25" s="2106"/>
      <c r="BP25" s="2106"/>
      <c r="BQ25" s="2106"/>
      <c r="BR25" s="2109"/>
      <c r="BS25" s="2167"/>
      <c r="BT25" s="2168"/>
      <c r="BU25" s="2168"/>
      <c r="BV25" s="2168"/>
      <c r="BW25" s="2169"/>
      <c r="BX25" s="2141"/>
      <c r="BY25" s="2239"/>
      <c r="BZ25" s="2239"/>
      <c r="CA25" s="2239"/>
      <c r="CB25" s="2240"/>
      <c r="CC25" s="2199"/>
      <c r="CD25" s="2199"/>
      <c r="CE25" s="2115"/>
      <c r="CF25" s="2115" t="str">
        <f>HYPERLINK("http://www.atcoelectric.com/Rates/tariffs/Documents/2013-05-01-AE-Rider-G.pdf", "ATCO Electric May 2013 Rider G Temporary Adjustment, Page 1")</f>
        <v>ATCO Electric May 2013 Rider G Temporary Adjustment, Page 1</v>
      </c>
      <c r="CG25" s="2115"/>
      <c r="CH25" s="2188"/>
      <c r="CI25" s="2227"/>
      <c r="CJ25" s="2228"/>
      <c r="CK25" s="2131"/>
      <c r="CL25" s="2191"/>
      <c r="CM25" s="2120"/>
      <c r="CN25" s="2124"/>
      <c r="CO25" s="2125"/>
      <c r="CP25" s="2106"/>
      <c r="CQ25" s="2106"/>
      <c r="CR25" s="2106"/>
      <c r="CS25" s="2109"/>
      <c r="CT25" s="2176"/>
      <c r="CU25" s="2177"/>
      <c r="CV25" s="2177"/>
      <c r="CW25" s="2177"/>
      <c r="CX25" s="2178"/>
    </row>
    <row r="26" spans="1:102" ht="46.5" customHeight="1" x14ac:dyDescent="0.3">
      <c r="A26" s="2206"/>
      <c r="B26" s="2206"/>
      <c r="C26" s="2207"/>
      <c r="D26" s="1037">
        <v>41426</v>
      </c>
      <c r="E26" s="2141"/>
      <c r="F26" s="2192"/>
      <c r="G26" s="2192"/>
      <c r="H26" s="2187"/>
      <c r="I26" s="2120"/>
      <c r="J26" s="2186"/>
      <c r="K26" s="2192"/>
      <c r="L26" s="2187"/>
      <c r="M26" s="1490" t="str">
        <f>HYPERLINK("https://www.enmax.com/ForYourHomeSite/Documents/2013_RRO_Rate_Schedule.pdf", "ENMAX 2013 RRO Tariff, Page 2")</f>
        <v>ENMAX 2013 RRO Tariff, Page 2</v>
      </c>
      <c r="N26" s="2194" t="str">
        <f>HYPERLINK("https://www.enmax.com/ForYourHomeSite/Documents/2013_RRO_Rate_Schedule.pdf", "ENMAX 2013 RRO Tariff, Page 2")</f>
        <v>ENMAX 2013 RRO Tariff, Page 2</v>
      </c>
      <c r="O26" s="2120"/>
      <c r="P26" s="2124"/>
      <c r="Q26" s="2125"/>
      <c r="R26" s="2106"/>
      <c r="S26" s="2106"/>
      <c r="T26" s="2106"/>
      <c r="U26" s="2109"/>
      <c r="V26" s="2149"/>
      <c r="W26" s="2150"/>
      <c r="X26" s="2150"/>
      <c r="Y26" s="2150"/>
      <c r="Z26" s="2151"/>
      <c r="AA26" s="2141"/>
      <c r="AB26" s="2246"/>
      <c r="AC26" s="2250"/>
      <c r="AD26" s="2250"/>
      <c r="AE26" s="2188"/>
      <c r="AF26" s="2247"/>
      <c r="AG26" s="2188"/>
      <c r="AH26" s="2250"/>
      <c r="AI26" s="2115"/>
      <c r="AJ26" s="2217"/>
      <c r="AK26" s="1574" t="str">
        <f>HYPERLINK("https://www.epcor.com/products-services/power/rates-tariffs-fees/Documents/RegulatedRateTariff-Edmonton-2013-06.pdf", "EPCOR June 2013 Regulated Rate Tariff, Page 2")</f>
        <v>EPCOR June 2013 Regulated Rate Tariff, Page 2</v>
      </c>
      <c r="AL26" s="2120"/>
      <c r="AM26" s="2124"/>
      <c r="AN26" s="2125"/>
      <c r="AO26" s="2106"/>
      <c r="AP26" s="2106"/>
      <c r="AQ26" s="2106"/>
      <c r="AR26" s="2109"/>
      <c r="AS26" s="2158"/>
      <c r="AT26" s="2159"/>
      <c r="AU26" s="2159"/>
      <c r="AV26" s="2159"/>
      <c r="AW26" s="2160"/>
      <c r="AX26" s="2141"/>
      <c r="AY26" s="2195"/>
      <c r="AZ26" s="2115"/>
      <c r="BA26" s="2115"/>
      <c r="BB26" s="2115"/>
      <c r="BC26" s="2199"/>
      <c r="BD26" s="2199"/>
      <c r="BE26" s="2199"/>
      <c r="BF26" s="2115"/>
      <c r="BG26" s="2115"/>
      <c r="BH26" s="2186"/>
      <c r="BI26" s="2187"/>
      <c r="BJ26" s="2199"/>
      <c r="BK26" s="2243"/>
      <c r="BL26" s="2120"/>
      <c r="BM26" s="2124"/>
      <c r="BN26" s="2125"/>
      <c r="BO26" s="2106"/>
      <c r="BP26" s="2106"/>
      <c r="BQ26" s="2106"/>
      <c r="BR26" s="2109"/>
      <c r="BS26" s="2167"/>
      <c r="BT26" s="2168"/>
      <c r="BU26" s="2168"/>
      <c r="BV26" s="2168"/>
      <c r="BW26" s="2169"/>
      <c r="BX26" s="2141"/>
      <c r="BY26" s="2239"/>
      <c r="BZ26" s="2239"/>
      <c r="CA26" s="2239"/>
      <c r="CB26" s="2240"/>
      <c r="CC26" s="2199"/>
      <c r="CD26" s="2199"/>
      <c r="CE26" s="2115"/>
      <c r="CF26" s="2188"/>
      <c r="CG26" s="2115"/>
      <c r="CH26" s="2188"/>
      <c r="CI26" s="2227"/>
      <c r="CJ26" s="2228"/>
      <c r="CK26" s="2131"/>
      <c r="CL26" s="2191"/>
      <c r="CM26" s="2120"/>
      <c r="CN26" s="2124"/>
      <c r="CO26" s="2125"/>
      <c r="CP26" s="2106"/>
      <c r="CQ26" s="2106"/>
      <c r="CR26" s="2106"/>
      <c r="CS26" s="2109"/>
      <c r="CT26" s="2176"/>
      <c r="CU26" s="2177"/>
      <c r="CV26" s="2177"/>
      <c r="CW26" s="2177"/>
      <c r="CX26" s="2178"/>
    </row>
    <row r="27" spans="1:102" ht="63.75" customHeight="1" x14ac:dyDescent="0.3">
      <c r="A27" s="2206"/>
      <c r="B27" s="2206"/>
      <c r="C27" s="2207"/>
      <c r="D27" s="1037">
        <v>41456</v>
      </c>
      <c r="E27" s="2141"/>
      <c r="F27" s="2190" t="str">
        <f>HYPERLINK("https://www.enmax.com/ForYourBusinessSite/Documents/2013-07-01-DTRateSchedule.pdf", "ENMAX July 2013 Distribution Tariff Rate Schedule, Page 3")</f>
        <v>ENMAX July 2013 Distribution Tariff Rate Schedule, Page 3</v>
      </c>
      <c r="G27" s="2190"/>
      <c r="H27" s="2200"/>
      <c r="I27" s="2120"/>
      <c r="J27" s="2219" t="str">
        <f>HYPERLINK("https://www.enmax.com/ForYourBusinessSite/Documents/2013-07-01-DTRateSchedule.pdf", "ENMAX July 2013 Distribution Tariff Rate Schedule, Pages 21, 22")</f>
        <v>ENMAX July 2013 Distribution Tariff Rate Schedule, Pages 21, 22</v>
      </c>
      <c r="K27" s="2190"/>
      <c r="L27" s="2200"/>
      <c r="M27" s="2194" t="str">
        <f>HYPERLINK("http://www.auc.ab.ca/applications/decisions/Decisions/2013/2013-175.pdf", "AUC ENMAX 2013 RRO Non-Energy Final Rates Compliance Filing and Non-Energy Rate Rider Application, Page 10")</f>
        <v>AUC ENMAX 2013 RRO Non-Energy Final Rates Compliance Filing and Non-Energy Rate Rider Application, Page 10</v>
      </c>
      <c r="N27" s="2194"/>
      <c r="O27" s="2120"/>
      <c r="P27" s="2124"/>
      <c r="Q27" s="2125"/>
      <c r="R27" s="2106"/>
      <c r="S27" s="2106"/>
      <c r="T27" s="2106"/>
      <c r="U27" s="2109"/>
      <c r="V27" s="2149"/>
      <c r="W27" s="2150"/>
      <c r="X27" s="2150"/>
      <c r="Y27" s="2150"/>
      <c r="Z27" s="2151"/>
      <c r="AA27" s="2141"/>
      <c r="AB27" s="2246"/>
      <c r="AC27" s="2247" t="str">
        <f>HYPERLINK("https://www.epcor.com/products-services/power/rates-tariffs-fees/Documents2/DistributionAccessServiceTariff-2013-07.pdf", "EPCOR July 2013 Distribution Access Service Tariff, Page 3")</f>
        <v>EPCOR July 2013 Distribution Access Service Tariff, Page 3</v>
      </c>
      <c r="AD27" s="2247"/>
      <c r="AE27" s="2188"/>
      <c r="AF27" s="2247"/>
      <c r="AG27" s="2115" t="str">
        <f>HYPERLINK("https://www.epcor.com/products-services/power/rates-tariffs-fees/Documents2/TransmissionChargeDeferralAccountTrueUP(TCDA)-RiderK-2013-07.pdf", "EPCOR July 2013 Rider K Short-Term Adjustment, Page 1")</f>
        <v>EPCOR July 2013 Rider K Short-Term Adjustment, Page 1</v>
      </c>
      <c r="AH27" s="2250"/>
      <c r="AI27" s="2202" t="str">
        <f>HYPERLINK("https://www.epcor.com/products-services/power/rates-tariffs-fees/Documents2/DistributionAccessServiceTariff-2013-07.pdf", "EPCOR July 2013 Distribution Access Service Tariff, Page 25")</f>
        <v>EPCOR July 2013 Distribution Access Service Tariff, Page 25</v>
      </c>
      <c r="AJ27" s="2217" t="str">
        <f>HYPERLINK("https://www.epcor.com/products-services/power/rates-tariffs-fees/Documents2/DistributionAccessServiceTariff-2013-07.pdf", "EPCOR July 2013 Distribution Access Service Tariff, Page 23")</f>
        <v>EPCOR July 2013 Distribution Access Service Tariff, Page 23</v>
      </c>
      <c r="AK27" s="1574" t="str">
        <f>HYPERLINK("https://www.epcor.com/products-services/power/rates-tariffs-fees/Documents/RegulatedRateTariff-Edmonton-2013-07.pdf", "EPCOR July 2013 Regulated Rate Tariff, Page 2")</f>
        <v>EPCOR July 2013 Regulated Rate Tariff, Page 2</v>
      </c>
      <c r="AL27" s="2120"/>
      <c r="AM27" s="2124"/>
      <c r="AN27" s="2125"/>
      <c r="AO27" s="2106"/>
      <c r="AP27" s="2106"/>
      <c r="AQ27" s="2106"/>
      <c r="AR27" s="2109"/>
      <c r="AS27" s="2158"/>
      <c r="AT27" s="2159"/>
      <c r="AU27" s="2159"/>
      <c r="AV27" s="2159"/>
      <c r="AW27" s="2160"/>
      <c r="AX27" s="2141"/>
      <c r="AY27" s="2195" t="str">
        <f>HYPERLINK("http://fortisalberta.com/docs/default-source/default-document-library/2013-aug-rates-options-riders-schedules.pdf?sfvrsn=14", "Fortis Alberta July 2013 Rates, Options, and Riders, Page 2")</f>
        <v>Fortis Alberta July 2013 Rates, Options, and Riders, Page 2</v>
      </c>
      <c r="AZ27" s="2115"/>
      <c r="BA27" s="2115"/>
      <c r="BB27" s="2115"/>
      <c r="BC27" s="2115" t="str">
        <f>HYPERLINK("http://fortisalberta.com/docs/default-source/default-document-library/2013-aug-rates-options-riders-schedules.pdf?sfvrsn=14", "Fortis Alberta July 2013 Rates, Options, and Riders, Page 27-29")</f>
        <v>Fortis Alberta July 2013 Rates, Options, and Riders, Page 27-29</v>
      </c>
      <c r="BD27" s="2115" t="str">
        <f>HYPERLINK("http://fortisalberta.com/docs/default-source/default-document-library/2013-aug-rates-options-riders-schedules.pdf?sfvrsn=14", "Fortis Alberta July 2013 Rates, Options, and Riders, Page 24-26")</f>
        <v>Fortis Alberta July 2013 Rates, Options, and Riders, Page 24-26</v>
      </c>
      <c r="BE27" s="2115" t="str">
        <f>HYPERLINK("http://fortisalberta.com/docs/default-source/default-document-library/2013-aug-rates-options-riders-schedules.pdf?sfvrsn=14", "Fortis Alberta July 2013 Rates, Options, and Riders, Page 30")</f>
        <v>Fortis Alberta July 2013 Rates, Options, and Riders, Page 30</v>
      </c>
      <c r="BF27" s="2115" t="str">
        <f>HYPERLINK("http://fortisalberta.com/docs/default-source/default-document-library/2013-aug-rates-options-riders-schedules.pdf?sfvrsn=14", "Fortis Alberta July 2013 Rates, Options, and Riders, Page 31")</f>
        <v>Fortis Alberta July 2013 Rates, Options, and Riders, Page 31</v>
      </c>
      <c r="BG27" s="2115"/>
      <c r="BH27" s="2219" t="str">
        <f>HYPERLINK("http://fortisalberta.com/docs/default-source/default-document-library/2013-aug-rates-options-riders-schedules.pdf?sfvrsn=14", "Fortis Alberta July 2013 Rates, Options, and Riders, Page 32")</f>
        <v>Fortis Alberta July 2013 Rates, Options, and Riders, Page 32</v>
      </c>
      <c r="BI27" s="2200"/>
      <c r="BJ27" s="2115" t="str">
        <f>HYPERLINK("http://fortisalberta.com/docs/default-source/default-document-library/2013-aug-rates-options-riders-schedules.pdf?sfvrsn=14", "Fortis Alberta July 2013 Rates, Options, and Riders, Page 33")</f>
        <v>Fortis Alberta July 2013 Rates, Options, and Riders, Page 33</v>
      </c>
      <c r="BK27" s="1413" t="str">
        <f>HYPERLINK("http://www.auc.ab.ca/applications/decisions/Decisions/2013/DA2013-151.pdf", "AUC EPCOR Third Quarter 2013 Non-Energy Charges Proceeding, Pages 3 - 4")</f>
        <v>AUC EPCOR Third Quarter 2013 Non-Energy Charges Proceeding, Pages 3 - 4</v>
      </c>
      <c r="BL27" s="2120"/>
      <c r="BM27" s="2124"/>
      <c r="BN27" s="2125"/>
      <c r="BO27" s="2106"/>
      <c r="BP27" s="2106"/>
      <c r="BQ27" s="2106"/>
      <c r="BR27" s="2109"/>
      <c r="BS27" s="2167"/>
      <c r="BT27" s="2168"/>
      <c r="BU27" s="2168"/>
      <c r="BV27" s="2168"/>
      <c r="BW27" s="2169"/>
      <c r="BX27" s="2141"/>
      <c r="BY27" s="2239"/>
      <c r="BZ27" s="2239"/>
      <c r="CA27" s="2239"/>
      <c r="CB27" s="2240"/>
      <c r="CC27" s="2199"/>
      <c r="CD27" s="2199"/>
      <c r="CE27" s="2115"/>
      <c r="CF27" s="2188"/>
      <c r="CG27" s="2115" t="str">
        <f>HYPERLINK("http://www.atcoelectric.com/Rates/tariffs/Documents/2013-07-01-AE-Rider-S.pdf", "ATCO Electric July 2013 Rider S Quarterly SAS Adjustment, Page 1")</f>
        <v>ATCO Electric July 2013 Rider S Quarterly SAS Adjustment, Page 1</v>
      </c>
      <c r="CH27" s="2188"/>
      <c r="CI27" s="2227"/>
      <c r="CJ27" s="2228"/>
      <c r="CK27" s="2131"/>
      <c r="CL27" s="2191"/>
      <c r="CM27" s="2120"/>
      <c r="CN27" s="2124"/>
      <c r="CO27" s="2125"/>
      <c r="CP27" s="2106"/>
      <c r="CQ27" s="2106"/>
      <c r="CR27" s="2106"/>
      <c r="CS27" s="2109"/>
      <c r="CT27" s="2176"/>
      <c r="CU27" s="2177"/>
      <c r="CV27" s="2177"/>
      <c r="CW27" s="2177"/>
      <c r="CX27" s="2178"/>
    </row>
    <row r="28" spans="1:102" ht="54" customHeight="1" x14ac:dyDescent="0.3">
      <c r="A28" s="2206"/>
      <c r="B28" s="2206"/>
      <c r="C28" s="2207"/>
      <c r="D28" s="1037">
        <v>41487</v>
      </c>
      <c r="E28" s="2141"/>
      <c r="F28" s="2191"/>
      <c r="G28" s="2191"/>
      <c r="H28" s="2185"/>
      <c r="I28" s="2120"/>
      <c r="J28" s="2184"/>
      <c r="K28" s="2191"/>
      <c r="L28" s="2185"/>
      <c r="M28" s="2194"/>
      <c r="N28" s="2194"/>
      <c r="O28" s="2120"/>
      <c r="P28" s="2124"/>
      <c r="Q28" s="2125"/>
      <c r="R28" s="2106"/>
      <c r="S28" s="2106"/>
      <c r="T28" s="2106"/>
      <c r="U28" s="2109"/>
      <c r="V28" s="2149"/>
      <c r="W28" s="2150"/>
      <c r="X28" s="2150"/>
      <c r="Y28" s="2150"/>
      <c r="Z28" s="2151"/>
      <c r="AA28" s="2141"/>
      <c r="AB28" s="2246"/>
      <c r="AC28" s="2247"/>
      <c r="AD28" s="2247"/>
      <c r="AE28" s="2188"/>
      <c r="AF28" s="2247"/>
      <c r="AG28" s="2188"/>
      <c r="AH28" s="2250"/>
      <c r="AI28" s="2106"/>
      <c r="AJ28" s="2217"/>
      <c r="AK28" s="1574" t="str">
        <f>HYPERLINK("https://www.epcor.com/products-services/power/rates-tariffs-fees/Documents/RegulatedRateTariff-Edmonton-2013-08.pdf", "EPCOR August 2013 Regulated Rate Tariff, Page 2")</f>
        <v>EPCOR August 2013 Regulated Rate Tariff, Page 2</v>
      </c>
      <c r="AL28" s="2120"/>
      <c r="AM28" s="2124"/>
      <c r="AN28" s="2125"/>
      <c r="AO28" s="2106"/>
      <c r="AP28" s="2106"/>
      <c r="AQ28" s="2106"/>
      <c r="AR28" s="2109"/>
      <c r="AS28" s="2158"/>
      <c r="AT28" s="2159"/>
      <c r="AU28" s="2159"/>
      <c r="AV28" s="2159"/>
      <c r="AW28" s="2160"/>
      <c r="AX28" s="2141"/>
      <c r="AY28" s="2195"/>
      <c r="AZ28" s="2115"/>
      <c r="BA28" s="2115"/>
      <c r="BB28" s="2115"/>
      <c r="BC28" s="2199"/>
      <c r="BD28" s="2199"/>
      <c r="BE28" s="2199"/>
      <c r="BF28" s="2115"/>
      <c r="BG28" s="2115"/>
      <c r="BH28" s="2184"/>
      <c r="BI28" s="2185"/>
      <c r="BJ28" s="2199"/>
      <c r="BK28" s="2217" t="str">
        <f>HYPERLINK("http://www.auc.ab.ca/applications/decisions/Decisions/2013/2013-285.pdf", "AUC EPCOR August and September 2013 Non-Energy Charges Decision, Page 6")</f>
        <v>AUC EPCOR August and September 2013 Non-Energy Charges Decision, Page 6</v>
      </c>
      <c r="BL28" s="2120"/>
      <c r="BM28" s="2124"/>
      <c r="BN28" s="2125"/>
      <c r="BO28" s="2106"/>
      <c r="BP28" s="2106"/>
      <c r="BQ28" s="2106"/>
      <c r="BR28" s="2109"/>
      <c r="BS28" s="2167"/>
      <c r="BT28" s="2168"/>
      <c r="BU28" s="2168"/>
      <c r="BV28" s="2168"/>
      <c r="BW28" s="2169"/>
      <c r="BX28" s="2141"/>
      <c r="BY28" s="2239"/>
      <c r="BZ28" s="2239"/>
      <c r="CA28" s="2239"/>
      <c r="CB28" s="2240"/>
      <c r="CC28" s="2199"/>
      <c r="CD28" s="2199"/>
      <c r="CE28" s="2115"/>
      <c r="CF28" s="2188"/>
      <c r="CG28" s="2188"/>
      <c r="CH28" s="2188"/>
      <c r="CI28" s="2227"/>
      <c r="CJ28" s="2228"/>
      <c r="CK28" s="2131"/>
      <c r="CL28" s="2191"/>
      <c r="CM28" s="2120"/>
      <c r="CN28" s="2124"/>
      <c r="CO28" s="2125"/>
      <c r="CP28" s="2106"/>
      <c r="CQ28" s="2106"/>
      <c r="CR28" s="2106"/>
      <c r="CS28" s="2109"/>
      <c r="CT28" s="2176"/>
      <c r="CU28" s="2177"/>
      <c r="CV28" s="2177"/>
      <c r="CW28" s="2177"/>
      <c r="CX28" s="2178"/>
    </row>
    <row r="29" spans="1:102" ht="33.75" customHeight="1" x14ac:dyDescent="0.3">
      <c r="A29" s="2206"/>
      <c r="B29" s="2206"/>
      <c r="C29" s="2207"/>
      <c r="D29" s="1037">
        <v>41518</v>
      </c>
      <c r="E29" s="2141"/>
      <c r="F29" s="2192"/>
      <c r="G29" s="2192"/>
      <c r="H29" s="2187"/>
      <c r="I29" s="2120"/>
      <c r="J29" s="2186"/>
      <c r="K29" s="2192"/>
      <c r="L29" s="2187"/>
      <c r="M29" s="2194"/>
      <c r="N29" s="2194"/>
      <c r="O29" s="2120"/>
      <c r="P29" s="2124"/>
      <c r="Q29" s="2125"/>
      <c r="R29" s="2106"/>
      <c r="S29" s="2106"/>
      <c r="T29" s="2106"/>
      <c r="U29" s="2109"/>
      <c r="V29" s="2149"/>
      <c r="W29" s="2150"/>
      <c r="X29" s="2150"/>
      <c r="Y29" s="2150"/>
      <c r="Z29" s="2151"/>
      <c r="AA29" s="2141"/>
      <c r="AB29" s="2246" t="str">
        <f>HYPERLINK("https://www.epcor.com/products-services/power/rates-tariffs-fees/Documents2/SystemAccessServiceTariff-2013-09.pdf", "EPCOR September 2013 System Access Service Tariff, Page 3")</f>
        <v>EPCOR September 2013 System Access Service Tariff, Page 3</v>
      </c>
      <c r="AC29" s="2247"/>
      <c r="AD29" s="2247"/>
      <c r="AE29" s="2188"/>
      <c r="AF29" s="2247" t="str">
        <f>HYPERLINK("https://www.epcor.com/products-services/power/rates-tariffs-fees/Documents2/SystemAccessServiceTariff-2013-09.pdf", "EPCOR September 2013 System Access Service Tariff, Page 3")</f>
        <v>EPCOR September 2013 System Access Service Tariff, Page 3</v>
      </c>
      <c r="AG29" s="2188"/>
      <c r="AH29" s="2250" t="str">
        <f>HYPERLINK("https://www.epcor.com/products-services/power/rates-tariffs-fees/Documents2/SystemAccessServiceTariff-2013-09.pdf", "EPCOR September 2013 System Access Service Tariff, Page 23")</f>
        <v>EPCOR September 2013 System Access Service Tariff, Page 23</v>
      </c>
      <c r="AI29" s="2107"/>
      <c r="AJ29" s="2217"/>
      <c r="AK29" s="1574" t="str">
        <f>HYPERLINK("https://www.epcor.com/products-services/power/rates-tariffs-fees/Documents/RegulatedRateTariff-Edmonton-2013-09.pdf", "EPCOR September 2013 Regulated Rate Tariff, Page 2")</f>
        <v>EPCOR September 2013 Regulated Rate Tariff, Page 2</v>
      </c>
      <c r="AL29" s="2120"/>
      <c r="AM29" s="2124"/>
      <c r="AN29" s="2125"/>
      <c r="AO29" s="2106"/>
      <c r="AP29" s="2106"/>
      <c r="AQ29" s="2106"/>
      <c r="AR29" s="2109"/>
      <c r="AS29" s="2158"/>
      <c r="AT29" s="2159"/>
      <c r="AU29" s="2159"/>
      <c r="AV29" s="2159"/>
      <c r="AW29" s="2160"/>
      <c r="AX29" s="2141"/>
      <c r="AY29" s="2195"/>
      <c r="AZ29" s="2115"/>
      <c r="BA29" s="2115"/>
      <c r="BB29" s="2115"/>
      <c r="BC29" s="2199"/>
      <c r="BD29" s="2199"/>
      <c r="BE29" s="2199"/>
      <c r="BF29" s="2115"/>
      <c r="BG29" s="2115"/>
      <c r="BH29" s="2186"/>
      <c r="BI29" s="2187"/>
      <c r="BJ29" s="2199"/>
      <c r="BK29" s="2241"/>
      <c r="BL29" s="2120"/>
      <c r="BM29" s="2124"/>
      <c r="BN29" s="2125"/>
      <c r="BO29" s="2106"/>
      <c r="BP29" s="2106"/>
      <c r="BQ29" s="2106"/>
      <c r="BR29" s="2109"/>
      <c r="BS29" s="2167"/>
      <c r="BT29" s="2168"/>
      <c r="BU29" s="2168"/>
      <c r="BV29" s="2168"/>
      <c r="BW29" s="2169"/>
      <c r="BX29" s="2141"/>
      <c r="BY29" s="2239"/>
      <c r="BZ29" s="2239"/>
      <c r="CA29" s="2239"/>
      <c r="CB29" s="2240"/>
      <c r="CC29" s="2199"/>
      <c r="CD29" s="2199"/>
      <c r="CE29" s="2115"/>
      <c r="CF29" s="2188"/>
      <c r="CG29" s="2188"/>
      <c r="CH29" s="2188"/>
      <c r="CI29" s="2227"/>
      <c r="CJ29" s="2228"/>
      <c r="CK29" s="2131"/>
      <c r="CL29" s="2191"/>
      <c r="CM29" s="2120"/>
      <c r="CN29" s="2124"/>
      <c r="CO29" s="2125"/>
      <c r="CP29" s="2106"/>
      <c r="CQ29" s="2106"/>
      <c r="CR29" s="2106"/>
      <c r="CS29" s="2109"/>
      <c r="CT29" s="2176"/>
      <c r="CU29" s="2177"/>
      <c r="CV29" s="2177"/>
      <c r="CW29" s="2177"/>
      <c r="CX29" s="2178"/>
    </row>
    <row r="30" spans="1:102" ht="29.25" customHeight="1" x14ac:dyDescent="0.3">
      <c r="A30" s="2206"/>
      <c r="B30" s="2206"/>
      <c r="C30" s="2207"/>
      <c r="D30" s="1037">
        <v>41548</v>
      </c>
      <c r="E30" s="2141"/>
      <c r="F30" s="2190" t="str">
        <f>HYPERLINK("https://www.enmax.com/ForYourHomeSite/Documents/DT_Rate_Schedule_2013_oct.pdf", "ENMAX October 2013 Distribution Tariff Rate Schedule, Page 3")</f>
        <v>ENMAX October 2013 Distribution Tariff Rate Schedule, Page 3</v>
      </c>
      <c r="G30" s="2190"/>
      <c r="H30" s="2200"/>
      <c r="I30" s="2120"/>
      <c r="J30" s="2219" t="str">
        <f>HYPERLINK("https://www.enmax.com/ForYourHomeSite/Documents/DT_Rate_Schedule_2013_oct.pdf", "ENMAX October 2013 Distribution Tariff Rate Schedule, Pages 21, 22")</f>
        <v>ENMAX October 2013 Distribution Tariff Rate Schedule, Pages 21, 22</v>
      </c>
      <c r="K30" s="2190"/>
      <c r="L30" s="2200"/>
      <c r="M30" s="2194"/>
      <c r="N30" s="2194"/>
      <c r="O30" s="2120"/>
      <c r="P30" s="2124"/>
      <c r="Q30" s="2125"/>
      <c r="R30" s="2106"/>
      <c r="S30" s="2106"/>
      <c r="T30" s="2106"/>
      <c r="U30" s="2109"/>
      <c r="V30" s="2149"/>
      <c r="W30" s="2150"/>
      <c r="X30" s="2150"/>
      <c r="Y30" s="2150"/>
      <c r="Z30" s="2151"/>
      <c r="AA30" s="2141"/>
      <c r="AB30" s="2246"/>
      <c r="AC30" s="2247" t="str">
        <f>HYPERLINK("https://www.epcor.com/products-services/power/rates-tariffs-fees/Documents2/DistributionAccessServiceTariff-2013-10.pdf", "EPCOR October 2013 Distribution Access Service Tariff, Page 3")</f>
        <v>EPCOR October 2013 Distribution Access Service Tariff, Page 3</v>
      </c>
      <c r="AD30" s="2247"/>
      <c r="AE30" s="2188"/>
      <c r="AF30" s="2247"/>
      <c r="AG30" s="2115" t="str">
        <f>HYPERLINK("https://www.epcor.com/products-services/power/rates-tariffs-fees/Documents2/TransmissionChargeDeferralAccountTrueUP(TCDA)-RiderK-2013-10.pdf", "EPCOR October 2013 Rider K Short-Term Adjustment, Page 1")</f>
        <v>EPCOR October 2013 Rider K Short-Term Adjustment, Page 1</v>
      </c>
      <c r="AH30" s="2250"/>
      <c r="AI30" s="2115" t="str">
        <f>HYPERLINK("https://www.epcor.com/products-services/power/rates-tariffs-fees/Documents2/DistributionAccessServiceTariff-2013-10.pdf", "EPCOR October 2013 Distribution Access Service Tariff, Page 25")</f>
        <v>EPCOR October 2013 Distribution Access Service Tariff, Page 25</v>
      </c>
      <c r="AJ30" s="2217" t="str">
        <f>HYPERLINK("https://www.epcor.com/products-services/power/rates-tariffs-fees/Documents2/DistributionAccessServiceTariff-2013-10.pdf", "EPCOR October 2013 Distribution Access Service Tariff, Page 23")</f>
        <v>EPCOR October 2013 Distribution Access Service Tariff, Page 23</v>
      </c>
      <c r="AK30" s="1574" t="str">
        <f>HYPERLINK("https://www.epcor.com/products-services/power/rates-tariffs-fees/Documents/RegulatedRateTariff-Edmonton-2013-10.pdf", "EPCOR October 2013 Regulated Rate Tariff, Page 2")</f>
        <v>EPCOR October 2013 Regulated Rate Tariff, Page 2</v>
      </c>
      <c r="AL30" s="2120"/>
      <c r="AM30" s="2124"/>
      <c r="AN30" s="2125"/>
      <c r="AO30" s="2106"/>
      <c r="AP30" s="2106"/>
      <c r="AQ30" s="2106"/>
      <c r="AR30" s="2109"/>
      <c r="AS30" s="2158"/>
      <c r="AT30" s="2159"/>
      <c r="AU30" s="2159"/>
      <c r="AV30" s="2159"/>
      <c r="AW30" s="2160"/>
      <c r="AX30" s="2141"/>
      <c r="AY30" s="2195" t="str">
        <f>HYPERLINK("http://fortisalberta.com/docs/default-source/default-document-library/2013-oct-rates-options-riders.pdf?sfvrsn=10", "Fortis Alberta October 2013 Rates, Options, and Riders, Page 2")</f>
        <v>Fortis Alberta October 2013 Rates, Options, and Riders, Page 2</v>
      </c>
      <c r="AZ30" s="2115"/>
      <c r="BA30" s="2115"/>
      <c r="BB30" s="2115"/>
      <c r="BC30" s="2115" t="str">
        <f>HYPERLINK("http://fortisalberta.com/docs/default-source/default-document-library/2013-oct-rates-options-riders.pdf?sfvrsn=10", "Fortis Alberta October 2013 Rates, Options, and Riders, Page 27-29")</f>
        <v>Fortis Alberta October 2013 Rates, Options, and Riders, Page 27-29</v>
      </c>
      <c r="BD30" s="2115" t="str">
        <f>HYPERLINK("http://fortisalberta.com/docs/default-source/default-document-library/2013-oct-rates-options-riders.pdf?sfvrsn=10", "Fortis Alberta October 2013 Rates, Options, and Riders, Page 24-26")</f>
        <v>Fortis Alberta October 2013 Rates, Options, and Riders, Page 24-26</v>
      </c>
      <c r="BE30" s="2115" t="str">
        <f>HYPERLINK("http://fortisalberta.com/docs/default-source/default-document-library/2013-oct-rates-options-riders.pdf?sfvrsn=10", "Fortis Alberta October 2013 Rates, Options, and Riders, Page 30")</f>
        <v>Fortis Alberta October 2013 Rates, Options, and Riders, Page 30</v>
      </c>
      <c r="BF30" s="2115" t="str">
        <f>HYPERLINK("http://fortisalberta.com/docs/default-source/default-document-library/2013-oct-rates-options-riders.pdf?sfvrsn=10", "Fortis Alberta October 2013 Rates, Options, and Riders, Page 31")</f>
        <v>Fortis Alberta October 2013 Rates, Options, and Riders, Page 31</v>
      </c>
      <c r="BG30" s="2115"/>
      <c r="BH30" s="2219" t="str">
        <f>HYPERLINK("http://fortisalberta.com/docs/default-source/default-document-library/2013-oct-rates-options-riders.pdf?sfvrsn=10", "Fortis Alberta October 2013 Rates, Options, and Riders, Page 32")</f>
        <v>Fortis Alberta October 2013 Rates, Options, and Riders, Page 32</v>
      </c>
      <c r="BI30" s="2200"/>
      <c r="BJ30" s="2115" t="str">
        <f>HYPERLINK("http://fortisalberta.com/docs/default-source/default-document-library/2013-oct-rates-options-riders.pdf?sfvrsn=10", "Fortis Alberta October 2013 Rates, Options, and Riders, Page 33")</f>
        <v>Fortis Alberta October 2013 Rates, Options, and Riders, Page 33</v>
      </c>
      <c r="BK30" s="2217" t="str">
        <f>HYPERLINK("http://www.auc.ab.ca/regulatory_documents/ProceedingDocuments/2013/DA2013-233%20(Errata).pdf", "AUC EPCOR Fourth Quarter 2013 Non-Energy Charges Proceeding, Page 4")</f>
        <v>AUC EPCOR Fourth Quarter 2013 Non-Energy Charges Proceeding, Page 4</v>
      </c>
      <c r="BL30" s="2120"/>
      <c r="BM30" s="2124"/>
      <c r="BN30" s="2125"/>
      <c r="BO30" s="2106"/>
      <c r="BP30" s="2106"/>
      <c r="BQ30" s="2106"/>
      <c r="BR30" s="2109"/>
      <c r="BS30" s="2167"/>
      <c r="BT30" s="2168"/>
      <c r="BU30" s="2168"/>
      <c r="BV30" s="2168"/>
      <c r="BW30" s="2169"/>
      <c r="BX30" s="2141"/>
      <c r="BY30" s="2239"/>
      <c r="BZ30" s="2239"/>
      <c r="CA30" s="2239"/>
      <c r="CB30" s="2240"/>
      <c r="CC30" s="2199"/>
      <c r="CD30" s="2199"/>
      <c r="CE30" s="2115"/>
      <c r="CF30" s="2188"/>
      <c r="CG30" s="2115" t="str">
        <f>HYPERLINK("http://www.atcoelectric.com/Rates/tariffs/Documents/2013-10-01-AE-Rider-S.pdf", "ATCO Electric October 2013 SAS Deferral Rider S, Page 1")</f>
        <v>ATCO Electric October 2013 SAS Deferral Rider S, Page 1</v>
      </c>
      <c r="CH30" s="2188"/>
      <c r="CI30" s="2227"/>
      <c r="CJ30" s="2228"/>
      <c r="CK30" s="2131"/>
      <c r="CL30" s="2191"/>
      <c r="CM30" s="2120"/>
      <c r="CN30" s="2124"/>
      <c r="CO30" s="2125"/>
      <c r="CP30" s="2106"/>
      <c r="CQ30" s="2106"/>
      <c r="CR30" s="2106"/>
      <c r="CS30" s="2109"/>
      <c r="CT30" s="2176"/>
      <c r="CU30" s="2177"/>
      <c r="CV30" s="2177"/>
      <c r="CW30" s="2177"/>
      <c r="CX30" s="2178"/>
    </row>
    <row r="31" spans="1:102" ht="34.5" customHeight="1" x14ac:dyDescent="0.3">
      <c r="A31" s="2206"/>
      <c r="B31" s="2206"/>
      <c r="C31" s="2207"/>
      <c r="D31" s="1037">
        <v>41579</v>
      </c>
      <c r="E31" s="2141"/>
      <c r="F31" s="2191"/>
      <c r="G31" s="2191"/>
      <c r="H31" s="2185"/>
      <c r="I31" s="2120"/>
      <c r="J31" s="2184"/>
      <c r="K31" s="2191"/>
      <c r="L31" s="2185"/>
      <c r="M31" s="2194"/>
      <c r="N31" s="2194"/>
      <c r="O31" s="2120"/>
      <c r="P31" s="2124"/>
      <c r="Q31" s="2125"/>
      <c r="R31" s="2106"/>
      <c r="S31" s="2106"/>
      <c r="T31" s="2106"/>
      <c r="U31" s="2109"/>
      <c r="V31" s="2149"/>
      <c r="W31" s="2150"/>
      <c r="X31" s="2150"/>
      <c r="Y31" s="2150"/>
      <c r="Z31" s="2151"/>
      <c r="AA31" s="2141"/>
      <c r="AB31" s="2246"/>
      <c r="AC31" s="2247"/>
      <c r="AD31" s="2247"/>
      <c r="AE31" s="2188"/>
      <c r="AF31" s="2247"/>
      <c r="AG31" s="2188"/>
      <c r="AH31" s="2250"/>
      <c r="AI31" s="2188"/>
      <c r="AJ31" s="2217"/>
      <c r="AK31" s="1574" t="str">
        <f>HYPERLINK("https://www.epcor.com/products-services/power/rates-tariffs-fees/Documents/RegulatedRateTariff-Edmonton-2013-11.pdf", "EPCOR November 2013 Regulated Rate Tariff, Page 2")</f>
        <v>EPCOR November 2013 Regulated Rate Tariff, Page 2</v>
      </c>
      <c r="AL31" s="2120"/>
      <c r="AM31" s="2124"/>
      <c r="AN31" s="2125"/>
      <c r="AO31" s="2106"/>
      <c r="AP31" s="2106"/>
      <c r="AQ31" s="2106"/>
      <c r="AR31" s="2109"/>
      <c r="AS31" s="2158"/>
      <c r="AT31" s="2159"/>
      <c r="AU31" s="2159"/>
      <c r="AV31" s="2159"/>
      <c r="AW31" s="2160"/>
      <c r="AX31" s="2141"/>
      <c r="AY31" s="2195"/>
      <c r="AZ31" s="2115"/>
      <c r="BA31" s="2115"/>
      <c r="BB31" s="2115"/>
      <c r="BC31" s="2199"/>
      <c r="BD31" s="2199"/>
      <c r="BE31" s="2199"/>
      <c r="BF31" s="2115"/>
      <c r="BG31" s="2115"/>
      <c r="BH31" s="2184"/>
      <c r="BI31" s="2185"/>
      <c r="BJ31" s="2199"/>
      <c r="BK31" s="2241"/>
      <c r="BL31" s="2120"/>
      <c r="BM31" s="2124"/>
      <c r="BN31" s="2125"/>
      <c r="BO31" s="2106"/>
      <c r="BP31" s="2106"/>
      <c r="BQ31" s="2106"/>
      <c r="BR31" s="2109"/>
      <c r="BS31" s="2167"/>
      <c r="BT31" s="2168"/>
      <c r="BU31" s="2168"/>
      <c r="BV31" s="2168"/>
      <c r="BW31" s="2169"/>
      <c r="BX31" s="2141"/>
      <c r="BY31" s="2239"/>
      <c r="BZ31" s="2239"/>
      <c r="CA31" s="2239"/>
      <c r="CB31" s="2240"/>
      <c r="CC31" s="2199"/>
      <c r="CD31" s="2199"/>
      <c r="CE31" s="2115"/>
      <c r="CF31" s="2188"/>
      <c r="CG31" s="2188"/>
      <c r="CH31" s="2188"/>
      <c r="CI31" s="2227"/>
      <c r="CJ31" s="2228"/>
      <c r="CK31" s="2131"/>
      <c r="CL31" s="2191"/>
      <c r="CM31" s="2120"/>
      <c r="CN31" s="2124"/>
      <c r="CO31" s="2125"/>
      <c r="CP31" s="2106"/>
      <c r="CQ31" s="2106"/>
      <c r="CR31" s="2106"/>
      <c r="CS31" s="2109"/>
      <c r="CT31" s="2176"/>
      <c r="CU31" s="2177"/>
      <c r="CV31" s="2177"/>
      <c r="CW31" s="2177"/>
      <c r="CX31" s="2178"/>
    </row>
    <row r="32" spans="1:102" ht="48.75" customHeight="1" x14ac:dyDescent="0.3">
      <c r="A32" s="2208"/>
      <c r="B32" s="2208"/>
      <c r="C32" s="2209"/>
      <c r="D32" s="1102">
        <v>41609</v>
      </c>
      <c r="E32" s="2141"/>
      <c r="F32" s="2195" t="str">
        <f>HYPERLINK("https://www.enmax.com/ForYourHomeSite/Documents/DT_Rate_Schedule_Dec_2013.pdf", "ENMAX December 2013 Distribution Tariff Rate Schedule, Page 3")</f>
        <v>ENMAX December 2013 Distribution Tariff Rate Schedule, Page 3</v>
      </c>
      <c r="G32" s="2115"/>
      <c r="H32" s="2115"/>
      <c r="I32" s="2120"/>
      <c r="J32" s="2115" t="str">
        <f>HYPERLINK("https://www.enmax.com/ForYourHomeSite/Documents/DT_Rate_Schedule_Dec_2013.pdf", "ENMAX December 2013 Distribution Tariff Rate Schedule, Pages 19, 20")</f>
        <v>ENMAX December 2013 Distribution Tariff Rate Schedule, Pages 19, 20</v>
      </c>
      <c r="K32" s="2115"/>
      <c r="L32" s="2115"/>
      <c r="M32" s="2194"/>
      <c r="N32" s="2194"/>
      <c r="O32" s="2120"/>
      <c r="P32" s="2124"/>
      <c r="Q32" s="2125"/>
      <c r="R32" s="2106"/>
      <c r="S32" s="2106"/>
      <c r="T32" s="2106"/>
      <c r="U32" s="2109"/>
      <c r="V32" s="2149"/>
      <c r="W32" s="2150"/>
      <c r="X32" s="2150"/>
      <c r="Y32" s="2150"/>
      <c r="Z32" s="2151"/>
      <c r="AA32" s="2141"/>
      <c r="AB32" s="2246"/>
      <c r="AC32" s="2247"/>
      <c r="AD32" s="2247"/>
      <c r="AE32" s="2188"/>
      <c r="AF32" s="2247"/>
      <c r="AG32" s="2188"/>
      <c r="AH32" s="2250"/>
      <c r="AI32" s="2188"/>
      <c r="AJ32" s="2217"/>
      <c r="AK32" s="1574" t="str">
        <f>HYPERLINK("https://www.epcor.com/products-services/power/rates-tariffs-fees/Documents/RegulatedRateTariff-Edmonton-2013-12.pdf", "EPCOR December 2013 Regulated Rate Tariff, Page 2")</f>
        <v>EPCOR December 2013 Regulated Rate Tariff, Page 2</v>
      </c>
      <c r="AL32" s="2120"/>
      <c r="AM32" s="2124"/>
      <c r="AN32" s="2125"/>
      <c r="AO32" s="2106"/>
      <c r="AP32" s="2106"/>
      <c r="AQ32" s="2106"/>
      <c r="AR32" s="2109"/>
      <c r="AS32" s="2158"/>
      <c r="AT32" s="2159"/>
      <c r="AU32" s="2159"/>
      <c r="AV32" s="2159"/>
      <c r="AW32" s="2160"/>
      <c r="AX32" s="2141"/>
      <c r="AY32" s="2195"/>
      <c r="AZ32" s="2115"/>
      <c r="BA32" s="2115"/>
      <c r="BB32" s="2115"/>
      <c r="BC32" s="2199"/>
      <c r="BD32" s="2199"/>
      <c r="BE32" s="2199"/>
      <c r="BF32" s="2115"/>
      <c r="BG32" s="2115"/>
      <c r="BH32" s="2186"/>
      <c r="BI32" s="2187"/>
      <c r="BJ32" s="2199"/>
      <c r="BK32" s="2241"/>
      <c r="BL32" s="2120"/>
      <c r="BM32" s="2124"/>
      <c r="BN32" s="2125"/>
      <c r="BO32" s="2106"/>
      <c r="BP32" s="2106"/>
      <c r="BQ32" s="2106"/>
      <c r="BR32" s="2109"/>
      <c r="BS32" s="2167"/>
      <c r="BT32" s="2168"/>
      <c r="BU32" s="2168"/>
      <c r="BV32" s="2168"/>
      <c r="BW32" s="2169"/>
      <c r="BX32" s="2141"/>
      <c r="BY32" s="2239"/>
      <c r="BZ32" s="2239"/>
      <c r="CA32" s="2239"/>
      <c r="CB32" s="2240"/>
      <c r="CC32" s="2199"/>
      <c r="CD32" s="2199"/>
      <c r="CE32" s="2115"/>
      <c r="CF32" s="2188"/>
      <c r="CG32" s="2188"/>
      <c r="CH32" s="2188"/>
      <c r="CI32" s="2227"/>
      <c r="CJ32" s="2228"/>
      <c r="CK32" s="2131"/>
      <c r="CL32" s="2191"/>
      <c r="CM32" s="2120"/>
      <c r="CN32" s="2124"/>
      <c r="CO32" s="2125"/>
      <c r="CP32" s="2106"/>
      <c r="CQ32" s="2106"/>
      <c r="CR32" s="2106"/>
      <c r="CS32" s="2109"/>
      <c r="CT32" s="2176"/>
      <c r="CU32" s="2177"/>
      <c r="CV32" s="2177"/>
      <c r="CW32" s="2177"/>
      <c r="CX32" s="2178"/>
    </row>
    <row r="33" spans="1:102" ht="44.25" customHeight="1" x14ac:dyDescent="0.3">
      <c r="A33" s="2204">
        <v>2014</v>
      </c>
      <c r="B33" s="2204"/>
      <c r="C33" s="2205"/>
      <c r="D33" s="1101">
        <v>41640</v>
      </c>
      <c r="E33" s="2141"/>
      <c r="F33" s="2190" t="str">
        <f>HYPERLINK("https://www.enmax.com/ForYourBusinessSite/Documents/2014-01-01-DT-Rate-Schedule.pdf", "ENMAX January 2014 Distribution Tariff Rate Schedule, Page 3")</f>
        <v>ENMAX January 2014 Distribution Tariff Rate Schedule, Page 3</v>
      </c>
      <c r="G33" s="2190"/>
      <c r="H33" s="2200"/>
      <c r="I33" s="1484" t="str">
        <f>HYPERLINK("https://www.enmax.com/ForYourHomeSite/Documents/Tariff_LAF.pdf", "Calgary LAF January 2014, Page 1")</f>
        <v>Calgary LAF January 2014, Page 1</v>
      </c>
      <c r="J33" s="2219" t="str">
        <f>HYPERLINK("https://www.enmax.com/ForYourBusinessSite/Documents/2014-01-01-DT-Rate-Schedule.pdf", "ENMAX January 2014 Distribution Tariff Rate Schedule, Pages 18 - 20")</f>
        <v>ENMAX January 2014 Distribution Tariff Rate Schedule, Pages 18 - 20</v>
      </c>
      <c r="K33" s="2190"/>
      <c r="L33" s="2200"/>
      <c r="M33" s="2194" t="str">
        <f>HYPERLINK("https://www.enmax.com/ForYourHomeSite/Documents/2014-Interim-RRO-Non-Energy-Rate%20Schedules.pdf", "ENMAX 2014 Interim RRO Tariff, Page 2")</f>
        <v>ENMAX 2014 Interim RRO Tariff, Page 2</v>
      </c>
      <c r="N33" s="2194" t="str">
        <f>HYPERLINK("https://www.enmax.com/ForYourHomeSite/Documents/2014-Interim-RRO-Non-Energy-Rate%20Schedules.pdf", "ENMAX 2014 Interim RRO Tariff, Page 2")</f>
        <v>ENMAX 2014 Interim RRO Tariff, Page 2</v>
      </c>
      <c r="O33" s="2120"/>
      <c r="P33" s="2124"/>
      <c r="Q33" s="2125"/>
      <c r="R33" s="2106"/>
      <c r="S33" s="2106"/>
      <c r="T33" s="2106"/>
      <c r="U33" s="2109"/>
      <c r="V33" s="2149"/>
      <c r="W33" s="2150"/>
      <c r="X33" s="2150"/>
      <c r="Y33" s="2150"/>
      <c r="Z33" s="2151"/>
      <c r="AA33" s="2141"/>
      <c r="AB33" s="2246" t="str">
        <f>HYPERLINK("https://www.epcor.com/products-services/power/rates-tariffs-fees/Documents2/SystemAccessServiceTariff-2014-01.pdf", "EPCOR January 2014 System Access Service Tariff, Page 3")</f>
        <v>EPCOR January 2014 System Access Service Tariff, Page 3</v>
      </c>
      <c r="AC33" s="2247" t="str">
        <f>HYPERLINK("https://www.epcor.com/products-services/power/rates-tariffs-fees/Documents2/DistributionAccessServiceTariff-2014-01.pdf", "EPCOR January 2014 Distribution Access Service Tariff, Page 3")</f>
        <v>EPCOR January 2014 Distribution Access Service Tariff, Page 3</v>
      </c>
      <c r="AD33" s="2247"/>
      <c r="AE33" s="2115" t="str">
        <f>HYPERLINK("https://www.epcor.com/products-services/power/rates-tariffs-fees/Documents2/LocalAccessFee-RetailersNotice-2014-01.pdf", "EPCOR January 2014 Local Access Fee Retailer Notice, Page 1")</f>
        <v>EPCOR January 2014 Local Access Fee Retailer Notice, Page 1</v>
      </c>
      <c r="AF33" s="2247" t="str">
        <f>HYPERLINK("https://www.epcor.com/products-services/power/rates-tariffs-fees/Documents2/SystemAccessServiceTariff-2014-01.pdf", "EPCOR January 2014 System Access Service Tariff, Page 3")</f>
        <v>EPCOR January 2014 System Access Service Tariff, Page 3</v>
      </c>
      <c r="AG33" s="2115" t="str">
        <f>HYPERLINK("https://www.epcor.com/products-services/power/rates-tariffs-fees/Documents2/TransmissionChargeDeferralAccountTrueUP(TCDA)-Rider-K-2014-01.pdf", "EPCOR January 2014 Rider K Short-Term Adjustment, Page 1")</f>
        <v>EPCOR January 2014 Rider K Short-Term Adjustment, Page 1</v>
      </c>
      <c r="AH33" s="2250" t="str">
        <f>HYPERLINK("https://www.epcor.com/products-services/power/rates-tariffs-fees/Documents2/SystemAccessServiceTariff-2014-01.pdf", "EPCOR January 2014 System Access Service Tariff, Page 23")</f>
        <v>EPCOR January 2014 System Access Service Tariff, Page 23</v>
      </c>
      <c r="AI33" s="2115" t="str">
        <f>HYPERLINK("https://www.epcor.com/products-services/power/rates-tariffs-fees/Documents2/DistributionAccessServiceTariff-2014-01.pdf", "EPCOR January 2014 Distribution Access Service Tariff, Page 25")</f>
        <v>EPCOR January 2014 Distribution Access Service Tariff, Page 25</v>
      </c>
      <c r="AJ33" s="2217" t="str">
        <f>HYPERLINK("https://www.epcor.com/products-services/power/rates-tariffs-fees/Documents2/DistributionAccessServiceTariff-2014-01.pdf", "EPCOR January 2014 Distribution Access Service Tariff, Page 23")</f>
        <v>EPCOR January 2014 Distribution Access Service Tariff, Page 23</v>
      </c>
      <c r="AK33" s="1574" t="str">
        <f>HYPERLINK("https://www.epcor.com/products-services/power/rates-tariffs-fees/Documents/RegulatedRateTariff-Edmonton-2014-01.pdf", "EPCOR January 2014 Regulated Rate Tariff, Page 2")</f>
        <v>EPCOR January 2014 Regulated Rate Tariff, Page 2</v>
      </c>
      <c r="AL33" s="2120"/>
      <c r="AM33" s="2124"/>
      <c r="AN33" s="2125"/>
      <c r="AO33" s="2106"/>
      <c r="AP33" s="2106"/>
      <c r="AQ33" s="2106"/>
      <c r="AR33" s="2109"/>
      <c r="AS33" s="2158"/>
      <c r="AT33" s="2159"/>
      <c r="AU33" s="2159"/>
      <c r="AV33" s="2159"/>
      <c r="AW33" s="2160"/>
      <c r="AX33" s="2141"/>
      <c r="AY33" s="2195" t="str">
        <f>HYPERLINK("http://fortisalberta.com/docs/default-source/default-document-library/2014-jan-rates-options--riders.pdf?sfvrsn=10", "Fortis Alberta January 2014 Rates, Options, and Riders, Page 2")</f>
        <v>Fortis Alberta January 2014 Rates, Options, and Riders, Page 2</v>
      </c>
      <c r="AZ33" s="2115"/>
      <c r="BA33" s="2115"/>
      <c r="BB33" s="2115"/>
      <c r="BC33" s="2115" t="str">
        <f>HYPERLINK("http://fortisalberta.com/docs/default-source/default-document-library/2014-jan-rates-options--riders.pdf?sfvrsn=10", "Fortis Alberta January 2014 Rates, Options, and Riders, Page 27-29")</f>
        <v>Fortis Alberta January 2014 Rates, Options, and Riders, Page 27-29</v>
      </c>
      <c r="BD33" s="2115" t="str">
        <f>HYPERLINK("http://fortisalberta.com/docs/default-source/default-document-library/2014-jan-rates-options--riders.pdf?sfvrsn=10", "Fortis Alberta January 2014 Rates, Options, and Riders, Page 24-26")</f>
        <v>Fortis Alberta January 2014 Rates, Options, and Riders, Page 24-26</v>
      </c>
      <c r="BE33" s="2115" t="str">
        <f>HYPERLINK("http://fortisalberta.com/docs/default-source/default-document-library/2014-jan-rates-options--riders.pdf?sfvrsn=10", "Fortis Alberta January 2014 Rates, Options, and Riders, Page 30")</f>
        <v>Fortis Alberta January 2014 Rates, Options, and Riders, Page 30</v>
      </c>
      <c r="BF33" s="2115" t="str">
        <f>HYPERLINK("http://fortisalberta.com/docs/default-source/default-document-library/2014-jan-rates-options--riders.pdf?sfvrsn=10", "Fortis Alberta January 2014 Rates, Options, and Riders, Page 31")</f>
        <v>Fortis Alberta January 2014 Rates, Options, and Riders, Page 31</v>
      </c>
      <c r="BG33" s="2115"/>
      <c r="BH33" s="2219" t="str">
        <f>HYPERLINK("http://fortisalberta.com/docs/default-source/default-document-library/2014-jan-rates-options--riders.pdf?sfvrsn=10", "Fortis Alberta January 2014 Rates, Options, and Riders, Page 32")</f>
        <v>Fortis Alberta January 2014 Rates, Options, and Riders, Page 32</v>
      </c>
      <c r="BI33" s="2200"/>
      <c r="BJ33" s="2115" t="str">
        <f>HYPERLINK("http://fortisalberta.com/docs/default-source/default-document-library/2014-jan-rates-options--riders.pdf?sfvrsn=10", "Fortis Alberta January 2014 Rates, Options, and Riders, Page 33")</f>
        <v>Fortis Alberta January 2014 Rates, Options, and Riders, Page 33</v>
      </c>
      <c r="BK33" s="2217" t="str">
        <f>HYPERLINK("http://www.auc.ab.ca/applications/decisions/Decisions/2013/2013-423.pdf", "AUC EPCOR January 2014 Interim Regulated Rate Tariff Application, Page 8")</f>
        <v>AUC EPCOR January 2014 Interim Regulated Rate Tariff Application, Page 8</v>
      </c>
      <c r="BL33" s="2120"/>
      <c r="BM33" s="2124"/>
      <c r="BN33" s="2125"/>
      <c r="BO33" s="2106"/>
      <c r="BP33" s="2106"/>
      <c r="BQ33" s="2106"/>
      <c r="BR33" s="2109"/>
      <c r="BS33" s="2167"/>
      <c r="BT33" s="2168"/>
      <c r="BU33" s="2168"/>
      <c r="BV33" s="2168"/>
      <c r="BW33" s="2169"/>
      <c r="BX33" s="2141"/>
      <c r="BY33" s="2190" t="str">
        <f>HYPERLINK("http://www.atcoelectric.com/Rates/tariffs/Documents/2014-01-01%20AE%20Interim%20Price%20Schedules.pdf", "ATCO Electric January 2014 Price Schedule Index, Page 2")</f>
        <v>ATCO Electric January 2014 Price Schedule Index, Page 2</v>
      </c>
      <c r="BZ33" s="2237"/>
      <c r="CA33" s="2237"/>
      <c r="CB33" s="2238"/>
      <c r="CC33" s="2221"/>
      <c r="CD33" s="2199"/>
      <c r="CE33" s="2115" t="str">
        <f>HYPERLINK("http://www.atcoelectric.com/Rates/tariffs/Documents/2014-01-01%20AE%20Interim%20Price%20Schedules.pdf", "ATCO Electric January 2014 Price Schedule Index, Page 45")</f>
        <v>ATCO Electric January 2014 Price Schedule Index, Page 45</v>
      </c>
      <c r="CF33" s="2115" t="str">
        <f>HYPERLINK("http://www.atcoelectric.com/Rates/tariffs/Documents/2014-01-01%20AE%20Interim%20Price%20Schedules.pdf", "ATCO Electric January 2014 Price Schedule Index, Page 47")</f>
        <v>ATCO Electric January 2014 Price Schedule Index, Page 47</v>
      </c>
      <c r="CG33" s="2115" t="str">
        <f>HYPERLINK("http://www.atcoelectric.com/Rates/tariffs/Documents/2014-01-01%20AE%20Interim%20Price%20Schedules.pdf", "ATCO Electric January 2014 Price Schedule Index, Page 49")</f>
        <v>ATCO Electric January 2014 Price Schedule Index, Page 49</v>
      </c>
      <c r="CH33" s="2115" t="str">
        <f>HYPERLINK("http://www.atcoelectric.com/Rates/tariffs/Documents/2014-01-01%20AE%20Interim%20Price%20Schedules.pdf", "ATCO Electric January 2014 Price Schedule Index, Page 48")</f>
        <v>ATCO Electric January 2014 Price Schedule Index, Page 48</v>
      </c>
      <c r="CI33" s="2227"/>
      <c r="CJ33" s="2228"/>
      <c r="CK33" s="2131"/>
      <c r="CL33" s="2191"/>
      <c r="CM33" s="2120"/>
      <c r="CN33" s="2124"/>
      <c r="CO33" s="2125"/>
      <c r="CP33" s="2106"/>
      <c r="CQ33" s="2106"/>
      <c r="CR33" s="2106"/>
      <c r="CS33" s="2109"/>
      <c r="CT33" s="2176"/>
      <c r="CU33" s="2177"/>
      <c r="CV33" s="2177"/>
      <c r="CW33" s="2177"/>
      <c r="CX33" s="2178"/>
    </row>
    <row r="34" spans="1:102" ht="45.75" customHeight="1" x14ac:dyDescent="0.3">
      <c r="A34" s="2206"/>
      <c r="B34" s="2206"/>
      <c r="C34" s="2207"/>
      <c r="D34" s="1037">
        <v>41671</v>
      </c>
      <c r="E34" s="2141"/>
      <c r="F34" s="2192"/>
      <c r="G34" s="2192"/>
      <c r="H34" s="2187"/>
      <c r="I34" s="2113" t="str">
        <f>HYPERLINK("https://www.enmax.com/ForYourHomeSite/Documents/2014-02-01%20LAF.pdf", "Calgary LAF February 2014, Page 1")</f>
        <v>Calgary LAF February 2014, Page 1</v>
      </c>
      <c r="J34" s="2186"/>
      <c r="K34" s="2192"/>
      <c r="L34" s="2187"/>
      <c r="M34" s="2194"/>
      <c r="N34" s="2194"/>
      <c r="O34" s="2120"/>
      <c r="P34" s="2124"/>
      <c r="Q34" s="2125"/>
      <c r="R34" s="2106"/>
      <c r="S34" s="2106"/>
      <c r="T34" s="2106"/>
      <c r="U34" s="2109"/>
      <c r="V34" s="2149"/>
      <c r="W34" s="2150"/>
      <c r="X34" s="2150"/>
      <c r="Y34" s="2150"/>
      <c r="Z34" s="2151"/>
      <c r="AA34" s="2141"/>
      <c r="AB34" s="2246"/>
      <c r="AC34" s="2247"/>
      <c r="AD34" s="2247"/>
      <c r="AE34" s="2188"/>
      <c r="AF34" s="2247"/>
      <c r="AG34" s="2115"/>
      <c r="AH34" s="2250"/>
      <c r="AI34" s="2346"/>
      <c r="AJ34" s="2217"/>
      <c r="AK34" s="1574" t="str">
        <f>HYPERLINK("https://www.epcor.com/products-services/power/rates-tariffs-fees/Documents/RegulatedRateTariff-Edmonton-2014-02.pdf", "EPCOR February 2014 Regulated Rate Tariff, Page 2")</f>
        <v>EPCOR February 2014 Regulated Rate Tariff, Page 2</v>
      </c>
      <c r="AL34" s="2120"/>
      <c r="AM34" s="2124"/>
      <c r="AN34" s="2125"/>
      <c r="AO34" s="2106"/>
      <c r="AP34" s="2106"/>
      <c r="AQ34" s="2106"/>
      <c r="AR34" s="2109"/>
      <c r="AS34" s="2158"/>
      <c r="AT34" s="2159"/>
      <c r="AU34" s="2159"/>
      <c r="AV34" s="2159"/>
      <c r="AW34" s="2160"/>
      <c r="AX34" s="2141"/>
      <c r="AY34" s="2195"/>
      <c r="AZ34" s="2115"/>
      <c r="BA34" s="2115"/>
      <c r="BB34" s="2115"/>
      <c r="BC34" s="2199"/>
      <c r="BD34" s="2199"/>
      <c r="BE34" s="2199"/>
      <c r="BF34" s="2115"/>
      <c r="BG34" s="2115"/>
      <c r="BH34" s="2184"/>
      <c r="BI34" s="2185"/>
      <c r="BJ34" s="2199"/>
      <c r="BK34" s="2241"/>
      <c r="BL34" s="2120"/>
      <c r="BM34" s="2124"/>
      <c r="BN34" s="2125"/>
      <c r="BO34" s="2106"/>
      <c r="BP34" s="2106"/>
      <c r="BQ34" s="2106"/>
      <c r="BR34" s="2109"/>
      <c r="BS34" s="2167"/>
      <c r="BT34" s="2168"/>
      <c r="BU34" s="2168"/>
      <c r="BV34" s="2168"/>
      <c r="BW34" s="2169"/>
      <c r="BX34" s="2141"/>
      <c r="BY34" s="2239"/>
      <c r="BZ34" s="2239"/>
      <c r="CA34" s="2239"/>
      <c r="CB34" s="2240"/>
      <c r="CC34" s="2221"/>
      <c r="CD34" s="2199"/>
      <c r="CE34" s="2188"/>
      <c r="CF34" s="2115"/>
      <c r="CG34" s="2188"/>
      <c r="CH34" s="2188"/>
      <c r="CI34" s="2227"/>
      <c r="CJ34" s="2228"/>
      <c r="CK34" s="2131"/>
      <c r="CL34" s="2191"/>
      <c r="CM34" s="2120"/>
      <c r="CN34" s="2124"/>
      <c r="CO34" s="2125"/>
      <c r="CP34" s="2106"/>
      <c r="CQ34" s="2106"/>
      <c r="CR34" s="2106"/>
      <c r="CS34" s="2109"/>
      <c r="CT34" s="2176"/>
      <c r="CU34" s="2177"/>
      <c r="CV34" s="2177"/>
      <c r="CW34" s="2177"/>
      <c r="CX34" s="2178"/>
    </row>
    <row r="35" spans="1:102" ht="45.75" customHeight="1" x14ac:dyDescent="0.3">
      <c r="A35" s="2206"/>
      <c r="B35" s="2206"/>
      <c r="C35" s="2207"/>
      <c r="D35" s="1037">
        <v>41699</v>
      </c>
      <c r="E35" s="2141"/>
      <c r="F35" s="2195" t="str">
        <f>HYPERLINK("https://www.enmax.com/ForYourBusinessSite/Documents/2014-03-01_DT_Rate_Schedule.pdf", "ENMAX March 2014 Distribution Tariff Rate Schedule, Page 3")</f>
        <v>ENMAX March 2014 Distribution Tariff Rate Schedule, Page 3</v>
      </c>
      <c r="G35" s="2115"/>
      <c r="H35" s="2115"/>
      <c r="I35" s="2218"/>
      <c r="J35" s="2115" t="str">
        <f>HYPERLINK("https://www.enmax.com/ForYourBusinessSite/Documents/2014-03-01_DT_Rate_Schedule.pdf", "ENMAX March 2014 Distribution Tariff Rate Schedule, Pages 19 - 22")</f>
        <v>ENMAX March 2014 Distribution Tariff Rate Schedule, Pages 19 - 22</v>
      </c>
      <c r="K35" s="2115"/>
      <c r="L35" s="2115"/>
      <c r="M35" s="2194"/>
      <c r="N35" s="2194"/>
      <c r="O35" s="2120"/>
      <c r="P35" s="2124"/>
      <c r="Q35" s="2125"/>
      <c r="R35" s="2106"/>
      <c r="S35" s="2106"/>
      <c r="T35" s="2106"/>
      <c r="U35" s="2109"/>
      <c r="V35" s="2149"/>
      <c r="W35" s="2150"/>
      <c r="X35" s="2150"/>
      <c r="Y35" s="2150"/>
      <c r="Z35" s="2151"/>
      <c r="AA35" s="2141"/>
      <c r="AB35" s="2246"/>
      <c r="AC35" s="2247"/>
      <c r="AD35" s="2247"/>
      <c r="AE35" s="2188"/>
      <c r="AF35" s="2247"/>
      <c r="AG35" s="2115"/>
      <c r="AH35" s="2250"/>
      <c r="AI35" s="2346"/>
      <c r="AJ35" s="2217"/>
      <c r="AK35" s="1574" t="str">
        <f>HYPERLINK("https://www.epcor.com/products-services/power/rates-tariffs-fees/Documents/RegulatedRateTariff-Edmonton-2014-03.pdf", "EPCOR March 2014 Regulated Rate Tariff, Page 2")</f>
        <v>EPCOR March 2014 Regulated Rate Tariff, Page 2</v>
      </c>
      <c r="AL35" s="2120"/>
      <c r="AM35" s="2124"/>
      <c r="AN35" s="2125"/>
      <c r="AO35" s="2106"/>
      <c r="AP35" s="2106"/>
      <c r="AQ35" s="2106"/>
      <c r="AR35" s="2109"/>
      <c r="AS35" s="2158"/>
      <c r="AT35" s="2159"/>
      <c r="AU35" s="2159"/>
      <c r="AV35" s="2159"/>
      <c r="AW35" s="2160"/>
      <c r="AX35" s="2141"/>
      <c r="AY35" s="2195"/>
      <c r="AZ35" s="2115"/>
      <c r="BA35" s="2115"/>
      <c r="BB35" s="2115"/>
      <c r="BC35" s="2199"/>
      <c r="BD35" s="2199"/>
      <c r="BE35" s="2199"/>
      <c r="BF35" s="2115"/>
      <c r="BG35" s="2115"/>
      <c r="BH35" s="2186"/>
      <c r="BI35" s="2187"/>
      <c r="BJ35" s="2199"/>
      <c r="BK35" s="2241"/>
      <c r="BL35" s="2120"/>
      <c r="BM35" s="2124"/>
      <c r="BN35" s="2125"/>
      <c r="BO35" s="2106"/>
      <c r="BP35" s="2106"/>
      <c r="BQ35" s="2106"/>
      <c r="BR35" s="2109"/>
      <c r="BS35" s="2167"/>
      <c r="BT35" s="2168"/>
      <c r="BU35" s="2168"/>
      <c r="BV35" s="2168"/>
      <c r="BW35" s="2169"/>
      <c r="BX35" s="2141"/>
      <c r="BY35" s="2239"/>
      <c r="BZ35" s="2239"/>
      <c r="CA35" s="2239"/>
      <c r="CB35" s="2240"/>
      <c r="CC35" s="2115" t="str">
        <f>HYPERLINK("http://www.atcoelectric.com/Rates/tariffs/Documents/2014-03-01%20AE%20Rider%20A.pdf", "ATCO Electric March 2014 Rider A Rate Schedule, Page 2")</f>
        <v>ATCO Electric March 2014 Rider A Rate Schedule, Page 2</v>
      </c>
      <c r="CD35" s="2199"/>
      <c r="CE35" s="2188"/>
      <c r="CF35" s="2115"/>
      <c r="CG35" s="2188"/>
      <c r="CH35" s="2188"/>
      <c r="CI35" s="2227"/>
      <c r="CJ35" s="2228"/>
      <c r="CK35" s="2131"/>
      <c r="CL35" s="2192"/>
      <c r="CM35" s="2120"/>
      <c r="CN35" s="2124"/>
      <c r="CO35" s="2125"/>
      <c r="CP35" s="2106"/>
      <c r="CQ35" s="2106"/>
      <c r="CR35" s="2106"/>
      <c r="CS35" s="2109"/>
      <c r="CT35" s="2176"/>
      <c r="CU35" s="2177"/>
      <c r="CV35" s="2177"/>
      <c r="CW35" s="2177"/>
      <c r="CX35" s="2178"/>
    </row>
    <row r="36" spans="1:102" ht="76.5" customHeight="1" x14ac:dyDescent="0.3">
      <c r="A36" s="2206"/>
      <c r="B36" s="2206"/>
      <c r="C36" s="2207"/>
      <c r="D36" s="1037">
        <v>41730</v>
      </c>
      <c r="E36" s="2141"/>
      <c r="F36" s="2190" t="str">
        <f>HYPERLINK("https://www.enmax.com/ForYourBusinessSite/Documents/DT_Rate_Schedule_April_1%2C_2014.pdf", "ENMAX April 2014 Distribution Tariff Rate Schedule, Page 3")</f>
        <v>ENMAX April 2014 Distribution Tariff Rate Schedule, Page 3</v>
      </c>
      <c r="G36" s="2190"/>
      <c r="H36" s="2200"/>
      <c r="I36" s="1484" t="str">
        <f>HYPERLINK("https://www.enmax.com/ForYourHomeSite/Documents/2014-04-01%20LAF.pdf", "Calgary LAF April 2014, Page 1")</f>
        <v>Calgary LAF April 2014, Page 1</v>
      </c>
      <c r="J36" s="2219" t="str">
        <f>HYPERLINK("https://www.enmax.com/ForYourBusinessSite/Documents/DT_Rate_Schedule_April_1%2C_2014.pdf", "ENMAX April 2014 Distribution Tariff Rate Schedule, Pages 19 - 22")</f>
        <v>ENMAX April 2014 Distribution Tariff Rate Schedule, Pages 19 - 22</v>
      </c>
      <c r="K36" s="2190"/>
      <c r="L36" s="2200"/>
      <c r="M36" s="2194"/>
      <c r="N36" s="2194"/>
      <c r="O36" s="2120"/>
      <c r="P36" s="2124"/>
      <c r="Q36" s="2125"/>
      <c r="R36" s="2106"/>
      <c r="S36" s="2106"/>
      <c r="T36" s="2106"/>
      <c r="U36" s="2109"/>
      <c r="V36" s="2149"/>
      <c r="W36" s="2150"/>
      <c r="X36" s="2150"/>
      <c r="Y36" s="2150"/>
      <c r="Z36" s="2151"/>
      <c r="AA36" s="2141"/>
      <c r="AB36" s="2246" t="str">
        <f>HYPERLINK("https://www.epcor.com/products-services/power/rates-tariffs-fees/Documents2/SystemAccessServiceTariff-2014-04.pdf", "EPCOR April 2014 System Access Service Tariff, Page 3")</f>
        <v>EPCOR April 2014 System Access Service Tariff, Page 3</v>
      </c>
      <c r="AC36" s="2247"/>
      <c r="AD36" s="2247"/>
      <c r="AE36" s="2188"/>
      <c r="AF36" s="2247" t="str">
        <f>HYPERLINK("https://www.epcor.com/products-services/power/rates-tariffs-fees/Documents2/SystemAccessServiceTariff-2014-04.pdf", "EPCOR April 2014 System Access Service Tariff, Page 3")</f>
        <v>EPCOR April 2014 System Access Service Tariff, Page 3</v>
      </c>
      <c r="AG36" s="2115" t="str">
        <f>HYPERLINK("https://www.epcor.com/products-services/power/rates-tariffs-fees/Documents2/TransmissionChargeDeferralAccountTrueUP(TCDA)-RiderK-2014-04.pdf", "EPCOR April 2014 Rider K Short-Term Adjustment, Page 1")</f>
        <v>EPCOR April 2014 Rider K Short-Term Adjustment, Page 1</v>
      </c>
      <c r="AH36" s="2250" t="str">
        <f>HYPERLINK("https://www.epcor.com/products-services/power/rates-tariffs-fees/Documents2/SystemAccessServiceTariff-2014-04.pdf", "EPCOR April 2014 System Access Service Tariff, Page 23")</f>
        <v>EPCOR April 2014 System Access Service Tariff, Page 23</v>
      </c>
      <c r="AI36" s="2346"/>
      <c r="AJ36" s="2217"/>
      <c r="AK36" s="1574" t="str">
        <f>HYPERLINK("https://www.epcor.com/products-services/power/rates-tariffs-fees/Documents/RegulatedRateTariff-Edmonton-2014-04.pdf", "EPCOR April 2014 Regulated Rate Tariff, Page 2")</f>
        <v>EPCOR April 2014 Regulated Rate Tariff, Page 2</v>
      </c>
      <c r="AL36" s="2120"/>
      <c r="AM36" s="2124"/>
      <c r="AN36" s="2125"/>
      <c r="AO36" s="2106"/>
      <c r="AP36" s="2106"/>
      <c r="AQ36" s="2106"/>
      <c r="AR36" s="2109"/>
      <c r="AS36" s="2158"/>
      <c r="AT36" s="2159"/>
      <c r="AU36" s="2159"/>
      <c r="AV36" s="2159"/>
      <c r="AW36" s="2160"/>
      <c r="AX36" s="2141"/>
      <c r="AY36" s="2195" t="str">
        <f>HYPERLINK("http://fortisalberta.com/docs/default-source/default-document-library/2014-mar-rates-options-riders.pdf?sfvrsn=12", "Fortis Alberta April 2014 Rates, Options, and Riders, Page 2")</f>
        <v>Fortis Alberta April 2014 Rates, Options, and Riders, Page 2</v>
      </c>
      <c r="AZ36" s="2115"/>
      <c r="BA36" s="2115"/>
      <c r="BB36" s="2115"/>
      <c r="BC36" s="2115" t="str">
        <f>HYPERLINK("http://fortisalberta.com/docs/default-source/default-document-library/2014-mar-rates-options-riders.pdf?sfvrsn=12", "Fortis Alberta April 2014 Rates, Options, and Riders, Page 27-29")</f>
        <v>Fortis Alberta April 2014 Rates, Options, and Riders, Page 27-29</v>
      </c>
      <c r="BD36" s="2115" t="str">
        <f>HYPERLINK("http://fortisalberta.com/docs/default-source/default-document-library/2014-mar-rates-options-riders.pdf?sfvrsn=12", "Fortis Alberta April 2014 Rates, Options, and Riders, Page 24-26")</f>
        <v>Fortis Alberta April 2014 Rates, Options, and Riders, Page 24-26</v>
      </c>
      <c r="BE36" s="2115" t="str">
        <f>HYPERLINK("http://fortisalberta.com/docs/default-source/default-document-library/2014-mar-rates-options-riders.pdf?sfvrsn=12", "Fortis Alberta April 2014 Rates, Options, and Riders, Page 30")</f>
        <v>Fortis Alberta April 2014 Rates, Options, and Riders, Page 30</v>
      </c>
      <c r="BF36" s="2115" t="str">
        <f>HYPERLINK("http://fortisalberta.com/docs/default-source/default-document-library/2014-mar-rates-options-riders.pdf?sfvrsn=12", "Fortis Alberta April 2014 Rates, Options, and Riders, Page 31")</f>
        <v>Fortis Alberta April 2014 Rates, Options, and Riders, Page 31</v>
      </c>
      <c r="BG36" s="2115"/>
      <c r="BH36" s="2219" t="str">
        <f>HYPERLINK("http://fortisalberta.com/docs/default-source/default-document-library/2014-mar-rates-options-riders.pdf?sfvrsn=12", "Fortis Alberta April 2014 Rates, Options, and Riders, Page 32")</f>
        <v>Fortis Alberta April 2014 Rates, Options, and Riders, Page 32</v>
      </c>
      <c r="BI36" s="2200"/>
      <c r="BJ36" s="2115" t="str">
        <f>HYPERLINK("http://fortisalberta.com/docs/default-source/default-document-library/2014-mar-rates-options-riders.pdf?sfvrsn=12", "Fortis Alberta April 2014 Rates, Options, and Riders")</f>
        <v>Fortis Alberta April 2014 Rates, Options, and Riders</v>
      </c>
      <c r="BK36" s="2217" t="str">
        <f>HYPERLINK("http://www.auc.ab.ca/applications/decisions/Decisions/2014/DA2014-77.pdf", "AUC EPCOR Second Quarter 2014 Non-Energy Charges Proceeding, Page 3")</f>
        <v>AUC EPCOR Second Quarter 2014 Non-Energy Charges Proceeding, Page 3</v>
      </c>
      <c r="BL36" s="2120"/>
      <c r="BM36" s="2124"/>
      <c r="BN36" s="2125"/>
      <c r="BO36" s="2106"/>
      <c r="BP36" s="2106"/>
      <c r="BQ36" s="2106"/>
      <c r="BR36" s="2109"/>
      <c r="BS36" s="2167"/>
      <c r="BT36" s="2168"/>
      <c r="BU36" s="2168"/>
      <c r="BV36" s="2168"/>
      <c r="BW36" s="2169"/>
      <c r="BX36" s="2141"/>
      <c r="BY36" s="2239"/>
      <c r="BZ36" s="2239"/>
      <c r="CA36" s="2239"/>
      <c r="CB36" s="2240"/>
      <c r="CC36" s="2199"/>
      <c r="CD36" s="2199"/>
      <c r="CE36" s="2188"/>
      <c r="CF36" s="2115"/>
      <c r="CG36" s="2115" t="str">
        <f>HYPERLINK("http://www.atcoelectric.com/Rates/tariffs/Documents/2014-04-01%20AE%20Rider%20S.pdf", "ATCO Electric April 2014 Rider S Quarterly SAS Adjustment, Page 1")</f>
        <v>ATCO Electric April 2014 Rider S Quarterly SAS Adjustment, Page 1</v>
      </c>
      <c r="CH36" s="2188"/>
      <c r="CI36" s="2227"/>
      <c r="CJ36" s="2228"/>
      <c r="CK36" s="2131"/>
      <c r="CL36" s="1425" t="str">
        <f>HYPERLINK("http://www.directenergyregulatedservices.com/Documents/regulatory/2014/140325%20DERS_April_2014%20RRT%20Interim%20Rate%20Schedules.pdf", "Direct Energy Regulated Services April 2014 Interim RRT Rate Schedules , Page 2")</f>
        <v>Direct Energy Regulated Services April 2014 Interim RRT Rate Schedules , Page 2</v>
      </c>
      <c r="CM36" s="2120"/>
      <c r="CN36" s="2124"/>
      <c r="CO36" s="2125"/>
      <c r="CP36" s="2106"/>
      <c r="CQ36" s="2106"/>
      <c r="CR36" s="2106"/>
      <c r="CS36" s="2109"/>
      <c r="CT36" s="2176"/>
      <c r="CU36" s="2177"/>
      <c r="CV36" s="2177"/>
      <c r="CW36" s="2177"/>
      <c r="CX36" s="2178"/>
    </row>
    <row r="37" spans="1:102" ht="30" customHeight="1" x14ac:dyDescent="0.3">
      <c r="A37" s="2206"/>
      <c r="B37" s="2206"/>
      <c r="C37" s="2207"/>
      <c r="D37" s="1037">
        <v>41760</v>
      </c>
      <c r="E37" s="2141"/>
      <c r="F37" s="2192"/>
      <c r="G37" s="2192"/>
      <c r="H37" s="2187"/>
      <c r="I37" s="1484" t="str">
        <f>HYPERLINK("https://www.enmax.com/ForYourHomeSite/Documents/2014-05-01-May-LAF.pdf", "Calgary LAF May 2014, Page 1")</f>
        <v>Calgary LAF May 2014, Page 1</v>
      </c>
      <c r="J37" s="2186"/>
      <c r="K37" s="2192"/>
      <c r="L37" s="2187"/>
      <c r="M37" s="2194"/>
      <c r="N37" s="2194"/>
      <c r="O37" s="2120"/>
      <c r="P37" s="2124"/>
      <c r="Q37" s="2125"/>
      <c r="R37" s="2106"/>
      <c r="S37" s="2106"/>
      <c r="T37" s="2106"/>
      <c r="U37" s="2109"/>
      <c r="V37" s="2149"/>
      <c r="W37" s="2150"/>
      <c r="X37" s="2150"/>
      <c r="Y37" s="2150"/>
      <c r="Z37" s="2151"/>
      <c r="AA37" s="2141"/>
      <c r="AB37" s="2246"/>
      <c r="AC37" s="2247"/>
      <c r="AD37" s="2247"/>
      <c r="AE37" s="2188"/>
      <c r="AF37" s="2247"/>
      <c r="AG37" s="2115"/>
      <c r="AH37" s="2250"/>
      <c r="AI37" s="2346"/>
      <c r="AJ37" s="2217"/>
      <c r="AK37" s="1574" t="str">
        <f>HYPERLINK("https://www.epcor.com/products-services/power/rates-tariffs-fees/Documents/RegulatedRateTariff-Edmonton-2014-05.pdf", "EPCOR May 2014 Regulated Rate Tariff, Page 2")</f>
        <v>EPCOR May 2014 Regulated Rate Tariff, Page 2</v>
      </c>
      <c r="AL37" s="2120"/>
      <c r="AM37" s="2124"/>
      <c r="AN37" s="2125"/>
      <c r="AO37" s="2106"/>
      <c r="AP37" s="2106"/>
      <c r="AQ37" s="2106"/>
      <c r="AR37" s="2109"/>
      <c r="AS37" s="2158"/>
      <c r="AT37" s="2159"/>
      <c r="AU37" s="2159"/>
      <c r="AV37" s="2159"/>
      <c r="AW37" s="2160"/>
      <c r="AX37" s="2141"/>
      <c r="AY37" s="2195"/>
      <c r="AZ37" s="2115"/>
      <c r="BA37" s="2115"/>
      <c r="BB37" s="2115"/>
      <c r="BC37" s="2199"/>
      <c r="BD37" s="2199"/>
      <c r="BE37" s="2199"/>
      <c r="BF37" s="2115"/>
      <c r="BG37" s="2115"/>
      <c r="BH37" s="2184"/>
      <c r="BI37" s="2185"/>
      <c r="BJ37" s="2199"/>
      <c r="BK37" s="2241"/>
      <c r="BL37" s="2120"/>
      <c r="BM37" s="2124"/>
      <c r="BN37" s="2125"/>
      <c r="BO37" s="2106"/>
      <c r="BP37" s="2106"/>
      <c r="BQ37" s="2106"/>
      <c r="BR37" s="2109"/>
      <c r="BS37" s="2167"/>
      <c r="BT37" s="2168"/>
      <c r="BU37" s="2168"/>
      <c r="BV37" s="2168"/>
      <c r="BW37" s="2169"/>
      <c r="BX37" s="2141"/>
      <c r="BY37" s="2239"/>
      <c r="BZ37" s="2239"/>
      <c r="CA37" s="2239"/>
      <c r="CB37" s="2240"/>
      <c r="CC37" s="2199"/>
      <c r="CD37" s="2199"/>
      <c r="CE37" s="2188"/>
      <c r="CF37" s="2115"/>
      <c r="CG37" s="2188"/>
      <c r="CH37" s="2188"/>
      <c r="CI37" s="2227"/>
      <c r="CJ37" s="2228"/>
      <c r="CK37" s="2131"/>
      <c r="CL37" s="2135" t="str">
        <f>HYPERLINK("http://www.directenergyregulatedservices.com/Documents/regulatory/2014/140424%20DERS_May_2014%20RRT%20Interim%20Rate%20Schedules.pdf", "Direct Energy Regulated Services May 2014 Interim RRT Rate Schedules , Page 2")</f>
        <v>Direct Energy Regulated Services May 2014 Interim RRT Rate Schedules , Page 2</v>
      </c>
      <c r="CM37" s="2120"/>
      <c r="CN37" s="2124"/>
      <c r="CO37" s="2125"/>
      <c r="CP37" s="2106"/>
      <c r="CQ37" s="2106"/>
      <c r="CR37" s="2106"/>
      <c r="CS37" s="2109"/>
      <c r="CT37" s="2176"/>
      <c r="CU37" s="2177"/>
      <c r="CV37" s="2177"/>
      <c r="CW37" s="2177"/>
      <c r="CX37" s="2178"/>
    </row>
    <row r="38" spans="1:102" ht="48" customHeight="1" x14ac:dyDescent="0.3">
      <c r="A38" s="2206"/>
      <c r="B38" s="2206"/>
      <c r="C38" s="2207"/>
      <c r="D38" s="1037">
        <v>41791</v>
      </c>
      <c r="E38" s="2141"/>
      <c r="F38" s="2195" t="str">
        <f>HYPERLINK("https://www.enmax.com/ForYourBusinessSite/Documents/2014-06-01_DT_Rate_Schedule.pdf", "ENMAX June 2014 Distribution Tariff Rate Schedule, Page 3")</f>
        <v>ENMAX June 2014 Distribution Tariff Rate Schedule, Page 3</v>
      </c>
      <c r="G38" s="2115"/>
      <c r="H38" s="2115"/>
      <c r="I38" s="1484" t="str">
        <f>HYPERLINK("https://www.enmax.com/ForYourHomeSite/Documents/2014-06-01-LAF.pdf", "Calgary LAF June 2014, Page 1")</f>
        <v>Calgary LAF June 2014, Page 1</v>
      </c>
      <c r="J38" s="2115" t="str">
        <f>HYPERLINK("https://www.enmax.com/ForYourBusinessSite/Documents/2014-06-01_DT_Rate_Schedule.pdf", "ENMAX June 2014 Distribution Tariff Rate Schedule, Pages 19 - 21")</f>
        <v>ENMAX June 2014 Distribution Tariff Rate Schedule, Pages 19 - 21</v>
      </c>
      <c r="K38" s="2115"/>
      <c r="L38" s="2115"/>
      <c r="M38" s="2194"/>
      <c r="N38" s="2194"/>
      <c r="O38" s="2120"/>
      <c r="P38" s="2124"/>
      <c r="Q38" s="2125"/>
      <c r="R38" s="2106"/>
      <c r="S38" s="2106"/>
      <c r="T38" s="2106"/>
      <c r="U38" s="2109"/>
      <c r="V38" s="2149"/>
      <c r="W38" s="2150"/>
      <c r="X38" s="2150"/>
      <c r="Y38" s="2150"/>
      <c r="Z38" s="2151"/>
      <c r="AA38" s="2141"/>
      <c r="AB38" s="2246"/>
      <c r="AC38" s="2247"/>
      <c r="AD38" s="2247"/>
      <c r="AE38" s="2188"/>
      <c r="AF38" s="2247"/>
      <c r="AG38" s="2115"/>
      <c r="AH38" s="2250"/>
      <c r="AI38" s="2346"/>
      <c r="AJ38" s="2217"/>
      <c r="AK38" s="1574" t="str">
        <f>HYPERLINK("https://www.epcor.com/products-services/power/rates-tariffs-fees/Documents/RegulatedRateTariff-Edmonton-2014-06.pdf", "EPCOR June 2014 Regulated Rate Tariff, Page 2")</f>
        <v>EPCOR June 2014 Regulated Rate Tariff, Page 2</v>
      </c>
      <c r="AL38" s="2120"/>
      <c r="AM38" s="2124"/>
      <c r="AN38" s="2125"/>
      <c r="AO38" s="2106"/>
      <c r="AP38" s="2106"/>
      <c r="AQ38" s="2106"/>
      <c r="AR38" s="2109"/>
      <c r="AS38" s="2158"/>
      <c r="AT38" s="2159"/>
      <c r="AU38" s="2159"/>
      <c r="AV38" s="2159"/>
      <c r="AW38" s="2160"/>
      <c r="AX38" s="2141"/>
      <c r="AY38" s="2195"/>
      <c r="AZ38" s="2115"/>
      <c r="BA38" s="2115"/>
      <c r="BB38" s="2115"/>
      <c r="BC38" s="2199"/>
      <c r="BD38" s="2199"/>
      <c r="BE38" s="2199"/>
      <c r="BF38" s="2115"/>
      <c r="BG38" s="2115"/>
      <c r="BH38" s="2186"/>
      <c r="BI38" s="2187"/>
      <c r="BJ38" s="2199"/>
      <c r="BK38" s="2241"/>
      <c r="BL38" s="2120"/>
      <c r="BM38" s="2124"/>
      <c r="BN38" s="2125"/>
      <c r="BO38" s="2106"/>
      <c r="BP38" s="2106"/>
      <c r="BQ38" s="2106"/>
      <c r="BR38" s="2109"/>
      <c r="BS38" s="2167"/>
      <c r="BT38" s="2168"/>
      <c r="BU38" s="2168"/>
      <c r="BV38" s="2168"/>
      <c r="BW38" s="2169"/>
      <c r="BX38" s="2141"/>
      <c r="BY38" s="2239"/>
      <c r="BZ38" s="2239"/>
      <c r="CA38" s="2239"/>
      <c r="CB38" s="2240"/>
      <c r="CC38" s="2199"/>
      <c r="CD38" s="2199"/>
      <c r="CE38" s="2188"/>
      <c r="CF38" s="2115"/>
      <c r="CG38" s="2188"/>
      <c r="CH38" s="2188"/>
      <c r="CI38" s="2227"/>
      <c r="CJ38" s="2228"/>
      <c r="CK38" s="2131"/>
      <c r="CL38" s="2189"/>
      <c r="CM38" s="2120"/>
      <c r="CN38" s="2124"/>
      <c r="CO38" s="2125"/>
      <c r="CP38" s="2106"/>
      <c r="CQ38" s="2106"/>
      <c r="CR38" s="2106"/>
      <c r="CS38" s="2109"/>
      <c r="CT38" s="2176"/>
      <c r="CU38" s="2177"/>
      <c r="CV38" s="2177"/>
      <c r="CW38" s="2177"/>
      <c r="CX38" s="2178"/>
    </row>
    <row r="39" spans="1:102" ht="30.75" customHeight="1" x14ac:dyDescent="0.3">
      <c r="A39" s="2206"/>
      <c r="B39" s="2206"/>
      <c r="C39" s="2207"/>
      <c r="D39" s="1037">
        <v>41821</v>
      </c>
      <c r="E39" s="2141"/>
      <c r="F39" s="2190" t="str">
        <f>HYPERLINK("https://www.enmax.com/ForYourBusinessSite/Documents/2014-07-01_DT_Rate_Schedule.pdf", "ENMAX July 2014 Distribution Tariff Rate Schedule, Page 3")</f>
        <v>ENMAX July 2014 Distribution Tariff Rate Schedule, Page 3</v>
      </c>
      <c r="G39" s="2190"/>
      <c r="H39" s="2200"/>
      <c r="I39" s="1484" t="str">
        <f>HYPERLINK("https://www.enmax.com/ForYourHomeSite/Documents/2014-07-01_LAF.pdf", "Calgary LAF July 2014, Page 1")</f>
        <v>Calgary LAF July 2014, Page 1</v>
      </c>
      <c r="J39" s="2219" t="str">
        <f>HYPERLINK("https://www.enmax.com/ForYourBusinessSite/Documents/2014-07-01_DT_Rate_Schedule.pdf", "ENMAX July 2014 Distribution Tariff Rate Schedule, Pages 19 - 21")</f>
        <v>ENMAX July 2014 Distribution Tariff Rate Schedule, Pages 19 - 21</v>
      </c>
      <c r="K39" s="2190"/>
      <c r="L39" s="2200"/>
      <c r="M39" s="2194"/>
      <c r="N39" s="2194"/>
      <c r="O39" s="2120"/>
      <c r="P39" s="2124"/>
      <c r="Q39" s="2125"/>
      <c r="R39" s="2106"/>
      <c r="S39" s="2106"/>
      <c r="T39" s="2106"/>
      <c r="U39" s="2109"/>
      <c r="V39" s="2149"/>
      <c r="W39" s="2150"/>
      <c r="X39" s="2150"/>
      <c r="Y39" s="2150"/>
      <c r="Z39" s="2151"/>
      <c r="AA39" s="2141"/>
      <c r="AB39" s="2246"/>
      <c r="AC39" s="2247"/>
      <c r="AD39" s="2247"/>
      <c r="AE39" s="2188"/>
      <c r="AF39" s="2247"/>
      <c r="AG39" s="2115" t="str">
        <f>HYPERLINK("https://www.epcor.com/products-services/power/rates-tariffs-fees/Documents2/TransmissionChargeDeferralAccountTrueUP(TCDA)-RiderK-2014-07.pdf", "EPCOR July 2014 Rider K Short-Term Adjustment, Page 1")</f>
        <v>EPCOR July 2014 Rider K Short-Term Adjustment, Page 1</v>
      </c>
      <c r="AH39" s="2250"/>
      <c r="AI39" s="2346"/>
      <c r="AJ39" s="2217"/>
      <c r="AK39" s="1574" t="str">
        <f>HYPERLINK("https://www.epcor.com/products-services/power/rates-tariffs-fees/Documents/RegulatedRateTariff-Edmonton-2014-07.pdf", "EPCOR July 2014 Regulated Rate Tariff, Page 2")</f>
        <v>EPCOR July 2014 Regulated Rate Tariff, Page 2</v>
      </c>
      <c r="AL39" s="2120"/>
      <c r="AM39" s="2124"/>
      <c r="AN39" s="2125"/>
      <c r="AO39" s="2106"/>
      <c r="AP39" s="2106"/>
      <c r="AQ39" s="2106"/>
      <c r="AR39" s="2109"/>
      <c r="AS39" s="2158"/>
      <c r="AT39" s="2159"/>
      <c r="AU39" s="2159"/>
      <c r="AV39" s="2159"/>
      <c r="AW39" s="2160"/>
      <c r="AX39" s="2141"/>
      <c r="AY39" s="2195" t="str">
        <f>HYPERLINK("http://fortisalberta.com/docs/default-source/default-document-library/2014-jul-rates-options--riders.pdf?sfvrsn=10", "Fortis Alberta July 2014 Rates, Options, and Riders, Page 2")</f>
        <v>Fortis Alberta July 2014 Rates, Options, and Riders, Page 2</v>
      </c>
      <c r="AZ39" s="2115"/>
      <c r="BA39" s="2115"/>
      <c r="BB39" s="2115"/>
      <c r="BC39" s="2115" t="str">
        <f>HYPERLINK("http://fortisalberta.com/docs/default-source/default-document-library/2014-jul-rates-options--riders.pdf?sfvrsn=10", "Fortis Alberta July 2014 Rates, Options, and Riders, Page 27-29")</f>
        <v>Fortis Alberta July 2014 Rates, Options, and Riders, Page 27-29</v>
      </c>
      <c r="BD39" s="2115" t="str">
        <f>HYPERLINK("http://fortisalberta.com/docs/default-source/default-document-library/2014-jul-rates-options--riders.pdf?sfvrsn=10", "Fortis Alberta July 2014 Rates, Options, and Riders, Page 24-26")</f>
        <v>Fortis Alberta July 2014 Rates, Options, and Riders, Page 24-26</v>
      </c>
      <c r="BE39" s="2115" t="str">
        <f>HYPERLINK("http://fortisalberta.com/docs/default-source/default-document-library/2014-jul-rates-options--riders.pdf?sfvrsn=10", "Fortis Alberta July 2014 Rates, Options, and Riders, Page 30")</f>
        <v>Fortis Alberta July 2014 Rates, Options, and Riders, Page 30</v>
      </c>
      <c r="BF39" s="2115" t="str">
        <f>HYPERLINK("http://fortisalberta.com/docs/default-source/default-document-library/2014-jul-rates-options--riders.pdf?sfvrsn=10", "Fortis Alberta July 2014 Rates, Options, and Riders, Page 31")</f>
        <v>Fortis Alberta July 2014 Rates, Options, and Riders, Page 31</v>
      </c>
      <c r="BG39" s="2115"/>
      <c r="BH39" s="2115" t="str">
        <f>HYPERLINK("http://fortisalberta.com/docs/default-source/default-document-library/2014-jul-rates-options--riders.pdf?sfvrsn=10", "Fortis Alberta July 2014 Rates, Options, and Riders, Page 32")</f>
        <v>Fortis Alberta July 2014 Rates, Options, and Riders, Page 32</v>
      </c>
      <c r="BI39" s="2115"/>
      <c r="BJ39" s="2115" t="str">
        <f>HYPERLINK("http://fortisalberta.com/docs/default-source/default-document-library/2014-jul-rates-options--riders.pdf?sfvrsn=10", "Fortis Alberta July 2014 Rates, Options, and Riders")</f>
        <v>Fortis Alberta July 2014 Rates, Options, and Riders</v>
      </c>
      <c r="BK39" s="2217" t="str">
        <f>HYPERLINK("http://www.auc.ab.ca/applications/decisions/Decisions/2014/DA2014-161.pdf", "AUC EPCOR Third Quarter 2014 Non-Energy Charges Proceeding, Page 3")</f>
        <v>AUC EPCOR Third Quarter 2014 Non-Energy Charges Proceeding, Page 3</v>
      </c>
      <c r="BL39" s="2120"/>
      <c r="BM39" s="2124"/>
      <c r="BN39" s="2125"/>
      <c r="BO39" s="2106"/>
      <c r="BP39" s="2106"/>
      <c r="BQ39" s="2106"/>
      <c r="BR39" s="2109"/>
      <c r="BS39" s="2167"/>
      <c r="BT39" s="2168"/>
      <c r="BU39" s="2168"/>
      <c r="BV39" s="2168"/>
      <c r="BW39" s="2169"/>
      <c r="BX39" s="2141"/>
      <c r="BY39" s="2239"/>
      <c r="BZ39" s="2239"/>
      <c r="CA39" s="2239"/>
      <c r="CB39" s="2240"/>
      <c r="CC39" s="2115" t="str">
        <f>HYPERLINK("http://www.atcoelectric.com/Rates/tariffs/Documents/2014-07-01%20AE%20Rider%20A.pdf", "ATCO Electric July 2014 Rider A Rate Schedule, Page 2")</f>
        <v>ATCO Electric July 2014 Rider A Rate Schedule, Page 2</v>
      </c>
      <c r="CD39" s="2199"/>
      <c r="CE39" s="2188"/>
      <c r="CF39" s="2115"/>
      <c r="CG39" s="2115" t="str">
        <f>HYPERLINK("http://www.atcoelectric.com/Rates/tariffs/Documents/2014-07-01%20Rider%20S.pdf", "ATCO Electric July 2014 SAS Deferral Rider S, Page 1")</f>
        <v>ATCO Electric July 2014 SAS Deferral Rider S, Page 1</v>
      </c>
      <c r="CH39" s="2188"/>
      <c r="CI39" s="2227"/>
      <c r="CJ39" s="2228"/>
      <c r="CK39" s="2131"/>
      <c r="CL39" s="2135" t="str">
        <f>HYPERLINK("http://www.directenergyregulatedservices.com/Documents/regulatory/2014/140624%20DERS_Jul_2014%20RRT%20Interim%20Rate%20Schedules.pdf", "Direct Energy Regulated Services July 2014 Interim RRT Rate Schedules , Page 2")</f>
        <v>Direct Energy Regulated Services July 2014 Interim RRT Rate Schedules , Page 2</v>
      </c>
      <c r="CM39" s="2120"/>
      <c r="CN39" s="2124"/>
      <c r="CO39" s="2125"/>
      <c r="CP39" s="2106"/>
      <c r="CQ39" s="2106"/>
      <c r="CR39" s="2106"/>
      <c r="CS39" s="2109"/>
      <c r="CT39" s="2176"/>
      <c r="CU39" s="2177"/>
      <c r="CV39" s="2177"/>
      <c r="CW39" s="2177"/>
      <c r="CX39" s="2178"/>
    </row>
    <row r="40" spans="1:102" ht="109.5" customHeight="1" x14ac:dyDescent="0.3">
      <c r="A40" s="2206"/>
      <c r="B40" s="2206"/>
      <c r="C40" s="2207"/>
      <c r="D40" s="1037">
        <v>41852</v>
      </c>
      <c r="E40" s="2141"/>
      <c r="F40" s="2191"/>
      <c r="G40" s="2191"/>
      <c r="H40" s="2185"/>
      <c r="I40" s="1484" t="str">
        <f>HYPERLINK("https://www.enmax.com/ForYourHomeSite/Documents/2014-08-01%20LAF.pdf", "Calgary LAF August 2014, Page 1")</f>
        <v>Calgary LAF August 2014, Page 1</v>
      </c>
      <c r="J40" s="2184"/>
      <c r="K40" s="2191"/>
      <c r="L40" s="2185"/>
      <c r="M40" s="2194"/>
      <c r="N40" s="2194"/>
      <c r="O40" s="2120"/>
      <c r="P40" s="2124"/>
      <c r="Q40" s="2125"/>
      <c r="R40" s="2106"/>
      <c r="S40" s="2106"/>
      <c r="T40" s="2106"/>
      <c r="U40" s="2109"/>
      <c r="V40" s="2149"/>
      <c r="W40" s="2150"/>
      <c r="X40" s="2150"/>
      <c r="Y40" s="2150"/>
      <c r="Z40" s="2151"/>
      <c r="AA40" s="2141"/>
      <c r="AB40" s="2246"/>
      <c r="AC40" s="2247" t="str">
        <f>HYPERLINK("https://www.epcor.com/products-services/power/rates-tariffs-fees/Documents2/DistributionAccessServiceTariff-2014-08.pdf", "EPCOR August 2014 Distribution Access Service Tariff, Page 3")</f>
        <v>EPCOR August 2014 Distribution Access Service Tariff, Page 3</v>
      </c>
      <c r="AD40" s="2247"/>
      <c r="AE40" s="2188"/>
      <c r="AF40" s="2247"/>
      <c r="AG40" s="2115"/>
      <c r="AH40" s="2250"/>
      <c r="AI40" s="1485" t="str">
        <f>HYPERLINK("https://www.epcor.com/products-services/power/rates-tariffs-fees/Documents2/DistributionAccessServiceTariff-2014-08.pdf","EPCOR August 2014 Distribution Access Service Tariff, Page 25")</f>
        <v>EPCOR August 2014 Distribution Access Service Tariff, Page 25</v>
      </c>
      <c r="AJ40" s="2217" t="str">
        <f>HYPERLINK("https://www.epcor.com/products-services/power/rates-tariffs-fees/Documents2/DistributionAccessServiceTariff-2014-08.pdf", "EPCOR August 2014 Distribution Access Service Tariff, Page 23")</f>
        <v>EPCOR August 2014 Distribution Access Service Tariff, Page 23</v>
      </c>
      <c r="AK40" s="1574" t="str">
        <f>HYPERLINK("https://www.epcor.com/products-services/power/rates-tariffs-fees/Documents/RegulatedRateTariff-Edmonton-2014-08.pdf", "EPCOR August 2014 Regulated Rate Tariff, Page 2")</f>
        <v>EPCOR August 2014 Regulated Rate Tariff, Page 2</v>
      </c>
      <c r="AL40" s="2120"/>
      <c r="AM40" s="2124"/>
      <c r="AN40" s="2125"/>
      <c r="AO40" s="2106"/>
      <c r="AP40" s="2106"/>
      <c r="AQ40" s="2106"/>
      <c r="AR40" s="2109"/>
      <c r="AS40" s="2158"/>
      <c r="AT40" s="2159"/>
      <c r="AU40" s="2159"/>
      <c r="AV40" s="2159"/>
      <c r="AW40" s="2160"/>
      <c r="AX40" s="2141"/>
      <c r="AY40" s="2195"/>
      <c r="AZ40" s="2115"/>
      <c r="BA40" s="2115"/>
      <c r="BB40" s="2115"/>
      <c r="BC40" s="2199"/>
      <c r="BD40" s="2199"/>
      <c r="BE40" s="2199"/>
      <c r="BF40" s="2115"/>
      <c r="BG40" s="2115"/>
      <c r="BH40" s="2115"/>
      <c r="BI40" s="2115"/>
      <c r="BJ40" s="2199"/>
      <c r="BK40" s="2236"/>
      <c r="BL40" s="2120"/>
      <c r="BM40" s="2124"/>
      <c r="BN40" s="2125"/>
      <c r="BO40" s="2106"/>
      <c r="BP40" s="2106"/>
      <c r="BQ40" s="2106"/>
      <c r="BR40" s="2109"/>
      <c r="BS40" s="2167"/>
      <c r="BT40" s="2168"/>
      <c r="BU40" s="2168"/>
      <c r="BV40" s="2168"/>
      <c r="BW40" s="2169"/>
      <c r="BX40" s="2141"/>
      <c r="BY40" s="2239"/>
      <c r="BZ40" s="2239"/>
      <c r="CA40" s="2239"/>
      <c r="CB40" s="2240"/>
      <c r="CC40" s="2199"/>
      <c r="CD40" s="2199"/>
      <c r="CE40" s="2188"/>
      <c r="CF40" s="2115"/>
      <c r="CG40" s="2188"/>
      <c r="CH40" s="2188"/>
      <c r="CI40" s="2227"/>
      <c r="CJ40" s="2228"/>
      <c r="CK40" s="2131"/>
      <c r="CL40" s="2189"/>
      <c r="CM40" s="2120"/>
      <c r="CN40" s="2124"/>
      <c r="CO40" s="2125"/>
      <c r="CP40" s="2106"/>
      <c r="CQ40" s="2106"/>
      <c r="CR40" s="2106"/>
      <c r="CS40" s="2109"/>
      <c r="CT40" s="2176"/>
      <c r="CU40" s="2177"/>
      <c r="CV40" s="2177"/>
      <c r="CW40" s="2177"/>
      <c r="CX40" s="2178"/>
    </row>
    <row r="41" spans="1:102" ht="16.5" customHeight="1" x14ac:dyDescent="0.3">
      <c r="A41" s="2206"/>
      <c r="B41" s="2206"/>
      <c r="C41" s="2207"/>
      <c r="D41" s="1037">
        <v>41883</v>
      </c>
      <c r="E41" s="2141"/>
      <c r="F41" s="2192"/>
      <c r="G41" s="2192"/>
      <c r="H41" s="2187"/>
      <c r="I41" s="2113" t="str">
        <f>HYPERLINK("https://www.enmax.com/ForYourHomeSite/Documents/2014-09-01-LAF.pdf", "Calgary LAF September 2014, Page 1")</f>
        <v>Calgary LAF September 2014, Page 1</v>
      </c>
      <c r="J41" s="2186"/>
      <c r="K41" s="2192"/>
      <c r="L41" s="2187"/>
      <c r="M41" s="2194"/>
      <c r="N41" s="2194"/>
      <c r="O41" s="2120"/>
      <c r="P41" s="2124"/>
      <c r="Q41" s="2125"/>
      <c r="R41" s="2106"/>
      <c r="S41" s="2106"/>
      <c r="T41" s="2106"/>
      <c r="U41" s="2109"/>
      <c r="V41" s="2149"/>
      <c r="W41" s="2150"/>
      <c r="X41" s="2150"/>
      <c r="Y41" s="2150"/>
      <c r="Z41" s="2151"/>
      <c r="AA41" s="2141"/>
      <c r="AB41" s="2246"/>
      <c r="AC41" s="2247"/>
      <c r="AD41" s="2247"/>
      <c r="AE41" s="2188"/>
      <c r="AF41" s="2247"/>
      <c r="AG41" s="2115"/>
      <c r="AH41" s="2250"/>
      <c r="AI41" s="2115" t="str">
        <f>HYPERLINK("http://www.auc.ab.ca/regulatory_documents/ProceedingDocuments/2014/2014-174.pdf", "AUC EPCOR 2013 K Factor True-up Rider, Pages 12, 39")</f>
        <v>AUC EPCOR 2013 K Factor True-up Rider, Pages 12, 39</v>
      </c>
      <c r="AJ41" s="2217"/>
      <c r="AK41" s="1574" t="str">
        <f>HYPERLINK("https://www.epcor.com/products-services/power/rates-tariffs-fees/Documents/RegulatedRateTariff-Edmonton-2014-09.pdf", "EPCOR September 2014 Regulated Rate Tariff, Page 2")</f>
        <v>EPCOR September 2014 Regulated Rate Tariff, Page 2</v>
      </c>
      <c r="AL41" s="2120"/>
      <c r="AM41" s="2124"/>
      <c r="AN41" s="2125"/>
      <c r="AO41" s="2106"/>
      <c r="AP41" s="2106"/>
      <c r="AQ41" s="2106"/>
      <c r="AR41" s="2109"/>
      <c r="AS41" s="2158"/>
      <c r="AT41" s="2159"/>
      <c r="AU41" s="2159"/>
      <c r="AV41" s="2159"/>
      <c r="AW41" s="2160"/>
      <c r="AX41" s="2141"/>
      <c r="AY41" s="2195"/>
      <c r="AZ41" s="2115"/>
      <c r="BA41" s="2115"/>
      <c r="BB41" s="2115"/>
      <c r="BC41" s="2199"/>
      <c r="BD41" s="2199"/>
      <c r="BE41" s="2199"/>
      <c r="BF41" s="2115"/>
      <c r="BG41" s="2115"/>
      <c r="BH41" s="2115"/>
      <c r="BI41" s="2115"/>
      <c r="BJ41" s="2199"/>
      <c r="BK41" s="2236"/>
      <c r="BL41" s="2120"/>
      <c r="BM41" s="2124"/>
      <c r="BN41" s="2125"/>
      <c r="BO41" s="2106"/>
      <c r="BP41" s="2106"/>
      <c r="BQ41" s="2106"/>
      <c r="BR41" s="2109"/>
      <c r="BS41" s="2167"/>
      <c r="BT41" s="2168"/>
      <c r="BU41" s="2168"/>
      <c r="BV41" s="2168"/>
      <c r="BW41" s="2169"/>
      <c r="BX41" s="2141"/>
      <c r="BY41" s="2239"/>
      <c r="BZ41" s="2239"/>
      <c r="CA41" s="2239"/>
      <c r="CB41" s="2240"/>
      <c r="CC41" s="2115" t="str">
        <f>HYPERLINK("http://www.atcoelectric.com/Rates/tariffs/Documents/2014-09-01%20AE%20Rider%20A.pdf", "ATCO Electric September 2014 Rider A Rate Schedule, Page 2")</f>
        <v>ATCO Electric September 2014 Rider A Rate Schedule, Page 2</v>
      </c>
      <c r="CD41" s="2199"/>
      <c r="CE41" s="2188"/>
      <c r="CF41" s="2115"/>
      <c r="CG41" s="2188"/>
      <c r="CH41" s="2188"/>
      <c r="CI41" s="2227"/>
      <c r="CJ41" s="2228"/>
      <c r="CK41" s="2131"/>
      <c r="CL41" s="2189"/>
      <c r="CM41" s="2120"/>
      <c r="CN41" s="2124"/>
      <c r="CO41" s="2125"/>
      <c r="CP41" s="2106"/>
      <c r="CQ41" s="2106"/>
      <c r="CR41" s="2106"/>
      <c r="CS41" s="2109"/>
      <c r="CT41" s="2176"/>
      <c r="CU41" s="2177"/>
      <c r="CV41" s="2177"/>
      <c r="CW41" s="2177"/>
      <c r="CX41" s="2178"/>
    </row>
    <row r="42" spans="1:102" ht="63.75" customHeight="1" x14ac:dyDescent="0.3">
      <c r="A42" s="2206"/>
      <c r="B42" s="2206"/>
      <c r="C42" s="2207"/>
      <c r="D42" s="1037">
        <v>41913</v>
      </c>
      <c r="E42" s="2141"/>
      <c r="F42" s="2195" t="str">
        <f>HYPERLINK("https://www.enmax.com/ForYourBusinessSite/Documents/2014-10-01_DT_Rate_Schedule.pdf", "ENMAX October 2014 Distribution Tariff Rate Schedule, Page 3")</f>
        <v>ENMAX October 2014 Distribution Tariff Rate Schedule, Page 3</v>
      </c>
      <c r="G42" s="2115"/>
      <c r="H42" s="2115"/>
      <c r="I42" s="2218"/>
      <c r="J42" s="2115" t="str">
        <f>HYPERLINK("https://www.enmax.com/ForYourBusinessSite/Documents/2014-10-01_DT_Rate_Schedule.pdf", "ENMAX October 2014 Distribution Tariff Rate Schedule, Pages 19 - 21")</f>
        <v>ENMAX October 2014 Distribution Tariff Rate Schedule, Pages 19 - 21</v>
      </c>
      <c r="K42" s="2115"/>
      <c r="L42" s="2115"/>
      <c r="M42" s="2194"/>
      <c r="N42" s="2194"/>
      <c r="O42" s="2120"/>
      <c r="P42" s="2124"/>
      <c r="Q42" s="2125"/>
      <c r="R42" s="2106"/>
      <c r="S42" s="2106"/>
      <c r="T42" s="2106"/>
      <c r="U42" s="2109"/>
      <c r="V42" s="2149"/>
      <c r="W42" s="2150"/>
      <c r="X42" s="2150"/>
      <c r="Y42" s="2150"/>
      <c r="Z42" s="2151"/>
      <c r="AA42" s="2141"/>
      <c r="AB42" s="1525" t="str">
        <f>HYPERLINK("https://www.epcor.com/products-services/power/rates-tariffs-fees/Documents2/SystemAccessServiceTariff-2014-10.pdf", "EPCOR October 2014 System Access Service Tariff, Page 3")</f>
        <v>EPCOR October 2014 System Access Service Tariff, Page 3</v>
      </c>
      <c r="AC42" s="2247"/>
      <c r="AD42" s="2247"/>
      <c r="AE42" s="2188"/>
      <c r="AF42" s="1489" t="str">
        <f>HYPERLINK("https://www.epcor.com/products-services/power/rates-tariffs-fees/Documents2/SystemAccessServiceTariff-2014-10.pdf", "EPCOR October 2014 System Access Service Tariff, Page 3")</f>
        <v>EPCOR October 2014 System Access Service Tariff, Page 3</v>
      </c>
      <c r="AG42" s="2115" t="str">
        <f>HYPERLINK("https://www.epcor.com/products-services/power/rates-tariffs-fees/Documents2/TransmissionChargeDeferralAccountTrueUP(TCDA)-RiderK-2014-10.pdf", "EPCOR October 2014 Rider K Short-Term Adjustment, Page 1")</f>
        <v>EPCOR October 2014 Rider K Short-Term Adjustment, Page 1</v>
      </c>
      <c r="AH42" s="1485" t="str">
        <f>HYPERLINK("https://www.epcor.com/products-services/power/rates-tariffs-fees/Documents2/SystemAccessServiceTrueUp-2014-10%20-%20Updated.pdf", "EPCOR October 2014 Rider J  Interim Adjustment, Page 1")</f>
        <v>EPCOR October 2014 Rider J  Interim Adjustment, Page 1</v>
      </c>
      <c r="AI42" s="2346"/>
      <c r="AJ42" s="2217"/>
      <c r="AK42" s="1574" t="str">
        <f>HYPERLINK("https://www.epcor.com/products-services/power/rates-tariffs-fees/Documents/RegulatedRateTariff-Edmonton-2014-10.pdf", "EPCOR October 2014 Regulated Rate Tariff, Page 2")</f>
        <v>EPCOR October 2014 Regulated Rate Tariff, Page 2</v>
      </c>
      <c r="AL42" s="2120"/>
      <c r="AM42" s="2124"/>
      <c r="AN42" s="2125"/>
      <c r="AO42" s="2106"/>
      <c r="AP42" s="2106"/>
      <c r="AQ42" s="2106"/>
      <c r="AR42" s="2109"/>
      <c r="AS42" s="2158"/>
      <c r="AT42" s="2159"/>
      <c r="AU42" s="2159"/>
      <c r="AV42" s="2159"/>
      <c r="AW42" s="2160"/>
      <c r="AX42" s="2141"/>
      <c r="AY42" s="2195" t="str">
        <f>HYPERLINK("http://fortisalberta.com/docs/default-source/default-document-library/2014-oct-rates-options--riders.pdf?sfvrsn=10", "Fortis Alberta October 2014 Rates, Options, and Riders, Page 2")</f>
        <v>Fortis Alberta October 2014 Rates, Options, and Riders, Page 2</v>
      </c>
      <c r="AZ42" s="2115"/>
      <c r="BA42" s="2115"/>
      <c r="BB42" s="2115"/>
      <c r="BC42" s="2115" t="str">
        <f>HYPERLINK("http://fortisalberta.com/docs/default-source/default-document-library/2014-oct-rates-options--riders.pdf?sfvrsn=10", "Fortis Alberta October 2014 Rates, Options, and Riders, Page 27-29")</f>
        <v>Fortis Alberta October 2014 Rates, Options, and Riders, Page 27-29</v>
      </c>
      <c r="BD42" s="2115" t="str">
        <f>HYPERLINK("http://fortisalberta.com/docs/default-source/default-document-library/2014-oct-rates-options--riders.pdf?sfvrsn=10", "Fortis Alberta October 2014 Rates, Options, and Riders, Page 24-26")</f>
        <v>Fortis Alberta October 2014 Rates, Options, and Riders, Page 24-26</v>
      </c>
      <c r="BE42" s="2115" t="str">
        <f>HYPERLINK("http://fortisalberta.com/docs/default-source/default-document-library/2014-oct-rates-options--riders.pdf?sfvrsn=10", "Fortis Alberta October 2014 Rates, Options, and Riders, Page 30")</f>
        <v>Fortis Alberta October 2014 Rates, Options, and Riders, Page 30</v>
      </c>
      <c r="BF42" s="2115" t="str">
        <f>HYPERLINK("http://fortisalberta.com/docs/default-source/default-document-library/2014-oct-rates-options--riders.pdf?sfvrsn=10", "Fortis Alberta October 2014 Rates, Options, and Riders, Page 31")</f>
        <v>Fortis Alberta October 2014 Rates, Options, and Riders, Page 31</v>
      </c>
      <c r="BG42" s="2115"/>
      <c r="BH42" s="2115" t="str">
        <f>HYPERLINK("http://fortisalberta.com/docs/default-source/default-document-library/2014-oct-rates-options--riders.pdf?sfvrsn=10", "Fortis Alberta October 2014 Rates, Options, and Riders, Page 32")</f>
        <v>Fortis Alberta October 2014 Rates, Options, and Riders, Page 32</v>
      </c>
      <c r="BI42" s="2115"/>
      <c r="BJ42" s="2115" t="str">
        <f>HYPERLINK("http://fortisalberta.com/docs/default-source/default-document-library/2014-oct-rates-options--riders.pdf?sfvrsn=10", "Fortis Alberta October 2014 Rates, Options, and Riders")</f>
        <v>Fortis Alberta October 2014 Rates, Options, and Riders</v>
      </c>
      <c r="BK42" s="2217" t="str">
        <f>HYPERLINK("http://www.auc.ab.ca/applications/decisions/Decisions/2014/DA2014-223.pdf", "AUC EPCOR Fourth Quarter 2014 Non-Energy Charges Proceeding, Page 3")</f>
        <v>AUC EPCOR Fourth Quarter 2014 Non-Energy Charges Proceeding, Page 3</v>
      </c>
      <c r="BL42" s="2120"/>
      <c r="BM42" s="2124"/>
      <c r="BN42" s="2125"/>
      <c r="BO42" s="2106"/>
      <c r="BP42" s="2106"/>
      <c r="BQ42" s="2106"/>
      <c r="BR42" s="2109"/>
      <c r="BS42" s="2167"/>
      <c r="BT42" s="2168"/>
      <c r="BU42" s="2168"/>
      <c r="BV42" s="2168"/>
      <c r="BW42" s="2169"/>
      <c r="BX42" s="2141"/>
      <c r="BY42" s="2392"/>
      <c r="BZ42" s="2392"/>
      <c r="CA42" s="2392"/>
      <c r="CB42" s="2393"/>
      <c r="CC42" s="2199"/>
      <c r="CD42" s="2199"/>
      <c r="CE42" s="2188"/>
      <c r="CF42" s="1407" t="str">
        <f>HYPERLINK("http://www.atcoelectric.com/Rates/tariffs/Documents/2014-10-01%20Rider%20G.pdf", "ATCO Electric October 2014 Rider G Temporary Adjustment, Page 1")</f>
        <v>ATCO Electric October 2014 Rider G Temporary Adjustment, Page 1</v>
      </c>
      <c r="CG42" s="2202" t="str">
        <f>HYPERLINK("http://www.atcoelectric.com/Rates/tariffs/Documents/2014-10-01%20Rider%20S.pdf", "ATCO Electric October 2014 Rider S Quarterly SAS Adjustment, Page 1")</f>
        <v>ATCO Electric October 2014 Rider S Quarterly SAS Adjustment, Page 1</v>
      </c>
      <c r="CH42" s="2188"/>
      <c r="CI42" s="2227"/>
      <c r="CJ42" s="2228"/>
      <c r="CK42" s="2131"/>
      <c r="CL42" s="2135" t="str">
        <f>HYPERLINK("http://www.directenergyregulatedservices.com/Documents/regulatory/2014/140924%20DERS_Oct_2014%20RRT%20Interim%20Rate%20Schedules.pdf", "Direct Energy Regulated Services October 2014 Interim RRT Rate Schedules , Page 2")</f>
        <v>Direct Energy Regulated Services October 2014 Interim RRT Rate Schedules , Page 2</v>
      </c>
      <c r="CM42" s="2120"/>
      <c r="CN42" s="2124"/>
      <c r="CO42" s="2125"/>
      <c r="CP42" s="2106"/>
      <c r="CQ42" s="2106"/>
      <c r="CR42" s="2106"/>
      <c r="CS42" s="2109"/>
      <c r="CT42" s="2176"/>
      <c r="CU42" s="2177"/>
      <c r="CV42" s="2177"/>
      <c r="CW42" s="2177"/>
      <c r="CX42" s="2178"/>
    </row>
    <row r="43" spans="1:102" ht="54" customHeight="1" x14ac:dyDescent="0.3">
      <c r="A43" s="2206"/>
      <c r="B43" s="2206"/>
      <c r="C43" s="2207"/>
      <c r="D43" s="1037">
        <v>41944</v>
      </c>
      <c r="E43" s="2141"/>
      <c r="F43" s="2190" t="str">
        <f>HYPERLINK("https://www.enmax.com/ForYourHomeSite/Documents/2014-11-01_DT_Rate_Schedule.pdf", "ENMAX November 2014 Distribution Tariff Rate Schedule, Page 3")</f>
        <v>ENMAX November 2014 Distribution Tariff Rate Schedule, Page 3</v>
      </c>
      <c r="G43" s="2190"/>
      <c r="H43" s="2200"/>
      <c r="I43" s="1484" t="str">
        <f>HYPERLINK("https://www.enmax.com/ForYourHomeSite/Documents/2014-11-01%20LAF.pdf", "Calgary LAF November 2014, Page 1")</f>
        <v>Calgary LAF November 2014, Page 1</v>
      </c>
      <c r="J43" s="2219" t="str">
        <f>HYPERLINK("https://www.enmax.com/ForYourHomeSite/Documents/2014-11-01_DT_Rate_Schedule.pdf", "ENMAX November 2014 Distribution Tariff Rate Schedule, Pages 19 - 22")</f>
        <v>ENMAX November 2014 Distribution Tariff Rate Schedule, Pages 19 - 22</v>
      </c>
      <c r="K43" s="2190"/>
      <c r="L43" s="2200"/>
      <c r="M43" s="2194"/>
      <c r="N43" s="2194"/>
      <c r="O43" s="2120"/>
      <c r="P43" s="2124"/>
      <c r="Q43" s="2125"/>
      <c r="R43" s="2106"/>
      <c r="S43" s="2106"/>
      <c r="T43" s="2106"/>
      <c r="U43" s="2109"/>
      <c r="V43" s="2149"/>
      <c r="W43" s="2150"/>
      <c r="X43" s="2150"/>
      <c r="Y43" s="2150"/>
      <c r="Z43" s="2151"/>
      <c r="AA43" s="2141"/>
      <c r="AB43" s="2246" t="str">
        <f>HYPERLINK("https://www.epcor.com/products-services/power/rates-tariffs-fees/Documents2/SystemAccessServiceTariff-2014-11.pdf", "EPCOR November 2014 System Access Service Tariff, Page 3")</f>
        <v>EPCOR November 2014 System Access Service Tariff, Page 3</v>
      </c>
      <c r="AC43" s="2247"/>
      <c r="AD43" s="2247"/>
      <c r="AE43" s="2188"/>
      <c r="AF43" s="2247" t="str">
        <f>HYPERLINK("https://www.epcor.com/products-services/power/rates-tariffs-fees/Documents2/SystemAccessServiceTariff-2014-11.pdf", "EPCOR November 2014 System Access Service Tariff, Page 3")</f>
        <v>EPCOR November 2014 System Access Service Tariff, Page 3</v>
      </c>
      <c r="AG43" s="2115"/>
      <c r="AH43" s="2250" t="str">
        <f>HYPERLINK("https://www.epcor.com/products-services/power/rates-tariffs-fees/Documents2/SystemAccessServiceTariff-2014-11.pdf", "EPCOR November 2014 System Access Service Tariff, Page 22")</f>
        <v>EPCOR November 2014 System Access Service Tariff, Page 22</v>
      </c>
      <c r="AI43" s="2346"/>
      <c r="AJ43" s="2217"/>
      <c r="AK43" s="1574" t="str">
        <f>HYPERLINK("https://www.epcor.com/products-services/power/rates-tariffs-fees/Documents/RegulatedRateTariff-Edmonton-2014-11.pdf", "EPCOR November 2014 Regulated Rate Tariff, Page 2")</f>
        <v>EPCOR November 2014 Regulated Rate Tariff, Page 2</v>
      </c>
      <c r="AL43" s="2120"/>
      <c r="AM43" s="2124"/>
      <c r="AN43" s="2125"/>
      <c r="AO43" s="2106"/>
      <c r="AP43" s="2106"/>
      <c r="AQ43" s="2106"/>
      <c r="AR43" s="2109"/>
      <c r="AS43" s="2158"/>
      <c r="AT43" s="2159"/>
      <c r="AU43" s="2159"/>
      <c r="AV43" s="2159"/>
      <c r="AW43" s="2160"/>
      <c r="AX43" s="2141"/>
      <c r="AY43" s="2195"/>
      <c r="AZ43" s="2115"/>
      <c r="BA43" s="2115"/>
      <c r="BB43" s="2115"/>
      <c r="BC43" s="2199"/>
      <c r="BD43" s="2199"/>
      <c r="BE43" s="2199"/>
      <c r="BF43" s="2115"/>
      <c r="BG43" s="2115"/>
      <c r="BH43" s="2115"/>
      <c r="BI43" s="2115"/>
      <c r="BJ43" s="2199"/>
      <c r="BK43" s="2236"/>
      <c r="BL43" s="2120"/>
      <c r="BM43" s="2124"/>
      <c r="BN43" s="2125"/>
      <c r="BO43" s="2106"/>
      <c r="BP43" s="2106"/>
      <c r="BQ43" s="2106"/>
      <c r="BR43" s="2109"/>
      <c r="BS43" s="2167"/>
      <c r="BT43" s="2168"/>
      <c r="BU43" s="2168"/>
      <c r="BV43" s="2168"/>
      <c r="BW43" s="2169"/>
      <c r="BX43" s="2141"/>
      <c r="BY43" s="2210" t="str">
        <f>HYPERLINK("http://www.atcoelectric.com/Rates/tariffs/Documents/2014-11-01%20AE%20Interim%20Price%20Schedules.pdf", "ATCO Electric November 2014 Price Schedule Index, Page 2")</f>
        <v>ATCO Electric November 2014 Price Schedule Index, Page 2</v>
      </c>
      <c r="BZ43" s="2394"/>
      <c r="CA43" s="2394"/>
      <c r="CB43" s="2395"/>
      <c r="CC43" s="2199"/>
      <c r="CD43" s="2199"/>
      <c r="CE43" s="2115" t="str">
        <f>HYPERLINK("http://www.atcoelectric.com/Rates/tariffs/Documents/2014-11-01%20AE%20Interim%20Price%20Schedules.pdf", "ATCO Electric November 2014 Price Schedule Index, Page 45")</f>
        <v>ATCO Electric November 2014 Price Schedule Index, Page 45</v>
      </c>
      <c r="CF43" s="2115" t="str">
        <f>HYPERLINK("http://www.atcoelectric.com/Rates/tariffs/Documents/2014-11-01%20AE%20Interim%20Price%20Schedules.pdf", "ATCO Electric November 2014 Price Schedule Index, Page 47")</f>
        <v>ATCO Electric November 2014 Price Schedule Index, Page 47</v>
      </c>
      <c r="CG43" s="2106"/>
      <c r="CH43" s="2115" t="str">
        <f>HYPERLINK("http://www.atcoelectric.com/Rates/tariffs/Documents/2014-11-01%20AE%20Interim%20Price%20Schedules.pdf", "ATCO Electric November 2014 Price Schedule Index, Page 48")</f>
        <v>ATCO Electric November 2014 Price Schedule Index, Page 48</v>
      </c>
      <c r="CI43" s="2227"/>
      <c r="CJ43" s="2228"/>
      <c r="CK43" s="2131"/>
      <c r="CL43" s="2189"/>
      <c r="CM43" s="2120"/>
      <c r="CN43" s="2124"/>
      <c r="CO43" s="2125"/>
      <c r="CP43" s="2106"/>
      <c r="CQ43" s="2106"/>
      <c r="CR43" s="2106"/>
      <c r="CS43" s="2109"/>
      <c r="CT43" s="2176"/>
      <c r="CU43" s="2177"/>
      <c r="CV43" s="2177"/>
      <c r="CW43" s="2177"/>
      <c r="CX43" s="2178"/>
    </row>
    <row r="44" spans="1:102" ht="39" customHeight="1" x14ac:dyDescent="0.3">
      <c r="A44" s="2208"/>
      <c r="B44" s="2208"/>
      <c r="C44" s="2209"/>
      <c r="D44" s="1037">
        <v>41974</v>
      </c>
      <c r="E44" s="2141"/>
      <c r="F44" s="2192"/>
      <c r="G44" s="2192"/>
      <c r="H44" s="2187"/>
      <c r="I44" s="1484" t="str">
        <f>HYPERLINK("https://www.enmax.com/ForYourHomeSite/Documents/2014-12-01-LAF.pdf", "Calgary LAF December 2014, Page 1")</f>
        <v>Calgary LAF December 2014, Page 1</v>
      </c>
      <c r="J44" s="2186"/>
      <c r="K44" s="2192"/>
      <c r="L44" s="2187"/>
      <c r="M44" s="2194"/>
      <c r="N44" s="2194"/>
      <c r="O44" s="2120"/>
      <c r="P44" s="2124"/>
      <c r="Q44" s="2125"/>
      <c r="R44" s="2106"/>
      <c r="S44" s="2106"/>
      <c r="T44" s="2106"/>
      <c r="U44" s="2109"/>
      <c r="V44" s="2149"/>
      <c r="W44" s="2150"/>
      <c r="X44" s="2150"/>
      <c r="Y44" s="2150"/>
      <c r="Z44" s="2151"/>
      <c r="AA44" s="2141"/>
      <c r="AB44" s="2246"/>
      <c r="AC44" s="2247"/>
      <c r="AD44" s="2247"/>
      <c r="AE44" s="2188"/>
      <c r="AF44" s="2247"/>
      <c r="AG44" s="2115"/>
      <c r="AH44" s="2250"/>
      <c r="AI44" s="2346"/>
      <c r="AJ44" s="2217"/>
      <c r="AK44" s="1574" t="str">
        <f>HYPERLINK("https://www.epcor.com/products-services/power/rates-tariffs-fees/Documents/RegulatedRateTariff-Edmonton-2014-12.pdf", "EPCOR December 2014 Regulated Rate Tariff, Page 2")</f>
        <v>EPCOR December 2014 Regulated Rate Tariff, Page 2</v>
      </c>
      <c r="AL44" s="2120"/>
      <c r="AM44" s="2124"/>
      <c r="AN44" s="2125"/>
      <c r="AO44" s="2106"/>
      <c r="AP44" s="2106"/>
      <c r="AQ44" s="2106"/>
      <c r="AR44" s="2109"/>
      <c r="AS44" s="2158"/>
      <c r="AT44" s="2159"/>
      <c r="AU44" s="2159"/>
      <c r="AV44" s="2159"/>
      <c r="AW44" s="2160"/>
      <c r="AX44" s="2141"/>
      <c r="AY44" s="2195"/>
      <c r="AZ44" s="2115"/>
      <c r="BA44" s="2115"/>
      <c r="BB44" s="2115"/>
      <c r="BC44" s="2199"/>
      <c r="BD44" s="2199"/>
      <c r="BE44" s="2199"/>
      <c r="BF44" s="2115"/>
      <c r="BG44" s="2115"/>
      <c r="BH44" s="2115"/>
      <c r="BI44" s="2115"/>
      <c r="BJ44" s="2199"/>
      <c r="BK44" s="2236"/>
      <c r="BL44" s="2120"/>
      <c r="BM44" s="2124"/>
      <c r="BN44" s="2125"/>
      <c r="BO44" s="2106"/>
      <c r="BP44" s="2106"/>
      <c r="BQ44" s="2106"/>
      <c r="BR44" s="2109"/>
      <c r="BS44" s="2167"/>
      <c r="BT44" s="2168"/>
      <c r="BU44" s="2168"/>
      <c r="BV44" s="2168"/>
      <c r="BW44" s="2169"/>
      <c r="BX44" s="2141"/>
      <c r="BY44" s="2396"/>
      <c r="BZ44" s="2396"/>
      <c r="CA44" s="2396"/>
      <c r="CB44" s="2397"/>
      <c r="CC44" s="2199"/>
      <c r="CD44" s="2199"/>
      <c r="CE44" s="2115"/>
      <c r="CF44" s="2115"/>
      <c r="CG44" s="2107"/>
      <c r="CH44" s="2115"/>
      <c r="CI44" s="2227"/>
      <c r="CJ44" s="2228"/>
      <c r="CK44" s="2131"/>
      <c r="CL44" s="2189"/>
      <c r="CM44" s="2120"/>
      <c r="CN44" s="2124"/>
      <c r="CO44" s="2125"/>
      <c r="CP44" s="2106"/>
      <c r="CQ44" s="2106"/>
      <c r="CR44" s="2106"/>
      <c r="CS44" s="2109"/>
      <c r="CT44" s="2176"/>
      <c r="CU44" s="2177"/>
      <c r="CV44" s="2177"/>
      <c r="CW44" s="2177"/>
      <c r="CX44" s="2178"/>
    </row>
    <row r="45" spans="1:102" ht="60" customHeight="1" x14ac:dyDescent="0.3">
      <c r="A45" s="2204">
        <v>2015</v>
      </c>
      <c r="B45" s="2204"/>
      <c r="C45" s="2205"/>
      <c r="D45" s="1101">
        <v>42005</v>
      </c>
      <c r="E45" s="2141"/>
      <c r="F45" s="2195" t="str">
        <f>HYPERLINK("https://www.enmax.com/ForYourHomeSite/Documents/DT-Rate-Schedule-2015-01-01.pdf", "ENMAX January 2015 Distribution Tariff Rate Schedule, Page 3")</f>
        <v>ENMAX January 2015 Distribution Tariff Rate Schedule, Page 3</v>
      </c>
      <c r="G45" s="2115"/>
      <c r="H45" s="2217"/>
      <c r="I45" s="1485" t="str">
        <f>HYPERLINK("https://www.enmax.com/ForYourHomeSite/Documents/2015-01-01-LAF.pdf", "Calgary LAF January 2015, Page 1")</f>
        <v>Calgary LAF January 2015, Page 1</v>
      </c>
      <c r="J45" s="2115" t="str">
        <f>HYPERLINK("https://www.enmax.com/ForYourHomeSite/Documents/DT-Rate-Schedule-2015-01-01.pdf", "ENMAX January 2015 Distribution Tariff Rate Schedule, Pages 19 - 22")</f>
        <v>ENMAX January 2015 Distribution Tariff Rate Schedule, Pages 19 - 22</v>
      </c>
      <c r="K45" s="2115"/>
      <c r="L45" s="2115"/>
      <c r="M45" s="2194" t="str">
        <f>HYPERLINK("http://www.auc.ab.ca/applications/decisions/Decisions/2014/2014-332.pdf", "AUC ENMAX 2014 RRO Non-Energy Final Tariff Compliance Filing and Non-Energy Rate Rider Application, Pages 18, 21")</f>
        <v>AUC ENMAX 2014 RRO Non-Energy Final Tariff Compliance Filing and Non-Energy Rate Rider Application, Pages 18, 21</v>
      </c>
      <c r="N45" s="2194" t="str">
        <f>HYPERLINK("http://www.auc.ab.ca/applications/decisions/Decisions/2014/2014-332.pdf", "AUC ENMAX 2014 RRO Non-Energy Final Tariff Compliance Filing and Non-Energy Rate Rider Application, Page 21")</f>
        <v>AUC ENMAX 2014 RRO Non-Energy Final Tariff Compliance Filing and Non-Energy Rate Rider Application, Page 21</v>
      </c>
      <c r="O45" s="2120"/>
      <c r="P45" s="2124"/>
      <c r="Q45" s="2125"/>
      <c r="R45" s="2106"/>
      <c r="S45" s="2106"/>
      <c r="T45" s="2106"/>
      <c r="U45" s="2109"/>
      <c r="V45" s="2149"/>
      <c r="W45" s="2150"/>
      <c r="X45" s="2150"/>
      <c r="Y45" s="2150"/>
      <c r="Z45" s="2151"/>
      <c r="AA45" s="2141"/>
      <c r="AB45" s="2246" t="str">
        <f>HYPERLINK("https://www.epcor.com/products-services/power/rates-tariffs-fees/Documents2/SystemAccessServiceTariff-2015-01.pdf", "EPCOR January 2015 System Access Service Tariff, Page 3")</f>
        <v>EPCOR January 2015 System Access Service Tariff, Page 3</v>
      </c>
      <c r="AC45" s="2247" t="str">
        <f>HYPERLINK("https://www.epcor.com/products-services/power/rates-tariffs-fees/Documents2/DistributionAccessServiceTariff-2015-01.pdf", "EPCOR January 2015 Distribution Access Service Tariff, Page 3")</f>
        <v>EPCOR January 2015 Distribution Access Service Tariff, Page 3</v>
      </c>
      <c r="AD45" s="2247"/>
      <c r="AE45" s="2115" t="str">
        <f>HYPERLINK("https://www.epcor.com/products-services/power/rates-tariffs-fees/Documents2/LocalAccessFee-RetailersNotice-2015-01.pdf", "EPCOR January 2015 Local Access Fee Retailer Notice, Page 1")</f>
        <v>EPCOR January 2015 Local Access Fee Retailer Notice, Page 1</v>
      </c>
      <c r="AF45" s="2247" t="str">
        <f>HYPERLINK("https://www.epcor.com/products-services/power/rates-tariffs-fees/Documents2/SystemAccessServiceTariff-2015-01.pdf", "EPCOR January 2015 System Access Service Tariff, Page 3")</f>
        <v>EPCOR January 2015 System Access Service Tariff, Page 3</v>
      </c>
      <c r="AG45" s="2202" t="str">
        <f>HYPERLINK("https://www.epcor.com/products-services/power/rates-tariffs-fees/Documents2/TransmissionChargeDeferralAccountTrueUP(TCDA)-RiderK-2015-01.pdf", "EPCOR January 2015 Rider K Short-Term Adjustment, Page 1")</f>
        <v>EPCOR January 2015 Rider K Short-Term Adjustment, Page 1</v>
      </c>
      <c r="AH45" s="2250" t="str">
        <f>HYPERLINK("https://www.epcor.com/products-services/power/rates-tariffs-fees/Documents2/SystemAccessServiceTariff-2015-01.pdf", "EPCOR January 2015 System Access Service Tariff, Page 22")</f>
        <v>EPCOR January 2015 System Access Service Tariff, Page 22</v>
      </c>
      <c r="AI45" s="2202" t="str">
        <f>HYPERLINK("https://www.epcor.com/products-services/power/rates-tariffs-fees/Documents2/DistributionAccessServiceTariff-2015-01.pdf", "EPCOR January 2015 Distribution Access Service Tariff, Page 25")</f>
        <v>EPCOR January 2015 Distribution Access Service Tariff, Page 25</v>
      </c>
      <c r="AJ45" s="2217" t="str">
        <f>HYPERLINK("https://www.epcor.com/products-services/power/rates-tariffs-fees/Documents2/DistributionAccessServiceTariff-2015-01.pdf", "EPCOR January 2015 Distribution Access Service Tariff, Page 23")</f>
        <v>EPCOR January 2015 Distribution Access Service Tariff, Page 23</v>
      </c>
      <c r="AK45" s="1574" t="str">
        <f>HYPERLINK("https://www.epcor.com/products-services/power/rates-tariffs-fees/Documents/RegulatedRateTariff-Edmonton-2015-01.pdf", "EPCOR January 2015 Regulated Rate Tariff, Page 2")</f>
        <v>EPCOR January 2015 Regulated Rate Tariff, Page 2</v>
      </c>
      <c r="AL45" s="2120"/>
      <c r="AM45" s="2124"/>
      <c r="AN45" s="2125"/>
      <c r="AO45" s="2106"/>
      <c r="AP45" s="2106"/>
      <c r="AQ45" s="2106"/>
      <c r="AR45" s="2109"/>
      <c r="AS45" s="2158"/>
      <c r="AT45" s="2159"/>
      <c r="AU45" s="2159"/>
      <c r="AV45" s="2159"/>
      <c r="AW45" s="2160"/>
      <c r="AX45" s="2141"/>
      <c r="AY45" s="2195" t="str">
        <f>HYPERLINK("http://fortisalberta.com/docs/default-source/default-document-library/2015-jan-rates-option-riders-schedules.pdf?sfvrsn=10", "Fortis Alberta January 2015 Rates, Options, and Riders, Page 2")</f>
        <v>Fortis Alberta January 2015 Rates, Options, and Riders, Page 2</v>
      </c>
      <c r="AZ45" s="2115"/>
      <c r="BA45" s="2115"/>
      <c r="BB45" s="2115"/>
      <c r="BC45" s="2115" t="str">
        <f>HYPERLINK("http://fortisalberta.com/docs/default-source/default-document-library/2015-jan-rates-option-riders-schedules.pdf?sfvrsn=10", "Fortis Alberta January 2015 Rates, Options, and Riders, Page 27-29")</f>
        <v>Fortis Alberta January 2015 Rates, Options, and Riders, Page 27-29</v>
      </c>
      <c r="BD45" s="2115" t="str">
        <f>HYPERLINK("http://fortisalberta.com/docs/default-source/default-document-library/2015-jan-rates-option-riders-schedules.pdf?sfvrsn=10", "Fortis Alberta January 2015 Rates, Options, and Riders, Page 24-26")</f>
        <v>Fortis Alberta January 2015 Rates, Options, and Riders, Page 24-26</v>
      </c>
      <c r="BE45" s="2115" t="str">
        <f>HYPERLINK("http://fortisalberta.com/docs/default-source/default-document-library/2015-jan-rates-option-riders-schedules.pdf?sfvrsn=10", "Fortis Alberta January 2015 Rates, Options, and Riders, Page 30")</f>
        <v>Fortis Alberta January 2015 Rates, Options, and Riders, Page 30</v>
      </c>
      <c r="BF45" s="2115" t="str">
        <f>HYPERLINK("http://fortisalberta.com/docs/default-source/default-document-library/2015-jan-rates-option-riders-schedules.pdf?sfvrsn=10", "Fortis Alberta January 2015 Rates, Options, and Riders, Page 31")</f>
        <v>Fortis Alberta January 2015 Rates, Options, and Riders, Page 31</v>
      </c>
      <c r="BG45" s="2115"/>
      <c r="BH45" s="2115" t="str">
        <f>HYPERLINK("http://fortisalberta.com/docs/default-source/default-document-library/2015-jan-rates-option-riders-schedules.pdf?sfvrsn=10", "Fortis Alberta January 2015 Rates, Options, and Riders, Page 32")</f>
        <v>Fortis Alberta January 2015 Rates, Options, and Riders, Page 32</v>
      </c>
      <c r="BI45" s="2115"/>
      <c r="BJ45" s="2115" t="str">
        <f>HYPERLINK("http://fortisalberta.com/docs/default-source/default-document-library/2015-jan-rates-option-riders-schedules.pdf?sfvrsn=10", "Fortis Alberta January 2015 Rates, Options, and Riders")</f>
        <v>Fortis Alberta January 2015 Rates, Options, and Riders</v>
      </c>
      <c r="BK45" s="1413" t="str">
        <f>HYPERLINK("http://www.auc.ab.ca/applications/decisions/Decisions/2014/DA2014-298.pdf", "AUC EPCOR First Quarter 2015 Non-Energy Charges Proceeding, Page 3")</f>
        <v>AUC EPCOR First Quarter 2015 Non-Energy Charges Proceeding, Page 3</v>
      </c>
      <c r="BL45" s="2120"/>
      <c r="BM45" s="2124"/>
      <c r="BN45" s="2125"/>
      <c r="BO45" s="2106"/>
      <c r="BP45" s="2106"/>
      <c r="BQ45" s="2106"/>
      <c r="BR45" s="2109"/>
      <c r="BS45" s="2167"/>
      <c r="BT45" s="2168"/>
      <c r="BU45" s="2168"/>
      <c r="BV45" s="2168"/>
      <c r="BW45" s="2169"/>
      <c r="BX45" s="2141"/>
      <c r="BY45" s="2195" t="str">
        <f>HYPERLINK("http://www.atcoelectric.com/Rates/tariffs/Documents/2015-Tariffs/2015-01-01AE_PriceSchedules.pdf", "ATCO Electric January 2015 Price Schedule Index, Page 2")</f>
        <v>ATCO Electric January 2015 Price Schedule Index, Page 2</v>
      </c>
      <c r="BZ45" s="2188"/>
      <c r="CA45" s="2188"/>
      <c r="CB45" s="2188"/>
      <c r="CC45" s="2115" t="str">
        <f>HYPERLINK("http://www.atcoelectric.com/Rates/tariffs/Documents/2015-01-01AE_RiderA.pdf", "ATCO Electric January 2015 Rider A Rate Schedule, Page 2")</f>
        <v>ATCO Electric January 2015 Rider A Rate Schedule, Page 2</v>
      </c>
      <c r="CD45" s="2199"/>
      <c r="CE45" s="2115" t="str">
        <f>HYPERLINK("http://www.atcoelectric.com/Rates/tariffs/Documents/2015-Tariffs/2015-01-01AE_PriceSchedules.pdf", "ATCO Electric January 2015 Price Schedule Index, Page 45")</f>
        <v>ATCO Electric January 2015 Price Schedule Index, Page 45</v>
      </c>
      <c r="CF45" s="2115" t="str">
        <f>HYPERLINK("http://www.atcoelectric.com/Rates/tariffs/Documents/2015-Tariffs/2015-01-01AE_PriceSchedules.pdf", "ATCO Electric January 2015 Price Schedule Index, Page 47")</f>
        <v>ATCO Electric January 2015 Price Schedule Index, Page 47</v>
      </c>
      <c r="CG45" s="2115" t="str">
        <f>HYPERLINK("http://www.atcoelectric.com/Rates/tariffs/Documents/2015-01-01AE_RiderS.pdf", "ATCO Electric January 2015 SAS Deferral Rider S, Page 1")</f>
        <v>ATCO Electric January 2015 SAS Deferral Rider S, Page 1</v>
      </c>
      <c r="CH45" s="2115" t="str">
        <f>HYPERLINK("http://www.atcoelectric.com/Rates/tariffs/Documents/2015-Tariffs/2015-01-01AE_PriceSchedules.pdf", "ATCO Electric January 2015 Price Schedule Index, Page 48")</f>
        <v>ATCO Electric January 2015 Price Schedule Index, Page 48</v>
      </c>
      <c r="CI45" s="2227"/>
      <c r="CJ45" s="2228"/>
      <c r="CK45" s="2131"/>
      <c r="CL45" s="2135" t="str">
        <f>HYPERLINK("http://www.directenergyregulatedservices.com/Documents/regulatory/2015/141219%20DERS_Jan_2015%20RRT%20Interim%20Rate%20Schedules.pdf", "Direct Energy Regulated Services January 2015 Interim RRT Rate Schedules , Page 2")</f>
        <v>Direct Energy Regulated Services January 2015 Interim RRT Rate Schedules , Page 2</v>
      </c>
      <c r="CM45" s="2120"/>
      <c r="CN45" s="2124"/>
      <c r="CO45" s="2125"/>
      <c r="CP45" s="2106"/>
      <c r="CQ45" s="2106"/>
      <c r="CR45" s="2106"/>
      <c r="CS45" s="2109"/>
      <c r="CT45" s="2176"/>
      <c r="CU45" s="2177"/>
      <c r="CV45" s="2177"/>
      <c r="CW45" s="2177"/>
      <c r="CX45" s="2178"/>
    </row>
    <row r="46" spans="1:102" ht="64.5" customHeight="1" x14ac:dyDescent="0.3">
      <c r="A46" s="2206"/>
      <c r="B46" s="2206"/>
      <c r="C46" s="2207"/>
      <c r="D46" s="1037">
        <v>42036</v>
      </c>
      <c r="E46" s="2141"/>
      <c r="F46" s="2190" t="str">
        <f>HYPERLINK("https://www.enmax.com/ForYourBusinessSite/Documents/2015-02-01_DT_Rate_Schedule.pdf", "ENMAX February 2015 Distribution Tariff Rate Schedule, Page 3")</f>
        <v>ENMAX February 2015 Distribution Tariff Rate Schedule, Page 3</v>
      </c>
      <c r="G46" s="2190"/>
      <c r="H46" s="2200"/>
      <c r="I46" s="1485" t="str">
        <f>HYPERLINK("https://www.enmax.com/ForYourHomeSite/Documents/2015-02-01-LAF.pdf", "Calgary LAF February 2015, Page 1")</f>
        <v>Calgary LAF February 2015, Page 1</v>
      </c>
      <c r="J46" s="2115" t="str">
        <f>HYPERLINK("https://www.enmax.com/ForYourBusinessSite/Documents/2015-02-01_DT_Rate_Schedule.pdf", "ENMAX February 2015 Distribution Tariff Rate Schedule, Pages 19 - 22")</f>
        <v>ENMAX February 2015 Distribution Tariff Rate Schedule, Pages 19 - 22</v>
      </c>
      <c r="K46" s="2115"/>
      <c r="L46" s="2115"/>
      <c r="M46" s="2194"/>
      <c r="N46" s="2194"/>
      <c r="O46" s="2120"/>
      <c r="P46" s="2124"/>
      <c r="Q46" s="2125"/>
      <c r="R46" s="2106"/>
      <c r="S46" s="2106"/>
      <c r="T46" s="2106"/>
      <c r="U46" s="2109"/>
      <c r="V46" s="2149"/>
      <c r="W46" s="2150"/>
      <c r="X46" s="2150"/>
      <c r="Y46" s="2150"/>
      <c r="Z46" s="2151"/>
      <c r="AA46" s="2141"/>
      <c r="AB46" s="2246"/>
      <c r="AC46" s="2247"/>
      <c r="AD46" s="2247"/>
      <c r="AE46" s="2188"/>
      <c r="AF46" s="2247"/>
      <c r="AG46" s="2106"/>
      <c r="AH46" s="2250"/>
      <c r="AI46" s="2106"/>
      <c r="AJ46" s="2217"/>
      <c r="AK46" s="1574" t="str">
        <f>HYPERLINK("https://www.epcor.com/products-services/power/rates-tariffs-fees/Documents/RegulatedRateTariff-Edmonton-2015-02.pdf", "EPCOR February 2015 Regulated Rate Tariff, Page 2")</f>
        <v>EPCOR February 2015 Regulated Rate Tariff, Page 2</v>
      </c>
      <c r="AL46" s="2120"/>
      <c r="AM46" s="2124"/>
      <c r="AN46" s="2125"/>
      <c r="AO46" s="2106"/>
      <c r="AP46" s="2106"/>
      <c r="AQ46" s="2106"/>
      <c r="AR46" s="2109"/>
      <c r="AS46" s="2158"/>
      <c r="AT46" s="2159"/>
      <c r="AU46" s="2159"/>
      <c r="AV46" s="2159"/>
      <c r="AW46" s="2160"/>
      <c r="AX46" s="2141"/>
      <c r="AY46" s="2195"/>
      <c r="AZ46" s="2115"/>
      <c r="BA46" s="2115"/>
      <c r="BB46" s="2115"/>
      <c r="BC46" s="2199"/>
      <c r="BD46" s="2199"/>
      <c r="BE46" s="2199"/>
      <c r="BF46" s="2115"/>
      <c r="BG46" s="2115"/>
      <c r="BH46" s="2115"/>
      <c r="BI46" s="2115"/>
      <c r="BJ46" s="2199"/>
      <c r="BK46" s="2217" t="str">
        <f>HYPERLINK("http://www.auc.ab.ca/regulatory_documents/ProceedingDocuments/2015/20111-D01-2015.pdf", "AUC EPCOR February 2015 Non-Energy Charges Proceeding, Page 3")</f>
        <v>AUC EPCOR February 2015 Non-Energy Charges Proceeding, Page 3</v>
      </c>
      <c r="BL46" s="2120"/>
      <c r="BM46" s="2124"/>
      <c r="BN46" s="2125"/>
      <c r="BO46" s="2106"/>
      <c r="BP46" s="2106"/>
      <c r="BQ46" s="2106"/>
      <c r="BR46" s="2109"/>
      <c r="BS46" s="2167"/>
      <c r="BT46" s="2168"/>
      <c r="BU46" s="2168"/>
      <c r="BV46" s="2168"/>
      <c r="BW46" s="2169"/>
      <c r="BX46" s="2141"/>
      <c r="BY46" s="2196"/>
      <c r="BZ46" s="2188"/>
      <c r="CA46" s="2188"/>
      <c r="CB46" s="2188"/>
      <c r="CC46" s="2199"/>
      <c r="CD46" s="2199"/>
      <c r="CE46" s="2188"/>
      <c r="CF46" s="2115"/>
      <c r="CG46" s="2188"/>
      <c r="CH46" s="2115"/>
      <c r="CI46" s="2227"/>
      <c r="CJ46" s="2228"/>
      <c r="CK46" s="2131"/>
      <c r="CL46" s="2189"/>
      <c r="CM46" s="2120"/>
      <c r="CN46" s="2124"/>
      <c r="CO46" s="2125"/>
      <c r="CP46" s="2106"/>
      <c r="CQ46" s="2106"/>
      <c r="CR46" s="2106"/>
      <c r="CS46" s="2109"/>
      <c r="CT46" s="2176"/>
      <c r="CU46" s="2177"/>
      <c r="CV46" s="2177"/>
      <c r="CW46" s="2177"/>
      <c r="CX46" s="2178"/>
    </row>
    <row r="47" spans="1:102" ht="38.25" customHeight="1" x14ac:dyDescent="0.3">
      <c r="A47" s="2206"/>
      <c r="B47" s="2206"/>
      <c r="C47" s="2207"/>
      <c r="D47" s="1037">
        <v>42064</v>
      </c>
      <c r="E47" s="2141"/>
      <c r="F47" s="2191"/>
      <c r="G47" s="2191"/>
      <c r="H47" s="2185"/>
      <c r="I47" s="1485" t="str">
        <f>HYPERLINK("https://www.enmax.com/ForYourHomeSite/Documents/2015-03-01-LAF.pdf", "Calgary LAF March 2015, Page 1")</f>
        <v>Calgary LAF March 2015, Page 1</v>
      </c>
      <c r="J47" s="2115"/>
      <c r="K47" s="2115"/>
      <c r="L47" s="2115"/>
      <c r="M47" s="2194"/>
      <c r="N47" s="2194"/>
      <c r="O47" s="2120"/>
      <c r="P47" s="2124"/>
      <c r="Q47" s="2125"/>
      <c r="R47" s="2106"/>
      <c r="S47" s="2106"/>
      <c r="T47" s="2106"/>
      <c r="U47" s="2109"/>
      <c r="V47" s="2149"/>
      <c r="W47" s="2150"/>
      <c r="X47" s="2150"/>
      <c r="Y47" s="2150"/>
      <c r="Z47" s="2151"/>
      <c r="AA47" s="2141"/>
      <c r="AB47" s="2246"/>
      <c r="AC47" s="2247"/>
      <c r="AD47" s="2247"/>
      <c r="AE47" s="2188"/>
      <c r="AF47" s="2247"/>
      <c r="AG47" s="2107"/>
      <c r="AH47" s="2250"/>
      <c r="AI47" s="2106"/>
      <c r="AJ47" s="2217"/>
      <c r="AK47" s="1574" t="str">
        <f>HYPERLINK("https://www.epcor.com/products-services/power/rates-tariffs-fees/Documents/RegulatedRateTariff-Edmonton-2015-03.pdf", "EPCOR March 2015 Regulated Rate Tariff, Page 2")</f>
        <v>EPCOR March 2015 Regulated Rate Tariff, Page 2</v>
      </c>
      <c r="AL47" s="2120"/>
      <c r="AM47" s="2124"/>
      <c r="AN47" s="2125"/>
      <c r="AO47" s="2106"/>
      <c r="AP47" s="2106"/>
      <c r="AQ47" s="2106"/>
      <c r="AR47" s="2109"/>
      <c r="AS47" s="2158"/>
      <c r="AT47" s="2159"/>
      <c r="AU47" s="2159"/>
      <c r="AV47" s="2159"/>
      <c r="AW47" s="2160"/>
      <c r="AX47" s="2141"/>
      <c r="AY47" s="2195"/>
      <c r="AZ47" s="2115"/>
      <c r="BA47" s="2115"/>
      <c r="BB47" s="2115"/>
      <c r="BC47" s="2199"/>
      <c r="BD47" s="2199"/>
      <c r="BE47" s="2199"/>
      <c r="BF47" s="2115"/>
      <c r="BG47" s="2115"/>
      <c r="BH47" s="2115"/>
      <c r="BI47" s="2115"/>
      <c r="BJ47" s="2199"/>
      <c r="BK47" s="2217"/>
      <c r="BL47" s="2120"/>
      <c r="BM47" s="2124"/>
      <c r="BN47" s="2125"/>
      <c r="BO47" s="2106"/>
      <c r="BP47" s="2106"/>
      <c r="BQ47" s="2106"/>
      <c r="BR47" s="2109"/>
      <c r="BS47" s="2167"/>
      <c r="BT47" s="2168"/>
      <c r="BU47" s="2168"/>
      <c r="BV47" s="2168"/>
      <c r="BW47" s="2169"/>
      <c r="BX47" s="2141"/>
      <c r="BY47" s="2196"/>
      <c r="BZ47" s="2188"/>
      <c r="CA47" s="2188"/>
      <c r="CB47" s="2188"/>
      <c r="CC47" s="2199"/>
      <c r="CD47" s="2199"/>
      <c r="CE47" s="2188"/>
      <c r="CF47" s="2115"/>
      <c r="CG47" s="2188"/>
      <c r="CH47" s="2115"/>
      <c r="CI47" s="2227"/>
      <c r="CJ47" s="2228"/>
      <c r="CK47" s="2131"/>
      <c r="CL47" s="2189"/>
      <c r="CM47" s="2120"/>
      <c r="CN47" s="2124"/>
      <c r="CO47" s="2125"/>
      <c r="CP47" s="2106"/>
      <c r="CQ47" s="2106"/>
      <c r="CR47" s="2106"/>
      <c r="CS47" s="2109"/>
      <c r="CT47" s="2176"/>
      <c r="CU47" s="2177"/>
      <c r="CV47" s="2177"/>
      <c r="CW47" s="2177"/>
      <c r="CX47" s="2178"/>
    </row>
    <row r="48" spans="1:102" ht="66" customHeight="1" x14ac:dyDescent="0.3">
      <c r="A48" s="2206"/>
      <c r="B48" s="2206"/>
      <c r="C48" s="2207"/>
      <c r="D48" s="1037">
        <v>42095</v>
      </c>
      <c r="E48" s="2141"/>
      <c r="F48" s="2190" t="str">
        <f>HYPERLINK("https://www.enmax.com/ForYourBusinessSite/Documents/2015-04-01-DT-Rate-Schedule.pdf", "ENMAX April 2015 Distribution Tariff Rate Schedule, Page 3")</f>
        <v>ENMAX April 2015 Distribution Tariff Rate Schedule, Page 3</v>
      </c>
      <c r="G48" s="2190"/>
      <c r="H48" s="2190"/>
      <c r="I48" s="2115" t="str">
        <f>HYPERLINK("https://www.enmax.com/ForYourHomeSite/Documents/2015-Interim-RRO-NonEnergy-Rate-Schedules2012-2014-Rider.pdf", "ENMAX April 2015 Interim Regulated Rate Option Tariff, Page 1")</f>
        <v>ENMAX April 2015 Interim Regulated Rate Option Tariff, Page 1</v>
      </c>
      <c r="J48" s="2195" t="str">
        <f>HYPERLINK("https://www.enmax.com/ForYourBusinessSite/Documents/2015-04-01-DT-Rate-Schedule.pdf", "ENMAX April 2015 Distribution Tariff Rate Schedule, Pages 18 - 20")</f>
        <v>ENMAX April 2015 Distribution Tariff Rate Schedule, Pages 18 - 20</v>
      </c>
      <c r="K48" s="2115"/>
      <c r="L48" s="2115"/>
      <c r="M48" s="2202" t="str">
        <f>HYPERLINK("https://www.enmax.com/ForYourHomeSite/Documents/2015-Interim-RRO-NonEnergy-Rate-Schedules2012-2014-Rider.pdf", "ENMAX April 2015 Interim Regulated Rate Option Tariff, Page 2")</f>
        <v>ENMAX April 2015 Interim Regulated Rate Option Tariff, Page 2</v>
      </c>
      <c r="N48" s="2219" t="str">
        <f>HYPERLINK("https://www.enmax.com/ForYourHomeSite/Documents/2015-Interim-RRO-NonEnergy-Rate-Schedules2012-2014-Rider.pdf", "ENMAX April 2015 Interim Regulated Rate Option Tariff, Page 2")</f>
        <v>ENMAX April 2015 Interim Regulated Rate Option Tariff, Page 2</v>
      </c>
      <c r="O48" s="2120"/>
      <c r="P48" s="2124"/>
      <c r="Q48" s="2125"/>
      <c r="R48" s="2106"/>
      <c r="S48" s="2106"/>
      <c r="T48" s="2106"/>
      <c r="U48" s="2109"/>
      <c r="V48" s="2149"/>
      <c r="W48" s="2150"/>
      <c r="X48" s="2150"/>
      <c r="Y48" s="2150"/>
      <c r="Z48" s="2151"/>
      <c r="AA48" s="2141"/>
      <c r="AB48" s="2246"/>
      <c r="AC48" s="2247"/>
      <c r="AD48" s="2247"/>
      <c r="AE48" s="2188"/>
      <c r="AF48" s="2247"/>
      <c r="AG48" s="2202" t="str">
        <f>HYPERLINK("https://www.epcor.com/products-services/power/rates-tariffs-fees/Documents2/TransmissionChargeDeferralAccountTrueUP(TCDA)-RiderK-2015-04.pdf", "EPCOR April 2015 Rider K Short-Term Adjustment, Page 1")</f>
        <v>EPCOR April 2015 Rider K Short-Term Adjustment, Page 1</v>
      </c>
      <c r="AH48" s="2250"/>
      <c r="AI48" s="2106"/>
      <c r="AJ48" s="2217"/>
      <c r="AK48" s="1574" t="str">
        <f>HYPERLINK("https://www.epcor.com/products-services/power/rates-tariffs-fees/Documents/RegulatedRateTariff-Edmonton-2015-04.pdf", "EPCOR April 2015 Regulated Rate Tariff, Page 2")</f>
        <v>EPCOR April 2015 Regulated Rate Tariff, Page 2</v>
      </c>
      <c r="AL48" s="2120"/>
      <c r="AM48" s="2124"/>
      <c r="AN48" s="2125"/>
      <c r="AO48" s="2106"/>
      <c r="AP48" s="2106"/>
      <c r="AQ48" s="2106"/>
      <c r="AR48" s="2109"/>
      <c r="AS48" s="2158"/>
      <c r="AT48" s="2159"/>
      <c r="AU48" s="2159"/>
      <c r="AV48" s="2159"/>
      <c r="AW48" s="2160"/>
      <c r="AX48" s="2141"/>
      <c r="AY48" s="2195" t="str">
        <f>HYPERLINK("http://fortisalberta.com/docs/default-source/default-document-library/2015-mar-rates-options-riders.pdf?sfvrsn=12", "Fortis Alberta April 2015 Rates, Options, and Riders, Page 2")</f>
        <v>Fortis Alberta April 2015 Rates, Options, and Riders, Page 2</v>
      </c>
      <c r="AZ48" s="2115"/>
      <c r="BA48" s="2115"/>
      <c r="BB48" s="2115"/>
      <c r="BC48" s="2115" t="str">
        <f>HYPERLINK("http://fortisalberta.com/docs/default-source/default-document-library/2015-mar-rates-options-riders.pdf?sfvrsn=12", "Fortis Alberta April 2015 Rates, Options, and Riders, Page 27-29")</f>
        <v>Fortis Alberta April 2015 Rates, Options, and Riders, Page 27-29</v>
      </c>
      <c r="BD48" s="2202" t="str">
        <f>HYPERLINK("http://fortisalberta.com/docs/default-source/default-document-library/2015-mar-rates-options-riders.pdf?sfvrsn=12", "Fortis Alberta April 2015 Rates, Options, and Riders, Page 24-26")</f>
        <v>Fortis Alberta April 2015 Rates, Options, and Riders, Page 24-26</v>
      </c>
      <c r="BE48" s="2115" t="str">
        <f>HYPERLINK("http://fortisalberta.com/docs/default-source/default-document-library/2015-mar-rates-options-riders.pdf?sfvrsn=12", "Fortis Alberta April 2015 Rates, Options, and Riders, Page 30")</f>
        <v>Fortis Alberta April 2015 Rates, Options, and Riders, Page 30</v>
      </c>
      <c r="BF48" s="2115" t="str">
        <f>HYPERLINK("http://fortisalberta.com/docs/default-source/default-document-library/2015-mar-rates-options-riders.pdf?sfvrsn=12", "Fortis Alberta April 2015 Rates, Options, and Riders, Page 31")</f>
        <v>Fortis Alberta April 2015 Rates, Options, and Riders, Page 31</v>
      </c>
      <c r="BG48" s="2115"/>
      <c r="BH48" s="2115" t="str">
        <f>HYPERLINK("http://fortisalberta.com/docs/default-source/default-document-library/2015-mar-rates-options-riders.pdf?sfvrsn=12", "Fortis Alberta April 2015 Rates, Options, and Riders, Page 32")</f>
        <v>Fortis Alberta April 2015 Rates, Options, and Riders, Page 32</v>
      </c>
      <c r="BI48" s="2115"/>
      <c r="BJ48" s="2115" t="str">
        <f>HYPERLINK("http://fortisalberta.com/docs/default-source/default-document-library/2015-mar-rates-options-riders.pdf?sfvrsn=12", "Fortis Alberta April 2015 Rates, Options, and Riders")</f>
        <v>Fortis Alberta April 2015 Rates, Options, and Riders</v>
      </c>
      <c r="BK48" s="2217" t="str">
        <f>HYPERLINK("http://www.auc.ab.ca/regulatory_documents/ProceedingDocuments/2015/20299-D01-2015.pdf", "AUC EPCOR April 2015 Non-Energy Charges Proceeding, Page 3")</f>
        <v>AUC EPCOR April 2015 Non-Energy Charges Proceeding, Page 3</v>
      </c>
      <c r="BL48" s="2120"/>
      <c r="BM48" s="2124"/>
      <c r="BN48" s="2125"/>
      <c r="BO48" s="2106"/>
      <c r="BP48" s="2106"/>
      <c r="BQ48" s="2106"/>
      <c r="BR48" s="2109"/>
      <c r="BS48" s="2167"/>
      <c r="BT48" s="2168"/>
      <c r="BU48" s="2168"/>
      <c r="BV48" s="2168"/>
      <c r="BW48" s="2169"/>
      <c r="BX48" s="2141"/>
      <c r="BY48" s="2196"/>
      <c r="BZ48" s="2188"/>
      <c r="CA48" s="2188"/>
      <c r="CB48" s="2188"/>
      <c r="CC48" s="2217" t="str">
        <f>HYPERLINK("http://www.atcoelectric.com/Rates/tariffs/Documents/2015-04-01%20AE%20Rider%20A.pdf", "ATCO Electric April 2015 Rider A Rate Schedule, Page 2")</f>
        <v>ATCO Electric April 2015 Rider A Rate Schedule, Page 2</v>
      </c>
      <c r="CD48" s="2221"/>
      <c r="CE48" s="2188"/>
      <c r="CF48" s="2115"/>
      <c r="CG48" s="2115" t="str">
        <f>HYPERLINK("http://www.atcoelectric.com/Rates/tariffs/Documents/2015-04-01%20AE%20Rider%20S.pdf", "ATCO Electric April 2015 SAS Deferral Rider S, Page 1")</f>
        <v>ATCO Electric April 2015 SAS Deferral Rider S, Page 1</v>
      </c>
      <c r="CH48" s="2115"/>
      <c r="CI48" s="2227"/>
      <c r="CJ48" s="2228"/>
      <c r="CK48" s="2131"/>
      <c r="CL48" s="1425" t="str">
        <f>HYPERLINK("http://www.directenergyregulatedservices.com/Documents/regulatory/2015/150325%20DERS_Apr_2015%20RRT%20Interim%20Rate%20Schedules.pdf", "Direct Energy Regulated Services April 2015 Interim RRT Rate Schedules , Page 2")</f>
        <v>Direct Energy Regulated Services April 2015 Interim RRT Rate Schedules , Page 2</v>
      </c>
      <c r="CM48" s="2120"/>
      <c r="CN48" s="2124"/>
      <c r="CO48" s="2125"/>
      <c r="CP48" s="2106"/>
      <c r="CQ48" s="2106"/>
      <c r="CR48" s="2106"/>
      <c r="CS48" s="2109"/>
      <c r="CT48" s="2176"/>
      <c r="CU48" s="2177"/>
      <c r="CV48" s="2177"/>
      <c r="CW48" s="2177"/>
      <c r="CX48" s="2178"/>
    </row>
    <row r="49" spans="1:102" ht="51" customHeight="1" x14ac:dyDescent="0.3">
      <c r="A49" s="2206"/>
      <c r="B49" s="2206"/>
      <c r="C49" s="2207"/>
      <c r="D49" s="1037">
        <v>42125</v>
      </c>
      <c r="E49" s="2141"/>
      <c r="F49" s="2191"/>
      <c r="G49" s="2191"/>
      <c r="H49" s="2191"/>
      <c r="I49" s="2115"/>
      <c r="J49" s="2195"/>
      <c r="K49" s="2115"/>
      <c r="L49" s="2115"/>
      <c r="M49" s="2106"/>
      <c r="N49" s="2184"/>
      <c r="O49" s="2120"/>
      <c r="P49" s="2124"/>
      <c r="Q49" s="2125"/>
      <c r="R49" s="2106"/>
      <c r="S49" s="2106"/>
      <c r="T49" s="2106"/>
      <c r="U49" s="2109"/>
      <c r="V49" s="2149"/>
      <c r="W49" s="2150"/>
      <c r="X49" s="2150"/>
      <c r="Y49" s="2150"/>
      <c r="Z49" s="2151"/>
      <c r="AA49" s="2141"/>
      <c r="AB49" s="2246"/>
      <c r="AC49" s="2247"/>
      <c r="AD49" s="2247"/>
      <c r="AE49" s="2188"/>
      <c r="AF49" s="2247"/>
      <c r="AG49" s="2251"/>
      <c r="AH49" s="2250"/>
      <c r="AI49" s="2106"/>
      <c r="AJ49" s="2217"/>
      <c r="AK49" s="1574" t="str">
        <f>HYPERLINK("https://www.epcor.com/products-services/power/rates-tariffs-fees/Documents/RegulatedRateTariff-Edmonton-2015-05.pdf", "EPCOR May 2015 Regulated Rate Tariff, Page 2")</f>
        <v>EPCOR May 2015 Regulated Rate Tariff, Page 2</v>
      </c>
      <c r="AL49" s="2120"/>
      <c r="AM49" s="2124"/>
      <c r="AN49" s="2125"/>
      <c r="AO49" s="2106"/>
      <c r="AP49" s="2106"/>
      <c r="AQ49" s="2106"/>
      <c r="AR49" s="2109"/>
      <c r="AS49" s="2158"/>
      <c r="AT49" s="2159"/>
      <c r="AU49" s="2159"/>
      <c r="AV49" s="2159"/>
      <c r="AW49" s="2160"/>
      <c r="AX49" s="2141"/>
      <c r="AY49" s="2195"/>
      <c r="AZ49" s="2115"/>
      <c r="BA49" s="2115"/>
      <c r="BB49" s="2115"/>
      <c r="BC49" s="2199"/>
      <c r="BD49" s="2106"/>
      <c r="BE49" s="2199"/>
      <c r="BF49" s="2115"/>
      <c r="BG49" s="2115"/>
      <c r="BH49" s="2115"/>
      <c r="BI49" s="2115"/>
      <c r="BJ49" s="2199"/>
      <c r="BK49" s="2217"/>
      <c r="BL49" s="2120"/>
      <c r="BM49" s="2124"/>
      <c r="BN49" s="2125"/>
      <c r="BO49" s="2106"/>
      <c r="BP49" s="2106"/>
      <c r="BQ49" s="2106"/>
      <c r="BR49" s="2109"/>
      <c r="BS49" s="2167"/>
      <c r="BT49" s="2168"/>
      <c r="BU49" s="2168"/>
      <c r="BV49" s="2168"/>
      <c r="BW49" s="2169"/>
      <c r="BX49" s="2141"/>
      <c r="BY49" s="2196"/>
      <c r="BZ49" s="2188"/>
      <c r="CA49" s="2188"/>
      <c r="CB49" s="2188"/>
      <c r="CC49" s="2217" t="str">
        <f>HYPERLINK("http://www.atcoelectric.com/Rates/tariffs/Documents/2015_05_01_AE_RiderA.pdf", "ATCO Electric May 2015 Rider A Rate Schedule, Page 2")</f>
        <v>ATCO Electric May 2015 Rider A Rate Schedule, Page 2</v>
      </c>
      <c r="CD49" s="2221"/>
      <c r="CE49" s="2188"/>
      <c r="CF49" s="2115"/>
      <c r="CG49" s="2188"/>
      <c r="CH49" s="2115"/>
      <c r="CI49" s="2227"/>
      <c r="CJ49" s="2228"/>
      <c r="CK49" s="2131"/>
      <c r="CL49" s="2135" t="str">
        <f>HYPERLINK("http://www.directenergyregulatedservices.com/Documents/regulatory/2015/150424%20DERS_May_2015%20RRT%20Interim%20Rate%20Schedules.pdf", "Direct Energy Regulated Services May 2015 Interim RRT Rate Schedules , Page 2")</f>
        <v>Direct Energy Regulated Services May 2015 Interim RRT Rate Schedules , Page 2</v>
      </c>
      <c r="CM49" s="2120"/>
      <c r="CN49" s="2124"/>
      <c r="CO49" s="2125"/>
      <c r="CP49" s="2106"/>
      <c r="CQ49" s="2106"/>
      <c r="CR49" s="2106"/>
      <c r="CS49" s="2109"/>
      <c r="CT49" s="2176"/>
      <c r="CU49" s="2177"/>
      <c r="CV49" s="2177"/>
      <c r="CW49" s="2177"/>
      <c r="CX49" s="2178"/>
    </row>
    <row r="50" spans="1:102" ht="50.25" customHeight="1" x14ac:dyDescent="0.3">
      <c r="A50" s="2206"/>
      <c r="B50" s="2206"/>
      <c r="C50" s="2207"/>
      <c r="D50" s="1037">
        <v>42156</v>
      </c>
      <c r="E50" s="2141"/>
      <c r="F50" s="2192"/>
      <c r="G50" s="2192"/>
      <c r="H50" s="2192"/>
      <c r="I50" s="2115"/>
      <c r="J50" s="2195"/>
      <c r="K50" s="2115"/>
      <c r="L50" s="2115"/>
      <c r="M50" s="2106"/>
      <c r="N50" s="2184"/>
      <c r="O50" s="2120"/>
      <c r="P50" s="2124"/>
      <c r="Q50" s="2125"/>
      <c r="R50" s="2106"/>
      <c r="S50" s="2106"/>
      <c r="T50" s="2106"/>
      <c r="U50" s="2109"/>
      <c r="V50" s="2149"/>
      <c r="W50" s="2150"/>
      <c r="X50" s="2150"/>
      <c r="Y50" s="2150"/>
      <c r="Z50" s="2151"/>
      <c r="AA50" s="2141"/>
      <c r="AB50" s="2246"/>
      <c r="AC50" s="2247"/>
      <c r="AD50" s="2247"/>
      <c r="AE50" s="2188"/>
      <c r="AF50" s="2247"/>
      <c r="AG50" s="2252"/>
      <c r="AH50" s="2250"/>
      <c r="AI50" s="2106"/>
      <c r="AJ50" s="2217"/>
      <c r="AK50" s="1574" t="str">
        <f>HYPERLINK("https://www.epcor.com/products-services/power/rates-tariffs-fees/Documents/RegulatedRateTariff-Edmonton-2015-06.pdf", "EPCOR June 2015 Regulated Rate Tariff, Page 2")</f>
        <v>EPCOR June 2015 Regulated Rate Tariff, Page 2</v>
      </c>
      <c r="AL50" s="2120"/>
      <c r="AM50" s="2124"/>
      <c r="AN50" s="2125"/>
      <c r="AO50" s="2106"/>
      <c r="AP50" s="2106"/>
      <c r="AQ50" s="2106"/>
      <c r="AR50" s="2109"/>
      <c r="AS50" s="2158"/>
      <c r="AT50" s="2159"/>
      <c r="AU50" s="2159"/>
      <c r="AV50" s="2159"/>
      <c r="AW50" s="2160"/>
      <c r="AX50" s="2141"/>
      <c r="AY50" s="2195"/>
      <c r="AZ50" s="2115"/>
      <c r="BA50" s="2115"/>
      <c r="BB50" s="2115"/>
      <c r="BC50" s="2199"/>
      <c r="BD50" s="2107"/>
      <c r="BE50" s="2199"/>
      <c r="BF50" s="2115"/>
      <c r="BG50" s="2115"/>
      <c r="BH50" s="2115"/>
      <c r="BI50" s="2115"/>
      <c r="BJ50" s="2199"/>
      <c r="BK50" s="2217"/>
      <c r="BL50" s="2120"/>
      <c r="BM50" s="2124"/>
      <c r="BN50" s="2125"/>
      <c r="BO50" s="2106"/>
      <c r="BP50" s="2106"/>
      <c r="BQ50" s="2106"/>
      <c r="BR50" s="2109"/>
      <c r="BS50" s="2167"/>
      <c r="BT50" s="2168"/>
      <c r="BU50" s="2168"/>
      <c r="BV50" s="2168"/>
      <c r="BW50" s="2169"/>
      <c r="BX50" s="2141"/>
      <c r="BY50" s="2196"/>
      <c r="BZ50" s="2188"/>
      <c r="CA50" s="2188"/>
      <c r="CB50" s="2188"/>
      <c r="CC50" s="2115" t="str">
        <f>HYPERLINK("http://www.atcoelectric.com/Rates/tariffs/Documents/2015-Tariffs/old%20files/2015-06-01%20AE%20Rider%20A.pdf", "ATCO Electric June 2015 Rider A Rate Schedule, Page 2")</f>
        <v>ATCO Electric June 2015 Rider A Rate Schedule, Page 2</v>
      </c>
      <c r="CD50" s="2199"/>
      <c r="CE50" s="2188"/>
      <c r="CF50" s="2115"/>
      <c r="CG50" s="2188"/>
      <c r="CH50" s="2115"/>
      <c r="CI50" s="2227"/>
      <c r="CJ50" s="2228"/>
      <c r="CK50" s="2131"/>
      <c r="CL50" s="2189"/>
      <c r="CM50" s="2120"/>
      <c r="CN50" s="2124"/>
      <c r="CO50" s="2125"/>
      <c r="CP50" s="2106"/>
      <c r="CQ50" s="2106"/>
      <c r="CR50" s="2106"/>
      <c r="CS50" s="2109"/>
      <c r="CT50" s="2176"/>
      <c r="CU50" s="2177"/>
      <c r="CV50" s="2177"/>
      <c r="CW50" s="2177"/>
      <c r="CX50" s="2178"/>
    </row>
    <row r="51" spans="1:102" ht="60.75" customHeight="1" x14ac:dyDescent="0.3">
      <c r="A51" s="2206"/>
      <c r="B51" s="2206"/>
      <c r="C51" s="2207"/>
      <c r="D51" s="1037">
        <v>42186</v>
      </c>
      <c r="E51" s="2141"/>
      <c r="F51" s="2190" t="str">
        <f>HYPERLINK("https://www.enmax.com/ForYourBusinessSite/Documents/2015-07-01%20DT%20Rate%20Schedule.pdf", "ENMAXJuly 2015 Distribution Tariff Rate Schedule, Page 3")</f>
        <v>ENMAXJuly 2015 Distribution Tariff Rate Schedule, Page 3</v>
      </c>
      <c r="G51" s="2190"/>
      <c r="H51" s="2190"/>
      <c r="I51" s="2115"/>
      <c r="J51" s="2195" t="str">
        <f>HYPERLINK("https://www.enmax.com/ForYourBusinessSite/Documents/2015-07-01%20DT%20Rate%20Schedule.pdf", "ENMAXJuly 2015 Distribution Tariff Rate Schedule, Pages 18 - 20")</f>
        <v>ENMAXJuly 2015 Distribution Tariff Rate Schedule, Pages 18 - 20</v>
      </c>
      <c r="K51" s="2115"/>
      <c r="L51" s="2115"/>
      <c r="M51" s="2106"/>
      <c r="N51" s="2184"/>
      <c r="O51" s="2120"/>
      <c r="P51" s="2124"/>
      <c r="Q51" s="2125"/>
      <c r="R51" s="2106"/>
      <c r="S51" s="2106"/>
      <c r="T51" s="2106"/>
      <c r="U51" s="2109"/>
      <c r="V51" s="2149"/>
      <c r="W51" s="2150"/>
      <c r="X51" s="2150"/>
      <c r="Y51" s="2150"/>
      <c r="Z51" s="2151"/>
      <c r="AA51" s="2141"/>
      <c r="AB51" s="2246"/>
      <c r="AC51" s="2247"/>
      <c r="AD51" s="2247"/>
      <c r="AE51" s="2188"/>
      <c r="AF51" s="2247"/>
      <c r="AG51" s="2202" t="str">
        <f>HYPERLINK("https://www.epcor.com/products-services/power/rates-tariffs-fees/Documents2/TransmissionChargeDeferralAccountTrueUP(TCDA)-RiderK-2015-07.pdf", "EPCOR July 2015 Rider K Short-Term Adjustment, Page 1")</f>
        <v>EPCOR July 2015 Rider K Short-Term Adjustment, Page 1</v>
      </c>
      <c r="AH51" s="2250"/>
      <c r="AI51" s="2106"/>
      <c r="AJ51" s="2217"/>
      <c r="AK51" s="1574" t="str">
        <f>HYPERLINK("https://www.epcor.com/products-services/power/rates-tariffs-fees/Documents/RegulatedRateTariff-Edmonton-2015-07.pdf", "EPCOR July 2015 Regulated Rate Tariff, Page 2")</f>
        <v>EPCOR July 2015 Regulated Rate Tariff, Page 2</v>
      </c>
      <c r="AL51" s="2120"/>
      <c r="AM51" s="2124"/>
      <c r="AN51" s="2125"/>
      <c r="AO51" s="2106"/>
      <c r="AP51" s="2106"/>
      <c r="AQ51" s="2106"/>
      <c r="AR51" s="2109"/>
      <c r="AS51" s="2158"/>
      <c r="AT51" s="2159"/>
      <c r="AU51" s="2159"/>
      <c r="AV51" s="2159"/>
      <c r="AW51" s="2160"/>
      <c r="AX51" s="2141"/>
      <c r="AY51" s="2195" t="str">
        <f>HYPERLINK("http://fortisalberta.com/docs/default-source/default-document-library/2015-jul-rates-options-riders.pdf?sfvrsn=10", "Fortis Alberta July 2015 Rates, Options, and Riders, Page 2")</f>
        <v>Fortis Alberta July 2015 Rates, Options, and Riders, Page 2</v>
      </c>
      <c r="AZ51" s="2115"/>
      <c r="BA51" s="2115"/>
      <c r="BB51" s="2115"/>
      <c r="BC51" s="2202" t="str">
        <f>HYPERLINK("http://fortisalberta.com/docs/default-source/default-document-library/2015-jul-rates-options-riders.pdf?sfvrsn=10", "Fortis Alberta July 2015 Rates, Options, and Riders, Page 27-29")</f>
        <v>Fortis Alberta July 2015 Rates, Options, and Riders, Page 27-29</v>
      </c>
      <c r="BD51" s="2202" t="str">
        <f>HYPERLINK("http://fortisalberta.com/docs/default-source/default-document-library/2015-jul-rates-options-riders.pdf?sfvrsn=10", "Fortis Alberta July 2015 Rates, Options, and Riders, Page 24-26")</f>
        <v>Fortis Alberta July 2015 Rates, Options, and Riders, Page 24-26</v>
      </c>
      <c r="BE51" s="2202" t="str">
        <f>HYPERLINK("http://fortisalberta.com/docs/default-source/default-document-library/2015-jul-rates-options-riders.pdf?sfvrsn=10", "Fortis Alberta July 2015 Rates, Options, and Riders, Page 30")</f>
        <v>Fortis Alberta July 2015 Rates, Options, and Riders, Page 30</v>
      </c>
      <c r="BF51" s="2115" t="str">
        <f>HYPERLINK("http://fortisalberta.com/docs/default-source/default-document-library/2015-jul-rates-options-riders.pdf?sfvrsn=10", "Fortis Alberta July 2015 Rates, Options, and Riders, Page 31")</f>
        <v>Fortis Alberta July 2015 Rates, Options, and Riders, Page 31</v>
      </c>
      <c r="BG51" s="2115"/>
      <c r="BH51" s="2115" t="str">
        <f>HYPERLINK("http://fortisalberta.com/docs/default-source/default-document-library/2015-oct-rates-options-riders-schedules.pdf?sfvrsn=12", "Fortis Alberta October 2015 Rates, Options, and Riders, Page 32")</f>
        <v>Fortis Alberta October 2015 Rates, Options, and Riders, Page 32</v>
      </c>
      <c r="BI51" s="2115"/>
      <c r="BJ51" s="2202" t="str">
        <f>HYPERLINK("http://fortisalberta.com/docs/default-source/default-document-library/2015-jul-rates-options-riders.pdf?sfvrsn=10", "Fortis Alberta July 2015 Rates, Options, and Riders")</f>
        <v>Fortis Alberta July 2015 Rates, Options, and Riders</v>
      </c>
      <c r="BK51" s="2217" t="str">
        <f>HYPERLINK("http://www.auc.ab.ca/applications/decisions/Decisions/2015/20567-D01-2015.pdf", "AUC EPCOR July 2015 Non-Energy Charges Proceeding, Page 3")</f>
        <v>AUC EPCOR July 2015 Non-Energy Charges Proceeding, Page 3</v>
      </c>
      <c r="BL51" s="2120"/>
      <c r="BM51" s="2124"/>
      <c r="BN51" s="2125"/>
      <c r="BO51" s="2106"/>
      <c r="BP51" s="2106"/>
      <c r="BQ51" s="2106"/>
      <c r="BR51" s="2109"/>
      <c r="BS51" s="2167"/>
      <c r="BT51" s="2168"/>
      <c r="BU51" s="2168"/>
      <c r="BV51" s="2168"/>
      <c r="BW51" s="2169"/>
      <c r="BX51" s="2141"/>
      <c r="BY51" s="2196"/>
      <c r="BZ51" s="2188"/>
      <c r="CA51" s="2188"/>
      <c r="CB51" s="2188"/>
      <c r="CC51" s="2199"/>
      <c r="CD51" s="2199"/>
      <c r="CE51" s="2188"/>
      <c r="CF51" s="2115"/>
      <c r="CG51" s="2115" t="str">
        <f>HYPERLINK("http://www.atcoelectric.com/Rates/tariffs/Documents/2015-Tariffs/old%20files/2015-07-01%20AE%20Rider%20S.pdf", "ATCO Electric July 2015 SAS Deferral Rider S, Page 1")</f>
        <v>ATCO Electric July 2015 SAS Deferral Rider S, Page 1</v>
      </c>
      <c r="CH51" s="2115"/>
      <c r="CI51" s="2227"/>
      <c r="CJ51" s="2228"/>
      <c r="CK51" s="2131"/>
      <c r="CL51" s="1425" t="str">
        <f>HYPERLINK("http://www.directenergyregulatedservices.com/Documents/regulatory/2015/150624%20DERS_Jul_2015%20RRT%20Interim%20Rate%20Schedules.pdf", "Direct Energy Regulated Services July 2015 Interim RRT Rate Schedules, Page 2")</f>
        <v>Direct Energy Regulated Services July 2015 Interim RRT Rate Schedules, Page 2</v>
      </c>
      <c r="CM51" s="2120"/>
      <c r="CN51" s="2124"/>
      <c r="CO51" s="2125"/>
      <c r="CP51" s="2106"/>
      <c r="CQ51" s="2106"/>
      <c r="CR51" s="2106"/>
      <c r="CS51" s="2109"/>
      <c r="CT51" s="2176"/>
      <c r="CU51" s="2177"/>
      <c r="CV51" s="2177"/>
      <c r="CW51" s="2177"/>
      <c r="CX51" s="2178"/>
    </row>
    <row r="52" spans="1:102" ht="63" customHeight="1" x14ac:dyDescent="0.3">
      <c r="A52" s="2206"/>
      <c r="B52" s="2206"/>
      <c r="C52" s="2207"/>
      <c r="D52" s="1037">
        <v>42217</v>
      </c>
      <c r="E52" s="2141"/>
      <c r="F52" s="2192"/>
      <c r="G52" s="2192"/>
      <c r="H52" s="2192"/>
      <c r="I52" s="2115"/>
      <c r="J52" s="2195"/>
      <c r="K52" s="2115"/>
      <c r="L52" s="2115"/>
      <c r="M52" s="2106"/>
      <c r="N52" s="2184"/>
      <c r="O52" s="2120"/>
      <c r="P52" s="2124"/>
      <c r="Q52" s="2125"/>
      <c r="R52" s="2106"/>
      <c r="S52" s="2106"/>
      <c r="T52" s="2106"/>
      <c r="U52" s="2109"/>
      <c r="V52" s="2149"/>
      <c r="W52" s="2150"/>
      <c r="X52" s="2150"/>
      <c r="Y52" s="2150"/>
      <c r="Z52" s="2151"/>
      <c r="AA52" s="2141"/>
      <c r="AB52" s="2246"/>
      <c r="AC52" s="2247"/>
      <c r="AD52" s="2247"/>
      <c r="AE52" s="2188"/>
      <c r="AF52" s="2247"/>
      <c r="AG52" s="2106"/>
      <c r="AH52" s="2250"/>
      <c r="AI52" s="2106"/>
      <c r="AJ52" s="2217"/>
      <c r="AK52" s="1574" t="str">
        <f>HYPERLINK("https://www.epcor.com/products-services/power/rates-tariffs-fees/Documents/RegulatedRateTariff-Edmonton-2015-08.pdf", "EPCOR August 2015 Regulated Rate Tariff, Page 2")</f>
        <v>EPCOR August 2015 Regulated Rate Tariff, Page 2</v>
      </c>
      <c r="AL52" s="2120"/>
      <c r="AM52" s="2124"/>
      <c r="AN52" s="2125"/>
      <c r="AO52" s="2106"/>
      <c r="AP52" s="2106"/>
      <c r="AQ52" s="2106"/>
      <c r="AR52" s="2109"/>
      <c r="AS52" s="2158"/>
      <c r="AT52" s="2159"/>
      <c r="AU52" s="2159"/>
      <c r="AV52" s="2159"/>
      <c r="AW52" s="2160"/>
      <c r="AX52" s="2141"/>
      <c r="AY52" s="2195"/>
      <c r="AZ52" s="2115"/>
      <c r="BA52" s="2115"/>
      <c r="BB52" s="2115"/>
      <c r="BC52" s="2248"/>
      <c r="BD52" s="2248"/>
      <c r="BE52" s="2248"/>
      <c r="BF52" s="2115"/>
      <c r="BG52" s="2115"/>
      <c r="BH52" s="2115"/>
      <c r="BI52" s="2115"/>
      <c r="BJ52" s="2248"/>
      <c r="BK52" s="2236"/>
      <c r="BL52" s="2120"/>
      <c r="BM52" s="2124"/>
      <c r="BN52" s="2125"/>
      <c r="BO52" s="2106"/>
      <c r="BP52" s="2106"/>
      <c r="BQ52" s="2106"/>
      <c r="BR52" s="2109"/>
      <c r="BS52" s="2167"/>
      <c r="BT52" s="2168"/>
      <c r="BU52" s="2168"/>
      <c r="BV52" s="2168"/>
      <c r="BW52" s="2169"/>
      <c r="BX52" s="2141"/>
      <c r="BY52" s="2196"/>
      <c r="BZ52" s="2188"/>
      <c r="CA52" s="2188"/>
      <c r="CB52" s="2188"/>
      <c r="CC52" s="2115" t="str">
        <f>HYPERLINK("http://www.atcoelectric.com/Rates/tariffs/Documents/2015-Tariffs/old%20files/2015-08-01%20AE%20Rider%20A.pdf", "ATCO Electric August 2015 Rider A Rate Schedule, Page 2")</f>
        <v>ATCO Electric August 2015 Rider A Rate Schedule, Page 2</v>
      </c>
      <c r="CD52" s="2199"/>
      <c r="CE52" s="2188"/>
      <c r="CF52" s="2115"/>
      <c r="CG52" s="2188"/>
      <c r="CH52" s="2115"/>
      <c r="CI52" s="2227"/>
      <c r="CJ52" s="2228"/>
      <c r="CK52" s="2131"/>
      <c r="CL52" s="1425" t="str">
        <f>HYPERLINK("http://www.directenergyregulatedservices.com/Documents/regulatory/2015/150727%20DERS_Aug_2015%20RRT%20Interim%20Rate%20Schedules.pdf", "Direct Energy Regulated Services August 2015 Interim RRT Rate Schedules, Page 2")</f>
        <v>Direct Energy Regulated Services August 2015 Interim RRT Rate Schedules, Page 2</v>
      </c>
      <c r="CM52" s="2120"/>
      <c r="CN52" s="2124"/>
      <c r="CO52" s="2125"/>
      <c r="CP52" s="2106"/>
      <c r="CQ52" s="2106"/>
      <c r="CR52" s="2106"/>
      <c r="CS52" s="2109"/>
      <c r="CT52" s="2176"/>
      <c r="CU52" s="2177"/>
      <c r="CV52" s="2177"/>
      <c r="CW52" s="2177"/>
      <c r="CX52" s="2178"/>
    </row>
    <row r="53" spans="1:102" ht="66" customHeight="1" x14ac:dyDescent="0.3">
      <c r="A53" s="2206"/>
      <c r="B53" s="2206"/>
      <c r="C53" s="2207"/>
      <c r="D53" s="1037">
        <v>42248</v>
      </c>
      <c r="E53" s="2141"/>
      <c r="F53" s="2195" t="str">
        <f>HYPERLINK("https://www.enmax.com/ForYourBusinessSite/Documents/2015-09-01%20DT%20Rate%20Schedule.pdf", "ENMAX September 2015 Distribution Tariff Rate Schedule, Page 3")</f>
        <v>ENMAX September 2015 Distribution Tariff Rate Schedule, Page 3</v>
      </c>
      <c r="G53" s="2115"/>
      <c r="H53" s="2217"/>
      <c r="I53" s="2115"/>
      <c r="J53" s="2195" t="str">
        <f>HYPERLINK("https://www.enmax.com/ForYourBusinessSite/Documents/2015-09-01%20DT%20Rate%20Schedule.pdf", "ENMAX September 2015 Distribution Tariff Rate Schedule, Page 19 - 21")</f>
        <v>ENMAX September 2015 Distribution Tariff Rate Schedule, Page 19 - 21</v>
      </c>
      <c r="K53" s="2115"/>
      <c r="L53" s="2115"/>
      <c r="M53" s="2106"/>
      <c r="N53" s="2184"/>
      <c r="O53" s="2120"/>
      <c r="P53" s="2124"/>
      <c r="Q53" s="2125"/>
      <c r="R53" s="2106"/>
      <c r="S53" s="2106"/>
      <c r="T53" s="2106"/>
      <c r="U53" s="2109"/>
      <c r="V53" s="2149"/>
      <c r="W53" s="2150"/>
      <c r="X53" s="2150"/>
      <c r="Y53" s="2150"/>
      <c r="Z53" s="2151"/>
      <c r="AA53" s="2141"/>
      <c r="AB53" s="2246"/>
      <c r="AC53" s="2247"/>
      <c r="AD53" s="2247"/>
      <c r="AE53" s="2188"/>
      <c r="AF53" s="2247"/>
      <c r="AG53" s="2107"/>
      <c r="AH53" s="2250"/>
      <c r="AI53" s="2106"/>
      <c r="AJ53" s="2217"/>
      <c r="AK53" s="1574" t="str">
        <f>HYPERLINK("https://www.epcor.com/products-services/power/rates-tariffs-fees/Documents/RegulatedRateTariff-Edmonton-2015-09.pdf", "EPCOR September 2015 Regulated Rate Tariff, Page 2")</f>
        <v>EPCOR September 2015 Regulated Rate Tariff, Page 2</v>
      </c>
      <c r="AL53" s="2120"/>
      <c r="AM53" s="2124"/>
      <c r="AN53" s="2125"/>
      <c r="AO53" s="2106"/>
      <c r="AP53" s="2106"/>
      <c r="AQ53" s="2106"/>
      <c r="AR53" s="2109"/>
      <c r="AS53" s="2158"/>
      <c r="AT53" s="2159"/>
      <c r="AU53" s="2159"/>
      <c r="AV53" s="2159"/>
      <c r="AW53" s="2160"/>
      <c r="AX53" s="2141"/>
      <c r="AY53" s="2195"/>
      <c r="AZ53" s="2115"/>
      <c r="BA53" s="2115"/>
      <c r="BB53" s="2115"/>
      <c r="BC53" s="2249"/>
      <c r="BD53" s="2249"/>
      <c r="BE53" s="2249"/>
      <c r="BF53" s="2115"/>
      <c r="BG53" s="2115"/>
      <c r="BH53" s="2115"/>
      <c r="BI53" s="2115"/>
      <c r="BJ53" s="2249"/>
      <c r="BK53" s="2236"/>
      <c r="BL53" s="2120"/>
      <c r="BM53" s="2124"/>
      <c r="BN53" s="2125"/>
      <c r="BO53" s="2106"/>
      <c r="BP53" s="2106"/>
      <c r="BQ53" s="2106"/>
      <c r="BR53" s="2109"/>
      <c r="BS53" s="2167"/>
      <c r="BT53" s="2168"/>
      <c r="BU53" s="2168"/>
      <c r="BV53" s="2168"/>
      <c r="BW53" s="2169"/>
      <c r="BX53" s="2141"/>
      <c r="BY53" s="2338" t="str">
        <f>HYPERLINK("http://www.atcoelectric.com/Rates/tariffs/Documents/2015-Tariffs/20150901_AEPriceSchedules.pdf", "ATCO Electric September 2015 Price Schedule Index, Page 2")</f>
        <v>ATCO Electric September 2015 Price Schedule Index, Page 2</v>
      </c>
      <c r="BZ53" s="2382"/>
      <c r="CA53" s="2382"/>
      <c r="CB53" s="2382"/>
      <c r="CC53" s="2115" t="str">
        <f>HYPERLINK("http://www.atcoelectric.com/Rates/tariffs/Documents/2015-Tariffs/20150901_AEPriceSchedules.pdf", "ATCO Electric September 2015 Price Schedule Index, Page 44")</f>
        <v>ATCO Electric September 2015 Price Schedule Index, Page 44</v>
      </c>
      <c r="CD53" s="2199"/>
      <c r="CE53" s="2115" t="str">
        <f>HYPERLINK("http://www.atcoelectric.com/Rates/tariffs/Documents/2015-Tariffs/20150901_AEPriceSchedules.pdf", "ATCO Electric September 2015 Price Schedule Index, Page 45")</f>
        <v>ATCO Electric September 2015 Price Schedule Index, Page 45</v>
      </c>
      <c r="CF53" s="1407" t="str">
        <f>HYPERLINK("http://www.atcoelectric.com/Rates/tariffs/Documents/2015-Tariffs/20150901_AEPriceSchedules.pdf", "ATCO Electric September 2015 Price Schedule Index, Page 47")</f>
        <v>ATCO Electric September 2015 Price Schedule Index, Page 47</v>
      </c>
      <c r="CG53" s="2188"/>
      <c r="CH53" s="2115" t="str">
        <f>HYPERLINK("http://www.atcoelectric.com/Rates/tariffs/Documents/2015-Tariffs/20150901_AEPriceSchedules.pdf", "ATCO Electric September 2015 Price Schedule Index, Page 48")</f>
        <v>ATCO Electric September 2015 Price Schedule Index, Page 48</v>
      </c>
      <c r="CI53" s="2227"/>
      <c r="CJ53" s="2228"/>
      <c r="CK53" s="2131"/>
      <c r="CL53" s="1425" t="str">
        <f>HYPERLINK("http://www.directenergyregulatedservices.com/Documents/regulatory/2015/150825%20DERS_Sep_2015%20RRT%20Interim%20Rate%20Schedules.pdf", "Direct Energy Regulated Services September 2015 Interim RRT Rate Schedules, Page 2")</f>
        <v>Direct Energy Regulated Services September 2015 Interim RRT Rate Schedules, Page 2</v>
      </c>
      <c r="CM53" s="2120"/>
      <c r="CN53" s="2124"/>
      <c r="CO53" s="2125"/>
      <c r="CP53" s="2106"/>
      <c r="CQ53" s="2106"/>
      <c r="CR53" s="2106"/>
      <c r="CS53" s="2109"/>
      <c r="CT53" s="2176"/>
      <c r="CU53" s="2177"/>
      <c r="CV53" s="2177"/>
      <c r="CW53" s="2177"/>
      <c r="CX53" s="2178"/>
    </row>
    <row r="54" spans="1:102" ht="64.5" customHeight="1" x14ac:dyDescent="0.3">
      <c r="A54" s="2206"/>
      <c r="B54" s="2206"/>
      <c r="C54" s="2207"/>
      <c r="D54" s="1037">
        <v>42278</v>
      </c>
      <c r="E54" s="2141"/>
      <c r="F54" s="2190" t="str">
        <f>HYPERLINK("https://www.enmax.com/ForYourHomeSite/Documents/2015-10-01-DT-Rate-Schedule.pdf", "ENMAX October 2015 Distribution Tariff Rate Schedule, Page 3")</f>
        <v>ENMAX October 2015 Distribution Tariff Rate Schedule, Page 3</v>
      </c>
      <c r="G54" s="2190"/>
      <c r="H54" s="2190"/>
      <c r="I54" s="2115"/>
      <c r="J54" s="2195" t="str">
        <f>HYPERLINK("https://www.enmax.com/ForYourHomeSite/Documents/2015-10-01-DT-Rate-Schedule.pdf", "ENMAX October 2015 Distribution Tariff Rate Schedule, Page 19 - 21")</f>
        <v>ENMAX October 2015 Distribution Tariff Rate Schedule, Page 19 - 21</v>
      </c>
      <c r="K54" s="2115"/>
      <c r="L54" s="2115"/>
      <c r="M54" s="2106"/>
      <c r="N54" s="2184"/>
      <c r="O54" s="2120"/>
      <c r="P54" s="2124"/>
      <c r="Q54" s="2125"/>
      <c r="R54" s="2106"/>
      <c r="S54" s="2106"/>
      <c r="T54" s="2106"/>
      <c r="U54" s="2109"/>
      <c r="V54" s="2149"/>
      <c r="W54" s="2150"/>
      <c r="X54" s="2150"/>
      <c r="Y54" s="2150"/>
      <c r="Z54" s="2151"/>
      <c r="AA54" s="2141"/>
      <c r="AB54" s="2246"/>
      <c r="AC54" s="2247"/>
      <c r="AD54" s="2247"/>
      <c r="AE54" s="2188"/>
      <c r="AF54" s="2247"/>
      <c r="AG54" s="2202" t="str">
        <f>HYPERLINK("https://www.epcor.com/products-services/power/rates-tariffs-fees/Documents2/TransmissionChargeDeferralAccountTrueUP(TCDA)-RiderK-2015-10.pdf", "EPCOR October 2015 Rider K Short-Term Adjustment, Page 1")</f>
        <v>EPCOR October 2015 Rider K Short-Term Adjustment, Page 1</v>
      </c>
      <c r="AH54" s="2250"/>
      <c r="AI54" s="2106"/>
      <c r="AJ54" s="2217"/>
      <c r="AK54" s="1574" t="str">
        <f>HYPERLINK("https://www.epcor.com/products-services/power/rates-tariffs-fees/Documents/RegulatedRateTariff-Edmonton-2015-10.pdf", "EPCOR October 2015 Regulated Rate Tariff, Page 2")</f>
        <v>EPCOR October 2015 Regulated Rate Tariff, Page 2</v>
      </c>
      <c r="AL54" s="2120"/>
      <c r="AM54" s="2124"/>
      <c r="AN54" s="2125"/>
      <c r="AO54" s="2106"/>
      <c r="AP54" s="2106"/>
      <c r="AQ54" s="2106"/>
      <c r="AR54" s="2109"/>
      <c r="AS54" s="2158"/>
      <c r="AT54" s="2159"/>
      <c r="AU54" s="2159"/>
      <c r="AV54" s="2159"/>
      <c r="AW54" s="2160"/>
      <c r="AX54" s="2141"/>
      <c r="AY54" s="2195" t="str">
        <f>HYPERLINK("http://fortisalberta.com/docs/default-source/default-document-library/2015-oct-rates-options-riders-schedules.pdf?sfvrsn=12", "Fortis Alberta October 2015 Rates, Options, and Riders, Page 2")</f>
        <v>Fortis Alberta October 2015 Rates, Options, and Riders, Page 2</v>
      </c>
      <c r="AZ54" s="2115"/>
      <c r="BA54" s="2115"/>
      <c r="BB54" s="2115"/>
      <c r="BC54" s="2202" t="str">
        <f>HYPERLINK("http://fortisalberta.com/docs/default-source/default-document-library/2015-oct-rates-options-riders-schedules.pdf?sfvrsn=12", "Fortis Alberta October 2015 Rates, Options, and Riders, Page 27-29")</f>
        <v>Fortis Alberta October 2015 Rates, Options, and Riders, Page 27-29</v>
      </c>
      <c r="BD54" s="2202" t="str">
        <f>HYPERLINK("http://fortisalberta.com/docs/default-source/default-document-library/2015-oct-rates-options-riders-schedules.pdf?sfvrsn=12", "Fortis Alberta October 2015 Rates, Options, and Riders, Page 24-26")</f>
        <v>Fortis Alberta October 2015 Rates, Options, and Riders, Page 24-26</v>
      </c>
      <c r="BE54" s="2202" t="str">
        <f>HYPERLINK("http://fortisalberta.com/docs/default-source/default-document-library/2015-oct-rates-options-riders-schedules.pdf?sfvrsn=12", "Fortis Alberta October 2015 Rates, Options, and Riders, Page 30")</f>
        <v>Fortis Alberta October 2015 Rates, Options, and Riders, Page 30</v>
      </c>
      <c r="BF54" s="2115" t="str">
        <f>HYPERLINK("http://fortisalberta.com/docs/default-source/default-document-library/2015-oct-rates-options-riders-schedules.pdf?sfvrsn=12", "Fortis Alberta October 2015 Rates, Options, and Riders, Page 31")</f>
        <v>Fortis Alberta October 2015 Rates, Options, and Riders, Page 31</v>
      </c>
      <c r="BG54" s="2115"/>
      <c r="BH54" s="2115"/>
      <c r="BI54" s="2115"/>
      <c r="BJ54" s="2202" t="str">
        <f>HYPERLINK("http://fortisalberta.com/docs/default-source/default-document-library/2015-oct-rates-options-riders-schedules.pdf?sfvrsn=12", "Fortis Alberta October 2015 Rates, Options, and Riders")</f>
        <v>Fortis Alberta October 2015 Rates, Options, and Riders</v>
      </c>
      <c r="BK54" s="2217" t="str">
        <f>HYPERLINK("http://www.auc.ab.ca/regulatory_documents/ProceedingDocuments/2015/20870-D01-2015.pdf", "AUC EPCOR October 2015 Non-Energy Charges Proceeding, Page 2")</f>
        <v>AUC EPCOR October 2015 Non-Energy Charges Proceeding, Page 2</v>
      </c>
      <c r="BL54" s="2120"/>
      <c r="BM54" s="2124"/>
      <c r="BN54" s="2125"/>
      <c r="BO54" s="2106"/>
      <c r="BP54" s="2106"/>
      <c r="BQ54" s="2106"/>
      <c r="BR54" s="2109"/>
      <c r="BS54" s="2167"/>
      <c r="BT54" s="2168"/>
      <c r="BU54" s="2168"/>
      <c r="BV54" s="2168"/>
      <c r="BW54" s="2169"/>
      <c r="BX54" s="2141"/>
      <c r="BY54" s="2383"/>
      <c r="BZ54" s="2382"/>
      <c r="CA54" s="2382"/>
      <c r="CB54" s="2382"/>
      <c r="CC54" s="2199"/>
      <c r="CD54" s="2199"/>
      <c r="CE54" s="2115"/>
      <c r="CF54" s="2115" t="str">
        <f>HYPERLINK("http://www.atcoelectric.com/Rates/tariffs/Documents/2015_10_01_AERiderG.pdf", "ATCO Electric October 2015 Rider G Temporary Adjustment, Page 1")</f>
        <v>ATCO Electric October 2015 Rider G Temporary Adjustment, Page 1</v>
      </c>
      <c r="CG54" s="2115" t="str">
        <f>HYPERLINK("http://www.atcoelectric.com/Rates/tariffs/Documents/2015_10_01_AERiderS.pdf", "ATCO Electric October 2015 SAS Deferral Rider S, Page 1")</f>
        <v>ATCO Electric October 2015 SAS Deferral Rider S, Page 1</v>
      </c>
      <c r="CH54" s="2188"/>
      <c r="CI54" s="2227"/>
      <c r="CJ54" s="2228"/>
      <c r="CK54" s="2131"/>
      <c r="CL54" s="1425" t="str">
        <f>HYPERLINK("http://directenergyregulatedservices.com/Documents/regulatory/2015/150924%20DERS_Oct_2015%20RRT%20Interim%20Rate%20Schedules.pdf", "Direct Energy Regulated Services October 2015 Interim RRT Rate Schedules, Page 2")</f>
        <v>Direct Energy Regulated Services October 2015 Interim RRT Rate Schedules, Page 2</v>
      </c>
      <c r="CM54" s="2120"/>
      <c r="CN54" s="2124"/>
      <c r="CO54" s="2125"/>
      <c r="CP54" s="2106"/>
      <c r="CQ54" s="2106"/>
      <c r="CR54" s="2106"/>
      <c r="CS54" s="2109"/>
      <c r="CT54" s="2176"/>
      <c r="CU54" s="2177"/>
      <c r="CV54" s="2177"/>
      <c r="CW54" s="2177"/>
      <c r="CX54" s="2178"/>
    </row>
    <row r="55" spans="1:102" ht="66" customHeight="1" x14ac:dyDescent="0.3">
      <c r="A55" s="2206"/>
      <c r="B55" s="2206"/>
      <c r="C55" s="2207"/>
      <c r="D55" s="1037">
        <v>42309</v>
      </c>
      <c r="E55" s="2141"/>
      <c r="F55" s="2191"/>
      <c r="G55" s="2191"/>
      <c r="H55" s="2191"/>
      <c r="I55" s="2115"/>
      <c r="J55" s="2195"/>
      <c r="K55" s="2115"/>
      <c r="L55" s="2115"/>
      <c r="M55" s="2106"/>
      <c r="N55" s="2184"/>
      <c r="O55" s="2120"/>
      <c r="P55" s="2124"/>
      <c r="Q55" s="2125"/>
      <c r="R55" s="2106"/>
      <c r="S55" s="2106"/>
      <c r="T55" s="2106"/>
      <c r="U55" s="2109"/>
      <c r="V55" s="2149"/>
      <c r="W55" s="2150"/>
      <c r="X55" s="2150"/>
      <c r="Y55" s="2150"/>
      <c r="Z55" s="2151"/>
      <c r="AA55" s="2141"/>
      <c r="AB55" s="2246"/>
      <c r="AC55" s="2247"/>
      <c r="AD55" s="2247"/>
      <c r="AE55" s="2188"/>
      <c r="AF55" s="2247"/>
      <c r="AG55" s="2106"/>
      <c r="AH55" s="2250"/>
      <c r="AI55" s="2106"/>
      <c r="AJ55" s="2217"/>
      <c r="AK55" s="1574" t="str">
        <f>HYPERLINK("https://www.epcor.com/products-services/power/rates-tariffs-fees/Documents/RegulatedRateTariff-Edmonton-2015-11.pdf", "EPCOR November 2015 Regulated Rate Tariff, Page 2")</f>
        <v>EPCOR November 2015 Regulated Rate Tariff, Page 2</v>
      </c>
      <c r="AL55" s="2120"/>
      <c r="AM55" s="2124"/>
      <c r="AN55" s="2125"/>
      <c r="AO55" s="2106"/>
      <c r="AP55" s="2106"/>
      <c r="AQ55" s="2106"/>
      <c r="AR55" s="2109"/>
      <c r="AS55" s="2158"/>
      <c r="AT55" s="2159"/>
      <c r="AU55" s="2159"/>
      <c r="AV55" s="2159"/>
      <c r="AW55" s="2160"/>
      <c r="AX55" s="2141"/>
      <c r="AY55" s="2195"/>
      <c r="AZ55" s="2115"/>
      <c r="BA55" s="2115"/>
      <c r="BB55" s="2115"/>
      <c r="BC55" s="2248"/>
      <c r="BD55" s="2248"/>
      <c r="BE55" s="2248"/>
      <c r="BF55" s="2115"/>
      <c r="BG55" s="2115"/>
      <c r="BH55" s="2115"/>
      <c r="BI55" s="2115"/>
      <c r="BJ55" s="2248"/>
      <c r="BK55" s="2236"/>
      <c r="BL55" s="2120"/>
      <c r="BM55" s="2124"/>
      <c r="BN55" s="2125"/>
      <c r="BO55" s="2106"/>
      <c r="BP55" s="2106"/>
      <c r="BQ55" s="2106"/>
      <c r="BR55" s="2109"/>
      <c r="BS55" s="2167"/>
      <c r="BT55" s="2168"/>
      <c r="BU55" s="2168"/>
      <c r="BV55" s="2168"/>
      <c r="BW55" s="2169"/>
      <c r="BX55" s="2141"/>
      <c r="BY55" s="2383"/>
      <c r="BZ55" s="2382"/>
      <c r="CA55" s="2382"/>
      <c r="CB55" s="2382"/>
      <c r="CC55" s="2199"/>
      <c r="CD55" s="2199"/>
      <c r="CE55" s="2115"/>
      <c r="CF55" s="2115"/>
      <c r="CG55" s="2188"/>
      <c r="CH55" s="2188"/>
      <c r="CI55" s="2227"/>
      <c r="CJ55" s="2228"/>
      <c r="CK55" s="2131"/>
      <c r="CL55" s="1425" t="str">
        <f>HYPERLINK("http://www.directenergyregulatedservices.com/Documents/regulatory/2015/151026%20DERS_Nov_2015%20RRT%20Interim%20Rate%20Schedules.pdf", "Direct Energy Regulated Services November 2015 Interim RRT Rate Schedules, Page 2")</f>
        <v>Direct Energy Regulated Services November 2015 Interim RRT Rate Schedules, Page 2</v>
      </c>
      <c r="CM55" s="2120"/>
      <c r="CN55" s="2124"/>
      <c r="CO55" s="2125"/>
      <c r="CP55" s="2106"/>
      <c r="CQ55" s="2106"/>
      <c r="CR55" s="2106"/>
      <c r="CS55" s="2109"/>
      <c r="CT55" s="2176"/>
      <c r="CU55" s="2177"/>
      <c r="CV55" s="2177"/>
      <c r="CW55" s="2177"/>
      <c r="CX55" s="2178"/>
    </row>
    <row r="56" spans="1:102" ht="60.75" customHeight="1" x14ac:dyDescent="0.3">
      <c r="A56" s="2208"/>
      <c r="B56" s="2208"/>
      <c r="C56" s="2209"/>
      <c r="D56" s="1102">
        <v>42339</v>
      </c>
      <c r="E56" s="2141"/>
      <c r="F56" s="2192"/>
      <c r="G56" s="2192"/>
      <c r="H56" s="2192"/>
      <c r="I56" s="2115"/>
      <c r="J56" s="2195"/>
      <c r="K56" s="2115"/>
      <c r="L56" s="2115"/>
      <c r="M56" s="2106"/>
      <c r="N56" s="2184"/>
      <c r="O56" s="2120"/>
      <c r="P56" s="2124"/>
      <c r="Q56" s="2125"/>
      <c r="R56" s="2106"/>
      <c r="S56" s="2106"/>
      <c r="T56" s="2106"/>
      <c r="U56" s="2109"/>
      <c r="V56" s="2149"/>
      <c r="W56" s="2150"/>
      <c r="X56" s="2150"/>
      <c r="Y56" s="2150"/>
      <c r="Z56" s="2151"/>
      <c r="AA56" s="2141"/>
      <c r="AB56" s="2246"/>
      <c r="AC56" s="2247"/>
      <c r="AD56" s="2247"/>
      <c r="AE56" s="2188"/>
      <c r="AF56" s="2247"/>
      <c r="AG56" s="2107"/>
      <c r="AH56" s="2250"/>
      <c r="AI56" s="2107"/>
      <c r="AJ56" s="2217"/>
      <c r="AK56" s="1574" t="str">
        <f>HYPERLINK("https://www.epcor.com/products-services/power/rates-tariffs-fees/Documents/RegulatedRateTariff-Edmonton-2015-12.pdf", "EPCOR December 2015 Regulated Rate Tariff, Page 2")</f>
        <v>EPCOR December 2015 Regulated Rate Tariff, Page 2</v>
      </c>
      <c r="AL56" s="2120"/>
      <c r="AM56" s="2124"/>
      <c r="AN56" s="2125"/>
      <c r="AO56" s="2106"/>
      <c r="AP56" s="2106"/>
      <c r="AQ56" s="2106"/>
      <c r="AR56" s="2109"/>
      <c r="AS56" s="2158"/>
      <c r="AT56" s="2159"/>
      <c r="AU56" s="2159"/>
      <c r="AV56" s="2159"/>
      <c r="AW56" s="2160"/>
      <c r="AX56" s="2141"/>
      <c r="AY56" s="2195"/>
      <c r="AZ56" s="2115"/>
      <c r="BA56" s="2115"/>
      <c r="BB56" s="2115"/>
      <c r="BC56" s="2249"/>
      <c r="BD56" s="2249"/>
      <c r="BE56" s="2249"/>
      <c r="BF56" s="2115"/>
      <c r="BG56" s="2115"/>
      <c r="BH56" s="2115"/>
      <c r="BI56" s="2115"/>
      <c r="BJ56" s="2249"/>
      <c r="BK56" s="2236"/>
      <c r="BL56" s="2120"/>
      <c r="BM56" s="2124"/>
      <c r="BN56" s="2125"/>
      <c r="BO56" s="2106"/>
      <c r="BP56" s="2106"/>
      <c r="BQ56" s="2106"/>
      <c r="BR56" s="2109"/>
      <c r="BS56" s="2167"/>
      <c r="BT56" s="2168"/>
      <c r="BU56" s="2168"/>
      <c r="BV56" s="2168"/>
      <c r="BW56" s="2169"/>
      <c r="BX56" s="2141"/>
      <c r="BY56" s="2383"/>
      <c r="BZ56" s="2382"/>
      <c r="CA56" s="2382"/>
      <c r="CB56" s="2382"/>
      <c r="CC56" s="2199"/>
      <c r="CD56" s="2199"/>
      <c r="CE56" s="2115"/>
      <c r="CF56" s="2115"/>
      <c r="CG56" s="2188"/>
      <c r="CH56" s="2188"/>
      <c r="CI56" s="2227"/>
      <c r="CJ56" s="2228"/>
      <c r="CK56" s="2131"/>
      <c r="CL56" s="1425" t="str">
        <f>HYPERLINK("http://www.directenergyregulatedservices.com/Documents/regulatory/2015/151124%20DERS_Dec_2015%20RRT%20Interim%20Rate%20Schedules.pdf", "Direct Energy Regulated Services December 2015 Interim RRT Rate Schedules, Page 2")</f>
        <v>Direct Energy Regulated Services December 2015 Interim RRT Rate Schedules, Page 2</v>
      </c>
      <c r="CM56" s="2120"/>
      <c r="CN56" s="2124"/>
      <c r="CO56" s="2125"/>
      <c r="CP56" s="2106"/>
      <c r="CQ56" s="2106"/>
      <c r="CR56" s="2106"/>
      <c r="CS56" s="2109"/>
      <c r="CT56" s="2176"/>
      <c r="CU56" s="2177"/>
      <c r="CV56" s="2177"/>
      <c r="CW56" s="2177"/>
      <c r="CX56" s="2178"/>
    </row>
    <row r="57" spans="1:102" ht="66.75" customHeight="1" x14ac:dyDescent="0.3">
      <c r="A57" s="2204">
        <v>2016</v>
      </c>
      <c r="B57" s="2204"/>
      <c r="C57" s="2205"/>
      <c r="D57" s="723">
        <v>42370</v>
      </c>
      <c r="E57" s="2141"/>
      <c r="F57" s="2190" t="str">
        <f>HYPERLINK("https://www.enmax.com/ForYourBusinessSite/Documents/2016-01-01%20DT%20Rate%20Schedule.pdf", "ENMAX January 2016 Distribution Tariff Rate Schedule, Page 3")</f>
        <v>ENMAX January 2016 Distribution Tariff Rate Schedule, Page 3</v>
      </c>
      <c r="G57" s="2190"/>
      <c r="H57" s="2190"/>
      <c r="I57" s="2115"/>
      <c r="J57" s="2190" t="str">
        <f>HYPERLINK("https://www.enmax.com/ForYourBusinessSite/Documents/2016-01-01%20DT%20Rate%20Schedule.pdf", "ENMAX January 2016 Distribution Tariff Rate Schedule, Pages 18 - 20")</f>
        <v>ENMAX January 2016 Distribution Tariff Rate Schedule, Pages 18 - 20</v>
      </c>
      <c r="K57" s="2190"/>
      <c r="L57" s="2200"/>
      <c r="M57" s="2106"/>
      <c r="N57" s="2184"/>
      <c r="O57" s="2120"/>
      <c r="P57" s="2124"/>
      <c r="Q57" s="2125"/>
      <c r="R57" s="2106"/>
      <c r="S57" s="2106"/>
      <c r="T57" s="2106"/>
      <c r="U57" s="2109"/>
      <c r="V57" s="2149"/>
      <c r="W57" s="2150"/>
      <c r="X57" s="2150"/>
      <c r="Y57" s="2150"/>
      <c r="Z57" s="2151"/>
      <c r="AA57" s="2141"/>
      <c r="AB57" s="2246" t="str">
        <f>HYPERLINK("https://www.epcor.com/products-services/power/rates-tariffs-fees/Documents2/SystemAccessServiceTariff-2016-11.pdf", "EPCOR January 2016 System Access Service Tariff, Page 3")</f>
        <v>EPCOR January 2016 System Access Service Tariff, Page 3</v>
      </c>
      <c r="AC57" s="2247" t="str">
        <f>HYPERLINK("https://www.epcor.com/products-services/power/rates-tariffs-fees/Documents2/DistributionAccessServiceTariff-2016-11.pdf", "EPCOR January 2016 Distribution Access Service Tariff, Page 3")</f>
        <v>EPCOR January 2016 Distribution Access Service Tariff, Page 3</v>
      </c>
      <c r="AD57" s="2247"/>
      <c r="AE57" s="2115" t="str">
        <f>HYPERLINK("https://www.epcor.com/products-services/power/rates-tariffs-fees/Documents2/LocalAccessFeeChange-2016-01.pdf", "EPCOR January 2016 Local Access Fee Retailer Notice, Page 1")</f>
        <v>EPCOR January 2016 Local Access Fee Retailer Notice, Page 1</v>
      </c>
      <c r="AF57" s="2202" t="str">
        <f>HYPERLINK("https://www.epcor.com/products-services/power/rates-tariffs-fees/Documents2/riderg-2016-01.pdf", "EPCOR January 2016 Rider G Temporary Adjustment, Page 1")</f>
        <v>EPCOR January 2016 Rider G Temporary Adjustment, Page 1</v>
      </c>
      <c r="AG57" s="2200" t="str">
        <f>HYPERLINK("https://www.epcor.com/products-services/power/rates-tariffs-fees/Documents2/riderk-2016-01.pdf", "EPCOR January 2016 Rider K Short-Term Adjustment, Page 1")</f>
        <v>EPCOR January 2016 Rider K Short-Term Adjustment, Page 1</v>
      </c>
      <c r="AH57" s="2202" t="str">
        <f>HYPERLINK("https://www.epcor.com/products-services/power/rates-tariffs-fees/Documents2/riderj-2016-01.pdf", "EPCOR January 2016 Rider J Interim Adjustment, Page 1")</f>
        <v>EPCOR January 2016 Rider J Interim Adjustment, Page 1</v>
      </c>
      <c r="AI57" s="2200" t="str">
        <f>HYPERLINK("https://www.epcor.com/products-services/power/rates-tariffs-fees/Documents2/riderdj-2016-01.pdf", "EPCOR January 2016 Rider DJ Interim Adjustment, Page 1")</f>
        <v>EPCOR January 2016 Rider DJ Interim Adjustment, Page 1</v>
      </c>
      <c r="AJ57" s="2115" t="str">
        <f>HYPERLINK("https://www.epcor.com/products-services/power/rates-tariffs-fees/Documents2/DistributionAccessServiceTariff-2016-11.pdf", "EPCOR January 2016 Distribution Access Service Tariff, Page 23")</f>
        <v>EPCOR January 2016 Distribution Access Service Tariff, Page 23</v>
      </c>
      <c r="AK57" s="1574" t="str">
        <f>HYPERLINK("https://www.epcor.com/products-services/power/rates-tariffs-fees/Documents/RegulatedRateTariff-Edmonton-2016-01.pdf", "EPCOR January 2016 Regulated Rate Tariff, Page 2")</f>
        <v>EPCOR January 2016 Regulated Rate Tariff, Page 2</v>
      </c>
      <c r="AL57" s="2120"/>
      <c r="AM57" s="2124"/>
      <c r="AN57" s="2125"/>
      <c r="AO57" s="2106"/>
      <c r="AP57" s="2106"/>
      <c r="AQ57" s="2106"/>
      <c r="AR57" s="2109"/>
      <c r="AS57" s="2158"/>
      <c r="AT57" s="2159"/>
      <c r="AU57" s="2159"/>
      <c r="AV57" s="2159"/>
      <c r="AW57" s="2160"/>
      <c r="AX57" s="2141"/>
      <c r="AY57" s="2195" t="str">
        <f>HYPERLINK("http://fortisalberta.com/docs/default-source/default-document-library/2016-jan-rates-option-riders-schedules.pdf?sfvrsn=12", "Fortis Alberta January 2016 Rates, Options, and Riders, Page 2")</f>
        <v>Fortis Alberta January 2016 Rates, Options, and Riders, Page 2</v>
      </c>
      <c r="AZ57" s="2115"/>
      <c r="BA57" s="2115"/>
      <c r="BB57" s="2115"/>
      <c r="BC57" s="2202" t="str">
        <f>HYPERLINK("http://fortisalberta.com/docs/default-source/default-document-library/2016-jan-rates-option-riders-schedules.pdf?sfvrsn=12", "Fortis Alberta January 2016 Rates, Options, and Riders, Page 27-29")</f>
        <v>Fortis Alberta January 2016 Rates, Options, and Riders, Page 27-29</v>
      </c>
      <c r="BD57" s="2202" t="str">
        <f>HYPERLINK("http://fortisalberta.com/docs/default-source/default-document-library/2016-jan-rates-option-riders-schedules.pdf?sfvrsn=12", "Fortis Alberta January 2016 Rates, Options, and Riders, Page 24-26")</f>
        <v>Fortis Alberta January 2016 Rates, Options, and Riders, Page 24-26</v>
      </c>
      <c r="BE57" s="2202" t="str">
        <f>HYPERLINK("http://fortisalberta.com/docs/default-source/default-document-library/2016-jan-rates-option-riders-schedules.pdf?sfvrsn=12", "Fortis Alberta January 2016 Rates, Options, and Riders, Page 30")</f>
        <v>Fortis Alberta January 2016 Rates, Options, and Riders, Page 30</v>
      </c>
      <c r="BF57" s="2115" t="str">
        <f>HYPERLINK("http://fortisalberta.com/docs/default-source/default-document-library/2016-jan-rates-option-riders-schedules.pdf?sfvrsn=12", "Fortis Alberta January 2016 Rates, Options, and Riders, Page 31")</f>
        <v>Fortis Alberta January 2016 Rates, Options, and Riders, Page 31</v>
      </c>
      <c r="BG57" s="2115"/>
      <c r="BH57" s="2115" t="str">
        <f>HYPERLINK("http://fortisalberta.com/docs/default-source/default-document-library/2016-jan-rates-option-riders-schedules.pdf?sfvrsn=12", "Fortis Alberta January 2016 Rates, Options, and Riders, Page 32")</f>
        <v>Fortis Alberta January 2016 Rates, Options, and Riders, Page 32</v>
      </c>
      <c r="BI57" s="2115"/>
      <c r="BJ57" s="2202" t="str">
        <f>HYPERLINK("http://fortisalberta.com/docs/default-source/default-document-library/2016-jan-rates-option-riders-schedules.pdf?sfvrsn=12", "Fortis Alberta January 2016 Rates, Options, and Riders")</f>
        <v>Fortis Alberta January 2016 Rates, Options, and Riders</v>
      </c>
      <c r="BK57" s="2217" t="str">
        <f>HYPERLINK("http://www.auc.ab.ca/regulatory_documents/ProceedingDocuments/2015/21188-D01-2015.pdf", "AUC EPCOR January 2016 Non-Energy Charges Proceeding, Page 3")</f>
        <v>AUC EPCOR January 2016 Non-Energy Charges Proceeding, Page 3</v>
      </c>
      <c r="BL57" s="2120"/>
      <c r="BM57" s="2124"/>
      <c r="BN57" s="2125"/>
      <c r="BO57" s="2106"/>
      <c r="BP57" s="2106"/>
      <c r="BQ57" s="2106"/>
      <c r="BR57" s="2109"/>
      <c r="BS57" s="2167"/>
      <c r="BT57" s="2168"/>
      <c r="BU57" s="2168"/>
      <c r="BV57" s="2168"/>
      <c r="BW57" s="2169"/>
      <c r="BX57" s="2141"/>
      <c r="BY57" s="2190" t="str">
        <f>HYPERLINK("http://www.atcoelectric.com/Rates/tariffs/Documents/2016%20Tariffs/2016-01-01%20AE%20Price%20Schedules.pdf", "ATCO Electric January 2016 Price Schedule Index, Page 2")</f>
        <v>ATCO Electric January 2016 Price Schedule Index, Page 2</v>
      </c>
      <c r="BZ57" s="2190"/>
      <c r="CA57" s="2190"/>
      <c r="CB57" s="2200"/>
      <c r="CC57" s="2195" t="str">
        <f>HYPERLINK("http://www.atcoelectric.com/Rates/tariffs/Documents/2016%20Tariffs/2016-01-01%20AE%20Rider%20A.pdf", "ATCO Electric January 2016 Rider A Rate Schedule, Page 2")</f>
        <v>ATCO Electric January 2016 Rider A Rate Schedule, Page 2</v>
      </c>
      <c r="CD57" s="2115"/>
      <c r="CE57" s="2202" t="str">
        <f>HYPERLINK("http://www.atcoelectric.com/Rates/tariffs/Documents/2016%20Tariffs/2016-01-01%20AE%20Price%20Schedules.pdf", "ATCO Electric January 2016 Price Schedule Index, Page 45")</f>
        <v>ATCO Electric January 2016 Price Schedule Index, Page 45</v>
      </c>
      <c r="CF57" s="2115" t="str">
        <f>HYPERLINK("http://www.atcoelectric.com/Rates/tariffs/Documents/2016%20Tariffs/2016-01-01%20AE%20Rider%20G.pdf", "ATCO Electric January 2016 Rider G Temporary Adjustment, Page 1")</f>
        <v>ATCO Electric January 2016 Rider G Temporary Adjustment, Page 1</v>
      </c>
      <c r="CG57" s="2195" t="str">
        <f>HYPERLINK("http://www.atcoelectric.com/Rates/tariffs/Documents/2016%20Tariffs/2016-01-01%20AE%20Rider%20S.pdf", "ATCO Electric January 2016 Rider S - SAS Deferral, Page 1")</f>
        <v>ATCO Electric January 2016 Rider S - SAS Deferral, Page 1</v>
      </c>
      <c r="CH57" s="2115" t="str">
        <f>HYPERLINK("http://www.atcoelectric.com/Rates/tariffs/Documents/2016%20Tariffs/2016-01-01%20AE%20Price%20Schedules.pdf", "ATCO Electric January 2016 Price Schedule Index, Page 48")</f>
        <v>ATCO Electric January 2016 Price Schedule Index, Page 48</v>
      </c>
      <c r="CI57" s="2227"/>
      <c r="CJ57" s="2228"/>
      <c r="CK57" s="2131"/>
      <c r="CL57" s="1425" t="str">
        <f>HYPERLINK("http://www.directenergyregulatedservices.com/Documents/regulatory/2016/151221%20DERS_Jan_2016%20RRT%20Interim%20Rate%20Schedules.pdf", "Direct Energy Regulated Services January 2016 Interim RRT Rate Schedules, Page 2")</f>
        <v>Direct Energy Regulated Services January 2016 Interim RRT Rate Schedules, Page 2</v>
      </c>
      <c r="CM57" s="2120"/>
      <c r="CN57" s="2124"/>
      <c r="CO57" s="2125"/>
      <c r="CP57" s="2106"/>
      <c r="CQ57" s="2106"/>
      <c r="CR57" s="2106"/>
      <c r="CS57" s="2109"/>
      <c r="CT57" s="2176"/>
      <c r="CU57" s="2177"/>
      <c r="CV57" s="2177"/>
      <c r="CW57" s="2177"/>
      <c r="CX57" s="2178"/>
    </row>
    <row r="58" spans="1:102" ht="66" customHeight="1" x14ac:dyDescent="0.3">
      <c r="A58" s="2206"/>
      <c r="B58" s="2206"/>
      <c r="C58" s="2207"/>
      <c r="D58" s="723">
        <v>42401</v>
      </c>
      <c r="E58" s="2141"/>
      <c r="F58" s="2191"/>
      <c r="G58" s="2191"/>
      <c r="H58" s="2191"/>
      <c r="I58" s="2115"/>
      <c r="J58" s="2191"/>
      <c r="K58" s="2191"/>
      <c r="L58" s="2185"/>
      <c r="M58" s="2106"/>
      <c r="N58" s="2184"/>
      <c r="O58" s="2120"/>
      <c r="P58" s="2124"/>
      <c r="Q58" s="2125"/>
      <c r="R58" s="2106"/>
      <c r="S58" s="2106"/>
      <c r="T58" s="2106"/>
      <c r="U58" s="2109"/>
      <c r="V58" s="2149"/>
      <c r="W58" s="2150"/>
      <c r="X58" s="2150"/>
      <c r="Y58" s="2150"/>
      <c r="Z58" s="2151"/>
      <c r="AA58" s="2141"/>
      <c r="AB58" s="2246"/>
      <c r="AC58" s="2247"/>
      <c r="AD58" s="2247"/>
      <c r="AE58" s="2115"/>
      <c r="AF58" s="2106"/>
      <c r="AG58" s="2185"/>
      <c r="AH58" s="2106"/>
      <c r="AI58" s="2185"/>
      <c r="AJ58" s="2115"/>
      <c r="AK58" s="1574" t="str">
        <f>HYPERLINK("https://www.epcor.com/products-services/power/rates-tariffs-fees/Documents/RegulatedRateTariff-Edmonton-2016-02.pdf", "EPCOR February 2016 Regulated Rate Tariff, Page 2")</f>
        <v>EPCOR February 2016 Regulated Rate Tariff, Page 2</v>
      </c>
      <c r="AL58" s="2120"/>
      <c r="AM58" s="2124"/>
      <c r="AN58" s="2125"/>
      <c r="AO58" s="2106"/>
      <c r="AP58" s="2106"/>
      <c r="AQ58" s="2106"/>
      <c r="AR58" s="2109"/>
      <c r="AS58" s="2158"/>
      <c r="AT58" s="2159"/>
      <c r="AU58" s="2159"/>
      <c r="AV58" s="2159"/>
      <c r="AW58" s="2160"/>
      <c r="AX58" s="2141"/>
      <c r="AY58" s="2195"/>
      <c r="AZ58" s="2115"/>
      <c r="BA58" s="2115"/>
      <c r="BB58" s="2115"/>
      <c r="BC58" s="2248"/>
      <c r="BD58" s="2248"/>
      <c r="BE58" s="2248"/>
      <c r="BF58" s="2115"/>
      <c r="BG58" s="2115"/>
      <c r="BH58" s="2115"/>
      <c r="BI58" s="2115"/>
      <c r="BJ58" s="2248"/>
      <c r="BK58" s="2236"/>
      <c r="BL58" s="2120"/>
      <c r="BM58" s="2124"/>
      <c r="BN58" s="2125"/>
      <c r="BO58" s="2106"/>
      <c r="BP58" s="2106"/>
      <c r="BQ58" s="2106"/>
      <c r="BR58" s="2109"/>
      <c r="BS58" s="2167"/>
      <c r="BT58" s="2168"/>
      <c r="BU58" s="2168"/>
      <c r="BV58" s="2168"/>
      <c r="BW58" s="2169"/>
      <c r="BX58" s="2141"/>
      <c r="BY58" s="2191"/>
      <c r="BZ58" s="2191"/>
      <c r="CA58" s="2191"/>
      <c r="CB58" s="2185"/>
      <c r="CC58" s="2195" t="str">
        <f>HYPERLINK("http://www.atcoelectric.com/Rates/tariffs/Documents/2016%20Tariffs/2016-02-01%20AE%20Rider%20A.pdf", "ATCO Electric February 2016 Rider A Rate Schedule, Page 2")</f>
        <v>ATCO Electric February 2016 Rider A Rate Schedule, Page 2</v>
      </c>
      <c r="CD58" s="2115"/>
      <c r="CE58" s="2106"/>
      <c r="CF58" s="2115"/>
      <c r="CG58" s="2196"/>
      <c r="CH58" s="2115"/>
      <c r="CI58" s="2227"/>
      <c r="CJ58" s="2228"/>
      <c r="CK58" s="2131"/>
      <c r="CL58" s="1425" t="str">
        <f>HYPERLINK("http://www.directenergyregulatedservices.com/Documents/regulatory/2016/160125%20DERS_Feb_2016%20RRT%20Interim%20Rate%20Schedules.pdf", "Direct Energy Regulated Services February 2016 Interim RRT Rate Schedules, Page 2")</f>
        <v>Direct Energy Regulated Services February 2016 Interim RRT Rate Schedules, Page 2</v>
      </c>
      <c r="CM58" s="2120"/>
      <c r="CN58" s="2124"/>
      <c r="CO58" s="2125"/>
      <c r="CP58" s="2106"/>
      <c r="CQ58" s="2106"/>
      <c r="CR58" s="2106"/>
      <c r="CS58" s="2109"/>
      <c r="CT58" s="2176"/>
      <c r="CU58" s="2177"/>
      <c r="CV58" s="2177"/>
      <c r="CW58" s="2177"/>
      <c r="CX58" s="2178"/>
    </row>
    <row r="59" spans="1:102" ht="63" customHeight="1" x14ac:dyDescent="0.3">
      <c r="A59" s="2206"/>
      <c r="B59" s="2206"/>
      <c r="C59" s="2207"/>
      <c r="D59" s="1037">
        <v>42430</v>
      </c>
      <c r="E59" s="2141"/>
      <c r="F59" s="2191"/>
      <c r="G59" s="2191"/>
      <c r="H59" s="2191"/>
      <c r="I59" s="2115"/>
      <c r="J59" s="2191"/>
      <c r="K59" s="2191"/>
      <c r="L59" s="2185"/>
      <c r="M59" s="2106"/>
      <c r="N59" s="2184"/>
      <c r="O59" s="2120"/>
      <c r="P59" s="2124"/>
      <c r="Q59" s="2125"/>
      <c r="R59" s="2106"/>
      <c r="S59" s="2106"/>
      <c r="T59" s="2106"/>
      <c r="U59" s="2109"/>
      <c r="V59" s="2149"/>
      <c r="W59" s="2150"/>
      <c r="X59" s="2150"/>
      <c r="Y59" s="2150"/>
      <c r="Z59" s="2151"/>
      <c r="AA59" s="2141"/>
      <c r="AB59" s="2246"/>
      <c r="AC59" s="2247"/>
      <c r="AD59" s="2247"/>
      <c r="AE59" s="2115"/>
      <c r="AF59" s="2106"/>
      <c r="AG59" s="2187"/>
      <c r="AH59" s="2106"/>
      <c r="AI59" s="2187"/>
      <c r="AJ59" s="2115"/>
      <c r="AK59" s="1574" t="str">
        <f>HYPERLINK("https://www.epcor.com/products-services/power/rates-tariffs-fees/Documents/RegulatedRateTariff-Edmonton-2016-03.pdf", "EPCOR March 2016 Regulated Rate Tariff, Page 2")</f>
        <v>EPCOR March 2016 Regulated Rate Tariff, Page 2</v>
      </c>
      <c r="AL59" s="2120"/>
      <c r="AM59" s="2124"/>
      <c r="AN59" s="2125"/>
      <c r="AO59" s="2106"/>
      <c r="AP59" s="2106"/>
      <c r="AQ59" s="2106"/>
      <c r="AR59" s="2109"/>
      <c r="AS59" s="2158"/>
      <c r="AT59" s="2159"/>
      <c r="AU59" s="2159"/>
      <c r="AV59" s="2159"/>
      <c r="AW59" s="2160"/>
      <c r="AX59" s="2141"/>
      <c r="AY59" s="2195"/>
      <c r="AZ59" s="2115"/>
      <c r="BA59" s="2115"/>
      <c r="BB59" s="2115"/>
      <c r="BC59" s="2249"/>
      <c r="BD59" s="2249"/>
      <c r="BE59" s="2249"/>
      <c r="BF59" s="2115"/>
      <c r="BG59" s="2115"/>
      <c r="BH59" s="2115"/>
      <c r="BI59" s="2115"/>
      <c r="BJ59" s="2249"/>
      <c r="BK59" s="2236"/>
      <c r="BL59" s="2120"/>
      <c r="BM59" s="2124"/>
      <c r="BN59" s="2125"/>
      <c r="BO59" s="2106"/>
      <c r="BP59" s="2106"/>
      <c r="BQ59" s="2106"/>
      <c r="BR59" s="2109"/>
      <c r="BS59" s="2167"/>
      <c r="BT59" s="2168"/>
      <c r="BU59" s="2168"/>
      <c r="BV59" s="2168"/>
      <c r="BW59" s="2169"/>
      <c r="BX59" s="2141"/>
      <c r="BY59" s="2191"/>
      <c r="BZ59" s="2191"/>
      <c r="CA59" s="2191"/>
      <c r="CB59" s="2185"/>
      <c r="CC59" s="2195"/>
      <c r="CD59" s="2115"/>
      <c r="CE59" s="2106"/>
      <c r="CF59" s="2115"/>
      <c r="CG59" s="2196"/>
      <c r="CH59" s="2115"/>
      <c r="CI59" s="2227"/>
      <c r="CJ59" s="2228"/>
      <c r="CK59" s="2131"/>
      <c r="CL59" s="1593" t="str">
        <f>HYPERLINK("http://www.directenergyregulatedservices.com/Documents/regulatory/2016/160223%20DERS_March_2016%20RRT%20Interim%20Rate%20Schedules.pdf", "Direct Energy Regulated Services March 2016 Interim RRT Rate Schedules, Page 2")</f>
        <v>Direct Energy Regulated Services March 2016 Interim RRT Rate Schedules, Page 2</v>
      </c>
      <c r="CM59" s="2120"/>
      <c r="CN59" s="2124"/>
      <c r="CO59" s="2125"/>
      <c r="CP59" s="2106"/>
      <c r="CQ59" s="2106"/>
      <c r="CR59" s="2106"/>
      <c r="CS59" s="2109"/>
      <c r="CT59" s="2176"/>
      <c r="CU59" s="2177"/>
      <c r="CV59" s="2177"/>
      <c r="CW59" s="2177"/>
      <c r="CX59" s="2178"/>
    </row>
    <row r="60" spans="1:102" ht="64.5" customHeight="1" x14ac:dyDescent="0.3">
      <c r="A60" s="2206"/>
      <c r="B60" s="2206"/>
      <c r="C60" s="2207"/>
      <c r="D60" s="1037">
        <v>42461</v>
      </c>
      <c r="E60" s="2141"/>
      <c r="F60" s="2195" t="str">
        <f>HYPERLINK("https://www.enmax.com/ForYourHomeSite/Documents/2016-04-01-DT-Rate-Schedule.pdf", "ENMAX April 2016 Distribution Tariff Rate Schedule, Page 3")</f>
        <v>ENMAX April 2016 Distribution Tariff Rate Schedule, Page 3</v>
      </c>
      <c r="G60" s="2115"/>
      <c r="H60" s="2217"/>
      <c r="I60" s="2115"/>
      <c r="J60" s="2195" t="str">
        <f>HYPERLINK("https://www.enmax.com/ForYourHomeSite/Documents/2016-04-01-DT-Rate-Schedule.pdf", "ENMAX April 2016 Distribution Tariff Rate Schedule, Pages 18 - 20")</f>
        <v>ENMAX April 2016 Distribution Tariff Rate Schedule, Pages 18 - 20</v>
      </c>
      <c r="K60" s="2115"/>
      <c r="L60" s="2115"/>
      <c r="M60" s="2106"/>
      <c r="N60" s="2184"/>
      <c r="O60" s="2120"/>
      <c r="P60" s="2124"/>
      <c r="Q60" s="2125"/>
      <c r="R60" s="2106"/>
      <c r="S60" s="2106"/>
      <c r="T60" s="2106"/>
      <c r="U60" s="2109"/>
      <c r="V60" s="2149"/>
      <c r="W60" s="2150"/>
      <c r="X60" s="2150"/>
      <c r="Y60" s="2150"/>
      <c r="Z60" s="2151"/>
      <c r="AA60" s="2141"/>
      <c r="AB60" s="2246"/>
      <c r="AC60" s="2247"/>
      <c r="AD60" s="2247"/>
      <c r="AE60" s="2115"/>
      <c r="AF60" s="2106"/>
      <c r="AG60" s="2115" t="str">
        <f>HYPERLINK("https://www.epcor.com/products-services/power/rates-tariffs-fees/Documents2/riderk-2016-04.pdf", "EPCOR April 2016 Rider K Short-Term Adjustment, Page 1")</f>
        <v>EPCOR April 2016 Rider K Short-Term Adjustment, Page 1</v>
      </c>
      <c r="AH60" s="2106"/>
      <c r="AI60" s="2202" t="str">
        <f>HYPERLINK("http://www.epcor.com/power-natural-gas/Documents/DistributionAccessServiceTariff-2016-01.pdf", "EPCOR January 2016 Distribution Access Service Tariff, Page 25")</f>
        <v>EPCOR January 2016 Distribution Access Service Tariff, Page 25</v>
      </c>
      <c r="AJ60" s="2115"/>
      <c r="AK60" s="1574" t="str">
        <f>HYPERLINK("https://www.epcor.com/products-services/power/rates-tariffs-fees/Documents/RegulatedRateTariff-Edmonton-2016-04.pdf", "EPCOR April 2016 Regulated Rate Tariff, Page 2")</f>
        <v>EPCOR April 2016 Regulated Rate Tariff, Page 2</v>
      </c>
      <c r="AL60" s="2120"/>
      <c r="AM60" s="2124"/>
      <c r="AN60" s="2125"/>
      <c r="AO60" s="2106"/>
      <c r="AP60" s="2106"/>
      <c r="AQ60" s="2106"/>
      <c r="AR60" s="2109"/>
      <c r="AS60" s="2158"/>
      <c r="AT60" s="2159"/>
      <c r="AU60" s="2159"/>
      <c r="AV60" s="2159"/>
      <c r="AW60" s="2160"/>
      <c r="AX60" s="2141"/>
      <c r="AY60" s="2190" t="str">
        <f>HYPERLINK("http://fortisalberta.com/docs/default-source/default-document-library/2016-april-rates-options-riders.pdf?sfvrsn=10", "Fortis Alberta April 2016 Rates, Options, and Riders, Page 2")</f>
        <v>Fortis Alberta April 2016 Rates, Options, and Riders, Page 2</v>
      </c>
      <c r="AZ60" s="2190"/>
      <c r="BA60" s="2190"/>
      <c r="BB60" s="2200"/>
      <c r="BC60" s="2202" t="str">
        <f>HYPERLINK("http://fortisalberta.com/docs/default-source/default-document-library/2016-april-rates-options-riders.pdf?sfvrsn=10", "Fortis Alberta April 2016 Rates, Options, and Riders, Page 27-29")</f>
        <v>Fortis Alberta April 2016 Rates, Options, and Riders, Page 27-29</v>
      </c>
      <c r="BD60" s="2202" t="str">
        <f>HYPERLINK("http://fortisalberta.com/docs/default-source/default-document-library/2016-april-rates-options-riders.pdf?sfvrsn=10", "Fortis Alberta April 2016 Rates, Options, and Riders, Page 24-26")</f>
        <v>Fortis Alberta April 2016 Rates, Options, and Riders, Page 24-26</v>
      </c>
      <c r="BE60" s="2115" t="str">
        <f>HYPERLINK("http://fortisalberta.com/docs/default-source/default-document-library/2016-april-rates-options-riders.pdf?sfvrsn=10", "Fortis Alberta April 2016 Rates, Options, and Riders, Page 30")</f>
        <v>Fortis Alberta April 2016 Rates, Options, and Riders, Page 30</v>
      </c>
      <c r="BF60" s="2219" t="str">
        <f>HYPERLINK("http://fortisalberta.com/docs/default-source/default-document-library/2016-april-rates-options-riders.pdf?sfvrsn=10", "Fortis Alberta April 2016 Rates, Options, and Riders, Page 31")</f>
        <v>Fortis Alberta April 2016 Rates, Options, and Riders, Page 31</v>
      </c>
      <c r="BG60" s="2200"/>
      <c r="BH60" s="2115" t="str">
        <f>HYPERLINK("http://fortisalberta.com/docs/default-source/default-document-library/2016-april-rates-options-riders.pdf?sfvrsn=10", "Fortis Alberta April 2016 Rates, Options, and Riders, Page 32")</f>
        <v>Fortis Alberta April 2016 Rates, Options, and Riders, Page 32</v>
      </c>
      <c r="BI60" s="2115"/>
      <c r="BJ60" s="2222" t="str">
        <f>HYPERLINK("http://fortisalberta.com/docs/default-source/default-document-library/2016-april-rates-options-riders.pdf?sfvrsn=10", "Fortis Alberta April 2016 Rates, Options, and Riders")</f>
        <v>Fortis Alberta April 2016 Rates, Options, and Riders</v>
      </c>
      <c r="BK60" s="2217" t="str">
        <f>HYPERLINK("http://www.auc.ab.ca/regulatory_documents/ProceedingDocuments/2016/21457-D01-2016.pdf", "AUC EPCOR April 2016 Non-Energy Charges Proceeding, Page 3")</f>
        <v>AUC EPCOR April 2016 Non-Energy Charges Proceeding, Page 3</v>
      </c>
      <c r="BL60" s="2120"/>
      <c r="BM60" s="2124"/>
      <c r="BN60" s="2125"/>
      <c r="BO60" s="2106"/>
      <c r="BP60" s="2106"/>
      <c r="BQ60" s="2106"/>
      <c r="BR60" s="2109"/>
      <c r="BS60" s="2167"/>
      <c r="BT60" s="2168"/>
      <c r="BU60" s="2168"/>
      <c r="BV60" s="2168"/>
      <c r="BW60" s="2169"/>
      <c r="BX60" s="2141"/>
      <c r="BY60" s="2191"/>
      <c r="BZ60" s="2191"/>
      <c r="CA60" s="2191"/>
      <c r="CB60" s="2185"/>
      <c r="CC60" s="2115" t="str">
        <f>HYPERLINK("http://www.atcoelectric.com/Rates/tariffs/Documents/2016%20Tariffs/2016-04-01%20AE%20Rider%20A.pdf", "ATCO Electric April 2016 Rider A Rate Schedule, Page 2")</f>
        <v>ATCO Electric April 2016 Rider A Rate Schedule, Page 2</v>
      </c>
      <c r="CD60" s="2115"/>
      <c r="CE60" s="2106"/>
      <c r="CF60" s="2115"/>
      <c r="CG60" s="2115" t="str">
        <f>HYPERLINK("http://www.atcoelectric.com/Rates/tariffs/Documents/2016%20Tariffs/2016-04-01%20AE%20Rider%20S.pdf", "ATCO Electric April 2016 Rider S - SAS Deferral, Page 1")</f>
        <v>ATCO Electric April 2016 Rider S - SAS Deferral, Page 1</v>
      </c>
      <c r="CH60" s="2115"/>
      <c r="CI60" s="2227"/>
      <c r="CJ60" s="2228"/>
      <c r="CK60" s="2131"/>
      <c r="CL60" s="2190" t="str">
        <f>HYPERLINK("http://www.auc.ab.ca/regulatory_documents/ProceedingDocuments/2016/20785-D01-2016.pdf", "AUC Decision20785-D01-2016 DERS 2012-2016 DRT and RRT Compliance Filing, Page 133")</f>
        <v>AUC Decision20785-D01-2016 DERS 2012-2016 DRT and RRT Compliance Filing, Page 133</v>
      </c>
      <c r="CM60" s="2120"/>
      <c r="CN60" s="2124"/>
      <c r="CO60" s="2125"/>
      <c r="CP60" s="2106"/>
      <c r="CQ60" s="2106"/>
      <c r="CR60" s="2106"/>
      <c r="CS60" s="2109"/>
      <c r="CT60" s="2176"/>
      <c r="CU60" s="2177"/>
      <c r="CV60" s="2177"/>
      <c r="CW60" s="2177"/>
      <c r="CX60" s="2178"/>
    </row>
    <row r="61" spans="1:102" ht="30" customHeight="1" x14ac:dyDescent="0.3">
      <c r="A61" s="2206"/>
      <c r="B61" s="2206"/>
      <c r="C61" s="2207"/>
      <c r="D61" s="1037">
        <v>42491</v>
      </c>
      <c r="E61" s="2141"/>
      <c r="F61" s="2195"/>
      <c r="G61" s="2115"/>
      <c r="H61" s="2217"/>
      <c r="I61" s="2115"/>
      <c r="J61" s="2195"/>
      <c r="K61" s="2115"/>
      <c r="L61" s="2115"/>
      <c r="M61" s="2106"/>
      <c r="N61" s="2184"/>
      <c r="O61" s="2120"/>
      <c r="P61" s="2124"/>
      <c r="Q61" s="2125"/>
      <c r="R61" s="2106"/>
      <c r="S61" s="2106"/>
      <c r="T61" s="2106"/>
      <c r="U61" s="2109"/>
      <c r="V61" s="2149"/>
      <c r="W61" s="2150"/>
      <c r="X61" s="2150"/>
      <c r="Y61" s="2150"/>
      <c r="Z61" s="2151"/>
      <c r="AA61" s="2141"/>
      <c r="AB61" s="2246"/>
      <c r="AC61" s="2247"/>
      <c r="AD61" s="2247"/>
      <c r="AE61" s="2115"/>
      <c r="AF61" s="2106"/>
      <c r="AG61" s="2115"/>
      <c r="AH61" s="2106"/>
      <c r="AI61" s="2106"/>
      <c r="AJ61" s="2115"/>
      <c r="AK61" s="1574" t="str">
        <f>HYPERLINK("https://www.epcor.com/products-services/power/rates-tariffs-fees/Documents/RegulatedRateTariff-Edmonton-2016-05.pdf", "EPCOR May 2016 Regulated Rate Tariff, Page 2")</f>
        <v>EPCOR May 2016 Regulated Rate Tariff, Page 2</v>
      </c>
      <c r="AL61" s="2120"/>
      <c r="AM61" s="2124"/>
      <c r="AN61" s="2125"/>
      <c r="AO61" s="2106"/>
      <c r="AP61" s="2106"/>
      <c r="AQ61" s="2106"/>
      <c r="AR61" s="2109"/>
      <c r="AS61" s="2158"/>
      <c r="AT61" s="2159"/>
      <c r="AU61" s="2159"/>
      <c r="AV61" s="2159"/>
      <c r="AW61" s="2160"/>
      <c r="AX61" s="2141"/>
      <c r="AY61" s="2191"/>
      <c r="AZ61" s="2191"/>
      <c r="BA61" s="2191"/>
      <c r="BB61" s="2185"/>
      <c r="BC61" s="2106"/>
      <c r="BD61" s="2106"/>
      <c r="BE61" s="2115"/>
      <c r="BF61" s="2184"/>
      <c r="BG61" s="2185"/>
      <c r="BH61" s="2115"/>
      <c r="BI61" s="2115"/>
      <c r="BJ61" s="2222"/>
      <c r="BK61" s="2217"/>
      <c r="BL61" s="2120"/>
      <c r="BM61" s="2124"/>
      <c r="BN61" s="2125"/>
      <c r="BO61" s="2106"/>
      <c r="BP61" s="2106"/>
      <c r="BQ61" s="2106"/>
      <c r="BR61" s="2109"/>
      <c r="BS61" s="2167"/>
      <c r="BT61" s="2168"/>
      <c r="BU61" s="2168"/>
      <c r="BV61" s="2168"/>
      <c r="BW61" s="2169"/>
      <c r="BX61" s="2141"/>
      <c r="BY61" s="2191"/>
      <c r="BZ61" s="2191"/>
      <c r="CA61" s="2191"/>
      <c r="CB61" s="2185"/>
      <c r="CC61" s="2115"/>
      <c r="CD61" s="2115"/>
      <c r="CE61" s="2106"/>
      <c r="CF61" s="2115"/>
      <c r="CG61" s="2115"/>
      <c r="CH61" s="2115"/>
      <c r="CI61" s="2227"/>
      <c r="CJ61" s="2228"/>
      <c r="CK61" s="2131"/>
      <c r="CL61" s="2191"/>
      <c r="CM61" s="2120"/>
      <c r="CN61" s="2124"/>
      <c r="CO61" s="2125"/>
      <c r="CP61" s="2106"/>
      <c r="CQ61" s="2106"/>
      <c r="CR61" s="2106"/>
      <c r="CS61" s="2109"/>
      <c r="CT61" s="2176"/>
      <c r="CU61" s="2177"/>
      <c r="CV61" s="2177"/>
      <c r="CW61" s="2177"/>
      <c r="CX61" s="2178"/>
    </row>
    <row r="62" spans="1:102" ht="30" customHeight="1" x14ac:dyDescent="0.3">
      <c r="A62" s="2206"/>
      <c r="B62" s="2206"/>
      <c r="C62" s="2207"/>
      <c r="D62" s="1037">
        <v>42522</v>
      </c>
      <c r="E62" s="2141"/>
      <c r="F62" s="2195"/>
      <c r="G62" s="2115"/>
      <c r="H62" s="2217"/>
      <c r="I62" s="2115"/>
      <c r="J62" s="2195"/>
      <c r="K62" s="2115"/>
      <c r="L62" s="2115"/>
      <c r="M62" s="2106"/>
      <c r="N62" s="2184"/>
      <c r="O62" s="2120"/>
      <c r="P62" s="2124"/>
      <c r="Q62" s="2125"/>
      <c r="R62" s="2106"/>
      <c r="S62" s="2106"/>
      <c r="T62" s="2106"/>
      <c r="U62" s="2109"/>
      <c r="V62" s="2149"/>
      <c r="W62" s="2150"/>
      <c r="X62" s="2150"/>
      <c r="Y62" s="2150"/>
      <c r="Z62" s="2151"/>
      <c r="AA62" s="2141"/>
      <c r="AB62" s="2246"/>
      <c r="AC62" s="2247"/>
      <c r="AD62" s="2247"/>
      <c r="AE62" s="2115"/>
      <c r="AF62" s="2106"/>
      <c r="AG62" s="2115"/>
      <c r="AH62" s="2107"/>
      <c r="AI62" s="2106"/>
      <c r="AJ62" s="2115"/>
      <c r="AK62" s="1574" t="str">
        <f>HYPERLINK("https://www.epcor.com/products-services/power/rates-tariffs-fees/Documents/RegulatedRateTariff-Edmonton-2016-06.pdf", "EPCOR June 2016 Regulated Rate Tariff, Page 2")</f>
        <v>EPCOR June 2016 Regulated Rate Tariff, Page 2</v>
      </c>
      <c r="AL62" s="2120"/>
      <c r="AM62" s="2124"/>
      <c r="AN62" s="2125"/>
      <c r="AO62" s="2106"/>
      <c r="AP62" s="2106"/>
      <c r="AQ62" s="2106"/>
      <c r="AR62" s="2109"/>
      <c r="AS62" s="2158"/>
      <c r="AT62" s="2159"/>
      <c r="AU62" s="2159"/>
      <c r="AV62" s="2159"/>
      <c r="AW62" s="2160"/>
      <c r="AX62" s="2141"/>
      <c r="AY62" s="2192"/>
      <c r="AZ62" s="2192"/>
      <c r="BA62" s="2192"/>
      <c r="BB62" s="2187"/>
      <c r="BC62" s="2107"/>
      <c r="BD62" s="2107"/>
      <c r="BE62" s="2115"/>
      <c r="BF62" s="2186"/>
      <c r="BG62" s="2187"/>
      <c r="BH62" s="2115"/>
      <c r="BI62" s="2115"/>
      <c r="BJ62" s="2222"/>
      <c r="BK62" s="2217"/>
      <c r="BL62" s="2120"/>
      <c r="BM62" s="2124"/>
      <c r="BN62" s="2125"/>
      <c r="BO62" s="2106"/>
      <c r="BP62" s="2106"/>
      <c r="BQ62" s="2106"/>
      <c r="BR62" s="2109"/>
      <c r="BS62" s="2167"/>
      <c r="BT62" s="2168"/>
      <c r="BU62" s="2168"/>
      <c r="BV62" s="2168"/>
      <c r="BW62" s="2169"/>
      <c r="BX62" s="2141"/>
      <c r="BY62" s="2191"/>
      <c r="BZ62" s="2191"/>
      <c r="CA62" s="2191"/>
      <c r="CB62" s="2185"/>
      <c r="CC62" s="2115"/>
      <c r="CD62" s="2115"/>
      <c r="CE62" s="2106"/>
      <c r="CF62" s="2115"/>
      <c r="CG62" s="2115"/>
      <c r="CH62" s="2115"/>
      <c r="CI62" s="2227"/>
      <c r="CJ62" s="2228"/>
      <c r="CK62" s="2131"/>
      <c r="CL62" s="2191"/>
      <c r="CM62" s="2120"/>
      <c r="CN62" s="2124"/>
      <c r="CO62" s="2125"/>
      <c r="CP62" s="2106"/>
      <c r="CQ62" s="2106"/>
      <c r="CR62" s="2106"/>
      <c r="CS62" s="2109"/>
      <c r="CT62" s="2176"/>
      <c r="CU62" s="2177"/>
      <c r="CV62" s="2177"/>
      <c r="CW62" s="2177"/>
      <c r="CX62" s="2178"/>
    </row>
    <row r="63" spans="1:102" ht="30" customHeight="1" x14ac:dyDescent="0.3">
      <c r="A63" s="2206"/>
      <c r="B63" s="2206"/>
      <c r="C63" s="2207"/>
      <c r="D63" s="1037">
        <v>42552</v>
      </c>
      <c r="E63" s="2141"/>
      <c r="F63" s="2213" t="str">
        <f>HYPERLINK("https://www.enmax.com/ForYourHomeSite/Documents/2016-07-01%20DT%20Rate%20Schedule.pdf", "ENMAX July 2016 Distribution Tariff Rate Schedule, Page 3")</f>
        <v>ENMAX July 2016 Distribution Tariff Rate Schedule, Page 3</v>
      </c>
      <c r="G63" s="2214"/>
      <c r="H63" s="2215"/>
      <c r="I63" s="2115"/>
      <c r="J63" s="2338" t="str">
        <f>HYPERLINK("https://www.enmax.com/ForYourHomeSite/Documents/2016-07-01%20DT%20Rate%20Schedule.pdf", "ENMAX July 2016 Distribution Tariff Rate Schedule, Pages 19-20")</f>
        <v>ENMAX July 2016 Distribution Tariff Rate Schedule, Pages 19-20</v>
      </c>
      <c r="K63" s="2339"/>
      <c r="L63" s="2339"/>
      <c r="M63" s="2106"/>
      <c r="N63" s="2184"/>
      <c r="O63" s="2120"/>
      <c r="P63" s="2124"/>
      <c r="Q63" s="2125"/>
      <c r="R63" s="2106"/>
      <c r="S63" s="2106"/>
      <c r="T63" s="2106"/>
      <c r="U63" s="2109"/>
      <c r="V63" s="2149"/>
      <c r="W63" s="2150"/>
      <c r="X63" s="2150"/>
      <c r="Y63" s="2150"/>
      <c r="Z63" s="2151"/>
      <c r="AA63" s="2141"/>
      <c r="AB63" s="2246"/>
      <c r="AC63" s="2247"/>
      <c r="AD63" s="2247"/>
      <c r="AE63" s="2115"/>
      <c r="AF63" s="2106"/>
      <c r="AG63" s="2115" t="str">
        <f>HYPERLINK("https://www.epcor.com/products-services/power/rates-tariffs-fees/Documents2/riderk-2016-07.pdf", "EPCOR July 2016 Rider K Short-Term Adjustment, Page 1")</f>
        <v>EPCOR July 2016 Rider K Short-Term Adjustment, Page 1</v>
      </c>
      <c r="AH63" s="2200" t="str">
        <f>HYPERLINK("https://www.epcor.com/products-services/power/rates-tariffs-fees/Documents2/riderj-2016-07.pdf", "EPCOR July 2016 Rider J Interim Adjustment, Page 1")</f>
        <v>EPCOR July 2016 Rider J Interim Adjustment, Page 1</v>
      </c>
      <c r="AI63" s="2106"/>
      <c r="AJ63" s="2115"/>
      <c r="AK63" s="1574" t="str">
        <f>HYPERLINK("https://www.epcor.com/products-services/power/rates-tariffs-fees/Documents/RegulatedRateTariff-Edmonton-2016-07.pdf", "EPCOR July 2016 Regulated Rate Tariff, Page 2")</f>
        <v>EPCOR July 2016 Regulated Rate Tariff, Page 2</v>
      </c>
      <c r="AL63" s="2120"/>
      <c r="AM63" s="2124"/>
      <c r="AN63" s="2125"/>
      <c r="AO63" s="2106"/>
      <c r="AP63" s="2106"/>
      <c r="AQ63" s="2106"/>
      <c r="AR63" s="2109"/>
      <c r="AS63" s="2158"/>
      <c r="AT63" s="2159"/>
      <c r="AU63" s="2159"/>
      <c r="AV63" s="2159"/>
      <c r="AW63" s="2160"/>
      <c r="AX63" s="2141"/>
      <c r="AY63" s="2190" t="str">
        <f>HYPERLINK("https://www.fortisalberta.com/docs/default-source/default-document-library/2016-july-rates-option-riders-schedules.pdf?sfvrsn=536e801b_6", "Fortis Alberta July 2016 Rates, Options, and Riders, Page 2")</f>
        <v>Fortis Alberta July 2016 Rates, Options, and Riders, Page 2</v>
      </c>
      <c r="AZ63" s="2190"/>
      <c r="BA63" s="2190"/>
      <c r="BB63" s="2200"/>
      <c r="BC63" s="2115" t="str">
        <f>HYPERLINK("https://www.fortisalberta.com/docs/default-source/default-document-library/2016-july-rates-option-riders-schedules.pdf?sfvrsn=536e801b_6", "Fortis Alberta July 2016 Rates, Options, and Riders, Page 27-29")</f>
        <v>Fortis Alberta July 2016 Rates, Options, and Riders, Page 27-29</v>
      </c>
      <c r="BD63" s="2115" t="str">
        <f>HYPERLINK("https://www.fortisalberta.com/docs/default-source/default-document-library/2016-july-rates-option-riders-schedules.pdf?sfvrsn=536e801b_6", "Fortis Alberta July 2016 Rates, Options, and Riders, Page 24-26")</f>
        <v>Fortis Alberta July 2016 Rates, Options, and Riders, Page 24-26</v>
      </c>
      <c r="BE63" s="2115" t="str">
        <f>HYPERLINK("https://www.fortisalberta.com/docs/default-source/default-document-library/2016-july-rates-option-riders-schedules.pdf?sfvrsn=536e801b_6", "Fortis Alberta July 2016 Rates, Options, and Riders, Page 30")</f>
        <v>Fortis Alberta July 2016 Rates, Options, and Riders, Page 30</v>
      </c>
      <c r="BF63" s="2219" t="str">
        <f>HYPERLINK("https://www.fortisalberta.com/docs/default-source/default-document-library/2016-july-rates-option-riders-schedules.pdf?sfvrsn=536e801b_6", "Fortis Alberta July 2016 Rates, Options, and Riders, Page 31")</f>
        <v>Fortis Alberta July 2016 Rates, Options, and Riders, Page 31</v>
      </c>
      <c r="BG63" s="2200"/>
      <c r="BH63" s="2219" t="str">
        <f>HYPERLINK("https://www.fortisalberta.com/docs/default-source/default-document-library/2016-july-rates-option-riders-schedules.pdf?sfvrsn=536e801b_6", "Fortis Alberta July 2016 Rates, Options, and Riders, Page 32")</f>
        <v>Fortis Alberta July 2016 Rates, Options, and Riders, Page 32</v>
      </c>
      <c r="BI63" s="2200"/>
      <c r="BJ63" s="2115" t="str">
        <f>HYPERLINK("https://www.fortisalberta.com/docs/default-source/default-document-library/2016-july-rates-option-riders-schedules.pdf?sfvrsn=536e801b_6", "Fortis Alberta July 2016 Rates, Options, and Riders")</f>
        <v>Fortis Alberta July 2016 Rates, Options, and Riders</v>
      </c>
      <c r="BK63" s="1543" t="str">
        <f>HYPERLINK("https://www.epcor.com/products-services/power/rates-tariffs-fees/Documents/RegulatedRateTariff-Fortis-2016-07.pdf", "EPCOR July 2016 Regulated Rate Tariff, Page 2")</f>
        <v>EPCOR July 2016 Regulated Rate Tariff, Page 2</v>
      </c>
      <c r="BL63" s="2120"/>
      <c r="BM63" s="2124"/>
      <c r="BN63" s="2125"/>
      <c r="BO63" s="2106"/>
      <c r="BP63" s="2106"/>
      <c r="BQ63" s="2106"/>
      <c r="BR63" s="2109"/>
      <c r="BS63" s="2167"/>
      <c r="BT63" s="2168"/>
      <c r="BU63" s="2168"/>
      <c r="BV63" s="2168"/>
      <c r="BW63" s="2169"/>
      <c r="BX63" s="2141"/>
      <c r="BY63" s="2191"/>
      <c r="BZ63" s="2191"/>
      <c r="CA63" s="2191"/>
      <c r="CB63" s="2185"/>
      <c r="CC63" s="2115"/>
      <c r="CD63" s="2115"/>
      <c r="CE63" s="2106"/>
      <c r="CF63" s="2115"/>
      <c r="CG63" s="2115" t="str">
        <f>HYPERLINK("http://www.atcoelectric.com/Rates/tariffs/Documents/2016-07-01%20AE%20Rider%20S.pdf", "ATCO Electric July 2016 Rider S - SAS Deferral, Page 1")</f>
        <v>ATCO Electric July 2016 Rider S - SAS Deferral, Page 1</v>
      </c>
      <c r="CH63" s="2115"/>
      <c r="CI63" s="2227"/>
      <c r="CJ63" s="2228"/>
      <c r="CK63" s="2131"/>
      <c r="CL63" s="2191"/>
      <c r="CM63" s="2120"/>
      <c r="CN63" s="2124"/>
      <c r="CO63" s="2125"/>
      <c r="CP63" s="2106"/>
      <c r="CQ63" s="2106"/>
      <c r="CR63" s="2106"/>
      <c r="CS63" s="2109"/>
      <c r="CT63" s="2176"/>
      <c r="CU63" s="2177"/>
      <c r="CV63" s="2177"/>
      <c r="CW63" s="2177"/>
      <c r="CX63" s="2178"/>
    </row>
    <row r="64" spans="1:102" ht="30" customHeight="1" x14ac:dyDescent="0.3">
      <c r="A64" s="2206"/>
      <c r="B64" s="2206"/>
      <c r="C64" s="2207"/>
      <c r="D64" s="1037">
        <v>42583</v>
      </c>
      <c r="E64" s="2141"/>
      <c r="F64" s="2216"/>
      <c r="G64" s="2214"/>
      <c r="H64" s="2215"/>
      <c r="I64" s="2115"/>
      <c r="J64" s="2340"/>
      <c r="K64" s="2339"/>
      <c r="L64" s="2339"/>
      <c r="M64" s="2106"/>
      <c r="N64" s="2184"/>
      <c r="O64" s="2120"/>
      <c r="P64" s="2124"/>
      <c r="Q64" s="2125"/>
      <c r="R64" s="2106"/>
      <c r="S64" s="2106"/>
      <c r="T64" s="2106"/>
      <c r="U64" s="2109"/>
      <c r="V64" s="2149"/>
      <c r="W64" s="2150"/>
      <c r="X64" s="2150"/>
      <c r="Y64" s="2150"/>
      <c r="Z64" s="2151"/>
      <c r="AA64" s="2141"/>
      <c r="AB64" s="2246"/>
      <c r="AC64" s="2247"/>
      <c r="AD64" s="2247"/>
      <c r="AE64" s="2115"/>
      <c r="AF64" s="2106"/>
      <c r="AG64" s="2115"/>
      <c r="AH64" s="2185"/>
      <c r="AI64" s="2106"/>
      <c r="AJ64" s="2115"/>
      <c r="AK64" s="1574" t="str">
        <f>HYPERLINK("https://www.epcor.com/products-services/power/rates-tariffs-fees/Documents/RegulatedRateTariff-Edmonton-2016-08.pdf", "EPCOR August 2016 Regulated Rate Tariff, Page 2")</f>
        <v>EPCOR August 2016 Regulated Rate Tariff, Page 2</v>
      </c>
      <c r="AL64" s="2120"/>
      <c r="AM64" s="2124"/>
      <c r="AN64" s="2125"/>
      <c r="AO64" s="2106"/>
      <c r="AP64" s="2106"/>
      <c r="AQ64" s="2106"/>
      <c r="AR64" s="2109"/>
      <c r="AS64" s="2158"/>
      <c r="AT64" s="2159"/>
      <c r="AU64" s="2159"/>
      <c r="AV64" s="2159"/>
      <c r="AW64" s="2160"/>
      <c r="AX64" s="2141"/>
      <c r="AY64" s="2191"/>
      <c r="AZ64" s="2191"/>
      <c r="BA64" s="2191"/>
      <c r="BB64" s="2185"/>
      <c r="BC64" s="2115"/>
      <c r="BD64" s="2115"/>
      <c r="BE64" s="2115"/>
      <c r="BF64" s="2184"/>
      <c r="BG64" s="2185"/>
      <c r="BH64" s="2184"/>
      <c r="BI64" s="2185"/>
      <c r="BJ64" s="2115"/>
      <c r="BK64" s="1543" t="str">
        <f>HYPERLINK("https://www.epcor.com/products-services/power/rates-tariffs-fees/Documents/RegulatedRateTariff-Fortis-2016-08.pdf", "EPCOR August 2016 Regulated Rate Tariff, Page 2")</f>
        <v>EPCOR August 2016 Regulated Rate Tariff, Page 2</v>
      </c>
      <c r="BL64" s="2120"/>
      <c r="BM64" s="2124"/>
      <c r="BN64" s="2125"/>
      <c r="BO64" s="2106"/>
      <c r="BP64" s="2106"/>
      <c r="BQ64" s="2106"/>
      <c r="BR64" s="2109"/>
      <c r="BS64" s="2167"/>
      <c r="BT64" s="2168"/>
      <c r="BU64" s="2168"/>
      <c r="BV64" s="2168"/>
      <c r="BW64" s="2169"/>
      <c r="BX64" s="2141"/>
      <c r="BY64" s="2191"/>
      <c r="BZ64" s="2191"/>
      <c r="CA64" s="2191"/>
      <c r="CB64" s="2185"/>
      <c r="CC64" s="2115"/>
      <c r="CD64" s="2115"/>
      <c r="CE64" s="2106"/>
      <c r="CF64" s="2115"/>
      <c r="CG64" s="2115"/>
      <c r="CH64" s="2115"/>
      <c r="CI64" s="2227"/>
      <c r="CJ64" s="2228"/>
      <c r="CK64" s="2131"/>
      <c r="CL64" s="2191"/>
      <c r="CM64" s="2120"/>
      <c r="CN64" s="2124"/>
      <c r="CO64" s="2125"/>
      <c r="CP64" s="2106"/>
      <c r="CQ64" s="2106"/>
      <c r="CR64" s="2106"/>
      <c r="CS64" s="2109"/>
      <c r="CT64" s="2176"/>
      <c r="CU64" s="2177"/>
      <c r="CV64" s="2177"/>
      <c r="CW64" s="2177"/>
      <c r="CX64" s="2178"/>
    </row>
    <row r="65" spans="1:102" ht="30" customHeight="1" x14ac:dyDescent="0.3">
      <c r="A65" s="2206"/>
      <c r="B65" s="2206"/>
      <c r="C65" s="2207"/>
      <c r="D65" s="1037">
        <v>42614</v>
      </c>
      <c r="E65" s="2141"/>
      <c r="F65" s="2216"/>
      <c r="G65" s="2214"/>
      <c r="H65" s="2215"/>
      <c r="I65" s="2115"/>
      <c r="J65" s="2340"/>
      <c r="K65" s="2339"/>
      <c r="L65" s="2339"/>
      <c r="M65" s="2106"/>
      <c r="N65" s="2184"/>
      <c r="O65" s="2120"/>
      <c r="P65" s="2124"/>
      <c r="Q65" s="2125"/>
      <c r="R65" s="2106"/>
      <c r="S65" s="2106"/>
      <c r="T65" s="2106"/>
      <c r="U65" s="2109"/>
      <c r="V65" s="2149"/>
      <c r="W65" s="2150"/>
      <c r="X65" s="2150"/>
      <c r="Y65" s="2150"/>
      <c r="Z65" s="2151"/>
      <c r="AA65" s="2141"/>
      <c r="AB65" s="2246"/>
      <c r="AC65" s="2247"/>
      <c r="AD65" s="2247"/>
      <c r="AE65" s="2115"/>
      <c r="AF65" s="2106"/>
      <c r="AG65" s="2115"/>
      <c r="AH65" s="2185"/>
      <c r="AI65" s="2106"/>
      <c r="AJ65" s="2115"/>
      <c r="AK65" s="1574" t="str">
        <f>HYPERLINK("https://www.epcor.com/products-services/power/rates-tariffs-fees/Documents/RegulatedRateTariff-Edmonton-2016-09.pdf", "EPCOR September 2016 Regulated Rate Tariff, Page 2")</f>
        <v>EPCOR September 2016 Regulated Rate Tariff, Page 2</v>
      </c>
      <c r="AL65" s="2120"/>
      <c r="AM65" s="2124"/>
      <c r="AN65" s="2125"/>
      <c r="AO65" s="2106"/>
      <c r="AP65" s="2106"/>
      <c r="AQ65" s="2106"/>
      <c r="AR65" s="2109"/>
      <c r="AS65" s="2158"/>
      <c r="AT65" s="2159"/>
      <c r="AU65" s="2159"/>
      <c r="AV65" s="2159"/>
      <c r="AW65" s="2160"/>
      <c r="AX65" s="2141"/>
      <c r="AY65" s="2192"/>
      <c r="AZ65" s="2192"/>
      <c r="BA65" s="2192"/>
      <c r="BB65" s="2187"/>
      <c r="BC65" s="2115"/>
      <c r="BD65" s="2115"/>
      <c r="BE65" s="2115"/>
      <c r="BF65" s="2186"/>
      <c r="BG65" s="2187"/>
      <c r="BH65" s="2186"/>
      <c r="BI65" s="2187"/>
      <c r="BJ65" s="2115"/>
      <c r="BK65" s="1543" t="str">
        <f>HYPERLINK("https://www.epcor.com/products-services/power/rates-tariffs-fees/Documents/RegulatedRateTariff-Fortis-2016-09.pdf", "EPCOR September 2016 Regulated Rate Tariff, Page 2")</f>
        <v>EPCOR September 2016 Regulated Rate Tariff, Page 2</v>
      </c>
      <c r="BL65" s="2120"/>
      <c r="BM65" s="2124"/>
      <c r="BN65" s="2125"/>
      <c r="BO65" s="2106"/>
      <c r="BP65" s="2106"/>
      <c r="BQ65" s="2106"/>
      <c r="BR65" s="2109"/>
      <c r="BS65" s="2167"/>
      <c r="BT65" s="2168"/>
      <c r="BU65" s="2168"/>
      <c r="BV65" s="2168"/>
      <c r="BW65" s="2169"/>
      <c r="BX65" s="2141"/>
      <c r="BY65" s="2191"/>
      <c r="BZ65" s="2191"/>
      <c r="CA65" s="2191"/>
      <c r="CB65" s="2185"/>
      <c r="CC65" s="2115"/>
      <c r="CD65" s="2115"/>
      <c r="CE65" s="2106"/>
      <c r="CF65" s="2115"/>
      <c r="CG65" s="2115"/>
      <c r="CH65" s="2115"/>
      <c r="CI65" s="2227"/>
      <c r="CJ65" s="2228"/>
      <c r="CK65" s="2131"/>
      <c r="CL65" s="2191"/>
      <c r="CM65" s="2120"/>
      <c r="CN65" s="2124"/>
      <c r="CO65" s="2125"/>
      <c r="CP65" s="2106"/>
      <c r="CQ65" s="2106"/>
      <c r="CR65" s="2106"/>
      <c r="CS65" s="2109"/>
      <c r="CT65" s="2176"/>
      <c r="CU65" s="2177"/>
      <c r="CV65" s="2177"/>
      <c r="CW65" s="2177"/>
      <c r="CX65" s="2178"/>
    </row>
    <row r="66" spans="1:102" ht="30" customHeight="1" x14ac:dyDescent="0.3">
      <c r="A66" s="2206"/>
      <c r="B66" s="2206"/>
      <c r="C66" s="2207"/>
      <c r="D66" s="1037">
        <v>42644</v>
      </c>
      <c r="E66" s="2141"/>
      <c r="F66" s="2213" t="str">
        <f>HYPERLINK("https://www.enmax.com/ForYourHomeSite/Documents/2016-10-01%20DT%20Rate%20Schedule.pdf", "ENMAX October 2016 Distribution Tariff Rate Schedule, Page 3")</f>
        <v>ENMAX October 2016 Distribution Tariff Rate Schedule, Page 3</v>
      </c>
      <c r="G66" s="2214"/>
      <c r="H66" s="2215"/>
      <c r="I66" s="2115"/>
      <c r="J66" s="2338" t="str">
        <f>HYPERLINK("https://www.enmax.com/ForYourHomeSite/Documents/2016-10-01%20DT%20Rate%20Schedule.pdf", "ENMAX October 2016 Distribution Tariff Rate Schedule, Pages 19-20")</f>
        <v>ENMAX October 2016 Distribution Tariff Rate Schedule, Pages 19-20</v>
      </c>
      <c r="K66" s="2339"/>
      <c r="L66" s="2339"/>
      <c r="M66" s="2106"/>
      <c r="N66" s="2186"/>
      <c r="O66" s="2120"/>
      <c r="P66" s="2124"/>
      <c r="Q66" s="2125"/>
      <c r="R66" s="2106"/>
      <c r="S66" s="2106"/>
      <c r="T66" s="2106"/>
      <c r="U66" s="2109"/>
      <c r="V66" s="2149"/>
      <c r="W66" s="2150"/>
      <c r="X66" s="2150"/>
      <c r="Y66" s="2150"/>
      <c r="Z66" s="2151"/>
      <c r="AA66" s="2141"/>
      <c r="AB66" s="2246"/>
      <c r="AC66" s="2247"/>
      <c r="AD66" s="2247"/>
      <c r="AE66" s="2115"/>
      <c r="AF66" s="2106"/>
      <c r="AG66" s="2115" t="str">
        <f>HYPERLINK("https://www.epcor.com/products-services/power/rates-tariffs-fees/Documents2/riderk-2016-10.pdf", "EPCOR October 2016 Rider K Short-Term Adjustment, Page 1")</f>
        <v>EPCOR October 2016 Rider K Short-Term Adjustment, Page 1</v>
      </c>
      <c r="AH66" s="2185"/>
      <c r="AI66" s="2106"/>
      <c r="AJ66" s="2115"/>
      <c r="AK66" s="1574" t="str">
        <f>HYPERLINK("https://www.epcor.com/products-services/power/rates-tariffs-fees/Documents/RegulatedRateTariff-Edmonton-2016-10.pdf", "EPCOR October 2016 Regulated Rate Tariff, Page 2")</f>
        <v>EPCOR October 2016 Regulated Rate Tariff, Page 2</v>
      </c>
      <c r="AL66" s="2120"/>
      <c r="AM66" s="2124"/>
      <c r="AN66" s="2125"/>
      <c r="AO66" s="2106"/>
      <c r="AP66" s="2106"/>
      <c r="AQ66" s="2106"/>
      <c r="AR66" s="2109"/>
      <c r="AS66" s="2158"/>
      <c r="AT66" s="2159"/>
      <c r="AU66" s="2159"/>
      <c r="AV66" s="2159"/>
      <c r="AW66" s="2160"/>
      <c r="AX66" s="2141"/>
      <c r="AY66" s="2190" t="str">
        <f>HYPERLINK("https://www.fortisalberta.com/docs/default-source/default-document-library/2016-oct-rates-options-riders-schedules.pdf?sfvrsn=6104801b_6", "Fortis Alberta October 2016 Rates, Options, and Riders, Page 2")</f>
        <v>Fortis Alberta October 2016 Rates, Options, and Riders, Page 2</v>
      </c>
      <c r="AZ66" s="2190"/>
      <c r="BA66" s="2190"/>
      <c r="BB66" s="2200"/>
      <c r="BC66" s="2115" t="str">
        <f>HYPERLINK("https://www.fortisalberta.com/docs/default-source/default-document-library/2016-oct-rates-options-riders-schedules.pdf?sfvrsn=6104801b_6", "Fortis Alberta October 2016 Rates, Options, and Riders, Page 27-29")</f>
        <v>Fortis Alberta October 2016 Rates, Options, and Riders, Page 27-29</v>
      </c>
      <c r="BD66" s="2115" t="str">
        <f>HYPERLINK("https://www.fortisalberta.com/docs/default-source/default-document-library/2016-oct-rates-options-riders-schedules.pdf?sfvrsn=6104801b_6", "Fortis Alberta October 2016 Rates, Options, and Riders, Page 24-26")</f>
        <v>Fortis Alberta October 2016 Rates, Options, and Riders, Page 24-26</v>
      </c>
      <c r="BE66" s="2115" t="str">
        <f>HYPERLINK("https://www.fortisalberta.com/docs/default-source/default-document-library/2016-oct-rates-options-riders-schedules.pdf?sfvrsn=6104801b_6", "Fortis Alberta October 2016 Rates, Options, and Riders, Page 30")</f>
        <v>Fortis Alberta October 2016 Rates, Options, and Riders, Page 30</v>
      </c>
      <c r="BF66" s="2219" t="str">
        <f>HYPERLINK("https://www.fortisalberta.com/docs/default-source/default-document-library/2016-oct-rates-options-riders-schedules.pdf?sfvrsn=6104801b_6", "Fortis Alberta October 2016 Rates, Options, and Riders, Page 31")</f>
        <v>Fortis Alberta October 2016 Rates, Options, and Riders, Page 31</v>
      </c>
      <c r="BG66" s="2200"/>
      <c r="BH66" s="2219" t="str">
        <f>HYPERLINK("https://www.fortisalberta.com/docs/default-source/default-document-library/2016-oct-rates-options-riders-schedules.pdf?sfvrsn=6104801b_6", "Fortis Alberta October 2016 Rates, Options, and Riders, Page 32")</f>
        <v>Fortis Alberta October 2016 Rates, Options, and Riders, Page 32</v>
      </c>
      <c r="BI66" s="2200"/>
      <c r="BJ66" s="2115" t="str">
        <f>HYPERLINK("https://www.fortisalberta.com/docs/default-source/default-document-library/2016-oct-rates-options-riders-schedules.pdf?sfvrsn=6104801b_6", "Fortis Alberta October 2016 Rates, Options, and Riders")</f>
        <v>Fortis Alberta October 2016 Rates, Options, and Riders</v>
      </c>
      <c r="BK66" s="1543" t="str">
        <f>HYPERLINK("https://www.epcor.com/products-services/power/rates-tariffs-fees/Documents/RegulatedRateTariff-Fortis-2016-10.pdf", "EPCOR October 2016 Regulated Rate Tariff, Page 2")</f>
        <v>EPCOR October 2016 Regulated Rate Tariff, Page 2</v>
      </c>
      <c r="BL66" s="2120"/>
      <c r="BM66" s="2124"/>
      <c r="BN66" s="2125"/>
      <c r="BO66" s="2106"/>
      <c r="BP66" s="2106"/>
      <c r="BQ66" s="2106"/>
      <c r="BR66" s="2109"/>
      <c r="BS66" s="2167"/>
      <c r="BT66" s="2168"/>
      <c r="BU66" s="2168"/>
      <c r="BV66" s="2168"/>
      <c r="BW66" s="2169"/>
      <c r="BX66" s="2141"/>
      <c r="BY66" s="2191"/>
      <c r="BZ66" s="2191"/>
      <c r="CA66" s="2191"/>
      <c r="CB66" s="2185"/>
      <c r="CC66" s="2115"/>
      <c r="CD66" s="2115"/>
      <c r="CE66" s="2106"/>
      <c r="CF66" s="2115"/>
      <c r="CG66" s="2115" t="str">
        <f>HYPERLINK("http://www.atcoelectric.com/Rates/tariffs/Documents/2016-10-01%20AE%20Rider%20S.pdf", "ATCO Electric October 2016 Rider S - SAS Deferral, Page 1")</f>
        <v>ATCO Electric October 2016 Rider S - SAS Deferral, Page 1</v>
      </c>
      <c r="CH66" s="2115"/>
      <c r="CI66" s="2227"/>
      <c r="CJ66" s="2228"/>
      <c r="CK66" s="2131"/>
      <c r="CL66" s="2191"/>
      <c r="CM66" s="2120"/>
      <c r="CN66" s="2124"/>
      <c r="CO66" s="2125"/>
      <c r="CP66" s="2106"/>
      <c r="CQ66" s="2106"/>
      <c r="CR66" s="2106"/>
      <c r="CS66" s="2109"/>
      <c r="CT66" s="2176"/>
      <c r="CU66" s="2177"/>
      <c r="CV66" s="2177"/>
      <c r="CW66" s="2177"/>
      <c r="CX66" s="2178"/>
    </row>
    <row r="67" spans="1:102" ht="30" customHeight="1" x14ac:dyDescent="0.3">
      <c r="A67" s="2206"/>
      <c r="B67" s="2206"/>
      <c r="C67" s="2207"/>
      <c r="D67" s="1037">
        <v>42675</v>
      </c>
      <c r="E67" s="2141"/>
      <c r="F67" s="2216"/>
      <c r="G67" s="2214"/>
      <c r="H67" s="2215"/>
      <c r="I67" s="2115"/>
      <c r="J67" s="2340"/>
      <c r="K67" s="2339"/>
      <c r="L67" s="2341"/>
      <c r="M67" s="2113" t="str">
        <f>HYPERLINK("https://www.enmax.com/ForYourHomeSite/Documents/EEC%20Rate%20Schedule.pdf", "ENMAX January 2017 Interim Regulated Rate Option Tariff, Page 1")</f>
        <v>ENMAX January 2017 Interim Regulated Rate Option Tariff, Page 1</v>
      </c>
      <c r="N67" s="2114" t="str">
        <f>HYPERLINK("https://www.enmax.com/ForYourHomeSite/Documents/EEC%20Rate%20Schedule.pdf", "ENMAX January 2017 Interim Regulated Rate Option Tariff, Page 2")</f>
        <v>ENMAX January 2017 Interim Regulated Rate Option Tariff, Page 2</v>
      </c>
      <c r="O67" s="2120"/>
      <c r="P67" s="2124"/>
      <c r="Q67" s="2125"/>
      <c r="R67" s="2106"/>
      <c r="S67" s="2106"/>
      <c r="T67" s="2106"/>
      <c r="U67" s="2109"/>
      <c r="V67" s="2149"/>
      <c r="W67" s="2150"/>
      <c r="X67" s="2150"/>
      <c r="Y67" s="2150"/>
      <c r="Z67" s="2151"/>
      <c r="AA67" s="2141"/>
      <c r="AB67" s="2246"/>
      <c r="AC67" s="2247"/>
      <c r="AD67" s="2247"/>
      <c r="AE67" s="2115"/>
      <c r="AF67" s="2106"/>
      <c r="AG67" s="2115"/>
      <c r="AH67" s="2115" t="str">
        <f>HYPERLINK("https://www.epcor.com/products-services/power/rates-tariffs-fees/Documents2/riderj-2016-11.pdf", "EPCOR November 2016 Rider J Interim Adjustment, Page 1")</f>
        <v>EPCOR November 2016 Rider J Interim Adjustment, Page 1</v>
      </c>
      <c r="AI67" s="2106"/>
      <c r="AJ67" s="2115"/>
      <c r="AK67" s="1574" t="str">
        <f>HYPERLINK("https://www.epcor.com/products-services/power/rates-tariffs-fees/Documents/RegulatedRateTariff-Edmonton-2016-11.pdf", "EPCOR November 2016 Regulated Rate Tariff, Page 2")</f>
        <v>EPCOR November 2016 Regulated Rate Tariff, Page 2</v>
      </c>
      <c r="AL67" s="2120"/>
      <c r="AM67" s="2124"/>
      <c r="AN67" s="2125"/>
      <c r="AO67" s="2106"/>
      <c r="AP67" s="2106"/>
      <c r="AQ67" s="2106"/>
      <c r="AR67" s="2109"/>
      <c r="AS67" s="2158"/>
      <c r="AT67" s="2159"/>
      <c r="AU67" s="2159"/>
      <c r="AV67" s="2159"/>
      <c r="AW67" s="2160"/>
      <c r="AX67" s="2141"/>
      <c r="AY67" s="2191"/>
      <c r="AZ67" s="2191"/>
      <c r="BA67" s="2191"/>
      <c r="BB67" s="2185"/>
      <c r="BC67" s="2115"/>
      <c r="BD67" s="2115"/>
      <c r="BE67" s="2115"/>
      <c r="BF67" s="2184"/>
      <c r="BG67" s="2185"/>
      <c r="BH67" s="2184"/>
      <c r="BI67" s="2185"/>
      <c r="BJ67" s="2115"/>
      <c r="BK67" s="1543" t="str">
        <f>HYPERLINK("https://www.epcor.com/products-services/power/rates-tariffs-fees/Documents/RegulatedRateTariff-Fortis-2016-11.pdf", "EPCOR November 2016 Regulated Rate Tariff, Page 2")</f>
        <v>EPCOR November 2016 Regulated Rate Tariff, Page 2</v>
      </c>
      <c r="BL67" s="2120"/>
      <c r="BM67" s="2124"/>
      <c r="BN67" s="2125"/>
      <c r="BO67" s="2106"/>
      <c r="BP67" s="2106"/>
      <c r="BQ67" s="2106"/>
      <c r="BR67" s="2109"/>
      <c r="BS67" s="2167"/>
      <c r="BT67" s="2168"/>
      <c r="BU67" s="2168"/>
      <c r="BV67" s="2168"/>
      <c r="BW67" s="2169"/>
      <c r="BX67" s="2141"/>
      <c r="BY67" s="2191"/>
      <c r="BZ67" s="2191"/>
      <c r="CA67" s="2191"/>
      <c r="CB67" s="2185"/>
      <c r="CC67" s="2115"/>
      <c r="CD67" s="2115"/>
      <c r="CE67" s="2106"/>
      <c r="CF67" s="2115"/>
      <c r="CG67" s="2115"/>
      <c r="CH67" s="2115"/>
      <c r="CI67" s="2227"/>
      <c r="CJ67" s="2228"/>
      <c r="CK67" s="2131"/>
      <c r="CL67" s="2191"/>
      <c r="CM67" s="2120"/>
      <c r="CN67" s="2124"/>
      <c r="CO67" s="2125"/>
      <c r="CP67" s="2106"/>
      <c r="CQ67" s="2106"/>
      <c r="CR67" s="2106"/>
      <c r="CS67" s="2109"/>
      <c r="CT67" s="2176"/>
      <c r="CU67" s="2177"/>
      <c r="CV67" s="2177"/>
      <c r="CW67" s="2177"/>
      <c r="CX67" s="2178"/>
    </row>
    <row r="68" spans="1:102" ht="30" customHeight="1" x14ac:dyDescent="0.3">
      <c r="A68" s="2206"/>
      <c r="B68" s="2206"/>
      <c r="C68" s="2207"/>
      <c r="D68" s="1102">
        <v>42705</v>
      </c>
      <c r="E68" s="2141"/>
      <c r="F68" s="2216"/>
      <c r="G68" s="2214"/>
      <c r="H68" s="2215"/>
      <c r="I68" s="2115"/>
      <c r="J68" s="2340"/>
      <c r="K68" s="2339"/>
      <c r="L68" s="2341"/>
      <c r="M68" s="2113"/>
      <c r="N68" s="2114"/>
      <c r="O68" s="2120"/>
      <c r="P68" s="2124"/>
      <c r="Q68" s="2125"/>
      <c r="R68" s="2106"/>
      <c r="S68" s="2106"/>
      <c r="T68" s="2106"/>
      <c r="U68" s="2109"/>
      <c r="V68" s="2149"/>
      <c r="W68" s="2150"/>
      <c r="X68" s="2150"/>
      <c r="Y68" s="2150"/>
      <c r="Z68" s="2151"/>
      <c r="AA68" s="2141"/>
      <c r="AB68" s="2246"/>
      <c r="AC68" s="2247"/>
      <c r="AD68" s="2247"/>
      <c r="AE68" s="2115"/>
      <c r="AF68" s="2107"/>
      <c r="AG68" s="2115"/>
      <c r="AH68" s="2115"/>
      <c r="AI68" s="2107"/>
      <c r="AJ68" s="2115"/>
      <c r="AK68" s="1574" t="str">
        <f>HYPERLINK("https://www.epcor.com/products-services/power/rates-tariffs-fees/Documents/RegulatedRateTariff-Edmonton-2016-12.pdf", "EPCOR December 2016 Regulated Rate Tariff, Page 2")</f>
        <v>EPCOR December 2016 Regulated Rate Tariff, Page 2</v>
      </c>
      <c r="AL68" s="2120"/>
      <c r="AM68" s="2124"/>
      <c r="AN68" s="2125"/>
      <c r="AO68" s="2106"/>
      <c r="AP68" s="2106"/>
      <c r="AQ68" s="2106"/>
      <c r="AR68" s="2109"/>
      <c r="AS68" s="2158"/>
      <c r="AT68" s="2159"/>
      <c r="AU68" s="2159"/>
      <c r="AV68" s="2159"/>
      <c r="AW68" s="2160"/>
      <c r="AX68" s="2141"/>
      <c r="AY68" s="2192"/>
      <c r="AZ68" s="2192"/>
      <c r="BA68" s="2192"/>
      <c r="BB68" s="2187"/>
      <c r="BC68" s="2115"/>
      <c r="BD68" s="2115"/>
      <c r="BE68" s="2115"/>
      <c r="BF68" s="2186"/>
      <c r="BG68" s="2187"/>
      <c r="BH68" s="2186"/>
      <c r="BI68" s="2187"/>
      <c r="BJ68" s="2115"/>
      <c r="BK68" s="1543" t="str">
        <f>HYPERLINK("https://www.epcor.com/products-services/power/rates-tariffs-fees/Documents/RegulatedRateTariff-Fortis-2016-12.pdf", "EPCOR December 2016 Regulated Rate Tariff, Page 2")</f>
        <v>EPCOR December 2016 Regulated Rate Tariff, Page 2</v>
      </c>
      <c r="BL68" s="2120"/>
      <c r="BM68" s="2124"/>
      <c r="BN68" s="2125"/>
      <c r="BO68" s="2106"/>
      <c r="BP68" s="2106"/>
      <c r="BQ68" s="2106"/>
      <c r="BR68" s="2109"/>
      <c r="BS68" s="2167"/>
      <c r="BT68" s="2168"/>
      <c r="BU68" s="2168"/>
      <c r="BV68" s="2168"/>
      <c r="BW68" s="2169"/>
      <c r="BX68" s="2141"/>
      <c r="BY68" s="2192"/>
      <c r="BZ68" s="2192"/>
      <c r="CA68" s="2192"/>
      <c r="CB68" s="2187"/>
      <c r="CC68" s="2115"/>
      <c r="CD68" s="2115"/>
      <c r="CE68" s="2107"/>
      <c r="CF68" s="2115"/>
      <c r="CG68" s="2115"/>
      <c r="CH68" s="2115"/>
      <c r="CI68" s="2227"/>
      <c r="CJ68" s="2228"/>
      <c r="CK68" s="2131"/>
      <c r="CL68" s="2192"/>
      <c r="CM68" s="2120"/>
      <c r="CN68" s="2124"/>
      <c r="CO68" s="2125"/>
      <c r="CP68" s="2106"/>
      <c r="CQ68" s="2106"/>
      <c r="CR68" s="2106"/>
      <c r="CS68" s="2109"/>
      <c r="CT68" s="2176"/>
      <c r="CU68" s="2177"/>
      <c r="CV68" s="2177"/>
      <c r="CW68" s="2177"/>
      <c r="CX68" s="2178"/>
    </row>
    <row r="69" spans="1:102" ht="30" customHeight="1" x14ac:dyDescent="0.3">
      <c r="A69" s="2204">
        <v>2017</v>
      </c>
      <c r="B69" s="2204"/>
      <c r="C69" s="2205"/>
      <c r="D69" s="1101">
        <v>42736</v>
      </c>
      <c r="E69" s="2141"/>
      <c r="F69" s="2213" t="str">
        <f>HYPERLINK("https://www.enmax.com/ForYourHomeSite/Documents/2017-01-01-DT-Rate-Schedule.pdf", "ENMAX January 2017 Distribution Tariff Rate Schedule, Page 3")</f>
        <v>ENMAX January 2017 Distribution Tariff Rate Schedule, Page 3</v>
      </c>
      <c r="G69" s="2214"/>
      <c r="H69" s="2215"/>
      <c r="I69" s="2115"/>
      <c r="J69" s="2338" t="str">
        <f>HYPERLINK("https://www.enmax.com/ForYourHomeSite/Documents/2017-01-01-DT-Rate-Schedule.pdf", "ENMAX January 2017 Distribution Tariff Rate Schedule, Page 19-20")</f>
        <v>ENMAX January 2017 Distribution Tariff Rate Schedule, Page 19-20</v>
      </c>
      <c r="K69" s="2339"/>
      <c r="L69" s="2341"/>
      <c r="M69" s="2113"/>
      <c r="N69" s="2114"/>
      <c r="O69" s="2120"/>
      <c r="P69" s="2124"/>
      <c r="Q69" s="2125"/>
      <c r="R69" s="2106"/>
      <c r="S69" s="2106"/>
      <c r="T69" s="2106"/>
      <c r="U69" s="2109"/>
      <c r="V69" s="2149"/>
      <c r="W69" s="2150"/>
      <c r="X69" s="2150"/>
      <c r="Y69" s="2150"/>
      <c r="Z69" s="2151"/>
      <c r="AA69" s="2141"/>
      <c r="AB69" s="2246" t="str">
        <f>HYPERLINK("https://www.epcor.com/products-services/power/rates-tariffs-fees/Documents2/SystemAccessServiceTariff-2017.pdf", "EPCOR January 2017 System Access Service Tariff, Page 3")</f>
        <v>EPCOR January 2017 System Access Service Tariff, Page 3</v>
      </c>
      <c r="AC69" s="2247" t="str">
        <f>HYPERLINK("https://www.epcor.com/products-services/power/rates-tariffs-fees/Documents2/DistributionAccessServiceTariff-2017.pdf", "EPCOR January 2017 Distribution Access Service Tariff, Page 3")</f>
        <v>EPCOR January 2017 Distribution Access Service Tariff, Page 3</v>
      </c>
      <c r="AD69" s="2247"/>
      <c r="AE69" s="2231" t="str">
        <f>HYPERLINK("https://www.epcor.com/products-services/power/rates-tariffs-fees/Documents2/LocalAccessFeeChange-2017-01.pdf", "EPCOR January 2017 Local Access Fee Retailer Notice, Page 1")</f>
        <v>EPCOR January 2017 Local Access Fee Retailer Notice, Page 1</v>
      </c>
      <c r="AF69" s="2231" t="str">
        <f>HYPERLINK("https://www.epcor.com/products-services/power/rates-tariffs-fees/Documents2/riderg-2017-01.pdf", "EPCOR January 2017 Rider G Temporary Adjustment, Page 1")</f>
        <v>EPCOR January 2017 Rider G Temporary Adjustment, Page 1</v>
      </c>
      <c r="AG69" s="2115" t="str">
        <f>HYPERLINK("https://www.epcor.com/products-services/power/rates-tariffs-fees/Documents2/riderk-2017-01.pdf", "EPCOR January 2017 Rider K Short-Term Adjustment, Page 1")</f>
        <v>EPCOR January 2017 Rider K Short-Term Adjustment, Page 1</v>
      </c>
      <c r="AH69" s="2115" t="str">
        <f>HYPERLINK("https://www.epcor.com/products-services/power/rates-tariffs-fees/Documents2/riderj-2017-01.pdf", "EPCOR January 2017 Rider J Interim Adjustment, Page 1")</f>
        <v>EPCOR January 2017 Rider J Interim Adjustment, Page 1</v>
      </c>
      <c r="AI69" s="2202" t="str">
        <f>HYPERLINK("https://www.epcor.com/products-services/power/rates-tariffs-fees/Documents2/DistributionAccessServiceTariff-2017.pdf", "EPCOR January 2017 Distribution Access Service Tariff, Page 25")</f>
        <v>EPCOR January 2017 Distribution Access Service Tariff, Page 25</v>
      </c>
      <c r="AJ69" s="2115" t="str">
        <f>HYPERLINK("https://www.epcor.com/products-services/power/rates-tariffs-fees/Documents2/DistributionAccessServiceTariff-2017.pdf", "EPCOR January 2017 Distribution Access Service Tariff, Page 23")</f>
        <v>EPCOR January 2017 Distribution Access Service Tariff, Page 23</v>
      </c>
      <c r="AK69" s="1574" t="str">
        <f>HYPERLINK("https://www.epcor.com/products-services/power/rates-tariffs-fees/Documents/RegulatedRateTariff-Edmonton-2017-01.pdf", "EPCOR January 2017 Regulated Rate Tariff, Page 2")</f>
        <v>EPCOR January 2017 Regulated Rate Tariff, Page 2</v>
      </c>
      <c r="AL69" s="2120"/>
      <c r="AM69" s="2124"/>
      <c r="AN69" s="2125"/>
      <c r="AO69" s="2106"/>
      <c r="AP69" s="2106"/>
      <c r="AQ69" s="2106"/>
      <c r="AR69" s="2109"/>
      <c r="AS69" s="2158"/>
      <c r="AT69" s="2159"/>
      <c r="AU69" s="2159"/>
      <c r="AV69" s="2159"/>
      <c r="AW69" s="2160"/>
      <c r="AX69" s="2141"/>
      <c r="AY69" s="2190" t="str">
        <f>HYPERLINK("https://www.fortisalberta.com/docs/default-source/default-document-library/2017-rates-options-and-riders.pdf?sfvrsn=7909801b_10", "Fortis Alberta January 2017 Rates, Options, and Riders, Page 2")</f>
        <v>Fortis Alberta January 2017 Rates, Options, and Riders, Page 2</v>
      </c>
      <c r="AZ69" s="2190"/>
      <c r="BA69" s="2190"/>
      <c r="BB69" s="2200"/>
      <c r="BC69" s="2115" t="str">
        <f>HYPERLINK("https://www.fortisalberta.com/docs/default-source/default-document-library/2017-rates-options-and-riders.pdf?sfvrsn=7909801b_10", "Fortis Alberta January 2017 Rates, Options, and Riders, Page 27-29")</f>
        <v>Fortis Alberta January 2017 Rates, Options, and Riders, Page 27-29</v>
      </c>
      <c r="BD69" s="2115" t="str">
        <f>HYPERLINK("https://www.fortisalberta.com/docs/default-source/default-document-library/2017-rates-options-and-riders.pdf?sfvrsn=7909801b_10", "Fortis Alberta January 2017 Rates, Options, and Riders, Page 24-26")</f>
        <v>Fortis Alberta January 2017 Rates, Options, and Riders, Page 24-26</v>
      </c>
      <c r="BE69" s="2115" t="str">
        <f>HYPERLINK("https://www.fortisalberta.com/docs/default-source/default-document-library/2017-rates-options-and-riders.pdf?sfvrsn=7909801b_10", "Fortis Alberta January 2017 Rates, Options, and Riders, Page 30")</f>
        <v>Fortis Alberta January 2017 Rates, Options, and Riders, Page 30</v>
      </c>
      <c r="BF69" s="2115" t="str">
        <f>HYPERLINK("https://www.fortisalberta.com/docs/default-source/default-document-library/2017-rates-options-and-riders.pdf?sfvrsn=7909801b_10", "Fortis Alberta January 2017 Rates, Options, and Riders, Page 31")</f>
        <v>Fortis Alberta January 2017 Rates, Options, and Riders, Page 31</v>
      </c>
      <c r="BG69" s="2115"/>
      <c r="BH69" s="2115" t="str">
        <f>HYPERLINK("https://www.fortisalberta.com/docs/default-source/default-document-library/2017-rates-options-and-riders.pdf?sfvrsn=7909801b_10", "Fortis Alberta January 2017 Rates, Options, and Riders, Page 32")</f>
        <v>Fortis Alberta January 2017 Rates, Options, and Riders, Page 32</v>
      </c>
      <c r="BI69" s="2115"/>
      <c r="BJ69" s="2115" t="str">
        <f>HYPERLINK("https://www.fortisalberta.com/docs/default-source/default-document-library/2017-rates-options-and-riders.pdf?sfvrsn=7909801b_10", "Fortis Alberta January 2017 Rates, Options, and Riders")</f>
        <v>Fortis Alberta January 2017 Rates, Options, and Riders</v>
      </c>
      <c r="BK69" s="1543" t="str">
        <f>HYPERLINK("https://www.epcor.com/products-services/power/rates-tariffs-fees/Documents/RegulatedRateTariff-Fortis-2017-01.pdf", "EPCOR January 2017 Regulated Rate Tariff, Page 2")</f>
        <v>EPCOR January 2017 Regulated Rate Tariff, Page 2</v>
      </c>
      <c r="BL69" s="2120"/>
      <c r="BM69" s="2124"/>
      <c r="BN69" s="2125"/>
      <c r="BO69" s="2106"/>
      <c r="BP69" s="2106"/>
      <c r="BQ69" s="2106"/>
      <c r="BR69" s="2109"/>
      <c r="BS69" s="2167"/>
      <c r="BT69" s="2168"/>
      <c r="BU69" s="2168"/>
      <c r="BV69" s="2168"/>
      <c r="BW69" s="2169"/>
      <c r="BX69" s="2141"/>
      <c r="BY69" s="2190" t="str">
        <f>HYPERLINK("http://www.atcoelectric.com/Rates/tariffs/Documents/2017-01-01%20AE%20Price%20Schedules.pdf", "ATCO Electric January 2017 Price Schedule Index, Page 2")</f>
        <v>ATCO Electric January 2017 Price Schedule Index, Page 2</v>
      </c>
      <c r="BZ69" s="2190"/>
      <c r="CA69" s="2190"/>
      <c r="CB69" s="2200"/>
      <c r="CC69" s="2220" t="str">
        <f>HYPERLINK("http://www.atcoelectric.com/Rates/tariffs/Documents/2017-01-01%20AE%20Rider%20A.pdf", "ATCO Electric January 2017 Rider A Rate Schedule, Page 2")</f>
        <v>ATCO Electric January 2017 Rider A Rate Schedule, Page 2</v>
      </c>
      <c r="CD69" s="2220"/>
      <c r="CE69" s="2231" t="str">
        <f>HYPERLINK("http://www.atcoelectric.com/Rates/tariffs/Documents/2017-01-01%20AE%20Price%20Schedules.pdf", "ATCO Electric January 2017 Price Schedule Index, Page 45")</f>
        <v>ATCO Electric January 2017 Price Schedule Index, Page 45</v>
      </c>
      <c r="CF69" s="2115" t="str">
        <f>HYPERLINK("http://www.atcoelectric.com/Rates/tariffs/Documents/2017-01-01%20AE%20Rider%20G.pdf", "ATCO Electric January 2017 Rider G Temporary Adjustment, Page 1")</f>
        <v>ATCO Electric January 2017 Rider G Temporary Adjustment, Page 1</v>
      </c>
      <c r="CG69" s="2115" t="str">
        <f>HYPERLINK("http://www.atcoelectric.com/Rates/tariffs/Documents/2017-01-01%20AE%20Rider%20S.pdf", "ATCO Electric January 2017 Rider S - SAS Deferral, Page 1")</f>
        <v>ATCO Electric January 2017 Rider S - SAS Deferral, Page 1</v>
      </c>
      <c r="CH69" s="2113" t="str">
        <f>HYPERLINK("http://www.atcoelectric.com/Rates/tariffs/Documents/2017-01-01%20AE%20Price%20Schedules.pdf", "ATCO Electric January 2017 Price Schedule Index, Page 48")</f>
        <v>ATCO Electric January 2017 Price Schedule Index, Page 48</v>
      </c>
      <c r="CI69" s="2229"/>
      <c r="CJ69" s="2230"/>
      <c r="CK69" s="2131"/>
      <c r="CL69" s="2425" t="str">
        <f>HYPERLINK("http://www.auc.ab.ca/regulatory_documents/ProceedingDocuments/2016/22266-D01-2016.pdf", "AUC Decision 22266-D01-2016 Direct Energy Regulated Services 2017 Interim Default Rate Tariff and Regulated Rate Tariff, Page 12")</f>
        <v>AUC Decision 22266-D01-2016 Direct Energy Regulated Services 2017 Interim Default Rate Tariff and Regulated Rate Tariff, Page 12</v>
      </c>
      <c r="CM69" s="2120"/>
      <c r="CN69" s="2124"/>
      <c r="CO69" s="2125"/>
      <c r="CP69" s="2106"/>
      <c r="CQ69" s="2106"/>
      <c r="CR69" s="2106"/>
      <c r="CS69" s="2109"/>
      <c r="CT69" s="2176"/>
      <c r="CU69" s="2177"/>
      <c r="CV69" s="2177"/>
      <c r="CW69" s="2177"/>
      <c r="CX69" s="2178"/>
    </row>
    <row r="70" spans="1:102" ht="30" customHeight="1" x14ac:dyDescent="0.3">
      <c r="A70" s="2206"/>
      <c r="B70" s="2206"/>
      <c r="C70" s="2207"/>
      <c r="D70" s="1037">
        <v>42767</v>
      </c>
      <c r="E70" s="2141"/>
      <c r="F70" s="2216"/>
      <c r="G70" s="2214"/>
      <c r="H70" s="2215"/>
      <c r="I70" s="2115"/>
      <c r="J70" s="2340"/>
      <c r="K70" s="2339"/>
      <c r="L70" s="2341"/>
      <c r="M70" s="2113"/>
      <c r="N70" s="2114"/>
      <c r="O70" s="2120"/>
      <c r="P70" s="2124"/>
      <c r="Q70" s="2125"/>
      <c r="R70" s="2106"/>
      <c r="S70" s="2106"/>
      <c r="T70" s="2106"/>
      <c r="U70" s="2109"/>
      <c r="V70" s="2149"/>
      <c r="W70" s="2150"/>
      <c r="X70" s="2150"/>
      <c r="Y70" s="2150"/>
      <c r="Z70" s="2151"/>
      <c r="AA70" s="2141"/>
      <c r="AB70" s="2246"/>
      <c r="AC70" s="2247"/>
      <c r="AD70" s="2247"/>
      <c r="AE70" s="2231"/>
      <c r="AF70" s="2214"/>
      <c r="AG70" s="2115"/>
      <c r="AH70" s="2115"/>
      <c r="AI70" s="2106"/>
      <c r="AJ70" s="2115"/>
      <c r="AK70" s="1574" t="str">
        <f>HYPERLINK("https://www.epcor.com/products-services/power/rates-tariffs-fees/Documents/RegulatedRateTariff-Edmonton-2017-02.pdf", "EPCOR February 2017 Regulated Rate Tariff, Page 2")</f>
        <v>EPCOR February 2017 Regulated Rate Tariff, Page 2</v>
      </c>
      <c r="AL70" s="2120"/>
      <c r="AM70" s="2124"/>
      <c r="AN70" s="2125"/>
      <c r="AO70" s="2106"/>
      <c r="AP70" s="2106"/>
      <c r="AQ70" s="2106"/>
      <c r="AR70" s="2109"/>
      <c r="AS70" s="2158"/>
      <c r="AT70" s="2159"/>
      <c r="AU70" s="2159"/>
      <c r="AV70" s="2159"/>
      <c r="AW70" s="2160"/>
      <c r="AX70" s="2141"/>
      <c r="AY70" s="2191"/>
      <c r="AZ70" s="2191"/>
      <c r="BA70" s="2191"/>
      <c r="BB70" s="2185"/>
      <c r="BC70" s="2115"/>
      <c r="BD70" s="2115"/>
      <c r="BE70" s="2115"/>
      <c r="BF70" s="2115"/>
      <c r="BG70" s="2115"/>
      <c r="BH70" s="2115"/>
      <c r="BI70" s="2115"/>
      <c r="BJ70" s="2115"/>
      <c r="BK70" s="1543" t="str">
        <f>HYPERLINK("https://www.epcor.com/products-services/power/rates-tariffs-fees/Documents/RegulatedRateTariff-Fortis-2017-02.pdf", "EPCOR February 2017 Regulated Rate Tariff, Page 2")</f>
        <v>EPCOR February 2017 Regulated Rate Tariff, Page 2</v>
      </c>
      <c r="BL70" s="2120"/>
      <c r="BM70" s="2124"/>
      <c r="BN70" s="2125"/>
      <c r="BO70" s="2106"/>
      <c r="BP70" s="2106"/>
      <c r="BQ70" s="2106"/>
      <c r="BR70" s="2109"/>
      <c r="BS70" s="2167"/>
      <c r="BT70" s="2168"/>
      <c r="BU70" s="2168"/>
      <c r="BV70" s="2168"/>
      <c r="BW70" s="2169"/>
      <c r="BX70" s="2141"/>
      <c r="BY70" s="2191"/>
      <c r="BZ70" s="2191"/>
      <c r="CA70" s="2191"/>
      <c r="CB70" s="2185"/>
      <c r="CC70" s="2220"/>
      <c r="CD70" s="2220"/>
      <c r="CE70" s="2231"/>
      <c r="CF70" s="2115"/>
      <c r="CG70" s="2115"/>
      <c r="CH70" s="2194"/>
      <c r="CI70" s="2128" t="str">
        <f>HYPERLINK("https://www.directenergyregulatedservices.com/images/docs/170626-DERS-Jul-2017-RRT-Interim-Rate-Schedules.pdf", "Direct Energy Regulated Services July 2017 Interim RRT Rate Schedules, Page 2")</f>
        <v>Direct Energy Regulated Services July 2017 Interim RRT Rate Schedules, Page 2</v>
      </c>
      <c r="CJ70" s="1605" t="s">
        <v>610</v>
      </c>
      <c r="CK70" s="2131"/>
      <c r="CL70" s="2432"/>
      <c r="CM70" s="2120"/>
      <c r="CN70" s="2124"/>
      <c r="CO70" s="2125"/>
      <c r="CP70" s="2106"/>
      <c r="CQ70" s="2106"/>
      <c r="CR70" s="2106"/>
      <c r="CS70" s="2109"/>
      <c r="CT70" s="2176"/>
      <c r="CU70" s="2177"/>
      <c r="CV70" s="2177"/>
      <c r="CW70" s="2177"/>
      <c r="CX70" s="2178"/>
    </row>
    <row r="71" spans="1:102" ht="30" customHeight="1" x14ac:dyDescent="0.3">
      <c r="A71" s="2206"/>
      <c r="B71" s="2206"/>
      <c r="C71" s="2207"/>
      <c r="D71" s="1037">
        <v>42795</v>
      </c>
      <c r="E71" s="2141"/>
      <c r="F71" s="2216"/>
      <c r="G71" s="2214"/>
      <c r="H71" s="2215"/>
      <c r="I71" s="2115"/>
      <c r="J71" s="2340"/>
      <c r="K71" s="2339"/>
      <c r="L71" s="2341"/>
      <c r="M71" s="2113"/>
      <c r="N71" s="2114"/>
      <c r="O71" s="2120"/>
      <c r="P71" s="2124"/>
      <c r="Q71" s="2125"/>
      <c r="R71" s="2106"/>
      <c r="S71" s="2106"/>
      <c r="T71" s="2106"/>
      <c r="U71" s="2109"/>
      <c r="V71" s="2149"/>
      <c r="W71" s="2150"/>
      <c r="X71" s="2150"/>
      <c r="Y71" s="2150"/>
      <c r="Z71" s="2151"/>
      <c r="AA71" s="2141"/>
      <c r="AB71" s="2246"/>
      <c r="AC71" s="2247"/>
      <c r="AD71" s="2247"/>
      <c r="AE71" s="2231"/>
      <c r="AF71" s="2214"/>
      <c r="AG71" s="2115"/>
      <c r="AH71" s="2115"/>
      <c r="AI71" s="2107"/>
      <c r="AJ71" s="2115"/>
      <c r="AK71" s="1574" t="str">
        <f>HYPERLINK("https://www.epcor.com/products-services/power/rates-tariffs-fees/Documents/RegulatedRateTariff-Edmonton-2017-03.pdf", "EPCOR March 2017 Regulated Rate Tariff, Page 2")</f>
        <v>EPCOR March 2017 Regulated Rate Tariff, Page 2</v>
      </c>
      <c r="AL71" s="2120"/>
      <c r="AM71" s="2124"/>
      <c r="AN71" s="2125"/>
      <c r="AO71" s="2106"/>
      <c r="AP71" s="2106"/>
      <c r="AQ71" s="2106"/>
      <c r="AR71" s="2109"/>
      <c r="AS71" s="2158"/>
      <c r="AT71" s="2159"/>
      <c r="AU71" s="2159"/>
      <c r="AV71" s="2159"/>
      <c r="AW71" s="2160"/>
      <c r="AX71" s="2141"/>
      <c r="AY71" s="2192"/>
      <c r="AZ71" s="2192"/>
      <c r="BA71" s="2192"/>
      <c r="BB71" s="2187"/>
      <c r="BC71" s="2115"/>
      <c r="BD71" s="2115"/>
      <c r="BE71" s="2115"/>
      <c r="BF71" s="2115"/>
      <c r="BG71" s="2115"/>
      <c r="BH71" s="2115"/>
      <c r="BI71" s="2115"/>
      <c r="BJ71" s="2115"/>
      <c r="BK71" s="1543" t="str">
        <f>HYPERLINK("https://www.epcor.com/products-services/power/rates-tariffs-fees/Documents/RegulatedRateTariff-Fortis-2017-03.pdf", "EPCOR March 2017 Regulated Rate Tariff, Page 2")</f>
        <v>EPCOR March 2017 Regulated Rate Tariff, Page 2</v>
      </c>
      <c r="BL71" s="2120"/>
      <c r="BM71" s="2124"/>
      <c r="BN71" s="2125"/>
      <c r="BO71" s="2106"/>
      <c r="BP71" s="2106"/>
      <c r="BQ71" s="2106"/>
      <c r="BR71" s="2109"/>
      <c r="BS71" s="2167"/>
      <c r="BT71" s="2168"/>
      <c r="BU71" s="2168"/>
      <c r="BV71" s="2168"/>
      <c r="BW71" s="2169"/>
      <c r="BX71" s="2141"/>
      <c r="BY71" s="2191"/>
      <c r="BZ71" s="2191"/>
      <c r="CA71" s="2191"/>
      <c r="CB71" s="2185"/>
      <c r="CC71" s="2220"/>
      <c r="CD71" s="2220"/>
      <c r="CE71" s="2231"/>
      <c r="CF71" s="2115"/>
      <c r="CG71" s="2115"/>
      <c r="CH71" s="2194"/>
      <c r="CI71" s="2128"/>
      <c r="CJ71" s="2115" t="str">
        <f t="shared" ref="CJ71" si="0">HYPERLINK("https://www.directenergyregulatedservices.com/images/docs/170825-DERS-Sep-2017-RRT-Interim-Rate-Schedules.pdf", "Direct Energy Regulated Services September 2017 Interim RRT Rate Schedules, Page 2")</f>
        <v>Direct Energy Regulated Services September 2017 Interim RRT Rate Schedules, Page 2</v>
      </c>
      <c r="CK71" s="2132"/>
      <c r="CL71" s="2432"/>
      <c r="CM71" s="2120"/>
      <c r="CN71" s="2124"/>
      <c r="CO71" s="2125"/>
      <c r="CP71" s="2106"/>
      <c r="CQ71" s="2106"/>
      <c r="CR71" s="2106"/>
      <c r="CS71" s="2109"/>
      <c r="CT71" s="2176"/>
      <c r="CU71" s="2177"/>
      <c r="CV71" s="2177"/>
      <c r="CW71" s="2177"/>
      <c r="CX71" s="2178"/>
    </row>
    <row r="72" spans="1:102" ht="30" customHeight="1" x14ac:dyDescent="0.3">
      <c r="A72" s="2206"/>
      <c r="B72" s="2206"/>
      <c r="C72" s="2207"/>
      <c r="D72" s="1037">
        <v>42826</v>
      </c>
      <c r="E72" s="2141"/>
      <c r="F72" s="2213" t="str">
        <f>HYPERLINK("https://www.enmax.com/ForYourBusinessSite/Documents/2017-04-01-DT-Rate-Schedule.pdf", "ENMAX April 2017 Distribution Tariff Rate Schedule, Page 3")</f>
        <v>ENMAX April 2017 Distribution Tariff Rate Schedule, Page 3</v>
      </c>
      <c r="G72" s="2214"/>
      <c r="H72" s="2215"/>
      <c r="I72" s="2115"/>
      <c r="J72" s="2338" t="str">
        <f>HYPERLINK("https://www.enmax.com/ForYourBusinessSite/Documents/2017-04-01-DT-Rate-Schedule.pdf", "ENMAX April 2017 Distribution Tariff Rate Schedule, Pages 19-20")</f>
        <v>ENMAX April 2017 Distribution Tariff Rate Schedule, Pages 19-20</v>
      </c>
      <c r="K72" s="2339"/>
      <c r="L72" s="2341"/>
      <c r="M72" s="2113"/>
      <c r="N72" s="2114"/>
      <c r="O72" s="2120"/>
      <c r="P72" s="2124"/>
      <c r="Q72" s="2125"/>
      <c r="R72" s="2106"/>
      <c r="S72" s="2106"/>
      <c r="T72" s="2106"/>
      <c r="U72" s="2109"/>
      <c r="V72" s="2149"/>
      <c r="W72" s="2150"/>
      <c r="X72" s="2150"/>
      <c r="Y72" s="2150"/>
      <c r="Z72" s="2151"/>
      <c r="AA72" s="2141"/>
      <c r="AB72" s="2246"/>
      <c r="AC72" s="2247"/>
      <c r="AD72" s="2247"/>
      <c r="AE72" s="2231"/>
      <c r="AF72" s="2214"/>
      <c r="AG72" s="2115" t="str">
        <f>HYPERLINK("https://www.epcor.com/products-services/power/rates-tariffs-fees/Documents2/riderk-2017-04.pdf", "EPCOR April 2017 Rider K Short-Term Adjustment, Page 1")</f>
        <v>EPCOR April 2017 Rider K Short-Term Adjustment, Page 1</v>
      </c>
      <c r="AH72" s="2400" t="str">
        <f>HYPERLINK("https://www.epcor.com/products-services/power/rates-tariffs-fees/Documents2/riderj-2017-04.pdf", "EPCOR April 2017 Rider J Interim Adjustment, Page 1")</f>
        <v>EPCOR April 2017 Rider J Interim Adjustment, Page 1</v>
      </c>
      <c r="AI72" s="2128" t="str">
        <f>HYPERLINK("https://www.epcor.com/products-services/power/rates-tariffs-fees/Documents2/riderdj-2017-04.pdf", "EPCOR April 2017 Rider DJ Interim Adjustment, Page 1")</f>
        <v>EPCOR April 2017 Rider DJ Interim Adjustment, Page 1</v>
      </c>
      <c r="AJ72" s="2115"/>
      <c r="AK72" s="1574" t="str">
        <f>HYPERLINK("https://www.epcor.com/products-services/power/rates-tariffs-fees/Documents/RegulatedRateTariff-Edmonton-2017-04.pdf", "EPCOR April 2017 Regulated Rate Tariff, Page 2")</f>
        <v>EPCOR April 2017 Regulated Rate Tariff, Page 2</v>
      </c>
      <c r="AL72" s="2120"/>
      <c r="AM72" s="2124"/>
      <c r="AN72" s="2125"/>
      <c r="AO72" s="2106"/>
      <c r="AP72" s="2106"/>
      <c r="AQ72" s="2106"/>
      <c r="AR72" s="2109"/>
      <c r="AS72" s="2158"/>
      <c r="AT72" s="2159"/>
      <c r="AU72" s="2159"/>
      <c r="AV72" s="2159"/>
      <c r="AW72" s="2160"/>
      <c r="AX72" s="2141"/>
      <c r="AY72" s="2190" t="str">
        <f>HYPERLINK("https://www.fortisalberta.com/docs/default-source/default-document-library/2017-april-rates-options-riders.pdf?sfvrsn=d4e49f1b_6", "Fortis Alberta April 2017 Rates, Options, and Riders, Page 2")</f>
        <v>Fortis Alberta April 2017 Rates, Options, and Riders, Page 2</v>
      </c>
      <c r="AZ72" s="2190"/>
      <c r="BA72" s="2190"/>
      <c r="BB72" s="2200"/>
      <c r="BC72" s="2115" t="str">
        <f>HYPERLINK("https://www.fortisalberta.com/docs/default-source/default-document-library/2017-april-rates-options-riders.pdf?sfvrsn=d4e49f1b_6", "Fortis Alberta April 2017 Rates, Options, and Riders, Page 27-29")</f>
        <v>Fortis Alberta April 2017 Rates, Options, and Riders, Page 27-29</v>
      </c>
      <c r="BD72" s="2115" t="str">
        <f>HYPERLINK("https://www.fortisalberta.com/docs/default-source/default-document-library/2017-april-rates-options-riders.pdf?sfvrsn=d4e49f1b_6", "Fortis Alberta April 2017 Rates, Options, and Riders, Page 24-26")</f>
        <v>Fortis Alberta April 2017 Rates, Options, and Riders, Page 24-26</v>
      </c>
      <c r="BE72" s="2115" t="str">
        <f>HYPERLINK("https://www.fortisalberta.com/docs/default-source/default-document-library/2017-april-rates-options-riders.pdf?sfvrsn=d4e49f1b_6", "Fortis Alberta April 2017 Rates, Options, and Riders, Page 30")</f>
        <v>Fortis Alberta April 2017 Rates, Options, and Riders, Page 30</v>
      </c>
      <c r="BF72" s="2203" t="str">
        <f>HYPERLINK("https://www.fortisalberta.com/docs/default-source/default-document-library/2017-april-rates-options-riders.pdf?sfvrsn=d4e49f1b_6", "Fortis Alberta April 2017 Rates, Options, and Riders, Page 31")</f>
        <v>Fortis Alberta April 2017 Rates, Options, and Riders, Page 31</v>
      </c>
      <c r="BG72" s="2203"/>
      <c r="BH72" s="2203" t="str">
        <f>HYPERLINK("https://www.fortisalberta.com/docs/default-source/default-document-library/2017-april-rates-options-riders.pdf?sfvrsn=d4e49f1b_6", "Fortis Alberta April 2017 Rates, Options, and Riders, Page 32")</f>
        <v>Fortis Alberta April 2017 Rates, Options, and Riders, Page 32</v>
      </c>
      <c r="BI72" s="2203"/>
      <c r="BJ72" s="2115" t="str">
        <f>HYPERLINK("https://www.fortisalberta.com/docs/default-source/default-document-library/2017-april-rates-options-riders.pdf?sfvrsn=d4e49f1b_6", "Fortis Alberta April 2017 Rates, Options, and Riders")</f>
        <v>Fortis Alberta April 2017 Rates, Options, and Riders</v>
      </c>
      <c r="BK72" s="1543" t="str">
        <f>HYPERLINK("https://www.epcor.com/products-services/power/rates-tariffs-fees/Documents/RegulatedRateTariff-Fortis-2017-04.pdf", "EPCOR April 2017 Regulated Rate Tariff, Page 2")</f>
        <v>EPCOR April 2017 Regulated Rate Tariff, Page 2</v>
      </c>
      <c r="BL72" s="2120"/>
      <c r="BM72" s="2124"/>
      <c r="BN72" s="2125"/>
      <c r="BO72" s="2106"/>
      <c r="BP72" s="2106"/>
      <c r="BQ72" s="2106"/>
      <c r="BR72" s="2109"/>
      <c r="BS72" s="2167"/>
      <c r="BT72" s="2168"/>
      <c r="BU72" s="2168"/>
      <c r="BV72" s="2168"/>
      <c r="BW72" s="2169"/>
      <c r="BX72" s="2141"/>
      <c r="BY72" s="2398" t="str">
        <f>HYPERLINK("http://www.atcoelectric.com/Rates/tariffs/Documents/2017-Tariffs/2017-04-01%20AE%20Price%20Schedules.pdf", "ATCO Electric April 2017 Price Schedule Index, Page 2")</f>
        <v>ATCO Electric April 2017 Price Schedule Index, Page 2</v>
      </c>
      <c r="BZ72" s="2115"/>
      <c r="CA72" s="2115"/>
      <c r="CB72" s="2115"/>
      <c r="CC72" s="2220" t="str">
        <f>HYPERLINK("http://www.atcoelectric.com/Rates/tariffs/Documents/2017-Tariffs/2017-04-01%20AE%20Rider%20A.pdf", "ATCO Electric April 2017 Rider A Rate Schedule, Page 2")</f>
        <v>ATCO Electric April 2017 Rider A Rate Schedule, Page 2</v>
      </c>
      <c r="CD72" s="2220"/>
      <c r="CE72" s="2231"/>
      <c r="CF72" s="2115"/>
      <c r="CG72" s="2115" t="str">
        <f>HYPERLINK("http://www.atcoelectric.com/Rates/tariffs/Documents/2017-Tariffs/2017-04-01%20AE%20Rider%20S.pdf", "ATCO Electric April 2017 Rider S - SAS Deferral, Page 1")</f>
        <v>ATCO Electric April 2017 Rider S - SAS Deferral, Page 1</v>
      </c>
      <c r="CH72" s="2193" t="str">
        <f>HYPERLINK("http://www.atcoelectric.com/Rates/tariffs/Documents/2017-Tariffs/2017-04-01%20AE%20Price%20Schedules.pdf", "ATCO Electric April 2017 Price Schedule Index, Page 48")</f>
        <v>ATCO Electric April 2017 Price Schedule Index, Page 48</v>
      </c>
      <c r="CI72" s="2128"/>
      <c r="CJ72" s="2115"/>
      <c r="CK72" s="2132"/>
      <c r="CL72" s="2432"/>
      <c r="CM72" s="2120"/>
      <c r="CN72" s="2124"/>
      <c r="CO72" s="2125"/>
      <c r="CP72" s="2106"/>
      <c r="CQ72" s="2106"/>
      <c r="CR72" s="2106"/>
      <c r="CS72" s="2109"/>
      <c r="CT72" s="2176"/>
      <c r="CU72" s="2177"/>
      <c r="CV72" s="2177"/>
      <c r="CW72" s="2177"/>
      <c r="CX72" s="2178"/>
    </row>
    <row r="73" spans="1:102" ht="30" customHeight="1" x14ac:dyDescent="0.3">
      <c r="A73" s="2206"/>
      <c r="B73" s="2206"/>
      <c r="C73" s="2207"/>
      <c r="D73" s="1037">
        <v>42856</v>
      </c>
      <c r="E73" s="2141"/>
      <c r="F73" s="2216"/>
      <c r="G73" s="2214"/>
      <c r="H73" s="2215"/>
      <c r="I73" s="2115"/>
      <c r="J73" s="2340"/>
      <c r="K73" s="2339"/>
      <c r="L73" s="2341"/>
      <c r="M73" s="2113"/>
      <c r="N73" s="2114"/>
      <c r="O73" s="2120"/>
      <c r="P73" s="2124"/>
      <c r="Q73" s="2125"/>
      <c r="R73" s="2106"/>
      <c r="S73" s="2106"/>
      <c r="T73" s="2106"/>
      <c r="U73" s="2109"/>
      <c r="V73" s="2149"/>
      <c r="W73" s="2150"/>
      <c r="X73" s="2150"/>
      <c r="Y73" s="2150"/>
      <c r="Z73" s="2151"/>
      <c r="AA73" s="2141"/>
      <c r="AB73" s="2246"/>
      <c r="AC73" s="2247"/>
      <c r="AD73" s="2247"/>
      <c r="AE73" s="2231"/>
      <c r="AF73" s="2214"/>
      <c r="AG73" s="2115"/>
      <c r="AH73" s="2401"/>
      <c r="AI73" s="2115"/>
      <c r="AJ73" s="2115"/>
      <c r="AK73" s="1574" t="str">
        <f>HYPERLINK("https://www.epcor.com/products-services/power/rates-tariffs-fees/Documents/RegulatedRateTariff-Edmonton-2017-05.pdf", "EPCOR May 2017 Regulated Rate Tariff, Page 2")</f>
        <v>EPCOR May 2017 Regulated Rate Tariff, Page 2</v>
      </c>
      <c r="AL73" s="2120"/>
      <c r="AM73" s="2124"/>
      <c r="AN73" s="2125"/>
      <c r="AO73" s="2106"/>
      <c r="AP73" s="2106"/>
      <c r="AQ73" s="2106"/>
      <c r="AR73" s="2109"/>
      <c r="AS73" s="2158"/>
      <c r="AT73" s="2159"/>
      <c r="AU73" s="2159"/>
      <c r="AV73" s="2159"/>
      <c r="AW73" s="2160"/>
      <c r="AX73" s="2141"/>
      <c r="AY73" s="2191"/>
      <c r="AZ73" s="2191"/>
      <c r="BA73" s="2191"/>
      <c r="BB73" s="2185"/>
      <c r="BC73" s="2115"/>
      <c r="BD73" s="2115"/>
      <c r="BE73" s="2115"/>
      <c r="BF73" s="2203"/>
      <c r="BG73" s="2203"/>
      <c r="BH73" s="2203"/>
      <c r="BI73" s="2203"/>
      <c r="BJ73" s="2115"/>
      <c r="BK73" s="1543" t="str">
        <f>HYPERLINK("https://www.epcor.com/products-services/power/rates-tariffs-fees/Documents/RegulatedRateTariff-Fortis-2017-05.pdf", "EPCOR May 2017 Regulated Rate Tariff, Page 2")</f>
        <v>EPCOR May 2017 Regulated Rate Tariff, Page 2</v>
      </c>
      <c r="BL73" s="2120"/>
      <c r="BM73" s="2124"/>
      <c r="BN73" s="2125"/>
      <c r="BO73" s="2106"/>
      <c r="BP73" s="2106"/>
      <c r="BQ73" s="2106"/>
      <c r="BR73" s="2109"/>
      <c r="BS73" s="2167"/>
      <c r="BT73" s="2168"/>
      <c r="BU73" s="2168"/>
      <c r="BV73" s="2168"/>
      <c r="BW73" s="2169"/>
      <c r="BX73" s="2141"/>
      <c r="BY73" s="2195"/>
      <c r="BZ73" s="2115"/>
      <c r="CA73" s="2115"/>
      <c r="CB73" s="2115"/>
      <c r="CC73" s="2220"/>
      <c r="CD73" s="2220"/>
      <c r="CE73" s="2231"/>
      <c r="CF73" s="2115"/>
      <c r="CG73" s="2115"/>
      <c r="CH73" s="2194"/>
      <c r="CI73" s="2128"/>
      <c r="CJ73" s="2115"/>
      <c r="CK73" s="2132"/>
      <c r="CL73" s="2432"/>
      <c r="CM73" s="2120"/>
      <c r="CN73" s="2124"/>
      <c r="CO73" s="2125"/>
      <c r="CP73" s="2106"/>
      <c r="CQ73" s="2106"/>
      <c r="CR73" s="2106"/>
      <c r="CS73" s="2109"/>
      <c r="CT73" s="2176"/>
      <c r="CU73" s="2177"/>
      <c r="CV73" s="2177"/>
      <c r="CW73" s="2177"/>
      <c r="CX73" s="2178"/>
    </row>
    <row r="74" spans="1:102" ht="30" customHeight="1" x14ac:dyDescent="0.3">
      <c r="A74" s="2206"/>
      <c r="B74" s="2206"/>
      <c r="C74" s="2207"/>
      <c r="D74" s="1037">
        <v>42887</v>
      </c>
      <c r="E74" s="2141"/>
      <c r="F74" s="2216"/>
      <c r="G74" s="2214"/>
      <c r="H74" s="2215"/>
      <c r="I74" s="2115"/>
      <c r="J74" s="2340"/>
      <c r="K74" s="2339"/>
      <c r="L74" s="2341"/>
      <c r="M74" s="2113"/>
      <c r="N74" s="2114"/>
      <c r="O74" s="2120"/>
      <c r="P74" s="2124"/>
      <c r="Q74" s="2125"/>
      <c r="R74" s="2106"/>
      <c r="S74" s="2106"/>
      <c r="T74" s="2106"/>
      <c r="U74" s="2109"/>
      <c r="V74" s="2149"/>
      <c r="W74" s="2150"/>
      <c r="X74" s="2150"/>
      <c r="Y74" s="2150"/>
      <c r="Z74" s="2151"/>
      <c r="AA74" s="2141"/>
      <c r="AB74" s="2246"/>
      <c r="AC74" s="2247"/>
      <c r="AD74" s="2247"/>
      <c r="AE74" s="2231"/>
      <c r="AF74" s="2214"/>
      <c r="AG74" s="2115"/>
      <c r="AH74" s="2401"/>
      <c r="AI74" s="2115"/>
      <c r="AJ74" s="2115"/>
      <c r="AK74" s="1574" t="str">
        <f>HYPERLINK("https://www.epcor.com/products-services/power/rates-tariffs-fees/Documents/RegulatedRateTariff-Edmonton-2017-06.pdf", "EPCOR June 2017 Regulated Rate Tariff, Page 2")</f>
        <v>EPCOR June 2017 Regulated Rate Tariff, Page 2</v>
      </c>
      <c r="AL74" s="2120"/>
      <c r="AM74" s="2124"/>
      <c r="AN74" s="2125"/>
      <c r="AO74" s="2106"/>
      <c r="AP74" s="2106"/>
      <c r="AQ74" s="2106"/>
      <c r="AR74" s="2109"/>
      <c r="AS74" s="2158"/>
      <c r="AT74" s="2159"/>
      <c r="AU74" s="2159"/>
      <c r="AV74" s="2159"/>
      <c r="AW74" s="2160"/>
      <c r="AX74" s="2141"/>
      <c r="AY74" s="2192"/>
      <c r="AZ74" s="2192"/>
      <c r="BA74" s="2192"/>
      <c r="BB74" s="2187"/>
      <c r="BC74" s="2115"/>
      <c r="BD74" s="2115"/>
      <c r="BE74" s="2115"/>
      <c r="BF74" s="2203"/>
      <c r="BG74" s="2203"/>
      <c r="BH74" s="2203"/>
      <c r="BI74" s="2203"/>
      <c r="BJ74" s="2115"/>
      <c r="BK74" s="1543" t="str">
        <f>HYPERLINK("https://www.epcor.com/products-services/power/rates-tariffs-fees/Documents/RegulatedRateTariff-Fortis-2017-06.pdf", "EPCOR June 2017 Regulated Rate Tariff, Page 2")</f>
        <v>EPCOR June 2017 Regulated Rate Tariff, Page 2</v>
      </c>
      <c r="BL74" s="2120"/>
      <c r="BM74" s="2124"/>
      <c r="BN74" s="2125"/>
      <c r="BO74" s="2106"/>
      <c r="BP74" s="2106"/>
      <c r="BQ74" s="2106"/>
      <c r="BR74" s="2109"/>
      <c r="BS74" s="2167"/>
      <c r="BT74" s="2168"/>
      <c r="BU74" s="2168"/>
      <c r="BV74" s="2168"/>
      <c r="BW74" s="2169"/>
      <c r="BX74" s="2141"/>
      <c r="BY74" s="2195"/>
      <c r="BZ74" s="2115"/>
      <c r="CA74" s="2115"/>
      <c r="CB74" s="2115"/>
      <c r="CC74" s="2220" t="str">
        <f>HYPERLINK("http://www.atcoelectric.com/Rates/tariffs/Documents/2017-Tariffs/2017-06-01%20AE%20Rider%20A.pdf", "ATCO Electric June 2017 Rider A Rate Schedule, Page 2")</f>
        <v>ATCO Electric June 2017 Rider A Rate Schedule, Page 2</v>
      </c>
      <c r="CD74" s="2220"/>
      <c r="CE74" s="2231"/>
      <c r="CF74" s="2115"/>
      <c r="CG74" s="2115"/>
      <c r="CH74" s="2194"/>
      <c r="CI74" s="2128"/>
      <c r="CJ74" s="2115"/>
      <c r="CK74" s="2132"/>
      <c r="CL74" s="2432"/>
      <c r="CM74" s="2120"/>
      <c r="CN74" s="2124"/>
      <c r="CO74" s="2125"/>
      <c r="CP74" s="2106"/>
      <c r="CQ74" s="2106"/>
      <c r="CR74" s="2106"/>
      <c r="CS74" s="2109"/>
      <c r="CT74" s="2176"/>
      <c r="CU74" s="2177"/>
      <c r="CV74" s="2177"/>
      <c r="CW74" s="2177"/>
      <c r="CX74" s="2178"/>
    </row>
    <row r="75" spans="1:102" ht="30" customHeight="1" x14ac:dyDescent="0.3">
      <c r="A75" s="2206"/>
      <c r="B75" s="2206"/>
      <c r="C75" s="2207"/>
      <c r="D75" s="1037">
        <v>42917</v>
      </c>
      <c r="E75" s="2141"/>
      <c r="F75" s="2213" t="str">
        <f>HYPERLINK("https://www.enmax.com/ForYourBusinessSite/Documents/2017-07-01-DT-Rate-Schedule.pdf", "ENMAX July 2017 Distribution Tariff Rate Schedule, Page 3")</f>
        <v>ENMAX July 2017 Distribution Tariff Rate Schedule, Page 3</v>
      </c>
      <c r="G75" s="2214"/>
      <c r="H75" s="2215"/>
      <c r="I75" s="2115"/>
      <c r="J75" s="2338" t="str">
        <f>HYPERLINK("https://www.enmax.com/ForYourBusinessSite/Documents/2017-07-01-DT-Rate-Schedule.pdf", "ENMAX July 2017 Distribution Tariff Rate Schedule, Pages 19-20")</f>
        <v>ENMAX July 2017 Distribution Tariff Rate Schedule, Pages 19-20</v>
      </c>
      <c r="K75" s="2339"/>
      <c r="L75" s="2341"/>
      <c r="M75" s="2113"/>
      <c r="N75" s="2114"/>
      <c r="O75" s="2120"/>
      <c r="P75" s="2124"/>
      <c r="Q75" s="2125"/>
      <c r="R75" s="2106"/>
      <c r="S75" s="2106"/>
      <c r="T75" s="2106"/>
      <c r="U75" s="2109"/>
      <c r="V75" s="2149"/>
      <c r="W75" s="2150"/>
      <c r="X75" s="2150"/>
      <c r="Y75" s="2150"/>
      <c r="Z75" s="2151"/>
      <c r="AA75" s="2141"/>
      <c r="AB75" s="2246" t="str">
        <f>HYPERLINK("https://www.epcor.com/products-services/power/rates-tariffs-fees/Documents2/SystemAccessServiceTariffJuly-2017.pdf", "EPCOR July 2017 System Access Service Tariff, Page 3")</f>
        <v>EPCOR July 2017 System Access Service Tariff, Page 3</v>
      </c>
      <c r="AC75" s="2408" t="str">
        <f>HYPERLINK("https://www.epcor.com/products-services/power/rates-tariffs-fees/Documents2/DistributionAccessServiceTariffJuly-2017.pdf", "EPCOR July 2017 Distribution Access Service Tariff, Page 3")</f>
        <v>EPCOR July 2017 Distribution Access Service Tariff, Page 3</v>
      </c>
      <c r="AD75" s="2247"/>
      <c r="AE75" s="2231"/>
      <c r="AF75" s="2214"/>
      <c r="AG75" s="2115" t="str">
        <f>HYPERLINK("https://www.epcor.com/products-services/power/rates-tariffs-fees/Documents2/riderk-2017-07.pdf", "EPCOR July 2017 Rider K Short-Term Adjustment, Page 1")</f>
        <v>EPCOR July 2017 Rider K Short-Term Adjustment, Page 1</v>
      </c>
      <c r="AH75" s="2401"/>
      <c r="AI75" s="2115" t="str">
        <f>HYPERLINK("https://www.epcor.com/products-services/power/rates-tariffs-fees/Documents2/DistributionAccessServiceTariffJuly-2017.pdf", "EPCOR July 2017 Distribution Access Service Tariff, Page 25")</f>
        <v>EPCOR July 2017 Distribution Access Service Tariff, Page 25</v>
      </c>
      <c r="AJ75" s="2115" t="str">
        <f>HYPERLINK("https://www.epcor.com/products-services/power/rates-tariffs-fees/Documents2/DistributionAccessServiceTariffJuly-2017.pdf", "EPCOR July 2017 Distribution Access Service Tariff, Page 23")</f>
        <v>EPCOR July 2017 Distribution Access Service Tariff, Page 23</v>
      </c>
      <c r="AK75" s="1575" t="str">
        <f>HYPERLINK("https://www.epcor.com/products-services/power/rates-tariffs-fees/Documents/RegulatedRateTariff-EDTI-2017-07.pdf", "EPCOR July 2017 Regulated Rate Tariff, Page 2")</f>
        <v>EPCOR July 2017 Regulated Rate Tariff, Page 2</v>
      </c>
      <c r="AL75" s="2120"/>
      <c r="AM75" s="2124"/>
      <c r="AN75" s="2125"/>
      <c r="AO75" s="2106"/>
      <c r="AP75" s="2106"/>
      <c r="AQ75" s="2106"/>
      <c r="AR75" s="2109"/>
      <c r="AS75" s="2158"/>
      <c r="AT75" s="2159"/>
      <c r="AU75" s="2159"/>
      <c r="AV75" s="2159"/>
      <c r="AW75" s="2160"/>
      <c r="AX75" s="2141"/>
      <c r="AY75" s="2190" t="str">
        <f>HYPERLINK("https://www.fortisalberta.com/docs/default-source/default-document-library/2017-rates-options-and-ridersf924f06ee9f66f33ad1fff0000409c46.pdf?sfvrsn=44d29f1b_12", "Fortis Alberta July 2017 Rates, Options, and Riders, Page 2")</f>
        <v>Fortis Alberta July 2017 Rates, Options, and Riders, Page 2</v>
      </c>
      <c r="AZ75" s="2190"/>
      <c r="BA75" s="2190"/>
      <c r="BB75" s="2200"/>
      <c r="BC75" s="2115" t="str">
        <f>HYPERLINK("https://www.fortisalberta.com/docs/default-source/default-document-library/2017-rates-options-and-ridersf924f06ee9f66f33ad1fff0000409c46.pdf?sfvrsn=44d29f1b_12", "Fortis Alberta July 2017 Rates, Options, and Riders, Page 27-29")</f>
        <v>Fortis Alberta July 2017 Rates, Options, and Riders, Page 27-29</v>
      </c>
      <c r="BD75" s="2115" t="str">
        <f>HYPERLINK("https://www.fortisalberta.com/docs/default-source/default-document-library/2017-rates-options-and-ridersf924f06ee9f66f33ad1fff0000409c46.pdf?sfvrsn=44d29f1b_12", "Fortis Alberta July 2017 Rates, Options, and Riders, Page 24-26")</f>
        <v>Fortis Alberta July 2017 Rates, Options, and Riders, Page 24-26</v>
      </c>
      <c r="BE75" s="2115" t="str">
        <f>HYPERLINK("https://www.fortisalberta.com/docs/default-source/default-document-library/2017-rates-options-and-ridersf924f06ee9f66f33ad1fff0000409c46.pdf?sfvrsn=44d29f1b_12", "Fortis Alberta July 2017 Rates, Options, and Riders, Page 30")</f>
        <v>Fortis Alberta July 2017 Rates, Options, and Riders, Page 30</v>
      </c>
      <c r="BF75" s="2203" t="str">
        <f>HYPERLINK("https://www.fortisalberta.com/docs/default-source/default-document-library/2017-rates-options-and-ridersf924f06ee9f66f33ad1fff0000409c46.pdf?sfvrsn=44d29f1b_12", "Fortis Alberta July 2017 Rates, Options, and Riders, Page 31")</f>
        <v>Fortis Alberta July 2017 Rates, Options, and Riders, Page 31</v>
      </c>
      <c r="BG75" s="2203"/>
      <c r="BH75" s="2203" t="str">
        <f>HYPERLINK("https://www.fortisalberta.com/docs/default-source/default-document-library/2017-rates-options-and-ridersf924f06ee9f66f33ad1fff0000409c46.pdf?sfvrsn=44d29f1b_12", "Fortis Alberta July 2017 Rates, Options, and Riders, Page 32")</f>
        <v>Fortis Alberta July 2017 Rates, Options, and Riders, Page 32</v>
      </c>
      <c r="BI75" s="2203"/>
      <c r="BJ75" s="2115" t="str">
        <f>HYPERLINK("https://www.fortisalberta.com/docs/default-source/default-document-library/2017-rates-options-and-ridersf924f06ee9f66f33ad1fff0000409c46.pdf?sfvrsn=44d29f1b_12", "Fortis Alberta July 2017 Rates, Options, and Riders")</f>
        <v>Fortis Alberta July 2017 Rates, Options, and Riders</v>
      </c>
      <c r="BK75" s="1543" t="str">
        <f>HYPERLINK("https://www.epcor.com/products-services/power/rates-tariffs-fees/Documents/RegulatedRateTariff-Fortis-2017-07.pdf", "EPCOR July 2017 Regulated Rate Tariff, Page 2")</f>
        <v>EPCOR July 2017 Regulated Rate Tariff, Page 2</v>
      </c>
      <c r="BL75" s="2120"/>
      <c r="BM75" s="2124"/>
      <c r="BN75" s="2125"/>
      <c r="BO75" s="2106"/>
      <c r="BP75" s="2106"/>
      <c r="BQ75" s="2106"/>
      <c r="BR75" s="2109"/>
      <c r="BS75" s="2167"/>
      <c r="BT75" s="2168"/>
      <c r="BU75" s="2168"/>
      <c r="BV75" s="2168"/>
      <c r="BW75" s="2169"/>
      <c r="BX75" s="2141"/>
      <c r="BY75" s="2195"/>
      <c r="BZ75" s="2115"/>
      <c r="CA75" s="2115"/>
      <c r="CB75" s="2115"/>
      <c r="CC75" s="2220"/>
      <c r="CD75" s="2220"/>
      <c r="CE75" s="2231"/>
      <c r="CF75" s="2115"/>
      <c r="CG75" s="2115" t="str">
        <f>HYPERLINK("http://www.atcoelectric.com/Rates/tariffs/Documents/2017-Tariffs/2017-07-01%20AE%20Rider%20S.pdf", "ATCO Electric July 2017 Rider S - SAS Deferral, Page 1")</f>
        <v>ATCO Electric July 2017 Rider S - SAS Deferral, Page 1</v>
      </c>
      <c r="CH75" s="2194"/>
      <c r="CI75" s="2128"/>
      <c r="CJ75" s="2115"/>
      <c r="CK75" s="2132"/>
      <c r="CL75" s="2432"/>
      <c r="CM75" s="2120"/>
      <c r="CN75" s="2124"/>
      <c r="CO75" s="2125"/>
      <c r="CP75" s="2106"/>
      <c r="CQ75" s="2106"/>
      <c r="CR75" s="2106"/>
      <c r="CS75" s="2109"/>
      <c r="CT75" s="2176"/>
      <c r="CU75" s="2177"/>
      <c r="CV75" s="2177"/>
      <c r="CW75" s="2177"/>
      <c r="CX75" s="2178"/>
    </row>
    <row r="76" spans="1:102" ht="30" customHeight="1" x14ac:dyDescent="0.3">
      <c r="A76" s="2206"/>
      <c r="B76" s="2206"/>
      <c r="C76" s="2207"/>
      <c r="D76" s="1037">
        <v>42948</v>
      </c>
      <c r="E76" s="2141"/>
      <c r="F76" s="2216"/>
      <c r="G76" s="2214"/>
      <c r="H76" s="2215"/>
      <c r="I76" s="2115"/>
      <c r="J76" s="2340"/>
      <c r="K76" s="2339"/>
      <c r="L76" s="2341"/>
      <c r="M76" s="2113"/>
      <c r="N76" s="2114"/>
      <c r="O76" s="2120"/>
      <c r="P76" s="2124"/>
      <c r="Q76" s="2125"/>
      <c r="R76" s="2106"/>
      <c r="S76" s="2106"/>
      <c r="T76" s="2106"/>
      <c r="U76" s="2109"/>
      <c r="V76" s="2149"/>
      <c r="W76" s="2150"/>
      <c r="X76" s="2150"/>
      <c r="Y76" s="2150"/>
      <c r="Z76" s="2151"/>
      <c r="AA76" s="2141"/>
      <c r="AB76" s="2246"/>
      <c r="AC76" s="2247"/>
      <c r="AD76" s="2247"/>
      <c r="AE76" s="2231"/>
      <c r="AF76" s="2214"/>
      <c r="AG76" s="2115"/>
      <c r="AH76" s="2401"/>
      <c r="AI76" s="2115"/>
      <c r="AJ76" s="2115"/>
      <c r="AK76" s="1507" t="str">
        <f>HYPERLINK("https://www.epcor.com/products-services/power/rates-tariffs-fees/Documents/RegulatedRateTariff-EDTI-2017-08.pdf", "EPCOR August 2017 Regulated Rate Tariff, Page 2")</f>
        <v>EPCOR August 2017 Regulated Rate Tariff, Page 2</v>
      </c>
      <c r="AL76" s="2120"/>
      <c r="AM76" s="2124"/>
      <c r="AN76" s="2125"/>
      <c r="AO76" s="2106"/>
      <c r="AP76" s="2106"/>
      <c r="AQ76" s="2106"/>
      <c r="AR76" s="2109"/>
      <c r="AS76" s="2158"/>
      <c r="AT76" s="2159"/>
      <c r="AU76" s="2159"/>
      <c r="AV76" s="2159"/>
      <c r="AW76" s="2160"/>
      <c r="AX76" s="2141"/>
      <c r="AY76" s="2191"/>
      <c r="AZ76" s="2191"/>
      <c r="BA76" s="2191"/>
      <c r="BB76" s="2185"/>
      <c r="BC76" s="2115"/>
      <c r="BD76" s="2115"/>
      <c r="BE76" s="2115"/>
      <c r="BF76" s="2203"/>
      <c r="BG76" s="2203"/>
      <c r="BH76" s="2203"/>
      <c r="BI76" s="2203"/>
      <c r="BJ76" s="2115"/>
      <c r="BK76" s="1577" t="str">
        <f>HYPERLINK("https://www.epcor.com/products-services/power/rates-tariffs-fees/Documents/RegulatedRateTariff-Fortis-2017-08.pdf", "EPCOR August 2017 Regulated Rate Tariff, Page 2")</f>
        <v>EPCOR August 2017 Regulated Rate Tariff, Page 2</v>
      </c>
      <c r="BL76" s="2120"/>
      <c r="BM76" s="2124"/>
      <c r="BN76" s="2125"/>
      <c r="BO76" s="2106"/>
      <c r="BP76" s="2106"/>
      <c r="BQ76" s="2106"/>
      <c r="BR76" s="2109"/>
      <c r="BS76" s="2167"/>
      <c r="BT76" s="2168"/>
      <c r="BU76" s="2168"/>
      <c r="BV76" s="2168"/>
      <c r="BW76" s="2169"/>
      <c r="BX76" s="2141"/>
      <c r="BY76" s="2195"/>
      <c r="BZ76" s="2115"/>
      <c r="CA76" s="2115"/>
      <c r="CB76" s="2115"/>
      <c r="CC76" s="2220"/>
      <c r="CD76" s="2220"/>
      <c r="CE76" s="2231"/>
      <c r="CF76" s="2115"/>
      <c r="CG76" s="2115"/>
      <c r="CH76" s="2194"/>
      <c r="CI76" s="2128"/>
      <c r="CJ76" s="2115"/>
      <c r="CK76" s="2132"/>
      <c r="CL76" s="2432"/>
      <c r="CM76" s="2120"/>
      <c r="CN76" s="2124"/>
      <c r="CO76" s="2125"/>
      <c r="CP76" s="2106"/>
      <c r="CQ76" s="2106"/>
      <c r="CR76" s="2106"/>
      <c r="CS76" s="2109"/>
      <c r="CT76" s="2176"/>
      <c r="CU76" s="2177"/>
      <c r="CV76" s="2177"/>
      <c r="CW76" s="2177"/>
      <c r="CX76" s="2178"/>
    </row>
    <row r="77" spans="1:102" ht="30" customHeight="1" x14ac:dyDescent="0.3">
      <c r="A77" s="2206"/>
      <c r="B77" s="2206"/>
      <c r="C77" s="2207"/>
      <c r="D77" s="1037">
        <v>42979</v>
      </c>
      <c r="E77" s="2141"/>
      <c r="F77" s="2216"/>
      <c r="G77" s="2214"/>
      <c r="H77" s="2215"/>
      <c r="I77" s="2115"/>
      <c r="J77" s="2340"/>
      <c r="K77" s="2339"/>
      <c r="L77" s="2341"/>
      <c r="M77" s="2113"/>
      <c r="N77" s="2114"/>
      <c r="O77" s="2120"/>
      <c r="P77" s="2124"/>
      <c r="Q77" s="2125"/>
      <c r="R77" s="2106"/>
      <c r="S77" s="2106"/>
      <c r="T77" s="2106"/>
      <c r="U77" s="2109"/>
      <c r="V77" s="2149"/>
      <c r="W77" s="2150"/>
      <c r="X77" s="2150"/>
      <c r="Y77" s="2150"/>
      <c r="Z77" s="2151"/>
      <c r="AA77" s="2141"/>
      <c r="AB77" s="2246"/>
      <c r="AC77" s="2247"/>
      <c r="AD77" s="2247"/>
      <c r="AE77" s="2231"/>
      <c r="AF77" s="2214"/>
      <c r="AG77" s="2115"/>
      <c r="AH77" s="2401"/>
      <c r="AI77" s="2115"/>
      <c r="AJ77" s="2115"/>
      <c r="AK77" s="1595" t="str">
        <f>HYPERLINK("https://www.epcor.com/products-services/power/rates-tariffs-fees/Documents/RegulatedRateTariff-Edmonton-2017-09.pdf", "EPCOR September 2017 Regulated Rate Tariff, Page 2")</f>
        <v>EPCOR September 2017 Regulated Rate Tariff, Page 2</v>
      </c>
      <c r="AL77" s="2120"/>
      <c r="AM77" s="2124"/>
      <c r="AN77" s="2125"/>
      <c r="AO77" s="2106"/>
      <c r="AP77" s="2106"/>
      <c r="AQ77" s="2106"/>
      <c r="AR77" s="2109"/>
      <c r="AS77" s="2158"/>
      <c r="AT77" s="2159"/>
      <c r="AU77" s="2159"/>
      <c r="AV77" s="2159"/>
      <c r="AW77" s="2160"/>
      <c r="AX77" s="2141"/>
      <c r="AY77" s="2192"/>
      <c r="AZ77" s="2192"/>
      <c r="BA77" s="2192"/>
      <c r="BB77" s="2187"/>
      <c r="BC77" s="2115"/>
      <c r="BD77" s="2115"/>
      <c r="BE77" s="2115"/>
      <c r="BF77" s="2203"/>
      <c r="BG77" s="2203"/>
      <c r="BH77" s="2203"/>
      <c r="BI77" s="2203"/>
      <c r="BJ77" s="2115"/>
      <c r="BK77" s="1576" t="str">
        <f>HYPERLINK("https://www.epcor.com/products-services/power/rates-tariffs-fees/Documents/RegulatedRateTariff-Fortis-2017-09.pdf", "EPCOR September 2017 Regulated Rate Tariff, Page 2")</f>
        <v>EPCOR September 2017 Regulated Rate Tariff, Page 2</v>
      </c>
      <c r="BL77" s="2120"/>
      <c r="BM77" s="2124"/>
      <c r="BN77" s="2125"/>
      <c r="BO77" s="2106"/>
      <c r="BP77" s="2106"/>
      <c r="BQ77" s="2106"/>
      <c r="BR77" s="2109"/>
      <c r="BS77" s="2167"/>
      <c r="BT77" s="2168"/>
      <c r="BU77" s="2168"/>
      <c r="BV77" s="2168"/>
      <c r="BW77" s="2169"/>
      <c r="BX77" s="2141"/>
      <c r="BY77" s="2195"/>
      <c r="BZ77" s="2115"/>
      <c r="CA77" s="2115"/>
      <c r="CB77" s="2115"/>
      <c r="CC77" s="2220"/>
      <c r="CD77" s="2220"/>
      <c r="CE77" s="2231"/>
      <c r="CF77" s="2115"/>
      <c r="CG77" s="2115"/>
      <c r="CH77" s="2194"/>
      <c r="CI77" s="2128"/>
      <c r="CJ77" s="2115"/>
      <c r="CK77" s="2132"/>
      <c r="CL77" s="2432"/>
      <c r="CM77" s="2120"/>
      <c r="CN77" s="2124"/>
      <c r="CO77" s="2125"/>
      <c r="CP77" s="2106"/>
      <c r="CQ77" s="2106"/>
      <c r="CR77" s="2106"/>
      <c r="CS77" s="2109"/>
      <c r="CT77" s="2176"/>
      <c r="CU77" s="2177"/>
      <c r="CV77" s="2177"/>
      <c r="CW77" s="2177"/>
      <c r="CX77" s="2178"/>
    </row>
    <row r="78" spans="1:102" ht="30" customHeight="1" x14ac:dyDescent="0.3">
      <c r="A78" s="2206"/>
      <c r="B78" s="2206"/>
      <c r="C78" s="2207"/>
      <c r="D78" s="1037">
        <v>43009</v>
      </c>
      <c r="E78" s="2141"/>
      <c r="F78" s="2213" t="str">
        <f>HYPERLINK("https://www.enmax.com/ForYourHomeSite/Documents/2017-10-01-DT-Rate-Schedule.pdf", "ENMAX October 2017 Distribution Tariff Rate Schedule, Page 3")</f>
        <v>ENMAX October 2017 Distribution Tariff Rate Schedule, Page 3</v>
      </c>
      <c r="G78" s="2231"/>
      <c r="H78" s="2424"/>
      <c r="I78" s="2115"/>
      <c r="J78" s="2210" t="str">
        <f>HYPERLINK("https://www.enmax.com/ForYourHomeSite/Documents/2017-10-01-DT-Rate-Schedule.pdf", "ENMAX October 2017 Distribution Tariff Rate Schedule, Pages 19-20")</f>
        <v>ENMAX October 2017 Distribution Tariff Rate Schedule, Pages 19-20</v>
      </c>
      <c r="K78" s="2210"/>
      <c r="L78" s="2210"/>
      <c r="M78" s="2113"/>
      <c r="N78" s="2114"/>
      <c r="O78" s="2120"/>
      <c r="P78" s="2124"/>
      <c r="Q78" s="2125"/>
      <c r="R78" s="2106"/>
      <c r="S78" s="2106"/>
      <c r="T78" s="2106"/>
      <c r="U78" s="2109"/>
      <c r="V78" s="2149"/>
      <c r="W78" s="2150"/>
      <c r="X78" s="2150"/>
      <c r="Y78" s="2150"/>
      <c r="Z78" s="2151"/>
      <c r="AA78" s="2141"/>
      <c r="AB78" s="2246"/>
      <c r="AC78" s="2247"/>
      <c r="AD78" s="2247"/>
      <c r="AE78" s="2231"/>
      <c r="AF78" s="2214"/>
      <c r="AG78" s="2115" t="str">
        <f>HYPERLINK("https://www.epcor.com/products-services/power/rates-tariffs-fees/Documents2/riderk-2017-10.pdf", "EPCOR October 2017 Rider K Short-Term Adjustment, Page 1")</f>
        <v>EPCOR October 2017 Rider K Short-Term Adjustment, Page 1</v>
      </c>
      <c r="AH78" s="2401"/>
      <c r="AI78" s="2115"/>
      <c r="AJ78" s="2115"/>
      <c r="AK78" s="1595" t="str">
        <f>HYPERLINK("https://www.epcor.com/products-services/power/rates-tariffs-fees/Documents/RegulatedRateTariff-EDTI-2017-10.pdf", "EPCOR October 2017 Regulated Rate Tariff, Page 2")</f>
        <v>EPCOR October 2017 Regulated Rate Tariff, Page 2</v>
      </c>
      <c r="AL78" s="2120"/>
      <c r="AM78" s="2124"/>
      <c r="AN78" s="2125"/>
      <c r="AO78" s="2106"/>
      <c r="AP78" s="2106"/>
      <c r="AQ78" s="2106"/>
      <c r="AR78" s="2109"/>
      <c r="AS78" s="2158"/>
      <c r="AT78" s="2159"/>
      <c r="AU78" s="2159"/>
      <c r="AV78" s="2159"/>
      <c r="AW78" s="2160"/>
      <c r="AX78" s="2141"/>
      <c r="AY78" s="2135" t="str">
        <f>HYPERLINK("https://www.fortisalberta.com/docs/default-source/default-document-library/2017-oct-rates-options-and-riders.pdf?sfvrsn=eec69f1b_8", "Fortis Alberta October 2017 Rates, Options, and Riders, Page 2")</f>
        <v>Fortis Alberta October 2017 Rates, Options, and Riders, Page 2</v>
      </c>
      <c r="AZ78" s="2135"/>
      <c r="BA78" s="2135"/>
      <c r="BB78" s="2195"/>
      <c r="BC78" s="1456" t="str">
        <f>HYPERLINK("https://www.fortisalberta.com/docs/default-source/default-document-library/2017-oct-rates-options-and-riders.pdf?sfvrsn=eec69f1b_8", "Fortis Alberta October 2017 Rates, Options, and Riders, Page 27-29")</f>
        <v>Fortis Alberta October 2017 Rates, Options, and Riders, Page 27-29</v>
      </c>
      <c r="BD78" s="1456" t="str">
        <f>HYPERLINK("https://www.fortisalberta.com/docs/default-source/default-document-library/2017-oct-rates-options-and-riders.pdf?sfvrsn=eec69f1b_8", "Fortis Alberta October 2017 Rates, Options, and Riders, Page 24-26")</f>
        <v>Fortis Alberta October 2017 Rates, Options, and Riders, Page 24-26</v>
      </c>
      <c r="BE78" s="1456" t="str">
        <f>HYPERLINK("https://www.fortisalberta.com/docs/default-source/default-document-library/2017-oct-rates-options-and-riders.pdf?sfvrsn=eec69f1b_8", "Fortis Alberta October 2017 Rates, Options, and Riders, Page 30")</f>
        <v>Fortis Alberta October 2017 Rates, Options, and Riders, Page 30</v>
      </c>
      <c r="BF78" s="2203" t="str">
        <f>HYPERLINK("https://www.fortisalberta.com/docs/default-source/default-document-library/2017-oct-rates-options-and-riders.pdf?sfvrsn=eec69f1b_8", "Fortis Alberta October 2017 Rates, Options, and Riders, Page 31")</f>
        <v>Fortis Alberta October 2017 Rates, Options, and Riders, Page 31</v>
      </c>
      <c r="BG78" s="2203"/>
      <c r="BH78" s="2203" t="str">
        <f>HYPERLINK("https://www.fortisalberta.com/docs/default-source/default-document-library/2017-oct-rates-options-and-riders.pdf?sfvrsn=eec69f1b_8", "Fortis Alberta October 2017 Rates, Options, and Riders, Page 32")</f>
        <v>Fortis Alberta October 2017 Rates, Options, and Riders, Page 32</v>
      </c>
      <c r="BI78" s="2203"/>
      <c r="BJ78" s="1458" t="str">
        <f>HYPERLINK("https://www.fortisalberta.com/docs/default-source/default-document-library/2017-oct-rates-options-and-riders.pdf?sfvrsn=eec69f1b_8", "Fortis Alberta October 2017 Rates, Options, and Riders")</f>
        <v>Fortis Alberta October 2017 Rates, Options, and Riders</v>
      </c>
      <c r="BK78" s="1576" t="str">
        <f>HYPERLINK("https://www.epcor.com/products-services/power/rates-tariffs-fees/Documents/RegulatedRateTariff-Fortis-2017-10.pdf", "EPCOR October 2017 Regulated Rate Tariff, Page 2")</f>
        <v>EPCOR October 2017 Regulated Rate Tariff, Page 2</v>
      </c>
      <c r="BL78" s="2120"/>
      <c r="BM78" s="2124"/>
      <c r="BN78" s="2125"/>
      <c r="BO78" s="2106"/>
      <c r="BP78" s="2106"/>
      <c r="BQ78" s="2106"/>
      <c r="BR78" s="2109"/>
      <c r="BS78" s="2167"/>
      <c r="BT78" s="2168"/>
      <c r="BU78" s="2168"/>
      <c r="BV78" s="2168"/>
      <c r="BW78" s="2169"/>
      <c r="BX78" s="2141"/>
      <c r="BY78" s="2195"/>
      <c r="BZ78" s="2115"/>
      <c r="CA78" s="2115"/>
      <c r="CB78" s="2115"/>
      <c r="CC78" s="2220"/>
      <c r="CD78" s="2220"/>
      <c r="CE78" s="2231"/>
      <c r="CF78" s="2115"/>
      <c r="CG78" s="2115" t="str">
        <f>HYPERLINK("http://www.atcoelectric.com/Rates/tariffs/Documents/2017-Tariffs/2017-10-01-AE-Rider-S.pdf", "ATCO Electric October 2017 Rider S - SAS Deferral, Page 1")</f>
        <v>ATCO Electric October 2017 Rider S - SAS Deferral, Page 1</v>
      </c>
      <c r="CH78" s="2194"/>
      <c r="CI78" s="2128"/>
      <c r="CJ78" s="2115"/>
      <c r="CK78" s="2132"/>
      <c r="CL78" s="2432"/>
      <c r="CM78" s="2120"/>
      <c r="CN78" s="2124"/>
      <c r="CO78" s="2125"/>
      <c r="CP78" s="2106"/>
      <c r="CQ78" s="2106"/>
      <c r="CR78" s="2106"/>
      <c r="CS78" s="2109"/>
      <c r="CT78" s="2176"/>
      <c r="CU78" s="2177"/>
      <c r="CV78" s="2177"/>
      <c r="CW78" s="2177"/>
      <c r="CX78" s="2178"/>
    </row>
    <row r="79" spans="1:102" ht="30" customHeight="1" x14ac:dyDescent="0.3">
      <c r="A79" s="2206"/>
      <c r="B79" s="2206"/>
      <c r="C79" s="2207"/>
      <c r="D79" s="1037">
        <v>43040</v>
      </c>
      <c r="E79" s="2141"/>
      <c r="F79" s="2213"/>
      <c r="G79" s="2231"/>
      <c r="H79" s="2424"/>
      <c r="I79" s="2115"/>
      <c r="J79" s="2211"/>
      <c r="K79" s="2211"/>
      <c r="L79" s="2211"/>
      <c r="M79" s="2113"/>
      <c r="N79" s="2114"/>
      <c r="O79" s="2120"/>
      <c r="P79" s="2124"/>
      <c r="Q79" s="2125"/>
      <c r="R79" s="2106"/>
      <c r="S79" s="2106"/>
      <c r="T79" s="2106"/>
      <c r="U79" s="2109"/>
      <c r="V79" s="2149"/>
      <c r="W79" s="2150"/>
      <c r="X79" s="2150"/>
      <c r="Y79" s="2150"/>
      <c r="Z79" s="2151"/>
      <c r="AA79" s="2141"/>
      <c r="AB79" s="2246"/>
      <c r="AC79" s="2247"/>
      <c r="AD79" s="2247"/>
      <c r="AE79" s="2231"/>
      <c r="AF79" s="2214"/>
      <c r="AG79" s="2115"/>
      <c r="AH79" s="2401"/>
      <c r="AI79" s="2115"/>
      <c r="AJ79" s="2115"/>
      <c r="AK79" s="1603" t="str">
        <f>HYPERLINK("https://www.epcor.com/products-services/power/rates-tariffs-fees/Documents/RegulatedRateTariff-EDTI-2017-11.pdf", "EPCOR November 2017 Regulated Rate Tariff, Page 2")</f>
        <v>EPCOR November 2017 Regulated Rate Tariff, Page 2</v>
      </c>
      <c r="AL79" s="2120"/>
      <c r="AM79" s="2124"/>
      <c r="AN79" s="2125"/>
      <c r="AO79" s="2106"/>
      <c r="AP79" s="2106"/>
      <c r="AQ79" s="2106"/>
      <c r="AR79" s="2109"/>
      <c r="AS79" s="2158"/>
      <c r="AT79" s="2159"/>
      <c r="AU79" s="2159"/>
      <c r="AV79" s="2159"/>
      <c r="AW79" s="2160"/>
      <c r="AX79" s="2141"/>
      <c r="AY79" s="2190" t="str">
        <f>HYPERLINK("https://www.fortisalberta.com/docs/default-source/default-document-library/2017-nov-rates-options-and-riders.pdf?sfvrsn=eec59f1b_10", "Fortis Alberta November 2017 Rates, Options, and Riders, Page 2")</f>
        <v>Fortis Alberta November 2017 Rates, Options, and Riders, Page 2</v>
      </c>
      <c r="AZ79" s="2190"/>
      <c r="BA79" s="2190"/>
      <c r="BB79" s="2200"/>
      <c r="BC79" s="2115" t="str">
        <f>HYPERLINK("https://www.fortisalberta.com/docs/default-source/default-document-library/2017-nov-rates-options-and-riders.pdf?sfvrsn=eec59f1b_10", "Fortis Alberta November 2017 Rates, Options, and Riders, Page 27-29")</f>
        <v>Fortis Alberta November 2017 Rates, Options, and Riders, Page 27-29</v>
      </c>
      <c r="BD79" s="2115" t="str">
        <f>HYPERLINK("https://www.fortisalberta.com/docs/default-source/default-document-library/2017-nov-rates-options-and-riders.pdf?sfvrsn=eec59f1b_10", "Fortis Alberta November 2017 Rates, Options, and Riders, Page 24-26")</f>
        <v>Fortis Alberta November 2017 Rates, Options, and Riders, Page 24-26</v>
      </c>
      <c r="BE79" s="2115" t="str">
        <f>HYPERLINK("https://www.fortisalberta.com/docs/default-source/default-document-library/2017-nov-rates-options-and-riders.pdf?sfvrsn=eec59f1b_10", "Fortis Alberta November 2017 Rates, Options, and Riders, Page 30")</f>
        <v>Fortis Alberta November 2017 Rates, Options, and Riders, Page 30</v>
      </c>
      <c r="BF79" s="2203" t="str">
        <f>HYPERLINK("https://www.fortisalberta.com/docs/default-source/default-document-library/2017-nov-rates-options-and-riders.pdf?sfvrsn=eec59f1b_10", "Fortis Alberta November 2017 Rates, Options, and Riders, Page 31")</f>
        <v>Fortis Alberta November 2017 Rates, Options, and Riders, Page 31</v>
      </c>
      <c r="BG79" s="2203"/>
      <c r="BH79" s="2203" t="str">
        <f>HYPERLINK("https://www.fortisalberta.com/docs/default-source/default-document-library/2017-nov-rates-options-and-riders.pdf?sfvrsn=eec59f1b_10", "Fortis Alberta November 2017 Rates, Options, and Riders, Page 32")</f>
        <v>Fortis Alberta November 2017 Rates, Options, and Riders, Page 32</v>
      </c>
      <c r="BI79" s="2203"/>
      <c r="BJ79" s="2115" t="str">
        <f>HYPERLINK("https://www.fortisalberta.com/docs/default-source/default-document-library/2017-nov-rates-options-and-riders.pdf?sfvrsn=eec59f1b_10", "Fortis Alberta November 2017 Rates, Options, and Riders")</f>
        <v>Fortis Alberta November 2017 Rates, Options, and Riders</v>
      </c>
      <c r="BK79" s="1576" t="str">
        <f>HYPERLINK("https://www.epcor.com/products-services/power/rates-tariffs-fees/Documents/RegulatedRateTariff-Fortis-2017-11.pdf", "EPCOR November 2017 Regulated Rate Tariff, Page 2")</f>
        <v>EPCOR November 2017 Regulated Rate Tariff, Page 2</v>
      </c>
      <c r="BL79" s="2120"/>
      <c r="BM79" s="2124"/>
      <c r="BN79" s="2125"/>
      <c r="BO79" s="2106"/>
      <c r="BP79" s="2106"/>
      <c r="BQ79" s="2106"/>
      <c r="BR79" s="2109"/>
      <c r="BS79" s="2167"/>
      <c r="BT79" s="2168"/>
      <c r="BU79" s="2168"/>
      <c r="BV79" s="2168"/>
      <c r="BW79" s="2169"/>
      <c r="BX79" s="2141"/>
      <c r="BY79" s="2195"/>
      <c r="BZ79" s="2115"/>
      <c r="CA79" s="2115"/>
      <c r="CB79" s="2115"/>
      <c r="CC79" s="2220"/>
      <c r="CD79" s="2220"/>
      <c r="CE79" s="2231"/>
      <c r="CF79" s="2115"/>
      <c r="CG79" s="2115"/>
      <c r="CH79" s="2194"/>
      <c r="CI79" s="2128"/>
      <c r="CJ79" s="2115"/>
      <c r="CK79" s="2132"/>
      <c r="CL79" s="2432"/>
      <c r="CM79" s="2120"/>
      <c r="CN79" s="2124"/>
      <c r="CO79" s="2125"/>
      <c r="CP79" s="2106"/>
      <c r="CQ79" s="2106"/>
      <c r="CR79" s="2106"/>
      <c r="CS79" s="2109"/>
      <c r="CT79" s="2176"/>
      <c r="CU79" s="2177"/>
      <c r="CV79" s="2177"/>
      <c r="CW79" s="2177"/>
      <c r="CX79" s="2178"/>
    </row>
    <row r="80" spans="1:102" ht="30" customHeight="1" x14ac:dyDescent="0.3">
      <c r="A80" s="2208"/>
      <c r="B80" s="2208"/>
      <c r="C80" s="2209"/>
      <c r="D80" s="1102">
        <v>43070</v>
      </c>
      <c r="E80" s="2141"/>
      <c r="F80" s="2213"/>
      <c r="G80" s="2231"/>
      <c r="H80" s="2424"/>
      <c r="I80" s="2115"/>
      <c r="J80" s="2212"/>
      <c r="K80" s="2212"/>
      <c r="L80" s="2212"/>
      <c r="M80" s="2113"/>
      <c r="N80" s="2114"/>
      <c r="O80" s="2120"/>
      <c r="P80" s="2124"/>
      <c r="Q80" s="2125"/>
      <c r="R80" s="2106"/>
      <c r="S80" s="2106"/>
      <c r="T80" s="2106"/>
      <c r="U80" s="2109"/>
      <c r="V80" s="2149"/>
      <c r="W80" s="2150"/>
      <c r="X80" s="2150"/>
      <c r="Y80" s="2150"/>
      <c r="Z80" s="2151"/>
      <c r="AA80" s="2141"/>
      <c r="AB80" s="2246"/>
      <c r="AC80" s="2247"/>
      <c r="AD80" s="2247"/>
      <c r="AE80" s="2231"/>
      <c r="AF80" s="2214"/>
      <c r="AG80" s="2115"/>
      <c r="AH80" s="2401"/>
      <c r="AI80" s="2115"/>
      <c r="AJ80" s="2115"/>
      <c r="AK80" s="1603" t="str">
        <f>HYPERLINK("https://www.epcor.com/products-services/power/rates-tariffs-fees/Documents/RegulatedRateTariff-Edmonton-2017-12.pdf", "EPCOR December 2017 Regulated Rate Tariff, Page 2")</f>
        <v>EPCOR December 2017 Regulated Rate Tariff, Page 2</v>
      </c>
      <c r="AL80" s="2120"/>
      <c r="AM80" s="2124"/>
      <c r="AN80" s="2125"/>
      <c r="AO80" s="2106"/>
      <c r="AP80" s="2106"/>
      <c r="AQ80" s="2106"/>
      <c r="AR80" s="2109"/>
      <c r="AS80" s="2158"/>
      <c r="AT80" s="2159"/>
      <c r="AU80" s="2159"/>
      <c r="AV80" s="2159"/>
      <c r="AW80" s="2160"/>
      <c r="AX80" s="2141"/>
      <c r="AY80" s="2192"/>
      <c r="AZ80" s="2192"/>
      <c r="BA80" s="2192"/>
      <c r="BB80" s="2187"/>
      <c r="BC80" s="2115"/>
      <c r="BD80" s="2115"/>
      <c r="BE80" s="2115"/>
      <c r="BF80" s="2203"/>
      <c r="BG80" s="2203"/>
      <c r="BH80" s="2203"/>
      <c r="BI80" s="2203"/>
      <c r="BJ80" s="2115"/>
      <c r="BK80" s="1533" t="str">
        <f>HYPERLINK("https://www.epcor.com/products-services/power/rates-tariffs-fees/Documents/RegulatedRateTariff-Fortis-2017-12.pdf", "EPCOR December 2017 Regulated Rate Tariff, Page 2")</f>
        <v>EPCOR December 2017 Regulated Rate Tariff, Page 2</v>
      </c>
      <c r="BL80" s="2120"/>
      <c r="BM80" s="2124"/>
      <c r="BN80" s="2125"/>
      <c r="BO80" s="2106"/>
      <c r="BP80" s="2106"/>
      <c r="BQ80" s="2106"/>
      <c r="BR80" s="2109"/>
      <c r="BS80" s="2167"/>
      <c r="BT80" s="2168"/>
      <c r="BU80" s="2168"/>
      <c r="BV80" s="2168"/>
      <c r="BW80" s="2169"/>
      <c r="BX80" s="2141"/>
      <c r="BY80" s="2195"/>
      <c r="BZ80" s="2115"/>
      <c r="CA80" s="2115"/>
      <c r="CB80" s="2115"/>
      <c r="CC80" s="2220"/>
      <c r="CD80" s="2220"/>
      <c r="CE80" s="2231"/>
      <c r="CF80" s="2115"/>
      <c r="CG80" s="2115"/>
      <c r="CH80" s="2194"/>
      <c r="CI80" s="2128"/>
      <c r="CJ80" s="2115"/>
      <c r="CK80" s="2132"/>
      <c r="CL80" s="2432"/>
      <c r="CM80" s="2120"/>
      <c r="CN80" s="2124"/>
      <c r="CO80" s="2125"/>
      <c r="CP80" s="2106"/>
      <c r="CQ80" s="2106"/>
      <c r="CR80" s="2106"/>
      <c r="CS80" s="2109"/>
      <c r="CT80" s="2176"/>
      <c r="CU80" s="2177"/>
      <c r="CV80" s="2177"/>
      <c r="CW80" s="2177"/>
      <c r="CX80" s="2178"/>
    </row>
    <row r="81" spans="1:102" ht="30" customHeight="1" x14ac:dyDescent="0.3">
      <c r="A81" s="2136">
        <v>2018</v>
      </c>
      <c r="B81" s="2136"/>
      <c r="C81" s="2137"/>
      <c r="D81" s="1101">
        <v>43101</v>
      </c>
      <c r="E81" s="2141"/>
      <c r="F81" s="2112" t="str">
        <f>HYPERLINK("https://www.enmax.com/ForYourHomeSite/Documents/2018-01-01-DT-Rate-Schedule.pdf", "ENMAX January 2018 Distribution Tariff Rate Schedule, Page 3")</f>
        <v>ENMAX January 2018 Distribution Tariff Rate Schedule, Page 3</v>
      </c>
      <c r="G81" s="2231"/>
      <c r="H81" s="2424"/>
      <c r="I81" s="2115"/>
      <c r="J81" s="2423" t="str">
        <f>HYPERLINK("https://www.enmax.com/ForYourHomeSite/Documents/2018-01-01-DT-Rate-Schedule.pdf", "ENMAX January 2018 Distribution Tariff Rate Schedule, Pages 19-20")</f>
        <v>ENMAX January 2018 Distribution Tariff Rate Schedule, Pages 19-20</v>
      </c>
      <c r="K81" s="2210"/>
      <c r="L81" s="2210"/>
      <c r="M81" s="2113"/>
      <c r="N81" s="2114"/>
      <c r="O81" s="2120"/>
      <c r="P81" s="2124"/>
      <c r="Q81" s="2125"/>
      <c r="R81" s="2106"/>
      <c r="S81" s="2106"/>
      <c r="T81" s="2106"/>
      <c r="U81" s="2109"/>
      <c r="V81" s="2149"/>
      <c r="W81" s="2150"/>
      <c r="X81" s="2150"/>
      <c r="Y81" s="2150"/>
      <c r="Z81" s="2151"/>
      <c r="AA81" s="2141"/>
      <c r="AB81" s="2420" t="str">
        <f>HYPERLINK("https://www.epcor.com/products-services/power/rates-tariffs-fees/Documents2/SystemAccessServiceTariff-2018.pdf", "EPCOR January 2018 System Access Service Tariff, Page 3")</f>
        <v>EPCOR January 2018 System Access Service Tariff, Page 3</v>
      </c>
      <c r="AC81" s="2246"/>
      <c r="AD81" s="2247"/>
      <c r="AE81" s="2403" t="str">
        <f>HYPERLINK("https://www.epcor.com/products-services/power/rates-tariffs-fees/Documents2/LocalAccessFeeChange-2018-01.pdf", "EPCOR January 2018 Local Access Fee Retailer Notice, Page 1")</f>
        <v>EPCOR January 2018 Local Access Fee Retailer Notice, Page 1</v>
      </c>
      <c r="AF81" s="2403" t="str">
        <f>HYPERLINK("https://www.epcor.com/products-services/power/rates-tariffs-fees/Documents2/riderg-2018-01.pdf", "EPCOR January 2018 Rider G Temporary Adjustment, Page 1")</f>
        <v>EPCOR January 2018 Rider G Temporary Adjustment, Page 1</v>
      </c>
      <c r="AG81" s="2398" t="str">
        <f>HYPERLINK("https://www.epcor.com/products-services/power/rates-tariffs-fees/Documents2/riderk-2018-01.pdf", "EPCOR January 2018 Rider K Short-Term Adjustment, Page 1")</f>
        <v>EPCOR January 2018 Rider K Short-Term Adjustment, Page 1</v>
      </c>
      <c r="AH81" s="2401"/>
      <c r="AI81" s="2115"/>
      <c r="AJ81" s="2115"/>
      <c r="AK81" s="1603" t="str">
        <f>HYPERLINK("https://www.epcor.com/products-services/power/rates-tariffs-fees/Documents/RegulatedRateTariff-Edmonton-2018-01.pdf", "EPCOR January 2018 Regulated Rate Tariff, Page 2")</f>
        <v>EPCOR January 2018 Regulated Rate Tariff, Page 2</v>
      </c>
      <c r="AL81" s="2120"/>
      <c r="AM81" s="2124"/>
      <c r="AN81" s="2125"/>
      <c r="AO81" s="2106"/>
      <c r="AP81" s="2106"/>
      <c r="AQ81" s="2106"/>
      <c r="AR81" s="2109"/>
      <c r="AS81" s="2158"/>
      <c r="AT81" s="2159"/>
      <c r="AU81" s="2159"/>
      <c r="AV81" s="2159"/>
      <c r="AW81" s="2160"/>
      <c r="AX81" s="2141"/>
      <c r="AY81" s="2399" t="str">
        <f>HYPERLINK("https://www.fortisalberta.com/docs/default-source/default-document-library/2018-jan-rates-options-riders.pdf?sfvrsn=a8ca9f1b_4", "Fortis Alberta January 2018 Rates, Options, and Riders, Page 2")</f>
        <v>Fortis Alberta January 2018 Rates, Options, and Riders, Page 2</v>
      </c>
      <c r="AZ81" s="2190"/>
      <c r="BA81" s="2190"/>
      <c r="BB81" s="2200"/>
      <c r="BC81" s="2115" t="str">
        <f>HYPERLINK("https://www.fortisalberta.com/docs/default-source/default-document-library/2018-jan-rates-options-riders.pdf?sfvrsn=a8ca9f1b_4", "Fortis Alberta January 2018 Rates, Options, and Riders, Page 27-29")</f>
        <v>Fortis Alberta January 2018 Rates, Options, and Riders, Page 27-29</v>
      </c>
      <c r="BD81" s="2128" t="str">
        <f>HYPERLINK("https://www.fortisalberta.com/docs/default-source/default-document-library/2018-jan-rates-options-riders.pdf?sfvrsn=a8ca9f1b_4", "Fortis Alberta January 2018 Rates, Options, and Riders, Page 24-26")</f>
        <v>Fortis Alberta January 2018 Rates, Options, and Riders, Page 24-26</v>
      </c>
      <c r="BE81" s="2115" t="str">
        <f>HYPERLINK("https://www.fortisalberta.com/docs/default-source/default-document-library/2018-jan-rates-options-riders.pdf?sfvrsn=a8ca9f1b_4", "Fortis Alberta January 2018 Rates, Options, and Riders, Page 30")</f>
        <v>Fortis Alberta January 2018 Rates, Options, and Riders, Page 30</v>
      </c>
      <c r="BF81" s="2380" t="str">
        <f>HYPERLINK("https://www.fortisalberta.com/docs/default-source/default-document-library/2018-jan-rates-options-riders.pdf?sfvrsn=a8ca9f1b_4", "Fortis Alberta January 2018 Rates, Options, and Riders, Page 31")</f>
        <v>Fortis Alberta January 2018 Rates, Options, and Riders, Page 31</v>
      </c>
      <c r="BG81" s="2203"/>
      <c r="BH81" s="2203" t="str">
        <f>HYPERLINK("https://www.fortisalberta.com/docs/default-source/default-document-library/2018-jan-rates-options-riders.pdf?sfvrsn=a8ca9f1b_4", "Fortis Alberta January 2018 Rates, Options, and Riders, Page 32")</f>
        <v>Fortis Alberta January 2018 Rates, Options, and Riders, Page 32</v>
      </c>
      <c r="BI81" s="2203"/>
      <c r="BJ81" s="2115" t="str">
        <f>HYPERLINK("https://www.fortisalberta.com/docs/default-source/default-document-library/2018-jan-rates-options-riders.pdf?sfvrsn=a8ca9f1b_4", "Fortis Alberta January 2018 Rates, Options, and Riders")</f>
        <v>Fortis Alberta January 2018 Rates, Options, and Riders</v>
      </c>
      <c r="BK81" s="1533" t="str">
        <f>HYPERLINK("https://www.epcor.com/products-services/power/rates-tariffs-fees/Documents/RegulatedRateTariff-Fortis-2018-1.pdf", "EPCOR January 2018 Regulated Rate Tariff, Page 2")</f>
        <v>EPCOR January 2018 Regulated Rate Tariff, Page 2</v>
      </c>
      <c r="BL81" s="2120"/>
      <c r="BM81" s="2124"/>
      <c r="BN81" s="2125"/>
      <c r="BO81" s="2106"/>
      <c r="BP81" s="2106"/>
      <c r="BQ81" s="2106"/>
      <c r="BR81" s="2109"/>
      <c r="BS81" s="2167"/>
      <c r="BT81" s="2168"/>
      <c r="BU81" s="2168"/>
      <c r="BV81" s="2168"/>
      <c r="BW81" s="2169"/>
      <c r="BX81" s="2141"/>
      <c r="BY81" s="2195"/>
      <c r="BZ81" s="2115"/>
      <c r="CA81" s="2115"/>
      <c r="CB81" s="2115"/>
      <c r="CC81" s="2431" t="str">
        <f>HYPERLINK("http://www.atcoelectric.com/Rates/tariffs/Documents/2017-Tariffs/2018-01-01-AE-Rider-A.pdf", "ATCO Electric January 2018 Rider A Rate Schedule, Page 2")</f>
        <v>ATCO Electric January 2018 Rider A Rate Schedule, Page 2</v>
      </c>
      <c r="CD81" s="2220"/>
      <c r="CE81" s="2335" t="str">
        <f>HYPERLINK("http://www.atcoelectric.com/Rates/tariffs/Documents/2017-Tariffs/2018-01-01%20AE%20Rider%20B.pdf", "ATCO Electric January 2018 Rider B Balancing Pool Adjustment, Page 1")</f>
        <v>ATCO Electric January 2018 Rider B Balancing Pool Adjustment, Page 1</v>
      </c>
      <c r="CF81" s="2335" t="str">
        <f>HYPERLINK("http://www.atcoelectric.com/Rates/tariffs/Documents/2017-Tariffs/2018-01-01%20AE%20Rider%20G.pdf", "ATCO Electric January 2018 Rider G Temporary Adjustment, Page 1")</f>
        <v>ATCO Electric January 2018 Rider G Temporary Adjustment, Page 1</v>
      </c>
      <c r="CG81" s="2195" t="str">
        <f>HYPERLINK("http://www.atcoelectric.com/Rates/tariffs/Documents/2017-Tariffs/2018-01-01%20AE%20Rider%20S.pdf", "ATCO Electric January 2018 Rider S - SAS Deferral, Page 1")</f>
        <v>ATCO Electric January 2018 Rider S - SAS Deferral, Page 1</v>
      </c>
      <c r="CH81" s="2194"/>
      <c r="CI81" s="2128"/>
      <c r="CJ81" s="2115"/>
      <c r="CK81" s="2132"/>
      <c r="CL81" s="2432"/>
      <c r="CM81" s="2120"/>
      <c r="CN81" s="2124"/>
      <c r="CO81" s="2125"/>
      <c r="CP81" s="2106"/>
      <c r="CQ81" s="2106"/>
      <c r="CR81" s="2106"/>
      <c r="CS81" s="2109"/>
      <c r="CT81" s="2176"/>
      <c r="CU81" s="2177"/>
      <c r="CV81" s="2177"/>
      <c r="CW81" s="2177"/>
      <c r="CX81" s="2178"/>
    </row>
    <row r="82" spans="1:102" ht="30" customHeight="1" x14ac:dyDescent="0.3">
      <c r="A82" s="2138"/>
      <c r="B82" s="2138"/>
      <c r="C82" s="2139"/>
      <c r="D82" s="1037">
        <v>43132</v>
      </c>
      <c r="E82" s="2141"/>
      <c r="F82" s="2213"/>
      <c r="G82" s="2231"/>
      <c r="H82" s="2424"/>
      <c r="I82" s="2115"/>
      <c r="J82" s="2211"/>
      <c r="K82" s="2211"/>
      <c r="L82" s="2211"/>
      <c r="M82" s="2113"/>
      <c r="N82" s="2114"/>
      <c r="O82" s="2120"/>
      <c r="P82" s="2124"/>
      <c r="Q82" s="2125"/>
      <c r="R82" s="2106"/>
      <c r="S82" s="2106"/>
      <c r="T82" s="2106"/>
      <c r="U82" s="2109"/>
      <c r="V82" s="2149"/>
      <c r="W82" s="2150"/>
      <c r="X82" s="2150"/>
      <c r="Y82" s="2150"/>
      <c r="Z82" s="2151"/>
      <c r="AA82" s="2141"/>
      <c r="AB82" s="2421"/>
      <c r="AC82" s="2246"/>
      <c r="AD82" s="2247"/>
      <c r="AE82" s="2404"/>
      <c r="AF82" s="2404"/>
      <c r="AG82" s="2195"/>
      <c r="AH82" s="2401"/>
      <c r="AI82" s="2115"/>
      <c r="AJ82" s="2115"/>
      <c r="AK82" s="1603" t="str">
        <f>HYPERLINK("https://www.epcor.com/products-services/power/rates-tariffs-fees/Documents/RegulatedRateTariff-Edmonton-2018-02.pdf", "EPCOR February 2018 Regulated Rate Tariff, Page 2")</f>
        <v>EPCOR February 2018 Regulated Rate Tariff, Page 2</v>
      </c>
      <c r="AL82" s="2120"/>
      <c r="AM82" s="2124"/>
      <c r="AN82" s="2125"/>
      <c r="AO82" s="2106"/>
      <c r="AP82" s="2106"/>
      <c r="AQ82" s="2106"/>
      <c r="AR82" s="2109"/>
      <c r="AS82" s="2158"/>
      <c r="AT82" s="2159"/>
      <c r="AU82" s="2159"/>
      <c r="AV82" s="2159"/>
      <c r="AW82" s="2160"/>
      <c r="AX82" s="2141"/>
      <c r="AY82" s="2191"/>
      <c r="AZ82" s="2191"/>
      <c r="BA82" s="2191"/>
      <c r="BB82" s="2185"/>
      <c r="BC82" s="2115"/>
      <c r="BD82" s="2115"/>
      <c r="BE82" s="2115"/>
      <c r="BF82" s="2203"/>
      <c r="BG82" s="2203"/>
      <c r="BH82" s="2203"/>
      <c r="BI82" s="2203"/>
      <c r="BJ82" s="2115"/>
      <c r="BK82" s="1533" t="str">
        <f>HYPERLINK("https://www.epcor.com/products-services/power/rates-tariffs-fees/Documents/RegulatedRateTariff-Fortis-2018-02.pdf", "EPCOR February 2018 Regulated Rate Tariff, Page 2")</f>
        <v>EPCOR February 2018 Regulated Rate Tariff, Page 2</v>
      </c>
      <c r="BL82" s="2120"/>
      <c r="BM82" s="2124"/>
      <c r="BN82" s="2125"/>
      <c r="BO82" s="2106"/>
      <c r="BP82" s="2106"/>
      <c r="BQ82" s="2106"/>
      <c r="BR82" s="2109"/>
      <c r="BS82" s="2167"/>
      <c r="BT82" s="2168"/>
      <c r="BU82" s="2168"/>
      <c r="BV82" s="2168"/>
      <c r="BW82" s="2169"/>
      <c r="BX82" s="2141"/>
      <c r="BY82" s="2195"/>
      <c r="BZ82" s="2115"/>
      <c r="CA82" s="2115"/>
      <c r="CB82" s="2115"/>
      <c r="CC82" s="2220"/>
      <c r="CD82" s="2220"/>
      <c r="CE82" s="2120"/>
      <c r="CF82" s="2120"/>
      <c r="CG82" s="2195"/>
      <c r="CH82" s="2194"/>
      <c r="CI82" s="2128"/>
      <c r="CJ82" s="2115"/>
      <c r="CK82" s="2132"/>
      <c r="CL82" s="2432"/>
      <c r="CM82" s="2120"/>
      <c r="CN82" s="2124"/>
      <c r="CO82" s="2125"/>
      <c r="CP82" s="2106"/>
      <c r="CQ82" s="2106"/>
      <c r="CR82" s="2106"/>
      <c r="CS82" s="2109"/>
      <c r="CT82" s="2176"/>
      <c r="CU82" s="2177"/>
      <c r="CV82" s="2177"/>
      <c r="CW82" s="2177"/>
      <c r="CX82" s="2178"/>
    </row>
    <row r="83" spans="1:102" ht="30" customHeight="1" x14ac:dyDescent="0.3">
      <c r="A83" s="2138"/>
      <c r="B83" s="2138"/>
      <c r="C83" s="2139"/>
      <c r="D83" s="1037">
        <v>43160</v>
      </c>
      <c r="E83" s="2141"/>
      <c r="F83" s="2213"/>
      <c r="G83" s="2231"/>
      <c r="H83" s="2424"/>
      <c r="I83" s="2115"/>
      <c r="J83" s="2212"/>
      <c r="K83" s="2212"/>
      <c r="L83" s="2212"/>
      <c r="M83" s="2113"/>
      <c r="N83" s="2114"/>
      <c r="O83" s="2120"/>
      <c r="P83" s="2124"/>
      <c r="Q83" s="2125"/>
      <c r="R83" s="2106"/>
      <c r="S83" s="2106"/>
      <c r="T83" s="2106"/>
      <c r="U83" s="2109"/>
      <c r="V83" s="2149"/>
      <c r="W83" s="2150"/>
      <c r="X83" s="2150"/>
      <c r="Y83" s="2150"/>
      <c r="Z83" s="2151"/>
      <c r="AA83" s="2141"/>
      <c r="AB83" s="2421"/>
      <c r="AC83" s="2246"/>
      <c r="AD83" s="2247"/>
      <c r="AE83" s="2404"/>
      <c r="AF83" s="2404"/>
      <c r="AG83" s="2195"/>
      <c r="AH83" s="2402"/>
      <c r="AI83" s="2115"/>
      <c r="AJ83" s="2115"/>
      <c r="AK83" s="1603" t="str">
        <f>HYPERLINK("https://www.epcor.com/products-services/power/rates-tariffs-fees/Documents/RegulatedRateTariff-Edmonton-2018-03.pdf", "EPCOR March 2018 Regulated Rate Tariff, Page 2")</f>
        <v>EPCOR March 2018 Regulated Rate Tariff, Page 2</v>
      </c>
      <c r="AL83" s="2120"/>
      <c r="AM83" s="2124"/>
      <c r="AN83" s="2125"/>
      <c r="AO83" s="2106"/>
      <c r="AP83" s="2106"/>
      <c r="AQ83" s="2106"/>
      <c r="AR83" s="2109"/>
      <c r="AS83" s="2158"/>
      <c r="AT83" s="2159"/>
      <c r="AU83" s="2159"/>
      <c r="AV83" s="2159"/>
      <c r="AW83" s="2160"/>
      <c r="AX83" s="2141"/>
      <c r="AY83" s="2192"/>
      <c r="AZ83" s="2192"/>
      <c r="BA83" s="2192"/>
      <c r="BB83" s="2187"/>
      <c r="BC83" s="2115"/>
      <c r="BD83" s="2115"/>
      <c r="BE83" s="2115"/>
      <c r="BF83" s="2203"/>
      <c r="BG83" s="2203"/>
      <c r="BH83" s="2203"/>
      <c r="BI83" s="2203"/>
      <c r="BJ83" s="2115"/>
      <c r="BK83" s="1533" t="str">
        <f>HYPERLINK("https://www.epcor.com/products-services/power/rates-tariffs-fees/Documents/RegulatedRateTariff-Fortis-2018-03.pdf", "EPCOR March 2018 Regulated Rate Tariff, Page 2")</f>
        <v>EPCOR March 2018 Regulated Rate Tariff, Page 2</v>
      </c>
      <c r="BL83" s="2120"/>
      <c r="BM83" s="2124"/>
      <c r="BN83" s="2125"/>
      <c r="BO83" s="2106"/>
      <c r="BP83" s="2106"/>
      <c r="BQ83" s="2106"/>
      <c r="BR83" s="2109"/>
      <c r="BS83" s="2167"/>
      <c r="BT83" s="2168"/>
      <c r="BU83" s="2168"/>
      <c r="BV83" s="2168"/>
      <c r="BW83" s="2169"/>
      <c r="BX83" s="2141"/>
      <c r="BY83" s="2195"/>
      <c r="BZ83" s="2115"/>
      <c r="CA83" s="2115"/>
      <c r="CB83" s="2115"/>
      <c r="CC83" s="2220"/>
      <c r="CD83" s="2220"/>
      <c r="CE83" s="2120"/>
      <c r="CF83" s="2120"/>
      <c r="CG83" s="2195"/>
      <c r="CH83" s="2194"/>
      <c r="CI83" s="2128"/>
      <c r="CJ83" s="2115"/>
      <c r="CK83" s="2132"/>
      <c r="CL83" s="2432"/>
      <c r="CM83" s="2120"/>
      <c r="CN83" s="2124"/>
      <c r="CO83" s="2125"/>
      <c r="CP83" s="2106"/>
      <c r="CQ83" s="2106"/>
      <c r="CR83" s="2106"/>
      <c r="CS83" s="2109"/>
      <c r="CT83" s="2176"/>
      <c r="CU83" s="2177"/>
      <c r="CV83" s="2177"/>
      <c r="CW83" s="2177"/>
      <c r="CX83" s="2178"/>
    </row>
    <row r="84" spans="1:102" ht="30" customHeight="1" x14ac:dyDescent="0.3">
      <c r="A84" s="2138"/>
      <c r="B84" s="2138"/>
      <c r="C84" s="2139"/>
      <c r="D84" s="1037">
        <v>43191</v>
      </c>
      <c r="E84" s="2141"/>
      <c r="F84" s="2112" t="str">
        <f>HYPERLINK("https://www.enmax.com/ForYourBusinessSite/Documents/2018-04-01-DT-Rate-Schedule.pdf", "ENMAX April 2018 Distribution Tariff Rate Schedule, Page 3")</f>
        <v>ENMAX April 2018 Distribution Tariff Rate Schedule, Page 3</v>
      </c>
      <c r="G84" s="2111"/>
      <c r="H84" s="2129"/>
      <c r="I84" s="2115"/>
      <c r="J84" s="2112" t="str">
        <f>HYPERLINK("https://www.enmax.com/ForYourBusinessSite/Documents/2018-04-01-DT-Rate-Schedule.pdf", "ENMAX April 2018 Distribution Tariff Rate Schedule, Pages 20-22")</f>
        <v>ENMAX April 2018 Distribution Tariff Rate Schedule, Pages 20-22</v>
      </c>
      <c r="K84" s="2111"/>
      <c r="L84" s="2129"/>
      <c r="M84" s="2113"/>
      <c r="N84" s="2114"/>
      <c r="O84" s="2120"/>
      <c r="P84" s="2124"/>
      <c r="Q84" s="2125"/>
      <c r="R84" s="2106"/>
      <c r="S84" s="2106"/>
      <c r="T84" s="2106"/>
      <c r="U84" s="2109"/>
      <c r="V84" s="2149"/>
      <c r="W84" s="2150"/>
      <c r="X84" s="2150"/>
      <c r="Y84" s="2150"/>
      <c r="Z84" s="2151"/>
      <c r="AA84" s="2141"/>
      <c r="AB84" s="2421"/>
      <c r="AC84" s="2414" t="str">
        <f>HYPERLINK("https://www.epcor.com/products-services/power/rates-tariffs-fees/Documents2/DistributionAccessServiceTariffApril-2018.pdf", "EPCOR April 2018 Distribution Access Service Tariff, Page 3")</f>
        <v>EPCOR April 2018 Distribution Access Service Tariff, Page 3</v>
      </c>
      <c r="AD84" s="2415"/>
      <c r="AE84" s="2404"/>
      <c r="AF84" s="2404"/>
      <c r="AG84" s="2201" t="str">
        <f>HYPERLINK("https://www.epcor.com/products-services/power/rates-tariffs-fees/Documents2/riderk-2018-04.pdf", "EPCOR April 2018 Rider K Short-Term Adjustment, Page 1")</f>
        <v>EPCOR April 2018 Rider K Short-Term Adjustment, Page 1</v>
      </c>
      <c r="AH84" s="2403" t="str">
        <f>HYPERLINK("https://www.epcor.com/products-services/power/rates-tariffs-fees/Documents2/riderj-2018-04.pdf", "EPCOR April 2018 Rider J Interim Adjustment, Page 1")</f>
        <v>EPCOR April 2018 Rider J Interim Adjustment, Page 1</v>
      </c>
      <c r="AI84" s="2115"/>
      <c r="AJ84" s="2115"/>
      <c r="AK84" s="1603" t="str">
        <f>HYPERLINK("https://www.epcor.com/products-services/power/rates-tariffs-fees/Documents/RegulatedRateTariff-Edmonton-2018-04.pdf", "EPCOR April 2018 Regulated Rate Tariff, Page 2")</f>
        <v>EPCOR April 2018 Regulated Rate Tariff, Page 2</v>
      </c>
      <c r="AL84" s="2120"/>
      <c r="AM84" s="2124"/>
      <c r="AN84" s="2125"/>
      <c r="AO84" s="2106"/>
      <c r="AP84" s="2106"/>
      <c r="AQ84" s="2106"/>
      <c r="AR84" s="2109"/>
      <c r="AS84" s="2158"/>
      <c r="AT84" s="2159"/>
      <c r="AU84" s="2159"/>
      <c r="AV84" s="2159"/>
      <c r="AW84" s="2160"/>
      <c r="AX84" s="2141"/>
      <c r="AY84" s="2112" t="str">
        <f>HYPERLINK("https://www.fortisalberta.com/docs/default-source/default-document-library/2018-apr-rates-options-and-riders.pdf?sfvrsn=22a69f1b_6", "Fortis Alberta April 2018 Rates, Options, and Riders, Page 2")</f>
        <v>Fortis Alberta April 2018 Rates, Options, and Riders, Page 2</v>
      </c>
      <c r="AZ84" s="2111"/>
      <c r="BA84" s="2111"/>
      <c r="BB84" s="2111"/>
      <c r="BC84" s="2128" t="str">
        <f>HYPERLINK("https://www.fortisalberta.com/docs/default-source/default-document-library/2018-apr-rates-options-and-riders.pdf?sfvrsn=22a69f1b_6", "Fortis Alberta April 2018 Rates, Options, and Riders, Page 27-29")</f>
        <v>Fortis Alberta April 2018 Rates, Options, and Riders, Page 27-29</v>
      </c>
      <c r="BD84" s="2128" t="str">
        <f>HYPERLINK("https://www.fortisalberta.com/docs/default-source/default-document-library/2018-apr-rates-options-and-riders.pdf?sfvrsn=22a69f1b_6", "Fortis Alberta April 2018 Rates, Options, and Riders, Page 24-26")</f>
        <v>Fortis Alberta April 2018 Rates, Options, and Riders, Page 24-26</v>
      </c>
      <c r="BE84" s="2128" t="str">
        <f>HYPERLINK("https://www.fortisalberta.com/docs/default-source/default-document-library/2018-apr-rates-options-and-riders.pdf?sfvrsn=22a69f1b_6", "Fortis Alberta April 2018 Rates, Options, and Riders, Page 30")</f>
        <v>Fortis Alberta April 2018 Rates, Options, and Riders, Page 30</v>
      </c>
      <c r="BF84" s="2380" t="str">
        <f>HYPERLINK("https://www.fortisalberta.com/docs/default-source/default-document-library/2018-apr-rates-options-and-riders.pdf?sfvrsn=22a69f1b_6", "Fortis Alberta April 2018 Rates, Options, and Riders, Page 31")</f>
        <v>Fortis Alberta April 2018 Rates, Options, and Riders, Page 31</v>
      </c>
      <c r="BG84" s="2203"/>
      <c r="BH84" s="2111" t="str">
        <f>HYPERLINK("https://www.fortisalberta.com/docs/default-source/default-document-library/2018-apr-rates-options-and-riders.pdf?sfvrsn=22a69f1b_6", "Fortis Alberta April 2018 Rates, Options, and Riders, Page 32")</f>
        <v>Fortis Alberta April 2018 Rates, Options, and Riders, Page 32</v>
      </c>
      <c r="BI84" s="2111"/>
      <c r="BJ84" s="2128" t="str">
        <f>HYPERLINK("https://www.fortisalberta.com/docs/default-source/default-document-library/2018-apr-rates-options-and-riders.pdf?sfvrsn=22a69f1b_6", "Fortis Alberta April 2018 Rates, Options, and Riders")</f>
        <v>Fortis Alberta April 2018 Rates, Options, and Riders</v>
      </c>
      <c r="BK84" s="1533" t="str">
        <f>HYPERLINK("https://www.epcor.com/products-services/power/rates-tariffs-fees/Documents/RegulatedRateTariff-Fortis-2018-4.pdf", "EPCOR April 2018 Regulated Rate Tariff, Page 2")</f>
        <v>EPCOR April 2018 Regulated Rate Tariff, Page 2</v>
      </c>
      <c r="BL84" s="2120"/>
      <c r="BM84" s="2124"/>
      <c r="BN84" s="2125"/>
      <c r="BO84" s="2106"/>
      <c r="BP84" s="2106"/>
      <c r="BQ84" s="2106"/>
      <c r="BR84" s="2109"/>
      <c r="BS84" s="2167"/>
      <c r="BT84" s="2168"/>
      <c r="BU84" s="2168"/>
      <c r="BV84" s="2168"/>
      <c r="BW84" s="2169"/>
      <c r="BX84" s="2141"/>
      <c r="BY84" s="2428" t="str">
        <f>HYPERLINK("http://www.atcoelectric.com/Rates/Documents/2018-04-01-AEPriceSchedules.pdf", "ATCO Electric April 2018 Price Schedule Index, Page 2")</f>
        <v>ATCO Electric April 2018 Price Schedule Index, Page 2</v>
      </c>
      <c r="BZ84" s="2428"/>
      <c r="CA84" s="2428"/>
      <c r="CB84" s="2415"/>
      <c r="CC84" s="2112" t="str">
        <f>HYPERLINK("http://www.atcoelectric.com/Rates/Documents/2018-04-01-AERiderA.pdf", "ATCO Electric April 2018 Rider A Rate Schedule, Page 2")</f>
        <v>ATCO Electric April 2018 Rider A Rate Schedule, Page 2</v>
      </c>
      <c r="CD84" s="2111"/>
      <c r="CE84" s="2120"/>
      <c r="CF84" s="2120"/>
      <c r="CG84" s="2134" t="str">
        <f>HYPERLINK("http://www.atcoelectric.com/Rates/Documents/2018-04-01-AERiderS.pdf", "ATCO Electric April 2018 Rider S - SAS Deferral, Page 1")</f>
        <v>ATCO Electric April 2018 Rider S - SAS Deferral, Page 1</v>
      </c>
      <c r="CH84" s="2335" t="str">
        <f>HYPERLINK("http://www.atcoelectric.com/Rates/Documents/2018-04-01-AEPriceSchedules.pdf", "ATCO Electric April 2018 Price Schedule Index, Page 49")</f>
        <v>ATCO Electric April 2018 Price Schedule Index, Page 49</v>
      </c>
      <c r="CI84" s="2128"/>
      <c r="CJ84" s="2115"/>
      <c r="CK84" s="2132"/>
      <c r="CL84" s="2432"/>
      <c r="CM84" s="2120"/>
      <c r="CN84" s="2124"/>
      <c r="CO84" s="2125"/>
      <c r="CP84" s="2106"/>
      <c r="CQ84" s="2106"/>
      <c r="CR84" s="2106"/>
      <c r="CS84" s="2109"/>
      <c r="CT84" s="2176"/>
      <c r="CU84" s="2177"/>
      <c r="CV84" s="2177"/>
      <c r="CW84" s="2177"/>
      <c r="CX84" s="2178"/>
    </row>
    <row r="85" spans="1:102" ht="30.75" customHeight="1" x14ac:dyDescent="0.3">
      <c r="A85" s="2138"/>
      <c r="B85" s="2138"/>
      <c r="C85" s="2139"/>
      <c r="D85" s="1037">
        <v>43221</v>
      </c>
      <c r="E85" s="2141"/>
      <c r="F85" s="2112"/>
      <c r="G85" s="2111"/>
      <c r="H85" s="2129"/>
      <c r="I85" s="2115"/>
      <c r="J85" s="2112"/>
      <c r="K85" s="2111"/>
      <c r="L85" s="2129"/>
      <c r="M85" s="2113"/>
      <c r="N85" s="2114"/>
      <c r="O85" s="2120"/>
      <c r="P85" s="2124"/>
      <c r="Q85" s="2125"/>
      <c r="R85" s="2106"/>
      <c r="S85" s="2106"/>
      <c r="T85" s="2106"/>
      <c r="U85" s="2109"/>
      <c r="V85" s="2149"/>
      <c r="W85" s="2150"/>
      <c r="X85" s="2150"/>
      <c r="Y85" s="2150"/>
      <c r="Z85" s="2151"/>
      <c r="AA85" s="2141"/>
      <c r="AB85" s="2421"/>
      <c r="AC85" s="2416"/>
      <c r="AD85" s="2417"/>
      <c r="AE85" s="2404"/>
      <c r="AF85" s="2404"/>
      <c r="AG85" s="2201"/>
      <c r="AH85" s="2406"/>
      <c r="AI85" s="2115"/>
      <c r="AJ85" s="2115"/>
      <c r="AK85" s="1603" t="str">
        <f>HYPERLINK("https://www.epcor.com/products-services/power/rates-tariffs-fees/Documents/RegulatedRateTariff-Edmonton-2018-05.pdf", "EPCOR May 2018 Regulated Rate Tariff, Page 2")</f>
        <v>EPCOR May 2018 Regulated Rate Tariff, Page 2</v>
      </c>
      <c r="AL85" s="2120"/>
      <c r="AM85" s="2124"/>
      <c r="AN85" s="2125"/>
      <c r="AO85" s="2106"/>
      <c r="AP85" s="2106"/>
      <c r="AQ85" s="2106"/>
      <c r="AR85" s="2109"/>
      <c r="AS85" s="2158"/>
      <c r="AT85" s="2159"/>
      <c r="AU85" s="2159"/>
      <c r="AV85" s="2159"/>
      <c r="AW85" s="2160"/>
      <c r="AX85" s="2141"/>
      <c r="AY85" s="2112"/>
      <c r="AZ85" s="2111"/>
      <c r="BA85" s="2111"/>
      <c r="BB85" s="2111"/>
      <c r="BC85" s="2115"/>
      <c r="BD85" s="2115"/>
      <c r="BE85" s="2115"/>
      <c r="BF85" s="2203"/>
      <c r="BG85" s="2203"/>
      <c r="BH85" s="2111"/>
      <c r="BI85" s="2111"/>
      <c r="BJ85" s="2115"/>
      <c r="BK85" s="1533" t="str">
        <f>HYPERLINK("https://www.epcor.com/products-services/power/rates-tariffs-fees/Documents/RegulatedRateTariff-Fortis-2018-05.pdf", "EPCOR May 2018 Regulated Rate Tariff, Page 2")</f>
        <v>EPCOR May 2018 Regulated Rate Tariff, Page 2</v>
      </c>
      <c r="BL85" s="2120"/>
      <c r="BM85" s="2124"/>
      <c r="BN85" s="2125"/>
      <c r="BO85" s="2106"/>
      <c r="BP85" s="2106"/>
      <c r="BQ85" s="2106"/>
      <c r="BR85" s="2109"/>
      <c r="BS85" s="2167"/>
      <c r="BT85" s="2168"/>
      <c r="BU85" s="2168"/>
      <c r="BV85" s="2168"/>
      <c r="BW85" s="2169"/>
      <c r="BX85" s="2141"/>
      <c r="BY85" s="2429"/>
      <c r="BZ85" s="2429"/>
      <c r="CA85" s="2429"/>
      <c r="CB85" s="2417"/>
      <c r="CC85" s="2414" t="str">
        <f>HYPERLINK("http://www.atcoelectric.com/Rates/tariffs/Documents/2018-Tariffs/2018-05-01-AE-Rider-A.pdf", "ATCO Electric May 2018 Rider A Rate Schedule, Page 2")</f>
        <v>ATCO Electric May 2018 Rider A Rate Schedule, Page 2</v>
      </c>
      <c r="CD85" s="2415"/>
      <c r="CE85" s="2120"/>
      <c r="CF85" s="2120"/>
      <c r="CG85" s="2135"/>
      <c r="CH85" s="2336"/>
      <c r="CI85" s="2128"/>
      <c r="CJ85" s="2115"/>
      <c r="CK85" s="2132"/>
      <c r="CL85" s="2432"/>
      <c r="CM85" s="2120"/>
      <c r="CN85" s="2124"/>
      <c r="CO85" s="2125"/>
      <c r="CP85" s="2106"/>
      <c r="CQ85" s="2106"/>
      <c r="CR85" s="2106"/>
      <c r="CS85" s="2109"/>
      <c r="CT85" s="2176"/>
      <c r="CU85" s="2177"/>
      <c r="CV85" s="2177"/>
      <c r="CW85" s="2177"/>
      <c r="CX85" s="2178"/>
    </row>
    <row r="86" spans="1:102" ht="30" customHeight="1" x14ac:dyDescent="0.3">
      <c r="A86" s="2138"/>
      <c r="B86" s="2138"/>
      <c r="C86" s="2139"/>
      <c r="D86" s="1037">
        <v>43252</v>
      </c>
      <c r="E86" s="2141"/>
      <c r="F86" s="2112"/>
      <c r="G86" s="2111"/>
      <c r="H86" s="2129"/>
      <c r="I86" s="2115"/>
      <c r="J86" s="2112"/>
      <c r="K86" s="2111"/>
      <c r="L86" s="2129"/>
      <c r="M86" s="2113"/>
      <c r="N86" s="2114"/>
      <c r="O86" s="2120"/>
      <c r="P86" s="2124"/>
      <c r="Q86" s="2125"/>
      <c r="R86" s="2106"/>
      <c r="S86" s="2106"/>
      <c r="T86" s="2106"/>
      <c r="U86" s="2109"/>
      <c r="V86" s="2149"/>
      <c r="W86" s="2150"/>
      <c r="X86" s="2150"/>
      <c r="Y86" s="2150"/>
      <c r="Z86" s="2151"/>
      <c r="AA86" s="2141"/>
      <c r="AB86" s="2421"/>
      <c r="AC86" s="2416"/>
      <c r="AD86" s="2417"/>
      <c r="AE86" s="2404"/>
      <c r="AF86" s="2404"/>
      <c r="AG86" s="2201"/>
      <c r="AH86" s="2406"/>
      <c r="AI86" s="2115"/>
      <c r="AJ86" s="2115"/>
      <c r="AK86" s="1603" t="str">
        <f>HYPERLINK("https://www.epcor.com/products-services/power/rates-tariffs-fees/Documents/RegulatedRateTariff-Edmonton-2018-06.pdf", "EPCOR June 2018 Regulated Rate Tariff, Page 2")</f>
        <v>EPCOR June 2018 Regulated Rate Tariff, Page 2</v>
      </c>
      <c r="AL86" s="2120"/>
      <c r="AM86" s="2124"/>
      <c r="AN86" s="2125"/>
      <c r="AO86" s="2106"/>
      <c r="AP86" s="2106"/>
      <c r="AQ86" s="2106"/>
      <c r="AR86" s="2109"/>
      <c r="AS86" s="2158"/>
      <c r="AT86" s="2159"/>
      <c r="AU86" s="2159"/>
      <c r="AV86" s="2159"/>
      <c r="AW86" s="2160"/>
      <c r="AX86" s="2141"/>
      <c r="AY86" s="2112"/>
      <c r="AZ86" s="2111"/>
      <c r="BA86" s="2111"/>
      <c r="BB86" s="2111"/>
      <c r="BC86" s="2115"/>
      <c r="BD86" s="2202"/>
      <c r="BE86" s="2115"/>
      <c r="BF86" s="2203"/>
      <c r="BG86" s="2203"/>
      <c r="BH86" s="2111"/>
      <c r="BI86" s="2111"/>
      <c r="BJ86" s="2115"/>
      <c r="BK86" s="1533" t="str">
        <f>HYPERLINK("https://www.epcor.com/products-services/power/rates-tariffs-fees/Documents/RegulatedRateTariff-Fortis-2018-06.pdf", "EPCOR June 2018 Regulated Rate Tariff, Page 2")</f>
        <v>EPCOR June 2018 Regulated Rate Tariff, Page 2</v>
      </c>
      <c r="BL86" s="2120"/>
      <c r="BM86" s="2124"/>
      <c r="BN86" s="2125"/>
      <c r="BO86" s="2106"/>
      <c r="BP86" s="2106"/>
      <c r="BQ86" s="2106"/>
      <c r="BR86" s="2109"/>
      <c r="BS86" s="2167"/>
      <c r="BT86" s="2168"/>
      <c r="BU86" s="2168"/>
      <c r="BV86" s="2168"/>
      <c r="BW86" s="2169"/>
      <c r="BX86" s="2141"/>
      <c r="BY86" s="2429"/>
      <c r="BZ86" s="2429"/>
      <c r="CA86" s="2429"/>
      <c r="CB86" s="2417"/>
      <c r="CC86" s="2416"/>
      <c r="CD86" s="2417"/>
      <c r="CE86" s="2120"/>
      <c r="CF86" s="2120"/>
      <c r="CG86" s="2135"/>
      <c r="CH86" s="2336"/>
      <c r="CI86" s="2128"/>
      <c r="CJ86" s="2115"/>
      <c r="CK86" s="2132"/>
      <c r="CL86" s="2432"/>
      <c r="CM86" s="2120"/>
      <c r="CN86" s="2124"/>
      <c r="CO86" s="2125"/>
      <c r="CP86" s="2106"/>
      <c r="CQ86" s="2106"/>
      <c r="CR86" s="2106"/>
      <c r="CS86" s="2109"/>
      <c r="CT86" s="2176"/>
      <c r="CU86" s="2177"/>
      <c r="CV86" s="2177"/>
      <c r="CW86" s="2177"/>
      <c r="CX86" s="2178"/>
    </row>
    <row r="87" spans="1:102" ht="30" customHeight="1" x14ac:dyDescent="0.3">
      <c r="A87" s="2138"/>
      <c r="B87" s="2138"/>
      <c r="C87" s="2139"/>
      <c r="D87" s="1037">
        <v>43282</v>
      </c>
      <c r="E87" s="2141"/>
      <c r="F87" s="2112" t="str">
        <f>HYPERLINK("https://www.enmax.com/ForYourBusinessSite/Documents/2018-07-01-DT-Rate-Schedule.pdf", "ENMAX July 2018 Distribution Tariff Rate Schedule, Page 3")</f>
        <v>ENMAX July 2018 Distribution Tariff Rate Schedule, Page 3</v>
      </c>
      <c r="G87" s="2111"/>
      <c r="H87" s="2129"/>
      <c r="I87" s="2115"/>
      <c r="J87" s="2112" t="str">
        <f>HYPERLINK("https://www.enmax.com/ForYourBusinessSite/Documents/2018-07-01-DT-Rate-Schedule.pdf", "ENMAX July 2018 Distribution Tariff Rate Schedule, Page 20-22")</f>
        <v>ENMAX July 2018 Distribution Tariff Rate Schedule, Page 20-22</v>
      </c>
      <c r="K87" s="2111"/>
      <c r="L87" s="2129"/>
      <c r="M87" s="2113"/>
      <c r="N87" s="2114"/>
      <c r="O87" s="2120"/>
      <c r="P87" s="2124"/>
      <c r="Q87" s="2125"/>
      <c r="R87" s="2106"/>
      <c r="S87" s="2106"/>
      <c r="T87" s="2106"/>
      <c r="U87" s="2109"/>
      <c r="V87" s="2149"/>
      <c r="W87" s="2150"/>
      <c r="X87" s="2150"/>
      <c r="Y87" s="2150"/>
      <c r="Z87" s="2151"/>
      <c r="AA87" s="2141"/>
      <c r="AB87" s="2421"/>
      <c r="AC87" s="2416"/>
      <c r="AD87" s="2417"/>
      <c r="AE87" s="2404"/>
      <c r="AF87" s="2404"/>
      <c r="AG87" s="2201" t="str">
        <f>HYPERLINK("https://www.epcor.com/products-services/power/rates-tariffs-fees/Documents2/riderk-2018-07.pdf", "EPCOR July 2018 Rider K Short-Term Adjustment, Page 1")</f>
        <v>EPCOR July 2018 Rider K Short-Term Adjustment, Page 1</v>
      </c>
      <c r="AH87" s="2406"/>
      <c r="AI87" s="2115"/>
      <c r="AJ87" s="2115"/>
      <c r="AK87" s="1603" t="str">
        <f>HYPERLINK("https://www.epcor.com/products-services/power/rates-tariffs-fees/Documents/RegulatedRateTariff-Edmonton-2018-07.pdf", "EPCOR July 2018 Regulated Rate Tariff, Page 2")</f>
        <v>EPCOR July 2018 Regulated Rate Tariff, Page 2</v>
      </c>
      <c r="AL87" s="2120"/>
      <c r="AM87" s="2124"/>
      <c r="AN87" s="2125"/>
      <c r="AO87" s="2106"/>
      <c r="AP87" s="2106"/>
      <c r="AQ87" s="2106"/>
      <c r="AR87" s="2109"/>
      <c r="AS87" s="2158"/>
      <c r="AT87" s="2159"/>
      <c r="AU87" s="2159"/>
      <c r="AV87" s="2159"/>
      <c r="AW87" s="2160"/>
      <c r="AX87" s="2141"/>
      <c r="AY87" s="2112" t="str">
        <f>HYPERLINK("https://www.fortisalberta.com/docs/default-source/default-document-library/2018-july-rates-options-riders.pdf?sfvrsn=39e9f1b_9", "Fortis Alberta July 2018 Rates, Options, and Riders, Page 2")</f>
        <v>Fortis Alberta July 2018 Rates, Options, and Riders, Page 2</v>
      </c>
      <c r="AZ87" s="2111"/>
      <c r="BA87" s="2111"/>
      <c r="BB87" s="2111"/>
      <c r="BC87" s="2114" t="str">
        <f>HYPERLINK("https://www.fortisalberta.com/docs/default-source/default-document-library/2018-july-rates-options-riders.pdf?sfvrsn=39e9f1b_9", "Fortis Alberta July 2018 Rates, Options, and Riders, Page 27-29")</f>
        <v>Fortis Alberta July 2018 Rates, Options, and Riders, Page 27-29</v>
      </c>
      <c r="BD87" s="2114" t="str">
        <f>HYPERLINK("https://www.fortisalberta.com/docs/default-source/default-document-library/2018-july-rates-options-riders.pdf?sfvrsn=39e9f1b_9", "Fortis Alberta July 2018 Rates, Options, and Riders, Page 24-26")</f>
        <v>Fortis Alberta July 2018 Rates, Options, and Riders, Page 24-26</v>
      </c>
      <c r="BE87" s="2114" t="str">
        <f>HYPERLINK("https://www.fortisalberta.com/docs/default-source/default-document-library/2018-july-rates-options-riders.pdf?sfvrsn=39e9f1b_9", "Fortis Alberta July 2018 Rates, Options, and Riders, Page 30")</f>
        <v>Fortis Alberta July 2018 Rates, Options, and Riders, Page 30</v>
      </c>
      <c r="BF87" s="2111" t="str">
        <f>HYPERLINK("https://www.fortisalberta.com/docs/default-source/default-document-library/2018-july-rates-options-riders.pdf?sfvrsn=39e9f1b_9", "Fortis Alberta July 2018 Rates, Options, and Riders, Page 31")</f>
        <v>Fortis Alberta July 2018 Rates, Options, and Riders, Page 31</v>
      </c>
      <c r="BG87" s="2111"/>
      <c r="BH87" s="2111" t="str">
        <f>HYPERLINK("https://www.fortisalberta.com/docs/default-source/default-document-library/2018-july-rates-options-riders.pdf?sfvrsn=39e9f1b_9", "Fortis Alberta July 2018 Rates, Options, and Riders, Page 32")</f>
        <v>Fortis Alberta July 2018 Rates, Options, and Riders, Page 32</v>
      </c>
      <c r="BI87" s="2111"/>
      <c r="BJ87" s="2114" t="str">
        <f>HYPERLINK("https://www.fortisalberta.com/docs/default-source/default-document-library/2018-july-rates-options-riders.pdf?sfvrsn=39e9f1b_9", "Fortis Alberta July 2018 Rates, Options, and Riders")</f>
        <v>Fortis Alberta July 2018 Rates, Options, and Riders</v>
      </c>
      <c r="BK87" s="1533" t="str">
        <f>HYPERLINK("https://www.epcor.com/products-services/power/rates-tariffs-fees/Documents/RegulatedRateTariff-Fortis-2018-07.pdf", "EPCOR July 2018 Regulated Rate Tariff, Page 2")</f>
        <v>EPCOR July 2018 Regulated Rate Tariff, Page 2</v>
      </c>
      <c r="BL87" s="2120"/>
      <c r="BM87" s="2124"/>
      <c r="BN87" s="2125"/>
      <c r="BO87" s="2106"/>
      <c r="BP87" s="2106"/>
      <c r="BQ87" s="2106"/>
      <c r="BR87" s="2109"/>
      <c r="BS87" s="2167"/>
      <c r="BT87" s="2168"/>
      <c r="BU87" s="2168"/>
      <c r="BV87" s="2168"/>
      <c r="BW87" s="2169"/>
      <c r="BX87" s="2141"/>
      <c r="BY87" s="2429"/>
      <c r="BZ87" s="2429"/>
      <c r="CA87" s="2429"/>
      <c r="CB87" s="2417"/>
      <c r="CC87" s="2416"/>
      <c r="CD87" s="2417"/>
      <c r="CE87" s="2120"/>
      <c r="CF87" s="2120"/>
      <c r="CG87" s="2134" t="str">
        <f>HYPERLINK("http://www.atcoelectric.com/Rates/Documents/2018-07-01-AE-Rider-S.pdf", "ATCO Electric July 2018 Rider S - SAS Deferral, Page 1")</f>
        <v>ATCO Electric July 2018 Rider S - SAS Deferral, Page 1</v>
      </c>
      <c r="CH87" s="2336"/>
      <c r="CI87" s="2128"/>
      <c r="CJ87" s="2115"/>
      <c r="CK87" s="2132"/>
      <c r="CL87" s="2432"/>
      <c r="CM87" s="2120"/>
      <c r="CN87" s="2124"/>
      <c r="CO87" s="2125"/>
      <c r="CP87" s="2106"/>
      <c r="CQ87" s="2106"/>
      <c r="CR87" s="2106"/>
      <c r="CS87" s="2109"/>
      <c r="CT87" s="2176"/>
      <c r="CU87" s="2177"/>
      <c r="CV87" s="2177"/>
      <c r="CW87" s="2177"/>
      <c r="CX87" s="2178"/>
    </row>
    <row r="88" spans="1:102" ht="30" customHeight="1" x14ac:dyDescent="0.3">
      <c r="A88" s="2138"/>
      <c r="B88" s="2138"/>
      <c r="C88" s="2139"/>
      <c r="D88" s="1037">
        <v>43313</v>
      </c>
      <c r="E88" s="2141"/>
      <c r="F88" s="2112"/>
      <c r="G88" s="2111"/>
      <c r="H88" s="2129"/>
      <c r="I88" s="2115"/>
      <c r="J88" s="2112"/>
      <c r="K88" s="2111"/>
      <c r="L88" s="2129"/>
      <c r="M88" s="2113"/>
      <c r="N88" s="2114"/>
      <c r="O88" s="2120"/>
      <c r="P88" s="2124"/>
      <c r="Q88" s="2125"/>
      <c r="R88" s="2106"/>
      <c r="S88" s="2106"/>
      <c r="T88" s="2106"/>
      <c r="U88" s="2109"/>
      <c r="V88" s="2149"/>
      <c r="W88" s="2150"/>
      <c r="X88" s="2150"/>
      <c r="Y88" s="2150"/>
      <c r="Z88" s="2151"/>
      <c r="AA88" s="2141"/>
      <c r="AB88" s="2421"/>
      <c r="AC88" s="2416"/>
      <c r="AD88" s="2417"/>
      <c r="AE88" s="2404"/>
      <c r="AF88" s="2404"/>
      <c r="AG88" s="2201"/>
      <c r="AH88" s="2406"/>
      <c r="AI88" s="2115"/>
      <c r="AJ88" s="2115"/>
      <c r="AK88" s="1603" t="str">
        <f>HYPERLINK("https://www.epcor.com/products-services/power/rates-tariffs-fees/Documents/RegulatedRateTariff-Edmonton-2018-08.pdf", "EPCOR August 2018 Regulated Rate Tariff, Page 2")</f>
        <v>EPCOR August 2018 Regulated Rate Tariff, Page 2</v>
      </c>
      <c r="AL88" s="2120"/>
      <c r="AM88" s="2124"/>
      <c r="AN88" s="2125"/>
      <c r="AO88" s="2106"/>
      <c r="AP88" s="2106"/>
      <c r="AQ88" s="2106"/>
      <c r="AR88" s="2109"/>
      <c r="AS88" s="2158"/>
      <c r="AT88" s="2159"/>
      <c r="AU88" s="2159"/>
      <c r="AV88" s="2159"/>
      <c r="AW88" s="2160"/>
      <c r="AX88" s="2141"/>
      <c r="AY88" s="2112"/>
      <c r="AZ88" s="2111"/>
      <c r="BA88" s="2111"/>
      <c r="BB88" s="2111"/>
      <c r="BC88" s="2114"/>
      <c r="BD88" s="2114"/>
      <c r="BE88" s="2114"/>
      <c r="BF88" s="2111"/>
      <c r="BG88" s="2111"/>
      <c r="BH88" s="2111"/>
      <c r="BI88" s="2111"/>
      <c r="BJ88" s="2114"/>
      <c r="BK88" s="1533" t="str">
        <f>HYPERLINK("https://www.epcor.com/products-services/power/rates-tariffs-fees/Documents/RegulatedRateTariff-Fortis-2018-08.pdf", "EPCOR August 2018 Regulated Rate Tariff, Page 2")</f>
        <v>EPCOR August 2018 Regulated Rate Tariff, Page 2</v>
      </c>
      <c r="BL88" s="2120"/>
      <c r="BM88" s="2124"/>
      <c r="BN88" s="2125"/>
      <c r="BO88" s="2106"/>
      <c r="BP88" s="2106"/>
      <c r="BQ88" s="2106"/>
      <c r="BR88" s="2109"/>
      <c r="BS88" s="2167"/>
      <c r="BT88" s="2168"/>
      <c r="BU88" s="2168"/>
      <c r="BV88" s="2168"/>
      <c r="BW88" s="2169"/>
      <c r="BX88" s="2141"/>
      <c r="BY88" s="2429"/>
      <c r="BZ88" s="2429"/>
      <c r="CA88" s="2429"/>
      <c r="CB88" s="2417"/>
      <c r="CC88" s="2416"/>
      <c r="CD88" s="2417"/>
      <c r="CE88" s="2120"/>
      <c r="CF88" s="2120"/>
      <c r="CG88" s="2135"/>
      <c r="CH88" s="2336"/>
      <c r="CI88" s="2128"/>
      <c r="CJ88" s="2115"/>
      <c r="CK88" s="2132"/>
      <c r="CL88" s="2432"/>
      <c r="CM88" s="2120"/>
      <c r="CN88" s="2124"/>
      <c r="CO88" s="2125"/>
      <c r="CP88" s="2106"/>
      <c r="CQ88" s="2106"/>
      <c r="CR88" s="2106"/>
      <c r="CS88" s="2109"/>
      <c r="CT88" s="2176"/>
      <c r="CU88" s="2177"/>
      <c r="CV88" s="2177"/>
      <c r="CW88" s="2177"/>
      <c r="CX88" s="2178"/>
    </row>
    <row r="89" spans="1:102" ht="30" customHeight="1" x14ac:dyDescent="0.3">
      <c r="A89" s="2138"/>
      <c r="B89" s="2138"/>
      <c r="C89" s="2139"/>
      <c r="D89" s="1037">
        <v>43344</v>
      </c>
      <c r="E89" s="2141"/>
      <c r="F89" s="2112"/>
      <c r="G89" s="2111"/>
      <c r="H89" s="2129"/>
      <c r="I89" s="2115"/>
      <c r="J89" s="2112"/>
      <c r="K89" s="2111"/>
      <c r="L89" s="2129"/>
      <c r="M89" s="2113"/>
      <c r="N89" s="2114"/>
      <c r="O89" s="2120"/>
      <c r="P89" s="2124"/>
      <c r="Q89" s="2125"/>
      <c r="R89" s="2106"/>
      <c r="S89" s="2106"/>
      <c r="T89" s="2106"/>
      <c r="U89" s="2109"/>
      <c r="V89" s="2149"/>
      <c r="W89" s="2150"/>
      <c r="X89" s="2150"/>
      <c r="Y89" s="2150"/>
      <c r="Z89" s="2151"/>
      <c r="AA89" s="2141"/>
      <c r="AB89" s="2421"/>
      <c r="AC89" s="2416"/>
      <c r="AD89" s="2417"/>
      <c r="AE89" s="2404"/>
      <c r="AF89" s="2404"/>
      <c r="AG89" s="2201"/>
      <c r="AH89" s="2406"/>
      <c r="AI89" s="2115"/>
      <c r="AJ89" s="2115"/>
      <c r="AK89" s="1603" t="str">
        <f>HYPERLINK("https://www.epcor.com/products-services/power/rates-tariffs-fees/Documents/RegulatedRateTariff-Edmonton-2018-09.pdf", "EPCOR September 2018 Regulated Rate Tariff, Page 2")</f>
        <v>EPCOR September 2018 Regulated Rate Tariff, Page 2</v>
      </c>
      <c r="AL89" s="2120"/>
      <c r="AM89" s="2124"/>
      <c r="AN89" s="2125"/>
      <c r="AO89" s="2106"/>
      <c r="AP89" s="2106"/>
      <c r="AQ89" s="2106"/>
      <c r="AR89" s="2109"/>
      <c r="AS89" s="2158"/>
      <c r="AT89" s="2159"/>
      <c r="AU89" s="2159"/>
      <c r="AV89" s="2159"/>
      <c r="AW89" s="2160"/>
      <c r="AX89" s="2141"/>
      <c r="AY89" s="2112"/>
      <c r="AZ89" s="2111"/>
      <c r="BA89" s="2111"/>
      <c r="BB89" s="2111"/>
      <c r="BC89" s="2114"/>
      <c r="BD89" s="2114"/>
      <c r="BE89" s="2114"/>
      <c r="BF89" s="2111"/>
      <c r="BG89" s="2111"/>
      <c r="BH89" s="2111"/>
      <c r="BI89" s="2111"/>
      <c r="BJ89" s="2114"/>
      <c r="BK89" s="1533" t="str">
        <f>HYPERLINK("https://www.epcor.com/products-services/power/rates-tariffs-fees/Documents/RegulatedRateTariff-Fortis-2018-09.pdf", "EPCOR September 2018 Regulated Rate Tariff, Page 2")</f>
        <v>EPCOR September 2018 Regulated Rate Tariff, Page 2</v>
      </c>
      <c r="BL89" s="2120"/>
      <c r="BM89" s="2124"/>
      <c r="BN89" s="2125"/>
      <c r="BO89" s="2106"/>
      <c r="BP89" s="2106"/>
      <c r="BQ89" s="2106"/>
      <c r="BR89" s="2109"/>
      <c r="BS89" s="2167"/>
      <c r="BT89" s="2168"/>
      <c r="BU89" s="2168"/>
      <c r="BV89" s="2168"/>
      <c r="BW89" s="2169"/>
      <c r="BX89" s="2141"/>
      <c r="BY89" s="2429"/>
      <c r="BZ89" s="2429"/>
      <c r="CA89" s="2429"/>
      <c r="CB89" s="2417"/>
      <c r="CC89" s="2416"/>
      <c r="CD89" s="2417"/>
      <c r="CE89" s="2120"/>
      <c r="CF89" s="2120"/>
      <c r="CG89" s="2135"/>
      <c r="CH89" s="2336"/>
      <c r="CI89" s="2128"/>
      <c r="CJ89" s="2115"/>
      <c r="CK89" s="2132"/>
      <c r="CL89" s="2433"/>
      <c r="CM89" s="2120"/>
      <c r="CN89" s="2124"/>
      <c r="CO89" s="2125"/>
      <c r="CP89" s="2106"/>
      <c r="CQ89" s="2106"/>
      <c r="CR89" s="2106"/>
      <c r="CS89" s="2109"/>
      <c r="CT89" s="2176"/>
      <c r="CU89" s="2177"/>
      <c r="CV89" s="2177"/>
      <c r="CW89" s="2177"/>
      <c r="CX89" s="2178"/>
    </row>
    <row r="90" spans="1:102" ht="30" customHeight="1" x14ac:dyDescent="0.3">
      <c r="A90" s="2138"/>
      <c r="B90" s="2138"/>
      <c r="C90" s="2139"/>
      <c r="D90" s="1037">
        <v>43374</v>
      </c>
      <c r="E90" s="2141"/>
      <c r="F90" s="2112" t="str">
        <f>HYPERLINK("https://www.enmax.com/ForYourBusinessSite/Documents/2018-10-01-DT-Rate-Schedule.pdf", "ENMAX October 2018 Distribution Tariff Rate Schedule, Page 3")</f>
        <v>ENMAX October 2018 Distribution Tariff Rate Schedule, Page 3</v>
      </c>
      <c r="G90" s="2111"/>
      <c r="H90" s="2129"/>
      <c r="I90" s="2115"/>
      <c r="J90" s="2112" t="str">
        <f>HYPERLINK("https://www.enmax.com/ForYourBusinessSite/Documents/2018-10-01-DT-Rate-Schedule.pdf", "ENMAX October 2018 Distribution Tariff Rate Schedule, Pages 19-21")</f>
        <v>ENMAX October 2018 Distribution Tariff Rate Schedule, Pages 19-21</v>
      </c>
      <c r="K90" s="2111"/>
      <c r="L90" s="2129"/>
      <c r="M90" s="2113"/>
      <c r="N90" s="2114"/>
      <c r="O90" s="2120"/>
      <c r="P90" s="2124"/>
      <c r="Q90" s="2125"/>
      <c r="R90" s="2106"/>
      <c r="S90" s="2106"/>
      <c r="T90" s="2106"/>
      <c r="U90" s="2109"/>
      <c r="V90" s="2149"/>
      <c r="W90" s="2150"/>
      <c r="X90" s="2150"/>
      <c r="Y90" s="2150"/>
      <c r="Z90" s="2151"/>
      <c r="AA90" s="2141"/>
      <c r="AB90" s="2421"/>
      <c r="AC90" s="2416"/>
      <c r="AD90" s="2417"/>
      <c r="AE90" s="2404"/>
      <c r="AF90" s="2404"/>
      <c r="AG90" s="2201" t="str">
        <f>HYPERLINK("https://www.epcor.com/products-services/power/rates-tariffs-fees/Documents2/riderk-2018-10.pdf", "EPCOR October 2018 Rider K Short-Term Adjustment, Page 1")</f>
        <v>EPCOR October 2018 Rider K Short-Term Adjustment, Page 1</v>
      </c>
      <c r="AH90" s="2406"/>
      <c r="AI90" s="2114" t="str">
        <f>HYPERLINK("https://www.epcor.com/products-services/power/rates-tariffs-fees/Documents2/riderdj-2018-10.pdf", "EPCOR October 2018 Rider DJ Interim Adjustment, Page 1")</f>
        <v>EPCOR October 2018 Rider DJ Interim Adjustment, Page 1</v>
      </c>
      <c r="AJ90" s="2115"/>
      <c r="AK90" s="1603" t="str">
        <f>HYPERLINK("https://www.epcor.com/products-services/power/rates-tariffs-fees/Documents/RegulatedRateTariff-Edmonton-2018-10.pdf", "EPCOR October 2018 Regulated Rate Tariff, Page 2")</f>
        <v>EPCOR October 2018 Regulated Rate Tariff, Page 2</v>
      </c>
      <c r="AL90" s="2120"/>
      <c r="AM90" s="2124"/>
      <c r="AN90" s="2125"/>
      <c r="AO90" s="2106"/>
      <c r="AP90" s="2106"/>
      <c r="AQ90" s="2106"/>
      <c r="AR90" s="2109"/>
      <c r="AS90" s="2158"/>
      <c r="AT90" s="2159"/>
      <c r="AU90" s="2159"/>
      <c r="AV90" s="2159"/>
      <c r="AW90" s="2160"/>
      <c r="AX90" s="2141"/>
      <c r="AY90" s="2112" t="str">
        <f>HYPERLINK("https://www.fortisalberta.com/docs/default-source/default-document-library/2018-oct-rates-options-riders.pdf?sfvrsn=7b769f1b_8", "Fortis Alberta October 2018 Rates, Options, and Riders, Page 2")</f>
        <v>Fortis Alberta October 2018 Rates, Options, and Riders, Page 2</v>
      </c>
      <c r="AZ90" s="2111"/>
      <c r="BA90" s="2111"/>
      <c r="BB90" s="2111"/>
      <c r="BC90" s="2114" t="str">
        <f>HYPERLINK("https://www.fortisalberta.com/docs/default-source/default-document-library/2018-oct-rates-options-riders.pdf?sfvrsn=7b769f1b_8", "Fortis Alberta October 2018 Rates, Options, and Riders, Page 27-29")</f>
        <v>Fortis Alberta October 2018 Rates, Options, and Riders, Page 27-29</v>
      </c>
      <c r="BD90" s="2114" t="str">
        <f>HYPERLINK("https://www.fortisalberta.com/docs/default-source/default-document-library/2018-oct-rates-options-riders.pdf?sfvrsn=7b769f1b_8", "Fortis Alberta October 2018 Rates, Options, and Riders, Page 24-26")</f>
        <v>Fortis Alberta October 2018 Rates, Options, and Riders, Page 24-26</v>
      </c>
      <c r="BE90" s="2114" t="str">
        <f>HYPERLINK("https://www.fortisalberta.com/docs/default-source/default-document-library/2018-oct-rates-options-riders.pdf?sfvrsn=7b769f1b_8", "Fortis Alberta October 2018 Rates, Options, and Riders, Page 30")</f>
        <v>Fortis Alberta October 2018 Rates, Options, and Riders, Page 30</v>
      </c>
      <c r="BF90" s="2409" t="str">
        <f>HYPERLINK("https://www.fortisalberta.com/docs/default-source/default-document-library/2018-oct-rates-options-riders.pdf?sfvrsn=7b769f1b_8", "Fortis Alberta October 2018 Rates, Options, and Riders, Page 31")</f>
        <v>Fortis Alberta October 2018 Rates, Options, and Riders, Page 31</v>
      </c>
      <c r="BG90" s="2116"/>
      <c r="BH90" s="2409" t="str">
        <f>HYPERLINK("https://www.fortisalberta.com/docs/default-source/default-document-library/2018-oct-rates-options-riders.pdf?sfvrsn=7b769f1b_8", "Fortis Alberta October 2018 Rates, Options, and Riders, Page 32")</f>
        <v>Fortis Alberta October 2018 Rates, Options, and Riders, Page 32</v>
      </c>
      <c r="BI90" s="2116"/>
      <c r="BJ90" s="2335" t="str">
        <f>HYPERLINK("https://www.fortisalberta.com/docs/default-source/default-document-library/2018-oct-rates-options-riders.pdf?sfvrsn=7b769f1b_8", "Fortis Alberta October 2018 Rates, Options, and Riders")</f>
        <v>Fortis Alberta October 2018 Rates, Options, and Riders</v>
      </c>
      <c r="BK90" s="1533" t="str">
        <f>HYPERLINK("https://www.epcor.com/products-services/power/rates-tariffs-fees/Documents/RegulatedRateTariff-Fortis-2018-10.pdf", "EPCOR October 2018 Regulated Rate Tariff, Page 2")</f>
        <v>EPCOR October 2018 Regulated Rate Tariff, Page 2</v>
      </c>
      <c r="BL90" s="2120"/>
      <c r="BM90" s="2124"/>
      <c r="BN90" s="2125"/>
      <c r="BO90" s="2106"/>
      <c r="BP90" s="2106"/>
      <c r="BQ90" s="2106"/>
      <c r="BR90" s="2109"/>
      <c r="BS90" s="2167"/>
      <c r="BT90" s="2168"/>
      <c r="BU90" s="2168"/>
      <c r="BV90" s="2168"/>
      <c r="BW90" s="2169"/>
      <c r="BX90" s="2141"/>
      <c r="BY90" s="2429"/>
      <c r="BZ90" s="2429"/>
      <c r="CA90" s="2429"/>
      <c r="CB90" s="2417"/>
      <c r="CC90" s="2416"/>
      <c r="CD90" s="2417"/>
      <c r="CE90" s="2120"/>
      <c r="CF90" s="2120"/>
      <c r="CG90" s="2134" t="str">
        <f>HYPERLINK("http://www.auc.ab.ca/regulatory_documents/ProceedingDocuments/2018/23883-D01-2018.pdf", "AUC Disposition 23883-D01-2018 ATCO Electric Ltd. Quarterly AESO DTS Deferral Account Rider - Q4 2018, Page 3")</f>
        <v>AUC Disposition 23883-D01-2018 ATCO Electric Ltd. Quarterly AESO DTS Deferral Account Rider - Q4 2018, Page 3</v>
      </c>
      <c r="CH90" s="2336"/>
      <c r="CI90" s="2128"/>
      <c r="CJ90" s="2115"/>
      <c r="CK90" s="2132"/>
      <c r="CL90" s="2425" t="str">
        <f>HYPERLINK("http://www.auc.ab.ca/regulatory_documents/ProceedingDocuments/2018/23748-D01-2018.pdf", "AUC Decision 23748-D01-2018 Direct Energy Regulated Services 2017-2018 Default Rate Tariff and Regulated Rate Tariff Compliance Filing, Page 40")</f>
        <v>AUC Decision 23748-D01-2018 Direct Energy Regulated Services 2017-2018 Default Rate Tariff and Regulated Rate Tariff Compliance Filing, Page 40</v>
      </c>
      <c r="CM90" s="2120"/>
      <c r="CN90" s="2124"/>
      <c r="CO90" s="2125"/>
      <c r="CP90" s="2106"/>
      <c r="CQ90" s="2106"/>
      <c r="CR90" s="2106"/>
      <c r="CS90" s="2109"/>
      <c r="CT90" s="2176"/>
      <c r="CU90" s="2177"/>
      <c r="CV90" s="2177"/>
      <c r="CW90" s="2177"/>
      <c r="CX90" s="2178"/>
    </row>
    <row r="91" spans="1:102" ht="30" customHeight="1" x14ac:dyDescent="0.3">
      <c r="A91" s="2138"/>
      <c r="B91" s="2138"/>
      <c r="C91" s="2139"/>
      <c r="D91" s="1037">
        <v>43405</v>
      </c>
      <c r="E91" s="2141"/>
      <c r="F91" s="2112"/>
      <c r="G91" s="2111"/>
      <c r="H91" s="2129"/>
      <c r="I91" s="2115"/>
      <c r="J91" s="2112"/>
      <c r="K91" s="2111"/>
      <c r="L91" s="2129"/>
      <c r="M91" s="2113"/>
      <c r="N91" s="2114"/>
      <c r="O91" s="2120"/>
      <c r="P91" s="2124"/>
      <c r="Q91" s="2125"/>
      <c r="R91" s="2106"/>
      <c r="S91" s="2106"/>
      <c r="T91" s="2106"/>
      <c r="U91" s="2109"/>
      <c r="V91" s="2149"/>
      <c r="W91" s="2150"/>
      <c r="X91" s="2150"/>
      <c r="Y91" s="2150"/>
      <c r="Z91" s="2151"/>
      <c r="AA91" s="2141"/>
      <c r="AB91" s="2421"/>
      <c r="AC91" s="2418"/>
      <c r="AD91" s="2419"/>
      <c r="AE91" s="2404"/>
      <c r="AF91" s="2404"/>
      <c r="AG91" s="2201"/>
      <c r="AH91" s="2406"/>
      <c r="AI91" s="2114"/>
      <c r="AJ91" s="2115"/>
      <c r="AK91" s="1603" t="str">
        <f>HYPERLINK("https://www.epcor.com/products-services/power/rates-tariffs-fees/Documents/RegulatedRateTariff-Edmonton-2018-11.pdf", "EPCOR November 2018 Regulated Rate Tariff, Page 2")</f>
        <v>EPCOR November 2018 Regulated Rate Tariff, Page 2</v>
      </c>
      <c r="AL91" s="2120"/>
      <c r="AM91" s="2124"/>
      <c r="AN91" s="2125"/>
      <c r="AO91" s="2106"/>
      <c r="AP91" s="2106"/>
      <c r="AQ91" s="2106"/>
      <c r="AR91" s="2109"/>
      <c r="AS91" s="2158"/>
      <c r="AT91" s="2159"/>
      <c r="AU91" s="2159"/>
      <c r="AV91" s="2159"/>
      <c r="AW91" s="2160"/>
      <c r="AX91" s="2141"/>
      <c r="AY91" s="2112"/>
      <c r="AZ91" s="2111"/>
      <c r="BA91" s="2111"/>
      <c r="BB91" s="2111"/>
      <c r="BC91" s="2114"/>
      <c r="BD91" s="2114"/>
      <c r="BE91" s="2114"/>
      <c r="BF91" s="2410"/>
      <c r="BG91" s="2117"/>
      <c r="BH91" s="2410"/>
      <c r="BI91" s="2117"/>
      <c r="BJ91" s="2336"/>
      <c r="BK91" s="1533" t="str">
        <f>HYPERLINK("https://www.epcor.com/products-services/power/rates-tariffs-fees/Documents/RegulatedRateTariff-Fortis-2018-11.pdf", "EPCOR November 2018 Regulated Rate Tariff, Page 2")</f>
        <v>EPCOR November 2018 Regulated Rate Tariff, Page 2</v>
      </c>
      <c r="BL91" s="2120"/>
      <c r="BM91" s="2124"/>
      <c r="BN91" s="2125"/>
      <c r="BO91" s="2106"/>
      <c r="BP91" s="2106"/>
      <c r="BQ91" s="2106"/>
      <c r="BR91" s="2109"/>
      <c r="BS91" s="2167"/>
      <c r="BT91" s="2168"/>
      <c r="BU91" s="2168"/>
      <c r="BV91" s="2168"/>
      <c r="BW91" s="2169"/>
      <c r="BX91" s="2141"/>
      <c r="BY91" s="2429"/>
      <c r="BZ91" s="2429"/>
      <c r="CA91" s="2429"/>
      <c r="CB91" s="2417"/>
      <c r="CC91" s="2416"/>
      <c r="CD91" s="2417"/>
      <c r="CE91" s="2120"/>
      <c r="CF91" s="2120"/>
      <c r="CG91" s="2135"/>
      <c r="CH91" s="2336"/>
      <c r="CI91" s="2128"/>
      <c r="CJ91" s="2115"/>
      <c r="CK91" s="2132"/>
      <c r="CL91" s="2426"/>
      <c r="CM91" s="2120"/>
      <c r="CN91" s="2124"/>
      <c r="CO91" s="2125"/>
      <c r="CP91" s="2106"/>
      <c r="CQ91" s="2106"/>
      <c r="CR91" s="2106"/>
      <c r="CS91" s="2109"/>
      <c r="CT91" s="2176"/>
      <c r="CU91" s="2177"/>
      <c r="CV91" s="2177"/>
      <c r="CW91" s="2177"/>
      <c r="CX91" s="2178"/>
    </row>
    <row r="92" spans="1:102" ht="30" customHeight="1" x14ac:dyDescent="0.3">
      <c r="A92" s="2412"/>
      <c r="B92" s="2412"/>
      <c r="C92" s="2413"/>
      <c r="D92" s="1102">
        <v>43435</v>
      </c>
      <c r="E92" s="2141"/>
      <c r="F92" s="2112"/>
      <c r="G92" s="2111"/>
      <c r="H92" s="2129"/>
      <c r="I92" s="2115"/>
      <c r="J92" s="2112"/>
      <c r="K92" s="2111"/>
      <c r="L92" s="2129"/>
      <c r="M92" s="2113"/>
      <c r="N92" s="2114"/>
      <c r="O92" s="2120"/>
      <c r="P92" s="2124"/>
      <c r="Q92" s="2125"/>
      <c r="R92" s="2106"/>
      <c r="S92" s="2106"/>
      <c r="T92" s="2106"/>
      <c r="U92" s="2109"/>
      <c r="V92" s="2149"/>
      <c r="W92" s="2150"/>
      <c r="X92" s="2150"/>
      <c r="Y92" s="2150"/>
      <c r="Z92" s="2151"/>
      <c r="AA92" s="2141"/>
      <c r="AB92" s="2422"/>
      <c r="AC92" s="2129" t="str">
        <f>HYPERLINK("https://www.epcor.com/products-services/power/rates-tariffs-fees/Documents2/DistributionAccessServiceTariffDecember-2018.pdf", "EPCOR December 2018 Distribution Access Service Tariff, Page 3")</f>
        <v>EPCOR December 2018 Distribution Access Service Tariff, Page 3</v>
      </c>
      <c r="AD92" s="2112"/>
      <c r="AE92" s="2405"/>
      <c r="AF92" s="2405"/>
      <c r="AG92" s="2201"/>
      <c r="AH92" s="2407"/>
      <c r="AI92" s="2114"/>
      <c r="AJ92" s="2115"/>
      <c r="AK92" s="1603" t="str">
        <f>HYPERLINK("https://www.epcor.com/products-services/power/rates-tariffs-fees/Documents/RegulatedRateTariff-Edmonton-2018-12.pdf", "EPCOR December 2018 Regulated Rate Tariff, Page 2")</f>
        <v>EPCOR December 2018 Regulated Rate Tariff, Page 2</v>
      </c>
      <c r="AL92" s="2120"/>
      <c r="AM92" s="2124"/>
      <c r="AN92" s="2125"/>
      <c r="AO92" s="2106"/>
      <c r="AP92" s="2106"/>
      <c r="AQ92" s="2106"/>
      <c r="AR92" s="2109"/>
      <c r="AS92" s="2158"/>
      <c r="AT92" s="2159"/>
      <c r="AU92" s="2159"/>
      <c r="AV92" s="2159"/>
      <c r="AW92" s="2160"/>
      <c r="AX92" s="2141"/>
      <c r="AY92" s="2112"/>
      <c r="AZ92" s="2111"/>
      <c r="BA92" s="2111"/>
      <c r="BB92" s="2111"/>
      <c r="BC92" s="2114"/>
      <c r="BD92" s="2114"/>
      <c r="BE92" s="2114"/>
      <c r="BF92" s="2411"/>
      <c r="BG92" s="2118"/>
      <c r="BH92" s="2411"/>
      <c r="BI92" s="2118"/>
      <c r="BJ92" s="2337"/>
      <c r="BK92" s="1533" t="str">
        <f>HYPERLINK("https://www.epcor.com/products-services/power/rates-tariffs-fees/Documents/RegulatedRateTariff-Fortis-2018-12.pdf", "EPCOR December 2018 Regulated Rate Tariff, Page 2")</f>
        <v>EPCOR December 2018 Regulated Rate Tariff, Page 2</v>
      </c>
      <c r="BL92" s="2120"/>
      <c r="BM92" s="2124"/>
      <c r="BN92" s="2125"/>
      <c r="BO92" s="2106"/>
      <c r="BP92" s="2106"/>
      <c r="BQ92" s="2106"/>
      <c r="BR92" s="2109"/>
      <c r="BS92" s="2167"/>
      <c r="BT92" s="2168"/>
      <c r="BU92" s="2168"/>
      <c r="BV92" s="2168"/>
      <c r="BW92" s="2169"/>
      <c r="BX92" s="2141"/>
      <c r="BY92" s="2430"/>
      <c r="BZ92" s="2430"/>
      <c r="CA92" s="2430"/>
      <c r="CB92" s="2419"/>
      <c r="CC92" s="2418"/>
      <c r="CD92" s="2419"/>
      <c r="CE92" s="2121"/>
      <c r="CF92" s="2121"/>
      <c r="CG92" s="2135"/>
      <c r="CH92" s="2337"/>
      <c r="CI92" s="2128"/>
      <c r="CJ92" s="2115"/>
      <c r="CK92" s="2132"/>
      <c r="CL92" s="2427"/>
      <c r="CM92" s="2120"/>
      <c r="CN92" s="2124"/>
      <c r="CO92" s="2125"/>
      <c r="CP92" s="2106"/>
      <c r="CQ92" s="2106"/>
      <c r="CR92" s="2106"/>
      <c r="CS92" s="2109"/>
      <c r="CT92" s="2176"/>
      <c r="CU92" s="2177"/>
      <c r="CV92" s="2177"/>
      <c r="CW92" s="2177"/>
      <c r="CX92" s="2178"/>
    </row>
    <row r="93" spans="1:102" ht="30" customHeight="1" x14ac:dyDescent="0.3">
      <c r="A93" s="2136">
        <v>2019</v>
      </c>
      <c r="B93" s="2136"/>
      <c r="C93" s="2137"/>
      <c r="D93" s="1101">
        <v>43466</v>
      </c>
      <c r="E93" s="2141"/>
      <c r="F93" s="2111" t="str">
        <f>HYPERLINK("https://www.enmax.com/ForYourBusinessSite/Documents/2019-01-01-DT-Tariff-Rate%20Schedule.pdf", "ENMAX January 2019 Distribution Tariff Rate Schedule, Page 3")</f>
        <v>ENMAX January 2019 Distribution Tariff Rate Schedule, Page 3</v>
      </c>
      <c r="G93" s="2111"/>
      <c r="H93" s="2111"/>
      <c r="I93" s="2115"/>
      <c r="J93" s="2111" t="str">
        <f>HYPERLINK("https://www.enmax.com/ForYourBusinessSite/Documents/2019-01-01-DT-Tariff-Rate%20Schedule.pdf", "ENMAX January 2019 Distribution Tariff Rate Schedule, Pages 20-22")</f>
        <v>ENMAX January 2019 Distribution Tariff Rate Schedule, Pages 20-22</v>
      </c>
      <c r="K93" s="2111"/>
      <c r="L93" s="2111"/>
      <c r="M93" s="2113"/>
      <c r="N93" s="2114"/>
      <c r="O93" s="2120"/>
      <c r="P93" s="2124"/>
      <c r="Q93" s="2125"/>
      <c r="R93" s="2106"/>
      <c r="S93" s="2106"/>
      <c r="T93" s="2106"/>
      <c r="U93" s="2109"/>
      <c r="V93" s="2149"/>
      <c r="W93" s="2150"/>
      <c r="X93" s="2150"/>
      <c r="Y93" s="2150"/>
      <c r="Z93" s="2151"/>
      <c r="AA93" s="2141"/>
      <c r="AB93" s="2111" t="str">
        <f>HYPERLINK("https://www.epcor.com/products-services/power/rates-tariffs-fees/Documents2/SystemAccessServiceTariff-2019.pdf", "EPCOR January 2019 System Access Service Tariff, Page 3")</f>
        <v>EPCOR January 2019 System Access Service Tariff, Page 3</v>
      </c>
      <c r="AC93" s="2111" t="str">
        <f>HYPERLINK("https://www.epcor.com/products-services/power/rates-tariffs-fees/Documents2/DistributionAccessServiceTariffJanuary-2019.pdf", "EPCOR January 2019 Distribution Access Service Tariff, Page 3")</f>
        <v>EPCOR January 2019 Distribution Access Service Tariff, Page 3</v>
      </c>
      <c r="AD93" s="2111"/>
      <c r="AE93" s="2111" t="str">
        <f>HYPERLINK("https://www.epcor.com/products-services/power/rates-tariffs-fees/Documents2/LocalAccessFee-RetailersNotice-2019-01.pdf", "EPCOR January 2019 Local Access Fee Retailer Notice, Page 1")</f>
        <v>EPCOR January 2019 Local Access Fee Retailer Notice, Page 1</v>
      </c>
      <c r="AF93" s="2111" t="str">
        <f>HYPERLINK("https://www.epcor.com/products-services/power/rates-tariffs-fees/Documents2/riderg-2019-01.pdf", "EPCOR January 2019 Rider G Temporary Adjustment, Page 1")</f>
        <v>EPCOR January 2019 Rider G Temporary Adjustment, Page 1</v>
      </c>
      <c r="AG93" s="2116" t="str">
        <f>HYPERLINK("https://www.epcor.com/products-services/power/rates-tariffs-fees/Documents2/riderk-2019-01.pdf", "EPCOR January 2019 Rider K Short-Term Adjustment, Page 1")</f>
        <v>EPCOR January 2019 Rider K Short-Term Adjustment, Page 1</v>
      </c>
      <c r="AH93" s="2114" t="str">
        <f>HYPERLINK("https://www.epcor.com/products-services/power/rates-tariffs-fees/Documents2/riderj-2019-01.pdf", "EPCOR January 2019 Rider J Interim Adjustment, Page 1")</f>
        <v>EPCOR January 2019 Rider J Interim Adjustment, Page 1</v>
      </c>
      <c r="AI93" s="2114"/>
      <c r="AJ93" s="2115"/>
      <c r="AK93" s="1575" t="str">
        <f>HYPERLINK("https://www.epcor.com/products-services/power/rates-tariffs-fees/Documents/RegulatedRateTariff-Edmonton-2019-01.pdf", "EPCOR January 2019 Regulated Rate Tariff, Page 2")</f>
        <v>EPCOR January 2019 Regulated Rate Tariff, Page 2</v>
      </c>
      <c r="AL93" s="2120"/>
      <c r="AM93" s="2124"/>
      <c r="AN93" s="2125"/>
      <c r="AO93" s="2106"/>
      <c r="AP93" s="2106"/>
      <c r="AQ93" s="2106"/>
      <c r="AR93" s="2109"/>
      <c r="AS93" s="2158"/>
      <c r="AT93" s="2159"/>
      <c r="AU93" s="2159"/>
      <c r="AV93" s="2159"/>
      <c r="AW93" s="2160"/>
      <c r="AX93" s="2141"/>
      <c r="AY93" s="2112" t="str">
        <f>HYPERLINK("https://www.fortisalberta.com/docs/default-source/default-document-library/2019-rates-options-and-riders-schedules.pdf?sfvrsn=f26e9f1b_12", "Fortis Alberta January 2019 Rates, Options, and Riders, Page 2")</f>
        <v>Fortis Alberta January 2019 Rates, Options, and Riders, Page 2</v>
      </c>
      <c r="AZ93" s="2111"/>
      <c r="BA93" s="2111"/>
      <c r="BB93" s="2111"/>
      <c r="BC93" s="2335" t="str">
        <f>HYPERLINK("https://www.fortisalberta.com/docs/default-source/default-document-library/2019-rates-options-and-riders-schedules.pdf?sfvrsn=f26e9f1b_12", "Fortis Alberta January 2019 Rates, Options, and Riders, Page 27-29")</f>
        <v>Fortis Alberta January 2019 Rates, Options, and Riders, Page 27-29</v>
      </c>
      <c r="BD93" s="2335" t="str">
        <f>HYPERLINK("https://www.fortisalberta.com/docs/default-source/default-document-library/2019-rates-options-and-riders-schedules.pdf?sfvrsn=f26e9f1b_12", "Fortis Alberta January 2019 Rates, Options, and Riders, Page 24-26")</f>
        <v>Fortis Alberta January 2019 Rates, Options, and Riders, Page 24-26</v>
      </c>
      <c r="BE93" s="2114" t="str">
        <f>HYPERLINK("https://www.fortisalberta.com/docs/default-source/default-document-library/2019-rates-options-and-riders-schedules.pdf?sfvrsn=f26e9f1b_12", "Fortis Alberta January 2019 Rates, Options, and Riders, Page 30")</f>
        <v>Fortis Alberta January 2019 Rates, Options, and Riders, Page 30</v>
      </c>
      <c r="BF93" s="2114" t="str">
        <f>HYPERLINK("https://www.fortisalberta.com/docs/default-source/default-document-library/2019-rates-options-and-riders-schedules.pdf?sfvrsn=f26e9f1b_12", "Fortis Alberta January 2019 Rates, Options, and Riders, Page 31")</f>
        <v>Fortis Alberta January 2019 Rates, Options, and Riders, Page 31</v>
      </c>
      <c r="BG93" s="2114"/>
      <c r="BH93" s="2114" t="str">
        <f>HYPERLINK("https://www.fortisalberta.com/docs/default-source/default-document-library/2019-rates-options-and-riders-schedules.pdf?sfvrsn=f26e9f1b_12", "Fortis Alberta January 2019 Rates, Options, and Riders, Page 32")</f>
        <v>Fortis Alberta January 2019 Rates, Options, and Riders, Page 32</v>
      </c>
      <c r="BI93" s="2114"/>
      <c r="BJ93" s="2114" t="str">
        <f>HYPERLINK("https://www.fortisalberta.com/docs/default-source/default-document-library/2019-rates-options-and-riders-schedules.pdf?sfvrsn=f26e9f1b_12", "Fortis Alberta January 2019 Rates, Options, and Riders")</f>
        <v>Fortis Alberta January 2019 Rates, Options, and Riders</v>
      </c>
      <c r="BK93" s="1604" t="str">
        <f>HYPERLINK("https://www.epcor.com/products-services/power/rates-tariffs-fees/Documents/RegulatedRateTariff-Fortis-2019-01.pdf", "EPCOR January 2019 Regulated Rate Tariff, Page 2")</f>
        <v>EPCOR January 2019 Regulated Rate Tariff, Page 2</v>
      </c>
      <c r="BL93" s="2120"/>
      <c r="BM93" s="2124"/>
      <c r="BN93" s="2125"/>
      <c r="BO93" s="2106"/>
      <c r="BP93" s="2106"/>
      <c r="BQ93" s="2106"/>
      <c r="BR93" s="2109"/>
      <c r="BS93" s="2167"/>
      <c r="BT93" s="2168"/>
      <c r="BU93" s="2168"/>
      <c r="BV93" s="2168"/>
      <c r="BW93" s="2169"/>
      <c r="BX93" s="2141"/>
      <c r="BY93" s="2111" t="str">
        <f>HYPERLINK("https://www.atco.com/content/dam/web/for-home/electricity/egbu-2019-01-01-price-schedules.pdf.pdf", "ATCO Electric January 2019 Price Schedule Index, Page 2")</f>
        <v>ATCO Electric January 2019 Price Schedule Index, Page 2</v>
      </c>
      <c r="BZ93" s="2111"/>
      <c r="CA93" s="2111"/>
      <c r="CB93" s="2111"/>
      <c r="CC93" s="2112" t="str">
        <f>HYPERLINK("https://www.atco.com/content/dam/web/for-home/electricity/egbu-2019-01-01-rider-a.pdf", "ATCO Electric January 2019 Rider A Rate Schedule, Page 2")</f>
        <v>ATCO Electric January 2019 Rider A Rate Schedule, Page 2</v>
      </c>
      <c r="CD93" s="2129"/>
      <c r="CE93" s="2114" t="str">
        <f>HYPERLINK("https://www.atco.com/content/dam/web/for-home/electricity/egbu-2019-01-01-rider-b.pdf", "ATCO Electric January 2019 Rider B Balancing Pool Adjustment, Page 1")</f>
        <v>ATCO Electric January 2019 Rider B Balancing Pool Adjustment, Page 1</v>
      </c>
      <c r="CF93" s="2114" t="str">
        <f>HYPERLINK("https://www.atco.com/content/dam/web/for-home/electricity/egbu-2019-01-01-rider-g.pdf", "ATCO Electric January 2019 Rider G Temporary Adjustment, Page 1")</f>
        <v>ATCO Electric January 2019 Rider G Temporary Adjustment, Page 1</v>
      </c>
      <c r="CG93" s="2114" t="str">
        <f>HYPERLINK("https://www.atco.com/content/dam/web/for-home/electricity/egbu-2019-01-01-rider-s.pdf", "ATCO Electric January 2019 Rider S - SAS Deferral, Page 1")</f>
        <v>ATCO Electric January 2019 Rider S - SAS Deferral, Page 1</v>
      </c>
      <c r="CH93" s="2114" t="str">
        <f>HYPERLINK("https://www.atco.com/content/dam/web/for-home/electricity/egbu-2019-01-01-price-schedules.pdf.pdf", "ATCO Electric January 2019 Price Schedule Index, Page 49")</f>
        <v>ATCO Electric January 2019 Price Schedule Index, Page 49</v>
      </c>
      <c r="CI93" s="2128"/>
      <c r="CJ93" s="2115"/>
      <c r="CK93" s="2133"/>
      <c r="CL93" s="1594" t="str">
        <f>HYPERLINK("https://www.directenergyregulatedservices.com/images/docs/181219-DERS-Jan-2019-RRT-Final-Rate-Schedules.pdf", "Direct Energy Regulated Services January 2019 Interim RRT Rate Schedules, Page 2")</f>
        <v>Direct Energy Regulated Services January 2019 Interim RRT Rate Schedules, Page 2</v>
      </c>
      <c r="CM93" s="2120"/>
      <c r="CN93" s="2124"/>
      <c r="CO93" s="2125"/>
      <c r="CP93" s="2106"/>
      <c r="CQ93" s="2106"/>
      <c r="CR93" s="2106"/>
      <c r="CS93" s="2109"/>
      <c r="CT93" s="2176"/>
      <c r="CU93" s="2177"/>
      <c r="CV93" s="2177"/>
      <c r="CW93" s="2177"/>
      <c r="CX93" s="2178"/>
    </row>
    <row r="94" spans="1:102" ht="30" customHeight="1" x14ac:dyDescent="0.3">
      <c r="A94" s="2138"/>
      <c r="B94" s="2138"/>
      <c r="C94" s="2139"/>
      <c r="D94" s="1037">
        <v>43497</v>
      </c>
      <c r="E94" s="2142"/>
      <c r="F94" s="2111"/>
      <c r="G94" s="2111"/>
      <c r="H94" s="2111"/>
      <c r="I94" s="2115"/>
      <c r="J94" s="2111"/>
      <c r="K94" s="2111"/>
      <c r="L94" s="2111"/>
      <c r="M94" s="2113"/>
      <c r="N94" s="2114"/>
      <c r="O94" s="2120"/>
      <c r="P94" s="2124"/>
      <c r="Q94" s="2125"/>
      <c r="R94" s="2106"/>
      <c r="S94" s="2106"/>
      <c r="T94" s="2106"/>
      <c r="U94" s="2109"/>
      <c r="V94" s="2149"/>
      <c r="W94" s="2150"/>
      <c r="X94" s="2150"/>
      <c r="Y94" s="2150"/>
      <c r="Z94" s="2151"/>
      <c r="AA94" s="2142"/>
      <c r="AB94" s="2111"/>
      <c r="AC94" s="2111"/>
      <c r="AD94" s="2111"/>
      <c r="AE94" s="2111"/>
      <c r="AF94" s="2111"/>
      <c r="AG94" s="2117"/>
      <c r="AH94" s="2114"/>
      <c r="AI94" s="2114"/>
      <c r="AJ94" s="2115"/>
      <c r="AK94" s="1575" t="str">
        <f>HYPERLINK("https://www.epcor.com/products-services/power/rates-tariffs-fees/Documents/RegulatedRateTariff-Edmonton-2019-02.pdf", "EPCOR February 2019 Regulated Rate Tariff, Page 2")</f>
        <v>EPCOR February 2019 Regulated Rate Tariff, Page 2</v>
      </c>
      <c r="AL94" s="2120"/>
      <c r="AM94" s="2124"/>
      <c r="AN94" s="2125"/>
      <c r="AO94" s="2106"/>
      <c r="AP94" s="2106"/>
      <c r="AQ94" s="2106"/>
      <c r="AR94" s="2109"/>
      <c r="AS94" s="2158"/>
      <c r="AT94" s="2159"/>
      <c r="AU94" s="2159"/>
      <c r="AV94" s="2159"/>
      <c r="AW94" s="2160"/>
      <c r="AX94" s="2142"/>
      <c r="AY94" s="2112"/>
      <c r="AZ94" s="2111"/>
      <c r="BA94" s="2111"/>
      <c r="BB94" s="2111"/>
      <c r="BC94" s="2336"/>
      <c r="BD94" s="2336"/>
      <c r="BE94" s="2114"/>
      <c r="BF94" s="2114"/>
      <c r="BG94" s="2114"/>
      <c r="BH94" s="2114"/>
      <c r="BI94" s="2114"/>
      <c r="BJ94" s="2114"/>
      <c r="BK94" s="1604" t="str">
        <f>HYPERLINK("https://www.epcor.com/products-services/power/rates-tariffs-fees/Documents/RegulatedRateTariff-Fortis-2019-02.pdf", "EPCOR February 2019 Regulated Rate Tariff, Page 2")</f>
        <v>EPCOR February 2019 Regulated Rate Tariff, Page 2</v>
      </c>
      <c r="BL94" s="2120"/>
      <c r="BM94" s="2124"/>
      <c r="BN94" s="2125"/>
      <c r="BO94" s="2106"/>
      <c r="BP94" s="2106"/>
      <c r="BQ94" s="2106"/>
      <c r="BR94" s="2109"/>
      <c r="BS94" s="2167"/>
      <c r="BT94" s="2168"/>
      <c r="BU94" s="2168"/>
      <c r="BV94" s="2168"/>
      <c r="BW94" s="2169"/>
      <c r="BX94" s="2142"/>
      <c r="BY94" s="2111"/>
      <c r="BZ94" s="2111"/>
      <c r="CA94" s="2111"/>
      <c r="CB94" s="2111"/>
      <c r="CC94" s="2112"/>
      <c r="CD94" s="2129"/>
      <c r="CE94" s="2114"/>
      <c r="CF94" s="2114"/>
      <c r="CG94" s="2114"/>
      <c r="CH94" s="2114"/>
      <c r="CI94" s="2128"/>
      <c r="CJ94" s="2115"/>
      <c r="CK94" s="2114" t="str">
        <f>HYPERLINK("https://www.directenergyregulatedservices.com/images/docs/190125-DERS-Feb-2019-RRT-Final-Rate-Schedules.pdf", "Direct Energy Regulated Services February 2019 Interim RRT Rate Schedules, Page 2")</f>
        <v>Direct Energy Regulated Services February 2019 Interim RRT Rate Schedules, Page 2</v>
      </c>
      <c r="CL94" s="1594" t="str">
        <f>HYPERLINK("https://www.directenergyregulatedservices.com/images/docs/190125-DERS-Feb-2019-RRT-Final-Rate-Schedules.pdf", "Direct Energy Regulated Services February 2019 Interim RRT Rate Schedules, Page 2")</f>
        <v>Direct Energy Regulated Services February 2019 Interim RRT Rate Schedules, Page 2</v>
      </c>
      <c r="CM94" s="2120"/>
      <c r="CN94" s="2124"/>
      <c r="CO94" s="2125"/>
      <c r="CP94" s="2106"/>
      <c r="CQ94" s="2106"/>
      <c r="CR94" s="2106"/>
      <c r="CS94" s="2109"/>
      <c r="CT94" s="2176"/>
      <c r="CU94" s="2177"/>
      <c r="CV94" s="2177"/>
      <c r="CW94" s="2177"/>
      <c r="CX94" s="2178"/>
    </row>
    <row r="95" spans="1:102" ht="30" customHeight="1" x14ac:dyDescent="0.3">
      <c r="A95" s="2138"/>
      <c r="B95" s="2138"/>
      <c r="C95" s="2139"/>
      <c r="D95" s="1037">
        <v>43525</v>
      </c>
      <c r="E95" s="2143" t="str">
        <f>HYPERLINK("http://www.auc.ab.ca/Shared%20Documents/Current_RRO.pdf","AUC Monthly RRO Rates, Page 3")</f>
        <v>AUC Monthly RRO Rates, Page 3</v>
      </c>
      <c r="F95" s="2112"/>
      <c r="G95" s="2111"/>
      <c r="H95" s="2111"/>
      <c r="I95" s="2115"/>
      <c r="J95" s="2111"/>
      <c r="K95" s="2111"/>
      <c r="L95" s="2111"/>
      <c r="M95" s="2113"/>
      <c r="N95" s="2114"/>
      <c r="O95" s="2120"/>
      <c r="P95" s="2124"/>
      <c r="Q95" s="2125"/>
      <c r="R95" s="2106"/>
      <c r="S95" s="2106"/>
      <c r="T95" s="2106"/>
      <c r="U95" s="2109"/>
      <c r="V95" s="2149"/>
      <c r="W95" s="2150"/>
      <c r="X95" s="2150"/>
      <c r="Y95" s="2150"/>
      <c r="Z95" s="2151"/>
      <c r="AA95" s="2143" t="str">
        <f>HYPERLINK("http://www.auc.ab.ca/Shared%20Documents/Current_RRO.pdf","AUC Monthly RRO Rates, Page 4")</f>
        <v>AUC Monthly RRO Rates, Page 4</v>
      </c>
      <c r="AB95" s="2111"/>
      <c r="AC95" s="2111"/>
      <c r="AD95" s="2111"/>
      <c r="AE95" s="2111"/>
      <c r="AF95" s="2111"/>
      <c r="AG95" s="2118"/>
      <c r="AH95" s="2114"/>
      <c r="AI95" s="2114"/>
      <c r="AJ95" s="2115"/>
      <c r="AK95" s="1575" t="str">
        <f>HYPERLINK("https://www.epcor.com/products-services/power/rates-tariffs-fees/Documents/RegulatedRateTariff-Edmonton-2019-03.pdf", "EPCOR March 2019 Regulated Rate Tariff, Page 2")</f>
        <v>EPCOR March 2019 Regulated Rate Tariff, Page 2</v>
      </c>
      <c r="AL95" s="2120"/>
      <c r="AM95" s="2124"/>
      <c r="AN95" s="2125"/>
      <c r="AO95" s="2106"/>
      <c r="AP95" s="2106"/>
      <c r="AQ95" s="2106"/>
      <c r="AR95" s="2109"/>
      <c r="AS95" s="2158"/>
      <c r="AT95" s="2159"/>
      <c r="AU95" s="2159"/>
      <c r="AV95" s="2159"/>
      <c r="AW95" s="2160"/>
      <c r="AX95" s="2143" t="str">
        <f>HYPERLINK("http://www.auc.ab.ca/Shared%20Documents/Current_RRO.pdf","AUC Monthly RRO Rates, Page 5")</f>
        <v>AUC Monthly RRO Rates, Page 5</v>
      </c>
      <c r="AY95" s="2112"/>
      <c r="AZ95" s="2111"/>
      <c r="BA95" s="2111"/>
      <c r="BB95" s="2111"/>
      <c r="BC95" s="2337"/>
      <c r="BD95" s="2337"/>
      <c r="BE95" s="2114"/>
      <c r="BF95" s="2114"/>
      <c r="BG95" s="2114"/>
      <c r="BH95" s="2114"/>
      <c r="BI95" s="2114"/>
      <c r="BJ95" s="2114"/>
      <c r="BK95" s="1604" t="str">
        <f>HYPERLINK("https://www.epcor.com/products-services/power/rates-tariffs-fees/Documents/RegulatedRateTariff-Fortis-2019-03.pdf", "EPCOR March 2019 Regulated Rate Tariff, Page 2")</f>
        <v>EPCOR March 2019 Regulated Rate Tariff, Page 2</v>
      </c>
      <c r="BL95" s="2120"/>
      <c r="BM95" s="2124"/>
      <c r="BN95" s="2125"/>
      <c r="BO95" s="2106"/>
      <c r="BP95" s="2106"/>
      <c r="BQ95" s="2106"/>
      <c r="BR95" s="2109"/>
      <c r="BS95" s="2167"/>
      <c r="BT95" s="2168"/>
      <c r="BU95" s="2168"/>
      <c r="BV95" s="2168"/>
      <c r="BW95" s="2169"/>
      <c r="BX95" s="2143" t="str">
        <f>HYPERLINK("http://www.auc.ab.ca/Shared%20Documents/Current_RRO.pdf","AUC Monthly RRO Rates, Page 2")</f>
        <v>AUC Monthly RRO Rates, Page 2</v>
      </c>
      <c r="BY95" s="2111"/>
      <c r="BZ95" s="2111"/>
      <c r="CA95" s="2111"/>
      <c r="CB95" s="2111"/>
      <c r="CC95" s="2112"/>
      <c r="CD95" s="2129"/>
      <c r="CE95" s="2114"/>
      <c r="CF95" s="2114"/>
      <c r="CG95" s="2114"/>
      <c r="CH95" s="2114"/>
      <c r="CI95" s="2128"/>
      <c r="CJ95" s="2115"/>
      <c r="CK95" s="2114"/>
      <c r="CL95" s="1594" t="str">
        <f>HYPERLINK("https://www.directenergyregulatedservices.com/images/docs/190225-DERS-Mar-2019-RRT-Final-Rate-Schedules.pdf", "Direct Energy Regulated Services March 2019 Interim RRT Rate Schedules, Page 2")</f>
        <v>Direct Energy Regulated Services March 2019 Interim RRT Rate Schedules, Page 2</v>
      </c>
      <c r="CM95" s="2120"/>
      <c r="CN95" s="2124"/>
      <c r="CO95" s="2125"/>
      <c r="CP95" s="2106"/>
      <c r="CQ95" s="2106"/>
      <c r="CR95" s="2106"/>
      <c r="CS95" s="2109"/>
      <c r="CT95" s="2176"/>
      <c r="CU95" s="2177"/>
      <c r="CV95" s="2177"/>
      <c r="CW95" s="2177"/>
      <c r="CX95" s="2178"/>
    </row>
    <row r="96" spans="1:102" ht="30" customHeight="1" x14ac:dyDescent="0.3">
      <c r="A96" s="2138"/>
      <c r="B96" s="2138"/>
      <c r="C96" s="2139"/>
      <c r="D96" s="1037">
        <v>43556</v>
      </c>
      <c r="E96" s="2144"/>
      <c r="F96" s="2111" t="str">
        <f>HYPERLINK("https://www.enmax.com/ForYourHomeSite/Documents/2019-04-01-DT-Tariff-Rate-Schedule.pdf", "ENMAX April 2019 Distribution Tariff Rate Schedule, Page 3")</f>
        <v>ENMAX April 2019 Distribution Tariff Rate Schedule, Page 3</v>
      </c>
      <c r="G96" s="2111"/>
      <c r="H96" s="2111"/>
      <c r="I96" s="2115"/>
      <c r="J96" s="2111" t="str">
        <f>HYPERLINK("https://www.enmax.com/ForYourHomeSite/Documents/2019-04-01-DT-Tariff-Rate-Schedule.pdf", "ENMAX April 2019 Distribution Tariff Rate Schedule, Pages 20-22")</f>
        <v>ENMAX April 2019 Distribution Tariff Rate Schedule, Pages 20-22</v>
      </c>
      <c r="K96" s="2111"/>
      <c r="L96" s="2111"/>
      <c r="M96" s="2113"/>
      <c r="N96" s="2114"/>
      <c r="O96" s="2120"/>
      <c r="P96" s="2124"/>
      <c r="Q96" s="2125"/>
      <c r="R96" s="2106"/>
      <c r="S96" s="2106"/>
      <c r="T96" s="2106"/>
      <c r="U96" s="2109"/>
      <c r="V96" s="2149"/>
      <c r="W96" s="2150"/>
      <c r="X96" s="2150"/>
      <c r="Y96" s="2150"/>
      <c r="Z96" s="2151"/>
      <c r="AA96" s="2144"/>
      <c r="AB96" s="2111"/>
      <c r="AC96" s="2111"/>
      <c r="AD96" s="2111"/>
      <c r="AE96" s="2111"/>
      <c r="AF96" s="2111"/>
      <c r="AG96" s="2116" t="str">
        <f>HYPERLINK("https://www.epcor.com/products-services/power/rates-tariffs-fees/Documents2/Rider_K_Apr2019.pdf", "EPCOR April 2019 Rider K Short-Term Adjustment, Page 1")</f>
        <v>EPCOR April 2019 Rider K Short-Term Adjustment, Page 1</v>
      </c>
      <c r="AH96" s="2114"/>
      <c r="AI96" s="2114"/>
      <c r="AJ96" s="2115"/>
      <c r="AK96" s="1575" t="str">
        <f>HYPERLINK("https://www.epcor.com/products-services/power/rates-tariffs-fees/Documents/RegulatedRateTariff-Edmonton-2019-04.pdf", "EPCOR April 2019 Regulated Rate Tariff, Page 2")</f>
        <v>EPCOR April 2019 Regulated Rate Tariff, Page 2</v>
      </c>
      <c r="AL96" s="2120"/>
      <c r="AM96" s="2124"/>
      <c r="AN96" s="2125"/>
      <c r="AO96" s="2106"/>
      <c r="AP96" s="2106"/>
      <c r="AQ96" s="2106"/>
      <c r="AR96" s="2109"/>
      <c r="AS96" s="2158"/>
      <c r="AT96" s="2159"/>
      <c r="AU96" s="2159"/>
      <c r="AV96" s="2159"/>
      <c r="AW96" s="2160"/>
      <c r="AX96" s="2144"/>
      <c r="AY96" s="2112" t="str">
        <f>HYPERLINK("https://www.fortisalberta.com/docs/default-source/default-document-library/2019-april-rates-options-riders.pdf?sfvrsn=ab359f1b_4", "Fortis Alberta April 2019 Rates, Options, and Riders, Page 2")</f>
        <v>Fortis Alberta April 2019 Rates, Options, and Riders, Page 2</v>
      </c>
      <c r="AZ96" s="2111"/>
      <c r="BA96" s="2111"/>
      <c r="BB96" s="2111"/>
      <c r="BC96" s="2114" t="str">
        <f>HYPERLINK("https://www.fortisalberta.com/docs/default-source/default-document-library/2019-april-rates-options-riders.pdf?sfvrsn=ab359f1b_4", "Fortis Alberta April 2019 Rates, Options, and Riders, Page 27-29")</f>
        <v>Fortis Alberta April 2019 Rates, Options, and Riders, Page 27-29</v>
      </c>
      <c r="BD96" s="2114" t="str">
        <f>HYPERLINK("https://www.fortisalberta.com/docs/default-source/default-document-library/2019-april-rates-options-riders.pdf?sfvrsn=ab359f1b_4", "Fortis Alberta April 2019 Rates, Options, and Riders, Page 24-26")</f>
        <v>Fortis Alberta April 2019 Rates, Options, and Riders, Page 24-26</v>
      </c>
      <c r="BE96" s="2114" t="str">
        <f>HYPERLINK("https://www.fortisalberta.com/docs/default-source/default-document-library/2019-april-rates-options-riders.pdf?sfvrsn=ab359f1b_4", "Fortis Alberta April 2019 Rates, Options, and Riders, Page 30")</f>
        <v>Fortis Alberta April 2019 Rates, Options, and Riders, Page 30</v>
      </c>
      <c r="BF96" s="2114" t="str">
        <f>HYPERLINK("https://www.fortisalberta.com/docs/default-source/default-document-library/2019-april-rates-options-riders.pdf?sfvrsn=ab359f1b_4", "Fortis Alberta April 2019 Rates, Options, and Riders, Page 31")</f>
        <v>Fortis Alberta April 2019 Rates, Options, and Riders, Page 31</v>
      </c>
      <c r="BG96" s="2114"/>
      <c r="BH96" s="2114" t="str">
        <f>HYPERLINK("https://www.fortisalberta.com/docs/default-source/default-document-library/2019-april-rates-options-riders.pdf?sfvrsn=ab359f1b_4", "Fortis Alberta April 2019 Rates, Options, and Riders, Page 32")</f>
        <v>Fortis Alberta April 2019 Rates, Options, and Riders, Page 32</v>
      </c>
      <c r="BI96" s="2114"/>
      <c r="BJ96" s="2114" t="str">
        <f>HYPERLINK("https://www.fortisalberta.com/docs/default-source/default-document-library/2019-april-rates-options-riders.pdf?sfvrsn=ab359f1b_4", "Fortis Alberta April 2019 Rates, Options, and Riders")</f>
        <v>Fortis Alberta April 2019 Rates, Options, and Riders</v>
      </c>
      <c r="BK96" s="1604" t="str">
        <f>HYPERLINK("https://www.epcor.com/products-services/power/rates-tariffs-fees/Documents/RegulatedRateTariff-Fortis-2019-04.pdf", "EPCOR April 2019 Regulated Rate Tariff, Page 2")</f>
        <v>EPCOR April 2019 Regulated Rate Tariff, Page 2</v>
      </c>
      <c r="BL96" s="2120"/>
      <c r="BM96" s="2124"/>
      <c r="BN96" s="2125"/>
      <c r="BO96" s="2106"/>
      <c r="BP96" s="2106"/>
      <c r="BQ96" s="2106"/>
      <c r="BR96" s="2109"/>
      <c r="BS96" s="2167"/>
      <c r="BT96" s="2168"/>
      <c r="BU96" s="2168"/>
      <c r="BV96" s="2168"/>
      <c r="BW96" s="2169"/>
      <c r="BX96" s="2144"/>
      <c r="BY96" s="2111"/>
      <c r="BZ96" s="2111"/>
      <c r="CA96" s="2111"/>
      <c r="CB96" s="2111"/>
      <c r="CC96" s="2111" t="str">
        <f>HYPERLINK("https://www.atco.com/content/dam/web/for-home/electricity/rates-and-regulatory/2019-04-01-egbu-rider-a.pdf", "ATCO Electric April 2019 Rider A Rate Schedule, Page 2")</f>
        <v>ATCO Electric April 2019 Rider A Rate Schedule, Page 2</v>
      </c>
      <c r="CD96" s="2111"/>
      <c r="CE96" s="2114"/>
      <c r="CF96" s="2114"/>
      <c r="CG96" s="2114" t="str">
        <f>HYPERLINK("https://www.atco.com/content/dam/web/for-home/electricity/rates-and-regulatory/2019-04-01-egbu-rider-s.pdf", "ATCO Electric April 2019 Rider S - SAS Deferral, Page 1")</f>
        <v>ATCO Electric April 2019 Rider S - SAS Deferral, Page 1</v>
      </c>
      <c r="CH96" s="2114"/>
      <c r="CI96" s="2128"/>
      <c r="CJ96" s="2115"/>
      <c r="CK96" s="2114"/>
      <c r="CL96" s="1610" t="str">
        <f>HYPERLINK("https://www.directenergyregulatedservices.com/images/docs/190325-DERS-Apr-2019-RRT-Final-Rate-Schedules.pdf", "Direct Energy Regulated Services April 2019 Interim RRT Rate Schedules, Page 2")</f>
        <v>Direct Energy Regulated Services April 2019 Interim RRT Rate Schedules, Page 2</v>
      </c>
      <c r="CM96" s="2120"/>
      <c r="CN96" s="2124"/>
      <c r="CO96" s="2125"/>
      <c r="CP96" s="2106"/>
      <c r="CQ96" s="2106"/>
      <c r="CR96" s="2106"/>
      <c r="CS96" s="2109"/>
      <c r="CT96" s="2176"/>
      <c r="CU96" s="2177"/>
      <c r="CV96" s="2177"/>
      <c r="CW96" s="2177"/>
      <c r="CX96" s="2178"/>
    </row>
    <row r="97" spans="1:102" ht="30" customHeight="1" x14ac:dyDescent="0.3">
      <c r="A97" s="2138"/>
      <c r="B97" s="2138"/>
      <c r="C97" s="2139"/>
      <c r="D97" s="1037">
        <v>43586</v>
      </c>
      <c r="E97" s="2144"/>
      <c r="F97" s="2111"/>
      <c r="G97" s="2111"/>
      <c r="H97" s="2111"/>
      <c r="I97" s="2115"/>
      <c r="J97" s="2111"/>
      <c r="K97" s="2111"/>
      <c r="L97" s="2111"/>
      <c r="M97" s="2113"/>
      <c r="N97" s="2114"/>
      <c r="O97" s="2120"/>
      <c r="P97" s="2124"/>
      <c r="Q97" s="2125"/>
      <c r="R97" s="2106"/>
      <c r="S97" s="2106"/>
      <c r="T97" s="2106"/>
      <c r="U97" s="2109"/>
      <c r="V97" s="2149"/>
      <c r="W97" s="2150"/>
      <c r="X97" s="2150"/>
      <c r="Y97" s="2150"/>
      <c r="Z97" s="2151"/>
      <c r="AA97" s="2144"/>
      <c r="AB97" s="2111"/>
      <c r="AC97" s="2111"/>
      <c r="AD97" s="2111"/>
      <c r="AE97" s="2111"/>
      <c r="AF97" s="2111"/>
      <c r="AG97" s="2117"/>
      <c r="AH97" s="2114"/>
      <c r="AI97" s="2114"/>
      <c r="AJ97" s="2115"/>
      <c r="AK97" s="1575" t="str">
        <f>HYPERLINK("https://www.epcor.com/products-services/power/rates-tariffs-fees/Documents/RegulatedRateTariff-Edmonton-2019-05.pdf", "EPCOR May 2019 Regulated Rate Tariff, Page 2")</f>
        <v>EPCOR May 2019 Regulated Rate Tariff, Page 2</v>
      </c>
      <c r="AL97" s="2120"/>
      <c r="AM97" s="2124"/>
      <c r="AN97" s="2125"/>
      <c r="AO97" s="2106"/>
      <c r="AP97" s="2106"/>
      <c r="AQ97" s="2106"/>
      <c r="AR97" s="2109"/>
      <c r="AS97" s="2158"/>
      <c r="AT97" s="2159"/>
      <c r="AU97" s="2159"/>
      <c r="AV97" s="2159"/>
      <c r="AW97" s="2160"/>
      <c r="AX97" s="2144"/>
      <c r="AY97" s="2112"/>
      <c r="AZ97" s="2111"/>
      <c r="BA97" s="2111"/>
      <c r="BB97" s="2111"/>
      <c r="BC97" s="2114"/>
      <c r="BD97" s="2114"/>
      <c r="BE97" s="2114"/>
      <c r="BF97" s="2114"/>
      <c r="BG97" s="2114"/>
      <c r="BH97" s="2114"/>
      <c r="BI97" s="2114"/>
      <c r="BJ97" s="2114"/>
      <c r="BK97" s="1604" t="str">
        <f>HYPERLINK("https://www.epcor.com/products-services/power/rates-tariffs-fees/Documents/RegulatedRateTariff-Fortis-2019-05.pdf", "EPCOR May 2019 Regulated Rate Tariff, Page 2")</f>
        <v>EPCOR May 2019 Regulated Rate Tariff, Page 2</v>
      </c>
      <c r="BL97" s="2120"/>
      <c r="BM97" s="2124"/>
      <c r="BN97" s="2125"/>
      <c r="BO97" s="2106"/>
      <c r="BP97" s="2106"/>
      <c r="BQ97" s="2106"/>
      <c r="BR97" s="2109"/>
      <c r="BS97" s="2167"/>
      <c r="BT97" s="2168"/>
      <c r="BU97" s="2168"/>
      <c r="BV97" s="2168"/>
      <c r="BW97" s="2169"/>
      <c r="BX97" s="2144"/>
      <c r="BY97" s="2111"/>
      <c r="BZ97" s="2111"/>
      <c r="CA97" s="2111"/>
      <c r="CB97" s="2111"/>
      <c r="CC97" s="2111"/>
      <c r="CD97" s="2111"/>
      <c r="CE97" s="2114"/>
      <c r="CF97" s="2114"/>
      <c r="CG97" s="2114"/>
      <c r="CH97" s="2114"/>
      <c r="CI97" s="2128"/>
      <c r="CJ97" s="2115"/>
      <c r="CK97" s="2114"/>
      <c r="CL97" s="1610" t="str">
        <f>HYPERLINK("https://www.directenergyregulatedservices.com/images/docs/190424-DERS-May-2019-RRT-Final-Rate-Schedules.pdf", "Direct Energy Regulated Services May 2019 Interim RRT Rate Schedules, Page 2")</f>
        <v>Direct Energy Regulated Services May 2019 Interim RRT Rate Schedules, Page 2</v>
      </c>
      <c r="CM97" s="2120"/>
      <c r="CN97" s="2124"/>
      <c r="CO97" s="2125"/>
      <c r="CP97" s="2106"/>
      <c r="CQ97" s="2106"/>
      <c r="CR97" s="2106"/>
      <c r="CS97" s="2109"/>
      <c r="CT97" s="2176"/>
      <c r="CU97" s="2177"/>
      <c r="CV97" s="2177"/>
      <c r="CW97" s="2177"/>
      <c r="CX97" s="2178"/>
    </row>
    <row r="98" spans="1:102" ht="30" customHeight="1" thickBot="1" x14ac:dyDescent="0.35">
      <c r="A98" s="2138"/>
      <c r="B98" s="2138"/>
      <c r="C98" s="2139"/>
      <c r="D98" s="1037">
        <v>43617</v>
      </c>
      <c r="E98" s="2145"/>
      <c r="F98" s="2112"/>
      <c r="G98" s="2111"/>
      <c r="H98" s="2111"/>
      <c r="I98" s="2115"/>
      <c r="J98" s="2111"/>
      <c r="K98" s="2111"/>
      <c r="L98" s="2111"/>
      <c r="M98" s="2113"/>
      <c r="N98" s="2114"/>
      <c r="O98" s="2121"/>
      <c r="P98" s="2126"/>
      <c r="Q98" s="2127"/>
      <c r="R98" s="2107"/>
      <c r="S98" s="2107"/>
      <c r="T98" s="2107"/>
      <c r="U98" s="2110"/>
      <c r="V98" s="2152"/>
      <c r="W98" s="2153"/>
      <c r="X98" s="2153"/>
      <c r="Y98" s="2153"/>
      <c r="Z98" s="2154"/>
      <c r="AA98" s="2145"/>
      <c r="AB98" s="2111"/>
      <c r="AC98" s="2111"/>
      <c r="AD98" s="2111"/>
      <c r="AE98" s="2111"/>
      <c r="AF98" s="2111"/>
      <c r="AG98" s="2118"/>
      <c r="AH98" s="2114"/>
      <c r="AI98" s="2114"/>
      <c r="AJ98" s="2115"/>
      <c r="AK98" s="1575" t="str">
        <f>HYPERLINK("https://www.epcor.com/products-services/power/rates-tariffs-fees/Documents/RegulatedRateTariff-Edmonton-2019-06.pdf", "EPCOR June 2019 Regulated Rate Tariff, Page 2")</f>
        <v>EPCOR June 2019 Regulated Rate Tariff, Page 2</v>
      </c>
      <c r="AL98" s="2121"/>
      <c r="AM98" s="2126"/>
      <c r="AN98" s="2127"/>
      <c r="AO98" s="2107"/>
      <c r="AP98" s="2107"/>
      <c r="AQ98" s="2107"/>
      <c r="AR98" s="2110"/>
      <c r="AS98" s="2161"/>
      <c r="AT98" s="2162"/>
      <c r="AU98" s="2162"/>
      <c r="AV98" s="2162"/>
      <c r="AW98" s="2163"/>
      <c r="AX98" s="2145"/>
      <c r="AY98" s="2112"/>
      <c r="AZ98" s="2111"/>
      <c r="BA98" s="2111"/>
      <c r="BB98" s="2111"/>
      <c r="BC98" s="2114"/>
      <c r="BD98" s="2114"/>
      <c r="BE98" s="2114"/>
      <c r="BF98" s="2114"/>
      <c r="BG98" s="2114"/>
      <c r="BH98" s="2114"/>
      <c r="BI98" s="2114"/>
      <c r="BJ98" s="2114"/>
      <c r="BK98" s="1604" t="str">
        <f>HYPERLINK("https://www.epcor.com/products-services/power/rates-tariffs-fees/Documents/RegulatedRateTariff-Fortis-2019-06.pdf", "EPCOR June 2019 Regulated Rate Tariff, Page 2")</f>
        <v>EPCOR June 2019 Regulated Rate Tariff, Page 2</v>
      </c>
      <c r="BL98" s="2121"/>
      <c r="BM98" s="2126"/>
      <c r="BN98" s="2127"/>
      <c r="BO98" s="2107"/>
      <c r="BP98" s="2107"/>
      <c r="BQ98" s="2107"/>
      <c r="BR98" s="2110"/>
      <c r="BS98" s="2170"/>
      <c r="BT98" s="2171"/>
      <c r="BU98" s="2171"/>
      <c r="BV98" s="2171"/>
      <c r="BW98" s="2172"/>
      <c r="BX98" s="2145"/>
      <c r="BY98" s="2111"/>
      <c r="BZ98" s="2111"/>
      <c r="CA98" s="2111"/>
      <c r="CB98" s="2111"/>
      <c r="CC98" s="2111" t="str">
        <f>HYPERLINK("https://www.atco.com/content/dam/web/for-home/electricity/rates-and-regulatory/2019-06-01-atco-rider-a.pdf", "ATCO Electric June 2019 Rider A Rate Schedule, Page 2")</f>
        <v>ATCO Electric June 2019 Rider A Rate Schedule, Page 2</v>
      </c>
      <c r="CD98" s="2111"/>
      <c r="CE98" s="2114"/>
      <c r="CF98" s="2114"/>
      <c r="CG98" s="2114"/>
      <c r="CH98" s="2114"/>
      <c r="CI98" s="2128"/>
      <c r="CJ98" s="2115"/>
      <c r="CK98" s="2114"/>
      <c r="CL98" s="1610" t="str">
        <f>HYPERLINK("https://www.directenergyregulatedservices.com/images/docs/190527-DERS-Jun-2019-RRT-Final-Rate-Schedules.pdf", "Direct Energy Regulated Services June 2019 Interim RRT Rate Schedules, Page 2")</f>
        <v>Direct Energy Regulated Services June 2019 Interim RRT Rate Schedules, Page 2</v>
      </c>
      <c r="CM98" s="2121"/>
      <c r="CN98" s="2126"/>
      <c r="CO98" s="2127"/>
      <c r="CP98" s="2107"/>
      <c r="CQ98" s="2107"/>
      <c r="CR98" s="2107"/>
      <c r="CS98" s="2110"/>
      <c r="CT98" s="2179"/>
      <c r="CU98" s="2180"/>
      <c r="CV98" s="2180"/>
      <c r="CW98" s="2180"/>
      <c r="CX98" s="2181"/>
    </row>
    <row r="99" spans="1:102" ht="14.5" thickTop="1" x14ac:dyDescent="0.3"/>
  </sheetData>
  <mergeCells count="685">
    <mergeCell ref="BE87:BE89"/>
    <mergeCell ref="CL90:CL92"/>
    <mergeCell ref="BY84:CB92"/>
    <mergeCell ref="CC85:CD92"/>
    <mergeCell ref="CE81:CE92"/>
    <mergeCell ref="CF81:CF92"/>
    <mergeCell ref="CH84:CH92"/>
    <mergeCell ref="CG90:CG92"/>
    <mergeCell ref="CC84:CD84"/>
    <mergeCell ref="CC81:CD83"/>
    <mergeCell ref="CL69:CL89"/>
    <mergeCell ref="BH84:BI86"/>
    <mergeCell ref="BJ84:BJ86"/>
    <mergeCell ref="BY69:CB71"/>
    <mergeCell ref="BF79:BG80"/>
    <mergeCell ref="BF81:BG83"/>
    <mergeCell ref="BJ81:BJ83"/>
    <mergeCell ref="BF90:BG92"/>
    <mergeCell ref="BR9:BR98"/>
    <mergeCell ref="J81:L83"/>
    <mergeCell ref="F84:H86"/>
    <mergeCell ref="J84:L86"/>
    <mergeCell ref="F87:H89"/>
    <mergeCell ref="J87:L89"/>
    <mergeCell ref="F53:H53"/>
    <mergeCell ref="F45:H45"/>
    <mergeCell ref="F81:H83"/>
    <mergeCell ref="F57:H59"/>
    <mergeCell ref="F78:H80"/>
    <mergeCell ref="F72:H74"/>
    <mergeCell ref="A81:C92"/>
    <mergeCell ref="AY51:BB53"/>
    <mergeCell ref="BE36:BE38"/>
    <mergeCell ref="AY54:BB56"/>
    <mergeCell ref="AE33:AE44"/>
    <mergeCell ref="AE45:AE56"/>
    <mergeCell ref="BE48:BE50"/>
    <mergeCell ref="BE42:BE44"/>
    <mergeCell ref="BC33:BC35"/>
    <mergeCell ref="AJ33:AJ39"/>
    <mergeCell ref="BD39:BD41"/>
    <mergeCell ref="BC39:BC41"/>
    <mergeCell ref="BE45:BE47"/>
    <mergeCell ref="AC40:AD44"/>
    <mergeCell ref="F90:H92"/>
    <mergeCell ref="J90:L92"/>
    <mergeCell ref="AC84:AD91"/>
    <mergeCell ref="AC92:AD92"/>
    <mergeCell ref="AB81:AB92"/>
    <mergeCell ref="AE81:AE92"/>
    <mergeCell ref="AC45:AD56"/>
    <mergeCell ref="AB45:AB56"/>
    <mergeCell ref="M45:M47"/>
    <mergeCell ref="F75:H77"/>
    <mergeCell ref="AF81:AF92"/>
    <mergeCell ref="AH84:AH92"/>
    <mergeCell ref="AG90:AG92"/>
    <mergeCell ref="AC69:AD74"/>
    <mergeCell ref="AC75:AD83"/>
    <mergeCell ref="BJ57:BJ59"/>
    <mergeCell ref="AY60:BB62"/>
    <mergeCell ref="AY48:BB50"/>
    <mergeCell ref="BH90:BI92"/>
    <mergeCell ref="BJ90:BJ92"/>
    <mergeCell ref="BC90:BC92"/>
    <mergeCell ref="BD90:BD92"/>
    <mergeCell ref="BE90:BE92"/>
    <mergeCell ref="BC54:BC56"/>
    <mergeCell ref="AY87:BB89"/>
    <mergeCell ref="AY90:BB92"/>
    <mergeCell ref="BD87:BD89"/>
    <mergeCell ref="BC87:BC89"/>
    <mergeCell ref="AY78:BB78"/>
    <mergeCell ref="AY79:BB80"/>
    <mergeCell ref="AY66:BB68"/>
    <mergeCell ref="AY69:BB71"/>
    <mergeCell ref="BC57:BC59"/>
    <mergeCell ref="BD57:BD59"/>
    <mergeCell ref="AH69:AH71"/>
    <mergeCell ref="AH72:AH83"/>
    <mergeCell ref="AG60:AG62"/>
    <mergeCell ref="AG63:AG65"/>
    <mergeCell ref="AG66:AG68"/>
    <mergeCell ref="AI45:AI56"/>
    <mergeCell ref="BF54:BG56"/>
    <mergeCell ref="BC45:BC47"/>
    <mergeCell ref="BE51:BE53"/>
    <mergeCell ref="BE57:BE59"/>
    <mergeCell ref="BD54:BD56"/>
    <mergeCell ref="BC51:BC53"/>
    <mergeCell ref="BD51:BD53"/>
    <mergeCell ref="AG69:AG71"/>
    <mergeCell ref="AG72:AG74"/>
    <mergeCell ref="AG75:AG77"/>
    <mergeCell ref="AG78:AG80"/>
    <mergeCell ref="AG81:AG83"/>
    <mergeCell ref="BC69:BC71"/>
    <mergeCell ref="BD69:BD71"/>
    <mergeCell ref="BC72:BC74"/>
    <mergeCell ref="AY45:BB47"/>
    <mergeCell ref="BF75:BG77"/>
    <mergeCell ref="BF78:BG78"/>
    <mergeCell ref="BF36:BG38"/>
    <mergeCell ref="BH51:BI56"/>
    <mergeCell ref="AY42:BB44"/>
    <mergeCell ref="BE21:BE23"/>
    <mergeCell ref="BE24:BE26"/>
    <mergeCell ref="BJ39:BJ41"/>
    <mergeCell ref="BH39:BI41"/>
    <mergeCell ref="BD45:BD47"/>
    <mergeCell ref="BJ21:BJ23"/>
    <mergeCell ref="BJ27:BJ29"/>
    <mergeCell ref="BH21:BI23"/>
    <mergeCell ref="BH27:BI29"/>
    <mergeCell ref="BJ45:BJ47"/>
    <mergeCell ref="BE30:BE32"/>
    <mergeCell ref="BC21:BC23"/>
    <mergeCell ref="BF30:BG32"/>
    <mergeCell ref="BJ30:BJ32"/>
    <mergeCell ref="BH30:BI32"/>
    <mergeCell ref="CG39:CG41"/>
    <mergeCell ref="CG42:CG44"/>
    <mergeCell ref="BC66:BC68"/>
    <mergeCell ref="BD66:BD68"/>
    <mergeCell ref="BK30:BK32"/>
    <mergeCell ref="AF57:AF68"/>
    <mergeCell ref="AF69:AF80"/>
    <mergeCell ref="AE57:AE68"/>
    <mergeCell ref="AE69:AE80"/>
    <mergeCell ref="BY72:CB83"/>
    <mergeCell ref="BF45:BG47"/>
    <mergeCell ref="AH45:AH56"/>
    <mergeCell ref="BJ54:BJ56"/>
    <mergeCell ref="BJ48:BJ50"/>
    <mergeCell ref="BH48:BI50"/>
    <mergeCell ref="BE54:BE56"/>
    <mergeCell ref="AY81:BB83"/>
    <mergeCell ref="BC60:BC62"/>
    <mergeCell ref="BD60:BD62"/>
    <mergeCell ref="BC63:BC65"/>
    <mergeCell ref="BD63:BD65"/>
    <mergeCell ref="BJ66:BJ68"/>
    <mergeCell ref="AY57:BB59"/>
    <mergeCell ref="BJ51:BJ53"/>
    <mergeCell ref="A57:C68"/>
    <mergeCell ref="BE39:BE41"/>
    <mergeCell ref="AC57:AD68"/>
    <mergeCell ref="BY33:CB42"/>
    <mergeCell ref="BK54:BK56"/>
    <mergeCell ref="BK57:BK59"/>
    <mergeCell ref="CC53:CD56"/>
    <mergeCell ref="CC49:CD49"/>
    <mergeCell ref="CC50:CD51"/>
    <mergeCell ref="CC52:CD52"/>
    <mergeCell ref="BK46:BK47"/>
    <mergeCell ref="BK51:BK53"/>
    <mergeCell ref="CC57:CD57"/>
    <mergeCell ref="CC58:CD59"/>
    <mergeCell ref="BY43:CB44"/>
    <mergeCell ref="BY45:CB52"/>
    <mergeCell ref="AB57:AB68"/>
    <mergeCell ref="BH57:BI59"/>
    <mergeCell ref="AH63:AH66"/>
    <mergeCell ref="AH67:AH68"/>
    <mergeCell ref="BD48:BD50"/>
    <mergeCell ref="BJ36:BJ38"/>
    <mergeCell ref="BH36:BI38"/>
    <mergeCell ref="BF33:BG35"/>
    <mergeCell ref="CO7:CO8"/>
    <mergeCell ref="CN7:CN8"/>
    <mergeCell ref="CF12:CF23"/>
    <mergeCell ref="CL9:CL12"/>
    <mergeCell ref="CL13:CL20"/>
    <mergeCell ref="CL21:CL35"/>
    <mergeCell ref="CG45:CG47"/>
    <mergeCell ref="CG48:CG50"/>
    <mergeCell ref="CG51:CG53"/>
    <mergeCell ref="CF9:CF11"/>
    <mergeCell ref="CH9:CH11"/>
    <mergeCell ref="CG24:CG26"/>
    <mergeCell ref="CG27:CG29"/>
    <mergeCell ref="CG30:CG32"/>
    <mergeCell ref="CG33:CG35"/>
    <mergeCell ref="CG36:CG38"/>
    <mergeCell ref="CF45:CF52"/>
    <mergeCell ref="CF25:CF32"/>
    <mergeCell ref="CF33:CF41"/>
    <mergeCell ref="CF43:CF44"/>
    <mergeCell ref="CH33:CH42"/>
    <mergeCell ref="CL45:CL47"/>
    <mergeCell ref="CL49:CL50"/>
    <mergeCell ref="CH43:CH44"/>
    <mergeCell ref="G3:H3"/>
    <mergeCell ref="E1:U2"/>
    <mergeCell ref="J3:M3"/>
    <mergeCell ref="AB33:AB35"/>
    <mergeCell ref="AB36:AB41"/>
    <mergeCell ref="AB43:AB44"/>
    <mergeCell ref="M27:M32"/>
    <mergeCell ref="I34:I35"/>
    <mergeCell ref="I9:I32"/>
    <mergeCell ref="J35:L35"/>
    <mergeCell ref="J36:L37"/>
    <mergeCell ref="J9:L11"/>
    <mergeCell ref="J12:L17"/>
    <mergeCell ref="F33:H34"/>
    <mergeCell ref="F43:H44"/>
    <mergeCell ref="M33:M44"/>
    <mergeCell ref="N26:N32"/>
    <mergeCell ref="N33:N44"/>
    <mergeCell ref="J43:L44"/>
    <mergeCell ref="V1:V2"/>
    <mergeCell ref="F30:H31"/>
    <mergeCell ref="F42:H42"/>
    <mergeCell ref="F38:H38"/>
    <mergeCell ref="J39:L41"/>
    <mergeCell ref="CT1:CT2"/>
    <mergeCell ref="AY84:BB86"/>
    <mergeCell ref="BD84:BD86"/>
    <mergeCell ref="BC84:BC86"/>
    <mergeCell ref="BE84:BE86"/>
    <mergeCell ref="BC42:BC44"/>
    <mergeCell ref="BC12:BC14"/>
    <mergeCell ref="BD33:BD35"/>
    <mergeCell ref="AY24:BB26"/>
    <mergeCell ref="BF84:BG86"/>
    <mergeCell ref="BH60:BI62"/>
    <mergeCell ref="BK33:BK35"/>
    <mergeCell ref="BK36:BK38"/>
    <mergeCell ref="BK39:BK41"/>
    <mergeCell ref="CC39:CD40"/>
    <mergeCell ref="BY57:CB68"/>
    <mergeCell ref="BL7:BL8"/>
    <mergeCell ref="BK7:BK8"/>
    <mergeCell ref="BJ7:BJ8"/>
    <mergeCell ref="BZ3:CB3"/>
    <mergeCell ref="BF21:BG23"/>
    <mergeCell ref="BK9:BK11"/>
    <mergeCell ref="BF24:BG26"/>
    <mergeCell ref="BY53:CB56"/>
    <mergeCell ref="CU1:CX2"/>
    <mergeCell ref="BX1:CS2"/>
    <mergeCell ref="CC3:CD3"/>
    <mergeCell ref="CN3:CS3"/>
    <mergeCell ref="AS1:AS2"/>
    <mergeCell ref="AT1:AW2"/>
    <mergeCell ref="BD9:BD11"/>
    <mergeCell ref="AY6:AZ6"/>
    <mergeCell ref="CS7:CS8"/>
    <mergeCell ref="CM7:CM8"/>
    <mergeCell ref="CL7:CL8"/>
    <mergeCell ref="CD7:CD8"/>
    <mergeCell ref="CC7:CC8"/>
    <mergeCell ref="BC7:BD8"/>
    <mergeCell ref="CE7:CH8"/>
    <mergeCell ref="BZ7:CB7"/>
    <mergeCell ref="BZ8:CB8"/>
    <mergeCell ref="CP7:CR8"/>
    <mergeCell ref="BR7:BR8"/>
    <mergeCell ref="BN7:BN8"/>
    <mergeCell ref="BM7:BM8"/>
    <mergeCell ref="AY4:AZ4"/>
    <mergeCell ref="AY5:AZ5"/>
    <mergeCell ref="BY9:CB11"/>
    <mergeCell ref="AM7:AM8"/>
    <mergeCell ref="M9:M25"/>
    <mergeCell ref="AY36:BB38"/>
    <mergeCell ref="AY39:BB41"/>
    <mergeCell ref="AF43:AF44"/>
    <mergeCell ref="AY7:AY8"/>
    <mergeCell ref="AY18:BB20"/>
    <mergeCell ref="AY21:BB23"/>
    <mergeCell ref="AI33:AI39"/>
    <mergeCell ref="AI41:AI44"/>
    <mergeCell ref="AF21:AF23"/>
    <mergeCell ref="AH9:AH23"/>
    <mergeCell ref="AG9:AG23"/>
    <mergeCell ref="AG27:AG29"/>
    <mergeCell ref="AI30:AI32"/>
    <mergeCell ref="AG36:AG38"/>
    <mergeCell ref="AG39:AG41"/>
    <mergeCell ref="AB29:AB32"/>
    <mergeCell ref="AC9:AD20"/>
    <mergeCell ref="O7:O8"/>
    <mergeCell ref="AY12:BB14"/>
    <mergeCell ref="BC93:BC95"/>
    <mergeCell ref="BD93:BD95"/>
    <mergeCell ref="BE93:BE95"/>
    <mergeCell ref="BF93:BG95"/>
    <mergeCell ref="BH93:BI95"/>
    <mergeCell ref="AM3:AR3"/>
    <mergeCell ref="AY3:AZ3"/>
    <mergeCell ref="J33:L34"/>
    <mergeCell ref="J60:L62"/>
    <mergeCell ref="J63:L65"/>
    <mergeCell ref="J66:L68"/>
    <mergeCell ref="J69:L71"/>
    <mergeCell ref="J72:L74"/>
    <mergeCell ref="J75:L77"/>
    <mergeCell ref="N48:N66"/>
    <mergeCell ref="M48:M66"/>
    <mergeCell ref="N45:N47"/>
    <mergeCell ref="AB69:AB74"/>
    <mergeCell ref="AB75:AB80"/>
    <mergeCell ref="P3:U3"/>
    <mergeCell ref="J38:L38"/>
    <mergeCell ref="AJ7:AJ8"/>
    <mergeCell ref="AI7:AI8"/>
    <mergeCell ref="AH7:AH8"/>
    <mergeCell ref="BT1:BW2"/>
    <mergeCell ref="AX1:BR2"/>
    <mergeCell ref="BS1:BS2"/>
    <mergeCell ref="BM3:BR3"/>
    <mergeCell ref="BA3:BB3"/>
    <mergeCell ref="BC3:BD3"/>
    <mergeCell ref="BE3:BJ3"/>
    <mergeCell ref="AX7:AX8"/>
    <mergeCell ref="BI7:BI8"/>
    <mergeCell ref="BH7:BH8"/>
    <mergeCell ref="BG7:BG8"/>
    <mergeCell ref="BE7:BE8"/>
    <mergeCell ref="BF7:BF8"/>
    <mergeCell ref="BO7:BQ8"/>
    <mergeCell ref="BF4:BG4"/>
    <mergeCell ref="BF5:BG5"/>
    <mergeCell ref="BF6:BG6"/>
    <mergeCell ref="BA7:BA8"/>
    <mergeCell ref="BB7:BB8"/>
    <mergeCell ref="AZ7:AZ8"/>
    <mergeCell ref="A6:D6"/>
    <mergeCell ref="A7:D7"/>
    <mergeCell ref="AI9:AI20"/>
    <mergeCell ref="AI21:AI23"/>
    <mergeCell ref="AG7:AG8"/>
    <mergeCell ref="AK7:AK8"/>
    <mergeCell ref="AL7:AL8"/>
    <mergeCell ref="AR7:AR8"/>
    <mergeCell ref="A45:C56"/>
    <mergeCell ref="AG45:AG47"/>
    <mergeCell ref="AC21:AD23"/>
    <mergeCell ref="AC24:AD26"/>
    <mergeCell ref="AB9:AB20"/>
    <mergeCell ref="AB21:AB23"/>
    <mergeCell ref="AG24:AG26"/>
    <mergeCell ref="F18:H20"/>
    <mergeCell ref="F12:H17"/>
    <mergeCell ref="F21:H23"/>
    <mergeCell ref="F24:H26"/>
    <mergeCell ref="F27:H29"/>
    <mergeCell ref="K7:K8"/>
    <mergeCell ref="L7:L8"/>
    <mergeCell ref="R7:T8"/>
    <mergeCell ref="M7:M8"/>
    <mergeCell ref="A1:D2"/>
    <mergeCell ref="AE9:AE20"/>
    <mergeCell ref="AE21:AE32"/>
    <mergeCell ref="F9:H11"/>
    <mergeCell ref="A3:D5"/>
    <mergeCell ref="A8:D8"/>
    <mergeCell ref="A9:C20"/>
    <mergeCell ref="AA1:AR2"/>
    <mergeCell ref="AC3:AD3"/>
    <mergeCell ref="AF3:AJ3"/>
    <mergeCell ref="W1:Z2"/>
    <mergeCell ref="AJ9:AJ20"/>
    <mergeCell ref="AJ21:AJ23"/>
    <mergeCell ref="AJ24:AJ26"/>
    <mergeCell ref="AJ27:AJ29"/>
    <mergeCell ref="AJ30:AJ32"/>
    <mergeCell ref="AG30:AG32"/>
    <mergeCell ref="AF24:AF28"/>
    <mergeCell ref="AH24:AH28"/>
    <mergeCell ref="J18:L20"/>
    <mergeCell ref="AF9:AF20"/>
    <mergeCell ref="J24:L26"/>
    <mergeCell ref="J32:L32"/>
    <mergeCell ref="J27:L29"/>
    <mergeCell ref="BE18:BE20"/>
    <mergeCell ref="BD12:BD14"/>
    <mergeCell ref="E7:E8"/>
    <mergeCell ref="AA7:AA8"/>
    <mergeCell ref="AF7:AF8"/>
    <mergeCell ref="AE7:AE8"/>
    <mergeCell ref="AD7:AD8"/>
    <mergeCell ref="AC7:AC8"/>
    <mergeCell ref="AB7:AB8"/>
    <mergeCell ref="F7:F8"/>
    <mergeCell ref="G7:G8"/>
    <mergeCell ref="H7:H8"/>
    <mergeCell ref="N7:N8"/>
    <mergeCell ref="U7:U8"/>
    <mergeCell ref="Q7:Q8"/>
    <mergeCell ref="P7:P8"/>
    <mergeCell ref="I7:I8"/>
    <mergeCell ref="J7:J8"/>
    <mergeCell ref="AO7:AQ8"/>
    <mergeCell ref="AY9:BB11"/>
    <mergeCell ref="BE15:BE17"/>
    <mergeCell ref="BE9:BE11"/>
    <mergeCell ref="AN7:AN8"/>
    <mergeCell ref="BC9:BC11"/>
    <mergeCell ref="AF45:AF56"/>
    <mergeCell ref="AG51:AG53"/>
    <mergeCell ref="AG54:AG56"/>
    <mergeCell ref="BC36:BC38"/>
    <mergeCell ref="AJ45:AJ56"/>
    <mergeCell ref="AI24:AI26"/>
    <mergeCell ref="AI27:AI29"/>
    <mergeCell ref="AG42:AG44"/>
    <mergeCell ref="AH43:AH44"/>
    <mergeCell ref="AH29:AH32"/>
    <mergeCell ref="AJ40:AJ44"/>
    <mergeCell ref="AG48:AG50"/>
    <mergeCell ref="AY27:BB29"/>
    <mergeCell ref="AY30:BB32"/>
    <mergeCell ref="AF29:AF32"/>
    <mergeCell ref="BC48:BC50"/>
    <mergeCell ref="AF33:AF35"/>
    <mergeCell ref="AF36:AF41"/>
    <mergeCell ref="AH33:AH35"/>
    <mergeCell ref="AH36:AH41"/>
    <mergeCell ref="AG33:AG35"/>
    <mergeCell ref="AY33:BB35"/>
    <mergeCell ref="BC24:BC26"/>
    <mergeCell ref="J30:L31"/>
    <mergeCell ref="J42:L42"/>
    <mergeCell ref="BD36:BD38"/>
    <mergeCell ref="N9:N25"/>
    <mergeCell ref="AB24:AB28"/>
    <mergeCell ref="AC27:AD29"/>
    <mergeCell ref="AC30:AD32"/>
    <mergeCell ref="AC33:AD39"/>
    <mergeCell ref="BF39:BG41"/>
    <mergeCell ref="BD42:BD44"/>
    <mergeCell ref="BD21:BD23"/>
    <mergeCell ref="BD24:BD26"/>
    <mergeCell ref="BD27:BD29"/>
    <mergeCell ref="BD30:BD32"/>
    <mergeCell ref="BF42:BG44"/>
    <mergeCell ref="BF27:BG29"/>
    <mergeCell ref="BE33:BE35"/>
    <mergeCell ref="BE27:BE29"/>
    <mergeCell ref="BC27:BC29"/>
    <mergeCell ref="BC30:BC32"/>
    <mergeCell ref="BD15:BD17"/>
    <mergeCell ref="BC18:BC20"/>
    <mergeCell ref="AY15:BB17"/>
    <mergeCell ref="J21:L23"/>
    <mergeCell ref="BE12:BE14"/>
    <mergeCell ref="BF9:BG11"/>
    <mergeCell ref="BF12:BG14"/>
    <mergeCell ref="BC15:BC17"/>
    <mergeCell ref="BD18:BD20"/>
    <mergeCell ref="BX7:BX8"/>
    <mergeCell ref="BK48:BK50"/>
    <mergeCell ref="BK12:BK14"/>
    <mergeCell ref="CC12:CD14"/>
    <mergeCell ref="CC23:CD34"/>
    <mergeCell ref="BY24:CB32"/>
    <mergeCell ref="CC41:CD44"/>
    <mergeCell ref="CC45:CD47"/>
    <mergeCell ref="CC15:CD22"/>
    <mergeCell ref="BK28:BK29"/>
    <mergeCell ref="BK42:BK44"/>
    <mergeCell ref="BK15:BK17"/>
    <mergeCell ref="BK18:BK20"/>
    <mergeCell ref="BY12:CB23"/>
    <mergeCell ref="BK21:BK23"/>
    <mergeCell ref="BK24:BK26"/>
    <mergeCell ref="BH42:BI44"/>
    <mergeCell ref="BJ33:BJ35"/>
    <mergeCell ref="BH33:BI35"/>
    <mergeCell ref="BH9:BI20"/>
    <mergeCell ref="CE3:CJ3"/>
    <mergeCell ref="CI7:CI8"/>
    <mergeCell ref="CJ7:CJ8"/>
    <mergeCell ref="CI9:CJ69"/>
    <mergeCell ref="CE69:CE80"/>
    <mergeCell ref="CF57:CF68"/>
    <mergeCell ref="CF69:CF80"/>
    <mergeCell ref="CG60:CG62"/>
    <mergeCell ref="CG63:CG65"/>
    <mergeCell ref="CG66:CG68"/>
    <mergeCell ref="CG69:CG71"/>
    <mergeCell ref="CG72:CG74"/>
    <mergeCell ref="CG75:CG77"/>
    <mergeCell ref="CG78:CG80"/>
    <mergeCell ref="CH45:CH52"/>
    <mergeCell ref="CG9:CG11"/>
    <mergeCell ref="CE57:CE68"/>
    <mergeCell ref="CC60:CD68"/>
    <mergeCell ref="BJ24:BJ26"/>
    <mergeCell ref="BH24:BI26"/>
    <mergeCell ref="BH45:BI47"/>
    <mergeCell ref="BJ9:BJ11"/>
    <mergeCell ref="BJ15:BJ17"/>
    <mergeCell ref="BF57:BG59"/>
    <mergeCell ref="BF48:BG50"/>
    <mergeCell ref="BF51:BG53"/>
    <mergeCell ref="CF54:CF56"/>
    <mergeCell ref="BH79:BI80"/>
    <mergeCell ref="CC69:CD71"/>
    <mergeCell ref="CC48:CD48"/>
    <mergeCell ref="CC72:CD73"/>
    <mergeCell ref="CC74:CD80"/>
    <mergeCell ref="BJ63:BJ65"/>
    <mergeCell ref="BK60:BK62"/>
    <mergeCell ref="BH63:BI65"/>
    <mergeCell ref="BH66:BI68"/>
    <mergeCell ref="BH69:BI71"/>
    <mergeCell ref="BJ60:BJ62"/>
    <mergeCell ref="BJ79:BJ80"/>
    <mergeCell ref="BJ75:BJ77"/>
    <mergeCell ref="BJ72:BJ74"/>
    <mergeCell ref="BJ69:BJ71"/>
    <mergeCell ref="BH72:BI74"/>
    <mergeCell ref="BM9:BN98"/>
    <mergeCell ref="BO9:BO98"/>
    <mergeCell ref="BP9:BP98"/>
    <mergeCell ref="BQ9:BQ98"/>
    <mergeCell ref="BE60:BE62"/>
    <mergeCell ref="BE63:BE65"/>
    <mergeCell ref="BE66:BE68"/>
    <mergeCell ref="BE69:BE71"/>
    <mergeCell ref="BE72:BE74"/>
    <mergeCell ref="BF60:BG62"/>
    <mergeCell ref="BF63:BG65"/>
    <mergeCell ref="BF66:BG68"/>
    <mergeCell ref="BF69:BG71"/>
    <mergeCell ref="BF72:BG74"/>
    <mergeCell ref="A33:C44"/>
    <mergeCell ref="A21:C32"/>
    <mergeCell ref="A69:C80"/>
    <mergeCell ref="J78:L80"/>
    <mergeCell ref="J48:L50"/>
    <mergeCell ref="J51:L52"/>
    <mergeCell ref="J53:L53"/>
    <mergeCell ref="J57:L59"/>
    <mergeCell ref="J54:L56"/>
    <mergeCell ref="J45:L45"/>
    <mergeCell ref="J46:L47"/>
    <mergeCell ref="F63:H65"/>
    <mergeCell ref="F66:H68"/>
    <mergeCell ref="F69:H71"/>
    <mergeCell ref="F60:H62"/>
    <mergeCell ref="F32:H32"/>
    <mergeCell ref="I41:I42"/>
    <mergeCell ref="F35:H35"/>
    <mergeCell ref="F36:H37"/>
    <mergeCell ref="F46:H47"/>
    <mergeCell ref="F48:H50"/>
    <mergeCell ref="F54:H56"/>
    <mergeCell ref="F51:H52"/>
    <mergeCell ref="F39:H41"/>
    <mergeCell ref="BF15:BG17"/>
    <mergeCell ref="BF18:BG20"/>
    <mergeCell ref="BF87:BG89"/>
    <mergeCell ref="BH87:BI89"/>
    <mergeCell ref="AY93:BB95"/>
    <mergeCell ref="F93:H95"/>
    <mergeCell ref="J93:L95"/>
    <mergeCell ref="AG93:AG95"/>
    <mergeCell ref="AG87:AG89"/>
    <mergeCell ref="AI75:AI89"/>
    <mergeCell ref="AG84:AG86"/>
    <mergeCell ref="AI60:AI68"/>
    <mergeCell ref="AI69:AI71"/>
    <mergeCell ref="AI72:AI74"/>
    <mergeCell ref="AJ57:AJ68"/>
    <mergeCell ref="AJ69:AJ74"/>
    <mergeCell ref="AI57:AI59"/>
    <mergeCell ref="AG57:AG59"/>
    <mergeCell ref="AH57:AH62"/>
    <mergeCell ref="BD72:BD74"/>
    <mergeCell ref="BC75:BC77"/>
    <mergeCell ref="BH81:BI83"/>
    <mergeCell ref="BH75:BI77"/>
    <mergeCell ref="BH78:BI78"/>
    <mergeCell ref="BD75:BD77"/>
    <mergeCell ref="BC79:BC80"/>
    <mergeCell ref="BD79:BD80"/>
    <mergeCell ref="BC81:BC83"/>
    <mergeCell ref="BD81:BD83"/>
    <mergeCell ref="AY63:BB65"/>
    <mergeCell ref="AY72:BB74"/>
    <mergeCell ref="AY75:BB77"/>
    <mergeCell ref="BE75:BE77"/>
    <mergeCell ref="BE79:BE80"/>
    <mergeCell ref="BE81:BE83"/>
    <mergeCell ref="CK7:CK8"/>
    <mergeCell ref="CC9:CD11"/>
    <mergeCell ref="CG12:CG23"/>
    <mergeCell ref="CG54:CG56"/>
    <mergeCell ref="CL37:CL38"/>
    <mergeCell ref="CL39:CL41"/>
    <mergeCell ref="CP9:CP98"/>
    <mergeCell ref="BJ93:BJ95"/>
    <mergeCell ref="BJ87:BJ89"/>
    <mergeCell ref="CL60:CL68"/>
    <mergeCell ref="CH72:CH83"/>
    <mergeCell ref="CH69:CH71"/>
    <mergeCell ref="CH57:CH68"/>
    <mergeCell ref="CG81:CG83"/>
    <mergeCell ref="CG57:CG59"/>
    <mergeCell ref="CL42:CL44"/>
    <mergeCell ref="CH12:CH23"/>
    <mergeCell ref="CE12:CE23"/>
    <mergeCell ref="CE24:CE32"/>
    <mergeCell ref="CE33:CE42"/>
    <mergeCell ref="CE9:CE11"/>
    <mergeCell ref="CE43:CE44"/>
    <mergeCell ref="CH53:CH56"/>
    <mergeCell ref="BJ42:BJ44"/>
    <mergeCell ref="A93:C98"/>
    <mergeCell ref="E9:E94"/>
    <mergeCell ref="E95:E98"/>
    <mergeCell ref="V3:Z98"/>
    <mergeCell ref="AS3:AW98"/>
    <mergeCell ref="BS3:BW98"/>
    <mergeCell ref="CT3:CX98"/>
    <mergeCell ref="AA9:AA94"/>
    <mergeCell ref="AA95:AA98"/>
    <mergeCell ref="AX9:AX94"/>
    <mergeCell ref="AX95:AX98"/>
    <mergeCell ref="BX9:BX94"/>
    <mergeCell ref="BX95:BX98"/>
    <mergeCell ref="O9:O98"/>
    <mergeCell ref="P9:Q98"/>
    <mergeCell ref="R9:R98"/>
    <mergeCell ref="S9:S98"/>
    <mergeCell ref="T9:T98"/>
    <mergeCell ref="U9:U98"/>
    <mergeCell ref="AL9:AL98"/>
    <mergeCell ref="AM9:AN98"/>
    <mergeCell ref="AO9:AO98"/>
    <mergeCell ref="AP9:AP98"/>
    <mergeCell ref="AQ9:AQ98"/>
    <mergeCell ref="CM9:CM98"/>
    <mergeCell ref="CN9:CO98"/>
    <mergeCell ref="BJ96:BJ98"/>
    <mergeCell ref="BY93:CB98"/>
    <mergeCell ref="CG96:CG98"/>
    <mergeCell ref="CE93:CE98"/>
    <mergeCell ref="CF93:CF98"/>
    <mergeCell ref="CH93:CH98"/>
    <mergeCell ref="CC96:CD97"/>
    <mergeCell ref="CC98:CD98"/>
    <mergeCell ref="CK94:CK98"/>
    <mergeCell ref="CJ71:CJ98"/>
    <mergeCell ref="CI70:CI98"/>
    <mergeCell ref="CC93:CD95"/>
    <mergeCell ref="CG93:CG95"/>
    <mergeCell ref="CK9:CK93"/>
    <mergeCell ref="CG87:CG89"/>
    <mergeCell ref="CG84:CG86"/>
    <mergeCell ref="BJ12:BJ14"/>
    <mergeCell ref="CC35:CD38"/>
    <mergeCell ref="BJ18:BJ20"/>
    <mergeCell ref="CH24:CH32"/>
    <mergeCell ref="CE45:CE52"/>
    <mergeCell ref="CE53:CE56"/>
    <mergeCell ref="CQ9:CQ98"/>
    <mergeCell ref="CR9:CR98"/>
    <mergeCell ref="CS9:CS98"/>
    <mergeCell ref="F96:H98"/>
    <mergeCell ref="J96:L98"/>
    <mergeCell ref="M67:M98"/>
    <mergeCell ref="N67:N98"/>
    <mergeCell ref="I48:I98"/>
    <mergeCell ref="AB93:AB98"/>
    <mergeCell ref="AC93:AD98"/>
    <mergeCell ref="AF93:AF98"/>
    <mergeCell ref="AG96:AG98"/>
    <mergeCell ref="AH93:AH98"/>
    <mergeCell ref="AI90:AI98"/>
    <mergeCell ref="AJ75:AJ98"/>
    <mergeCell ref="AE93:AE98"/>
    <mergeCell ref="AY96:BB98"/>
    <mergeCell ref="BC96:BC98"/>
    <mergeCell ref="BD96:BD98"/>
    <mergeCell ref="BE96:BE98"/>
    <mergeCell ref="BF96:BG98"/>
    <mergeCell ref="BH96:BI98"/>
    <mergeCell ref="AR9:AR98"/>
    <mergeCell ref="BL9:BL98"/>
  </mergeCells>
  <pageMargins left="0.7" right="0.7" top="0.75" bottom="0.75" header="0.3" footer="0.3"/>
  <pageSetup orientation="portrait" r:id="rId1"/>
  <ignoredErrors>
    <ignoredError sqref="BG7:BH7" formula="1"/>
  </ignoredError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theme="2" tint="-9.9978637043366805E-2"/>
  </sheetPr>
  <dimension ref="A1:CZ99"/>
  <sheetViews>
    <sheetView showGridLines="0" zoomScale="60" zoomScaleNormal="60" workbookViewId="0">
      <pane xSplit="4" ySplit="5" topLeftCell="E6" activePane="bottomRight" state="frozen"/>
      <selection pane="topRight" activeCell="E1" sqref="E1"/>
      <selection pane="bottomLeft" activeCell="A6" sqref="A6"/>
      <selection pane="bottomRight" sqref="A1:D2"/>
    </sheetView>
  </sheetViews>
  <sheetFormatPr defaultColWidth="9.1796875" defaultRowHeight="14" outlineLevelCol="1" x14ac:dyDescent="0.3"/>
  <cols>
    <col min="1" max="2" width="9.1796875" style="47"/>
    <col min="3" max="3" width="8.81640625" style="47" customWidth="1"/>
    <col min="4" max="4" width="17.1796875" style="796" customWidth="1"/>
    <col min="5" max="5" width="74.7265625" style="108" hidden="1" customWidth="1" outlineLevel="1"/>
    <col min="6" max="6" width="53.26953125" style="108" hidden="1" customWidth="1" outlineLevel="1"/>
    <col min="7" max="7" width="54.453125" style="108" hidden="1" customWidth="1" outlineLevel="1"/>
    <col min="8" max="8" width="44.7265625" style="108" hidden="1" customWidth="1" outlineLevel="1"/>
    <col min="9" max="9" width="42" style="108" hidden="1" customWidth="1" outlineLevel="1"/>
    <col min="10" max="10" width="27.54296875" style="108" hidden="1" customWidth="1" outlineLevel="1"/>
    <col min="11" max="11" width="26.54296875" style="108" hidden="1" customWidth="1" outlineLevel="1"/>
    <col min="12" max="12" width="24.7265625" style="108" hidden="1" customWidth="1" outlineLevel="1"/>
    <col min="13" max="13" width="41.1796875" style="108" hidden="1" customWidth="1" outlineLevel="1"/>
    <col min="14" max="16" width="24.7265625" style="108" hidden="1" customWidth="1" outlineLevel="1"/>
    <col min="17" max="17" width="36.54296875" style="108" hidden="1" customWidth="1" outlineLevel="1"/>
    <col min="18" max="19" width="56.81640625" style="108" hidden="1" customWidth="1" outlineLevel="1"/>
    <col min="20" max="20" width="23.7265625" style="108" hidden="1" customWidth="1" outlineLevel="1"/>
    <col min="21" max="22" width="47.54296875" style="108" hidden="1" customWidth="1" outlineLevel="1"/>
    <col min="23" max="23" width="44.1796875" style="108" hidden="1" customWidth="1" outlineLevel="1"/>
    <col min="24" max="24" width="45.453125" style="108" hidden="1" customWidth="1" outlineLevel="1"/>
    <col min="25" max="25" width="29.26953125" style="108" hidden="1" customWidth="1" outlineLevel="1"/>
    <col min="26" max="26" width="16.26953125" style="108" bestFit="1" customWidth="1" collapsed="1"/>
    <col min="27" max="30" width="9.1796875" style="108"/>
    <col min="31" max="31" width="69.81640625" style="108" hidden="1" customWidth="1" outlineLevel="1"/>
    <col min="32" max="32" width="54.453125" style="108" hidden="1" customWidth="1" outlineLevel="1"/>
    <col min="33" max="33" width="55.54296875" style="108" hidden="1" customWidth="1" outlineLevel="1"/>
    <col min="34" max="34" width="85.54296875" style="108" hidden="1" customWidth="1" outlineLevel="1"/>
    <col min="35" max="35" width="74" style="108" hidden="1" customWidth="1" outlineLevel="1"/>
    <col min="36" max="36" width="36.81640625" style="108" hidden="1" customWidth="1" outlineLevel="1"/>
    <col min="37" max="37" width="38" style="108" hidden="1" customWidth="1" outlineLevel="1"/>
    <col min="38" max="38" width="37.26953125" style="108" hidden="1" customWidth="1" outlineLevel="1"/>
    <col min="39" max="39" width="36.26953125" style="108" hidden="1" customWidth="1" outlineLevel="1"/>
    <col min="40" max="40" width="37.26953125" style="108" hidden="1" customWidth="1" outlineLevel="1"/>
    <col min="41" max="44" width="38" style="108" hidden="1" customWidth="1" outlineLevel="1"/>
    <col min="45" max="46" width="56.81640625" style="108" hidden="1" customWidth="1" outlineLevel="1"/>
    <col min="47" max="47" width="37.7265625" style="108" hidden="1" customWidth="1" outlineLevel="1"/>
    <col min="48" max="49" width="44.453125" style="108" hidden="1" customWidth="1" outlineLevel="1"/>
    <col min="50" max="51" width="37.26953125" style="108" hidden="1" customWidth="1" outlineLevel="1"/>
    <col min="52" max="52" width="25.26953125" style="108" hidden="1" customWidth="1" outlineLevel="1"/>
    <col min="53" max="53" width="16.26953125" style="108" bestFit="1" customWidth="1" collapsed="1"/>
    <col min="54" max="57" width="9.1796875" style="108"/>
    <col min="58" max="58" width="48.453125" style="797" hidden="1" customWidth="1" outlineLevel="1"/>
    <col min="59" max="60" width="55.453125" style="797" hidden="1" customWidth="1" outlineLevel="1"/>
    <col min="61" max="61" width="64" style="797" hidden="1" customWidth="1" outlineLevel="1"/>
    <col min="62" max="62" width="52.54296875" style="797" hidden="1" customWidth="1" outlineLevel="1"/>
    <col min="63" max="63" width="48.26953125" style="797" hidden="1" customWidth="1" outlineLevel="1"/>
    <col min="64" max="64" width="84" style="797" hidden="1" customWidth="1" outlineLevel="1"/>
    <col min="65" max="65" width="74.81640625" style="797" hidden="1" customWidth="1" outlineLevel="1"/>
    <col min="66" max="66" width="37.26953125" style="797" hidden="1" customWidth="1" outlineLevel="1"/>
    <col min="67" max="67" width="38" style="797" hidden="1" customWidth="1" outlineLevel="1"/>
    <col min="68" max="69" width="51.54296875" style="797" hidden="1" customWidth="1" outlineLevel="1"/>
    <col min="70" max="70" width="37.7265625" style="797" hidden="1" customWidth="1" outlineLevel="1"/>
    <col min="71" max="72" width="42.54296875" style="797" hidden="1" customWidth="1" outlineLevel="1"/>
    <col min="73" max="74" width="37.26953125" style="797" hidden="1" customWidth="1" outlineLevel="1"/>
    <col min="75" max="75" width="28" style="797" hidden="1" customWidth="1" outlineLevel="1"/>
    <col min="76" max="76" width="16.26953125" style="335" bestFit="1" customWidth="1" collapsed="1"/>
    <col min="77" max="80" width="9.1796875" style="335"/>
    <col min="81" max="81" width="26.1796875" style="798" customWidth="1"/>
    <col min="82" max="82" width="21" style="798" customWidth="1"/>
    <col min="83" max="83" width="12.54296875" style="798" customWidth="1"/>
    <col min="84" max="84" width="13.453125" style="798" customWidth="1"/>
    <col min="85" max="85" width="12.54296875" style="798" customWidth="1"/>
    <col min="86" max="86" width="15.1796875" style="798" customWidth="1"/>
    <col min="87" max="87" width="15.81640625" style="798" customWidth="1"/>
    <col min="88" max="88" width="16.26953125" style="798" customWidth="1"/>
    <col min="89" max="89" width="19.81640625" style="798" customWidth="1"/>
    <col min="90" max="90" width="14.81640625" style="798" customWidth="1"/>
    <col min="91" max="91" width="15.26953125" style="798" customWidth="1"/>
    <col min="92" max="92" width="24" style="798" customWidth="1"/>
    <col min="93" max="93" width="11.1796875" style="798" customWidth="1"/>
    <col min="94" max="94" width="13.81640625" style="798" customWidth="1"/>
    <col min="95" max="96" width="14.26953125" style="798" customWidth="1"/>
    <col min="97" max="97" width="14.453125" style="798" customWidth="1"/>
    <col min="98" max="98" width="16.1796875" style="798" customWidth="1"/>
    <col min="99" max="99" width="14.7265625" style="798" customWidth="1"/>
    <col min="100" max="104" width="9.1796875" style="798"/>
    <col min="105" max="16384" width="9.1796875" style="47"/>
  </cols>
  <sheetData>
    <row r="1" spans="1:104" s="136" customFormat="1" ht="16.5" customHeight="1" x14ac:dyDescent="0.3">
      <c r="A1" s="2272" t="s">
        <v>107</v>
      </c>
      <c r="B1" s="2273"/>
      <c r="C1" s="2273"/>
      <c r="D1" s="2273"/>
      <c r="E1" s="2518" t="s">
        <v>113</v>
      </c>
      <c r="F1" s="2519"/>
      <c r="G1" s="2519"/>
      <c r="H1" s="2519"/>
      <c r="I1" s="2519"/>
      <c r="J1" s="2519"/>
      <c r="K1" s="2519"/>
      <c r="L1" s="2519"/>
      <c r="M1" s="2519"/>
      <c r="N1" s="2519"/>
      <c r="O1" s="2519"/>
      <c r="P1" s="2519"/>
      <c r="Q1" s="2519"/>
      <c r="R1" s="2519"/>
      <c r="S1" s="2519"/>
      <c r="T1" s="2519"/>
      <c r="U1" s="2519"/>
      <c r="V1" s="2519"/>
      <c r="W1" s="2519"/>
      <c r="X1" s="2519"/>
      <c r="Y1" s="2520"/>
      <c r="Z1" s="2524" t="s">
        <v>2</v>
      </c>
      <c r="AA1" s="2526" t="s">
        <v>113</v>
      </c>
      <c r="AB1" s="2526"/>
      <c r="AC1" s="2526"/>
      <c r="AD1" s="2527"/>
      <c r="AE1" s="2506" t="s">
        <v>114</v>
      </c>
      <c r="AF1" s="2506"/>
      <c r="AG1" s="2506"/>
      <c r="AH1" s="2506"/>
      <c r="AI1" s="2506"/>
      <c r="AJ1" s="2506"/>
      <c r="AK1" s="2506"/>
      <c r="AL1" s="2506"/>
      <c r="AM1" s="2506"/>
      <c r="AN1" s="2506"/>
      <c r="AO1" s="2506"/>
      <c r="AP1" s="2506"/>
      <c r="AQ1" s="2506"/>
      <c r="AR1" s="2506"/>
      <c r="AS1" s="2506"/>
      <c r="AT1" s="2506"/>
      <c r="AU1" s="2506"/>
      <c r="AV1" s="2506"/>
      <c r="AW1" s="2506"/>
      <c r="AX1" s="2506"/>
      <c r="AY1" s="2506"/>
      <c r="AZ1" s="2506"/>
      <c r="BA1" s="2508" t="s">
        <v>2</v>
      </c>
      <c r="BB1" s="2510" t="s">
        <v>114</v>
      </c>
      <c r="BC1" s="2510"/>
      <c r="BD1" s="2510"/>
      <c r="BE1" s="2511"/>
      <c r="BF1" s="2514" t="s">
        <v>115</v>
      </c>
      <c r="BG1" s="2514"/>
      <c r="BH1" s="2514"/>
      <c r="BI1" s="2514"/>
      <c r="BJ1" s="2514"/>
      <c r="BK1" s="2514"/>
      <c r="BL1" s="2514"/>
      <c r="BM1" s="2514"/>
      <c r="BN1" s="2514"/>
      <c r="BO1" s="2514"/>
      <c r="BP1" s="2514"/>
      <c r="BQ1" s="2514"/>
      <c r="BR1" s="2514"/>
      <c r="BS1" s="2514"/>
      <c r="BT1" s="2514"/>
      <c r="BU1" s="2514"/>
      <c r="BV1" s="2514"/>
      <c r="BW1" s="2514"/>
      <c r="BX1" s="2516" t="s">
        <v>2</v>
      </c>
      <c r="BY1" s="2456" t="s">
        <v>115</v>
      </c>
      <c r="BZ1" s="2456"/>
      <c r="CA1" s="2456"/>
      <c r="CB1" s="2457"/>
      <c r="CC1" s="798"/>
      <c r="CD1" s="798"/>
      <c r="CE1" s="798"/>
      <c r="CF1" s="798"/>
      <c r="CG1" s="798"/>
      <c r="CH1" s="798"/>
      <c r="CI1" s="798"/>
      <c r="CJ1" s="798"/>
      <c r="CK1" s="798"/>
      <c r="CL1" s="798"/>
      <c r="CM1" s="798"/>
      <c r="CN1" s="798"/>
      <c r="CO1" s="798"/>
      <c r="CP1" s="798"/>
      <c r="CQ1" s="798"/>
      <c r="CR1" s="798"/>
      <c r="CS1" s="798"/>
      <c r="CT1" s="798"/>
      <c r="CU1" s="798"/>
      <c r="CV1" s="798"/>
      <c r="CW1" s="798"/>
      <c r="CX1" s="798"/>
      <c r="CY1" s="798"/>
      <c r="CZ1" s="798"/>
    </row>
    <row r="2" spans="1:104" s="136" customFormat="1" ht="17.25" customHeight="1" thickBot="1" x14ac:dyDescent="0.35">
      <c r="A2" s="2275"/>
      <c r="B2" s="2276"/>
      <c r="C2" s="2276"/>
      <c r="D2" s="2276"/>
      <c r="E2" s="2521"/>
      <c r="F2" s="2522"/>
      <c r="G2" s="2522"/>
      <c r="H2" s="2522"/>
      <c r="I2" s="2522"/>
      <c r="J2" s="2522"/>
      <c r="K2" s="2522"/>
      <c r="L2" s="2522"/>
      <c r="M2" s="2522"/>
      <c r="N2" s="2522"/>
      <c r="O2" s="2522"/>
      <c r="P2" s="2522"/>
      <c r="Q2" s="2522"/>
      <c r="R2" s="2522"/>
      <c r="S2" s="2522"/>
      <c r="T2" s="2522"/>
      <c r="U2" s="2522"/>
      <c r="V2" s="2522"/>
      <c r="W2" s="2522"/>
      <c r="X2" s="2522"/>
      <c r="Y2" s="2523"/>
      <c r="Z2" s="2525"/>
      <c r="AA2" s="2528"/>
      <c r="AB2" s="2528"/>
      <c r="AC2" s="2528"/>
      <c r="AD2" s="2529"/>
      <c r="AE2" s="2507"/>
      <c r="AF2" s="2507"/>
      <c r="AG2" s="2507"/>
      <c r="AH2" s="2507"/>
      <c r="AI2" s="2507"/>
      <c r="AJ2" s="2507"/>
      <c r="AK2" s="2507"/>
      <c r="AL2" s="2507"/>
      <c r="AM2" s="2507"/>
      <c r="AN2" s="2507"/>
      <c r="AO2" s="2507"/>
      <c r="AP2" s="2507"/>
      <c r="AQ2" s="2507"/>
      <c r="AR2" s="2507"/>
      <c r="AS2" s="2507"/>
      <c r="AT2" s="2507"/>
      <c r="AU2" s="2507"/>
      <c r="AV2" s="2507"/>
      <c r="AW2" s="2507"/>
      <c r="AX2" s="2507"/>
      <c r="AY2" s="2507"/>
      <c r="AZ2" s="2507"/>
      <c r="BA2" s="2509"/>
      <c r="BB2" s="2512"/>
      <c r="BC2" s="2512"/>
      <c r="BD2" s="2512"/>
      <c r="BE2" s="2513"/>
      <c r="BF2" s="2515"/>
      <c r="BG2" s="2515"/>
      <c r="BH2" s="2515"/>
      <c r="BI2" s="2515"/>
      <c r="BJ2" s="2515"/>
      <c r="BK2" s="2515"/>
      <c r="BL2" s="2515"/>
      <c r="BM2" s="2515"/>
      <c r="BN2" s="2515"/>
      <c r="BO2" s="2515"/>
      <c r="BP2" s="2515"/>
      <c r="BQ2" s="2515"/>
      <c r="BR2" s="2515"/>
      <c r="BS2" s="2515"/>
      <c r="BT2" s="2515"/>
      <c r="BU2" s="2515"/>
      <c r="BV2" s="2515"/>
      <c r="BW2" s="2515"/>
      <c r="BX2" s="2517"/>
      <c r="BY2" s="2458"/>
      <c r="BZ2" s="2458"/>
      <c r="CA2" s="2458"/>
      <c r="CB2" s="2459"/>
      <c r="CC2" s="798"/>
      <c r="CD2" s="798"/>
      <c r="CE2" s="798"/>
      <c r="CF2" s="798"/>
      <c r="CG2" s="798"/>
      <c r="CH2" s="798"/>
      <c r="CI2" s="798"/>
      <c r="CJ2" s="798"/>
      <c r="CK2" s="798"/>
      <c r="CL2" s="798"/>
      <c r="CM2" s="798"/>
      <c r="CN2" s="798"/>
      <c r="CO2" s="798"/>
      <c r="CP2" s="798"/>
      <c r="CQ2" s="798"/>
      <c r="CR2" s="798"/>
      <c r="CS2" s="798"/>
      <c r="CT2" s="798"/>
      <c r="CU2" s="798"/>
      <c r="CV2" s="798"/>
      <c r="CW2" s="798"/>
      <c r="CX2" s="798"/>
      <c r="CY2" s="798"/>
      <c r="CZ2" s="798"/>
    </row>
    <row r="3" spans="1:104" s="136" customFormat="1" ht="74.25" customHeight="1" x14ac:dyDescent="0.3">
      <c r="A3" s="2279" t="s">
        <v>538</v>
      </c>
      <c r="B3" s="2486"/>
      <c r="C3" s="2486"/>
      <c r="D3" s="2487"/>
      <c r="E3" s="745" t="s">
        <v>5</v>
      </c>
      <c r="F3" s="2295" t="s">
        <v>7</v>
      </c>
      <c r="G3" s="2485"/>
      <c r="H3" s="2295" t="s">
        <v>8</v>
      </c>
      <c r="I3" s="2485"/>
      <c r="J3" s="2295" t="s">
        <v>9</v>
      </c>
      <c r="K3" s="2296"/>
      <c r="L3" s="2296"/>
      <c r="M3" s="2296"/>
      <c r="N3" s="2296"/>
      <c r="O3" s="1598"/>
      <c r="P3" s="1598"/>
      <c r="Q3" s="1598"/>
      <c r="R3" s="1418" t="s">
        <v>10</v>
      </c>
      <c r="S3" s="1616" t="s">
        <v>570</v>
      </c>
      <c r="T3" s="747" t="s">
        <v>11</v>
      </c>
      <c r="U3" s="2295" t="s">
        <v>12</v>
      </c>
      <c r="V3" s="2296"/>
      <c r="W3" s="2296"/>
      <c r="X3" s="2296"/>
      <c r="Y3" s="2296"/>
      <c r="Z3" s="2563" t="s">
        <v>473</v>
      </c>
      <c r="AA3" s="2564"/>
      <c r="AB3" s="2564"/>
      <c r="AC3" s="2564"/>
      <c r="AD3" s="2565"/>
      <c r="AE3" s="1526" t="s">
        <v>5</v>
      </c>
      <c r="AF3" s="2466" t="s">
        <v>7</v>
      </c>
      <c r="AG3" s="2468"/>
      <c r="AH3" s="2466" t="s">
        <v>8</v>
      </c>
      <c r="AI3" s="2468"/>
      <c r="AJ3" s="2466" t="s">
        <v>9</v>
      </c>
      <c r="AK3" s="2467"/>
      <c r="AL3" s="2467"/>
      <c r="AM3" s="2467"/>
      <c r="AN3" s="2467"/>
      <c r="AO3" s="2467"/>
      <c r="AP3" s="2467"/>
      <c r="AQ3" s="2467"/>
      <c r="AR3" s="2468"/>
      <c r="AS3" s="799" t="s">
        <v>10</v>
      </c>
      <c r="AT3" s="1616" t="s">
        <v>570</v>
      </c>
      <c r="AU3" s="800" t="s">
        <v>11</v>
      </c>
      <c r="AV3" s="2466" t="s">
        <v>12</v>
      </c>
      <c r="AW3" s="2467"/>
      <c r="AX3" s="2467"/>
      <c r="AY3" s="2467"/>
      <c r="AZ3" s="2467"/>
      <c r="BA3" s="2535" t="s">
        <v>472</v>
      </c>
      <c r="BB3" s="2536"/>
      <c r="BC3" s="2536"/>
      <c r="BD3" s="2536"/>
      <c r="BE3" s="2537"/>
      <c r="BF3" s="1491" t="s">
        <v>5</v>
      </c>
      <c r="BG3" s="2466" t="s">
        <v>7</v>
      </c>
      <c r="BH3" s="2468"/>
      <c r="BI3" s="2466" t="s">
        <v>8</v>
      </c>
      <c r="BJ3" s="2468"/>
      <c r="BK3" s="2466" t="s">
        <v>9</v>
      </c>
      <c r="BL3" s="2467"/>
      <c r="BM3" s="2467"/>
      <c r="BN3" s="2467"/>
      <c r="BO3" s="2468"/>
      <c r="BP3" s="1427" t="s">
        <v>10</v>
      </c>
      <c r="BQ3" s="1616" t="s">
        <v>570</v>
      </c>
      <c r="BR3" s="800" t="s">
        <v>11</v>
      </c>
      <c r="BS3" s="2466" t="s">
        <v>12</v>
      </c>
      <c r="BT3" s="2467"/>
      <c r="BU3" s="2467"/>
      <c r="BV3" s="2467"/>
      <c r="BW3" s="2467"/>
      <c r="BX3" s="2473" t="s">
        <v>387</v>
      </c>
      <c r="BY3" s="2474"/>
      <c r="BZ3" s="2474"/>
      <c r="CA3" s="2474"/>
      <c r="CB3" s="2475"/>
      <c r="CC3" s="798"/>
      <c r="CD3" s="798"/>
      <c r="CE3" s="798"/>
      <c r="CF3" s="798"/>
      <c r="CG3" s="798"/>
      <c r="CH3" s="798"/>
      <c r="CI3" s="798"/>
      <c r="CJ3" s="798"/>
      <c r="CK3" s="798"/>
      <c r="CL3" s="798"/>
      <c r="CM3" s="798"/>
      <c r="CN3" s="798"/>
      <c r="CO3" s="798"/>
      <c r="CP3" s="798"/>
      <c r="CQ3" s="798"/>
      <c r="CR3" s="798"/>
      <c r="CS3" s="798"/>
      <c r="CT3" s="798"/>
      <c r="CU3" s="798"/>
      <c r="CV3" s="798"/>
      <c r="CW3" s="798"/>
      <c r="CX3" s="798"/>
      <c r="CY3" s="798"/>
      <c r="CZ3" s="798"/>
    </row>
    <row r="4" spans="1:104" ht="105" customHeight="1" x14ac:dyDescent="0.3">
      <c r="A4" s="2488"/>
      <c r="B4" s="2489"/>
      <c r="C4" s="2489"/>
      <c r="D4" s="2490"/>
      <c r="E4" s="801" t="s">
        <v>85</v>
      </c>
      <c r="F4" s="755" t="s">
        <v>442</v>
      </c>
      <c r="G4" s="1388" t="s">
        <v>443</v>
      </c>
      <c r="H4" s="758" t="s">
        <v>299</v>
      </c>
      <c r="I4" s="1390" t="s">
        <v>300</v>
      </c>
      <c r="J4" s="758" t="s">
        <v>86</v>
      </c>
      <c r="K4" s="1388" t="s">
        <v>87</v>
      </c>
      <c r="L4" s="1388" t="s">
        <v>88</v>
      </c>
      <c r="M4" s="1388" t="s">
        <v>449</v>
      </c>
      <c r="N4" s="1388" t="s">
        <v>90</v>
      </c>
      <c r="O4" s="1590" t="s">
        <v>562</v>
      </c>
      <c r="P4" s="1590" t="s">
        <v>563</v>
      </c>
      <c r="Q4" s="1590" t="s">
        <v>669</v>
      </c>
      <c r="R4" s="758" t="s">
        <v>447</v>
      </c>
      <c r="S4" s="758" t="s">
        <v>571</v>
      </c>
      <c r="T4" s="757" t="s">
        <v>30</v>
      </c>
      <c r="U4" s="758" t="s">
        <v>84</v>
      </c>
      <c r="V4" s="1388" t="s">
        <v>524</v>
      </c>
      <c r="W4" s="160" t="s">
        <v>337</v>
      </c>
      <c r="X4" s="160" t="s">
        <v>338</v>
      </c>
      <c r="Y4" s="1387" t="s">
        <v>605</v>
      </c>
      <c r="Z4" s="2566"/>
      <c r="AA4" s="2567"/>
      <c r="AB4" s="2567"/>
      <c r="AC4" s="2567"/>
      <c r="AD4" s="2568"/>
      <c r="AE4" s="1392" t="s">
        <v>85</v>
      </c>
      <c r="AF4" s="1408" t="s">
        <v>442</v>
      </c>
      <c r="AG4" s="1391" t="s">
        <v>443</v>
      </c>
      <c r="AH4" s="802" t="s">
        <v>299</v>
      </c>
      <c r="AI4" s="803" t="s">
        <v>300</v>
      </c>
      <c r="AJ4" s="1408" t="s">
        <v>116</v>
      </c>
      <c r="AK4" s="1370" t="s">
        <v>88</v>
      </c>
      <c r="AL4" s="1370" t="s">
        <v>86</v>
      </c>
      <c r="AM4" s="1388" t="s">
        <v>87</v>
      </c>
      <c r="AN4" s="1391" t="s">
        <v>449</v>
      </c>
      <c r="AO4" s="1391" t="s">
        <v>90</v>
      </c>
      <c r="AP4" s="1592" t="s">
        <v>562</v>
      </c>
      <c r="AQ4" s="1592" t="s">
        <v>563</v>
      </c>
      <c r="AR4" s="1592" t="s">
        <v>669</v>
      </c>
      <c r="AS4" s="1408" t="s">
        <v>447</v>
      </c>
      <c r="AT4" s="758" t="s">
        <v>571</v>
      </c>
      <c r="AU4" s="760" t="s">
        <v>30</v>
      </c>
      <c r="AV4" s="1408" t="s">
        <v>93</v>
      </c>
      <c r="AW4" s="1388" t="s">
        <v>524</v>
      </c>
      <c r="AX4" s="160" t="s">
        <v>337</v>
      </c>
      <c r="AY4" s="160" t="s">
        <v>338</v>
      </c>
      <c r="AZ4" s="1387" t="s">
        <v>605</v>
      </c>
      <c r="BA4" s="2538"/>
      <c r="BB4" s="2539"/>
      <c r="BC4" s="2539"/>
      <c r="BD4" s="2539"/>
      <c r="BE4" s="2540"/>
      <c r="BF4" s="1482" t="s">
        <v>96</v>
      </c>
      <c r="BG4" s="1408" t="s">
        <v>452</v>
      </c>
      <c r="BH4" s="1372" t="s">
        <v>453</v>
      </c>
      <c r="BI4" s="802" t="s">
        <v>303</v>
      </c>
      <c r="BJ4" s="803" t="s">
        <v>304</v>
      </c>
      <c r="BK4" s="1408" t="s">
        <v>117</v>
      </c>
      <c r="BL4" s="2090" t="s">
        <v>118</v>
      </c>
      <c r="BM4" s="2090"/>
      <c r="BN4" s="1391" t="s">
        <v>97</v>
      </c>
      <c r="BO4" s="1372" t="s">
        <v>88</v>
      </c>
      <c r="BP4" s="1408" t="s">
        <v>448</v>
      </c>
      <c r="BQ4" s="758" t="s">
        <v>571</v>
      </c>
      <c r="BR4" s="760" t="s">
        <v>30</v>
      </c>
      <c r="BS4" s="1408" t="s">
        <v>95</v>
      </c>
      <c r="BT4" s="1388" t="s">
        <v>524</v>
      </c>
      <c r="BU4" s="160" t="s">
        <v>337</v>
      </c>
      <c r="BV4" s="160" t="s">
        <v>338</v>
      </c>
      <c r="BW4" s="1387" t="s">
        <v>605</v>
      </c>
      <c r="BX4" s="2476"/>
      <c r="BY4" s="2477"/>
      <c r="BZ4" s="2477"/>
      <c r="CA4" s="2477"/>
      <c r="CB4" s="2478"/>
    </row>
    <row r="5" spans="1:104" ht="80.25" customHeight="1" thickBot="1" x14ac:dyDescent="0.35">
      <c r="A5" s="2491"/>
      <c r="B5" s="2492"/>
      <c r="C5" s="2492"/>
      <c r="D5" s="2493"/>
      <c r="E5" s="771" t="s">
        <v>92</v>
      </c>
      <c r="F5" s="769" t="s">
        <v>92</v>
      </c>
      <c r="G5" s="770" t="s">
        <v>35</v>
      </c>
      <c r="H5" s="769" t="s">
        <v>36</v>
      </c>
      <c r="I5" s="775" t="s">
        <v>36</v>
      </c>
      <c r="J5" s="769" t="s">
        <v>35</v>
      </c>
      <c r="K5" s="770" t="s">
        <v>92</v>
      </c>
      <c r="L5" s="770" t="s">
        <v>92</v>
      </c>
      <c r="M5" s="770" t="s">
        <v>92</v>
      </c>
      <c r="N5" s="770" t="s">
        <v>92</v>
      </c>
      <c r="O5" s="770" t="s">
        <v>34</v>
      </c>
      <c r="P5" s="770" t="s">
        <v>35</v>
      </c>
      <c r="Q5" s="770" t="s">
        <v>35</v>
      </c>
      <c r="R5" s="769" t="s">
        <v>35</v>
      </c>
      <c r="S5" s="769" t="s">
        <v>92</v>
      </c>
      <c r="T5" s="773" t="s">
        <v>36</v>
      </c>
      <c r="U5" s="769" t="s">
        <v>91</v>
      </c>
      <c r="V5" s="770" t="s">
        <v>91</v>
      </c>
      <c r="W5" s="770" t="s">
        <v>91</v>
      </c>
      <c r="X5" s="770" t="s">
        <v>91</v>
      </c>
      <c r="Y5" s="770" t="s">
        <v>91</v>
      </c>
      <c r="Z5" s="2566"/>
      <c r="AA5" s="2567"/>
      <c r="AB5" s="2567"/>
      <c r="AC5" s="2567"/>
      <c r="AD5" s="2568"/>
      <c r="AE5" s="1523" t="s">
        <v>92</v>
      </c>
      <c r="AF5" s="1409" t="s">
        <v>92</v>
      </c>
      <c r="AG5" s="1411" t="s">
        <v>35</v>
      </c>
      <c r="AH5" s="804" t="s">
        <v>36</v>
      </c>
      <c r="AI5" s="805" t="s">
        <v>36</v>
      </c>
      <c r="AJ5" s="1409" t="s">
        <v>92</v>
      </c>
      <c r="AK5" s="770" t="s">
        <v>92</v>
      </c>
      <c r="AL5" s="770" t="s">
        <v>35</v>
      </c>
      <c r="AM5" s="770" t="s">
        <v>92</v>
      </c>
      <c r="AN5" s="1411" t="s">
        <v>92</v>
      </c>
      <c r="AO5" s="1411" t="s">
        <v>92</v>
      </c>
      <c r="AP5" s="1599" t="s">
        <v>34</v>
      </c>
      <c r="AQ5" s="1599" t="s">
        <v>35</v>
      </c>
      <c r="AR5" s="1599" t="s">
        <v>35</v>
      </c>
      <c r="AS5" s="1409" t="s">
        <v>35</v>
      </c>
      <c r="AT5" s="769" t="s">
        <v>92</v>
      </c>
      <c r="AU5" s="774" t="s">
        <v>36</v>
      </c>
      <c r="AV5" s="1409" t="s">
        <v>91</v>
      </c>
      <c r="AW5" s="770" t="s">
        <v>91</v>
      </c>
      <c r="AX5" s="770" t="s">
        <v>91</v>
      </c>
      <c r="AY5" s="770" t="s">
        <v>91</v>
      </c>
      <c r="AZ5" s="770" t="s">
        <v>91</v>
      </c>
      <c r="BA5" s="2538"/>
      <c r="BB5" s="2539"/>
      <c r="BC5" s="2539"/>
      <c r="BD5" s="2539"/>
      <c r="BE5" s="2540"/>
      <c r="BF5" s="1487" t="s">
        <v>92</v>
      </c>
      <c r="BG5" s="1409" t="s">
        <v>92</v>
      </c>
      <c r="BH5" s="1410" t="s">
        <v>35</v>
      </c>
      <c r="BI5" s="804" t="s">
        <v>36</v>
      </c>
      <c r="BJ5" s="805" t="s">
        <v>36</v>
      </c>
      <c r="BK5" s="1426" t="s">
        <v>36</v>
      </c>
      <c r="BL5" s="2461" t="s">
        <v>36</v>
      </c>
      <c r="BM5" s="2461"/>
      <c r="BN5" s="1411" t="s">
        <v>92</v>
      </c>
      <c r="BO5" s="1410" t="s">
        <v>92</v>
      </c>
      <c r="BP5" s="1409" t="s">
        <v>35</v>
      </c>
      <c r="BQ5" s="769" t="s">
        <v>92</v>
      </c>
      <c r="BR5" s="774" t="s">
        <v>36</v>
      </c>
      <c r="BS5" s="1409" t="s">
        <v>91</v>
      </c>
      <c r="BT5" s="770" t="s">
        <v>91</v>
      </c>
      <c r="BU5" s="770" t="s">
        <v>91</v>
      </c>
      <c r="BV5" s="770" t="s">
        <v>91</v>
      </c>
      <c r="BW5" s="770" t="s">
        <v>91</v>
      </c>
      <c r="BX5" s="2476"/>
      <c r="BY5" s="2477"/>
      <c r="BZ5" s="2477"/>
      <c r="CA5" s="2477"/>
      <c r="CB5" s="2478"/>
    </row>
    <row r="6" spans="1:104" ht="183" customHeight="1" x14ac:dyDescent="0.3">
      <c r="A6" s="2302" t="s">
        <v>112</v>
      </c>
      <c r="B6" s="2303"/>
      <c r="C6" s="2303"/>
      <c r="D6" s="2304"/>
      <c r="E6" s="791" t="s">
        <v>657</v>
      </c>
      <c r="F6" s="1423" t="s">
        <v>178</v>
      </c>
      <c r="G6" s="785" t="s">
        <v>179</v>
      </c>
      <c r="H6" s="793" t="s">
        <v>180</v>
      </c>
      <c r="I6" s="792" t="s">
        <v>185</v>
      </c>
      <c r="J6" s="780" t="s">
        <v>173</v>
      </c>
      <c r="K6" s="782" t="s">
        <v>172</v>
      </c>
      <c r="L6" s="782" t="s">
        <v>171</v>
      </c>
      <c r="M6" s="782" t="s">
        <v>170</v>
      </c>
      <c r="N6" s="782" t="s">
        <v>169</v>
      </c>
      <c r="O6" s="1606" t="s">
        <v>611</v>
      </c>
      <c r="P6" s="1606" t="s">
        <v>612</v>
      </c>
      <c r="Q6" s="1607" t="s">
        <v>675</v>
      </c>
      <c r="R6" s="787" t="s">
        <v>471</v>
      </c>
      <c r="S6" s="787" t="s">
        <v>678</v>
      </c>
      <c r="T6" s="784" t="s">
        <v>141</v>
      </c>
      <c r="U6" s="1423" t="s">
        <v>166</v>
      </c>
      <c r="V6" s="785" t="s">
        <v>526</v>
      </c>
      <c r="W6" s="786" t="s">
        <v>606</v>
      </c>
      <c r="X6" s="786" t="s">
        <v>607</v>
      </c>
      <c r="Y6" s="786" t="s">
        <v>613</v>
      </c>
      <c r="Z6" s="2566"/>
      <c r="AA6" s="2567"/>
      <c r="AB6" s="2567"/>
      <c r="AC6" s="2567"/>
      <c r="AD6" s="2568"/>
      <c r="AE6" s="781" t="s">
        <v>658</v>
      </c>
      <c r="AF6" s="1423" t="s">
        <v>178</v>
      </c>
      <c r="AG6" s="785" t="s">
        <v>179</v>
      </c>
      <c r="AH6" s="806" t="s">
        <v>450</v>
      </c>
      <c r="AI6" s="792" t="s">
        <v>451</v>
      </c>
      <c r="AJ6" s="780" t="s">
        <v>181</v>
      </c>
      <c r="AK6" s="782" t="s">
        <v>171</v>
      </c>
      <c r="AL6" s="782" t="s">
        <v>173</v>
      </c>
      <c r="AM6" s="782" t="s">
        <v>172</v>
      </c>
      <c r="AN6" s="782" t="s">
        <v>170</v>
      </c>
      <c r="AO6" s="782" t="s">
        <v>169</v>
      </c>
      <c r="AP6" s="1606" t="s">
        <v>611</v>
      </c>
      <c r="AQ6" s="1606" t="s">
        <v>612</v>
      </c>
      <c r="AR6" s="1607" t="s">
        <v>675</v>
      </c>
      <c r="AS6" s="787" t="s">
        <v>471</v>
      </c>
      <c r="AT6" s="787" t="s">
        <v>678</v>
      </c>
      <c r="AU6" s="784" t="s">
        <v>141</v>
      </c>
      <c r="AV6" s="1423" t="s">
        <v>167</v>
      </c>
      <c r="AW6" s="785" t="s">
        <v>526</v>
      </c>
      <c r="AX6" s="786" t="s">
        <v>606</v>
      </c>
      <c r="AY6" s="786" t="s">
        <v>607</v>
      </c>
      <c r="AZ6" s="786" t="s">
        <v>613</v>
      </c>
      <c r="BA6" s="2538"/>
      <c r="BB6" s="2539"/>
      <c r="BC6" s="2539"/>
      <c r="BD6" s="2539"/>
      <c r="BE6" s="2540"/>
      <c r="BF6" s="809" t="s">
        <v>182</v>
      </c>
      <c r="BG6" s="1423" t="s">
        <v>183</v>
      </c>
      <c r="BH6" s="785" t="s">
        <v>184</v>
      </c>
      <c r="BI6" s="793" t="s">
        <v>385</v>
      </c>
      <c r="BJ6" s="792" t="s">
        <v>386</v>
      </c>
      <c r="BK6" s="807" t="s">
        <v>189</v>
      </c>
      <c r="BL6" s="2460" t="s">
        <v>190</v>
      </c>
      <c r="BM6" s="2460"/>
      <c r="BN6" s="808" t="s">
        <v>186</v>
      </c>
      <c r="BO6" s="809" t="s">
        <v>187</v>
      </c>
      <c r="BP6" s="810" t="s">
        <v>188</v>
      </c>
      <c r="BQ6" s="787" t="s">
        <v>678</v>
      </c>
      <c r="BR6" s="784" t="s">
        <v>141</v>
      </c>
      <c r="BS6" s="1423" t="s">
        <v>168</v>
      </c>
      <c r="BT6" s="785" t="s">
        <v>526</v>
      </c>
      <c r="BU6" s="786" t="s">
        <v>606</v>
      </c>
      <c r="BV6" s="786" t="s">
        <v>607</v>
      </c>
      <c r="BW6" s="786" t="s">
        <v>613</v>
      </c>
      <c r="BX6" s="2476"/>
      <c r="BY6" s="2477"/>
      <c r="BZ6" s="2477"/>
      <c r="CA6" s="2477"/>
      <c r="CB6" s="2478"/>
    </row>
    <row r="7" spans="1:104" ht="50.25" customHeight="1" thickBot="1" x14ac:dyDescent="0.35">
      <c r="A7" s="2305" t="s">
        <v>121</v>
      </c>
      <c r="B7" s="2306"/>
      <c r="C7" s="2306"/>
      <c r="D7" s="2307"/>
      <c r="E7" s="2253" t="str">
        <f>HYPERLINK("http://www.auc.ab.ca/regulatory_documents/ProceedingDocuments/2016/21364-D01-2016.pdf", "AUC DERS March 2016 Default Rate Tariff Gas Charge Proceeding, Pages 1, 2")</f>
        <v>AUC DERS March 2016 Default Rate Tariff Gas Charge Proceeding, Pages 1, 2</v>
      </c>
      <c r="F7" s="2263" t="str">
        <f>HYPERLINK("http://www.auc.ab.ca/regulatory_documents/ProceedingDocuments/2015/20820-D01-2015.pdf", "AUC ATCO Gas 2016 Annual PBR Rate Adjustment Filing Decision, Pages 5, 7, 8, 23, 24")</f>
        <v>AUC ATCO Gas 2016 Annual PBR Rate Adjustment Filing Decision, Pages 5, 7, 8, 23, 24</v>
      </c>
      <c r="G7" s="2234"/>
      <c r="H7" s="2263" t="str">
        <f>HYPERLINK("http://www.auc.ab.ca/regulatory_documents/ProceedingDocuments/2015/20820-D01-2015.pdf", "AUC ATCO Gas, 2016 Annual PBR Rate Adjustment Filing Decision, Page 20")</f>
        <v>AUC ATCO Gas, 2016 Annual PBR Rate Adjustment Filing Decision, Page 20</v>
      </c>
      <c r="I7" s="2234" t="str">
        <f>HYPERLINK("http://www.auc.ab.ca/regulatory_documents/ProceedingDocuments/2015/20820-D01-2015.pdf", "AUC ATCO Gas, 2016 Annual PBR Rate Adjustment Filing Decision, Page 20")</f>
        <v>AUC ATCO Gas, 2016 Annual PBR Rate Adjustment Filing Decision, Page 20</v>
      </c>
      <c r="J7" s="811" t="str">
        <f>HYPERLINK("http://www.atcogas.com/Rates/Rate-Riders", "ATCO Gas Rate Riders")</f>
        <v>ATCO Gas Rate Riders</v>
      </c>
      <c r="K7" s="812" t="str">
        <f>HYPERLINK("http://www.atcogas.com/Rates/Rate-Riders", "ATCO Gas Rate Riders")</f>
        <v>ATCO Gas Rate Riders</v>
      </c>
      <c r="L7" s="2311" t="str">
        <f>HYPERLINK("http://www.atcogas.com/Rates/Rate-Riders", "ATCO Gas Rate Riders")</f>
        <v>ATCO Gas Rate Riders</v>
      </c>
      <c r="M7" s="1416" t="str">
        <f>HYPERLINK("http://www.atcogas.com/Rates/Rate-Riders", "ATCO Gas Rate Riders")</f>
        <v>ATCO Gas Rate Riders</v>
      </c>
      <c r="N7" s="2311" t="str">
        <f>HYPERLINK("http://www.atcogas.com/Rates/Rate-Riders", "ATCO Gas Rate Riders")</f>
        <v>ATCO Gas Rate Riders</v>
      </c>
      <c r="O7" s="2311" t="str">
        <f>HYPERLINK("http://www.auc.ab.ca/regulatory_documents/ProceedingDocuments/2016/21952-D01-2016.pdf", "AUC Decision 21952-D01-2016 DERS Late Payment Penalty Settlement Compliance Filing")</f>
        <v>AUC Decision 21952-D01-2016 DERS Late Payment Penalty Settlement Compliance Filing</v>
      </c>
      <c r="P7" s="2311" t="str">
        <f>HYPERLINK("http://www.auc.ab.ca/regulatory_documents/ProceedingDocuments/2017/22472-D01-2017.pdf", "AUC Decision 22472-D01-2017 DERS Review of Decision 21568-D01-2016")</f>
        <v>AUC Decision 22472-D01-2017 DERS Review of Decision 21568-D01-2016</v>
      </c>
      <c r="Q7" s="2311" t="str">
        <f>HYPERLINK("http://www.auc.ab.ca/regulatory_documents/ProceedingDocuments/2018/23986-D01-2018.pdf", "AUC Decision 23986-D01-2018 DERS Application for True-Up of 2017 and 2018 Interim Rates for the Default Rate Tariff and Regulated Rate Tariff")</f>
        <v>AUC Decision 23986-D01-2018 DERS Application for True-Up of 2017 and 2018 Interim Rates for the Default Rate Tariff and Regulated Rate Tariff</v>
      </c>
      <c r="R7" s="2266" t="str">
        <f>HYPERLINK("http://www.directenergyregulatedservices.com/Your-Natural-Gas-Bill.aspx", "Direct Energy Regulated Services Understanding Your Regulated Natural Gas Bill")</f>
        <v>Direct Energy Regulated Services Understanding Your Regulated Natural Gas Bill</v>
      </c>
      <c r="S7" s="2266" t="str">
        <f>HYPERLINK("https://www.alberta.ca/about-carbon-levy-administration.aspx", "Government of Alberta, About Carbon Levy Administration in Alberta, Overview")</f>
        <v>Government of Alberta, About Carbon Levy Administration in Alberta, Overview</v>
      </c>
      <c r="T7" s="2266" t="str">
        <f>HYPERLINK("http://www.cra-arc.gc.ca/tx/bsnss/tpcs/gst-tps/rts-eng.html#rt", "Canada Revenue Agency GST/HST Rates")</f>
        <v>Canada Revenue Agency GST/HST Rates</v>
      </c>
      <c r="U7" s="2495"/>
      <c r="V7" s="2448"/>
      <c r="W7" s="2448"/>
      <c r="X7" s="2448"/>
      <c r="Y7" s="2268"/>
      <c r="Z7" s="2566"/>
      <c r="AA7" s="2567"/>
      <c r="AB7" s="2567"/>
      <c r="AC7" s="2567"/>
      <c r="AD7" s="2568"/>
      <c r="AE7" s="2234" t="str">
        <f>HYPERLINK("http://www.auc.ab.ca/regulatory_documents/ProceedingDocuments/2016/21364-D01-2016.pdf", "AUC DERS March 2016 Default Rate Tariff Gas Charge Proceeding, Pages 1, 2")</f>
        <v>AUC DERS March 2016 Default Rate Tariff Gas Charge Proceeding, Pages 1, 2</v>
      </c>
      <c r="AF7" s="2263" t="str">
        <f>HYPERLINK("http://www.auc.ab.ca/regulatory_documents/ProceedingDocuments/2015/20820-D01-2015.pdf", "AUC ATCO Gas 2016 Annual PBR Rate Adjustment Filing Decision, Pages 5, 7, 8, 23, 24")</f>
        <v>AUC ATCO Gas 2016 Annual PBR Rate Adjustment Filing Decision, Pages 5, 7, 8, 23, 24</v>
      </c>
      <c r="AG7" s="2234"/>
      <c r="AH7" s="2554" t="str">
        <f>HYPERLINK("http://www.auc.ab.ca/regulatory_documents/ProceedingDocuments/2015/20820-D01-2015.pdf", "AUC ATCO Gas 2016 Annual PBR Rate Adjustment Filing Decision, Pages 54-55")</f>
        <v>AUC ATCO Gas 2016 Annual PBR Rate Adjustment Filing Decision, Pages 54-55</v>
      </c>
      <c r="AI7" s="2555"/>
      <c r="AJ7" s="813" t="str">
        <f>HYPERLINK("https://www.canlii.org/en/ab/abca/doc/2008/2008abca200/2008abca200.html", "ATCO v. Alberta 2008 Memorandum of Judgment")</f>
        <v>ATCO v. Alberta 2008 Memorandum of Judgment</v>
      </c>
      <c r="AK7" s="2311" t="str">
        <f>HYPERLINK("http://www.atcogas.com/Rates/Rate-Riders", "ATCO Gas Rate Riders")</f>
        <v>ATCO Gas Rate Riders</v>
      </c>
      <c r="AL7" s="812" t="str">
        <f>HYPERLINK("http://www.atcogas.com/Rates/Rate-Riders", "ATCO Gas Rate Riders")</f>
        <v>ATCO Gas Rate Riders</v>
      </c>
      <c r="AM7" s="812" t="str">
        <f>HYPERLINK("http://www.atcogas.com/Rates/Rate-Riders", "ATCO Gas Rate Riders")</f>
        <v>ATCO Gas Rate Riders</v>
      </c>
      <c r="AN7" s="812" t="str">
        <f>HYPERLINK("http://www.atcogas.com/Rates/Rate-Riders", "ATCO Gas Rate Riders")</f>
        <v>ATCO Gas Rate Riders</v>
      </c>
      <c r="AO7" s="2311" t="str">
        <f>HYPERLINK("http://www.atcogas.com/Rates/Rate-Riders", "ATCO Gas Rate Riders")</f>
        <v>ATCO Gas Rate Riders</v>
      </c>
      <c r="AP7" s="2451" t="str">
        <f>HYPERLINK("http://www.auc.ab.ca/regulatory_documents/ProceedingDocuments/2016/21952-D01-2016.pdf", "AUC Decision 21952-D01-2016 DERS Late Payment Penalty Settlement Compliance Filing")</f>
        <v>AUC Decision 21952-D01-2016 DERS Late Payment Penalty Settlement Compliance Filing</v>
      </c>
      <c r="AQ7" s="2451" t="str">
        <f>HYPERLINK("http://www.auc.ab.ca/regulatory_documents/ProceedingDocuments/2017/22472-D01-2017.pdf", "AUC Decision 22472-D01-2017 DERS Review of Decision 21568-D01-2016")</f>
        <v>AUC Decision 22472-D01-2017 DERS Review of Decision 21568-D01-2016</v>
      </c>
      <c r="AR7" s="2182" t="str">
        <f>HYPERLINK("http://www.auc.ab.ca/regulatory_documents/ProceedingDocuments/2018/23986-D01-2018.pdf", "AUC Decision 23986-D01-2018 DERS Application for True-Up of 2017 and 2018 Interim Rates for the Default Rate Tariff and Regulated Rate Tariff")</f>
        <v>AUC Decision 23986-D01-2018 DERS Application for True-Up of 2017 and 2018 Interim Rates for the Default Rate Tariff and Regulated Rate Tariff</v>
      </c>
      <c r="AS7" s="2256" t="str">
        <f>HYPERLINK("http://www.directenergyregulatedservices.com/Your-Natural-Gas-Bill.aspx", "Direct Energy Regulated Services Understanding Your Regulated Natural Gas Bill")</f>
        <v>Direct Energy Regulated Services Understanding Your Regulated Natural Gas Bill</v>
      </c>
      <c r="AT7" s="2266" t="str">
        <f>HYPERLINK("https://www.alberta.ca/about-carbon-levy-administration.aspx", "Government of Alberta, About Carbon Levy Administration in Alberta, Overview")</f>
        <v>Government of Alberta, About Carbon Levy Administration in Alberta, Overview</v>
      </c>
      <c r="AU7" s="2266" t="str">
        <f>HYPERLINK("http://www.cra-arc.gc.ca/tx/bsnss/tpcs/gst-tps/rts-eng.html#rt", "Canada Revenue Agency GST/HST Rates")</f>
        <v>Canada Revenue Agency GST/HST Rates</v>
      </c>
      <c r="AV7" s="2446"/>
      <c r="AW7" s="2448"/>
      <c r="AX7" s="2448"/>
      <c r="AY7" s="2448"/>
      <c r="AZ7" s="2268"/>
      <c r="BA7" s="2538"/>
      <c r="BB7" s="2539"/>
      <c r="BC7" s="2539"/>
      <c r="BD7" s="2539"/>
      <c r="BE7" s="2540"/>
      <c r="BF7" s="1508" t="str">
        <f>HYPERLINK("http://www.altagasutilities.com/billing-definitions#fixedDistribution", "AltaGas Billing Definitions")</f>
        <v>AltaGas Billing Definitions</v>
      </c>
      <c r="BG7" s="2263" t="str">
        <f>HYPERLINK("http://www.altagasutilities.com/billing-definitions#fixedDistribution", "AltaGas Billing Definitions")</f>
        <v>AltaGas Billing Definitions</v>
      </c>
      <c r="BH7" s="2234"/>
      <c r="BI7" s="2263" t="str">
        <f>HYPERLINK("http://www.altagasutilities.com/sites/default/files/pdf/20823-D01-2015AltaGas2016AnnualPBRRateAd.pdf","AUC AltaGas 2016 Annual PBR Rate Adjustment Filing Decision, Page 21")</f>
        <v>AUC AltaGas 2016 Annual PBR Rate Adjustment Filing Decision, Page 21</v>
      </c>
      <c r="BJ7" s="2234"/>
      <c r="BK7" s="2471" t="str">
        <f>HYPERLINK("http://www.altagasutilities.com/sites/default/files/pdf/20823-D01-2015AltaGas2016AnnualPBRRateAd.pdf","AUC AltaGas 2016 Annual PBR Rate Adjustment Filing Decision, Page 21")</f>
        <v>AUC AltaGas 2016 Annual PBR Rate Adjustment Filing Decision, Page 21</v>
      </c>
      <c r="BL7" s="2472"/>
      <c r="BM7" s="2472"/>
      <c r="BN7" s="812" t="str">
        <f>HYPERLINK("http://www.altagasutilities.com/sites/default/files/pdf/20823-D01-2015AltaGas2016AnnualPBRRateAd.pdf","AUC AltaGas 2016 Annual PBR Rate Adjustment Filing Decision, Page 21")</f>
        <v>AUC AltaGas 2016 Annual PBR Rate Adjustment Filing Decision, Page 21</v>
      </c>
      <c r="BO7" s="1415" t="str">
        <f>HYPERLINK("http://www.altagasutilities.com/sites/default/files/pdf/20823-D01-2015AltaGas2016AnnualPBRRateAd.pdf","AUC AltaGas 2016 Annual PBR Rate Adjustment Filing Decision, Page 21")</f>
        <v>AUC AltaGas 2016 Annual PBR Rate Adjustment Filing Decision, Page 21</v>
      </c>
      <c r="BP7" s="2464" t="str">
        <f>HYPERLINK("http://www.altagasutilities.com/billing-definitions#fixedDistribution", "AltaGas Billing Definitions")</f>
        <v>AltaGas Billing Definitions</v>
      </c>
      <c r="BQ7" s="2266" t="str">
        <f>HYPERLINK("https://www.alberta.ca/about-carbon-levy-administration.aspx", "Government of Alberta, About Carbon Levy Administration in Alberta, Overview")</f>
        <v>Government of Alberta, About Carbon Levy Administration in Alberta, Overview</v>
      </c>
      <c r="BR7" s="2266" t="str">
        <f>HYPERLINK("http://www.cra-arc.gc.ca/tx/bsnss/tpcs/gst-tps/rts-eng.html#rt", "Canada Revenue Agency GST/HST Rates")</f>
        <v>Canada Revenue Agency GST/HST Rates</v>
      </c>
      <c r="BS7" s="2462"/>
      <c r="BT7" s="2448"/>
      <c r="BU7" s="2448"/>
      <c r="BV7" s="2448"/>
      <c r="BW7" s="2268"/>
      <c r="BX7" s="2476"/>
      <c r="BY7" s="2477"/>
      <c r="BZ7" s="2477"/>
      <c r="CA7" s="2477"/>
      <c r="CB7" s="2478"/>
    </row>
    <row r="8" spans="1:104" ht="92.25" customHeight="1" thickBot="1" x14ac:dyDescent="0.35">
      <c r="A8" s="2552" t="s">
        <v>13</v>
      </c>
      <c r="B8" s="2552"/>
      <c r="C8" s="2552"/>
      <c r="D8" s="2553"/>
      <c r="E8" s="2494"/>
      <c r="F8" s="2544"/>
      <c r="G8" s="2235"/>
      <c r="H8" s="2551"/>
      <c r="I8" s="2498"/>
      <c r="J8" s="814" t="str">
        <f>HYPERLINK("http://www.auc.ab.ca/applications/decisions/Decisions/2014/2014-296.pdf", "AUC ATCO Gas 2014 Interim Rates Decision, Page 5")</f>
        <v>AUC ATCO Gas 2014 Interim Rates Decision, Page 5</v>
      </c>
      <c r="K8" s="815" t="str">
        <f>HYPERLINK("http://www.auc.ab.ca/applications/decisions/Decisions/2014/2014-296.pdf", "AUC ATCO Gas 2014 Interim Rates Decision, Page 5")</f>
        <v>AUC ATCO Gas 2014 Interim Rates Decision, Page 5</v>
      </c>
      <c r="L8" s="2469"/>
      <c r="M8" s="816" t="str">
        <f>HYPERLINK("https://www2.auc.ab.ca/Proceeding21248/_layouts/download.aspx?SourceUrl=//www2.auc.ab.ca/Proceeding21248%2fProceedingDocuments%2f2016RiderTSchedules-excelformat_0002.xlsx", "AUC ATCO Gas 2016 Transmission Service Charge Exhibit 21248-X0003 2016 Rider T Schedules, Sheet 'Schedule 5 - 2016 Rider-T Rates'")</f>
        <v>AUC ATCO Gas 2016 Transmission Service Charge Exhibit 21248-X0003 2016 Rider T Schedules, Sheet 'Schedule 5 - 2016 Rider-T Rates'</v>
      </c>
      <c r="N8" s="2469"/>
      <c r="O8" s="2469"/>
      <c r="P8" s="2469"/>
      <c r="Q8" s="2469"/>
      <c r="R8" s="2497"/>
      <c r="S8" s="2497"/>
      <c r="T8" s="2309"/>
      <c r="U8" s="2496"/>
      <c r="V8" s="2449"/>
      <c r="W8" s="2449"/>
      <c r="X8" s="2449"/>
      <c r="Y8" s="2269"/>
      <c r="Z8" s="2566"/>
      <c r="AA8" s="2567"/>
      <c r="AB8" s="2567"/>
      <c r="AC8" s="2567"/>
      <c r="AD8" s="2568"/>
      <c r="AE8" s="2558"/>
      <c r="AF8" s="2544"/>
      <c r="AG8" s="2235"/>
      <c r="AH8" s="2556"/>
      <c r="AI8" s="2557"/>
      <c r="AJ8" s="1428" t="str">
        <f>HYPERLINK("http://www.auc.ab.ca/applications/decisions/Decisions/2012/2012-113.pdf", "AUC ATCO Gas 2012 Carbon Rider Reconciliation, Pages 5, 7")</f>
        <v>AUC ATCO Gas 2012 Carbon Rider Reconciliation, Pages 5, 7</v>
      </c>
      <c r="AK8" s="2450"/>
      <c r="AL8" s="815" t="str">
        <f>HYPERLINK("http://www.auc.ab.ca/applications/decisions/Decisions/2014/2014-296.pdf", "AUC ATCO Gas 2014 Interim Rates Decision, Page 5")</f>
        <v>AUC ATCO Gas 2014 Interim Rates Decision, Page 5</v>
      </c>
      <c r="AM8" s="815" t="str">
        <f>HYPERLINK("http://www.auc.ab.ca/applications/decisions/Decisions/2014/2014-296.pdf", "AUC ATCO Gas 2014 Interim Rates Decision, Page 5")</f>
        <v>AUC ATCO Gas 2014 Interim Rates Decision, Page 5</v>
      </c>
      <c r="AN8" s="817" t="str">
        <f>HYPERLINK("https://www2.auc.ab.ca/Proceeding21248/_layouts/download.aspx?SourceUrl=//www2.auc.ab.ca/Proceeding21248%2fProceedingDocuments%2f2016RiderTSchedules-excelformat_0002.xlsx", "AUC ATCO Gas 2016 Transmission Service Charge Exhibit 21248-X0003 2016 Rider T Schedules, Sheet 'Schedule 5 - 2016 Rider-T Rates'")</f>
        <v>AUC ATCO Gas 2016 Transmission Service Charge Exhibit 21248-X0003 2016 Rider T Schedules, Sheet 'Schedule 5 - 2016 Rider-T Rates'</v>
      </c>
      <c r="AO8" s="2450"/>
      <c r="AP8" s="2226"/>
      <c r="AQ8" s="2226"/>
      <c r="AR8" s="2183"/>
      <c r="AS8" s="2257"/>
      <c r="AT8" s="2497"/>
      <c r="AU8" s="2309"/>
      <c r="AV8" s="2447"/>
      <c r="AW8" s="2449"/>
      <c r="AX8" s="2449"/>
      <c r="AY8" s="2449"/>
      <c r="AZ8" s="2269"/>
      <c r="BA8" s="2538"/>
      <c r="BB8" s="2539"/>
      <c r="BC8" s="2539"/>
      <c r="BD8" s="2539"/>
      <c r="BE8" s="2540"/>
      <c r="BF8" s="1488" t="str">
        <f>HYPERLINK("http://www.auc.ab.ca/applications/decisions/Decisions/2011/2011-425.pdf", "AUC AltaGas October 2011 Rate Rider 'E' Decision 2011-425, Page 32")</f>
        <v>AUC AltaGas October 2011 Rate Rider 'E' Decision 2011-425, Page 32</v>
      </c>
      <c r="BG8" s="2544" t="str">
        <f>HYPERLINK("http://www.altagasutilities.com/sites/default/files/pdf/20823-D01-2015AltaGas2016AnnualPBRRateAd.pdf","AUC AltaGas 2016 Annual PBR Rate Adjustment Filing Decision, Pages 6, 9, 25")</f>
        <v>AUC AltaGas 2016 Annual PBR Rate Adjustment Filing Decision, Pages 6, 9, 25</v>
      </c>
      <c r="BH8" s="2545"/>
      <c r="BI8" s="2544"/>
      <c r="BJ8" s="2235"/>
      <c r="BK8" s="1428" t="str">
        <f>HYPERLINK("http://www.altagasutilities.com/sites/default/files/pdf/20695-D01-2015AltaGas2015NetDeficiencyan_0033.pdf", "AUC AltaGas 2015 Net Deficiency and Rider F, Page 15")</f>
        <v>AUC AltaGas 2015 Net Deficiency and Rider F, Page 15</v>
      </c>
      <c r="BL8" s="2469" t="str">
        <f>HYPERLINK("http://www.altagasutilities.com/sites/default/files/pdf/20695-D01-2015AltaGas2015NetDeficiencyan_0033.pdf", "AUC AltaGas 2015 Net Deficiency and Rider F, Page 15")</f>
        <v>AUC AltaGas 2015 Net Deficiency and Rider F, Page 15</v>
      </c>
      <c r="BM8" s="2470"/>
      <c r="BN8" s="815" t="str">
        <f>HYPERLINK("http://www.auc.ab.ca/regulatory_documents/ProceedingDocuments/2015/20806-D01-2015.pdf", "AUC AltaGas 2015-2016 UFG Rate Rider E and Rate Rider H, Page 17")</f>
        <v>AUC AltaGas 2015-2016 UFG Rate Rider E and Rate Rider H, Page 17</v>
      </c>
      <c r="BO8" s="1429" t="str">
        <f>HYPERLINK("http://www.altagasutilities.com/sites/default/files/pdf/AUC-Decision-2013-395.pdf", "Application for Load Balancing Deferral Account and Rate Rider L, Pages 14, 15")</f>
        <v>Application for Load Balancing Deferral Account and Rate Rider L, Pages 14, 15</v>
      </c>
      <c r="BP8" s="2465"/>
      <c r="BQ8" s="2497"/>
      <c r="BR8" s="2309"/>
      <c r="BS8" s="2463"/>
      <c r="BT8" s="2449"/>
      <c r="BU8" s="2449"/>
      <c r="BV8" s="2449"/>
      <c r="BW8" s="2269"/>
      <c r="BX8" s="2476"/>
      <c r="BY8" s="2477"/>
      <c r="BZ8" s="2477"/>
      <c r="CA8" s="2477"/>
      <c r="CB8" s="2478"/>
    </row>
    <row r="9" spans="1:104" ht="109.5" customHeight="1" x14ac:dyDescent="0.3">
      <c r="A9" s="2504">
        <v>2012</v>
      </c>
      <c r="B9" s="2504"/>
      <c r="C9" s="2505"/>
      <c r="D9" s="1050">
        <v>40909</v>
      </c>
      <c r="E9" s="2499" t="str">
        <f>HYPERLINK("http://www.atcogas.com/Rates/Documents/North-Low-Use-Jan-2006-to-Current-Rates.pdf", "ATCO Gas North - History of Low Use Formerly Rate 1, 'Deemed Value' Column")</f>
        <v>ATCO Gas North - History of Low Use Formerly Rate 1, 'Deemed Value' Column</v>
      </c>
      <c r="F9" s="2105" t="str">
        <f>HYPERLINK("http://www.atcogas.com/Rates/Documents/North-Low-Use-Jan-2006-to-Current-Rates.pdf", "ATCO Gas North - History of Low Use Formerly Rate 1, 'Variable Energy Charge' Column")</f>
        <v>ATCO Gas North - History of Low Use Formerly Rate 1, 'Variable Energy Charge' Column</v>
      </c>
      <c r="G9" s="2105" t="str">
        <f>HYPERLINK("http://www.atcogas.com/Rates/Documents/North-Low-Use-Jan-2006-to-Current-Rates.pdf", "ATCO Gas North - History of Low Use Formerly Rate 1, 'Fixed Charge' Column")</f>
        <v>ATCO Gas North - History of Low Use Formerly Rate 1, 'Fixed Charge' Column</v>
      </c>
      <c r="H9" s="2559" t="str">
        <f>HYPERLINK("http://www.auc.ab.ca/regulatory_documents/ProceedingDocuments/2011/2011-414+Errata.pdf", "AUC Errata to Decision 2011-414, Page 22,23")</f>
        <v>AUC Errata to Decision 2011-414, Page 22,23</v>
      </c>
      <c r="I9" s="2559"/>
      <c r="J9" s="2105" t="str">
        <f>HYPERLINK("http://www.atcogas.com/Rates/Documents/North-Low-Use-Jan-2006-to-Current-Rates.pdf", "ATCO Gas North - History of Low Use Formerly Rate 1, 'Rider S for Fixed Chg.' Column")</f>
        <v>ATCO Gas North - History of Low Use Formerly Rate 1, 'Rider S for Fixed Chg.' Column</v>
      </c>
      <c r="K9" s="2105" t="str">
        <f>HYPERLINK("http://www.atcogas.com/Rates/Documents/North-Low-Use-Jan-2006-to-Current-Rates.pdf", "ATCO Gas North - History of Low Use Formerly Rate 1, 'Rider S for Variable Chg.' Column")</f>
        <v>ATCO Gas North - History of Low Use Formerly Rate 1, 'Rider S for Variable Chg.' Column</v>
      </c>
      <c r="L9" s="2105" t="str">
        <f>HYPERLINK("http://www.atcogas.com/Rates/Documents/North-Low-Use-Jan-2006-to-Current-Rates.pdf", "ATCO Gas North - History of Low Use Formerly Rate 1, 'Load Balance Rider L' Column")</f>
        <v>ATCO Gas North - History of Low Use Formerly Rate 1, 'Load Balance Rider L' Column</v>
      </c>
      <c r="M9" s="2105" t="str">
        <f>HYPERLINK("http://www.atcogas.com/Rates/Documents/North-Low-Use-Jan-2006-to-Current-Rates.pdf", "ATCO Gas North - History of Low Use Formerly Rate 1, 'Transmission Service Charge Rider T' Column")</f>
        <v>ATCO Gas North - History of Low Use Formerly Rate 1, 'Transmission Service Charge Rider T' Column</v>
      </c>
      <c r="N9" s="2105" t="str">
        <f>HYPERLINK("http://www.atcogas.com/Rates/Documents/North-Low-Use-Jan-2006-to-Current-Rates.pdf", "ATCO Gas North - History of Low Use Formerly Rate 1, 'Weather Deferral Acct. Rider W' Column")</f>
        <v>ATCO Gas North - History of Low Use Formerly Rate 1, 'Weather Deferral Acct. Rider W' Column</v>
      </c>
      <c r="O9" s="2227" t="s">
        <v>610</v>
      </c>
      <c r="P9" s="2228"/>
      <c r="Q9" s="2130" t="s">
        <v>610</v>
      </c>
      <c r="R9" s="2560" t="str">
        <f>HYPERLINK("http://www.auc.ab.ca/applications/decisions/Decisions/2011/2011-456.pdf", "AUC DERS January 2012 Interim DRT and RRT Schedule Decision 2011-456, Page 25")</f>
        <v>AUC DERS January 2012 Interim DRT and RRT Schedule Decision 2011-456, Page 25</v>
      </c>
      <c r="S9" s="2562" t="str">
        <f>HYPERLINK("https://www.alberta.ca/about-tax-levy-rates-prescribed-interest-rates.aspx", "Government of Alberta, About Tax and Levy Rates and Prescribed Interest Rates, Carbon Levy Rates Table")</f>
        <v>Government of Alberta, About Tax and Levy Rates and Prescribed Interest Rates, Carbon Levy Rates Table</v>
      </c>
      <c r="T9" s="2105" t="str">
        <f>HYPERLINK("http://www.atcogas.com/Rates/Documents/North-Low-Use-Jan-2006-to-Current-Rates.pdf", "ATCO Gas North - History of Low Use Formerly Rate 1, 'GST' Column")</f>
        <v>ATCO Gas North - History of Low Use Formerly Rate 1, 'GST' Column</v>
      </c>
      <c r="U9" s="2122" t="str">
        <f>HYPERLINK("https://albertamsa.ca/", "Market Reporting &gt; Retail Statistics")</f>
        <v>Market Reporting &gt; Retail Statistics</v>
      </c>
      <c r="V9" s="2123"/>
      <c r="W9" s="2105" t="str">
        <f>HYPERLINK("http://oee.nrcan.gc.ca/corporate/statistics/neud/dpa/showTable.cfm?type=CP&amp;sector=res&amp;juris=ab&amp;rn=34&amp;page=0", "Natural Resources Canada Household Energy Consumption Data, Table 34: Single Detached Secondary Energy Use and GHG Emissions by Energy Source, 2015 Column")</f>
        <v>Natural Resources Canada Household Energy Consumption Data, Table 34: Single Detached Secondary Energy Use and GHG Emissions by Energy Source, 2015 Column</v>
      </c>
      <c r="X9" s="2105" t="str">
        <f>HYPERLINK("http://oee.nrcan.gc.ca/corporate/statistics/neud/dpa/showTable.cfm?type=CP&amp;sector=res&amp;juris=ab&amp;rn=36&amp;page=0", "Natural Resources Canada Household Energy Consumption Data, Table 36: Single Attached Secondary Energy Use and GHG Emissions by Energy Source, 2015 Column")</f>
        <v>Natural Resources Canada Household Energy Consumption Data, Table 36: Single Attached Secondary Energy Use and GHG Emissions by Energy Source, 2015 Column</v>
      </c>
      <c r="Y9" s="2108" t="str">
        <f>HYPERLINK("http://oee.nrcan.gc.ca/corporate/statistics/neud/dpa/showTable.cfm?type=CP&amp;sector=res&amp;juris=ab&amp;rn=34&amp;page=0", "Natural Resources Canada Household Energy Consumption Data, Table 34: Single Detached Secondary Energy Use and GHG Emissions by Energy Source, 2015 Column")</f>
        <v>Natural Resources Canada Household Energy Consumption Data, Table 34: Single Detached Secondary Energy Use and GHG Emissions by Energy Source, 2015 Column</v>
      </c>
      <c r="Z9" s="2566"/>
      <c r="AA9" s="2567"/>
      <c r="AB9" s="2567"/>
      <c r="AC9" s="2567"/>
      <c r="AD9" s="2568"/>
      <c r="AE9" s="2561" t="str">
        <f>HYPERLINK("http://www.atcogas.com/Rates/Documents/South-Low-Use-Jan-2006-to-Current-Rates.pdf", "ATCO Gas South - History of Low Use Formerly Rate 1, 'Deemed Value' Column")</f>
        <v>ATCO Gas South - History of Low Use Formerly Rate 1, 'Deemed Value' Column</v>
      </c>
      <c r="AF9" s="2105" t="str">
        <f>HYPERLINK("http://www.atcogas.com/Rates/Documents/South-Low-Use-Jan-2006-to-Current-Rates.pdf", "ATCO Gas South - History of Low Use Formerly Rate 1, 'Variable Energy Charge' Column")</f>
        <v>ATCO Gas South - History of Low Use Formerly Rate 1, 'Variable Energy Charge' Column</v>
      </c>
      <c r="AG9" s="2105" t="str">
        <f>HYPERLINK("http://www.atcogas.com/Rates/Documents/South-Low-Use-Jan-2006-to-Current-Rates.pdf", "ATCO Gas South - History of Low Use Formerly Rate 1, 'Fixed Charge' Column")</f>
        <v>ATCO Gas South - History of Low Use Formerly Rate 1, 'Fixed Charge' Column</v>
      </c>
      <c r="AH9" s="1511" t="str">
        <f>HYPERLINK("http://www.auc.ab.ca/regulatory_documents/ProceedingDocuments/2011/2011-420.pdf", "AUC Decision 2011-420 ATCO Gas South, Page 16")</f>
        <v>AUC Decision 2011-420 ATCO Gas South, Page 16</v>
      </c>
      <c r="AI9" s="1512" t="str">
        <f>HYPERLINK("http://www.auc.ab.ca/regulatory_documents/ProceedingDocuments/2011/2011-420.pdf", "AUC Decision 2011-420 ATCO Gas South, Page 17")</f>
        <v>AUC Decision 2011-420 ATCO Gas South, Page 17</v>
      </c>
      <c r="AJ9" s="2105" t="str">
        <f>HYPERLINK("http://www.atcogas.com/Rates/Documents/South-Low-Use-Jan-2006-to-Current-Rates.pdf", "ATCO Gas South - History of Low Use Formerly Rate 1, 'Carbon Recovery Rider H' Column")</f>
        <v>ATCO Gas South - History of Low Use Formerly Rate 1, 'Carbon Recovery Rider H' Column</v>
      </c>
      <c r="AK9" s="2105" t="str">
        <f>HYPERLINK("http://www.atcogas.com/Rates/Documents/South-Low-Use-Jan-2006-to-Current-Rates.pdf", "ATCO Gas South - History of Low Use Formerly Rate 1, 'Load Balance Rider L' Column")</f>
        <v>ATCO Gas South - History of Low Use Formerly Rate 1, 'Load Balance Rider L' Column</v>
      </c>
      <c r="AL9" s="2105" t="str">
        <f>HYPERLINK("http://www.atcogas.com/Rates/Documents/South-Low-Use-Jan-2006-to-Current-Rates.pdf", "ATCO Gas South - History of Low Use Formerly Rate 1, 'Rider S for Fixed Chg.' Column")</f>
        <v>ATCO Gas South - History of Low Use Formerly Rate 1, 'Rider S for Fixed Chg.' Column</v>
      </c>
      <c r="AM9" s="2105" t="str">
        <f>HYPERLINK("http://www.atcogas.com/Rates/Documents/South-Low-Use-Jan-2006-to-Current-Rates.pdf", "ATCO Gas South - History of Low Use Formerly Rate 1, 'Rider S for Variable Chg.' Column")</f>
        <v>ATCO Gas South - History of Low Use Formerly Rate 1, 'Rider S for Variable Chg.' Column</v>
      </c>
      <c r="AN9" s="2105" t="str">
        <f>HYPERLINK("http://www.atcogas.com/Rates/Documents/South-Low-Use-Jan-2006-to-Current-Rates.pdf", "ATCO Gas South - History of Low Use Formerly Rate 1, 'Transmission Service Charge Rider T' Column")</f>
        <v>ATCO Gas South - History of Low Use Formerly Rate 1, 'Transmission Service Charge Rider T' Column</v>
      </c>
      <c r="AO9" s="2105" t="str">
        <f>HYPERLINK("http://www.atcogas.com/Rates/Documents/South-Low-Use-Jan-2006-to-Current-Rates.pdf", "ATCO Gas South - History of Low Use Formerly Rate 1, 'Weather Deferral Acct. Rider W' Column")</f>
        <v>ATCO Gas South - History of Low Use Formerly Rate 1, 'Weather Deferral Acct. Rider W' Column</v>
      </c>
      <c r="AP9" s="2227" t="s">
        <v>610</v>
      </c>
      <c r="AQ9" s="2228"/>
      <c r="AR9" s="2130" t="s">
        <v>610</v>
      </c>
      <c r="AS9" s="2192" t="str">
        <f>HYPERLINK("http://www.auc.ab.ca/applications/decisions/Decisions/2011/2011-456.pdf", "AUC DERS January 2012 Interim DRT and RRT Schedule, Page 31")</f>
        <v>AUC DERS January 2012 Interim DRT and RRT Schedule, Page 31</v>
      </c>
      <c r="AT9" s="2562" t="str">
        <f>HYPERLINK("https://www.alberta.ca/about-tax-levy-rates-prescribed-interest-rates.aspx", "Government of Alberta, About Tax and Levy Rates and Prescribed Interest Rates, Carbon Levy Rates Table")</f>
        <v>Government of Alberta, About Tax and Levy Rates and Prescribed Interest Rates, Carbon Levy Rates Table</v>
      </c>
      <c r="AU9" s="2105" t="str">
        <f>HYPERLINK("http://www.atcogas.com/Rates/Documents/South-Low-Use-Jan-2006-to-Current-Rates.pdf", "ATCO Gas South - History of Low Use Formerly Rate 1, 'GST' Column")</f>
        <v>ATCO Gas South - History of Low Use Formerly Rate 1, 'GST' Column</v>
      </c>
      <c r="AV9" s="2122" t="str">
        <f>HYPERLINK("https://albertamsa.ca/", "Market Reporting &gt; Retail Statistics")</f>
        <v>Market Reporting &gt; Retail Statistics</v>
      </c>
      <c r="AW9" s="2123"/>
      <c r="AX9" s="2105" t="str">
        <f>HYPERLINK("http://oee.nrcan.gc.ca/corporate/statistics/neud/dpa/showTable.cfm?type=CP&amp;sector=res&amp;juris=ab&amp;rn=34&amp;page=0", "Natural Resources Canada Household Energy Consumption Data, Table 34: Single Detached Secondary Energy Use and GHG Emissions by Energy Source, 2015 Column")</f>
        <v>Natural Resources Canada Household Energy Consumption Data, Table 34: Single Detached Secondary Energy Use and GHG Emissions by Energy Source, 2015 Column</v>
      </c>
      <c r="AY9" s="2105" t="str">
        <f>HYPERLINK("http://oee.nrcan.gc.ca/corporate/statistics/neud/dpa/showTable.cfm?type=CP&amp;sector=res&amp;juris=ab&amp;rn=36&amp;page=0", "Natural Resources Canada Household Energy Consumption Data, Table 36: Single Attached Secondary Energy Use and GHG Emissions by Energy Source, 2015 Column")</f>
        <v>Natural Resources Canada Household Energy Consumption Data, Table 36: Single Attached Secondary Energy Use and GHG Emissions by Energy Source, 2015 Column</v>
      </c>
      <c r="AZ9" s="2108" t="str">
        <f>HYPERLINK("http://oee.nrcan.gc.ca/corporate/statistics/neud/dpa/showTable.cfm?type=CP&amp;sector=res&amp;juris=ab&amp;rn=34&amp;page=0", "Natural Resources Canada Household Energy Consumption Data, Table 34: Single Detached Secondary Energy Use and GHG Emissions by Energy Source, 2015 Column")</f>
        <v>Natural Resources Canada Household Energy Consumption Data, Table 34: Single Detached Secondary Energy Use and GHG Emissions by Energy Source, 2015 Column</v>
      </c>
      <c r="BA9" s="2538"/>
      <c r="BB9" s="2539"/>
      <c r="BC9" s="2539"/>
      <c r="BD9" s="2539"/>
      <c r="BE9" s="2540"/>
      <c r="BF9" s="2499" t="str">
        <f>HYPERLINK("https://www.altagasutilities.com/sites/default/files/GCRR-TPTR-Rate-History_August-2019.xlsx", "AltaGas August 2019 GCRR TPTR Rate History")</f>
        <v>AltaGas August 2019 GCRR TPTR Rate History</v>
      </c>
      <c r="BG9" s="2574" t="str">
        <f>HYPERLINK("https://www.altagasutilities.com/sites/default/files/Historical-Rate-1_Jan-2019.xlsx", "AltaGas Rate History, Rate No. 1 - Small General Service, 'Variable Base Energy Charge' Row")</f>
        <v>AltaGas Rate History, Rate No. 1 - Small General Service, 'Variable Base Energy Charge' Row</v>
      </c>
      <c r="BH9" s="2574" t="str">
        <f>HYPERLINK("https://www.altagasutilities.com/sites/default/files/Historical-Rate-1_Jan-2019.xlsx", "AltaGas Rate History, Rate No. 1 - Small General Service, 'Fixed Distribution (Base) Charge' Row")</f>
        <v>AltaGas Rate History, Rate No. 1 - Small General Service, 'Fixed Distribution (Base) Charge' Row</v>
      </c>
      <c r="BI9" s="2583" t="str">
        <f>HYPERLINK("https://www2.auc.ab.ca/h004/Proceeding1423/ProceedingDocuments/2011-425-A_0033.PDF", "Decision 2011-425 AltaGas Utilities Inc., Page 26-28")</f>
        <v>Decision 2011-425 AltaGas Utilities Inc., Page 26-28</v>
      </c>
      <c r="BJ9" s="2590" t="str">
        <f>HYPERLINK("https://www2.auc.ab.ca/h005/Proceeding1589/ProceedingDocuments/2012-037-A_0018.PDF", "Decision 2012-037 Termination of Natural Gas Franchise Agreement with the Village of New Sarepta, Page 6,7")</f>
        <v>Decision 2012-037 Termination of Natural Gas Franchise Agreement with the Village of New Sarepta, Page 6,7</v>
      </c>
      <c r="BK9" s="2184" t="str">
        <f>HYPERLINK("http://www.auc.ab.ca/applications/decisions/Decisions/2011/2011-425.pdf", "AUC AltaGas November 2011 Rate Rider E Decision")</f>
        <v>AUC AltaGas November 2011 Rate Rider E Decision</v>
      </c>
      <c r="BL9" s="2191"/>
      <c r="BM9" s="2191"/>
      <c r="BN9" s="2579" t="str">
        <f>HYPERLINK("https://www.altagasutilities.com/sites/default/files/GCRR-TPTR-Rate-History_August-2019.xlsx", "AltaGas August 2019 GCRR TPTR Rate History")</f>
        <v>AltaGas August 2019 GCRR TPTR Rate History</v>
      </c>
      <c r="BO9" s="2435" t="str">
        <f>HYPERLINK("http://www.altagasutilities.com/sites/default/files/pdf/AUC-Decision-2013-395.pdf", "AUC AltaGas October 2013 Application for a Load Balancing Deferral Account and Rate Rider L Decision, Page 16")</f>
        <v>AUC AltaGas October 2013 Application for a Load Balancing Deferral Account and Rate Rider L Decision, Page 16</v>
      </c>
      <c r="BP9" s="2574" t="str">
        <f>HYPERLINK("https://www.altagasutilities.com/sites/default/files/Historical-Rate-1_Jan-2019.xlsx", "AltaGas Rate History, Rate No. 1 - Small General Service, 'Default Supply Provider Administration Fee' Row")</f>
        <v>AltaGas Rate History, Rate No. 1 - Small General Service, 'Default Supply Provider Administration Fee' Row</v>
      </c>
      <c r="BQ9" s="2562" t="str">
        <f>HYPERLINK("https://www.alberta.ca/about-tax-levy-rates-prescribed-interest-rates.aspx", "Government of Alberta, About Tax and Levy Rates and Prescribed Interest Rates, Carbon Levy Rates Table")</f>
        <v>Government of Alberta, About Tax and Levy Rates and Prescribed Interest Rates, Carbon Levy Rates Table</v>
      </c>
      <c r="BR9" s="2119" t="str">
        <f>HYPERLINK("http://www.cra-arc.gc.ca/tx/bsnss/tpcs/gst-tps/rts-eng.html", "Canada Revenue Agency Provincial Rates Table")</f>
        <v>Canada Revenue Agency Provincial Rates Table</v>
      </c>
      <c r="BS9" s="2122" t="str">
        <f>HYPERLINK("https://albertamsa.ca/", "Market Reporting &gt; Retail Statistics")</f>
        <v>Market Reporting &gt; Retail Statistics</v>
      </c>
      <c r="BT9" s="2123"/>
      <c r="BU9" s="2105" t="str">
        <f>HYPERLINK("http://oee.nrcan.gc.ca/corporate/statistics/neud/dpa/showTable.cfm?type=CP&amp;sector=res&amp;juris=ab&amp;rn=34&amp;page=0", "Natural Resources Canada Household Energy Consumption Data, Table 34: Single Detached Secondary Energy Use and GHG Emissions by Energy Source, 2015 Column")</f>
        <v>Natural Resources Canada Household Energy Consumption Data, Table 34: Single Detached Secondary Energy Use and GHG Emissions by Energy Source, 2015 Column</v>
      </c>
      <c r="BV9" s="2105" t="str">
        <f>HYPERLINK("http://oee.nrcan.gc.ca/corporate/statistics/neud/dpa/showTable.cfm?type=CP&amp;sector=res&amp;juris=ab&amp;rn=36&amp;page=0", "Natural Resources Canada Household Energy Consumption Data, Table 36: Single Attached Secondary Energy Use and GHG Emissions by Energy Source, 2015 Column")</f>
        <v>Natural Resources Canada Household Energy Consumption Data, Table 36: Single Attached Secondary Energy Use and GHG Emissions by Energy Source, 2015 Column</v>
      </c>
      <c r="BW9" s="2108" t="str">
        <f>HYPERLINK("http://oee.nrcan.gc.ca/corporate/statistics/neud/dpa/showTable.cfm?type=CP&amp;sector=res&amp;juris=ab&amp;rn=34&amp;page=0", "Natural Resources Canada Household Energy Consumption Data, Table 34: Single Detached Secondary Energy Use and GHG Emissions by Energy Source, 2015 Column")</f>
        <v>Natural Resources Canada Household Energy Consumption Data, Table 34: Single Detached Secondary Energy Use and GHG Emissions by Energy Source, 2015 Column</v>
      </c>
      <c r="BX9" s="2476"/>
      <c r="BY9" s="2477"/>
      <c r="BZ9" s="2477"/>
      <c r="CA9" s="2477"/>
      <c r="CB9" s="2478"/>
    </row>
    <row r="10" spans="1:104" ht="71.25" customHeight="1" x14ac:dyDescent="0.3">
      <c r="A10" s="2206"/>
      <c r="B10" s="2206"/>
      <c r="C10" s="2207"/>
      <c r="D10" s="1037">
        <v>40940</v>
      </c>
      <c r="E10" s="2500"/>
      <c r="F10" s="2106"/>
      <c r="G10" s="2106"/>
      <c r="H10" s="2200" t="str">
        <f>HYPERLINK("http://www.auc.ab.ca/regulatory_documents/ProceedingDocuments/2012/2012-107_Errata.pdf", "AUC Errata to Decision 2012-071, Page 20,21")</f>
        <v>AUC Errata to Decision 2012-071, Page 20,21</v>
      </c>
      <c r="I10" s="2219"/>
      <c r="J10" s="2106"/>
      <c r="K10" s="2106"/>
      <c r="L10" s="2106"/>
      <c r="M10" s="2106"/>
      <c r="N10" s="2106"/>
      <c r="O10" s="2227"/>
      <c r="P10" s="2228"/>
      <c r="Q10" s="2131"/>
      <c r="R10" s="2115"/>
      <c r="S10" s="2453"/>
      <c r="T10" s="2106"/>
      <c r="U10" s="2124"/>
      <c r="V10" s="2125"/>
      <c r="W10" s="2106"/>
      <c r="X10" s="2106"/>
      <c r="Y10" s="2109"/>
      <c r="Z10" s="2566"/>
      <c r="AA10" s="2567"/>
      <c r="AB10" s="2567"/>
      <c r="AC10" s="2567"/>
      <c r="AD10" s="2568"/>
      <c r="AE10" s="2500"/>
      <c r="AF10" s="2106"/>
      <c r="AG10" s="2106"/>
      <c r="AH10" s="2445" t="str">
        <f>HYPERLINK("http://www.auc.ab.ca/regulatory_documents/ProceedingDocuments/2012/2012-347.pdf", "AUC Decision 2012-347 Performance-Based Regulation Compliance Filings, Page 56")</f>
        <v>AUC Decision 2012-347 Performance-Based Regulation Compliance Filings, Page 56</v>
      </c>
      <c r="AI10" s="2549" t="str">
        <f>HYPERLINK("http://www.auc.ab.ca/regulatory_documents/ProceedingDocuments/2012/2012-347.pdf", "AUC Decision 2012-347 Performance-Based Regulation Compliance Filings, Page 57")</f>
        <v>AUC Decision 2012-347 Performance-Based Regulation Compliance Filings, Page 57</v>
      </c>
      <c r="AJ10" s="2106"/>
      <c r="AK10" s="2106"/>
      <c r="AL10" s="2106"/>
      <c r="AM10" s="2106"/>
      <c r="AN10" s="2106"/>
      <c r="AO10" s="2106"/>
      <c r="AP10" s="2227"/>
      <c r="AQ10" s="2228"/>
      <c r="AR10" s="2131"/>
      <c r="AS10" s="2135"/>
      <c r="AT10" s="2453"/>
      <c r="AU10" s="2106"/>
      <c r="AV10" s="2124"/>
      <c r="AW10" s="2125"/>
      <c r="AX10" s="2106"/>
      <c r="AY10" s="2106"/>
      <c r="AZ10" s="2109"/>
      <c r="BA10" s="2538"/>
      <c r="BB10" s="2539"/>
      <c r="BC10" s="2539"/>
      <c r="BD10" s="2539"/>
      <c r="BE10" s="2540"/>
      <c r="BF10" s="2577"/>
      <c r="BG10" s="2575"/>
      <c r="BH10" s="2575"/>
      <c r="BI10" s="2443"/>
      <c r="BJ10" s="2530"/>
      <c r="BK10" s="2184"/>
      <c r="BL10" s="2191"/>
      <c r="BM10" s="2191"/>
      <c r="BN10" s="2580"/>
      <c r="BO10" s="2436"/>
      <c r="BP10" s="2575"/>
      <c r="BQ10" s="2453"/>
      <c r="BR10" s="2120"/>
      <c r="BS10" s="2124"/>
      <c r="BT10" s="2125"/>
      <c r="BU10" s="2106"/>
      <c r="BV10" s="2106"/>
      <c r="BW10" s="2109"/>
      <c r="BX10" s="2476"/>
      <c r="BY10" s="2477"/>
      <c r="BZ10" s="2477"/>
      <c r="CA10" s="2477"/>
      <c r="CB10" s="2478"/>
    </row>
    <row r="11" spans="1:104" ht="65.25" customHeight="1" x14ac:dyDescent="0.3">
      <c r="A11" s="2206"/>
      <c r="B11" s="2206"/>
      <c r="C11" s="2207"/>
      <c r="D11" s="1037">
        <v>40969</v>
      </c>
      <c r="E11" s="2500"/>
      <c r="F11" s="2106"/>
      <c r="G11" s="2106"/>
      <c r="H11" s="2190" t="str">
        <f>HYPERLINK("http://www.auc.ab.ca/regulatory_documents/ProceedingDocuments/2012/2012-309%20(Errata).pdf", "AUC Errata to Decision 2012-309, Page 34,35")</f>
        <v>AUC Errata to Decision 2012-309, Page 34,35</v>
      </c>
      <c r="I11" s="2190"/>
      <c r="J11" s="2106"/>
      <c r="K11" s="2106"/>
      <c r="L11" s="2106"/>
      <c r="M11" s="2106"/>
      <c r="N11" s="2106"/>
      <c r="O11" s="2227"/>
      <c r="P11" s="2228"/>
      <c r="Q11" s="2131"/>
      <c r="R11" s="2115"/>
      <c r="S11" s="2453"/>
      <c r="T11" s="2106"/>
      <c r="U11" s="2124"/>
      <c r="V11" s="2125"/>
      <c r="W11" s="2106"/>
      <c r="X11" s="2106"/>
      <c r="Y11" s="2109"/>
      <c r="Z11" s="2566"/>
      <c r="AA11" s="2567"/>
      <c r="AB11" s="2567"/>
      <c r="AC11" s="2567"/>
      <c r="AD11" s="2568"/>
      <c r="AE11" s="2500"/>
      <c r="AF11" s="2106"/>
      <c r="AG11" s="2106"/>
      <c r="AH11" s="2445"/>
      <c r="AI11" s="2550"/>
      <c r="AJ11" s="2106"/>
      <c r="AK11" s="2106"/>
      <c r="AL11" s="2106"/>
      <c r="AM11" s="2106"/>
      <c r="AN11" s="2106"/>
      <c r="AO11" s="2106"/>
      <c r="AP11" s="2227"/>
      <c r="AQ11" s="2228"/>
      <c r="AR11" s="2131"/>
      <c r="AS11" s="2135"/>
      <c r="AT11" s="2453"/>
      <c r="AU11" s="2106"/>
      <c r="AV11" s="2124"/>
      <c r="AW11" s="2125"/>
      <c r="AX11" s="2106"/>
      <c r="AY11" s="2106"/>
      <c r="AZ11" s="2109"/>
      <c r="BA11" s="2538"/>
      <c r="BB11" s="2539"/>
      <c r="BC11" s="2539"/>
      <c r="BD11" s="2539"/>
      <c r="BE11" s="2540"/>
      <c r="BF11" s="2577"/>
      <c r="BG11" s="2575"/>
      <c r="BH11" s="2575"/>
      <c r="BI11" s="2443"/>
      <c r="BJ11" s="2530"/>
      <c r="BK11" s="2184"/>
      <c r="BL11" s="2191"/>
      <c r="BM11" s="2191"/>
      <c r="BN11" s="2580"/>
      <c r="BO11" s="2436"/>
      <c r="BP11" s="2575"/>
      <c r="BQ11" s="2453"/>
      <c r="BR11" s="2120"/>
      <c r="BS11" s="2124"/>
      <c r="BT11" s="2125"/>
      <c r="BU11" s="2106"/>
      <c r="BV11" s="2106"/>
      <c r="BW11" s="2109"/>
      <c r="BX11" s="2476"/>
      <c r="BY11" s="2477"/>
      <c r="BZ11" s="2477"/>
      <c r="CA11" s="2477"/>
      <c r="CB11" s="2478"/>
    </row>
    <row r="12" spans="1:104" ht="28.5" customHeight="1" x14ac:dyDescent="0.3">
      <c r="A12" s="2206"/>
      <c r="B12" s="2206"/>
      <c r="C12" s="2207"/>
      <c r="D12" s="1037">
        <v>41000</v>
      </c>
      <c r="E12" s="2500"/>
      <c r="F12" s="2106"/>
      <c r="G12" s="2106"/>
      <c r="H12" s="2191"/>
      <c r="I12" s="2191"/>
      <c r="J12" s="2106"/>
      <c r="K12" s="2106"/>
      <c r="L12" s="2106"/>
      <c r="M12" s="2106"/>
      <c r="N12" s="2106"/>
      <c r="O12" s="2227"/>
      <c r="P12" s="2228"/>
      <c r="Q12" s="2131"/>
      <c r="R12" s="2115"/>
      <c r="S12" s="2453"/>
      <c r="T12" s="2106"/>
      <c r="U12" s="2124"/>
      <c r="V12" s="2125"/>
      <c r="W12" s="2106"/>
      <c r="X12" s="2106"/>
      <c r="Y12" s="2109"/>
      <c r="Z12" s="2566"/>
      <c r="AA12" s="2567"/>
      <c r="AB12" s="2567"/>
      <c r="AC12" s="2567"/>
      <c r="AD12" s="2568"/>
      <c r="AE12" s="2500"/>
      <c r="AF12" s="2106"/>
      <c r="AG12" s="2106"/>
      <c r="AH12" s="2445"/>
      <c r="AI12" s="2550"/>
      <c r="AJ12" s="2106"/>
      <c r="AK12" s="2106"/>
      <c r="AL12" s="2106"/>
      <c r="AM12" s="2106"/>
      <c r="AN12" s="2106"/>
      <c r="AO12" s="2106"/>
      <c r="AP12" s="2227"/>
      <c r="AQ12" s="2228"/>
      <c r="AR12" s="2131"/>
      <c r="AS12" s="2135"/>
      <c r="AT12" s="2453"/>
      <c r="AU12" s="2106"/>
      <c r="AV12" s="2124"/>
      <c r="AW12" s="2125"/>
      <c r="AX12" s="2106"/>
      <c r="AY12" s="2106"/>
      <c r="AZ12" s="2109"/>
      <c r="BA12" s="2538"/>
      <c r="BB12" s="2539"/>
      <c r="BC12" s="2539"/>
      <c r="BD12" s="2539"/>
      <c r="BE12" s="2540"/>
      <c r="BF12" s="2577"/>
      <c r="BG12" s="2575"/>
      <c r="BH12" s="2575"/>
      <c r="BI12" s="2443"/>
      <c r="BJ12" s="2530"/>
      <c r="BK12" s="2184"/>
      <c r="BL12" s="2191"/>
      <c r="BM12" s="2191"/>
      <c r="BN12" s="2580"/>
      <c r="BO12" s="2436"/>
      <c r="BP12" s="2575"/>
      <c r="BQ12" s="2453"/>
      <c r="BR12" s="2120"/>
      <c r="BS12" s="2124"/>
      <c r="BT12" s="2125"/>
      <c r="BU12" s="2106"/>
      <c r="BV12" s="2106"/>
      <c r="BW12" s="2109"/>
      <c r="BX12" s="2476"/>
      <c r="BY12" s="2477"/>
      <c r="BZ12" s="2477"/>
      <c r="CA12" s="2477"/>
      <c r="CB12" s="2478"/>
    </row>
    <row r="13" spans="1:104" ht="31.5" customHeight="1" x14ac:dyDescent="0.3">
      <c r="A13" s="2206"/>
      <c r="B13" s="2206"/>
      <c r="C13" s="2207"/>
      <c r="D13" s="1037">
        <v>41030</v>
      </c>
      <c r="E13" s="2500"/>
      <c r="F13" s="2106"/>
      <c r="G13" s="2106"/>
      <c r="H13" s="2191"/>
      <c r="I13" s="2191"/>
      <c r="J13" s="2106"/>
      <c r="K13" s="2106"/>
      <c r="L13" s="2106"/>
      <c r="M13" s="2106"/>
      <c r="N13" s="2106"/>
      <c r="O13" s="2227"/>
      <c r="P13" s="2228"/>
      <c r="Q13" s="2131"/>
      <c r="R13" s="2115"/>
      <c r="S13" s="2453"/>
      <c r="T13" s="2106"/>
      <c r="U13" s="2124"/>
      <c r="V13" s="2125"/>
      <c r="W13" s="2106"/>
      <c r="X13" s="2106"/>
      <c r="Y13" s="2109"/>
      <c r="Z13" s="2566"/>
      <c r="AA13" s="2567"/>
      <c r="AB13" s="2567"/>
      <c r="AC13" s="2567"/>
      <c r="AD13" s="2568"/>
      <c r="AE13" s="2500"/>
      <c r="AF13" s="2106"/>
      <c r="AG13" s="2106"/>
      <c r="AH13" s="2445"/>
      <c r="AI13" s="2550"/>
      <c r="AJ13" s="2106"/>
      <c r="AK13" s="2106"/>
      <c r="AL13" s="2106"/>
      <c r="AM13" s="2106"/>
      <c r="AN13" s="2106"/>
      <c r="AO13" s="2106"/>
      <c r="AP13" s="2227"/>
      <c r="AQ13" s="2228"/>
      <c r="AR13" s="2131"/>
      <c r="AS13" s="2135"/>
      <c r="AT13" s="2453"/>
      <c r="AU13" s="2106"/>
      <c r="AV13" s="2124"/>
      <c r="AW13" s="2125"/>
      <c r="AX13" s="2106"/>
      <c r="AY13" s="2106"/>
      <c r="AZ13" s="2109"/>
      <c r="BA13" s="2538"/>
      <c r="BB13" s="2539"/>
      <c r="BC13" s="2539"/>
      <c r="BD13" s="2539"/>
      <c r="BE13" s="2540"/>
      <c r="BF13" s="2577"/>
      <c r="BG13" s="2575"/>
      <c r="BH13" s="2575"/>
      <c r="BI13" s="2443"/>
      <c r="BJ13" s="2530"/>
      <c r="BK13" s="2184"/>
      <c r="BL13" s="2191"/>
      <c r="BM13" s="2191"/>
      <c r="BN13" s="2580"/>
      <c r="BO13" s="2436"/>
      <c r="BP13" s="2575"/>
      <c r="BQ13" s="2453"/>
      <c r="BR13" s="2120"/>
      <c r="BS13" s="2124"/>
      <c r="BT13" s="2125"/>
      <c r="BU13" s="2106"/>
      <c r="BV13" s="2106"/>
      <c r="BW13" s="2109"/>
      <c r="BX13" s="2476"/>
      <c r="BY13" s="2477"/>
      <c r="BZ13" s="2477"/>
      <c r="CA13" s="2477"/>
      <c r="CB13" s="2478"/>
    </row>
    <row r="14" spans="1:104" ht="31.5" customHeight="1" x14ac:dyDescent="0.3">
      <c r="A14" s="2206"/>
      <c r="B14" s="2206"/>
      <c r="C14" s="2207"/>
      <c r="D14" s="1037">
        <v>41061</v>
      </c>
      <c r="E14" s="2500"/>
      <c r="F14" s="2106"/>
      <c r="G14" s="2106"/>
      <c r="H14" s="2191"/>
      <c r="I14" s="2191"/>
      <c r="J14" s="2106"/>
      <c r="K14" s="2106"/>
      <c r="L14" s="2106"/>
      <c r="M14" s="2106"/>
      <c r="N14" s="2106"/>
      <c r="O14" s="2227"/>
      <c r="P14" s="2228"/>
      <c r="Q14" s="2131"/>
      <c r="R14" s="2115"/>
      <c r="S14" s="2453"/>
      <c r="T14" s="2106"/>
      <c r="U14" s="2124"/>
      <c r="V14" s="2125"/>
      <c r="W14" s="2106"/>
      <c r="X14" s="2106"/>
      <c r="Y14" s="2109"/>
      <c r="Z14" s="2566"/>
      <c r="AA14" s="2567"/>
      <c r="AB14" s="2567"/>
      <c r="AC14" s="2567"/>
      <c r="AD14" s="2568"/>
      <c r="AE14" s="2500"/>
      <c r="AF14" s="2106"/>
      <c r="AG14" s="2106"/>
      <c r="AH14" s="2445"/>
      <c r="AI14" s="2550"/>
      <c r="AJ14" s="2106"/>
      <c r="AK14" s="2106"/>
      <c r="AL14" s="2106"/>
      <c r="AM14" s="2106"/>
      <c r="AN14" s="2106"/>
      <c r="AO14" s="2106"/>
      <c r="AP14" s="2227"/>
      <c r="AQ14" s="2228"/>
      <c r="AR14" s="2131"/>
      <c r="AS14" s="2135"/>
      <c r="AT14" s="2453"/>
      <c r="AU14" s="2106"/>
      <c r="AV14" s="2124"/>
      <c r="AW14" s="2125"/>
      <c r="AX14" s="2106"/>
      <c r="AY14" s="2106"/>
      <c r="AZ14" s="2109"/>
      <c r="BA14" s="2538"/>
      <c r="BB14" s="2539"/>
      <c r="BC14" s="2539"/>
      <c r="BD14" s="2539"/>
      <c r="BE14" s="2540"/>
      <c r="BF14" s="2577"/>
      <c r="BG14" s="2575"/>
      <c r="BH14" s="2575"/>
      <c r="BI14" s="2443"/>
      <c r="BJ14" s="2530"/>
      <c r="BK14" s="2184"/>
      <c r="BL14" s="2191"/>
      <c r="BM14" s="2191"/>
      <c r="BN14" s="2580"/>
      <c r="BO14" s="2436"/>
      <c r="BP14" s="2575"/>
      <c r="BQ14" s="2453"/>
      <c r="BR14" s="2120"/>
      <c r="BS14" s="2124"/>
      <c r="BT14" s="2125"/>
      <c r="BU14" s="2106"/>
      <c r="BV14" s="2106"/>
      <c r="BW14" s="2109"/>
      <c r="BX14" s="2476"/>
      <c r="BY14" s="2477"/>
      <c r="BZ14" s="2477"/>
      <c r="CA14" s="2477"/>
      <c r="CB14" s="2478"/>
    </row>
    <row r="15" spans="1:104" ht="34.5" customHeight="1" x14ac:dyDescent="0.3">
      <c r="A15" s="2206"/>
      <c r="B15" s="2206"/>
      <c r="C15" s="2207"/>
      <c r="D15" s="1037">
        <v>41091</v>
      </c>
      <c r="E15" s="2500"/>
      <c r="F15" s="2106"/>
      <c r="G15" s="2106"/>
      <c r="H15" s="2191"/>
      <c r="I15" s="2191"/>
      <c r="J15" s="2106"/>
      <c r="K15" s="2106"/>
      <c r="L15" s="2106"/>
      <c r="M15" s="2106"/>
      <c r="N15" s="2106"/>
      <c r="O15" s="2227"/>
      <c r="P15" s="2228"/>
      <c r="Q15" s="2131"/>
      <c r="R15" s="2115"/>
      <c r="S15" s="2453"/>
      <c r="T15" s="2106"/>
      <c r="U15" s="2124"/>
      <c r="V15" s="2125"/>
      <c r="W15" s="2106"/>
      <c r="X15" s="2106"/>
      <c r="Y15" s="2109"/>
      <c r="Z15" s="2566"/>
      <c r="AA15" s="2567"/>
      <c r="AB15" s="2567"/>
      <c r="AC15" s="2567"/>
      <c r="AD15" s="2568"/>
      <c r="AE15" s="2500"/>
      <c r="AF15" s="2106"/>
      <c r="AG15" s="2106"/>
      <c r="AH15" s="2445"/>
      <c r="AI15" s="2550"/>
      <c r="AJ15" s="2106"/>
      <c r="AK15" s="2106"/>
      <c r="AL15" s="2106"/>
      <c r="AM15" s="2106"/>
      <c r="AN15" s="2106"/>
      <c r="AO15" s="2106"/>
      <c r="AP15" s="2227"/>
      <c r="AQ15" s="2228"/>
      <c r="AR15" s="2131"/>
      <c r="AS15" s="2135"/>
      <c r="AT15" s="2453"/>
      <c r="AU15" s="2106"/>
      <c r="AV15" s="2124"/>
      <c r="AW15" s="2125"/>
      <c r="AX15" s="2106"/>
      <c r="AY15" s="2106"/>
      <c r="AZ15" s="2109"/>
      <c r="BA15" s="2538"/>
      <c r="BB15" s="2539"/>
      <c r="BC15" s="2539"/>
      <c r="BD15" s="2539"/>
      <c r="BE15" s="2540"/>
      <c r="BF15" s="2577"/>
      <c r="BG15" s="2575"/>
      <c r="BH15" s="2575"/>
      <c r="BI15" s="2443"/>
      <c r="BJ15" s="2530"/>
      <c r="BK15" s="2184"/>
      <c r="BL15" s="2191"/>
      <c r="BM15" s="2191"/>
      <c r="BN15" s="2580"/>
      <c r="BO15" s="2436"/>
      <c r="BP15" s="2575"/>
      <c r="BQ15" s="2453"/>
      <c r="BR15" s="2120"/>
      <c r="BS15" s="2124"/>
      <c r="BT15" s="2125"/>
      <c r="BU15" s="2106"/>
      <c r="BV15" s="2106"/>
      <c r="BW15" s="2109"/>
      <c r="BX15" s="2476"/>
      <c r="BY15" s="2477"/>
      <c r="BZ15" s="2477"/>
      <c r="CA15" s="2477"/>
      <c r="CB15" s="2478"/>
    </row>
    <row r="16" spans="1:104" ht="63.75" customHeight="1" x14ac:dyDescent="0.3">
      <c r="A16" s="2206"/>
      <c r="B16" s="2206"/>
      <c r="C16" s="2207"/>
      <c r="D16" s="1037">
        <v>41122</v>
      </c>
      <c r="E16" s="2500"/>
      <c r="F16" s="2106"/>
      <c r="G16" s="2106"/>
      <c r="H16" s="2192"/>
      <c r="I16" s="2192"/>
      <c r="J16" s="2106"/>
      <c r="K16" s="2106"/>
      <c r="L16" s="2106"/>
      <c r="M16" s="2106"/>
      <c r="N16" s="2106"/>
      <c r="O16" s="2227"/>
      <c r="P16" s="2228"/>
      <c r="Q16" s="2131"/>
      <c r="R16" s="2115"/>
      <c r="S16" s="2453"/>
      <c r="T16" s="2106"/>
      <c r="U16" s="2124"/>
      <c r="V16" s="2125"/>
      <c r="W16" s="2106"/>
      <c r="X16" s="2106"/>
      <c r="Y16" s="2109"/>
      <c r="Z16" s="2566"/>
      <c r="AA16" s="2567"/>
      <c r="AB16" s="2567"/>
      <c r="AC16" s="2567"/>
      <c r="AD16" s="2568"/>
      <c r="AE16" s="2500"/>
      <c r="AF16" s="2106"/>
      <c r="AG16" s="2106"/>
      <c r="AH16" s="2445"/>
      <c r="AI16" s="2550"/>
      <c r="AJ16" s="2106"/>
      <c r="AK16" s="2106"/>
      <c r="AL16" s="2106"/>
      <c r="AM16" s="2106"/>
      <c r="AN16" s="2106"/>
      <c r="AO16" s="2106"/>
      <c r="AP16" s="2227"/>
      <c r="AQ16" s="2228"/>
      <c r="AR16" s="2131"/>
      <c r="AS16" s="2135"/>
      <c r="AT16" s="2453"/>
      <c r="AU16" s="2106"/>
      <c r="AV16" s="2124"/>
      <c r="AW16" s="2125"/>
      <c r="AX16" s="2106"/>
      <c r="AY16" s="2106"/>
      <c r="AZ16" s="2109"/>
      <c r="BA16" s="2538"/>
      <c r="BB16" s="2539"/>
      <c r="BC16" s="2539"/>
      <c r="BD16" s="2539"/>
      <c r="BE16" s="2540"/>
      <c r="BF16" s="2577"/>
      <c r="BG16" s="2575"/>
      <c r="BH16" s="2575"/>
      <c r="BI16" s="2443"/>
      <c r="BJ16" s="2530"/>
      <c r="BK16" s="2184"/>
      <c r="BL16" s="2191"/>
      <c r="BM16" s="2191"/>
      <c r="BN16" s="2580"/>
      <c r="BO16" s="2436"/>
      <c r="BP16" s="2575"/>
      <c r="BQ16" s="2453"/>
      <c r="BR16" s="2120"/>
      <c r="BS16" s="2124"/>
      <c r="BT16" s="2125"/>
      <c r="BU16" s="2106"/>
      <c r="BV16" s="2106"/>
      <c r="BW16" s="2109"/>
      <c r="BX16" s="2476"/>
      <c r="BY16" s="2477"/>
      <c r="BZ16" s="2477"/>
      <c r="CA16" s="2477"/>
      <c r="CB16" s="2478"/>
    </row>
    <row r="17" spans="1:80" ht="36.75" customHeight="1" x14ac:dyDescent="0.3">
      <c r="A17" s="2206"/>
      <c r="B17" s="2206"/>
      <c r="C17" s="2207"/>
      <c r="D17" s="1037">
        <v>41153</v>
      </c>
      <c r="E17" s="2500"/>
      <c r="F17" s="2106"/>
      <c r="G17" s="2106"/>
      <c r="H17" s="2190" t="str">
        <f>HYPERLINK("http://www.auc.ab.ca/regulatory_documents/ProceedingDocuments/2012/2012-347.pdf", "AUC Decision 2012-347 2012 Performance-Based Regulation Compliance Filings, Page 42,43")</f>
        <v>AUC Decision 2012-347 2012 Performance-Based Regulation Compliance Filings, Page 42,43</v>
      </c>
      <c r="I17" s="2190"/>
      <c r="J17" s="2106"/>
      <c r="K17" s="2106"/>
      <c r="L17" s="2106"/>
      <c r="M17" s="2106"/>
      <c r="N17" s="2106"/>
      <c r="O17" s="2227"/>
      <c r="P17" s="2228"/>
      <c r="Q17" s="2131"/>
      <c r="R17" s="2115"/>
      <c r="S17" s="2453"/>
      <c r="T17" s="2106"/>
      <c r="U17" s="2124"/>
      <c r="V17" s="2125"/>
      <c r="W17" s="2106"/>
      <c r="X17" s="2106"/>
      <c r="Y17" s="2109"/>
      <c r="Z17" s="2566"/>
      <c r="AA17" s="2567"/>
      <c r="AB17" s="2567"/>
      <c r="AC17" s="2567"/>
      <c r="AD17" s="2568"/>
      <c r="AE17" s="2500"/>
      <c r="AF17" s="2106"/>
      <c r="AG17" s="2106"/>
      <c r="AH17" s="2445"/>
      <c r="AI17" s="2550"/>
      <c r="AJ17" s="2106"/>
      <c r="AK17" s="2106"/>
      <c r="AL17" s="2106"/>
      <c r="AM17" s="2106"/>
      <c r="AN17" s="2106"/>
      <c r="AO17" s="2106"/>
      <c r="AP17" s="2227"/>
      <c r="AQ17" s="2228"/>
      <c r="AR17" s="2131"/>
      <c r="AS17" s="2135"/>
      <c r="AT17" s="2453"/>
      <c r="AU17" s="2106"/>
      <c r="AV17" s="2124"/>
      <c r="AW17" s="2125"/>
      <c r="AX17" s="2106"/>
      <c r="AY17" s="2106"/>
      <c r="AZ17" s="2109"/>
      <c r="BA17" s="2538"/>
      <c r="BB17" s="2539"/>
      <c r="BC17" s="2539"/>
      <c r="BD17" s="2539"/>
      <c r="BE17" s="2540"/>
      <c r="BF17" s="2577"/>
      <c r="BG17" s="2575"/>
      <c r="BH17" s="2575"/>
      <c r="BI17" s="2443"/>
      <c r="BJ17" s="2530"/>
      <c r="BK17" s="2184"/>
      <c r="BL17" s="2191"/>
      <c r="BM17" s="2191"/>
      <c r="BN17" s="2580"/>
      <c r="BO17" s="2436"/>
      <c r="BP17" s="2575"/>
      <c r="BQ17" s="2453"/>
      <c r="BR17" s="2120"/>
      <c r="BS17" s="2124"/>
      <c r="BT17" s="2125"/>
      <c r="BU17" s="2106"/>
      <c r="BV17" s="2106"/>
      <c r="BW17" s="2109"/>
      <c r="BX17" s="2476"/>
      <c r="BY17" s="2477"/>
      <c r="BZ17" s="2477"/>
      <c r="CA17" s="2477"/>
      <c r="CB17" s="2478"/>
    </row>
    <row r="18" spans="1:80" ht="36" customHeight="1" x14ac:dyDescent="0.3">
      <c r="A18" s="2206"/>
      <c r="B18" s="2206"/>
      <c r="C18" s="2207"/>
      <c r="D18" s="1037">
        <v>41183</v>
      </c>
      <c r="E18" s="2500"/>
      <c r="F18" s="2106"/>
      <c r="G18" s="2106"/>
      <c r="H18" s="2191"/>
      <c r="I18" s="2191"/>
      <c r="J18" s="2106"/>
      <c r="K18" s="2106"/>
      <c r="L18" s="2106"/>
      <c r="M18" s="2106"/>
      <c r="N18" s="2106"/>
      <c r="O18" s="2227"/>
      <c r="P18" s="2228"/>
      <c r="Q18" s="2131"/>
      <c r="R18" s="2115"/>
      <c r="S18" s="2453"/>
      <c r="T18" s="2106"/>
      <c r="U18" s="2124"/>
      <c r="V18" s="2125"/>
      <c r="W18" s="2106"/>
      <c r="X18" s="2106"/>
      <c r="Y18" s="2109"/>
      <c r="Z18" s="2566"/>
      <c r="AA18" s="2567"/>
      <c r="AB18" s="2567"/>
      <c r="AC18" s="2567"/>
      <c r="AD18" s="2568"/>
      <c r="AE18" s="2500"/>
      <c r="AF18" s="2106"/>
      <c r="AG18" s="2106"/>
      <c r="AH18" s="2445"/>
      <c r="AI18" s="2550"/>
      <c r="AJ18" s="2106"/>
      <c r="AK18" s="2106"/>
      <c r="AL18" s="2106"/>
      <c r="AM18" s="2106"/>
      <c r="AN18" s="2106"/>
      <c r="AO18" s="2106"/>
      <c r="AP18" s="2227"/>
      <c r="AQ18" s="2228"/>
      <c r="AR18" s="2131"/>
      <c r="AS18" s="2135"/>
      <c r="AT18" s="2453"/>
      <c r="AU18" s="2106"/>
      <c r="AV18" s="2124"/>
      <c r="AW18" s="2125"/>
      <c r="AX18" s="2106"/>
      <c r="AY18" s="2106"/>
      <c r="AZ18" s="2109"/>
      <c r="BA18" s="2538"/>
      <c r="BB18" s="2539"/>
      <c r="BC18" s="2539"/>
      <c r="BD18" s="2539"/>
      <c r="BE18" s="2540"/>
      <c r="BF18" s="2577"/>
      <c r="BG18" s="2575"/>
      <c r="BH18" s="2575"/>
      <c r="BI18" s="2443"/>
      <c r="BJ18" s="2530"/>
      <c r="BK18" s="2184"/>
      <c r="BL18" s="2191"/>
      <c r="BM18" s="2191"/>
      <c r="BN18" s="2580"/>
      <c r="BO18" s="2436"/>
      <c r="BP18" s="2575"/>
      <c r="BQ18" s="2453"/>
      <c r="BR18" s="2120"/>
      <c r="BS18" s="2124"/>
      <c r="BT18" s="2125"/>
      <c r="BU18" s="2106"/>
      <c r="BV18" s="2106"/>
      <c r="BW18" s="2109"/>
      <c r="BX18" s="2476"/>
      <c r="BY18" s="2477"/>
      <c r="BZ18" s="2477"/>
      <c r="CA18" s="2477"/>
      <c r="CB18" s="2478"/>
    </row>
    <row r="19" spans="1:80" ht="36.75" customHeight="1" x14ac:dyDescent="0.3">
      <c r="A19" s="2206"/>
      <c r="B19" s="2206"/>
      <c r="C19" s="2207"/>
      <c r="D19" s="1037">
        <v>41214</v>
      </c>
      <c r="E19" s="2500"/>
      <c r="F19" s="2106"/>
      <c r="G19" s="2106"/>
      <c r="H19" s="2191"/>
      <c r="I19" s="2191"/>
      <c r="J19" s="2106"/>
      <c r="K19" s="2106"/>
      <c r="L19" s="2106"/>
      <c r="M19" s="2106"/>
      <c r="N19" s="2106"/>
      <c r="O19" s="2227"/>
      <c r="P19" s="2228"/>
      <c r="Q19" s="2131"/>
      <c r="R19" s="2115"/>
      <c r="S19" s="2453"/>
      <c r="T19" s="2106"/>
      <c r="U19" s="2124"/>
      <c r="V19" s="2125"/>
      <c r="W19" s="2106"/>
      <c r="X19" s="2106"/>
      <c r="Y19" s="2109"/>
      <c r="Z19" s="2566"/>
      <c r="AA19" s="2567"/>
      <c r="AB19" s="2567"/>
      <c r="AC19" s="2567"/>
      <c r="AD19" s="2568"/>
      <c r="AE19" s="2500"/>
      <c r="AF19" s="2106"/>
      <c r="AG19" s="2106"/>
      <c r="AH19" s="2445"/>
      <c r="AI19" s="2550"/>
      <c r="AJ19" s="2106"/>
      <c r="AK19" s="2106"/>
      <c r="AL19" s="2106"/>
      <c r="AM19" s="2106"/>
      <c r="AN19" s="2106"/>
      <c r="AO19" s="2106"/>
      <c r="AP19" s="2227"/>
      <c r="AQ19" s="2228"/>
      <c r="AR19" s="2131"/>
      <c r="AS19" s="2135"/>
      <c r="AT19" s="2453"/>
      <c r="AU19" s="2106"/>
      <c r="AV19" s="2124"/>
      <c r="AW19" s="2125"/>
      <c r="AX19" s="2106"/>
      <c r="AY19" s="2106"/>
      <c r="AZ19" s="2109"/>
      <c r="BA19" s="2538"/>
      <c r="BB19" s="2539"/>
      <c r="BC19" s="2539"/>
      <c r="BD19" s="2539"/>
      <c r="BE19" s="2540"/>
      <c r="BF19" s="2577"/>
      <c r="BG19" s="2575"/>
      <c r="BH19" s="2575"/>
      <c r="BI19" s="2443"/>
      <c r="BJ19" s="2530"/>
      <c r="BK19" s="2184"/>
      <c r="BL19" s="2191"/>
      <c r="BM19" s="2191"/>
      <c r="BN19" s="2580"/>
      <c r="BO19" s="2436"/>
      <c r="BP19" s="2575"/>
      <c r="BQ19" s="2453"/>
      <c r="BR19" s="2120"/>
      <c r="BS19" s="2124"/>
      <c r="BT19" s="2125"/>
      <c r="BU19" s="2106"/>
      <c r="BV19" s="2106"/>
      <c r="BW19" s="2109"/>
      <c r="BX19" s="2476"/>
      <c r="BY19" s="2477"/>
      <c r="BZ19" s="2477"/>
      <c r="CA19" s="2477"/>
      <c r="CB19" s="2478"/>
    </row>
    <row r="20" spans="1:80" ht="41.25" customHeight="1" x14ac:dyDescent="0.3">
      <c r="A20" s="2208"/>
      <c r="B20" s="2208"/>
      <c r="C20" s="2209"/>
      <c r="D20" s="1037">
        <v>41244</v>
      </c>
      <c r="E20" s="2500"/>
      <c r="F20" s="2106"/>
      <c r="G20" s="2106"/>
      <c r="H20" s="2191"/>
      <c r="I20" s="2191"/>
      <c r="J20" s="2106"/>
      <c r="K20" s="2106"/>
      <c r="L20" s="2106"/>
      <c r="M20" s="2106"/>
      <c r="N20" s="2106"/>
      <c r="O20" s="2227"/>
      <c r="P20" s="2228"/>
      <c r="Q20" s="2131"/>
      <c r="R20" s="2115"/>
      <c r="S20" s="2453"/>
      <c r="T20" s="2106"/>
      <c r="U20" s="2124"/>
      <c r="V20" s="2125"/>
      <c r="W20" s="2106"/>
      <c r="X20" s="2106"/>
      <c r="Y20" s="2109"/>
      <c r="Z20" s="2566"/>
      <c r="AA20" s="2567"/>
      <c r="AB20" s="2567"/>
      <c r="AC20" s="2567"/>
      <c r="AD20" s="2568"/>
      <c r="AE20" s="2500"/>
      <c r="AF20" s="2106"/>
      <c r="AG20" s="2106"/>
      <c r="AH20" s="2445"/>
      <c r="AI20" s="2550"/>
      <c r="AJ20" s="2106"/>
      <c r="AK20" s="2106"/>
      <c r="AL20" s="2106"/>
      <c r="AM20" s="2106"/>
      <c r="AN20" s="2106"/>
      <c r="AO20" s="2106"/>
      <c r="AP20" s="2227"/>
      <c r="AQ20" s="2228"/>
      <c r="AR20" s="2131"/>
      <c r="AS20" s="2135"/>
      <c r="AT20" s="2453"/>
      <c r="AU20" s="2106"/>
      <c r="AV20" s="2124"/>
      <c r="AW20" s="2125"/>
      <c r="AX20" s="2106"/>
      <c r="AY20" s="2106"/>
      <c r="AZ20" s="2109"/>
      <c r="BA20" s="2538"/>
      <c r="BB20" s="2539"/>
      <c r="BC20" s="2539"/>
      <c r="BD20" s="2539"/>
      <c r="BE20" s="2540"/>
      <c r="BF20" s="2577"/>
      <c r="BG20" s="2575"/>
      <c r="BH20" s="2575"/>
      <c r="BI20" s="2443"/>
      <c r="BJ20" s="2530"/>
      <c r="BK20" s="2186"/>
      <c r="BL20" s="2192"/>
      <c r="BM20" s="2192"/>
      <c r="BN20" s="2580"/>
      <c r="BO20" s="2436"/>
      <c r="BP20" s="2575"/>
      <c r="BQ20" s="2453"/>
      <c r="BR20" s="2120"/>
      <c r="BS20" s="2124"/>
      <c r="BT20" s="2125"/>
      <c r="BU20" s="2106"/>
      <c r="BV20" s="2106"/>
      <c r="BW20" s="2109"/>
      <c r="BX20" s="2476"/>
      <c r="BY20" s="2477"/>
      <c r="BZ20" s="2477"/>
      <c r="CA20" s="2477"/>
      <c r="CB20" s="2478"/>
    </row>
    <row r="21" spans="1:80" ht="40.5" customHeight="1" x14ac:dyDescent="0.3">
      <c r="A21" s="2204">
        <v>2013</v>
      </c>
      <c r="B21" s="2204"/>
      <c r="C21" s="2205"/>
      <c r="D21" s="1101">
        <v>41275</v>
      </c>
      <c r="E21" s="2500"/>
      <c r="F21" s="2106"/>
      <c r="G21" s="2106"/>
      <c r="H21" s="2192"/>
      <c r="I21" s="2192"/>
      <c r="J21" s="2106"/>
      <c r="K21" s="2106"/>
      <c r="L21" s="2106"/>
      <c r="M21" s="2106"/>
      <c r="N21" s="2106"/>
      <c r="O21" s="2227"/>
      <c r="P21" s="2228"/>
      <c r="Q21" s="2131"/>
      <c r="R21" s="2202" t="str">
        <f>HYPERLINK("http://directenergyregulatedservices.com/Documents/regulatory/january2013/121220_DERS_January_2013_Interim_North_DRT_Rate_Schedules.pdf", "Direct Energy Regulated Services ATCO Gas North January 2013 Interim Rate Schedules , Page 2")</f>
        <v>Direct Energy Regulated Services ATCO Gas North January 2013 Interim Rate Schedules , Page 2</v>
      </c>
      <c r="S21" s="2453"/>
      <c r="T21" s="2106"/>
      <c r="U21" s="2124"/>
      <c r="V21" s="2125"/>
      <c r="W21" s="2106"/>
      <c r="X21" s="2106"/>
      <c r="Y21" s="2109"/>
      <c r="Z21" s="2566"/>
      <c r="AA21" s="2567"/>
      <c r="AB21" s="2567"/>
      <c r="AC21" s="2567"/>
      <c r="AD21" s="2568"/>
      <c r="AE21" s="2500"/>
      <c r="AF21" s="2106"/>
      <c r="AG21" s="2106"/>
      <c r="AH21" s="2445"/>
      <c r="AI21" s="2550"/>
      <c r="AJ21" s="2106"/>
      <c r="AK21" s="2106"/>
      <c r="AL21" s="2106"/>
      <c r="AM21" s="2106"/>
      <c r="AN21" s="2106"/>
      <c r="AO21" s="2106"/>
      <c r="AP21" s="2227"/>
      <c r="AQ21" s="2228"/>
      <c r="AR21" s="2131"/>
      <c r="AS21" s="2436" t="str">
        <f>HYPERLINK("http://directenergyregulatedservices.com/Documents/regulatory/january2013/121220_DERS_January_2013_Interim_South_DRT_Rate_Schedules.pdf", "Direct Energy Regulated Services ATCO Gas South January 2013 Interim Rate Schedules , Page 2")</f>
        <v>Direct Energy Regulated Services ATCO Gas South January 2013 Interim Rate Schedules , Page 2</v>
      </c>
      <c r="AT21" s="2453"/>
      <c r="AU21" s="2106"/>
      <c r="AV21" s="2124"/>
      <c r="AW21" s="2125"/>
      <c r="AX21" s="2106"/>
      <c r="AY21" s="2106"/>
      <c r="AZ21" s="2109"/>
      <c r="BA21" s="2538"/>
      <c r="BB21" s="2539"/>
      <c r="BC21" s="2539"/>
      <c r="BD21" s="2539"/>
      <c r="BE21" s="2540"/>
      <c r="BF21" s="2577"/>
      <c r="BG21" s="2575"/>
      <c r="BH21" s="2575"/>
      <c r="BI21" s="2442" t="str">
        <f>HYPERLINK("http://www.auc.ab.ca/regulatory_documents/ProceedingDocuments/2015/20594-D01-2015.pdf", "AUC Disposition 20594-D01-2015 AltaGas Utilities Inc. and the Town of Morinville Franchise Agreement and Rate Rider 'A', Pages 33-35")</f>
        <v>AUC Disposition 20594-D01-2015 AltaGas Utilities Inc. and the Town of Morinville Franchise Agreement and Rate Rider 'A', Pages 33-35</v>
      </c>
      <c r="BJ21" s="2530" t="str">
        <f>HYPERLINK("http://www.auc.ab.ca/regulatory_documents/ProceedingDocuments/2012/2012-347.pdf", "AUC Decision 2012-347 2012 Performance-Based Regulation Compliance Filings, Page 19, 20")</f>
        <v>AUC Decision 2012-347 2012 Performance-Based Regulation Compliance Filings, Page 19, 20</v>
      </c>
      <c r="BK21" s="2219" t="str">
        <f>HYPERLINK("http://www.auc.ab.ca/applications/decisions/Decisions/2012/2012-347.pdf", "AUC AltaGas 2012 Performance-Based Regulation Compliance Filings Interim Rates Decision, Page 24")</f>
        <v>AUC AltaGas 2012 Performance-Based Regulation Compliance Filings Interim Rates Decision, Page 24</v>
      </c>
      <c r="BL21" s="2190"/>
      <c r="BM21" s="2190"/>
      <c r="BN21" s="2580"/>
      <c r="BO21" s="2436"/>
      <c r="BP21" s="2575"/>
      <c r="BQ21" s="2453"/>
      <c r="BR21" s="2120"/>
      <c r="BS21" s="2124"/>
      <c r="BT21" s="2125"/>
      <c r="BU21" s="2106"/>
      <c r="BV21" s="2106"/>
      <c r="BW21" s="2109"/>
      <c r="BX21" s="2476"/>
      <c r="BY21" s="2477"/>
      <c r="BZ21" s="2477"/>
      <c r="CA21" s="2477"/>
      <c r="CB21" s="2478"/>
    </row>
    <row r="22" spans="1:80" ht="34.5" customHeight="1" x14ac:dyDescent="0.3">
      <c r="A22" s="2206"/>
      <c r="B22" s="2206"/>
      <c r="C22" s="2207"/>
      <c r="D22" s="1037">
        <v>41306</v>
      </c>
      <c r="E22" s="2500"/>
      <c r="F22" s="2106"/>
      <c r="G22" s="2106"/>
      <c r="H22" s="2190" t="str">
        <f>HYPERLINK("https://www2.auc.ab.ca/h003/Proceeding2477/ProceedingDocuments/2013-112%202_0090.PDF", "AUC Decision 2013-112 2012 Performance-Based Regulation Second Compliance Filings, Page 359,360")</f>
        <v>AUC Decision 2013-112 2012 Performance-Based Regulation Second Compliance Filings, Page 359,360</v>
      </c>
      <c r="I22" s="2190"/>
      <c r="J22" s="2106"/>
      <c r="K22" s="2106"/>
      <c r="L22" s="2106"/>
      <c r="M22" s="2106"/>
      <c r="N22" s="2106"/>
      <c r="O22" s="2227"/>
      <c r="P22" s="2228"/>
      <c r="Q22" s="2131"/>
      <c r="R22" s="2106"/>
      <c r="S22" s="2453"/>
      <c r="T22" s="2106"/>
      <c r="U22" s="2124"/>
      <c r="V22" s="2125"/>
      <c r="W22" s="2106"/>
      <c r="X22" s="2106"/>
      <c r="Y22" s="2109"/>
      <c r="Z22" s="2566"/>
      <c r="AA22" s="2567"/>
      <c r="AB22" s="2567"/>
      <c r="AC22" s="2567"/>
      <c r="AD22" s="2568"/>
      <c r="AE22" s="2500"/>
      <c r="AF22" s="2106"/>
      <c r="AG22" s="2106"/>
      <c r="AH22" s="2445"/>
      <c r="AI22" s="2546" t="str">
        <f>HYPERLINK("https://www2.auc.ab.ca/h003/Proceeding2477/ProceedingDocuments/2013-112%202_0090.PDF", "AUC Decision 2013-112 2012 Performance-Based Regulation Second Compliance Filings, Page 375")</f>
        <v>AUC Decision 2013-112 2012 Performance-Based Regulation Second Compliance Filings, Page 375</v>
      </c>
      <c r="AJ22" s="2106"/>
      <c r="AK22" s="2106"/>
      <c r="AL22" s="2106"/>
      <c r="AM22" s="2106"/>
      <c r="AN22" s="2106"/>
      <c r="AO22" s="2106"/>
      <c r="AP22" s="2227"/>
      <c r="AQ22" s="2228"/>
      <c r="AR22" s="2131"/>
      <c r="AS22" s="2436"/>
      <c r="AT22" s="2453"/>
      <c r="AU22" s="2106"/>
      <c r="AV22" s="2124"/>
      <c r="AW22" s="2125"/>
      <c r="AX22" s="2106"/>
      <c r="AY22" s="2106"/>
      <c r="AZ22" s="2109"/>
      <c r="BA22" s="2538"/>
      <c r="BB22" s="2539"/>
      <c r="BC22" s="2539"/>
      <c r="BD22" s="2539"/>
      <c r="BE22" s="2540"/>
      <c r="BF22" s="2577"/>
      <c r="BG22" s="2575"/>
      <c r="BH22" s="2575"/>
      <c r="BI22" s="2443"/>
      <c r="BJ22" s="2530"/>
      <c r="BK22" s="2184"/>
      <c r="BL22" s="2191"/>
      <c r="BM22" s="2191"/>
      <c r="BN22" s="2580"/>
      <c r="BO22" s="2436"/>
      <c r="BP22" s="2575"/>
      <c r="BQ22" s="2453"/>
      <c r="BR22" s="2120"/>
      <c r="BS22" s="2124"/>
      <c r="BT22" s="2125"/>
      <c r="BU22" s="2106"/>
      <c r="BV22" s="2106"/>
      <c r="BW22" s="2109"/>
      <c r="BX22" s="2476"/>
      <c r="BY22" s="2477"/>
      <c r="BZ22" s="2477"/>
      <c r="CA22" s="2477"/>
      <c r="CB22" s="2478"/>
    </row>
    <row r="23" spans="1:80" ht="34.5" customHeight="1" x14ac:dyDescent="0.3">
      <c r="A23" s="2206"/>
      <c r="B23" s="2206"/>
      <c r="C23" s="2207"/>
      <c r="D23" s="1037">
        <v>41334</v>
      </c>
      <c r="E23" s="2500"/>
      <c r="F23" s="2106"/>
      <c r="G23" s="2106"/>
      <c r="H23" s="2191"/>
      <c r="I23" s="2191"/>
      <c r="J23" s="2106"/>
      <c r="K23" s="2106"/>
      <c r="L23" s="2106"/>
      <c r="M23" s="2106"/>
      <c r="N23" s="2106"/>
      <c r="O23" s="2227"/>
      <c r="P23" s="2228"/>
      <c r="Q23" s="2131"/>
      <c r="R23" s="2106"/>
      <c r="S23" s="2453"/>
      <c r="T23" s="2106"/>
      <c r="U23" s="2124"/>
      <c r="V23" s="2125"/>
      <c r="W23" s="2106"/>
      <c r="X23" s="2106"/>
      <c r="Y23" s="2109"/>
      <c r="Z23" s="2566"/>
      <c r="AA23" s="2567"/>
      <c r="AB23" s="2567"/>
      <c r="AC23" s="2567"/>
      <c r="AD23" s="2568"/>
      <c r="AE23" s="2500"/>
      <c r="AF23" s="2106"/>
      <c r="AG23" s="2106"/>
      <c r="AH23" s="2445"/>
      <c r="AI23" s="2547"/>
      <c r="AJ23" s="2106"/>
      <c r="AK23" s="2106"/>
      <c r="AL23" s="2106"/>
      <c r="AM23" s="2106"/>
      <c r="AN23" s="2106"/>
      <c r="AO23" s="2106"/>
      <c r="AP23" s="2227"/>
      <c r="AQ23" s="2228"/>
      <c r="AR23" s="2131"/>
      <c r="AS23" s="2436"/>
      <c r="AT23" s="2453"/>
      <c r="AU23" s="2106"/>
      <c r="AV23" s="2124"/>
      <c r="AW23" s="2125"/>
      <c r="AX23" s="2106"/>
      <c r="AY23" s="2106"/>
      <c r="AZ23" s="2109"/>
      <c r="BA23" s="2538"/>
      <c r="BB23" s="2539"/>
      <c r="BC23" s="2539"/>
      <c r="BD23" s="2539"/>
      <c r="BE23" s="2540"/>
      <c r="BF23" s="2577"/>
      <c r="BG23" s="2575"/>
      <c r="BH23" s="2575"/>
      <c r="BI23" s="2443"/>
      <c r="BJ23" s="2530"/>
      <c r="BK23" s="2186"/>
      <c r="BL23" s="2192"/>
      <c r="BM23" s="2192"/>
      <c r="BN23" s="2580"/>
      <c r="BO23" s="2436"/>
      <c r="BP23" s="2575"/>
      <c r="BQ23" s="2453"/>
      <c r="BR23" s="2120"/>
      <c r="BS23" s="2124"/>
      <c r="BT23" s="2125"/>
      <c r="BU23" s="2106"/>
      <c r="BV23" s="2106"/>
      <c r="BW23" s="2109"/>
      <c r="BX23" s="2476"/>
      <c r="BY23" s="2477"/>
      <c r="BZ23" s="2477"/>
      <c r="CA23" s="2477"/>
      <c r="CB23" s="2478"/>
    </row>
    <row r="24" spans="1:80" ht="66" customHeight="1" x14ac:dyDescent="0.3">
      <c r="A24" s="2206"/>
      <c r="B24" s="2206"/>
      <c r="C24" s="2207"/>
      <c r="D24" s="1037">
        <v>41365</v>
      </c>
      <c r="E24" s="2500"/>
      <c r="F24" s="2106"/>
      <c r="G24" s="2106"/>
      <c r="H24" s="2191"/>
      <c r="I24" s="2191"/>
      <c r="J24" s="2106"/>
      <c r="K24" s="2106"/>
      <c r="L24" s="2106"/>
      <c r="M24" s="2106"/>
      <c r="N24" s="2106"/>
      <c r="O24" s="2227"/>
      <c r="P24" s="2228"/>
      <c r="Q24" s="2131"/>
      <c r="R24" s="2106"/>
      <c r="S24" s="2453"/>
      <c r="T24" s="2106"/>
      <c r="U24" s="2124"/>
      <c r="V24" s="2125"/>
      <c r="W24" s="2106"/>
      <c r="X24" s="2106"/>
      <c r="Y24" s="2109"/>
      <c r="Z24" s="2566"/>
      <c r="AA24" s="2567"/>
      <c r="AB24" s="2567"/>
      <c r="AC24" s="2567"/>
      <c r="AD24" s="2568"/>
      <c r="AE24" s="2500"/>
      <c r="AF24" s="2106"/>
      <c r="AG24" s="2106"/>
      <c r="AH24" s="2572" t="str">
        <f>HYPERLINK("http://www.auc.ab.ca/regulatory_documents/ProceedingDocuments/2013/2013-143.pdf", "AUC ATCO Gas South April 2013 Chestermere Franchise Agreement, Page 37")</f>
        <v>AUC ATCO Gas South April 2013 Chestermere Franchise Agreement, Page 37</v>
      </c>
      <c r="AI24" s="2547"/>
      <c r="AJ24" s="2106"/>
      <c r="AK24" s="2106"/>
      <c r="AL24" s="2106"/>
      <c r="AM24" s="2106"/>
      <c r="AN24" s="2106"/>
      <c r="AO24" s="2106"/>
      <c r="AP24" s="2227"/>
      <c r="AQ24" s="2228"/>
      <c r="AR24" s="2131"/>
      <c r="AS24" s="2436"/>
      <c r="AT24" s="2453"/>
      <c r="AU24" s="2106"/>
      <c r="AV24" s="2124"/>
      <c r="AW24" s="2125"/>
      <c r="AX24" s="2106"/>
      <c r="AY24" s="2106"/>
      <c r="AZ24" s="2109"/>
      <c r="BA24" s="2538"/>
      <c r="BB24" s="2539"/>
      <c r="BC24" s="2539"/>
      <c r="BD24" s="2539"/>
      <c r="BE24" s="2540"/>
      <c r="BF24" s="2577"/>
      <c r="BG24" s="2575"/>
      <c r="BH24" s="2575"/>
      <c r="BI24" s="2443"/>
      <c r="BJ24" s="2530"/>
      <c r="BK24" s="2217" t="str">
        <f>HYPERLINK("http://www.auc.ab.ca/applications/decisions/Decisions/2013/2013-112.pdf", "AUC AltaGas April 2013 Performance-Based Regulation Second Compliance Filings Interim Rates Decision, Page 33")</f>
        <v>AUC AltaGas April 2013 Performance-Based Regulation Second Compliance Filings Interim Rates Decision, Page 33</v>
      </c>
      <c r="BL24" s="2135"/>
      <c r="BM24" s="2135"/>
      <c r="BN24" s="2580"/>
      <c r="BO24" s="2436"/>
      <c r="BP24" s="2575"/>
      <c r="BQ24" s="2453"/>
      <c r="BR24" s="2120"/>
      <c r="BS24" s="2124"/>
      <c r="BT24" s="2125"/>
      <c r="BU24" s="2106"/>
      <c r="BV24" s="2106"/>
      <c r="BW24" s="2109"/>
      <c r="BX24" s="2476"/>
      <c r="BY24" s="2477"/>
      <c r="BZ24" s="2477"/>
      <c r="CA24" s="2477"/>
      <c r="CB24" s="2478"/>
    </row>
    <row r="25" spans="1:80" ht="39.75" customHeight="1" x14ac:dyDescent="0.3">
      <c r="A25" s="2206"/>
      <c r="B25" s="2206"/>
      <c r="C25" s="2207"/>
      <c r="D25" s="1037">
        <v>41395</v>
      </c>
      <c r="E25" s="2500"/>
      <c r="F25" s="2106"/>
      <c r="G25" s="2106"/>
      <c r="H25" s="2191"/>
      <c r="I25" s="2191"/>
      <c r="J25" s="2106"/>
      <c r="K25" s="2106"/>
      <c r="L25" s="2106"/>
      <c r="M25" s="2106"/>
      <c r="N25" s="2106"/>
      <c r="O25" s="2227"/>
      <c r="P25" s="2228"/>
      <c r="Q25" s="2131"/>
      <c r="R25" s="2106"/>
      <c r="S25" s="2453"/>
      <c r="T25" s="2106"/>
      <c r="U25" s="2124"/>
      <c r="V25" s="2125"/>
      <c r="W25" s="2106"/>
      <c r="X25" s="2106"/>
      <c r="Y25" s="2109"/>
      <c r="Z25" s="2566"/>
      <c r="AA25" s="2567"/>
      <c r="AB25" s="2567"/>
      <c r="AC25" s="2567"/>
      <c r="AD25" s="2568"/>
      <c r="AE25" s="2500"/>
      <c r="AF25" s="2106"/>
      <c r="AG25" s="2106"/>
      <c r="AH25" s="2572"/>
      <c r="AI25" s="2547"/>
      <c r="AJ25" s="2106"/>
      <c r="AK25" s="2106"/>
      <c r="AL25" s="2106"/>
      <c r="AM25" s="2106"/>
      <c r="AN25" s="2106"/>
      <c r="AO25" s="2106"/>
      <c r="AP25" s="2227"/>
      <c r="AQ25" s="2228"/>
      <c r="AR25" s="2131"/>
      <c r="AS25" s="2436"/>
      <c r="AT25" s="2453"/>
      <c r="AU25" s="2106"/>
      <c r="AV25" s="2124"/>
      <c r="AW25" s="2125"/>
      <c r="AX25" s="2106"/>
      <c r="AY25" s="2106"/>
      <c r="AZ25" s="2109"/>
      <c r="BA25" s="2538"/>
      <c r="BB25" s="2539"/>
      <c r="BC25" s="2539"/>
      <c r="BD25" s="2539"/>
      <c r="BE25" s="2540"/>
      <c r="BF25" s="2577"/>
      <c r="BG25" s="2575"/>
      <c r="BH25" s="2575"/>
      <c r="BI25" s="2443"/>
      <c r="BJ25" s="2530"/>
      <c r="BK25" s="2115" t="str">
        <f>HYPERLINK("http://www.altagasutilities.com/sites/default/files/pdf/20695-D01-2015AltaGas2015NetDeficiencyan_0033.pdf", "AUC AltaGas 2015 Net Deficiency and Rider F Decision, Page 15 Table 5")</f>
        <v>AUC AltaGas 2015 Net Deficiency and Rider F Decision, Page 15 Table 5</v>
      </c>
      <c r="BL25" s="2115" t="str">
        <f>HYPERLINK("http://www.altagasutilities.com/sites/default/files/pdf/Decision_2013-160.PDF", "AUC AltaGas 2010-2012 Final Rates, 2012 Revenue Deficiency, 2012 Meter Reading Costs Refund and 2010-2012 General Rate Application Decision, Page 14")</f>
        <v>AUC AltaGas 2010-2012 Final Rates, 2012 Revenue Deficiency, 2012 Meter Reading Costs Refund and 2010-2012 General Rate Application Decision, Page 14</v>
      </c>
      <c r="BM25" s="2434" t="str">
        <f>HYPERLINK("https://www2.auc.ab.ca/h004/Proceeding2408/_layouts/download.aspx?SourceUrl=//www2.auc.ab.ca/h004/Proceeding2408%2fProceedingDocuments%2fAttachment_0026.xlsx", "AltaGas 2012 Deficiency Rider and 2012 GRA Phase II Compliance Filing, 'Deficiency Calc - May Impl.' Sheet, 'Recovery Percentage' Column")</f>
        <v>AltaGas 2012 Deficiency Rider and 2012 GRA Phase II Compliance Filing, 'Deficiency Calc - May Impl.' Sheet, 'Recovery Percentage' Column</v>
      </c>
      <c r="BN25" s="2580"/>
      <c r="BO25" s="2436"/>
      <c r="BP25" s="2575"/>
      <c r="BQ25" s="2453"/>
      <c r="BR25" s="2120"/>
      <c r="BS25" s="2124"/>
      <c r="BT25" s="2125"/>
      <c r="BU25" s="2106"/>
      <c r="BV25" s="2106"/>
      <c r="BW25" s="2109"/>
      <c r="BX25" s="2476"/>
      <c r="BY25" s="2477"/>
      <c r="BZ25" s="2477"/>
      <c r="CA25" s="2477"/>
      <c r="CB25" s="2478"/>
    </row>
    <row r="26" spans="1:80" ht="46.5" customHeight="1" x14ac:dyDescent="0.3">
      <c r="A26" s="2206"/>
      <c r="B26" s="2206"/>
      <c r="C26" s="2207"/>
      <c r="D26" s="1037">
        <v>41426</v>
      </c>
      <c r="E26" s="2500"/>
      <c r="F26" s="2106"/>
      <c r="G26" s="2106"/>
      <c r="H26" s="2191"/>
      <c r="I26" s="2191"/>
      <c r="J26" s="2106"/>
      <c r="K26" s="2106"/>
      <c r="L26" s="2106"/>
      <c r="M26" s="2106"/>
      <c r="N26" s="2106"/>
      <c r="O26" s="2227"/>
      <c r="P26" s="2228"/>
      <c r="Q26" s="2131"/>
      <c r="R26" s="2106"/>
      <c r="S26" s="2453"/>
      <c r="T26" s="2106"/>
      <c r="U26" s="2124"/>
      <c r="V26" s="2125"/>
      <c r="W26" s="2106"/>
      <c r="X26" s="2106"/>
      <c r="Y26" s="2109"/>
      <c r="Z26" s="2566"/>
      <c r="AA26" s="2567"/>
      <c r="AB26" s="2567"/>
      <c r="AC26" s="2567"/>
      <c r="AD26" s="2568"/>
      <c r="AE26" s="2500"/>
      <c r="AF26" s="2106"/>
      <c r="AG26" s="2106"/>
      <c r="AH26" s="2572"/>
      <c r="AI26" s="2547"/>
      <c r="AJ26" s="2106"/>
      <c r="AK26" s="2106"/>
      <c r="AL26" s="2106"/>
      <c r="AM26" s="2106"/>
      <c r="AN26" s="2106"/>
      <c r="AO26" s="2106"/>
      <c r="AP26" s="2227"/>
      <c r="AQ26" s="2228"/>
      <c r="AR26" s="2131"/>
      <c r="AS26" s="2436"/>
      <c r="AT26" s="2453"/>
      <c r="AU26" s="2106"/>
      <c r="AV26" s="2124"/>
      <c r="AW26" s="2125"/>
      <c r="AX26" s="2106"/>
      <c r="AY26" s="2106"/>
      <c r="AZ26" s="2109"/>
      <c r="BA26" s="2538"/>
      <c r="BB26" s="2539"/>
      <c r="BC26" s="2539"/>
      <c r="BD26" s="2539"/>
      <c r="BE26" s="2540"/>
      <c r="BF26" s="2577"/>
      <c r="BG26" s="2575"/>
      <c r="BH26" s="2575"/>
      <c r="BI26" s="2443"/>
      <c r="BJ26" s="2530"/>
      <c r="BK26" s="2199"/>
      <c r="BL26" s="2115"/>
      <c r="BM26" s="2434"/>
      <c r="BN26" s="2580"/>
      <c r="BO26" s="2436"/>
      <c r="BP26" s="2575"/>
      <c r="BQ26" s="2453"/>
      <c r="BR26" s="2120"/>
      <c r="BS26" s="2124"/>
      <c r="BT26" s="2125"/>
      <c r="BU26" s="2106"/>
      <c r="BV26" s="2106"/>
      <c r="BW26" s="2109"/>
      <c r="BX26" s="2476"/>
      <c r="BY26" s="2477"/>
      <c r="BZ26" s="2477"/>
      <c r="CA26" s="2477"/>
      <c r="CB26" s="2478"/>
    </row>
    <row r="27" spans="1:80" ht="63.75" customHeight="1" x14ac:dyDescent="0.3">
      <c r="A27" s="2206"/>
      <c r="B27" s="2206"/>
      <c r="C27" s="2207"/>
      <c r="D27" s="1037">
        <v>41456</v>
      </c>
      <c r="E27" s="2500"/>
      <c r="F27" s="2106"/>
      <c r="G27" s="2106"/>
      <c r="H27" s="2191"/>
      <c r="I27" s="2191"/>
      <c r="J27" s="2106"/>
      <c r="K27" s="2106"/>
      <c r="L27" s="2106"/>
      <c r="M27" s="2106"/>
      <c r="N27" s="2106"/>
      <c r="O27" s="2227"/>
      <c r="P27" s="2228"/>
      <c r="Q27" s="2131"/>
      <c r="R27" s="2106"/>
      <c r="S27" s="2453"/>
      <c r="T27" s="2106"/>
      <c r="U27" s="2124"/>
      <c r="V27" s="2125"/>
      <c r="W27" s="2106"/>
      <c r="X27" s="2106"/>
      <c r="Y27" s="2109"/>
      <c r="Z27" s="2566"/>
      <c r="AA27" s="2567"/>
      <c r="AB27" s="2567"/>
      <c r="AC27" s="2567"/>
      <c r="AD27" s="2568"/>
      <c r="AE27" s="2500"/>
      <c r="AF27" s="2106"/>
      <c r="AG27" s="2106"/>
      <c r="AH27" s="2572"/>
      <c r="AI27" s="2547"/>
      <c r="AJ27" s="2106"/>
      <c r="AK27" s="2106"/>
      <c r="AL27" s="2106"/>
      <c r="AM27" s="2106"/>
      <c r="AN27" s="2106"/>
      <c r="AO27" s="2106"/>
      <c r="AP27" s="2227"/>
      <c r="AQ27" s="2228"/>
      <c r="AR27" s="2131"/>
      <c r="AS27" s="2436"/>
      <c r="AT27" s="2453"/>
      <c r="AU27" s="2106"/>
      <c r="AV27" s="2124"/>
      <c r="AW27" s="2125"/>
      <c r="AX27" s="2106"/>
      <c r="AY27" s="2106"/>
      <c r="AZ27" s="2109"/>
      <c r="BA27" s="2538"/>
      <c r="BB27" s="2539"/>
      <c r="BC27" s="2539"/>
      <c r="BD27" s="2539"/>
      <c r="BE27" s="2540"/>
      <c r="BF27" s="2577"/>
      <c r="BG27" s="2575"/>
      <c r="BH27" s="2575"/>
      <c r="BI27" s="2443"/>
      <c r="BJ27" s="2530"/>
      <c r="BK27" s="2199"/>
      <c r="BL27" s="2115"/>
      <c r="BM27" s="2434"/>
      <c r="BN27" s="2580"/>
      <c r="BO27" s="2436"/>
      <c r="BP27" s="2575"/>
      <c r="BQ27" s="2453"/>
      <c r="BR27" s="2120"/>
      <c r="BS27" s="2124"/>
      <c r="BT27" s="2125"/>
      <c r="BU27" s="2106"/>
      <c r="BV27" s="2106"/>
      <c r="BW27" s="2109"/>
      <c r="BX27" s="2476"/>
      <c r="BY27" s="2477"/>
      <c r="BZ27" s="2477"/>
      <c r="CA27" s="2477"/>
      <c r="CB27" s="2478"/>
    </row>
    <row r="28" spans="1:80" ht="54" customHeight="1" x14ac:dyDescent="0.3">
      <c r="A28" s="2206"/>
      <c r="B28" s="2206"/>
      <c r="C28" s="2207"/>
      <c r="D28" s="1037">
        <v>41487</v>
      </c>
      <c r="E28" s="2500"/>
      <c r="F28" s="2106"/>
      <c r="G28" s="2106"/>
      <c r="H28" s="2191"/>
      <c r="I28" s="2191"/>
      <c r="J28" s="2106"/>
      <c r="K28" s="2106"/>
      <c r="L28" s="2106"/>
      <c r="M28" s="2106"/>
      <c r="N28" s="2106"/>
      <c r="O28" s="2227"/>
      <c r="P28" s="2228"/>
      <c r="Q28" s="2131"/>
      <c r="R28" s="2106"/>
      <c r="S28" s="2453"/>
      <c r="T28" s="2106"/>
      <c r="U28" s="2124"/>
      <c r="V28" s="2125"/>
      <c r="W28" s="2106"/>
      <c r="X28" s="2106"/>
      <c r="Y28" s="2109"/>
      <c r="Z28" s="2566"/>
      <c r="AA28" s="2567"/>
      <c r="AB28" s="2567"/>
      <c r="AC28" s="2567"/>
      <c r="AD28" s="2568"/>
      <c r="AE28" s="2500"/>
      <c r="AF28" s="2106"/>
      <c r="AG28" s="2106"/>
      <c r="AH28" s="2572"/>
      <c r="AI28" s="2547"/>
      <c r="AJ28" s="2106"/>
      <c r="AK28" s="2106"/>
      <c r="AL28" s="2106"/>
      <c r="AM28" s="2106"/>
      <c r="AN28" s="2106"/>
      <c r="AO28" s="2106"/>
      <c r="AP28" s="2227"/>
      <c r="AQ28" s="2228"/>
      <c r="AR28" s="2131"/>
      <c r="AS28" s="2436"/>
      <c r="AT28" s="2453"/>
      <c r="AU28" s="2106"/>
      <c r="AV28" s="2124"/>
      <c r="AW28" s="2125"/>
      <c r="AX28" s="2106"/>
      <c r="AY28" s="2106"/>
      <c r="AZ28" s="2109"/>
      <c r="BA28" s="2538"/>
      <c r="BB28" s="2539"/>
      <c r="BC28" s="2539"/>
      <c r="BD28" s="2539"/>
      <c r="BE28" s="2540"/>
      <c r="BF28" s="2577"/>
      <c r="BG28" s="2575"/>
      <c r="BH28" s="2575"/>
      <c r="BI28" s="2443"/>
      <c r="BJ28" s="2530"/>
      <c r="BK28" s="2199"/>
      <c r="BL28" s="2115"/>
      <c r="BM28" s="2434"/>
      <c r="BN28" s="2580"/>
      <c r="BO28" s="2436"/>
      <c r="BP28" s="2575"/>
      <c r="BQ28" s="2453"/>
      <c r="BR28" s="2120"/>
      <c r="BS28" s="2124"/>
      <c r="BT28" s="2125"/>
      <c r="BU28" s="2106"/>
      <c r="BV28" s="2106"/>
      <c r="BW28" s="2109"/>
      <c r="BX28" s="2476"/>
      <c r="BY28" s="2477"/>
      <c r="BZ28" s="2477"/>
      <c r="CA28" s="2477"/>
      <c r="CB28" s="2478"/>
    </row>
    <row r="29" spans="1:80" ht="33.75" customHeight="1" x14ac:dyDescent="0.3">
      <c r="A29" s="2206"/>
      <c r="B29" s="2206"/>
      <c r="C29" s="2207"/>
      <c r="D29" s="1037">
        <v>41518</v>
      </c>
      <c r="E29" s="2500"/>
      <c r="F29" s="2106"/>
      <c r="G29" s="2106"/>
      <c r="H29" s="2191"/>
      <c r="I29" s="2191"/>
      <c r="J29" s="2106"/>
      <c r="K29" s="2106"/>
      <c r="L29" s="2106"/>
      <c r="M29" s="2106"/>
      <c r="N29" s="2106"/>
      <c r="O29" s="2227"/>
      <c r="P29" s="2228"/>
      <c r="Q29" s="2131"/>
      <c r="R29" s="2106"/>
      <c r="S29" s="2453"/>
      <c r="T29" s="2106"/>
      <c r="U29" s="2124"/>
      <c r="V29" s="2125"/>
      <c r="W29" s="2106"/>
      <c r="X29" s="2106"/>
      <c r="Y29" s="2109"/>
      <c r="Z29" s="2566"/>
      <c r="AA29" s="2567"/>
      <c r="AB29" s="2567"/>
      <c r="AC29" s="2567"/>
      <c r="AD29" s="2568"/>
      <c r="AE29" s="2500"/>
      <c r="AF29" s="2106"/>
      <c r="AG29" s="2106"/>
      <c r="AH29" s="2572"/>
      <c r="AI29" s="2547"/>
      <c r="AJ29" s="2106"/>
      <c r="AK29" s="2106"/>
      <c r="AL29" s="2106"/>
      <c r="AM29" s="2106"/>
      <c r="AN29" s="2106"/>
      <c r="AO29" s="2106"/>
      <c r="AP29" s="2227"/>
      <c r="AQ29" s="2228"/>
      <c r="AR29" s="2131"/>
      <c r="AS29" s="2436"/>
      <c r="AT29" s="2453"/>
      <c r="AU29" s="2106"/>
      <c r="AV29" s="2124"/>
      <c r="AW29" s="2125"/>
      <c r="AX29" s="2106"/>
      <c r="AY29" s="2106"/>
      <c r="AZ29" s="2109"/>
      <c r="BA29" s="2538"/>
      <c r="BB29" s="2539"/>
      <c r="BC29" s="2539"/>
      <c r="BD29" s="2539"/>
      <c r="BE29" s="2540"/>
      <c r="BF29" s="2577"/>
      <c r="BG29" s="2575"/>
      <c r="BH29" s="2575"/>
      <c r="BI29" s="2443"/>
      <c r="BJ29" s="2530"/>
      <c r="BK29" s="2199"/>
      <c r="BL29" s="2115"/>
      <c r="BM29" s="2434"/>
      <c r="BN29" s="2580"/>
      <c r="BO29" s="2436"/>
      <c r="BP29" s="2575"/>
      <c r="BQ29" s="2453"/>
      <c r="BR29" s="2120"/>
      <c r="BS29" s="2124"/>
      <c r="BT29" s="2125"/>
      <c r="BU29" s="2106"/>
      <c r="BV29" s="2106"/>
      <c r="BW29" s="2109"/>
      <c r="BX29" s="2476"/>
      <c r="BY29" s="2477"/>
      <c r="BZ29" s="2477"/>
      <c r="CA29" s="2477"/>
      <c r="CB29" s="2478"/>
    </row>
    <row r="30" spans="1:80" ht="29.25" customHeight="1" x14ac:dyDescent="0.3">
      <c r="A30" s="2206"/>
      <c r="B30" s="2206"/>
      <c r="C30" s="2207"/>
      <c r="D30" s="1037">
        <v>41548</v>
      </c>
      <c r="E30" s="2500"/>
      <c r="F30" s="2106"/>
      <c r="G30" s="2106"/>
      <c r="H30" s="2191"/>
      <c r="I30" s="2191"/>
      <c r="J30" s="2106"/>
      <c r="K30" s="2106"/>
      <c r="L30" s="2106"/>
      <c r="M30" s="2106"/>
      <c r="N30" s="2106"/>
      <c r="O30" s="2227"/>
      <c r="P30" s="2228"/>
      <c r="Q30" s="2131"/>
      <c r="R30" s="2106"/>
      <c r="S30" s="2453"/>
      <c r="T30" s="2106"/>
      <c r="U30" s="2124"/>
      <c r="V30" s="2125"/>
      <c r="W30" s="2106"/>
      <c r="X30" s="2106"/>
      <c r="Y30" s="2109"/>
      <c r="Z30" s="2566"/>
      <c r="AA30" s="2567"/>
      <c r="AB30" s="2567"/>
      <c r="AC30" s="2567"/>
      <c r="AD30" s="2568"/>
      <c r="AE30" s="2500"/>
      <c r="AF30" s="2106"/>
      <c r="AG30" s="2106"/>
      <c r="AH30" s="2572"/>
      <c r="AI30" s="2547"/>
      <c r="AJ30" s="2106"/>
      <c r="AK30" s="2106"/>
      <c r="AL30" s="2106"/>
      <c r="AM30" s="2106"/>
      <c r="AN30" s="2106"/>
      <c r="AO30" s="2106"/>
      <c r="AP30" s="2227"/>
      <c r="AQ30" s="2228"/>
      <c r="AR30" s="2131"/>
      <c r="AS30" s="2436"/>
      <c r="AT30" s="2453"/>
      <c r="AU30" s="2106"/>
      <c r="AV30" s="2124"/>
      <c r="AW30" s="2125"/>
      <c r="AX30" s="2106"/>
      <c r="AY30" s="2106"/>
      <c r="AZ30" s="2109"/>
      <c r="BA30" s="2538"/>
      <c r="BB30" s="2539"/>
      <c r="BC30" s="2539"/>
      <c r="BD30" s="2539"/>
      <c r="BE30" s="2540"/>
      <c r="BF30" s="2577"/>
      <c r="BG30" s="2575"/>
      <c r="BH30" s="2575"/>
      <c r="BI30" s="2443"/>
      <c r="BJ30" s="2530"/>
      <c r="BK30" s="2199"/>
      <c r="BL30" s="2115"/>
      <c r="BM30" s="2434"/>
      <c r="BN30" s="2580"/>
      <c r="BO30" s="2436"/>
      <c r="BP30" s="2575"/>
      <c r="BQ30" s="2453"/>
      <c r="BR30" s="2120"/>
      <c r="BS30" s="2124"/>
      <c r="BT30" s="2125"/>
      <c r="BU30" s="2106"/>
      <c r="BV30" s="2106"/>
      <c r="BW30" s="2109"/>
      <c r="BX30" s="2476"/>
      <c r="BY30" s="2477"/>
      <c r="BZ30" s="2477"/>
      <c r="CA30" s="2477"/>
      <c r="CB30" s="2478"/>
    </row>
    <row r="31" spans="1:80" ht="34.5" customHeight="1" x14ac:dyDescent="0.3">
      <c r="A31" s="2206"/>
      <c r="B31" s="2206"/>
      <c r="C31" s="2207"/>
      <c r="D31" s="1037">
        <v>41579</v>
      </c>
      <c r="E31" s="2500"/>
      <c r="F31" s="2106"/>
      <c r="G31" s="2106"/>
      <c r="H31" s="2191"/>
      <c r="I31" s="2191"/>
      <c r="J31" s="2106"/>
      <c r="K31" s="2106"/>
      <c r="L31" s="2106"/>
      <c r="M31" s="2106"/>
      <c r="N31" s="2106"/>
      <c r="O31" s="2227"/>
      <c r="P31" s="2228"/>
      <c r="Q31" s="2131"/>
      <c r="R31" s="2106"/>
      <c r="S31" s="2453"/>
      <c r="T31" s="2106"/>
      <c r="U31" s="2124"/>
      <c r="V31" s="2125"/>
      <c r="W31" s="2106"/>
      <c r="X31" s="2106"/>
      <c r="Y31" s="2109"/>
      <c r="Z31" s="2566"/>
      <c r="AA31" s="2567"/>
      <c r="AB31" s="2567"/>
      <c r="AC31" s="2567"/>
      <c r="AD31" s="2568"/>
      <c r="AE31" s="2500"/>
      <c r="AF31" s="2106"/>
      <c r="AG31" s="2106"/>
      <c r="AH31" s="2572"/>
      <c r="AI31" s="2547"/>
      <c r="AJ31" s="2106"/>
      <c r="AK31" s="2106"/>
      <c r="AL31" s="2106"/>
      <c r="AM31" s="2106"/>
      <c r="AN31" s="2106"/>
      <c r="AO31" s="2106"/>
      <c r="AP31" s="2227"/>
      <c r="AQ31" s="2228"/>
      <c r="AR31" s="2131"/>
      <c r="AS31" s="2436"/>
      <c r="AT31" s="2453"/>
      <c r="AU31" s="2106"/>
      <c r="AV31" s="2124"/>
      <c r="AW31" s="2125"/>
      <c r="AX31" s="2106"/>
      <c r="AY31" s="2106"/>
      <c r="AZ31" s="2109"/>
      <c r="BA31" s="2538"/>
      <c r="BB31" s="2539"/>
      <c r="BC31" s="2539"/>
      <c r="BD31" s="2539"/>
      <c r="BE31" s="2540"/>
      <c r="BF31" s="2577"/>
      <c r="BG31" s="2575"/>
      <c r="BH31" s="2575"/>
      <c r="BI31" s="2443"/>
      <c r="BJ31" s="2530"/>
      <c r="BK31" s="2115" t="str">
        <f>HYPERLINK("http://www.altagasutilities.com/sites/default/files/pdf/Decision_2013-465.pdf", "AUC AltaGas 2014 Annual PBR Rate Adjustment Filing Decision, Page 62")</f>
        <v>AUC AltaGas 2014 Annual PBR Rate Adjustment Filing Decision, Page 62</v>
      </c>
      <c r="BL31" s="2115"/>
      <c r="BM31" s="2217"/>
      <c r="BN31" s="2580"/>
      <c r="BO31" s="2436"/>
      <c r="BP31" s="2575"/>
      <c r="BQ31" s="2453"/>
      <c r="BR31" s="2120"/>
      <c r="BS31" s="2124"/>
      <c r="BT31" s="2125"/>
      <c r="BU31" s="2106"/>
      <c r="BV31" s="2106"/>
      <c r="BW31" s="2109"/>
      <c r="BX31" s="2476"/>
      <c r="BY31" s="2477"/>
      <c r="BZ31" s="2477"/>
      <c r="CA31" s="2477"/>
      <c r="CB31" s="2478"/>
    </row>
    <row r="32" spans="1:80" ht="48.75" customHeight="1" x14ac:dyDescent="0.3">
      <c r="A32" s="2208"/>
      <c r="B32" s="2208"/>
      <c r="C32" s="2209"/>
      <c r="D32" s="1102">
        <v>41609</v>
      </c>
      <c r="E32" s="2500"/>
      <c r="F32" s="2106"/>
      <c r="G32" s="2106"/>
      <c r="H32" s="2191"/>
      <c r="I32" s="2191"/>
      <c r="J32" s="2106"/>
      <c r="K32" s="2106"/>
      <c r="L32" s="2106"/>
      <c r="M32" s="2106"/>
      <c r="N32" s="2106"/>
      <c r="O32" s="2227"/>
      <c r="P32" s="2228"/>
      <c r="Q32" s="2131"/>
      <c r="R32" s="2106"/>
      <c r="S32" s="2453"/>
      <c r="T32" s="2106"/>
      <c r="U32" s="2124"/>
      <c r="V32" s="2125"/>
      <c r="W32" s="2106"/>
      <c r="X32" s="2106"/>
      <c r="Y32" s="2109"/>
      <c r="Z32" s="2566"/>
      <c r="AA32" s="2567"/>
      <c r="AB32" s="2567"/>
      <c r="AC32" s="2567"/>
      <c r="AD32" s="2568"/>
      <c r="AE32" s="2500"/>
      <c r="AF32" s="2106"/>
      <c r="AG32" s="2106"/>
      <c r="AH32" s="2572"/>
      <c r="AI32" s="2547"/>
      <c r="AJ32" s="2106"/>
      <c r="AK32" s="2106"/>
      <c r="AL32" s="2106"/>
      <c r="AM32" s="2106"/>
      <c r="AN32" s="2106"/>
      <c r="AO32" s="2106"/>
      <c r="AP32" s="2227"/>
      <c r="AQ32" s="2228"/>
      <c r="AR32" s="2131"/>
      <c r="AS32" s="2436"/>
      <c r="AT32" s="2453"/>
      <c r="AU32" s="2106"/>
      <c r="AV32" s="2124"/>
      <c r="AW32" s="2125"/>
      <c r="AX32" s="2106"/>
      <c r="AY32" s="2106"/>
      <c r="AZ32" s="2109"/>
      <c r="BA32" s="2538"/>
      <c r="BB32" s="2539"/>
      <c r="BC32" s="2539"/>
      <c r="BD32" s="2539"/>
      <c r="BE32" s="2540"/>
      <c r="BF32" s="2577"/>
      <c r="BG32" s="2575"/>
      <c r="BH32" s="2575"/>
      <c r="BI32" s="2443"/>
      <c r="BJ32" s="2530"/>
      <c r="BK32" s="2115"/>
      <c r="BL32" s="2115"/>
      <c r="BM32" s="2217"/>
      <c r="BN32" s="2580"/>
      <c r="BO32" s="2436"/>
      <c r="BP32" s="2575"/>
      <c r="BQ32" s="2453"/>
      <c r="BR32" s="2120"/>
      <c r="BS32" s="2124"/>
      <c r="BT32" s="2125"/>
      <c r="BU32" s="2106"/>
      <c r="BV32" s="2106"/>
      <c r="BW32" s="2109"/>
      <c r="BX32" s="2476"/>
      <c r="BY32" s="2477"/>
      <c r="BZ32" s="2477"/>
      <c r="CA32" s="2477"/>
      <c r="CB32" s="2478"/>
    </row>
    <row r="33" spans="1:80" ht="44.25" customHeight="1" x14ac:dyDescent="0.3">
      <c r="A33" s="2204">
        <v>2014</v>
      </c>
      <c r="B33" s="2204"/>
      <c r="C33" s="2205"/>
      <c r="D33" s="1101">
        <v>41640</v>
      </c>
      <c r="E33" s="2500"/>
      <c r="F33" s="2106"/>
      <c r="G33" s="2106"/>
      <c r="H33" s="2192"/>
      <c r="I33" s="2192"/>
      <c r="J33" s="2106"/>
      <c r="K33" s="2106"/>
      <c r="L33" s="2106"/>
      <c r="M33" s="2106"/>
      <c r="N33" s="2106"/>
      <c r="O33" s="2227"/>
      <c r="P33" s="2228"/>
      <c r="Q33" s="2131"/>
      <c r="R33" s="2107"/>
      <c r="S33" s="2453"/>
      <c r="T33" s="2106"/>
      <c r="U33" s="2124"/>
      <c r="V33" s="2125"/>
      <c r="W33" s="2106"/>
      <c r="X33" s="2106"/>
      <c r="Y33" s="2109"/>
      <c r="Z33" s="2566"/>
      <c r="AA33" s="2567"/>
      <c r="AB33" s="2567"/>
      <c r="AC33" s="2567"/>
      <c r="AD33" s="2568"/>
      <c r="AE33" s="2500"/>
      <c r="AF33" s="2106"/>
      <c r="AG33" s="2106"/>
      <c r="AH33" s="2445" t="str">
        <f>HYPERLINK("http://www.auc.ab.ca/regulatory_documents/ProceedingDocuments/2014/2014-066.pdf", "AUC Decision 2014-066 Franchise Agreement with ATCO Gas and Pipelines Ltd. And Amendment to Rider A, Page 36")</f>
        <v>AUC Decision 2014-066 Franchise Agreement with ATCO Gas and Pipelines Ltd. And Amendment to Rider A, Page 36</v>
      </c>
      <c r="AI33" s="2548"/>
      <c r="AJ33" s="2106"/>
      <c r="AK33" s="2106"/>
      <c r="AL33" s="2106"/>
      <c r="AM33" s="2106"/>
      <c r="AN33" s="2106"/>
      <c r="AO33" s="2106"/>
      <c r="AP33" s="2227"/>
      <c r="AQ33" s="2228"/>
      <c r="AR33" s="2131"/>
      <c r="AS33" s="2436"/>
      <c r="AT33" s="2453"/>
      <c r="AU33" s="2106"/>
      <c r="AV33" s="2124"/>
      <c r="AW33" s="2125"/>
      <c r="AX33" s="2106"/>
      <c r="AY33" s="2106"/>
      <c r="AZ33" s="2109"/>
      <c r="BA33" s="2538"/>
      <c r="BB33" s="2539"/>
      <c r="BC33" s="2539"/>
      <c r="BD33" s="2539"/>
      <c r="BE33" s="2540"/>
      <c r="BF33" s="2577"/>
      <c r="BG33" s="2575"/>
      <c r="BH33" s="2575"/>
      <c r="BI33" s="2443"/>
      <c r="BJ33" s="2530"/>
      <c r="BK33" s="2115"/>
      <c r="BL33" s="2115"/>
      <c r="BM33" s="2217"/>
      <c r="BN33" s="2580"/>
      <c r="BO33" s="2436" t="str">
        <f>HYPERLINK("http://www.altagasutilities.com/sites/default/files/pdf/Decision_2013-465.pdf", "AUC AltaGas 2014 Annual PBR Rate Adjustment Filing Decision")</f>
        <v>AUC AltaGas 2014 Annual PBR Rate Adjustment Filing Decision</v>
      </c>
      <c r="BP33" s="2575"/>
      <c r="BQ33" s="2453"/>
      <c r="BR33" s="2120"/>
      <c r="BS33" s="2124"/>
      <c r="BT33" s="2125"/>
      <c r="BU33" s="2106"/>
      <c r="BV33" s="2106"/>
      <c r="BW33" s="2109"/>
      <c r="BX33" s="2476"/>
      <c r="BY33" s="2477"/>
      <c r="BZ33" s="2477"/>
      <c r="CA33" s="2477"/>
      <c r="CB33" s="2478"/>
    </row>
    <row r="34" spans="1:80" ht="45.75" customHeight="1" x14ac:dyDescent="0.3">
      <c r="A34" s="2206"/>
      <c r="B34" s="2206"/>
      <c r="C34" s="2207"/>
      <c r="D34" s="1037">
        <v>41671</v>
      </c>
      <c r="E34" s="2500"/>
      <c r="F34" s="2106"/>
      <c r="G34" s="2106"/>
      <c r="H34" s="2190" t="str">
        <f>HYPERLINK("https://www.trackenergyregs.ca/cga/abuc/en/71114/1/document.do", "AUC Decision 2014-062  2014 Transmission Service Charge (Rider T), Page 24,25")</f>
        <v>AUC Decision 2014-062  2014 Transmission Service Charge (Rider T), Page 24,25</v>
      </c>
      <c r="I34" s="2190"/>
      <c r="J34" s="2106"/>
      <c r="K34" s="2106"/>
      <c r="L34" s="2106"/>
      <c r="M34" s="2106"/>
      <c r="N34" s="2106"/>
      <c r="O34" s="2227"/>
      <c r="P34" s="2228"/>
      <c r="Q34" s="2131"/>
      <c r="R34" s="2115" t="str">
        <f>HYPERLINK("http://www.directenergyregulatedservices.com/Documents/regulatory/february2014/140127_DERS_February_2014%20Interim%20North%20DRT%20Rate%20Schedules.pdf", "Direct Energy Regulated Services ATCO Gas North February 2014 Interim Rate Schedules , Page 2")</f>
        <v>Direct Energy Regulated Services ATCO Gas North February 2014 Interim Rate Schedules , Page 2</v>
      </c>
      <c r="S34" s="2453"/>
      <c r="T34" s="2106"/>
      <c r="U34" s="2124"/>
      <c r="V34" s="2125"/>
      <c r="W34" s="2106"/>
      <c r="X34" s="2106"/>
      <c r="Y34" s="2109"/>
      <c r="Z34" s="2566"/>
      <c r="AA34" s="2567"/>
      <c r="AB34" s="2567"/>
      <c r="AC34" s="2567"/>
      <c r="AD34" s="2568"/>
      <c r="AE34" s="2500"/>
      <c r="AF34" s="2106"/>
      <c r="AG34" s="2106"/>
      <c r="AH34" s="2445"/>
      <c r="AI34" s="2531" t="str">
        <f>HYPERLINK("http://www.auc.ab.ca/regulatory_documents/ProceedingDocuments/2014/2014-066.pdf", "AUC Decision 2014-066 Franchise Agreement with ATCO Gas and Pipelines Ltd. And Amendment to Rider A, Page 37")</f>
        <v>AUC Decision 2014-066 Franchise Agreement with ATCO Gas and Pipelines Ltd. And Amendment to Rider A, Page 37</v>
      </c>
      <c r="AJ34" s="2106"/>
      <c r="AK34" s="2106"/>
      <c r="AL34" s="2106"/>
      <c r="AM34" s="2106"/>
      <c r="AN34" s="2106"/>
      <c r="AO34" s="2106"/>
      <c r="AP34" s="2227"/>
      <c r="AQ34" s="2228"/>
      <c r="AR34" s="2131"/>
      <c r="AS34" s="2190" t="str">
        <f>HYPERLINK("http://www.directenergyregulatedservices.com/Documents/regulatory/february2014/140127_DERS_February_2014%20Interim%20South%20DRT%20Rate%20Schedules.pdf", "Direct Energy Regulated Services ATCO Gas South February 2014 Interim Rate Schedules , Page 2")</f>
        <v>Direct Energy Regulated Services ATCO Gas South February 2014 Interim Rate Schedules , Page 2</v>
      </c>
      <c r="AT34" s="2453"/>
      <c r="AU34" s="2106"/>
      <c r="AV34" s="2124"/>
      <c r="AW34" s="2125"/>
      <c r="AX34" s="2106"/>
      <c r="AY34" s="2106"/>
      <c r="AZ34" s="2109"/>
      <c r="BA34" s="2538"/>
      <c r="BB34" s="2539"/>
      <c r="BC34" s="2539"/>
      <c r="BD34" s="2539"/>
      <c r="BE34" s="2540"/>
      <c r="BF34" s="2577"/>
      <c r="BG34" s="2575"/>
      <c r="BH34" s="2575"/>
      <c r="BI34" s="2443"/>
      <c r="BJ34" s="2530"/>
      <c r="BK34" s="2115"/>
      <c r="BL34" s="2115"/>
      <c r="BM34" s="2217"/>
      <c r="BN34" s="2580"/>
      <c r="BO34" s="2437"/>
      <c r="BP34" s="2575"/>
      <c r="BQ34" s="2453"/>
      <c r="BR34" s="2120"/>
      <c r="BS34" s="2124"/>
      <c r="BT34" s="2125"/>
      <c r="BU34" s="2106"/>
      <c r="BV34" s="2106"/>
      <c r="BW34" s="2109"/>
      <c r="BX34" s="2476"/>
      <c r="BY34" s="2477"/>
      <c r="BZ34" s="2477"/>
      <c r="CA34" s="2477"/>
      <c r="CB34" s="2478"/>
    </row>
    <row r="35" spans="1:80" ht="45.75" customHeight="1" x14ac:dyDescent="0.3">
      <c r="A35" s="2206"/>
      <c r="B35" s="2206"/>
      <c r="C35" s="2207"/>
      <c r="D35" s="1037">
        <v>41699</v>
      </c>
      <c r="E35" s="2500"/>
      <c r="F35" s="2106"/>
      <c r="G35" s="2106"/>
      <c r="H35" s="2191"/>
      <c r="I35" s="2191"/>
      <c r="J35" s="2106"/>
      <c r="K35" s="2106"/>
      <c r="L35" s="2106"/>
      <c r="M35" s="2106"/>
      <c r="N35" s="2106"/>
      <c r="O35" s="2227"/>
      <c r="P35" s="2228"/>
      <c r="Q35" s="2131"/>
      <c r="R35" s="2115"/>
      <c r="S35" s="2453"/>
      <c r="T35" s="2106"/>
      <c r="U35" s="2124"/>
      <c r="V35" s="2125"/>
      <c r="W35" s="2106"/>
      <c r="X35" s="2106"/>
      <c r="Y35" s="2109"/>
      <c r="Z35" s="2566"/>
      <c r="AA35" s="2567"/>
      <c r="AB35" s="2567"/>
      <c r="AC35" s="2567"/>
      <c r="AD35" s="2568"/>
      <c r="AE35" s="2500"/>
      <c r="AF35" s="2106"/>
      <c r="AG35" s="2106"/>
      <c r="AH35" s="2445"/>
      <c r="AI35" s="2531"/>
      <c r="AJ35" s="2106"/>
      <c r="AK35" s="2106"/>
      <c r="AL35" s="2106"/>
      <c r="AM35" s="2106"/>
      <c r="AN35" s="2106"/>
      <c r="AO35" s="2106"/>
      <c r="AP35" s="2227"/>
      <c r="AQ35" s="2228"/>
      <c r="AR35" s="2131"/>
      <c r="AS35" s="2191"/>
      <c r="AT35" s="2453"/>
      <c r="AU35" s="2106"/>
      <c r="AV35" s="2124"/>
      <c r="AW35" s="2125"/>
      <c r="AX35" s="2106"/>
      <c r="AY35" s="2106"/>
      <c r="AZ35" s="2109"/>
      <c r="BA35" s="2538"/>
      <c r="BB35" s="2539"/>
      <c r="BC35" s="2539"/>
      <c r="BD35" s="2539"/>
      <c r="BE35" s="2540"/>
      <c r="BF35" s="2577"/>
      <c r="BG35" s="2575"/>
      <c r="BH35" s="2575"/>
      <c r="BI35" s="2443"/>
      <c r="BJ35" s="2530"/>
      <c r="BK35" s="2115"/>
      <c r="BL35" s="2115"/>
      <c r="BM35" s="2217"/>
      <c r="BN35" s="2580"/>
      <c r="BO35" s="2437"/>
      <c r="BP35" s="2575"/>
      <c r="BQ35" s="2453"/>
      <c r="BR35" s="2120"/>
      <c r="BS35" s="2124"/>
      <c r="BT35" s="2125"/>
      <c r="BU35" s="2106"/>
      <c r="BV35" s="2106"/>
      <c r="BW35" s="2109"/>
      <c r="BX35" s="2476"/>
      <c r="BY35" s="2477"/>
      <c r="BZ35" s="2477"/>
      <c r="CA35" s="2477"/>
      <c r="CB35" s="2478"/>
    </row>
    <row r="36" spans="1:80" ht="76.5" customHeight="1" x14ac:dyDescent="0.3">
      <c r="A36" s="2206"/>
      <c r="B36" s="2206"/>
      <c r="C36" s="2207"/>
      <c r="D36" s="1037">
        <v>41730</v>
      </c>
      <c r="E36" s="2500"/>
      <c r="F36" s="2106"/>
      <c r="G36" s="2106"/>
      <c r="H36" s="2191"/>
      <c r="I36" s="2191"/>
      <c r="J36" s="2106"/>
      <c r="K36" s="2106"/>
      <c r="L36" s="2106"/>
      <c r="M36" s="2106"/>
      <c r="N36" s="2106"/>
      <c r="O36" s="2227"/>
      <c r="P36" s="2228"/>
      <c r="Q36" s="2131"/>
      <c r="R36" s="2115"/>
      <c r="S36" s="2453"/>
      <c r="T36" s="2106"/>
      <c r="U36" s="2124"/>
      <c r="V36" s="2125"/>
      <c r="W36" s="2106"/>
      <c r="X36" s="2106"/>
      <c r="Y36" s="2109"/>
      <c r="Z36" s="2566"/>
      <c r="AA36" s="2567"/>
      <c r="AB36" s="2567"/>
      <c r="AC36" s="2567"/>
      <c r="AD36" s="2568"/>
      <c r="AE36" s="2500"/>
      <c r="AF36" s="2106"/>
      <c r="AG36" s="2106"/>
      <c r="AH36" s="2445"/>
      <c r="AI36" s="2531"/>
      <c r="AJ36" s="2106"/>
      <c r="AK36" s="2106"/>
      <c r="AL36" s="2106"/>
      <c r="AM36" s="2106"/>
      <c r="AN36" s="2106"/>
      <c r="AO36" s="2106"/>
      <c r="AP36" s="2227"/>
      <c r="AQ36" s="2228"/>
      <c r="AR36" s="2131"/>
      <c r="AS36" s="2191"/>
      <c r="AT36" s="2453"/>
      <c r="AU36" s="2106"/>
      <c r="AV36" s="2124"/>
      <c r="AW36" s="2125"/>
      <c r="AX36" s="2106"/>
      <c r="AY36" s="2106"/>
      <c r="AZ36" s="2109"/>
      <c r="BA36" s="2538"/>
      <c r="BB36" s="2539"/>
      <c r="BC36" s="2539"/>
      <c r="BD36" s="2539"/>
      <c r="BE36" s="2540"/>
      <c r="BF36" s="2577"/>
      <c r="BG36" s="2575"/>
      <c r="BH36" s="2575"/>
      <c r="BI36" s="2443"/>
      <c r="BJ36" s="2530" t="str">
        <f>HYPERLINK("https://www2.auc.ab.ca/Proceeding19543/ProceedingDocuments/2014-03-05_0004.PDF", "AUC Application No. 1610373 Filing for Acknowledgement, Page 2,3")</f>
        <v>AUC Application No. 1610373 Filing for Acknowledgement, Page 2,3</v>
      </c>
      <c r="BK36" s="2115"/>
      <c r="BL36" s="2115"/>
      <c r="BM36" s="2217"/>
      <c r="BN36" s="2580"/>
      <c r="BO36" s="2437"/>
      <c r="BP36" s="2575"/>
      <c r="BQ36" s="2453"/>
      <c r="BR36" s="2120"/>
      <c r="BS36" s="2124"/>
      <c r="BT36" s="2125"/>
      <c r="BU36" s="2106"/>
      <c r="BV36" s="2106"/>
      <c r="BW36" s="2109"/>
      <c r="BX36" s="2476"/>
      <c r="BY36" s="2477"/>
      <c r="BZ36" s="2477"/>
      <c r="CA36" s="2477"/>
      <c r="CB36" s="2478"/>
    </row>
    <row r="37" spans="1:80" ht="30" customHeight="1" x14ac:dyDescent="0.3">
      <c r="A37" s="2206"/>
      <c r="B37" s="2206"/>
      <c r="C37" s="2207"/>
      <c r="D37" s="1037">
        <v>41760</v>
      </c>
      <c r="E37" s="2500"/>
      <c r="F37" s="2106"/>
      <c r="G37" s="2106"/>
      <c r="H37" s="2191"/>
      <c r="I37" s="2191"/>
      <c r="J37" s="2106"/>
      <c r="K37" s="2106"/>
      <c r="L37" s="2106"/>
      <c r="M37" s="2106"/>
      <c r="N37" s="2106"/>
      <c r="O37" s="2227"/>
      <c r="P37" s="2228"/>
      <c r="Q37" s="2131"/>
      <c r="R37" s="2115"/>
      <c r="S37" s="2453"/>
      <c r="T37" s="2106"/>
      <c r="U37" s="2124"/>
      <c r="V37" s="2125"/>
      <c r="W37" s="2106"/>
      <c r="X37" s="2106"/>
      <c r="Y37" s="2109"/>
      <c r="Z37" s="2566"/>
      <c r="AA37" s="2567"/>
      <c r="AB37" s="2567"/>
      <c r="AC37" s="2567"/>
      <c r="AD37" s="2568"/>
      <c r="AE37" s="2500"/>
      <c r="AF37" s="2106"/>
      <c r="AG37" s="2106"/>
      <c r="AH37" s="2445"/>
      <c r="AI37" s="2531"/>
      <c r="AJ37" s="2106"/>
      <c r="AK37" s="2106"/>
      <c r="AL37" s="2106"/>
      <c r="AM37" s="2106"/>
      <c r="AN37" s="2106"/>
      <c r="AO37" s="2106"/>
      <c r="AP37" s="2227"/>
      <c r="AQ37" s="2228"/>
      <c r="AR37" s="2131"/>
      <c r="AS37" s="2191"/>
      <c r="AT37" s="2453"/>
      <c r="AU37" s="2106"/>
      <c r="AV37" s="2124"/>
      <c r="AW37" s="2125"/>
      <c r="AX37" s="2106"/>
      <c r="AY37" s="2106"/>
      <c r="AZ37" s="2109"/>
      <c r="BA37" s="2538"/>
      <c r="BB37" s="2539"/>
      <c r="BC37" s="2539"/>
      <c r="BD37" s="2539"/>
      <c r="BE37" s="2540"/>
      <c r="BF37" s="2577"/>
      <c r="BG37" s="2575"/>
      <c r="BH37" s="2575"/>
      <c r="BI37" s="2443"/>
      <c r="BJ37" s="2530"/>
      <c r="BK37" s="2115"/>
      <c r="BL37" s="2115"/>
      <c r="BM37" s="2217"/>
      <c r="BN37" s="2580"/>
      <c r="BO37" s="2437"/>
      <c r="BP37" s="2575"/>
      <c r="BQ37" s="2453"/>
      <c r="BR37" s="2120"/>
      <c r="BS37" s="2124"/>
      <c r="BT37" s="2125"/>
      <c r="BU37" s="2106"/>
      <c r="BV37" s="2106"/>
      <c r="BW37" s="2109"/>
      <c r="BX37" s="2476"/>
      <c r="BY37" s="2477"/>
      <c r="BZ37" s="2477"/>
      <c r="CA37" s="2477"/>
      <c r="CB37" s="2478"/>
    </row>
    <row r="38" spans="1:80" ht="48" customHeight="1" x14ac:dyDescent="0.3">
      <c r="A38" s="2206"/>
      <c r="B38" s="2206"/>
      <c r="C38" s="2207"/>
      <c r="D38" s="1037">
        <v>41791</v>
      </c>
      <c r="E38" s="2500"/>
      <c r="F38" s="2106"/>
      <c r="G38" s="2106"/>
      <c r="H38" s="2191"/>
      <c r="I38" s="2191"/>
      <c r="J38" s="2106"/>
      <c r="K38" s="2106"/>
      <c r="L38" s="2106"/>
      <c r="M38" s="2106"/>
      <c r="N38" s="2106"/>
      <c r="O38" s="2227"/>
      <c r="P38" s="2228"/>
      <c r="Q38" s="2131"/>
      <c r="R38" s="2115"/>
      <c r="S38" s="2453"/>
      <c r="T38" s="2106"/>
      <c r="U38" s="2124"/>
      <c r="V38" s="2125"/>
      <c r="W38" s="2106"/>
      <c r="X38" s="2106"/>
      <c r="Y38" s="2109"/>
      <c r="Z38" s="2566"/>
      <c r="AA38" s="2567"/>
      <c r="AB38" s="2567"/>
      <c r="AC38" s="2567"/>
      <c r="AD38" s="2568"/>
      <c r="AE38" s="2500"/>
      <c r="AF38" s="2106"/>
      <c r="AG38" s="2106"/>
      <c r="AH38" s="2445"/>
      <c r="AI38" s="2531"/>
      <c r="AJ38" s="2106"/>
      <c r="AK38" s="2106"/>
      <c r="AL38" s="2106"/>
      <c r="AM38" s="2106"/>
      <c r="AN38" s="2106"/>
      <c r="AO38" s="2106"/>
      <c r="AP38" s="2227"/>
      <c r="AQ38" s="2228"/>
      <c r="AR38" s="2131"/>
      <c r="AS38" s="2191"/>
      <c r="AT38" s="2453"/>
      <c r="AU38" s="2106"/>
      <c r="AV38" s="2124"/>
      <c r="AW38" s="2125"/>
      <c r="AX38" s="2106"/>
      <c r="AY38" s="2106"/>
      <c r="AZ38" s="2109"/>
      <c r="BA38" s="2538"/>
      <c r="BB38" s="2539"/>
      <c r="BC38" s="2539"/>
      <c r="BD38" s="2539"/>
      <c r="BE38" s="2540"/>
      <c r="BF38" s="2577"/>
      <c r="BG38" s="2575"/>
      <c r="BH38" s="2575"/>
      <c r="BI38" s="2443"/>
      <c r="BJ38" s="2530"/>
      <c r="BK38" s="2115"/>
      <c r="BL38" s="2115"/>
      <c r="BM38" s="2217"/>
      <c r="BN38" s="2580"/>
      <c r="BO38" s="2437"/>
      <c r="BP38" s="2575"/>
      <c r="BQ38" s="2453"/>
      <c r="BR38" s="2120"/>
      <c r="BS38" s="2124"/>
      <c r="BT38" s="2125"/>
      <c r="BU38" s="2106"/>
      <c r="BV38" s="2106"/>
      <c r="BW38" s="2109"/>
      <c r="BX38" s="2476"/>
      <c r="BY38" s="2477"/>
      <c r="BZ38" s="2477"/>
      <c r="CA38" s="2477"/>
      <c r="CB38" s="2478"/>
    </row>
    <row r="39" spans="1:80" ht="30.75" customHeight="1" x14ac:dyDescent="0.3">
      <c r="A39" s="2206"/>
      <c r="B39" s="2206"/>
      <c r="C39" s="2207"/>
      <c r="D39" s="1037">
        <v>41821</v>
      </c>
      <c r="E39" s="2500"/>
      <c r="F39" s="2106"/>
      <c r="G39" s="2106"/>
      <c r="H39" s="2191"/>
      <c r="I39" s="2191"/>
      <c r="J39" s="2106"/>
      <c r="K39" s="2106"/>
      <c r="L39" s="2106"/>
      <c r="M39" s="2106"/>
      <c r="N39" s="2106"/>
      <c r="O39" s="2227"/>
      <c r="P39" s="2228"/>
      <c r="Q39" s="2131"/>
      <c r="R39" s="2115"/>
      <c r="S39" s="2453"/>
      <c r="T39" s="2106"/>
      <c r="U39" s="2124"/>
      <c r="V39" s="2125"/>
      <c r="W39" s="2106"/>
      <c r="X39" s="2106"/>
      <c r="Y39" s="2109"/>
      <c r="Z39" s="2566"/>
      <c r="AA39" s="2567"/>
      <c r="AB39" s="2567"/>
      <c r="AC39" s="2567"/>
      <c r="AD39" s="2568"/>
      <c r="AE39" s="2500"/>
      <c r="AF39" s="2106"/>
      <c r="AG39" s="2106"/>
      <c r="AH39" s="2445"/>
      <c r="AI39" s="2531"/>
      <c r="AJ39" s="2106"/>
      <c r="AK39" s="2106"/>
      <c r="AL39" s="2106"/>
      <c r="AM39" s="2106"/>
      <c r="AN39" s="2106"/>
      <c r="AO39" s="2106"/>
      <c r="AP39" s="2227"/>
      <c r="AQ39" s="2228"/>
      <c r="AR39" s="2131"/>
      <c r="AS39" s="2191"/>
      <c r="AT39" s="2453"/>
      <c r="AU39" s="2106"/>
      <c r="AV39" s="2124"/>
      <c r="AW39" s="2125"/>
      <c r="AX39" s="2106"/>
      <c r="AY39" s="2106"/>
      <c r="AZ39" s="2109"/>
      <c r="BA39" s="2538"/>
      <c r="BB39" s="2539"/>
      <c r="BC39" s="2539"/>
      <c r="BD39" s="2539"/>
      <c r="BE39" s="2540"/>
      <c r="BF39" s="2577"/>
      <c r="BG39" s="2575"/>
      <c r="BH39" s="2575"/>
      <c r="BI39" s="2443"/>
      <c r="BJ39" s="2530"/>
      <c r="BK39" s="2115" t="str">
        <f>HYPERLINK("http://www.auc.ab.ca/applications/decisions/Decisions/2014/2014-180.pdf", "AUC AltaGas July 2014 Net Deficiency and Rider F, Page 24")</f>
        <v>AUC AltaGas July 2014 Net Deficiency and Rider F, Page 24</v>
      </c>
      <c r="BL39" s="2115"/>
      <c r="BM39" s="2217"/>
      <c r="BN39" s="2580"/>
      <c r="BO39" s="2437"/>
      <c r="BP39" s="2575"/>
      <c r="BQ39" s="2453"/>
      <c r="BR39" s="2120"/>
      <c r="BS39" s="2124"/>
      <c r="BT39" s="2125"/>
      <c r="BU39" s="2106"/>
      <c r="BV39" s="2106"/>
      <c r="BW39" s="2109"/>
      <c r="BX39" s="2476"/>
      <c r="BY39" s="2477"/>
      <c r="BZ39" s="2477"/>
      <c r="CA39" s="2477"/>
      <c r="CB39" s="2478"/>
    </row>
    <row r="40" spans="1:80" ht="109.5" customHeight="1" x14ac:dyDescent="0.3">
      <c r="A40" s="2206"/>
      <c r="B40" s="2206"/>
      <c r="C40" s="2207"/>
      <c r="D40" s="1037">
        <v>41852</v>
      </c>
      <c r="E40" s="2500"/>
      <c r="F40" s="2106"/>
      <c r="G40" s="2106"/>
      <c r="H40" s="2191"/>
      <c r="I40" s="2191"/>
      <c r="J40" s="2106"/>
      <c r="K40" s="2106"/>
      <c r="L40" s="2106"/>
      <c r="M40" s="2106"/>
      <c r="N40" s="2106"/>
      <c r="O40" s="2227"/>
      <c r="P40" s="2228"/>
      <c r="Q40" s="2131"/>
      <c r="R40" s="2115"/>
      <c r="S40" s="2453"/>
      <c r="T40" s="2106"/>
      <c r="U40" s="2124"/>
      <c r="V40" s="2125"/>
      <c r="W40" s="2106"/>
      <c r="X40" s="2106"/>
      <c r="Y40" s="2109"/>
      <c r="Z40" s="2566"/>
      <c r="AA40" s="2567"/>
      <c r="AB40" s="2567"/>
      <c r="AC40" s="2567"/>
      <c r="AD40" s="2568"/>
      <c r="AE40" s="2500"/>
      <c r="AF40" s="2106"/>
      <c r="AG40" s="2106"/>
      <c r="AH40" s="2445"/>
      <c r="AI40" s="2531"/>
      <c r="AJ40" s="2106"/>
      <c r="AK40" s="2106"/>
      <c r="AL40" s="2106"/>
      <c r="AM40" s="2106"/>
      <c r="AN40" s="2106"/>
      <c r="AO40" s="2106"/>
      <c r="AP40" s="2227"/>
      <c r="AQ40" s="2228"/>
      <c r="AR40" s="2131"/>
      <c r="AS40" s="2191"/>
      <c r="AT40" s="2453"/>
      <c r="AU40" s="2106"/>
      <c r="AV40" s="2124"/>
      <c r="AW40" s="2125"/>
      <c r="AX40" s="2106"/>
      <c r="AY40" s="2106"/>
      <c r="AZ40" s="2109"/>
      <c r="BA40" s="2538"/>
      <c r="BB40" s="2539"/>
      <c r="BC40" s="2539"/>
      <c r="BD40" s="2539"/>
      <c r="BE40" s="2540"/>
      <c r="BF40" s="2577"/>
      <c r="BG40" s="2575"/>
      <c r="BH40" s="2575"/>
      <c r="BI40" s="2443"/>
      <c r="BJ40" s="2530"/>
      <c r="BK40" s="2115"/>
      <c r="BL40" s="2115"/>
      <c r="BM40" s="2217"/>
      <c r="BN40" s="2580"/>
      <c r="BO40" s="2437"/>
      <c r="BP40" s="2575"/>
      <c r="BQ40" s="2453"/>
      <c r="BR40" s="2120"/>
      <c r="BS40" s="2124"/>
      <c r="BT40" s="2125"/>
      <c r="BU40" s="2106"/>
      <c r="BV40" s="2106"/>
      <c r="BW40" s="2109"/>
      <c r="BX40" s="2476"/>
      <c r="BY40" s="2477"/>
      <c r="BZ40" s="2477"/>
      <c r="CA40" s="2477"/>
      <c r="CB40" s="2478"/>
    </row>
    <row r="41" spans="1:80" ht="16.5" customHeight="1" x14ac:dyDescent="0.3">
      <c r="A41" s="2206"/>
      <c r="B41" s="2206"/>
      <c r="C41" s="2207"/>
      <c r="D41" s="1037">
        <v>41883</v>
      </c>
      <c r="E41" s="2500"/>
      <c r="F41" s="2106"/>
      <c r="G41" s="2106"/>
      <c r="H41" s="2191"/>
      <c r="I41" s="2191"/>
      <c r="J41" s="2106"/>
      <c r="K41" s="2106"/>
      <c r="L41" s="2106"/>
      <c r="M41" s="2106"/>
      <c r="N41" s="2106"/>
      <c r="O41" s="2227"/>
      <c r="P41" s="2228"/>
      <c r="Q41" s="2131"/>
      <c r="R41" s="2115"/>
      <c r="S41" s="2453"/>
      <c r="T41" s="2106"/>
      <c r="U41" s="2124"/>
      <c r="V41" s="2125"/>
      <c r="W41" s="2106"/>
      <c r="X41" s="2106"/>
      <c r="Y41" s="2109"/>
      <c r="Z41" s="2566"/>
      <c r="AA41" s="2567"/>
      <c r="AB41" s="2567"/>
      <c r="AC41" s="2567"/>
      <c r="AD41" s="2568"/>
      <c r="AE41" s="2500"/>
      <c r="AF41" s="2106"/>
      <c r="AG41" s="2106"/>
      <c r="AH41" s="2445"/>
      <c r="AI41" s="2531"/>
      <c r="AJ41" s="2106"/>
      <c r="AK41" s="2106"/>
      <c r="AL41" s="2106"/>
      <c r="AM41" s="2106"/>
      <c r="AN41" s="2106"/>
      <c r="AO41" s="2106"/>
      <c r="AP41" s="2227"/>
      <c r="AQ41" s="2228"/>
      <c r="AR41" s="2131"/>
      <c r="AS41" s="2191"/>
      <c r="AT41" s="2453"/>
      <c r="AU41" s="2106"/>
      <c r="AV41" s="2124"/>
      <c r="AW41" s="2125"/>
      <c r="AX41" s="2106"/>
      <c r="AY41" s="2106"/>
      <c r="AZ41" s="2109"/>
      <c r="BA41" s="2538"/>
      <c r="BB41" s="2539"/>
      <c r="BC41" s="2539"/>
      <c r="BD41" s="2539"/>
      <c r="BE41" s="2540"/>
      <c r="BF41" s="2577"/>
      <c r="BG41" s="2575"/>
      <c r="BH41" s="2575"/>
      <c r="BI41" s="2443"/>
      <c r="BJ41" s="2530"/>
      <c r="BK41" s="2115"/>
      <c r="BL41" s="2115"/>
      <c r="BM41" s="2217"/>
      <c r="BN41" s="2580"/>
      <c r="BO41" s="2437"/>
      <c r="BP41" s="2575"/>
      <c r="BQ41" s="2453"/>
      <c r="BR41" s="2120"/>
      <c r="BS41" s="2124"/>
      <c r="BT41" s="2125"/>
      <c r="BU41" s="2106"/>
      <c r="BV41" s="2106"/>
      <c r="BW41" s="2109"/>
      <c r="BX41" s="2476"/>
      <c r="BY41" s="2477"/>
      <c r="BZ41" s="2477"/>
      <c r="CA41" s="2477"/>
      <c r="CB41" s="2478"/>
    </row>
    <row r="42" spans="1:80" ht="63.75" customHeight="1" x14ac:dyDescent="0.3">
      <c r="A42" s="2206"/>
      <c r="B42" s="2206"/>
      <c r="C42" s="2207"/>
      <c r="D42" s="1037">
        <v>41913</v>
      </c>
      <c r="E42" s="2500"/>
      <c r="F42" s="2106"/>
      <c r="G42" s="2106"/>
      <c r="H42" s="2191"/>
      <c r="I42" s="2191"/>
      <c r="J42" s="2106"/>
      <c r="K42" s="2106"/>
      <c r="L42" s="2106"/>
      <c r="M42" s="2106"/>
      <c r="N42" s="2106"/>
      <c r="O42" s="2227"/>
      <c r="P42" s="2228"/>
      <c r="Q42" s="2131"/>
      <c r="R42" s="2115"/>
      <c r="S42" s="2453"/>
      <c r="T42" s="2106"/>
      <c r="U42" s="2124"/>
      <c r="V42" s="2125"/>
      <c r="W42" s="2106"/>
      <c r="X42" s="2106"/>
      <c r="Y42" s="2109"/>
      <c r="Z42" s="2566"/>
      <c r="AA42" s="2567"/>
      <c r="AB42" s="2567"/>
      <c r="AC42" s="2567"/>
      <c r="AD42" s="2568"/>
      <c r="AE42" s="2500"/>
      <c r="AF42" s="2106"/>
      <c r="AG42" s="2106"/>
      <c r="AH42" s="2445"/>
      <c r="AI42" s="2531"/>
      <c r="AJ42" s="2106"/>
      <c r="AK42" s="2106"/>
      <c r="AL42" s="2106"/>
      <c r="AM42" s="2106"/>
      <c r="AN42" s="2106"/>
      <c r="AO42" s="2106"/>
      <c r="AP42" s="2227"/>
      <c r="AQ42" s="2228"/>
      <c r="AR42" s="2131"/>
      <c r="AS42" s="2191"/>
      <c r="AT42" s="2453"/>
      <c r="AU42" s="2106"/>
      <c r="AV42" s="2124"/>
      <c r="AW42" s="2125"/>
      <c r="AX42" s="2106"/>
      <c r="AY42" s="2106"/>
      <c r="AZ42" s="2109"/>
      <c r="BA42" s="2538"/>
      <c r="BB42" s="2539"/>
      <c r="BC42" s="2539"/>
      <c r="BD42" s="2539"/>
      <c r="BE42" s="2540"/>
      <c r="BF42" s="2577"/>
      <c r="BG42" s="2575"/>
      <c r="BH42" s="2575"/>
      <c r="BI42" s="2443"/>
      <c r="BJ42" s="2530"/>
      <c r="BK42" s="2115"/>
      <c r="BL42" s="2115"/>
      <c r="BM42" s="2217"/>
      <c r="BN42" s="2580"/>
      <c r="BO42" s="2437"/>
      <c r="BP42" s="2575"/>
      <c r="BQ42" s="2453"/>
      <c r="BR42" s="2120"/>
      <c r="BS42" s="2124"/>
      <c r="BT42" s="2125"/>
      <c r="BU42" s="2106"/>
      <c r="BV42" s="2106"/>
      <c r="BW42" s="2109"/>
      <c r="BX42" s="2476"/>
      <c r="BY42" s="2477"/>
      <c r="BZ42" s="2477"/>
      <c r="CA42" s="2477"/>
      <c r="CB42" s="2478"/>
    </row>
    <row r="43" spans="1:80" ht="54" customHeight="1" x14ac:dyDescent="0.3">
      <c r="A43" s="2206"/>
      <c r="B43" s="2206"/>
      <c r="C43" s="2207"/>
      <c r="D43" s="1037">
        <v>41944</v>
      </c>
      <c r="E43" s="2500"/>
      <c r="F43" s="2106"/>
      <c r="G43" s="2106"/>
      <c r="H43" s="2191"/>
      <c r="I43" s="2191"/>
      <c r="J43" s="2106"/>
      <c r="K43" s="2106"/>
      <c r="L43" s="2106"/>
      <c r="M43" s="2106"/>
      <c r="N43" s="2106"/>
      <c r="O43" s="2227"/>
      <c r="P43" s="2228"/>
      <c r="Q43" s="2131"/>
      <c r="R43" s="2115"/>
      <c r="S43" s="2453"/>
      <c r="T43" s="2106"/>
      <c r="U43" s="2124"/>
      <c r="V43" s="2125"/>
      <c r="W43" s="2106"/>
      <c r="X43" s="2106"/>
      <c r="Y43" s="2109"/>
      <c r="Z43" s="2566"/>
      <c r="AA43" s="2567"/>
      <c r="AB43" s="2567"/>
      <c r="AC43" s="2567"/>
      <c r="AD43" s="2568"/>
      <c r="AE43" s="2500"/>
      <c r="AF43" s="2106"/>
      <c r="AG43" s="2106"/>
      <c r="AH43" s="2445"/>
      <c r="AI43" s="2531"/>
      <c r="AJ43" s="2106"/>
      <c r="AK43" s="2106"/>
      <c r="AL43" s="2106"/>
      <c r="AM43" s="2106"/>
      <c r="AN43" s="2106"/>
      <c r="AO43" s="2106"/>
      <c r="AP43" s="2227"/>
      <c r="AQ43" s="2228"/>
      <c r="AR43" s="2131"/>
      <c r="AS43" s="2191"/>
      <c r="AT43" s="2453"/>
      <c r="AU43" s="2106"/>
      <c r="AV43" s="2124"/>
      <c r="AW43" s="2125"/>
      <c r="AX43" s="2106"/>
      <c r="AY43" s="2106"/>
      <c r="AZ43" s="2109"/>
      <c r="BA43" s="2538"/>
      <c r="BB43" s="2539"/>
      <c r="BC43" s="2539"/>
      <c r="BD43" s="2539"/>
      <c r="BE43" s="2540"/>
      <c r="BF43" s="2577"/>
      <c r="BG43" s="2575"/>
      <c r="BH43" s="2575"/>
      <c r="BI43" s="2443"/>
      <c r="BJ43" s="2530"/>
      <c r="BK43" s="2115"/>
      <c r="BL43" s="2115"/>
      <c r="BM43" s="2217"/>
      <c r="BN43" s="2580"/>
      <c r="BO43" s="2437"/>
      <c r="BP43" s="2575"/>
      <c r="BQ43" s="2453"/>
      <c r="BR43" s="2120"/>
      <c r="BS43" s="2124"/>
      <c r="BT43" s="2125"/>
      <c r="BU43" s="2106"/>
      <c r="BV43" s="2106"/>
      <c r="BW43" s="2109"/>
      <c r="BX43" s="2476"/>
      <c r="BY43" s="2477"/>
      <c r="BZ43" s="2477"/>
      <c r="CA43" s="2477"/>
      <c r="CB43" s="2478"/>
    </row>
    <row r="44" spans="1:80" ht="39" customHeight="1" x14ac:dyDescent="0.3">
      <c r="A44" s="2208"/>
      <c r="B44" s="2208"/>
      <c r="C44" s="2209"/>
      <c r="D44" s="1037">
        <v>41974</v>
      </c>
      <c r="E44" s="2500"/>
      <c r="F44" s="2106"/>
      <c r="G44" s="2106"/>
      <c r="H44" s="2191"/>
      <c r="I44" s="2191"/>
      <c r="J44" s="2106"/>
      <c r="K44" s="2106"/>
      <c r="L44" s="2106"/>
      <c r="M44" s="2106"/>
      <c r="N44" s="2106"/>
      <c r="O44" s="2227"/>
      <c r="P44" s="2228"/>
      <c r="Q44" s="2131"/>
      <c r="R44" s="2115"/>
      <c r="S44" s="2453"/>
      <c r="T44" s="2106"/>
      <c r="U44" s="2124"/>
      <c r="V44" s="2125"/>
      <c r="W44" s="2106"/>
      <c r="X44" s="2106"/>
      <c r="Y44" s="2109"/>
      <c r="Z44" s="2566"/>
      <c r="AA44" s="2567"/>
      <c r="AB44" s="2567"/>
      <c r="AC44" s="2567"/>
      <c r="AD44" s="2568"/>
      <c r="AE44" s="2500"/>
      <c r="AF44" s="2106"/>
      <c r="AG44" s="2106"/>
      <c r="AH44" s="2445"/>
      <c r="AI44" s="2531"/>
      <c r="AJ44" s="2106"/>
      <c r="AK44" s="2106"/>
      <c r="AL44" s="2106"/>
      <c r="AM44" s="2106"/>
      <c r="AN44" s="2106"/>
      <c r="AO44" s="2106"/>
      <c r="AP44" s="2227"/>
      <c r="AQ44" s="2228"/>
      <c r="AR44" s="2131"/>
      <c r="AS44" s="2191"/>
      <c r="AT44" s="2453"/>
      <c r="AU44" s="2106"/>
      <c r="AV44" s="2124"/>
      <c r="AW44" s="2125"/>
      <c r="AX44" s="2106"/>
      <c r="AY44" s="2106"/>
      <c r="AZ44" s="2109"/>
      <c r="BA44" s="2538"/>
      <c r="BB44" s="2539"/>
      <c r="BC44" s="2539"/>
      <c r="BD44" s="2539"/>
      <c r="BE44" s="2540"/>
      <c r="BF44" s="2577"/>
      <c r="BG44" s="2575"/>
      <c r="BH44" s="2575"/>
      <c r="BI44" s="2444"/>
      <c r="BJ44" s="2530"/>
      <c r="BK44" s="2115"/>
      <c r="BL44" s="2115"/>
      <c r="BM44" s="2217"/>
      <c r="BN44" s="2580"/>
      <c r="BO44" s="2437"/>
      <c r="BP44" s="2575"/>
      <c r="BQ44" s="2453"/>
      <c r="BR44" s="2120"/>
      <c r="BS44" s="2124"/>
      <c r="BT44" s="2125"/>
      <c r="BU44" s="2106"/>
      <c r="BV44" s="2106"/>
      <c r="BW44" s="2109"/>
      <c r="BX44" s="2476"/>
      <c r="BY44" s="2477"/>
      <c r="BZ44" s="2477"/>
      <c r="CA44" s="2477"/>
      <c r="CB44" s="2478"/>
    </row>
    <row r="45" spans="1:80" ht="60" customHeight="1" x14ac:dyDescent="0.3">
      <c r="A45" s="2204">
        <v>2015</v>
      </c>
      <c r="B45" s="2204"/>
      <c r="C45" s="2205"/>
      <c r="D45" s="1101">
        <v>42005</v>
      </c>
      <c r="E45" s="2500"/>
      <c r="F45" s="2106"/>
      <c r="G45" s="2106"/>
      <c r="H45" s="2192"/>
      <c r="I45" s="2192"/>
      <c r="J45" s="2106"/>
      <c r="K45" s="2106"/>
      <c r="L45" s="2106"/>
      <c r="M45" s="2106"/>
      <c r="N45" s="2106"/>
      <c r="O45" s="2227"/>
      <c r="P45" s="2228"/>
      <c r="Q45" s="2131"/>
      <c r="R45" s="2115" t="str">
        <f>HYPERLINK("http://www.directenergyregulatedservices.com/Documents/regulatory/2015/141219%20DERS_Jan_2015%20Interim%20North%20DRT%20Rate%20Schedules.pdf", "Direct Energy Regulated Services ATCO Gas North January 2015 Interim Rate Schedules , Page 2")</f>
        <v>Direct Energy Regulated Services ATCO Gas North January 2015 Interim Rate Schedules , Page 2</v>
      </c>
      <c r="S45" s="2453"/>
      <c r="T45" s="2106"/>
      <c r="U45" s="2124"/>
      <c r="V45" s="2125"/>
      <c r="W45" s="2106"/>
      <c r="X45" s="2106"/>
      <c r="Y45" s="2109"/>
      <c r="Z45" s="2566"/>
      <c r="AA45" s="2567"/>
      <c r="AB45" s="2567"/>
      <c r="AC45" s="2567"/>
      <c r="AD45" s="2568"/>
      <c r="AE45" s="2500"/>
      <c r="AF45" s="2106"/>
      <c r="AG45" s="2106"/>
      <c r="AH45" s="2445" t="str">
        <f>HYPERLINK("http://www.auc.ab.ca/regulatory_documents/ProceedingDocuments/2015/20820-D01-2015.pdf", "AUC Disposition 20820-D01-2015 ATCO Gas and Pipelines Ltd. 2016 Annual Performance-based Regulation Rate Adjustment Filing, Page 54")</f>
        <v>AUC Disposition 20820-D01-2015 ATCO Gas and Pipelines Ltd. 2016 Annual Performance-based Regulation Rate Adjustment Filing, Page 54</v>
      </c>
      <c r="AI45" s="2531"/>
      <c r="AJ45" s="2106"/>
      <c r="AK45" s="2106"/>
      <c r="AL45" s="2106"/>
      <c r="AM45" s="2106"/>
      <c r="AN45" s="2106"/>
      <c r="AO45" s="2106"/>
      <c r="AP45" s="2227"/>
      <c r="AQ45" s="2228"/>
      <c r="AR45" s="2131"/>
      <c r="AS45" s="2191"/>
      <c r="AT45" s="2453"/>
      <c r="AU45" s="2106"/>
      <c r="AV45" s="2124"/>
      <c r="AW45" s="2125"/>
      <c r="AX45" s="2106"/>
      <c r="AY45" s="2106"/>
      <c r="AZ45" s="2109"/>
      <c r="BA45" s="2538"/>
      <c r="BB45" s="2539"/>
      <c r="BC45" s="2539"/>
      <c r="BD45" s="2539"/>
      <c r="BE45" s="2540"/>
      <c r="BF45" s="2577"/>
      <c r="BG45" s="2575"/>
      <c r="BH45" s="2575"/>
      <c r="BI45" s="2445" t="str">
        <f>HYPERLINK("http://www.auc.ab.ca/regulatory_documents/ProceedingDocuments/2015/20595-D01-2015.pdf", "AUC Disposition 20595-D01-2015 (Errata) AltaGas Utilities Inc. and the Town of Pincher Creek Franchise Agreement and Rate Rider 'A', Pages 34-36")</f>
        <v>AUC Disposition 20595-D01-2015 (Errata) AltaGas Utilities Inc. and the Town of Pincher Creek Franchise Agreement and Rate Rider 'A', Pages 34-36</v>
      </c>
      <c r="BJ45" s="2530"/>
      <c r="BK45" s="2115"/>
      <c r="BL45" s="2115"/>
      <c r="BM45" s="2217"/>
      <c r="BN45" s="2580"/>
      <c r="BO45" s="2436" t="str">
        <f>HYPERLINK("http://www.altagasutilities.com/sites/default/files/pdf/Decision_2014-357.PDF", "AUC AltaGas 2015 Annual PBR Rate Adjustment Filing Decision")</f>
        <v>AUC AltaGas 2015 Annual PBR Rate Adjustment Filing Decision</v>
      </c>
      <c r="BP45" s="2575"/>
      <c r="BQ45" s="2453"/>
      <c r="BR45" s="2120"/>
      <c r="BS45" s="2124"/>
      <c r="BT45" s="2125"/>
      <c r="BU45" s="2106"/>
      <c r="BV45" s="2106"/>
      <c r="BW45" s="2109"/>
      <c r="BX45" s="2476"/>
      <c r="BY45" s="2477"/>
      <c r="BZ45" s="2477"/>
      <c r="CA45" s="2477"/>
      <c r="CB45" s="2478"/>
    </row>
    <row r="46" spans="1:80" ht="64.5" customHeight="1" x14ac:dyDescent="0.3">
      <c r="A46" s="2206"/>
      <c r="B46" s="2206"/>
      <c r="C46" s="2207"/>
      <c r="D46" s="1037">
        <v>42036</v>
      </c>
      <c r="E46" s="2500"/>
      <c r="F46" s="2106"/>
      <c r="G46" s="2106"/>
      <c r="H46" s="2200" t="str">
        <f>HYPERLINK("https://www.trackenergyregs.ca/cga/abuc/en/71114/1/document.do", "AUC Decision 2014-062  2014 Transmission Service Charge (Rider T), Page 24")</f>
        <v>AUC Decision 2014-062  2014 Transmission Service Charge (Rider T), Page 24</v>
      </c>
      <c r="I46" s="2219" t="str">
        <f>HYPERLINK("http://www.auc.ab.ca/regulatory_documents/ProceedingDocuments/2015/20829-D01-2015.pdf", "AUC Disposition 20829-D01-2015 AGPL North Rider B, Page 2")</f>
        <v>AUC Disposition 20829-D01-2015 AGPL North Rider B, Page 2</v>
      </c>
      <c r="J46" s="2106"/>
      <c r="K46" s="2106"/>
      <c r="L46" s="2106"/>
      <c r="M46" s="2106"/>
      <c r="N46" s="2106"/>
      <c r="O46" s="2227"/>
      <c r="P46" s="2228"/>
      <c r="Q46" s="2131"/>
      <c r="R46" s="2115"/>
      <c r="S46" s="2453"/>
      <c r="T46" s="2106"/>
      <c r="U46" s="2124"/>
      <c r="V46" s="2125"/>
      <c r="W46" s="2106"/>
      <c r="X46" s="2106"/>
      <c r="Y46" s="2109"/>
      <c r="Z46" s="2566"/>
      <c r="AA46" s="2567"/>
      <c r="AB46" s="2567"/>
      <c r="AC46" s="2567"/>
      <c r="AD46" s="2568"/>
      <c r="AE46" s="2500"/>
      <c r="AF46" s="2106"/>
      <c r="AG46" s="2106"/>
      <c r="AH46" s="2445"/>
      <c r="AI46" s="2531" t="str">
        <f>HYPERLINK("http://www.auc.ab.ca/regulatory_documents/ProceedingDocuments/2015/20076-D01-2015.pdf", "AUC Disposition 20076-D01-2015 ATCO Gas and Pipelines South Rider B, Page 2")</f>
        <v>AUC Disposition 20076-D01-2015 ATCO Gas and Pipelines South Rider B, Page 2</v>
      </c>
      <c r="AJ46" s="2106"/>
      <c r="AK46" s="2106"/>
      <c r="AL46" s="2106"/>
      <c r="AM46" s="2106"/>
      <c r="AN46" s="2106"/>
      <c r="AO46" s="2106"/>
      <c r="AP46" s="2227"/>
      <c r="AQ46" s="2228"/>
      <c r="AR46" s="2131"/>
      <c r="AS46" s="2191"/>
      <c r="AT46" s="2453"/>
      <c r="AU46" s="2106"/>
      <c r="AV46" s="2124"/>
      <c r="AW46" s="2125"/>
      <c r="AX46" s="2106"/>
      <c r="AY46" s="2106"/>
      <c r="AZ46" s="2109"/>
      <c r="BA46" s="2538"/>
      <c r="BB46" s="2539"/>
      <c r="BC46" s="2539"/>
      <c r="BD46" s="2539"/>
      <c r="BE46" s="2540"/>
      <c r="BF46" s="2577"/>
      <c r="BG46" s="2575"/>
      <c r="BH46" s="2575"/>
      <c r="BI46" s="2445"/>
      <c r="BJ46" s="2530"/>
      <c r="BK46" s="2115"/>
      <c r="BL46" s="2115"/>
      <c r="BM46" s="2217"/>
      <c r="BN46" s="2580"/>
      <c r="BO46" s="2437"/>
      <c r="BP46" s="2575"/>
      <c r="BQ46" s="2453"/>
      <c r="BR46" s="2120"/>
      <c r="BS46" s="2124"/>
      <c r="BT46" s="2125"/>
      <c r="BU46" s="2106"/>
      <c r="BV46" s="2106"/>
      <c r="BW46" s="2109"/>
      <c r="BX46" s="2476"/>
      <c r="BY46" s="2477"/>
      <c r="BZ46" s="2477"/>
      <c r="CA46" s="2477"/>
      <c r="CB46" s="2478"/>
    </row>
    <row r="47" spans="1:80" ht="38.25" customHeight="1" x14ac:dyDescent="0.3">
      <c r="A47" s="2206"/>
      <c r="B47" s="2206"/>
      <c r="C47" s="2207"/>
      <c r="D47" s="1037">
        <v>42064</v>
      </c>
      <c r="E47" s="2500"/>
      <c r="F47" s="2106"/>
      <c r="G47" s="2106"/>
      <c r="H47" s="2185"/>
      <c r="I47" s="2184"/>
      <c r="J47" s="2106"/>
      <c r="K47" s="2106"/>
      <c r="L47" s="2106"/>
      <c r="M47" s="2106"/>
      <c r="N47" s="2106"/>
      <c r="O47" s="2227"/>
      <c r="P47" s="2228"/>
      <c r="Q47" s="2131"/>
      <c r="R47" s="2115"/>
      <c r="S47" s="2453"/>
      <c r="T47" s="2106"/>
      <c r="U47" s="2124"/>
      <c r="V47" s="2125"/>
      <c r="W47" s="2106"/>
      <c r="X47" s="2106"/>
      <c r="Y47" s="2109"/>
      <c r="Z47" s="2566"/>
      <c r="AA47" s="2567"/>
      <c r="AB47" s="2567"/>
      <c r="AC47" s="2567"/>
      <c r="AD47" s="2568"/>
      <c r="AE47" s="2500"/>
      <c r="AF47" s="2106"/>
      <c r="AG47" s="2106"/>
      <c r="AH47" s="2445"/>
      <c r="AI47" s="2531"/>
      <c r="AJ47" s="2106"/>
      <c r="AK47" s="2106"/>
      <c r="AL47" s="2106"/>
      <c r="AM47" s="2106"/>
      <c r="AN47" s="2106"/>
      <c r="AO47" s="2106"/>
      <c r="AP47" s="2227"/>
      <c r="AQ47" s="2228"/>
      <c r="AR47" s="2131"/>
      <c r="AS47" s="2191"/>
      <c r="AT47" s="2453"/>
      <c r="AU47" s="2106"/>
      <c r="AV47" s="2124"/>
      <c r="AW47" s="2125"/>
      <c r="AX47" s="2106"/>
      <c r="AY47" s="2106"/>
      <c r="AZ47" s="2109"/>
      <c r="BA47" s="2538"/>
      <c r="BB47" s="2539"/>
      <c r="BC47" s="2539"/>
      <c r="BD47" s="2539"/>
      <c r="BE47" s="2540"/>
      <c r="BF47" s="2577"/>
      <c r="BG47" s="2575"/>
      <c r="BH47" s="2575"/>
      <c r="BI47" s="2445"/>
      <c r="BJ47" s="2530"/>
      <c r="BK47" s="2115"/>
      <c r="BL47" s="2115"/>
      <c r="BM47" s="2217"/>
      <c r="BN47" s="2580"/>
      <c r="BO47" s="2437"/>
      <c r="BP47" s="2575"/>
      <c r="BQ47" s="2453"/>
      <c r="BR47" s="2120"/>
      <c r="BS47" s="2124"/>
      <c r="BT47" s="2125"/>
      <c r="BU47" s="2106"/>
      <c r="BV47" s="2106"/>
      <c r="BW47" s="2109"/>
      <c r="BX47" s="2476"/>
      <c r="BY47" s="2477"/>
      <c r="BZ47" s="2477"/>
      <c r="CA47" s="2477"/>
      <c r="CB47" s="2478"/>
    </row>
    <row r="48" spans="1:80" ht="66" customHeight="1" x14ac:dyDescent="0.3">
      <c r="A48" s="2206"/>
      <c r="B48" s="2206"/>
      <c r="C48" s="2207"/>
      <c r="D48" s="1037">
        <v>42095</v>
      </c>
      <c r="E48" s="2500"/>
      <c r="F48" s="2106"/>
      <c r="G48" s="2106"/>
      <c r="H48" s="2185"/>
      <c r="I48" s="2184"/>
      <c r="J48" s="2106"/>
      <c r="K48" s="2106"/>
      <c r="L48" s="2106"/>
      <c r="M48" s="2106"/>
      <c r="N48" s="2106"/>
      <c r="O48" s="2227"/>
      <c r="P48" s="2228"/>
      <c r="Q48" s="2131"/>
      <c r="R48" s="2115"/>
      <c r="S48" s="2453"/>
      <c r="T48" s="2106"/>
      <c r="U48" s="2124"/>
      <c r="V48" s="2125"/>
      <c r="W48" s="2106"/>
      <c r="X48" s="2106"/>
      <c r="Y48" s="2109"/>
      <c r="Z48" s="2566"/>
      <c r="AA48" s="2567"/>
      <c r="AB48" s="2567"/>
      <c r="AC48" s="2567"/>
      <c r="AD48" s="2568"/>
      <c r="AE48" s="2500"/>
      <c r="AF48" s="2106"/>
      <c r="AG48" s="2106"/>
      <c r="AH48" s="2445"/>
      <c r="AI48" s="2531"/>
      <c r="AJ48" s="2106"/>
      <c r="AK48" s="2106"/>
      <c r="AL48" s="2106"/>
      <c r="AM48" s="2106"/>
      <c r="AN48" s="2106"/>
      <c r="AO48" s="2106"/>
      <c r="AP48" s="2227"/>
      <c r="AQ48" s="2228"/>
      <c r="AR48" s="2131"/>
      <c r="AS48" s="2192"/>
      <c r="AT48" s="2453"/>
      <c r="AU48" s="2106"/>
      <c r="AV48" s="2124"/>
      <c r="AW48" s="2125"/>
      <c r="AX48" s="2106"/>
      <c r="AY48" s="2106"/>
      <c r="AZ48" s="2109"/>
      <c r="BA48" s="2538"/>
      <c r="BB48" s="2539"/>
      <c r="BC48" s="2539"/>
      <c r="BD48" s="2539"/>
      <c r="BE48" s="2540"/>
      <c r="BF48" s="2577"/>
      <c r="BG48" s="2575"/>
      <c r="BH48" s="2575"/>
      <c r="BI48" s="2445"/>
      <c r="BJ48" s="2438" t="str">
        <f>HYPERLINK("http://www.auc.ab.ca/regulatory_documents/ProceedingDocuments/2015/20238-D01-2015.pdf", "AUC AltaGas April 2015 Rider B Filing for Acknowledgement Proceeding, Page 2")</f>
        <v>AUC AltaGas April 2015 Rider B Filing for Acknowledgement Proceeding, Page 2</v>
      </c>
      <c r="BK48" s="2115"/>
      <c r="BL48" s="2115"/>
      <c r="BM48" s="2217"/>
      <c r="BN48" s="2580"/>
      <c r="BO48" s="2437"/>
      <c r="BP48" s="2575"/>
      <c r="BQ48" s="2453"/>
      <c r="BR48" s="2120"/>
      <c r="BS48" s="2124"/>
      <c r="BT48" s="2125"/>
      <c r="BU48" s="2106"/>
      <c r="BV48" s="2106"/>
      <c r="BW48" s="2109"/>
      <c r="BX48" s="2476"/>
      <c r="BY48" s="2477"/>
      <c r="BZ48" s="2477"/>
      <c r="CA48" s="2477"/>
      <c r="CB48" s="2478"/>
    </row>
    <row r="49" spans="1:104" ht="51" customHeight="1" x14ac:dyDescent="0.3">
      <c r="A49" s="2206"/>
      <c r="B49" s="2206"/>
      <c r="C49" s="2207"/>
      <c r="D49" s="1037">
        <v>42125</v>
      </c>
      <c r="E49" s="2500"/>
      <c r="F49" s="2106"/>
      <c r="G49" s="2106"/>
      <c r="H49" s="2185"/>
      <c r="I49" s="2184"/>
      <c r="J49" s="2106"/>
      <c r="K49" s="2106"/>
      <c r="L49" s="2106"/>
      <c r="M49" s="2106"/>
      <c r="N49" s="2106"/>
      <c r="O49" s="2227"/>
      <c r="P49" s="2228"/>
      <c r="Q49" s="2131"/>
      <c r="R49" s="2115"/>
      <c r="S49" s="2453"/>
      <c r="T49" s="2106"/>
      <c r="U49" s="2124"/>
      <c r="V49" s="2125"/>
      <c r="W49" s="2106"/>
      <c r="X49" s="2106"/>
      <c r="Y49" s="2109"/>
      <c r="Z49" s="2566"/>
      <c r="AA49" s="2567"/>
      <c r="AB49" s="2567"/>
      <c r="AC49" s="2567"/>
      <c r="AD49" s="2568"/>
      <c r="AE49" s="2500"/>
      <c r="AF49" s="2106"/>
      <c r="AG49" s="2106"/>
      <c r="AH49" s="2445"/>
      <c r="AI49" s="2531"/>
      <c r="AJ49" s="2106"/>
      <c r="AK49" s="2106"/>
      <c r="AL49" s="2106"/>
      <c r="AM49" s="2106"/>
      <c r="AN49" s="2106"/>
      <c r="AO49" s="2106"/>
      <c r="AP49" s="2227"/>
      <c r="AQ49" s="2228"/>
      <c r="AR49" s="2131"/>
      <c r="AS49" s="2135" t="str">
        <f>HYPERLINK("http://www.directenergyregulatedservices.com/Documents/regulatory/2015/150424%20DERS_May_2015%20Interim%20South%20DRT%20Rate%20Schedules.pdf", "Direct Energy Regulated Services ATCO Gas South May 2015 Interim Rate Schedules, Page 2")</f>
        <v>Direct Energy Regulated Services ATCO Gas South May 2015 Interim Rate Schedules, Page 2</v>
      </c>
      <c r="AT49" s="2453"/>
      <c r="AU49" s="2106"/>
      <c r="AV49" s="2124"/>
      <c r="AW49" s="2125"/>
      <c r="AX49" s="2106"/>
      <c r="AY49" s="2106"/>
      <c r="AZ49" s="2109"/>
      <c r="BA49" s="2538"/>
      <c r="BB49" s="2539"/>
      <c r="BC49" s="2539"/>
      <c r="BD49" s="2539"/>
      <c r="BE49" s="2540"/>
      <c r="BF49" s="2577"/>
      <c r="BG49" s="2575"/>
      <c r="BH49" s="2575"/>
      <c r="BI49" s="2445"/>
      <c r="BJ49" s="2587"/>
      <c r="BK49" s="2115"/>
      <c r="BL49" s="2115"/>
      <c r="BM49" s="2217"/>
      <c r="BN49" s="2580"/>
      <c r="BO49" s="2437"/>
      <c r="BP49" s="2575"/>
      <c r="BQ49" s="2453"/>
      <c r="BR49" s="2120"/>
      <c r="BS49" s="2124"/>
      <c r="BT49" s="2125"/>
      <c r="BU49" s="2106"/>
      <c r="BV49" s="2106"/>
      <c r="BW49" s="2109"/>
      <c r="BX49" s="2476"/>
      <c r="BY49" s="2477"/>
      <c r="BZ49" s="2477"/>
      <c r="CA49" s="2477"/>
      <c r="CB49" s="2478"/>
    </row>
    <row r="50" spans="1:104" ht="50.25" customHeight="1" x14ac:dyDescent="0.3">
      <c r="A50" s="2206"/>
      <c r="B50" s="2206"/>
      <c r="C50" s="2207"/>
      <c r="D50" s="1037">
        <v>42156</v>
      </c>
      <c r="E50" s="2500"/>
      <c r="F50" s="2106"/>
      <c r="G50" s="2106"/>
      <c r="H50" s="2187"/>
      <c r="I50" s="2184"/>
      <c r="J50" s="2106"/>
      <c r="K50" s="2106"/>
      <c r="L50" s="2106"/>
      <c r="M50" s="2106"/>
      <c r="N50" s="2106"/>
      <c r="O50" s="2227"/>
      <c r="P50" s="2228"/>
      <c r="Q50" s="2131"/>
      <c r="R50" s="2115"/>
      <c r="S50" s="2453"/>
      <c r="T50" s="2106"/>
      <c r="U50" s="2124"/>
      <c r="V50" s="2125"/>
      <c r="W50" s="2106"/>
      <c r="X50" s="2106"/>
      <c r="Y50" s="2109"/>
      <c r="Z50" s="2566"/>
      <c r="AA50" s="2567"/>
      <c r="AB50" s="2567"/>
      <c r="AC50" s="2567"/>
      <c r="AD50" s="2568"/>
      <c r="AE50" s="2500"/>
      <c r="AF50" s="2106"/>
      <c r="AG50" s="2106"/>
      <c r="AH50" s="2445"/>
      <c r="AI50" s="2531"/>
      <c r="AJ50" s="2106"/>
      <c r="AK50" s="2106"/>
      <c r="AL50" s="2106"/>
      <c r="AM50" s="2106"/>
      <c r="AN50" s="2106"/>
      <c r="AO50" s="2106"/>
      <c r="AP50" s="2227"/>
      <c r="AQ50" s="2228"/>
      <c r="AR50" s="2131"/>
      <c r="AS50" s="2135"/>
      <c r="AT50" s="2453"/>
      <c r="AU50" s="2106"/>
      <c r="AV50" s="2124"/>
      <c r="AW50" s="2125"/>
      <c r="AX50" s="2106"/>
      <c r="AY50" s="2106"/>
      <c r="AZ50" s="2109"/>
      <c r="BA50" s="2538"/>
      <c r="BB50" s="2539"/>
      <c r="BC50" s="2539"/>
      <c r="BD50" s="2539"/>
      <c r="BE50" s="2540"/>
      <c r="BF50" s="2577"/>
      <c r="BG50" s="2575"/>
      <c r="BH50" s="2575"/>
      <c r="BI50" s="2445"/>
      <c r="BJ50" s="2587"/>
      <c r="BK50" s="2115"/>
      <c r="BL50" s="2115"/>
      <c r="BM50" s="2217"/>
      <c r="BN50" s="2580"/>
      <c r="BO50" s="2437"/>
      <c r="BP50" s="2575"/>
      <c r="BQ50" s="2453"/>
      <c r="BR50" s="2120"/>
      <c r="BS50" s="2124"/>
      <c r="BT50" s="2125"/>
      <c r="BU50" s="2106"/>
      <c r="BV50" s="2106"/>
      <c r="BW50" s="2109"/>
      <c r="BX50" s="2476"/>
      <c r="BY50" s="2477"/>
      <c r="BZ50" s="2477"/>
      <c r="CA50" s="2477"/>
      <c r="CB50" s="2478"/>
    </row>
    <row r="51" spans="1:104" ht="60.75" customHeight="1" x14ac:dyDescent="0.3">
      <c r="A51" s="2206"/>
      <c r="B51" s="2206"/>
      <c r="C51" s="2207"/>
      <c r="D51" s="1037">
        <v>42186</v>
      </c>
      <c r="E51" s="2500"/>
      <c r="F51" s="2106"/>
      <c r="G51" s="2106"/>
      <c r="H51" s="2200" t="str">
        <f>HYPERLINK("http://www.auc.ab.ca/regulatory_documents/ProceedingDocuments/2015/20547-D01-2015.pdf", "AUC Disposition 20547-D01-2015 ATCO Gas and the City of Camrose Franchise Agreement and Rate Rider A, Page 35")</f>
        <v>AUC Disposition 20547-D01-2015 ATCO Gas and the City of Camrose Franchise Agreement and Rate Rider A, Page 35</v>
      </c>
      <c r="I51" s="2184"/>
      <c r="J51" s="2106"/>
      <c r="K51" s="2106"/>
      <c r="L51" s="2106"/>
      <c r="M51" s="2106"/>
      <c r="N51" s="2106"/>
      <c r="O51" s="2227"/>
      <c r="P51" s="2228"/>
      <c r="Q51" s="2131"/>
      <c r="R51" s="2115"/>
      <c r="S51" s="2453"/>
      <c r="T51" s="2106"/>
      <c r="U51" s="2124"/>
      <c r="V51" s="2125"/>
      <c r="W51" s="2106"/>
      <c r="X51" s="2106"/>
      <c r="Y51" s="2109"/>
      <c r="Z51" s="2566"/>
      <c r="AA51" s="2567"/>
      <c r="AB51" s="2567"/>
      <c r="AC51" s="2567"/>
      <c r="AD51" s="2568"/>
      <c r="AE51" s="2500"/>
      <c r="AF51" s="2106"/>
      <c r="AG51" s="2106"/>
      <c r="AH51" s="2445"/>
      <c r="AI51" s="2531"/>
      <c r="AJ51" s="2106"/>
      <c r="AK51" s="2106"/>
      <c r="AL51" s="2106"/>
      <c r="AM51" s="2106"/>
      <c r="AN51" s="2106"/>
      <c r="AO51" s="2106"/>
      <c r="AP51" s="2227"/>
      <c r="AQ51" s="2228"/>
      <c r="AR51" s="2131"/>
      <c r="AS51" s="2135"/>
      <c r="AT51" s="2453"/>
      <c r="AU51" s="2106"/>
      <c r="AV51" s="2124"/>
      <c r="AW51" s="2125"/>
      <c r="AX51" s="2106"/>
      <c r="AY51" s="2106"/>
      <c r="AZ51" s="2109"/>
      <c r="BA51" s="2538"/>
      <c r="BB51" s="2539"/>
      <c r="BC51" s="2539"/>
      <c r="BD51" s="2539"/>
      <c r="BE51" s="2540"/>
      <c r="BF51" s="2577"/>
      <c r="BG51" s="2575"/>
      <c r="BH51" s="2575"/>
      <c r="BI51" s="2445"/>
      <c r="BJ51" s="2587"/>
      <c r="BK51" s="2115"/>
      <c r="BL51" s="2115"/>
      <c r="BM51" s="2217"/>
      <c r="BN51" s="2580"/>
      <c r="BO51" s="2437"/>
      <c r="BP51" s="2575"/>
      <c r="BQ51" s="2453"/>
      <c r="BR51" s="2120"/>
      <c r="BS51" s="2124"/>
      <c r="BT51" s="2125"/>
      <c r="BU51" s="2106"/>
      <c r="BV51" s="2106"/>
      <c r="BW51" s="2109"/>
      <c r="BX51" s="2476"/>
      <c r="BY51" s="2477"/>
      <c r="BZ51" s="2477"/>
      <c r="CA51" s="2477"/>
      <c r="CB51" s="2478"/>
    </row>
    <row r="52" spans="1:104" ht="63" customHeight="1" x14ac:dyDescent="0.3">
      <c r="A52" s="2206"/>
      <c r="B52" s="2206"/>
      <c r="C52" s="2207"/>
      <c r="D52" s="1037">
        <v>42217</v>
      </c>
      <c r="E52" s="2500"/>
      <c r="F52" s="2106"/>
      <c r="G52" s="2106"/>
      <c r="H52" s="2185"/>
      <c r="I52" s="2184"/>
      <c r="J52" s="2106"/>
      <c r="K52" s="2106"/>
      <c r="L52" s="2106"/>
      <c r="M52" s="2106"/>
      <c r="N52" s="2106"/>
      <c r="O52" s="2227"/>
      <c r="P52" s="2228"/>
      <c r="Q52" s="2131"/>
      <c r="R52" s="2115"/>
      <c r="S52" s="2453"/>
      <c r="T52" s="2106"/>
      <c r="U52" s="2124"/>
      <c r="V52" s="2125"/>
      <c r="W52" s="2106"/>
      <c r="X52" s="2106"/>
      <c r="Y52" s="2109"/>
      <c r="Z52" s="2566"/>
      <c r="AA52" s="2567"/>
      <c r="AB52" s="2567"/>
      <c r="AC52" s="2567"/>
      <c r="AD52" s="2568"/>
      <c r="AE52" s="2500"/>
      <c r="AF52" s="2106"/>
      <c r="AG52" s="2106"/>
      <c r="AH52" s="2445"/>
      <c r="AI52" s="2531"/>
      <c r="AJ52" s="2106"/>
      <c r="AK52" s="2106"/>
      <c r="AL52" s="2106"/>
      <c r="AM52" s="2106"/>
      <c r="AN52" s="2106"/>
      <c r="AO52" s="2106"/>
      <c r="AP52" s="2227"/>
      <c r="AQ52" s="2228"/>
      <c r="AR52" s="2131"/>
      <c r="AS52" s="2135"/>
      <c r="AT52" s="2453"/>
      <c r="AU52" s="2106"/>
      <c r="AV52" s="2124"/>
      <c r="AW52" s="2125"/>
      <c r="AX52" s="2106"/>
      <c r="AY52" s="2106"/>
      <c r="AZ52" s="2109"/>
      <c r="BA52" s="2538"/>
      <c r="BB52" s="2539"/>
      <c r="BC52" s="2539"/>
      <c r="BD52" s="2539"/>
      <c r="BE52" s="2540"/>
      <c r="BF52" s="2577"/>
      <c r="BG52" s="2575"/>
      <c r="BH52" s="2575"/>
      <c r="BI52" s="2442" t="str">
        <f>HYPERLINK("http://www.auc.ab.ca/regulatory_documents/ProceedingDocuments/2015/20730-D01-2015.pdf", "AUC Disposition 20730-D01-2015 AltaGas Utilities Inc. and the Town of Westlock Franchise Agreement and Rate Rider 'A', Pages 33-35")</f>
        <v>AUC Disposition 20730-D01-2015 AltaGas Utilities Inc. and the Town of Westlock Franchise Agreement and Rate Rider 'A', Pages 33-35</v>
      </c>
      <c r="BJ52" s="2587"/>
      <c r="BK52" s="2115"/>
      <c r="BL52" s="2115"/>
      <c r="BM52" s="2217"/>
      <c r="BN52" s="2580"/>
      <c r="BO52" s="2437"/>
      <c r="BP52" s="2575"/>
      <c r="BQ52" s="2453"/>
      <c r="BR52" s="2120"/>
      <c r="BS52" s="2124"/>
      <c r="BT52" s="2125"/>
      <c r="BU52" s="2106"/>
      <c r="BV52" s="2106"/>
      <c r="BW52" s="2109"/>
      <c r="BX52" s="2476"/>
      <c r="BY52" s="2477"/>
      <c r="BZ52" s="2477"/>
      <c r="CA52" s="2477"/>
      <c r="CB52" s="2478"/>
    </row>
    <row r="53" spans="1:104" ht="66" customHeight="1" x14ac:dyDescent="0.3">
      <c r="A53" s="2206"/>
      <c r="B53" s="2206"/>
      <c r="C53" s="2207"/>
      <c r="D53" s="1037">
        <v>42248</v>
      </c>
      <c r="E53" s="2500"/>
      <c r="F53" s="2106"/>
      <c r="G53" s="2106"/>
      <c r="H53" s="2187"/>
      <c r="I53" s="2184"/>
      <c r="J53" s="2106"/>
      <c r="K53" s="2106"/>
      <c r="L53" s="2106"/>
      <c r="M53" s="2106"/>
      <c r="N53" s="2106"/>
      <c r="O53" s="2227"/>
      <c r="P53" s="2228"/>
      <c r="Q53" s="2131"/>
      <c r="R53" s="2115"/>
      <c r="S53" s="2453"/>
      <c r="T53" s="2106"/>
      <c r="U53" s="2124"/>
      <c r="V53" s="2125"/>
      <c r="W53" s="2106"/>
      <c r="X53" s="2106"/>
      <c r="Y53" s="2109"/>
      <c r="Z53" s="2566"/>
      <c r="AA53" s="2567"/>
      <c r="AB53" s="2567"/>
      <c r="AC53" s="2567"/>
      <c r="AD53" s="2568"/>
      <c r="AE53" s="2500"/>
      <c r="AF53" s="2106"/>
      <c r="AG53" s="2106"/>
      <c r="AH53" s="2445"/>
      <c r="AI53" s="2531"/>
      <c r="AJ53" s="2106"/>
      <c r="AK53" s="2106"/>
      <c r="AL53" s="2106"/>
      <c r="AM53" s="2106"/>
      <c r="AN53" s="2106"/>
      <c r="AO53" s="2106"/>
      <c r="AP53" s="2227"/>
      <c r="AQ53" s="2228"/>
      <c r="AR53" s="2131"/>
      <c r="AS53" s="2135"/>
      <c r="AT53" s="2453"/>
      <c r="AU53" s="2106"/>
      <c r="AV53" s="2124"/>
      <c r="AW53" s="2125"/>
      <c r="AX53" s="2106"/>
      <c r="AY53" s="2106"/>
      <c r="AZ53" s="2109"/>
      <c r="BA53" s="2538"/>
      <c r="BB53" s="2539"/>
      <c r="BC53" s="2539"/>
      <c r="BD53" s="2539"/>
      <c r="BE53" s="2540"/>
      <c r="BF53" s="2577"/>
      <c r="BG53" s="2575"/>
      <c r="BH53" s="2575"/>
      <c r="BI53" s="2443"/>
      <c r="BJ53" s="2587"/>
      <c r="BK53" s="2115"/>
      <c r="BL53" s="2115"/>
      <c r="BM53" s="2217"/>
      <c r="BN53" s="2580"/>
      <c r="BO53" s="2437"/>
      <c r="BP53" s="2575"/>
      <c r="BQ53" s="2453"/>
      <c r="BR53" s="2120"/>
      <c r="BS53" s="2124"/>
      <c r="BT53" s="2125"/>
      <c r="BU53" s="2106"/>
      <c r="BV53" s="2106"/>
      <c r="BW53" s="2109"/>
      <c r="BX53" s="2476"/>
      <c r="BY53" s="2477"/>
      <c r="BZ53" s="2477"/>
      <c r="CA53" s="2477"/>
      <c r="CB53" s="2478"/>
    </row>
    <row r="54" spans="1:104" ht="64.5" customHeight="1" x14ac:dyDescent="0.3">
      <c r="A54" s="2206"/>
      <c r="B54" s="2206"/>
      <c r="C54" s="2207"/>
      <c r="D54" s="1037">
        <v>42278</v>
      </c>
      <c r="E54" s="2500"/>
      <c r="F54" s="2106"/>
      <c r="G54" s="2106"/>
      <c r="H54" s="2200" t="str">
        <f>HYPERLINK("http://www.auc.ab.ca/regulatory_documents/ProceedingDocuments/2015/20752-D01-2015.pdf", "AUC Decision 20752-D01-2015 Town of Hinton and ATCO Gas and Pipelines Ltd. Renewal of Franchise Agreement, Page 37")</f>
        <v>AUC Decision 20752-D01-2015 Town of Hinton and ATCO Gas and Pipelines Ltd. Renewal of Franchise Agreement, Page 37</v>
      </c>
      <c r="I54" s="2184"/>
      <c r="J54" s="2106"/>
      <c r="K54" s="2106"/>
      <c r="L54" s="2106"/>
      <c r="M54" s="2106"/>
      <c r="N54" s="2106"/>
      <c r="O54" s="2227"/>
      <c r="P54" s="2228"/>
      <c r="Q54" s="2131"/>
      <c r="R54" s="2115"/>
      <c r="S54" s="2453"/>
      <c r="T54" s="2106"/>
      <c r="U54" s="2124"/>
      <c r="V54" s="2125"/>
      <c r="W54" s="2106"/>
      <c r="X54" s="2106"/>
      <c r="Y54" s="2109"/>
      <c r="Z54" s="2566"/>
      <c r="AA54" s="2567"/>
      <c r="AB54" s="2567"/>
      <c r="AC54" s="2567"/>
      <c r="AD54" s="2568"/>
      <c r="AE54" s="2500"/>
      <c r="AF54" s="2106"/>
      <c r="AG54" s="2106"/>
      <c r="AH54" s="2445"/>
      <c r="AI54" s="2531"/>
      <c r="AJ54" s="2106"/>
      <c r="AK54" s="2106"/>
      <c r="AL54" s="2106"/>
      <c r="AM54" s="2106"/>
      <c r="AN54" s="2106"/>
      <c r="AO54" s="2106"/>
      <c r="AP54" s="2227"/>
      <c r="AQ54" s="2228"/>
      <c r="AR54" s="2131"/>
      <c r="AS54" s="2135"/>
      <c r="AT54" s="2453"/>
      <c r="AU54" s="2106"/>
      <c r="AV54" s="2124"/>
      <c r="AW54" s="2125"/>
      <c r="AX54" s="2106"/>
      <c r="AY54" s="2106"/>
      <c r="AZ54" s="2109"/>
      <c r="BA54" s="2538"/>
      <c r="BB54" s="2539"/>
      <c r="BC54" s="2539"/>
      <c r="BD54" s="2539"/>
      <c r="BE54" s="2540"/>
      <c r="BF54" s="2577"/>
      <c r="BG54" s="2575"/>
      <c r="BH54" s="2575"/>
      <c r="BI54" s="2443"/>
      <c r="BJ54" s="2588"/>
      <c r="BK54" s="2483" t="str">
        <f>HYPERLINK("http://www.auc.ab.ca/utility-sector/rates-and-tariffs/Documents/NaturalGas/AltaGas-RiderF-effectOctober1-2015.pdf", "AUC AltaGas October 2015 Net Deficiency and Rider F, Page 1")</f>
        <v>AUC AltaGas October 2015 Net Deficiency and Rider F, Page 1</v>
      </c>
      <c r="BL54" s="2210"/>
      <c r="BM54" s="2210"/>
      <c r="BN54" s="2580"/>
      <c r="BO54" s="2437"/>
      <c r="BP54" s="2575"/>
      <c r="BQ54" s="2453"/>
      <c r="BR54" s="2120"/>
      <c r="BS54" s="2124"/>
      <c r="BT54" s="2125"/>
      <c r="BU54" s="2106"/>
      <c r="BV54" s="2106"/>
      <c r="BW54" s="2109"/>
      <c r="BX54" s="2476"/>
      <c r="BY54" s="2477"/>
      <c r="BZ54" s="2477"/>
      <c r="CA54" s="2477"/>
      <c r="CB54" s="2478"/>
    </row>
    <row r="55" spans="1:104" ht="66" customHeight="1" x14ac:dyDescent="0.3">
      <c r="A55" s="2206"/>
      <c r="B55" s="2206"/>
      <c r="C55" s="2207"/>
      <c r="D55" s="1037">
        <v>42309</v>
      </c>
      <c r="E55" s="2500"/>
      <c r="F55" s="2106"/>
      <c r="G55" s="2106"/>
      <c r="H55" s="2185"/>
      <c r="I55" s="2186"/>
      <c r="J55" s="2106"/>
      <c r="K55" s="2106"/>
      <c r="L55" s="2106"/>
      <c r="M55" s="2106"/>
      <c r="N55" s="2106"/>
      <c r="O55" s="2227"/>
      <c r="P55" s="2228"/>
      <c r="Q55" s="2131"/>
      <c r="R55" s="2115"/>
      <c r="S55" s="2453"/>
      <c r="T55" s="2106"/>
      <c r="U55" s="2124"/>
      <c r="V55" s="2125"/>
      <c r="W55" s="2106"/>
      <c r="X55" s="2106"/>
      <c r="Y55" s="2109"/>
      <c r="Z55" s="2566"/>
      <c r="AA55" s="2567"/>
      <c r="AB55" s="2567"/>
      <c r="AC55" s="2567"/>
      <c r="AD55" s="2568"/>
      <c r="AE55" s="2500"/>
      <c r="AF55" s="2106"/>
      <c r="AG55" s="2106"/>
      <c r="AH55" s="2445"/>
      <c r="AI55" s="2531"/>
      <c r="AJ55" s="2106"/>
      <c r="AK55" s="2106"/>
      <c r="AL55" s="2106"/>
      <c r="AM55" s="2106"/>
      <c r="AN55" s="2106"/>
      <c r="AO55" s="2106"/>
      <c r="AP55" s="2227"/>
      <c r="AQ55" s="2228"/>
      <c r="AR55" s="2131"/>
      <c r="AS55" s="2135"/>
      <c r="AT55" s="2453"/>
      <c r="AU55" s="2106"/>
      <c r="AV55" s="2124"/>
      <c r="AW55" s="2125"/>
      <c r="AX55" s="2106"/>
      <c r="AY55" s="2106"/>
      <c r="AZ55" s="2109"/>
      <c r="BA55" s="2538"/>
      <c r="BB55" s="2539"/>
      <c r="BC55" s="2539"/>
      <c r="BD55" s="2539"/>
      <c r="BE55" s="2540"/>
      <c r="BF55" s="2577"/>
      <c r="BG55" s="2575"/>
      <c r="BH55" s="2575"/>
      <c r="BI55" s="2443"/>
      <c r="BJ55" s="2588"/>
      <c r="BK55" s="2484"/>
      <c r="BL55" s="2211"/>
      <c r="BM55" s="2211"/>
      <c r="BN55" s="2580"/>
      <c r="BO55" s="2437"/>
      <c r="BP55" s="2575"/>
      <c r="BQ55" s="2453"/>
      <c r="BR55" s="2120"/>
      <c r="BS55" s="2124"/>
      <c r="BT55" s="2125"/>
      <c r="BU55" s="2106"/>
      <c r="BV55" s="2106"/>
      <c r="BW55" s="2109"/>
      <c r="BX55" s="2476"/>
      <c r="BY55" s="2477"/>
      <c r="BZ55" s="2477"/>
      <c r="CA55" s="2477"/>
      <c r="CB55" s="2478"/>
    </row>
    <row r="56" spans="1:104" ht="60.75" customHeight="1" x14ac:dyDescent="0.3">
      <c r="A56" s="2208"/>
      <c r="B56" s="2208"/>
      <c r="C56" s="2209"/>
      <c r="D56" s="1102">
        <v>42339</v>
      </c>
      <c r="E56" s="2500"/>
      <c r="F56" s="2106"/>
      <c r="G56" s="2106"/>
      <c r="H56" s="2187"/>
      <c r="I56" s="2219" t="str">
        <f>HYPERLINK("http://www.auc.ab.ca/regulatory_documents/ProceedingDocuments/2015/21049-D01-2015.pdf", "AUC Disposition 21049-D01-2015 AGPL North Rider B, Page 2")</f>
        <v>AUC Disposition 21049-D01-2015 AGPL North Rider B, Page 2</v>
      </c>
      <c r="J56" s="2106"/>
      <c r="K56" s="2106"/>
      <c r="L56" s="2106"/>
      <c r="M56" s="2106"/>
      <c r="N56" s="2106"/>
      <c r="O56" s="2227"/>
      <c r="P56" s="2228"/>
      <c r="Q56" s="2131"/>
      <c r="R56" s="2115"/>
      <c r="S56" s="2453"/>
      <c r="T56" s="2106"/>
      <c r="U56" s="2124"/>
      <c r="V56" s="2125"/>
      <c r="W56" s="2106"/>
      <c r="X56" s="2106"/>
      <c r="Y56" s="2109"/>
      <c r="Z56" s="2566"/>
      <c r="AA56" s="2567"/>
      <c r="AB56" s="2567"/>
      <c r="AC56" s="2567"/>
      <c r="AD56" s="2568"/>
      <c r="AE56" s="2500"/>
      <c r="AF56" s="2106"/>
      <c r="AG56" s="2106"/>
      <c r="AH56" s="2445"/>
      <c r="AI56" s="2531"/>
      <c r="AJ56" s="2106"/>
      <c r="AK56" s="2106"/>
      <c r="AL56" s="2106"/>
      <c r="AM56" s="2106"/>
      <c r="AN56" s="2106"/>
      <c r="AO56" s="2106"/>
      <c r="AP56" s="2227"/>
      <c r="AQ56" s="2228"/>
      <c r="AR56" s="2131"/>
      <c r="AS56" s="2135"/>
      <c r="AT56" s="2453"/>
      <c r="AU56" s="2106"/>
      <c r="AV56" s="2124"/>
      <c r="AW56" s="2125"/>
      <c r="AX56" s="2106"/>
      <c r="AY56" s="2106"/>
      <c r="AZ56" s="2109"/>
      <c r="BA56" s="2538"/>
      <c r="BB56" s="2539"/>
      <c r="BC56" s="2539"/>
      <c r="BD56" s="2539"/>
      <c r="BE56" s="2540"/>
      <c r="BF56" s="2577"/>
      <c r="BG56" s="2575"/>
      <c r="BH56" s="2575"/>
      <c r="BI56" s="2444"/>
      <c r="BJ56" s="2588"/>
      <c r="BK56" s="2484"/>
      <c r="BL56" s="2211"/>
      <c r="BM56" s="2211"/>
      <c r="BN56" s="2580"/>
      <c r="BO56" s="2437"/>
      <c r="BP56" s="2575"/>
      <c r="BQ56" s="2453"/>
      <c r="BR56" s="2120"/>
      <c r="BS56" s="2124"/>
      <c r="BT56" s="2125"/>
      <c r="BU56" s="2106"/>
      <c r="BV56" s="2106"/>
      <c r="BW56" s="2109"/>
      <c r="BX56" s="2476"/>
      <c r="BY56" s="2477"/>
      <c r="BZ56" s="2477"/>
      <c r="CA56" s="2477"/>
      <c r="CB56" s="2478"/>
    </row>
    <row r="57" spans="1:104" ht="66.75" customHeight="1" x14ac:dyDescent="0.3">
      <c r="A57" s="2204">
        <v>2016</v>
      </c>
      <c r="B57" s="2204"/>
      <c r="C57" s="2205"/>
      <c r="D57" s="1454">
        <v>42370</v>
      </c>
      <c r="E57" s="2500"/>
      <c r="F57" s="2106"/>
      <c r="G57" s="2106"/>
      <c r="H57" s="1457" t="str">
        <f>HYPERLINK("https://www.trackenergyregs.ca/cga/abuc/en/127356/1/document.do", "AUC Decision 21111-D01-2015 Town of Stony Plain Franchise Agreement with AGPL and Amendment to Rate Rider A, Page 37")</f>
        <v>AUC Decision 21111-D01-2015 Town of Stony Plain Franchise Agreement with AGPL and Amendment to Rate Rider A, Page 37</v>
      </c>
      <c r="I57" s="2184"/>
      <c r="J57" s="2106"/>
      <c r="K57" s="2106"/>
      <c r="L57" s="2106"/>
      <c r="M57" s="2106"/>
      <c r="N57" s="2106"/>
      <c r="O57" s="2227"/>
      <c r="P57" s="2228"/>
      <c r="Q57" s="2131"/>
      <c r="R57" s="1613" t="str">
        <f>HYPERLINK("http://www.directenergyregulatedservices.com/Documents/regulatory/2016/151221%20DERS_Jan_2016%20Interim%20North%20DRT%20Rate%20Schedules.pdf", "Direct Energy Regulated Services ATCO Gas North January 2016 Interim Rate Schedules , Page 2")</f>
        <v>Direct Energy Regulated Services ATCO Gas North January 2016 Interim Rate Schedules , Page 2</v>
      </c>
      <c r="S57" s="2453"/>
      <c r="T57" s="2106"/>
      <c r="U57" s="2124"/>
      <c r="V57" s="2125"/>
      <c r="W57" s="2106"/>
      <c r="X57" s="2106"/>
      <c r="Y57" s="2109"/>
      <c r="Z57" s="2566"/>
      <c r="AA57" s="2567"/>
      <c r="AB57" s="2567"/>
      <c r="AC57" s="2567"/>
      <c r="AD57" s="2568"/>
      <c r="AE57" s="2500"/>
      <c r="AF57" s="2106"/>
      <c r="AG57" s="2106"/>
      <c r="AH57" s="2445"/>
      <c r="AI57" s="2531"/>
      <c r="AJ57" s="2106"/>
      <c r="AK57" s="2106"/>
      <c r="AL57" s="2106"/>
      <c r="AM57" s="2106"/>
      <c r="AN57" s="2106"/>
      <c r="AO57" s="2106"/>
      <c r="AP57" s="2227"/>
      <c r="AQ57" s="2228"/>
      <c r="AR57" s="2131"/>
      <c r="AS57" s="2436" t="str">
        <f>HYPERLINK("http://www.directenergyregulatedservices.com/Documents/regulatory/2016/151221%20DERS_Jan_2016%20Interim%20South%20DRT%20Rate%20Schedules.pdf", "Direct Energy Regulated Services ATCO Gas South January 2016 Interim Rate Schedules, Page 2")</f>
        <v>Direct Energy Regulated Services ATCO Gas South January 2016 Interim Rate Schedules, Page 2</v>
      </c>
      <c r="AT57" s="2453"/>
      <c r="AU57" s="2106"/>
      <c r="AV57" s="2124"/>
      <c r="AW57" s="2125"/>
      <c r="AX57" s="2106"/>
      <c r="AY57" s="2106"/>
      <c r="AZ57" s="2109"/>
      <c r="BA57" s="2538"/>
      <c r="BB57" s="2539"/>
      <c r="BC57" s="2539"/>
      <c r="BD57" s="2539"/>
      <c r="BE57" s="2540"/>
      <c r="BF57" s="2577"/>
      <c r="BG57" s="2575"/>
      <c r="BH57" s="2575"/>
      <c r="BI57" s="2442" t="str">
        <f>HYPERLINK("http://www.auc.ab.ca/regulatory_documents/ProceedingDocuments/2016/21221-D01-2016.pdf", "AUC Disposition 21221-D01-2016 AltaGas Utilities Inc. and the Village of Waskatenau Franchise Agreement and Rate Rider A, Page 33-35")</f>
        <v>AUC Disposition 21221-D01-2016 AltaGas Utilities Inc. and the Village of Waskatenau Franchise Agreement and Rate Rider A, Page 33-35</v>
      </c>
      <c r="BJ57" s="2588"/>
      <c r="BK57" s="2484"/>
      <c r="BL57" s="2211"/>
      <c r="BM57" s="2211"/>
      <c r="BN57" s="2580"/>
      <c r="BO57" s="2482" t="str">
        <f>HYPERLINK("http://www.altagasutilities.com/sites/default/files/pdf/20823-D01-2015AltaGas2016AnnualPBRRateAd.pdf", "AUC AltaGas 2016 Annual Performance-Based Regulation Rate Adjustment Filing Decision")</f>
        <v>AUC AltaGas 2016 Annual Performance-Based Regulation Rate Adjustment Filing Decision</v>
      </c>
      <c r="BP57" s="2575"/>
      <c r="BQ57" s="2453"/>
      <c r="BR57" s="2120"/>
      <c r="BS57" s="2124"/>
      <c r="BT57" s="2125"/>
      <c r="BU57" s="2106"/>
      <c r="BV57" s="2106"/>
      <c r="BW57" s="2109"/>
      <c r="BX57" s="2476"/>
      <c r="BY57" s="2477"/>
      <c r="BZ57" s="2477"/>
      <c r="CA57" s="2477"/>
      <c r="CB57" s="2478"/>
    </row>
    <row r="58" spans="1:104" ht="66" customHeight="1" x14ac:dyDescent="0.3">
      <c r="A58" s="2206"/>
      <c r="B58" s="2206"/>
      <c r="C58" s="2207"/>
      <c r="D58" s="723">
        <v>42401</v>
      </c>
      <c r="E58" s="2500"/>
      <c r="F58" s="2106"/>
      <c r="G58" s="2106"/>
      <c r="H58" s="1457" t="str">
        <f>HYPERLINK("http://www.auc.ab.ca/regulatory_documents/ProceedingDocuments/2015/21039-D01-2015.pdf", "AUC Decision 21039-D01-2015 AGPL and the Town of McLennan Franchise Agreement and Rate Rider A, Page 35")</f>
        <v>AUC Decision 21039-D01-2015 AGPL and the Town of McLennan Franchise Agreement and Rate Rider A, Page 35</v>
      </c>
      <c r="I58" s="2186"/>
      <c r="J58" s="2106"/>
      <c r="K58" s="2106"/>
      <c r="L58" s="2106"/>
      <c r="M58" s="2106"/>
      <c r="N58" s="2106"/>
      <c r="O58" s="2227"/>
      <c r="P58" s="2228"/>
      <c r="Q58" s="2131"/>
      <c r="R58" s="1613" t="str">
        <f>HYPERLINK("http://www.directenergyregulatedservices.com/Documents/regulatory/2016/160125%20DERS_Feb_2016%20Interim%20North%20DRT%20Rate%20Schedules.pdf", "Direct Energy Regulated Services ATCO Gas North February 2016 Interim Rate Schedules , Page 2")</f>
        <v>Direct Energy Regulated Services ATCO Gas North February 2016 Interim Rate Schedules , Page 2</v>
      </c>
      <c r="S58" s="2453"/>
      <c r="T58" s="2106"/>
      <c r="U58" s="2124"/>
      <c r="V58" s="2125"/>
      <c r="W58" s="2106"/>
      <c r="X58" s="2106"/>
      <c r="Y58" s="2109"/>
      <c r="Z58" s="2566"/>
      <c r="AA58" s="2567"/>
      <c r="AB58" s="2567"/>
      <c r="AC58" s="2567"/>
      <c r="AD58" s="2568"/>
      <c r="AE58" s="2500"/>
      <c r="AF58" s="2106"/>
      <c r="AG58" s="2106"/>
      <c r="AH58" s="2573"/>
      <c r="AI58" s="2531" t="str">
        <f>HYPERLINK("http://www.auc.ab.ca/regulatory_documents/ProceedingDocuments/2016/21896-D01-2016.pdf", "AUC Disposition 21896-D01-2016 AGPL South 2015 Rider B Reconciliation and 2016 Rider B Calculation, Page 5")</f>
        <v>AUC Disposition 21896-D01-2016 AGPL South 2015 Rider B Reconciliation and 2016 Rider B Calculation, Page 5</v>
      </c>
      <c r="AJ58" s="2106"/>
      <c r="AK58" s="2106"/>
      <c r="AL58" s="2106"/>
      <c r="AM58" s="2106"/>
      <c r="AN58" s="2106"/>
      <c r="AO58" s="2106"/>
      <c r="AP58" s="2227"/>
      <c r="AQ58" s="2228"/>
      <c r="AR58" s="2131"/>
      <c r="AS58" s="2436"/>
      <c r="AT58" s="2453"/>
      <c r="AU58" s="2106"/>
      <c r="AV58" s="2124"/>
      <c r="AW58" s="2125"/>
      <c r="AX58" s="2106"/>
      <c r="AY58" s="2106"/>
      <c r="AZ58" s="2109"/>
      <c r="BA58" s="2538"/>
      <c r="BB58" s="2539"/>
      <c r="BC58" s="2539"/>
      <c r="BD58" s="2539"/>
      <c r="BE58" s="2540"/>
      <c r="BF58" s="2577"/>
      <c r="BG58" s="2575"/>
      <c r="BH58" s="2575"/>
      <c r="BI58" s="2443"/>
      <c r="BJ58" s="2588"/>
      <c r="BK58" s="2484"/>
      <c r="BL58" s="2211"/>
      <c r="BM58" s="2211"/>
      <c r="BN58" s="2580"/>
      <c r="BO58" s="2436"/>
      <c r="BP58" s="2575"/>
      <c r="BQ58" s="2453"/>
      <c r="BR58" s="2120"/>
      <c r="BS58" s="2124"/>
      <c r="BT58" s="2125"/>
      <c r="BU58" s="2106"/>
      <c r="BV58" s="2106"/>
      <c r="BW58" s="2109"/>
      <c r="BX58" s="2476"/>
      <c r="BY58" s="2477"/>
      <c r="BZ58" s="2477"/>
      <c r="CA58" s="2477"/>
      <c r="CB58" s="2478"/>
    </row>
    <row r="59" spans="1:104" ht="63" customHeight="1" x14ac:dyDescent="0.3">
      <c r="A59" s="2206"/>
      <c r="B59" s="2206"/>
      <c r="C59" s="2207"/>
      <c r="D59" s="1037">
        <v>42430</v>
      </c>
      <c r="E59" s="2500"/>
      <c r="F59" s="2106"/>
      <c r="G59" s="2106"/>
      <c r="H59" s="2195" t="str">
        <f>HYPERLINK("http://www.auc.ab.ca/regulatory_documents/ProceedingDocuments/2016/21297-D01-2016.pdf", "AUC Disposition 21297-D01-2016 AGPL and the Town of Bruderheim Franchise Agreement and Rate Rider A, Page 35")</f>
        <v>AUC Disposition 21297-D01-2016 AGPL and the Town of Bruderheim Franchise Agreement and Rate Rider A, Page 35</v>
      </c>
      <c r="I59" s="1510" t="str">
        <f>HYPERLINK("http://www.auc.ab.ca/regulatory_documents/ProceedingDocuments/2016/21345-D01-2016.pdf", "AUC Disposition 21345-D01-2016 AGPL North Rider B, Page 2")</f>
        <v>AUC Disposition 21345-D01-2016 AGPL North Rider B, Page 2</v>
      </c>
      <c r="J59" s="2106"/>
      <c r="K59" s="2106"/>
      <c r="L59" s="2106"/>
      <c r="M59" s="2106"/>
      <c r="N59" s="2106"/>
      <c r="O59" s="2227"/>
      <c r="P59" s="2228"/>
      <c r="Q59" s="2131"/>
      <c r="R59" s="1613" t="str">
        <f>HYPERLINK("http://www.directenergyregulatedservices.com/Documents/regulatory/2016/160223%20DERS_Mar_2016%20Interim%20North%20DRT%20Rate%20Schedules.pdf", "Direct Energy Regulated Services ATCO Gas North March 2016 Interim Rate Schedules , Page 2")</f>
        <v>Direct Energy Regulated Services ATCO Gas North March 2016 Interim Rate Schedules , Page 2</v>
      </c>
      <c r="S59" s="2453"/>
      <c r="T59" s="2106"/>
      <c r="U59" s="2124"/>
      <c r="V59" s="2125"/>
      <c r="W59" s="2106"/>
      <c r="X59" s="2106"/>
      <c r="Y59" s="2109"/>
      <c r="Z59" s="2566"/>
      <c r="AA59" s="2567"/>
      <c r="AB59" s="2567"/>
      <c r="AC59" s="2567"/>
      <c r="AD59" s="2568"/>
      <c r="AE59" s="2500"/>
      <c r="AF59" s="2106"/>
      <c r="AG59" s="2106"/>
      <c r="AH59" s="2573"/>
      <c r="AI59" s="2531"/>
      <c r="AJ59" s="2106"/>
      <c r="AK59" s="2106"/>
      <c r="AL59" s="2106"/>
      <c r="AM59" s="2106"/>
      <c r="AN59" s="2106"/>
      <c r="AO59" s="2106"/>
      <c r="AP59" s="2227"/>
      <c r="AQ59" s="2228"/>
      <c r="AR59" s="2131"/>
      <c r="AS59" s="2436"/>
      <c r="AT59" s="2453"/>
      <c r="AU59" s="2106"/>
      <c r="AV59" s="2124"/>
      <c r="AW59" s="2125"/>
      <c r="AX59" s="2106"/>
      <c r="AY59" s="2106"/>
      <c r="AZ59" s="2109"/>
      <c r="BA59" s="2538"/>
      <c r="BB59" s="2539"/>
      <c r="BC59" s="2539"/>
      <c r="BD59" s="2539"/>
      <c r="BE59" s="2540"/>
      <c r="BF59" s="2577"/>
      <c r="BG59" s="2575"/>
      <c r="BH59" s="2575"/>
      <c r="BI59" s="2444"/>
      <c r="BJ59" s="2589"/>
      <c r="BK59" s="2484"/>
      <c r="BL59" s="2211"/>
      <c r="BM59" s="2211"/>
      <c r="BN59" s="2580"/>
      <c r="BO59" s="2436"/>
      <c r="BP59" s="2575"/>
      <c r="BQ59" s="2453"/>
      <c r="BR59" s="2120"/>
      <c r="BS59" s="2124"/>
      <c r="BT59" s="2125"/>
      <c r="BU59" s="2106"/>
      <c r="BV59" s="2106"/>
      <c r="BW59" s="2109"/>
      <c r="BX59" s="2476"/>
      <c r="BY59" s="2477"/>
      <c r="BZ59" s="2477"/>
      <c r="CA59" s="2477"/>
      <c r="CB59" s="2478"/>
    </row>
    <row r="60" spans="1:104" s="1374" customFormat="1" ht="64.5" customHeight="1" x14ac:dyDescent="0.3">
      <c r="A60" s="2206"/>
      <c r="B60" s="2206"/>
      <c r="C60" s="2207"/>
      <c r="D60" s="1037">
        <v>42461</v>
      </c>
      <c r="E60" s="2500"/>
      <c r="F60" s="2106"/>
      <c r="G60" s="2106"/>
      <c r="H60" s="2195"/>
      <c r="I60" s="1510" t="str">
        <f>HYPERLINK("http://www.auc.ab.ca/regulatory_documents/ProceedingDocuments/2016/21346-D01-2016.pdf", "AUC Disposition 21346-D01-2016 AGPL North Rider B, Page 2")</f>
        <v>AUC Disposition 21346-D01-2016 AGPL North Rider B, Page 2</v>
      </c>
      <c r="J60" s="2106"/>
      <c r="K60" s="2106"/>
      <c r="L60" s="2106"/>
      <c r="M60" s="2106"/>
      <c r="N60" s="2106"/>
      <c r="O60" s="2227"/>
      <c r="P60" s="2228"/>
      <c r="Q60" s="2131"/>
      <c r="R60" s="2452" t="str">
        <f>HYPERLINK("http://www.auc.ab.ca/regulatory_documents/ProceedingDocuments/2016/20785-D01-2016.pdf", "AUC DERS March 2016 DRT and RRT Compliance Filing Decision 20785-D01-2016, Page 120")</f>
        <v>AUC DERS March 2016 DRT and RRT Compliance Filing Decision 20785-D01-2016, Page 120</v>
      </c>
      <c r="S60" s="2453"/>
      <c r="T60" s="2106"/>
      <c r="U60" s="2124"/>
      <c r="V60" s="2125"/>
      <c r="W60" s="2106"/>
      <c r="X60" s="2106"/>
      <c r="Y60" s="2109"/>
      <c r="Z60" s="2566"/>
      <c r="AA60" s="2567"/>
      <c r="AB60" s="2567"/>
      <c r="AC60" s="2567"/>
      <c r="AD60" s="2568"/>
      <c r="AE60" s="2500"/>
      <c r="AF60" s="2106"/>
      <c r="AG60" s="2106"/>
      <c r="AH60" s="2573"/>
      <c r="AI60" s="2531"/>
      <c r="AJ60" s="2106"/>
      <c r="AK60" s="2106"/>
      <c r="AL60" s="2106"/>
      <c r="AM60" s="2106"/>
      <c r="AN60" s="2106"/>
      <c r="AO60" s="2106"/>
      <c r="AP60" s="2227"/>
      <c r="AQ60" s="2228"/>
      <c r="AR60" s="2131"/>
      <c r="AS60" s="2190" t="str">
        <f>HYPERLINK("http://www.auc.ab.ca/regulatory_documents/ProceedingDocuments/2016/20785-D01-2016.pdf", "AUC DERS March 2016 DRT and RRT Compliance Filing Decision 20785-D01-2016, Page 126")</f>
        <v>AUC DERS March 2016 DRT and RRT Compliance Filing Decision 20785-D01-2016, Page 126</v>
      </c>
      <c r="AT60" s="2453"/>
      <c r="AU60" s="2106"/>
      <c r="AV60" s="2124"/>
      <c r="AW60" s="2125"/>
      <c r="AX60" s="2106"/>
      <c r="AY60" s="2106"/>
      <c r="AZ60" s="2109"/>
      <c r="BA60" s="2538"/>
      <c r="BB60" s="2539"/>
      <c r="BC60" s="2539"/>
      <c r="BD60" s="2539"/>
      <c r="BE60" s="2540"/>
      <c r="BF60" s="2577"/>
      <c r="BG60" s="2575"/>
      <c r="BH60" s="2575"/>
      <c r="BI60" s="2584" t="str">
        <f>HYPERLINK("https://www.energyregtracker.ca/cga/abuc/en/142907/1/document.do", "AUC Disposition 21389-D01-2016 AltaGas Utilities Inc. and the Village of Hay Lakes Franchise Agreement and Rate Rider A, Page 33-35")</f>
        <v>AUC Disposition 21389-D01-2016 AltaGas Utilities Inc. and the Village of Hay Lakes Franchise Agreement and Rate Rider A, Page 33-35</v>
      </c>
      <c r="BJ60" s="2438" t="str">
        <f>HYPERLINK("http://www.auc.ab.ca/regulatory_documents/ProceedingDocuments/2016/21431-D01-2016.pdf", "AUC Disposition 21431-D01-2016 AltaGas Utilities Inc. Rider B Filing for Acknowledgement 2016/2017, Page 3,4")</f>
        <v>AUC Disposition 21431-D01-2016 AltaGas Utilities Inc. Rider B Filing for Acknowledgement 2016/2017, Page 3,4</v>
      </c>
      <c r="BK60" s="2484"/>
      <c r="BL60" s="2211"/>
      <c r="BM60" s="2211"/>
      <c r="BN60" s="2580"/>
      <c r="BO60" s="2436"/>
      <c r="BP60" s="2575"/>
      <c r="BQ60" s="2453"/>
      <c r="BR60" s="2120"/>
      <c r="BS60" s="2124"/>
      <c r="BT60" s="2125"/>
      <c r="BU60" s="2106"/>
      <c r="BV60" s="2106"/>
      <c r="BW60" s="2109"/>
      <c r="BX60" s="2476"/>
      <c r="BY60" s="2477"/>
      <c r="BZ60" s="2477"/>
      <c r="CA60" s="2477"/>
      <c r="CB60" s="2478"/>
      <c r="CC60" s="798"/>
      <c r="CD60" s="798"/>
      <c r="CE60" s="798"/>
      <c r="CF60" s="798"/>
      <c r="CG60" s="798"/>
      <c r="CH60" s="798"/>
      <c r="CI60" s="798"/>
      <c r="CJ60" s="798"/>
      <c r="CK60" s="798"/>
      <c r="CL60" s="798"/>
      <c r="CM60" s="798"/>
      <c r="CN60" s="798"/>
      <c r="CO60" s="798"/>
      <c r="CP60" s="798"/>
      <c r="CQ60" s="798"/>
      <c r="CR60" s="798"/>
      <c r="CS60" s="798"/>
      <c r="CT60" s="798"/>
      <c r="CU60" s="798"/>
      <c r="CV60" s="798"/>
      <c r="CW60" s="798"/>
      <c r="CX60" s="798"/>
      <c r="CY60" s="798"/>
      <c r="CZ60" s="798"/>
    </row>
    <row r="61" spans="1:104" ht="46" customHeight="1" x14ac:dyDescent="0.3">
      <c r="A61" s="2206"/>
      <c r="B61" s="2206"/>
      <c r="C61" s="2207"/>
      <c r="D61" s="1037">
        <v>42491</v>
      </c>
      <c r="E61" s="2500"/>
      <c r="F61" s="2106"/>
      <c r="G61" s="2106"/>
      <c r="H61" s="2135"/>
      <c r="I61" s="2217" t="str">
        <f>HYPERLINK("http://www.auc.ab.ca/regulatory_documents/ProceedingDocuments/2016/21347-D01-2016.pdf", "AUC Disposition 21347-D01-2016 AGPL North Rider B, Page 2")</f>
        <v>AUC Disposition 21347-D01-2016 AGPL North Rider B, Page 2</v>
      </c>
      <c r="J61" s="2106"/>
      <c r="K61" s="2106"/>
      <c r="L61" s="2106"/>
      <c r="M61" s="2106"/>
      <c r="N61" s="2106"/>
      <c r="O61" s="2227"/>
      <c r="P61" s="2228"/>
      <c r="Q61" s="2131"/>
      <c r="R61" s="2106"/>
      <c r="S61" s="2453"/>
      <c r="T61" s="2106"/>
      <c r="U61" s="2124"/>
      <c r="V61" s="2125"/>
      <c r="W61" s="2106"/>
      <c r="X61" s="2106"/>
      <c r="Y61" s="2109"/>
      <c r="Z61" s="2566"/>
      <c r="AA61" s="2567"/>
      <c r="AB61" s="2567"/>
      <c r="AC61" s="2567"/>
      <c r="AD61" s="2568"/>
      <c r="AE61" s="2500"/>
      <c r="AF61" s="2106"/>
      <c r="AG61" s="2106"/>
      <c r="AH61" s="2195" t="str">
        <f>HYPERLINK("https://www.trackenergyregs.ca/cga/abuc/en/142909/1/document.do", "AUC Disposition 21377-D01-2016 AGPL and the Village of Rosemary Franchise Agreement and Rate Rider A, Page 35")</f>
        <v>AUC Disposition 21377-D01-2016 AGPL and the Village of Rosemary Franchise Agreement and Rate Rider A, Page 35</v>
      </c>
      <c r="AI61" s="2531"/>
      <c r="AJ61" s="2106"/>
      <c r="AK61" s="2106"/>
      <c r="AL61" s="2106"/>
      <c r="AM61" s="2106"/>
      <c r="AN61" s="2106"/>
      <c r="AO61" s="2106"/>
      <c r="AP61" s="2227"/>
      <c r="AQ61" s="2228"/>
      <c r="AR61" s="2131"/>
      <c r="AS61" s="2191"/>
      <c r="AT61" s="2453"/>
      <c r="AU61" s="2106"/>
      <c r="AV61" s="2124"/>
      <c r="AW61" s="2125"/>
      <c r="AX61" s="2106"/>
      <c r="AY61" s="2106"/>
      <c r="AZ61" s="2109"/>
      <c r="BA61" s="2538"/>
      <c r="BB61" s="2539"/>
      <c r="BC61" s="2539"/>
      <c r="BD61" s="2539"/>
      <c r="BE61" s="2540"/>
      <c r="BF61" s="2577"/>
      <c r="BG61" s="2575"/>
      <c r="BH61" s="2575"/>
      <c r="BI61" s="2585"/>
      <c r="BJ61" s="2439"/>
      <c r="BK61" s="2484"/>
      <c r="BL61" s="2211"/>
      <c r="BM61" s="2211"/>
      <c r="BN61" s="2580"/>
      <c r="BO61" s="2436"/>
      <c r="BP61" s="2575"/>
      <c r="BQ61" s="2453"/>
      <c r="BR61" s="2120"/>
      <c r="BS61" s="2124"/>
      <c r="BT61" s="2125"/>
      <c r="BU61" s="2106"/>
      <c r="BV61" s="2106"/>
      <c r="BW61" s="2109"/>
      <c r="BX61" s="2476"/>
      <c r="BY61" s="2477"/>
      <c r="BZ61" s="2477"/>
      <c r="CA61" s="2477"/>
      <c r="CB61" s="2478"/>
    </row>
    <row r="62" spans="1:104" ht="46" customHeight="1" x14ac:dyDescent="0.3">
      <c r="A62" s="2206"/>
      <c r="B62" s="2206"/>
      <c r="C62" s="2207"/>
      <c r="D62" s="1037">
        <v>42522</v>
      </c>
      <c r="E62" s="2500"/>
      <c r="F62" s="2106"/>
      <c r="G62" s="2106"/>
      <c r="H62" s="2135"/>
      <c r="I62" s="2217"/>
      <c r="J62" s="2106"/>
      <c r="K62" s="2106"/>
      <c r="L62" s="2106"/>
      <c r="M62" s="2106"/>
      <c r="N62" s="2106"/>
      <c r="O62" s="2227"/>
      <c r="P62" s="2228"/>
      <c r="Q62" s="2131"/>
      <c r="R62" s="2106"/>
      <c r="S62" s="2453"/>
      <c r="T62" s="2106"/>
      <c r="U62" s="2124"/>
      <c r="V62" s="2125"/>
      <c r="W62" s="2106"/>
      <c r="X62" s="2106"/>
      <c r="Y62" s="2109"/>
      <c r="Z62" s="2566"/>
      <c r="AA62" s="2567"/>
      <c r="AB62" s="2567"/>
      <c r="AC62" s="2567"/>
      <c r="AD62" s="2568"/>
      <c r="AE62" s="2500"/>
      <c r="AF62" s="2106"/>
      <c r="AG62" s="2106"/>
      <c r="AH62" s="2195"/>
      <c r="AI62" s="2531"/>
      <c r="AJ62" s="2106"/>
      <c r="AK62" s="2106"/>
      <c r="AL62" s="2106"/>
      <c r="AM62" s="2106"/>
      <c r="AN62" s="2106"/>
      <c r="AO62" s="2106"/>
      <c r="AP62" s="2227"/>
      <c r="AQ62" s="2228"/>
      <c r="AR62" s="2131"/>
      <c r="AS62" s="2191"/>
      <c r="AT62" s="2453"/>
      <c r="AU62" s="2106"/>
      <c r="AV62" s="2124"/>
      <c r="AW62" s="2125"/>
      <c r="AX62" s="2106"/>
      <c r="AY62" s="2106"/>
      <c r="AZ62" s="2109"/>
      <c r="BA62" s="2538"/>
      <c r="BB62" s="2539"/>
      <c r="BC62" s="2539"/>
      <c r="BD62" s="2539"/>
      <c r="BE62" s="2540"/>
      <c r="BF62" s="2577"/>
      <c r="BG62" s="2575"/>
      <c r="BH62" s="2575"/>
      <c r="BI62" s="2585"/>
      <c r="BJ62" s="2439"/>
      <c r="BK62" s="2484"/>
      <c r="BL62" s="2211"/>
      <c r="BM62" s="2211"/>
      <c r="BN62" s="2580"/>
      <c r="BO62" s="2436"/>
      <c r="BP62" s="2575"/>
      <c r="BQ62" s="2453"/>
      <c r="BR62" s="2120"/>
      <c r="BS62" s="2124"/>
      <c r="BT62" s="2125"/>
      <c r="BU62" s="2106"/>
      <c r="BV62" s="2106"/>
      <c r="BW62" s="2109"/>
      <c r="BX62" s="2476"/>
      <c r="BY62" s="2477"/>
      <c r="BZ62" s="2477"/>
      <c r="CA62" s="2477"/>
      <c r="CB62" s="2478"/>
    </row>
    <row r="63" spans="1:104" ht="46" customHeight="1" x14ac:dyDescent="0.3">
      <c r="A63" s="2206"/>
      <c r="B63" s="2206"/>
      <c r="C63" s="2207"/>
      <c r="D63" s="1037">
        <v>42552</v>
      </c>
      <c r="E63" s="2500"/>
      <c r="F63" s="2106"/>
      <c r="G63" s="2106"/>
      <c r="H63" s="2135"/>
      <c r="I63" s="2217"/>
      <c r="J63" s="2106"/>
      <c r="K63" s="2106"/>
      <c r="L63" s="2106"/>
      <c r="M63" s="2106"/>
      <c r="N63" s="2106"/>
      <c r="O63" s="2227"/>
      <c r="P63" s="2228"/>
      <c r="Q63" s="2131"/>
      <c r="R63" s="2106"/>
      <c r="S63" s="2453"/>
      <c r="T63" s="2106"/>
      <c r="U63" s="2124"/>
      <c r="V63" s="2125"/>
      <c r="W63" s="2106"/>
      <c r="X63" s="2106"/>
      <c r="Y63" s="2109"/>
      <c r="Z63" s="2566"/>
      <c r="AA63" s="2567"/>
      <c r="AB63" s="2567"/>
      <c r="AC63" s="2567"/>
      <c r="AD63" s="2568"/>
      <c r="AE63" s="2500"/>
      <c r="AF63" s="2106"/>
      <c r="AG63" s="2106"/>
      <c r="AH63" s="2195"/>
      <c r="AI63" s="2531"/>
      <c r="AJ63" s="2106"/>
      <c r="AK63" s="2106"/>
      <c r="AL63" s="2106"/>
      <c r="AM63" s="2106"/>
      <c r="AN63" s="2106"/>
      <c r="AO63" s="2106"/>
      <c r="AP63" s="2227"/>
      <c r="AQ63" s="2228"/>
      <c r="AR63" s="2131"/>
      <c r="AS63" s="2191"/>
      <c r="AT63" s="2453"/>
      <c r="AU63" s="2106"/>
      <c r="AV63" s="2124"/>
      <c r="AW63" s="2125"/>
      <c r="AX63" s="2106"/>
      <c r="AY63" s="2106"/>
      <c r="AZ63" s="2109"/>
      <c r="BA63" s="2538"/>
      <c r="BB63" s="2539"/>
      <c r="BC63" s="2539"/>
      <c r="BD63" s="2539"/>
      <c r="BE63" s="2540"/>
      <c r="BF63" s="2577"/>
      <c r="BG63" s="2575"/>
      <c r="BH63" s="2575"/>
      <c r="BI63" s="2585"/>
      <c r="BJ63" s="2439"/>
      <c r="BK63" s="2484"/>
      <c r="BL63" s="2211"/>
      <c r="BM63" s="2211"/>
      <c r="BN63" s="2580"/>
      <c r="BO63" s="2436"/>
      <c r="BP63" s="2575"/>
      <c r="BQ63" s="2453"/>
      <c r="BR63" s="2120"/>
      <c r="BS63" s="2124"/>
      <c r="BT63" s="2125"/>
      <c r="BU63" s="2106"/>
      <c r="BV63" s="2106"/>
      <c r="BW63" s="2109"/>
      <c r="BX63" s="2476"/>
      <c r="BY63" s="2477"/>
      <c r="BZ63" s="2477"/>
      <c r="CA63" s="2477"/>
      <c r="CB63" s="2478"/>
    </row>
    <row r="64" spans="1:104" ht="46" customHeight="1" x14ac:dyDescent="0.3">
      <c r="A64" s="2206"/>
      <c r="B64" s="2206"/>
      <c r="C64" s="2207"/>
      <c r="D64" s="1037">
        <v>42583</v>
      </c>
      <c r="E64" s="2500"/>
      <c r="F64" s="2106"/>
      <c r="G64" s="2106"/>
      <c r="H64" s="2135"/>
      <c r="I64" s="2217"/>
      <c r="J64" s="2106"/>
      <c r="K64" s="2106"/>
      <c r="L64" s="2106"/>
      <c r="M64" s="2106"/>
      <c r="N64" s="2106"/>
      <c r="O64" s="2227"/>
      <c r="P64" s="2228"/>
      <c r="Q64" s="2131"/>
      <c r="R64" s="2106"/>
      <c r="S64" s="2453"/>
      <c r="T64" s="2106"/>
      <c r="U64" s="2124"/>
      <c r="V64" s="2125"/>
      <c r="W64" s="2106"/>
      <c r="X64" s="2106"/>
      <c r="Y64" s="2109"/>
      <c r="Z64" s="2566"/>
      <c r="AA64" s="2567"/>
      <c r="AB64" s="2567"/>
      <c r="AC64" s="2567"/>
      <c r="AD64" s="2568"/>
      <c r="AE64" s="2500"/>
      <c r="AF64" s="2106"/>
      <c r="AG64" s="2106"/>
      <c r="AH64" s="2195"/>
      <c r="AI64" s="2531"/>
      <c r="AJ64" s="2106"/>
      <c r="AK64" s="2106"/>
      <c r="AL64" s="2106"/>
      <c r="AM64" s="2106"/>
      <c r="AN64" s="2106"/>
      <c r="AO64" s="2106"/>
      <c r="AP64" s="2227"/>
      <c r="AQ64" s="2228"/>
      <c r="AR64" s="2131"/>
      <c r="AS64" s="2191"/>
      <c r="AT64" s="2453"/>
      <c r="AU64" s="2106"/>
      <c r="AV64" s="2124"/>
      <c r="AW64" s="2125"/>
      <c r="AX64" s="2106"/>
      <c r="AY64" s="2106"/>
      <c r="AZ64" s="2109"/>
      <c r="BA64" s="2538"/>
      <c r="BB64" s="2539"/>
      <c r="BC64" s="2539"/>
      <c r="BD64" s="2539"/>
      <c r="BE64" s="2540"/>
      <c r="BF64" s="2577"/>
      <c r="BG64" s="2575"/>
      <c r="BH64" s="2575"/>
      <c r="BI64" s="2585"/>
      <c r="BJ64" s="2439"/>
      <c r="BK64" s="2484"/>
      <c r="BL64" s="2211"/>
      <c r="BM64" s="2211"/>
      <c r="BN64" s="2580"/>
      <c r="BO64" s="2436"/>
      <c r="BP64" s="2575"/>
      <c r="BQ64" s="2453"/>
      <c r="BR64" s="2120"/>
      <c r="BS64" s="2124"/>
      <c r="BT64" s="2125"/>
      <c r="BU64" s="2106"/>
      <c r="BV64" s="2106"/>
      <c r="BW64" s="2109"/>
      <c r="BX64" s="2476"/>
      <c r="BY64" s="2477"/>
      <c r="BZ64" s="2477"/>
      <c r="CA64" s="2477"/>
      <c r="CB64" s="2478"/>
    </row>
    <row r="65" spans="1:80" ht="46" customHeight="1" x14ac:dyDescent="0.3">
      <c r="A65" s="2206"/>
      <c r="B65" s="2206"/>
      <c r="C65" s="2207"/>
      <c r="D65" s="1037">
        <v>42614</v>
      </c>
      <c r="E65" s="2500"/>
      <c r="F65" s="2106"/>
      <c r="G65" s="2106"/>
      <c r="H65" s="2135"/>
      <c r="I65" s="2217"/>
      <c r="J65" s="2106"/>
      <c r="K65" s="2106"/>
      <c r="L65" s="2106"/>
      <c r="M65" s="2106"/>
      <c r="N65" s="2106"/>
      <c r="O65" s="2227"/>
      <c r="P65" s="2228"/>
      <c r="Q65" s="2131"/>
      <c r="R65" s="2106"/>
      <c r="S65" s="2453"/>
      <c r="T65" s="2106"/>
      <c r="U65" s="2124"/>
      <c r="V65" s="2125"/>
      <c r="W65" s="2106"/>
      <c r="X65" s="2106"/>
      <c r="Y65" s="2109"/>
      <c r="Z65" s="2566"/>
      <c r="AA65" s="2567"/>
      <c r="AB65" s="2567"/>
      <c r="AC65" s="2567"/>
      <c r="AD65" s="2568"/>
      <c r="AE65" s="2500"/>
      <c r="AF65" s="2106"/>
      <c r="AG65" s="2106"/>
      <c r="AH65" s="2195"/>
      <c r="AI65" s="2531"/>
      <c r="AJ65" s="2106"/>
      <c r="AK65" s="2106"/>
      <c r="AL65" s="2106"/>
      <c r="AM65" s="2106"/>
      <c r="AN65" s="2106"/>
      <c r="AO65" s="2106"/>
      <c r="AP65" s="2227"/>
      <c r="AQ65" s="2228"/>
      <c r="AR65" s="2131"/>
      <c r="AS65" s="2191"/>
      <c r="AT65" s="2453"/>
      <c r="AU65" s="2106"/>
      <c r="AV65" s="2124"/>
      <c r="AW65" s="2125"/>
      <c r="AX65" s="2106"/>
      <c r="AY65" s="2106"/>
      <c r="AZ65" s="2109"/>
      <c r="BA65" s="2538"/>
      <c r="BB65" s="2539"/>
      <c r="BC65" s="2539"/>
      <c r="BD65" s="2539"/>
      <c r="BE65" s="2540"/>
      <c r="BF65" s="2577"/>
      <c r="BG65" s="2575"/>
      <c r="BH65" s="2575"/>
      <c r="BI65" s="2585"/>
      <c r="BJ65" s="2439"/>
      <c r="BK65" s="2484"/>
      <c r="BL65" s="2211"/>
      <c r="BM65" s="2211"/>
      <c r="BN65" s="2580"/>
      <c r="BO65" s="2436"/>
      <c r="BP65" s="2575"/>
      <c r="BQ65" s="2453"/>
      <c r="BR65" s="2120"/>
      <c r="BS65" s="2124"/>
      <c r="BT65" s="2125"/>
      <c r="BU65" s="2106"/>
      <c r="BV65" s="2106"/>
      <c r="BW65" s="2109"/>
      <c r="BX65" s="2476"/>
      <c r="BY65" s="2477"/>
      <c r="BZ65" s="2477"/>
      <c r="CA65" s="2477"/>
      <c r="CB65" s="2478"/>
    </row>
    <row r="66" spans="1:80" ht="46" customHeight="1" x14ac:dyDescent="0.3">
      <c r="A66" s="2206"/>
      <c r="B66" s="2206"/>
      <c r="C66" s="2207"/>
      <c r="D66" s="1037">
        <v>42644</v>
      </c>
      <c r="E66" s="2500"/>
      <c r="F66" s="2106"/>
      <c r="G66" s="2106"/>
      <c r="H66" s="2135"/>
      <c r="I66" s="2217"/>
      <c r="J66" s="2106"/>
      <c r="K66" s="2106"/>
      <c r="L66" s="2106"/>
      <c r="M66" s="2106"/>
      <c r="N66" s="2106"/>
      <c r="O66" s="2227"/>
      <c r="P66" s="2228"/>
      <c r="Q66" s="2131"/>
      <c r="R66" s="2106"/>
      <c r="S66" s="2453"/>
      <c r="T66" s="2106"/>
      <c r="U66" s="2124"/>
      <c r="V66" s="2125"/>
      <c r="W66" s="2106"/>
      <c r="X66" s="2106"/>
      <c r="Y66" s="2109"/>
      <c r="Z66" s="2566"/>
      <c r="AA66" s="2567"/>
      <c r="AB66" s="2567"/>
      <c r="AC66" s="2567"/>
      <c r="AD66" s="2568"/>
      <c r="AE66" s="2500"/>
      <c r="AF66" s="2106"/>
      <c r="AG66" s="2106"/>
      <c r="AH66" s="2195"/>
      <c r="AI66" s="2531"/>
      <c r="AJ66" s="2106"/>
      <c r="AK66" s="2106"/>
      <c r="AL66" s="2106"/>
      <c r="AM66" s="2106"/>
      <c r="AN66" s="2106"/>
      <c r="AO66" s="2106"/>
      <c r="AP66" s="2227"/>
      <c r="AQ66" s="2228"/>
      <c r="AR66" s="2131"/>
      <c r="AS66" s="2191"/>
      <c r="AT66" s="2453"/>
      <c r="AU66" s="2106"/>
      <c r="AV66" s="2124"/>
      <c r="AW66" s="2125"/>
      <c r="AX66" s="2106"/>
      <c r="AY66" s="2106"/>
      <c r="AZ66" s="2109"/>
      <c r="BA66" s="2538"/>
      <c r="BB66" s="2539"/>
      <c r="BC66" s="2539"/>
      <c r="BD66" s="2539"/>
      <c r="BE66" s="2540"/>
      <c r="BF66" s="2577"/>
      <c r="BG66" s="2575"/>
      <c r="BH66" s="2575"/>
      <c r="BI66" s="2585"/>
      <c r="BJ66" s="2440"/>
      <c r="BK66" s="2231" t="str">
        <f>HYPERLINK("https://www.trackenergyregs.ca/cga/abuc/en/item/181039/index.do", "AUC AltaGas 2016 Net Deficiency and Rider F, Page 16")</f>
        <v>AUC AltaGas 2016 Net Deficiency and Rider F, Page 16</v>
      </c>
      <c r="BL66" s="2231"/>
      <c r="BM66" s="2231"/>
      <c r="BN66" s="2580"/>
      <c r="BO66" s="2436"/>
      <c r="BP66" s="2575"/>
      <c r="BQ66" s="2453"/>
      <c r="BR66" s="2120"/>
      <c r="BS66" s="2124"/>
      <c r="BT66" s="2125"/>
      <c r="BU66" s="2106"/>
      <c r="BV66" s="2106"/>
      <c r="BW66" s="2109"/>
      <c r="BX66" s="2476"/>
      <c r="BY66" s="2477"/>
      <c r="BZ66" s="2477"/>
      <c r="CA66" s="2477"/>
      <c r="CB66" s="2478"/>
    </row>
    <row r="67" spans="1:80" ht="46" customHeight="1" x14ac:dyDescent="0.3">
      <c r="A67" s="2206"/>
      <c r="B67" s="2206"/>
      <c r="C67" s="2207"/>
      <c r="D67" s="1037">
        <v>42675</v>
      </c>
      <c r="E67" s="2500"/>
      <c r="F67" s="2106"/>
      <c r="G67" s="2106"/>
      <c r="H67" s="2135"/>
      <c r="I67" s="2217"/>
      <c r="J67" s="2106"/>
      <c r="K67" s="2106"/>
      <c r="L67" s="2106"/>
      <c r="M67" s="2106"/>
      <c r="N67" s="2106"/>
      <c r="O67" s="2227"/>
      <c r="P67" s="2228"/>
      <c r="Q67" s="2131"/>
      <c r="R67" s="2106"/>
      <c r="S67" s="2453"/>
      <c r="T67" s="2106"/>
      <c r="U67" s="2124"/>
      <c r="V67" s="2125"/>
      <c r="W67" s="2106"/>
      <c r="X67" s="2106"/>
      <c r="Y67" s="2109"/>
      <c r="Z67" s="2566"/>
      <c r="AA67" s="2567"/>
      <c r="AB67" s="2567"/>
      <c r="AC67" s="2567"/>
      <c r="AD67" s="2568"/>
      <c r="AE67" s="2500"/>
      <c r="AF67" s="2106"/>
      <c r="AG67" s="2106"/>
      <c r="AH67" s="2195"/>
      <c r="AI67" s="2531"/>
      <c r="AJ67" s="2106"/>
      <c r="AK67" s="2106"/>
      <c r="AL67" s="2106"/>
      <c r="AM67" s="2106"/>
      <c r="AN67" s="2106"/>
      <c r="AO67" s="2106"/>
      <c r="AP67" s="2227"/>
      <c r="AQ67" s="2228"/>
      <c r="AR67" s="2131"/>
      <c r="AS67" s="2191"/>
      <c r="AT67" s="2453"/>
      <c r="AU67" s="2106"/>
      <c r="AV67" s="2124"/>
      <c r="AW67" s="2125"/>
      <c r="AX67" s="2106"/>
      <c r="AY67" s="2106"/>
      <c r="AZ67" s="2109"/>
      <c r="BA67" s="2538"/>
      <c r="BB67" s="2539"/>
      <c r="BC67" s="2539"/>
      <c r="BD67" s="2539"/>
      <c r="BE67" s="2540"/>
      <c r="BF67" s="2577"/>
      <c r="BG67" s="2575"/>
      <c r="BH67" s="2575"/>
      <c r="BI67" s="2585"/>
      <c r="BJ67" s="2440"/>
      <c r="BK67" s="2231"/>
      <c r="BL67" s="2231"/>
      <c r="BM67" s="2231"/>
      <c r="BN67" s="2580"/>
      <c r="BO67" s="2436"/>
      <c r="BP67" s="2575"/>
      <c r="BQ67" s="2453"/>
      <c r="BR67" s="2120"/>
      <c r="BS67" s="2124"/>
      <c r="BT67" s="2125"/>
      <c r="BU67" s="2106"/>
      <c r="BV67" s="2106"/>
      <c r="BW67" s="2109"/>
      <c r="BX67" s="2476"/>
      <c r="BY67" s="2477"/>
      <c r="BZ67" s="2477"/>
      <c r="CA67" s="2477"/>
      <c r="CB67" s="2478"/>
    </row>
    <row r="68" spans="1:80" ht="46" customHeight="1" x14ac:dyDescent="0.3">
      <c r="A68" s="2208"/>
      <c r="B68" s="2208"/>
      <c r="C68" s="2209"/>
      <c r="D68" s="1102">
        <v>42705</v>
      </c>
      <c r="E68" s="2500"/>
      <c r="F68" s="2106"/>
      <c r="G68" s="2106"/>
      <c r="H68" s="2135"/>
      <c r="I68" s="2217"/>
      <c r="J68" s="2106"/>
      <c r="K68" s="2106"/>
      <c r="L68" s="2106"/>
      <c r="M68" s="2106"/>
      <c r="N68" s="2106"/>
      <c r="O68" s="2227"/>
      <c r="P68" s="2228"/>
      <c r="Q68" s="2131"/>
      <c r="R68" s="2106"/>
      <c r="S68" s="2453"/>
      <c r="T68" s="2106"/>
      <c r="U68" s="2124"/>
      <c r="V68" s="2125"/>
      <c r="W68" s="2106"/>
      <c r="X68" s="2106"/>
      <c r="Y68" s="2109"/>
      <c r="Z68" s="2566"/>
      <c r="AA68" s="2567"/>
      <c r="AB68" s="2567"/>
      <c r="AC68" s="2567"/>
      <c r="AD68" s="2568"/>
      <c r="AE68" s="2500"/>
      <c r="AF68" s="2106"/>
      <c r="AG68" s="2106"/>
      <c r="AH68" s="2195"/>
      <c r="AI68" s="2531"/>
      <c r="AJ68" s="2106"/>
      <c r="AK68" s="2106"/>
      <c r="AL68" s="2106"/>
      <c r="AM68" s="2106"/>
      <c r="AN68" s="2106"/>
      <c r="AO68" s="2106"/>
      <c r="AP68" s="2227"/>
      <c r="AQ68" s="2228"/>
      <c r="AR68" s="2131"/>
      <c r="AS68" s="2191"/>
      <c r="AT68" s="2453"/>
      <c r="AU68" s="2106"/>
      <c r="AV68" s="2124"/>
      <c r="AW68" s="2125"/>
      <c r="AX68" s="2106"/>
      <c r="AY68" s="2106"/>
      <c r="AZ68" s="2109"/>
      <c r="BA68" s="2538"/>
      <c r="BB68" s="2539"/>
      <c r="BC68" s="2539"/>
      <c r="BD68" s="2539"/>
      <c r="BE68" s="2540"/>
      <c r="BF68" s="2577"/>
      <c r="BG68" s="2575"/>
      <c r="BH68" s="2575"/>
      <c r="BI68" s="2586"/>
      <c r="BJ68" s="2440"/>
      <c r="BK68" s="2231"/>
      <c r="BL68" s="2231"/>
      <c r="BM68" s="2231"/>
      <c r="BN68" s="2580"/>
      <c r="BO68" s="2436"/>
      <c r="BP68" s="2575"/>
      <c r="BQ68" s="2453"/>
      <c r="BR68" s="2120"/>
      <c r="BS68" s="2124"/>
      <c r="BT68" s="2125"/>
      <c r="BU68" s="2106"/>
      <c r="BV68" s="2106"/>
      <c r="BW68" s="2109"/>
      <c r="BX68" s="2476"/>
      <c r="BY68" s="2477"/>
      <c r="BZ68" s="2477"/>
      <c r="CA68" s="2477"/>
      <c r="CB68" s="2478"/>
    </row>
    <row r="69" spans="1:80" ht="46" customHeight="1" x14ac:dyDescent="0.3">
      <c r="A69" s="2204">
        <v>2017</v>
      </c>
      <c r="B69" s="2204"/>
      <c r="C69" s="2205"/>
      <c r="D69" s="1037">
        <v>42736</v>
      </c>
      <c r="E69" s="2500"/>
      <c r="F69" s="2106"/>
      <c r="G69" s="2106"/>
      <c r="H69" s="2195" t="str">
        <f>HYPERLINK("http://www.auc.ab.ca/regulatory_documents/ProceedingDocuments/2016/22215-D01-2016.pdf", "AUC Disposition 22215-D01-2016 AGPL North Rider A Amendment for Three Municipalities - January 2017, Page 2")</f>
        <v>AUC Disposition 22215-D01-2016 AGPL North Rider A Amendment for Three Municipalities - January 2017, Page 2</v>
      </c>
      <c r="I69" s="2135"/>
      <c r="J69" s="2106"/>
      <c r="K69" s="2106"/>
      <c r="L69" s="2106"/>
      <c r="M69" s="2106"/>
      <c r="N69" s="2106"/>
      <c r="O69" s="2229"/>
      <c r="P69" s="2230"/>
      <c r="Q69" s="2131"/>
      <c r="R69" s="2106"/>
      <c r="S69" s="2453"/>
      <c r="T69" s="2106"/>
      <c r="U69" s="2124"/>
      <c r="V69" s="2125"/>
      <c r="W69" s="2106"/>
      <c r="X69" s="2106"/>
      <c r="Y69" s="2109"/>
      <c r="Z69" s="2566"/>
      <c r="AA69" s="2567"/>
      <c r="AB69" s="2567"/>
      <c r="AC69" s="2567"/>
      <c r="AD69" s="2568"/>
      <c r="AE69" s="2500"/>
      <c r="AF69" s="2106"/>
      <c r="AG69" s="2106"/>
      <c r="AH69" s="2195"/>
      <c r="AI69" s="2531"/>
      <c r="AJ69" s="2106"/>
      <c r="AK69" s="2106"/>
      <c r="AL69" s="2106"/>
      <c r="AM69" s="2106"/>
      <c r="AN69" s="2106"/>
      <c r="AO69" s="2106"/>
      <c r="AP69" s="2229"/>
      <c r="AQ69" s="2230"/>
      <c r="AR69" s="2131"/>
      <c r="AS69" s="2191"/>
      <c r="AT69" s="2453"/>
      <c r="AU69" s="2106"/>
      <c r="AV69" s="2124"/>
      <c r="AW69" s="2125"/>
      <c r="AX69" s="2106"/>
      <c r="AY69" s="2106"/>
      <c r="AZ69" s="2109"/>
      <c r="BA69" s="2538"/>
      <c r="BB69" s="2539"/>
      <c r="BC69" s="2539"/>
      <c r="BD69" s="2539"/>
      <c r="BE69" s="2540"/>
      <c r="BF69" s="2577"/>
      <c r="BG69" s="2575"/>
      <c r="BH69" s="2575"/>
      <c r="BI69" s="2200" t="str">
        <f>HYPERLINK("http://www.auc.ab.ca/regulatory_documents/ProceedingDocuments/2016/22226-D01-2016.pdf", "AUC Disposition 22226-D01-2016 AltaGas Utilities Inc. Franchise Fee Rate Rider A for the Town of Hanna, Page 3-5")</f>
        <v>AUC Disposition 22226-D01-2016 AltaGas Utilities Inc. Franchise Fee Rate Rider A for the Town of Hanna, Page 3-5</v>
      </c>
      <c r="BJ69" s="2440"/>
      <c r="BK69" s="2231"/>
      <c r="BL69" s="2231"/>
      <c r="BM69" s="2231"/>
      <c r="BN69" s="2580"/>
      <c r="BO69" s="2436"/>
      <c r="BP69" s="2575"/>
      <c r="BQ69" s="2453"/>
      <c r="BR69" s="2120"/>
      <c r="BS69" s="2124"/>
      <c r="BT69" s="2125"/>
      <c r="BU69" s="2106"/>
      <c r="BV69" s="2106"/>
      <c r="BW69" s="2109"/>
      <c r="BX69" s="2476"/>
      <c r="BY69" s="2477"/>
      <c r="BZ69" s="2477"/>
      <c r="CA69" s="2477"/>
      <c r="CB69" s="2478"/>
    </row>
    <row r="70" spans="1:80" ht="46" customHeight="1" x14ac:dyDescent="0.3">
      <c r="A70" s="2206"/>
      <c r="B70" s="2206"/>
      <c r="C70" s="2207"/>
      <c r="D70" s="1037">
        <v>42767</v>
      </c>
      <c r="E70" s="2500"/>
      <c r="F70" s="2106"/>
      <c r="G70" s="2106"/>
      <c r="H70" s="2195"/>
      <c r="I70" s="2217" t="str">
        <f>HYPERLINK("http://www.auc.ab.ca/regulatory_documents/ProceedingDocuments/2017/22341-D01-2017.pdf", "AUC Disposition 22341-D01-2017 ATCO Gas North - Acknowledgement of 2016 Reconciliation and 2017 Calculation and Filing, Page 3")</f>
        <v>AUC Disposition 22341-D01-2017 ATCO Gas North - Acknowledgement of 2016 Reconciliation and 2017 Calculation and Filing, Page 3</v>
      </c>
      <c r="J70" s="2106"/>
      <c r="K70" s="2106"/>
      <c r="L70" s="2106"/>
      <c r="M70" s="2106"/>
      <c r="N70" s="2106"/>
      <c r="O70" s="2128" t="str">
        <f>HYPERLINK("http://www.auc.ab.ca/regulatory_documents/ProceedingDocuments/2016/21952-D01-2016.pdf", "AUC Decision 21952-D01-2016 DERS Late Payment Penalty Settlement Compliance Filing, Page 19")</f>
        <v>AUC Decision 21952-D01-2016 DERS Late Payment Penalty Settlement Compliance Filing, Page 19</v>
      </c>
      <c r="P70" s="1455" t="s">
        <v>610</v>
      </c>
      <c r="Q70" s="2131"/>
      <c r="R70" s="2106"/>
      <c r="S70" s="2453"/>
      <c r="T70" s="2106"/>
      <c r="U70" s="2124"/>
      <c r="V70" s="2125"/>
      <c r="W70" s="2106"/>
      <c r="X70" s="2106"/>
      <c r="Y70" s="2109"/>
      <c r="Z70" s="2566"/>
      <c r="AA70" s="2567"/>
      <c r="AB70" s="2567"/>
      <c r="AC70" s="2567"/>
      <c r="AD70" s="2568"/>
      <c r="AE70" s="2500"/>
      <c r="AF70" s="2106"/>
      <c r="AG70" s="2106"/>
      <c r="AH70" s="2195"/>
      <c r="AI70" s="2217" t="str">
        <f>HYPERLINK("http://www.auc.ab.ca/regulatory_documents/ProceedingDocuments/2017/22342-D01-2017.pdf", "AUC Decision 22342-D01-2017 ATCO Gas and Pipelines South Acknowledgement of Rider B 2016 Reconciliation and 2017 Calculation and Filing, Page 3")</f>
        <v>AUC Decision 22342-D01-2017 ATCO Gas and Pipelines South Acknowledgement of Rider B 2016 Reconciliation and 2017 Calculation and Filing, Page 3</v>
      </c>
      <c r="AJ70" s="2106"/>
      <c r="AK70" s="2106"/>
      <c r="AL70" s="2106"/>
      <c r="AM70" s="2106"/>
      <c r="AN70" s="2106"/>
      <c r="AO70" s="2106"/>
      <c r="AP70" s="2128" t="str">
        <f>HYPERLINK("http://www.auc.ab.ca/regulatory_documents/ProceedingDocuments/2016/21952-D01-2016.pdf", "AUC Decision 21952-D01-2016 DERS Late Payment Penalty Settlement Compliance Filing, Page 25")</f>
        <v>AUC Decision 21952-D01-2016 DERS Late Payment Penalty Settlement Compliance Filing, Page 25</v>
      </c>
      <c r="AQ70" s="1455" t="s">
        <v>610</v>
      </c>
      <c r="AR70" s="2131"/>
      <c r="AS70" s="2191"/>
      <c r="AT70" s="2453"/>
      <c r="AU70" s="2106"/>
      <c r="AV70" s="2124"/>
      <c r="AW70" s="2125"/>
      <c r="AX70" s="2106"/>
      <c r="AY70" s="2106"/>
      <c r="AZ70" s="2109"/>
      <c r="BA70" s="2538"/>
      <c r="BB70" s="2539"/>
      <c r="BC70" s="2539"/>
      <c r="BD70" s="2539"/>
      <c r="BE70" s="2540"/>
      <c r="BF70" s="2577"/>
      <c r="BG70" s="2575"/>
      <c r="BH70" s="2575"/>
      <c r="BI70" s="2185"/>
      <c r="BJ70" s="2440"/>
      <c r="BK70" s="2231"/>
      <c r="BL70" s="2231"/>
      <c r="BM70" s="2231"/>
      <c r="BN70" s="2580"/>
      <c r="BO70" s="2436"/>
      <c r="BP70" s="2575"/>
      <c r="BQ70" s="2453"/>
      <c r="BR70" s="2120"/>
      <c r="BS70" s="2124"/>
      <c r="BT70" s="2125"/>
      <c r="BU70" s="2106"/>
      <c r="BV70" s="2106"/>
      <c r="BW70" s="2109"/>
      <c r="BX70" s="2476"/>
      <c r="BY70" s="2477"/>
      <c r="BZ70" s="2477"/>
      <c r="CA70" s="2477"/>
      <c r="CB70" s="2478"/>
    </row>
    <row r="71" spans="1:80" ht="46" customHeight="1" x14ac:dyDescent="0.3">
      <c r="A71" s="2206"/>
      <c r="B71" s="2206"/>
      <c r="C71" s="2207"/>
      <c r="D71" s="1037">
        <v>42795</v>
      </c>
      <c r="E71" s="2500"/>
      <c r="F71" s="2106"/>
      <c r="G71" s="2106"/>
      <c r="H71" s="2195"/>
      <c r="I71" s="2217"/>
      <c r="J71" s="2106"/>
      <c r="K71" s="2106"/>
      <c r="L71" s="2106"/>
      <c r="M71" s="2106"/>
      <c r="N71" s="2106"/>
      <c r="O71" s="2128"/>
      <c r="P71" s="2128" t="str">
        <f>HYPERLINK("http://www.auc.ab.ca/regulatory_documents/ProceedingDocuments/2017/22174-D01-2017.pdf", "AUC Decision 22174-D01-2017 DERS 2012-2016 DRT and RRT Non-Energy True-Up Third Compliance Filing Application, Page 29")</f>
        <v>AUC Decision 22174-D01-2017 DERS 2012-2016 DRT and RRT Non-Energy True-Up Third Compliance Filing Application, Page 29</v>
      </c>
      <c r="Q71" s="2132"/>
      <c r="R71" s="2106"/>
      <c r="S71" s="2453"/>
      <c r="T71" s="2106"/>
      <c r="U71" s="2124"/>
      <c r="V71" s="2125"/>
      <c r="W71" s="2106"/>
      <c r="X71" s="2106"/>
      <c r="Y71" s="2109"/>
      <c r="Z71" s="2566"/>
      <c r="AA71" s="2567"/>
      <c r="AB71" s="2567"/>
      <c r="AC71" s="2567"/>
      <c r="AD71" s="2568"/>
      <c r="AE71" s="2500"/>
      <c r="AF71" s="2106"/>
      <c r="AG71" s="2106"/>
      <c r="AH71" s="2195"/>
      <c r="AI71" s="2217"/>
      <c r="AJ71" s="2106"/>
      <c r="AK71" s="2106"/>
      <c r="AL71" s="2106"/>
      <c r="AM71" s="2106"/>
      <c r="AN71" s="2106"/>
      <c r="AO71" s="2106"/>
      <c r="AP71" s="2128"/>
      <c r="AQ71" s="2128" t="str">
        <f>HYPERLINK("http://www.auc.ab.ca/regulatory_documents/ProceedingDocuments/2017/22174-D01-2017.pdf", "AUC Decision 22174-D01-2017 DERS 2012-2016 DRT and RRT Non-Energy True-Up Third Compliance Filing Application, Page 35")</f>
        <v>AUC Decision 22174-D01-2017 DERS 2012-2016 DRT and RRT Non-Energy True-Up Third Compliance Filing Application, Page 35</v>
      </c>
      <c r="AR71" s="2131"/>
      <c r="AS71" s="2191"/>
      <c r="AT71" s="2453"/>
      <c r="AU71" s="2106"/>
      <c r="AV71" s="2124"/>
      <c r="AW71" s="2125"/>
      <c r="AX71" s="2106"/>
      <c r="AY71" s="2106"/>
      <c r="AZ71" s="2109"/>
      <c r="BA71" s="2538"/>
      <c r="BB71" s="2539"/>
      <c r="BC71" s="2539"/>
      <c r="BD71" s="2539"/>
      <c r="BE71" s="2540"/>
      <c r="BF71" s="2577"/>
      <c r="BG71" s="2575"/>
      <c r="BH71" s="2575"/>
      <c r="BI71" s="2185"/>
      <c r="BJ71" s="2441"/>
      <c r="BK71" s="2231"/>
      <c r="BL71" s="2231"/>
      <c r="BM71" s="2231"/>
      <c r="BN71" s="2580"/>
      <c r="BO71" s="2436"/>
      <c r="BP71" s="2575"/>
      <c r="BQ71" s="2453"/>
      <c r="BR71" s="2120"/>
      <c r="BS71" s="2124"/>
      <c r="BT71" s="2125"/>
      <c r="BU71" s="2106"/>
      <c r="BV71" s="2106"/>
      <c r="BW71" s="2109"/>
      <c r="BX71" s="2476"/>
      <c r="BY71" s="2477"/>
      <c r="BZ71" s="2477"/>
      <c r="CA71" s="2477"/>
      <c r="CB71" s="2478"/>
    </row>
    <row r="72" spans="1:80" ht="46" customHeight="1" x14ac:dyDescent="0.3">
      <c r="A72" s="2206"/>
      <c r="B72" s="2206"/>
      <c r="C72" s="2207"/>
      <c r="D72" s="1037">
        <v>42826</v>
      </c>
      <c r="E72" s="2500"/>
      <c r="F72" s="2106"/>
      <c r="G72" s="2106"/>
      <c r="H72" s="2195"/>
      <c r="I72" s="2217"/>
      <c r="J72" s="2106"/>
      <c r="K72" s="2106"/>
      <c r="L72" s="2106"/>
      <c r="M72" s="2106"/>
      <c r="N72" s="2106"/>
      <c r="O72" s="2128"/>
      <c r="P72" s="2128"/>
      <c r="Q72" s="2132"/>
      <c r="R72" s="2106"/>
      <c r="S72" s="2453"/>
      <c r="T72" s="2106"/>
      <c r="U72" s="2124"/>
      <c r="V72" s="2125"/>
      <c r="W72" s="2106"/>
      <c r="X72" s="2106"/>
      <c r="Y72" s="2109"/>
      <c r="Z72" s="2566"/>
      <c r="AA72" s="2567"/>
      <c r="AB72" s="2567"/>
      <c r="AC72" s="2567"/>
      <c r="AD72" s="2568"/>
      <c r="AE72" s="2500"/>
      <c r="AF72" s="2106"/>
      <c r="AG72" s="2106"/>
      <c r="AH72" s="2195" t="str">
        <f>HYPERLINK("http://www.auc.ab.ca/regulatory_documents/ProceedingDocuments/2017/22420-D01-2017.pdf", "AUC Disposition 22420-D01-2016 AGPL South Rider A Amendment for Town of Strathmore - April 2017, Page 2")</f>
        <v>AUC Disposition 22420-D01-2016 AGPL South Rider A Amendment for Town of Strathmore - April 2017, Page 2</v>
      </c>
      <c r="AI72" s="2217"/>
      <c r="AJ72" s="2106"/>
      <c r="AK72" s="2106"/>
      <c r="AL72" s="2106"/>
      <c r="AM72" s="2106"/>
      <c r="AN72" s="2106"/>
      <c r="AO72" s="2106"/>
      <c r="AP72" s="2128"/>
      <c r="AQ72" s="2128"/>
      <c r="AR72" s="2131"/>
      <c r="AS72" s="2191"/>
      <c r="AT72" s="2453"/>
      <c r="AU72" s="2106"/>
      <c r="AV72" s="2124"/>
      <c r="AW72" s="2125"/>
      <c r="AX72" s="2106"/>
      <c r="AY72" s="2106"/>
      <c r="AZ72" s="2109"/>
      <c r="BA72" s="2538"/>
      <c r="BB72" s="2539"/>
      <c r="BC72" s="2539"/>
      <c r="BD72" s="2539"/>
      <c r="BE72" s="2540"/>
      <c r="BF72" s="2577"/>
      <c r="BG72" s="2575"/>
      <c r="BH72" s="2575"/>
      <c r="BI72" s="2185"/>
      <c r="BJ72" s="2532" t="str">
        <f>HYPERLINK("http://www.auc.ab.ca/regulatory_documents/ProceedingDocuments/2016/21431-D01-2016.pdf", "AUC Disposition 21431-D01-2016 AltaGas Utilities Inc. Rider B Filing for Acknowledgement 2016/2017, Page 3,4")</f>
        <v>AUC Disposition 21431-D01-2016 AltaGas Utilities Inc. Rider B Filing for Acknowledgement 2016/2017, Page 3,4</v>
      </c>
      <c r="BK72" s="2231"/>
      <c r="BL72" s="2231"/>
      <c r="BM72" s="2231"/>
      <c r="BN72" s="2580"/>
      <c r="BO72" s="2436"/>
      <c r="BP72" s="2575"/>
      <c r="BQ72" s="2453"/>
      <c r="BR72" s="2120"/>
      <c r="BS72" s="2124"/>
      <c r="BT72" s="2125"/>
      <c r="BU72" s="2106"/>
      <c r="BV72" s="2106"/>
      <c r="BW72" s="2109"/>
      <c r="BX72" s="2476"/>
      <c r="BY72" s="2477"/>
      <c r="BZ72" s="2477"/>
      <c r="CA72" s="2477"/>
      <c r="CB72" s="2478"/>
    </row>
    <row r="73" spans="1:80" ht="46" customHeight="1" x14ac:dyDescent="0.3">
      <c r="A73" s="2206"/>
      <c r="B73" s="2206"/>
      <c r="C73" s="2207"/>
      <c r="D73" s="1037">
        <v>42856</v>
      </c>
      <c r="E73" s="2500"/>
      <c r="F73" s="2106"/>
      <c r="G73" s="2106"/>
      <c r="H73" s="2195"/>
      <c r="I73" s="2217"/>
      <c r="J73" s="2106"/>
      <c r="K73" s="2106"/>
      <c r="L73" s="2106"/>
      <c r="M73" s="2106"/>
      <c r="N73" s="2106"/>
      <c r="O73" s="2128"/>
      <c r="P73" s="2128"/>
      <c r="Q73" s="2132"/>
      <c r="R73" s="2106"/>
      <c r="S73" s="2453"/>
      <c r="T73" s="2106"/>
      <c r="U73" s="2124"/>
      <c r="V73" s="2125"/>
      <c r="W73" s="2106"/>
      <c r="X73" s="2106"/>
      <c r="Y73" s="2109"/>
      <c r="Z73" s="2566"/>
      <c r="AA73" s="2567"/>
      <c r="AB73" s="2567"/>
      <c r="AC73" s="2567"/>
      <c r="AD73" s="2568"/>
      <c r="AE73" s="2500"/>
      <c r="AF73" s="2106"/>
      <c r="AG73" s="2106"/>
      <c r="AH73" s="2195"/>
      <c r="AI73" s="2217"/>
      <c r="AJ73" s="2106"/>
      <c r="AK73" s="2106"/>
      <c r="AL73" s="2106"/>
      <c r="AM73" s="2106"/>
      <c r="AN73" s="2106"/>
      <c r="AO73" s="2106"/>
      <c r="AP73" s="2128"/>
      <c r="AQ73" s="2128"/>
      <c r="AR73" s="2131"/>
      <c r="AS73" s="2191"/>
      <c r="AT73" s="2453"/>
      <c r="AU73" s="2106"/>
      <c r="AV73" s="2124"/>
      <c r="AW73" s="2125"/>
      <c r="AX73" s="2106"/>
      <c r="AY73" s="2106"/>
      <c r="AZ73" s="2109"/>
      <c r="BA73" s="2538"/>
      <c r="BB73" s="2539"/>
      <c r="BC73" s="2539"/>
      <c r="BD73" s="2539"/>
      <c r="BE73" s="2540"/>
      <c r="BF73" s="2577"/>
      <c r="BG73" s="2575"/>
      <c r="BH73" s="2575"/>
      <c r="BI73" s="2187"/>
      <c r="BJ73" s="2184"/>
      <c r="BK73" s="2231"/>
      <c r="BL73" s="2231"/>
      <c r="BM73" s="2231"/>
      <c r="BN73" s="2580"/>
      <c r="BO73" s="2436"/>
      <c r="BP73" s="2575"/>
      <c r="BQ73" s="2453"/>
      <c r="BR73" s="2120"/>
      <c r="BS73" s="2124"/>
      <c r="BT73" s="2125"/>
      <c r="BU73" s="2106"/>
      <c r="BV73" s="2106"/>
      <c r="BW73" s="2109"/>
      <c r="BX73" s="2476"/>
      <c r="BY73" s="2477"/>
      <c r="BZ73" s="2477"/>
      <c r="CA73" s="2477"/>
      <c r="CB73" s="2478"/>
    </row>
    <row r="74" spans="1:80" ht="46" customHeight="1" x14ac:dyDescent="0.3">
      <c r="A74" s="2206"/>
      <c r="B74" s="2206"/>
      <c r="C74" s="2207"/>
      <c r="D74" s="1037">
        <v>42887</v>
      </c>
      <c r="E74" s="2500"/>
      <c r="F74" s="2106"/>
      <c r="G74" s="2106"/>
      <c r="H74" s="2195"/>
      <c r="I74" s="2217"/>
      <c r="J74" s="2106"/>
      <c r="K74" s="2106"/>
      <c r="L74" s="2106"/>
      <c r="M74" s="2106"/>
      <c r="N74" s="2106"/>
      <c r="O74" s="2128"/>
      <c r="P74" s="2128"/>
      <c r="Q74" s="2132"/>
      <c r="R74" s="2106"/>
      <c r="S74" s="2453"/>
      <c r="T74" s="2106"/>
      <c r="U74" s="2124"/>
      <c r="V74" s="2125"/>
      <c r="W74" s="2106"/>
      <c r="X74" s="2106"/>
      <c r="Y74" s="2109"/>
      <c r="Z74" s="2566"/>
      <c r="AA74" s="2567"/>
      <c r="AB74" s="2567"/>
      <c r="AC74" s="2567"/>
      <c r="AD74" s="2568"/>
      <c r="AE74" s="2500"/>
      <c r="AF74" s="2106"/>
      <c r="AG74" s="2106"/>
      <c r="AH74" s="2195"/>
      <c r="AI74" s="2217"/>
      <c r="AJ74" s="2106"/>
      <c r="AK74" s="2106"/>
      <c r="AL74" s="2106"/>
      <c r="AM74" s="2106"/>
      <c r="AN74" s="2106"/>
      <c r="AO74" s="2106"/>
      <c r="AP74" s="2128"/>
      <c r="AQ74" s="2128"/>
      <c r="AR74" s="2131"/>
      <c r="AS74" s="2191"/>
      <c r="AT74" s="2453"/>
      <c r="AU74" s="2106"/>
      <c r="AV74" s="2124"/>
      <c r="AW74" s="2125"/>
      <c r="AX74" s="2106"/>
      <c r="AY74" s="2106"/>
      <c r="AZ74" s="2109"/>
      <c r="BA74" s="2538"/>
      <c r="BB74" s="2539"/>
      <c r="BC74" s="2539"/>
      <c r="BD74" s="2539"/>
      <c r="BE74" s="2540"/>
      <c r="BF74" s="2577"/>
      <c r="BG74" s="2575"/>
      <c r="BH74" s="2575"/>
      <c r="BI74" s="2200" t="str">
        <f>HYPERLINK("http://www.hanna.ca/phocadownload/minutes/1706_cncl.pdf", "Town of Hanna Regular Council Meeting Agenda, Page 136-138")</f>
        <v>Town of Hanna Regular Council Meeting Agenda, Page 136-138</v>
      </c>
      <c r="BJ74" s="2184"/>
      <c r="BK74" s="2231"/>
      <c r="BL74" s="2231"/>
      <c r="BM74" s="2231"/>
      <c r="BN74" s="2580"/>
      <c r="BO74" s="2436"/>
      <c r="BP74" s="2575"/>
      <c r="BQ74" s="2453"/>
      <c r="BR74" s="2120"/>
      <c r="BS74" s="2124"/>
      <c r="BT74" s="2125"/>
      <c r="BU74" s="2106"/>
      <c r="BV74" s="2106"/>
      <c r="BW74" s="2109"/>
      <c r="BX74" s="2476"/>
      <c r="BY74" s="2477"/>
      <c r="BZ74" s="2477"/>
      <c r="CA74" s="2477"/>
      <c r="CB74" s="2478"/>
    </row>
    <row r="75" spans="1:80" ht="46" customHeight="1" x14ac:dyDescent="0.3">
      <c r="A75" s="2206"/>
      <c r="B75" s="2206"/>
      <c r="C75" s="2207"/>
      <c r="D75" s="1037">
        <v>42917</v>
      </c>
      <c r="E75" s="2500"/>
      <c r="F75" s="2106"/>
      <c r="G75" s="2106"/>
      <c r="H75" s="2195"/>
      <c r="I75" s="2217"/>
      <c r="J75" s="2106"/>
      <c r="K75" s="2106"/>
      <c r="L75" s="2106"/>
      <c r="M75" s="2106"/>
      <c r="N75" s="2106"/>
      <c r="O75" s="2128"/>
      <c r="P75" s="2128"/>
      <c r="Q75" s="2132"/>
      <c r="R75" s="2106"/>
      <c r="S75" s="2453"/>
      <c r="T75" s="2106"/>
      <c r="U75" s="2124"/>
      <c r="V75" s="2125"/>
      <c r="W75" s="2106"/>
      <c r="X75" s="2106"/>
      <c r="Y75" s="2109"/>
      <c r="Z75" s="2566"/>
      <c r="AA75" s="2567"/>
      <c r="AB75" s="2567"/>
      <c r="AC75" s="2567"/>
      <c r="AD75" s="2568"/>
      <c r="AE75" s="2500"/>
      <c r="AF75" s="2106"/>
      <c r="AG75" s="2106"/>
      <c r="AH75" s="2195"/>
      <c r="AI75" s="2217"/>
      <c r="AJ75" s="2106"/>
      <c r="AK75" s="2106"/>
      <c r="AL75" s="2106"/>
      <c r="AM75" s="2106"/>
      <c r="AN75" s="2106"/>
      <c r="AO75" s="2106"/>
      <c r="AP75" s="2128"/>
      <c r="AQ75" s="2128"/>
      <c r="AR75" s="2131"/>
      <c r="AS75" s="2191"/>
      <c r="AT75" s="2453"/>
      <c r="AU75" s="2106"/>
      <c r="AV75" s="2124"/>
      <c r="AW75" s="2125"/>
      <c r="AX75" s="2106"/>
      <c r="AY75" s="2106"/>
      <c r="AZ75" s="2109"/>
      <c r="BA75" s="2538"/>
      <c r="BB75" s="2539"/>
      <c r="BC75" s="2539"/>
      <c r="BD75" s="2539"/>
      <c r="BE75" s="2540"/>
      <c r="BF75" s="2577"/>
      <c r="BG75" s="2575"/>
      <c r="BH75" s="2575"/>
      <c r="BI75" s="2187"/>
      <c r="BJ75" s="2184"/>
      <c r="BK75" s="2231"/>
      <c r="BL75" s="2231"/>
      <c r="BM75" s="2231"/>
      <c r="BN75" s="2580"/>
      <c r="BO75" s="2436"/>
      <c r="BP75" s="2575"/>
      <c r="BQ75" s="2453"/>
      <c r="BR75" s="2120"/>
      <c r="BS75" s="2124"/>
      <c r="BT75" s="2125"/>
      <c r="BU75" s="2106"/>
      <c r="BV75" s="2106"/>
      <c r="BW75" s="2109"/>
      <c r="BX75" s="2476"/>
      <c r="BY75" s="2477"/>
      <c r="BZ75" s="2477"/>
      <c r="CA75" s="2477"/>
      <c r="CB75" s="2478"/>
    </row>
    <row r="76" spans="1:80" ht="46" customHeight="1" x14ac:dyDescent="0.3">
      <c r="A76" s="2206"/>
      <c r="B76" s="2206"/>
      <c r="C76" s="2207"/>
      <c r="D76" s="1037">
        <v>42948</v>
      </c>
      <c r="E76" s="2500"/>
      <c r="F76" s="2106"/>
      <c r="G76" s="2106"/>
      <c r="H76" s="2195"/>
      <c r="I76" s="2217"/>
      <c r="J76" s="2106"/>
      <c r="K76" s="2106"/>
      <c r="L76" s="2106"/>
      <c r="M76" s="2106"/>
      <c r="N76" s="2106"/>
      <c r="O76" s="2128"/>
      <c r="P76" s="2128"/>
      <c r="Q76" s="2132"/>
      <c r="R76" s="2106"/>
      <c r="S76" s="2453"/>
      <c r="T76" s="2106"/>
      <c r="U76" s="2124"/>
      <c r="V76" s="2125"/>
      <c r="W76" s="2106"/>
      <c r="X76" s="2106"/>
      <c r="Y76" s="2109"/>
      <c r="Z76" s="2566"/>
      <c r="AA76" s="2567"/>
      <c r="AB76" s="2567"/>
      <c r="AC76" s="2567"/>
      <c r="AD76" s="2568"/>
      <c r="AE76" s="2500"/>
      <c r="AF76" s="2106"/>
      <c r="AG76" s="2106"/>
      <c r="AH76" s="2195"/>
      <c r="AI76" s="2217"/>
      <c r="AJ76" s="2106"/>
      <c r="AK76" s="2106"/>
      <c r="AL76" s="2106"/>
      <c r="AM76" s="2106"/>
      <c r="AN76" s="2106"/>
      <c r="AO76" s="2106"/>
      <c r="AP76" s="2128"/>
      <c r="AQ76" s="2128"/>
      <c r="AR76" s="2131"/>
      <c r="AS76" s="2191"/>
      <c r="AT76" s="2453"/>
      <c r="AU76" s="2106"/>
      <c r="AV76" s="2124"/>
      <c r="AW76" s="2125"/>
      <c r="AX76" s="2106"/>
      <c r="AY76" s="2106"/>
      <c r="AZ76" s="2109"/>
      <c r="BA76" s="2538"/>
      <c r="BB76" s="2539"/>
      <c r="BC76" s="2539"/>
      <c r="BD76" s="2539"/>
      <c r="BE76" s="2540"/>
      <c r="BF76" s="2577"/>
      <c r="BG76" s="2575"/>
      <c r="BH76" s="2575"/>
      <c r="BI76" s="1486" t="str">
        <f>HYPERLINK("http://www.auc.ab.ca/regulatory_documents/ProceedingDocuments/2017/22812-D01-2017.pdf", "AUC Proceeding 22812 AltaGas Utilities Inc. and the Summer Village of Bonnyville Beach Franchise Agreement and Rate Rider A, Page 33-35")</f>
        <v>AUC Proceeding 22812 AltaGas Utilities Inc. and the Summer Village of Bonnyville Beach Franchise Agreement and Rate Rider A, Page 33-35</v>
      </c>
      <c r="BJ76" s="2184"/>
      <c r="BK76" s="2231"/>
      <c r="BL76" s="2231"/>
      <c r="BM76" s="2231"/>
      <c r="BN76" s="2580"/>
      <c r="BO76" s="2436"/>
      <c r="BP76" s="2575"/>
      <c r="BQ76" s="2453"/>
      <c r="BR76" s="2120"/>
      <c r="BS76" s="2124"/>
      <c r="BT76" s="2125"/>
      <c r="BU76" s="2106"/>
      <c r="BV76" s="2106"/>
      <c r="BW76" s="2109"/>
      <c r="BX76" s="2476"/>
      <c r="BY76" s="2477"/>
      <c r="BZ76" s="2477"/>
      <c r="CA76" s="2477"/>
      <c r="CB76" s="2478"/>
    </row>
    <row r="77" spans="1:80" ht="46" customHeight="1" x14ac:dyDescent="0.3">
      <c r="A77" s="2206"/>
      <c r="B77" s="2206"/>
      <c r="C77" s="2207"/>
      <c r="D77" s="1037">
        <v>42979</v>
      </c>
      <c r="E77" s="2500"/>
      <c r="F77" s="2106"/>
      <c r="G77" s="2106"/>
      <c r="H77" s="2195"/>
      <c r="I77" s="2217"/>
      <c r="J77" s="2106"/>
      <c r="K77" s="2106"/>
      <c r="L77" s="2106"/>
      <c r="M77" s="2106"/>
      <c r="N77" s="2106"/>
      <c r="O77" s="2128"/>
      <c r="P77" s="2128"/>
      <c r="Q77" s="2132"/>
      <c r="R77" s="2106"/>
      <c r="S77" s="2453"/>
      <c r="T77" s="2106"/>
      <c r="U77" s="2124"/>
      <c r="V77" s="2125"/>
      <c r="W77" s="2106"/>
      <c r="X77" s="2106"/>
      <c r="Y77" s="2109"/>
      <c r="Z77" s="2566"/>
      <c r="AA77" s="2567"/>
      <c r="AB77" s="2567"/>
      <c r="AC77" s="2567"/>
      <c r="AD77" s="2568"/>
      <c r="AE77" s="2500"/>
      <c r="AF77" s="2106"/>
      <c r="AG77" s="2106"/>
      <c r="AH77" s="2195"/>
      <c r="AI77" s="2217"/>
      <c r="AJ77" s="2106"/>
      <c r="AK77" s="2106"/>
      <c r="AL77" s="2106"/>
      <c r="AM77" s="2106"/>
      <c r="AN77" s="2106"/>
      <c r="AO77" s="2106"/>
      <c r="AP77" s="2128"/>
      <c r="AQ77" s="2128"/>
      <c r="AR77" s="2131"/>
      <c r="AS77" s="2191"/>
      <c r="AT77" s="2453"/>
      <c r="AU77" s="2106"/>
      <c r="AV77" s="2124"/>
      <c r="AW77" s="2125"/>
      <c r="AX77" s="2106"/>
      <c r="AY77" s="2106"/>
      <c r="AZ77" s="2109"/>
      <c r="BA77" s="2538"/>
      <c r="BB77" s="2539"/>
      <c r="BC77" s="2539"/>
      <c r="BD77" s="2539"/>
      <c r="BE77" s="2540"/>
      <c r="BF77" s="2577"/>
      <c r="BG77" s="2575"/>
      <c r="BH77" s="2575"/>
      <c r="BI77" s="2200" t="str">
        <f>HYPERLINK("https://www2.auc.ab.ca/Proceeding22869/ProceedingDocuments/22869_X[]_22869-D01-2017AltaGasandVillageofGlendon_0013.pdf", "AUC Proceeding 22869 AltaGas Utilities Inc. and the Village of Glendon Franchise Agreement and Rate Rider A, Page 33-35")</f>
        <v>AUC Proceeding 22869 AltaGas Utilities Inc. and the Village of Glendon Franchise Agreement and Rate Rider A, Page 33-35</v>
      </c>
      <c r="BJ77" s="2184"/>
      <c r="BK77" s="2231"/>
      <c r="BL77" s="2231"/>
      <c r="BM77" s="2231"/>
      <c r="BN77" s="2580"/>
      <c r="BO77" s="2436"/>
      <c r="BP77" s="2575"/>
      <c r="BQ77" s="2453"/>
      <c r="BR77" s="2120"/>
      <c r="BS77" s="2124"/>
      <c r="BT77" s="2125"/>
      <c r="BU77" s="2106"/>
      <c r="BV77" s="2106"/>
      <c r="BW77" s="2109"/>
      <c r="BX77" s="2476"/>
      <c r="BY77" s="2477"/>
      <c r="BZ77" s="2477"/>
      <c r="CA77" s="2477"/>
      <c r="CB77" s="2478"/>
    </row>
    <row r="78" spans="1:80" ht="46" customHeight="1" x14ac:dyDescent="0.3">
      <c r="A78" s="2206"/>
      <c r="B78" s="2206"/>
      <c r="C78" s="2207"/>
      <c r="D78" s="1037">
        <v>43009</v>
      </c>
      <c r="E78" s="2500"/>
      <c r="F78" s="2106"/>
      <c r="G78" s="2106"/>
      <c r="H78" s="2195"/>
      <c r="I78" s="2217"/>
      <c r="J78" s="2106"/>
      <c r="K78" s="2106"/>
      <c r="L78" s="2106"/>
      <c r="M78" s="2106"/>
      <c r="N78" s="2106"/>
      <c r="O78" s="2128"/>
      <c r="P78" s="2128"/>
      <c r="Q78" s="2132"/>
      <c r="R78" s="2106"/>
      <c r="S78" s="2453"/>
      <c r="T78" s="2106"/>
      <c r="U78" s="2124"/>
      <c r="V78" s="2125"/>
      <c r="W78" s="2106"/>
      <c r="X78" s="2106"/>
      <c r="Y78" s="2109"/>
      <c r="Z78" s="2566"/>
      <c r="AA78" s="2567"/>
      <c r="AB78" s="2567"/>
      <c r="AC78" s="2567"/>
      <c r="AD78" s="2568"/>
      <c r="AE78" s="2500"/>
      <c r="AF78" s="2106"/>
      <c r="AG78" s="2106"/>
      <c r="AH78" s="2195"/>
      <c r="AI78" s="2217"/>
      <c r="AJ78" s="2106"/>
      <c r="AK78" s="2106"/>
      <c r="AL78" s="2106"/>
      <c r="AM78" s="2106"/>
      <c r="AN78" s="2106"/>
      <c r="AO78" s="2106"/>
      <c r="AP78" s="2128"/>
      <c r="AQ78" s="2128"/>
      <c r="AR78" s="2131"/>
      <c r="AS78" s="2191"/>
      <c r="AT78" s="2453"/>
      <c r="AU78" s="2106"/>
      <c r="AV78" s="2124"/>
      <c r="AW78" s="2125"/>
      <c r="AX78" s="2106"/>
      <c r="AY78" s="2106"/>
      <c r="AZ78" s="2109"/>
      <c r="BA78" s="2538"/>
      <c r="BB78" s="2539"/>
      <c r="BC78" s="2539"/>
      <c r="BD78" s="2539"/>
      <c r="BE78" s="2540"/>
      <c r="BF78" s="2577"/>
      <c r="BG78" s="2575"/>
      <c r="BH78" s="2575"/>
      <c r="BI78" s="2185"/>
      <c r="BJ78" s="2184"/>
      <c r="BK78" s="2231"/>
      <c r="BL78" s="2231"/>
      <c r="BM78" s="2231"/>
      <c r="BN78" s="2580"/>
      <c r="BO78" s="2436"/>
      <c r="BP78" s="2575"/>
      <c r="BQ78" s="2453"/>
      <c r="BR78" s="2120"/>
      <c r="BS78" s="2124"/>
      <c r="BT78" s="2125"/>
      <c r="BU78" s="2106"/>
      <c r="BV78" s="2106"/>
      <c r="BW78" s="2109"/>
      <c r="BX78" s="2476"/>
      <c r="BY78" s="2477"/>
      <c r="BZ78" s="2477"/>
      <c r="CA78" s="2477"/>
      <c r="CB78" s="2478"/>
    </row>
    <row r="79" spans="1:80" ht="46" customHeight="1" x14ac:dyDescent="0.3">
      <c r="A79" s="2206"/>
      <c r="B79" s="2206"/>
      <c r="C79" s="2207"/>
      <c r="D79" s="1037">
        <v>43040</v>
      </c>
      <c r="E79" s="2500"/>
      <c r="F79" s="2106"/>
      <c r="G79" s="2106"/>
      <c r="H79" s="2195"/>
      <c r="I79" s="2217"/>
      <c r="J79" s="2106"/>
      <c r="K79" s="2106"/>
      <c r="L79" s="2106"/>
      <c r="M79" s="2106"/>
      <c r="N79" s="2106"/>
      <c r="O79" s="2128"/>
      <c r="P79" s="2128"/>
      <c r="Q79" s="2132"/>
      <c r="R79" s="2106"/>
      <c r="S79" s="2453"/>
      <c r="T79" s="2106"/>
      <c r="U79" s="2124"/>
      <c r="V79" s="2125"/>
      <c r="W79" s="2106"/>
      <c r="X79" s="2106"/>
      <c r="Y79" s="2109"/>
      <c r="Z79" s="2566"/>
      <c r="AA79" s="2567"/>
      <c r="AB79" s="2567"/>
      <c r="AC79" s="2567"/>
      <c r="AD79" s="2568"/>
      <c r="AE79" s="2500"/>
      <c r="AF79" s="2106"/>
      <c r="AG79" s="2106"/>
      <c r="AH79" s="2195"/>
      <c r="AI79" s="2217"/>
      <c r="AJ79" s="2106"/>
      <c r="AK79" s="2106"/>
      <c r="AL79" s="2106"/>
      <c r="AM79" s="2106"/>
      <c r="AN79" s="2106"/>
      <c r="AO79" s="2106"/>
      <c r="AP79" s="2128"/>
      <c r="AQ79" s="2128"/>
      <c r="AR79" s="2131"/>
      <c r="AS79" s="2191"/>
      <c r="AT79" s="2453"/>
      <c r="AU79" s="2106"/>
      <c r="AV79" s="2124"/>
      <c r="AW79" s="2125"/>
      <c r="AX79" s="2106"/>
      <c r="AY79" s="2106"/>
      <c r="AZ79" s="2109"/>
      <c r="BA79" s="2538"/>
      <c r="BB79" s="2539"/>
      <c r="BC79" s="2539"/>
      <c r="BD79" s="2539"/>
      <c r="BE79" s="2540"/>
      <c r="BF79" s="2577"/>
      <c r="BG79" s="2575"/>
      <c r="BH79" s="2575"/>
      <c r="BI79" s="2185"/>
      <c r="BJ79" s="2184"/>
      <c r="BK79" s="2231"/>
      <c r="BL79" s="2231"/>
      <c r="BM79" s="2231"/>
      <c r="BN79" s="2580"/>
      <c r="BO79" s="2436"/>
      <c r="BP79" s="2575"/>
      <c r="BQ79" s="2453"/>
      <c r="BR79" s="2120"/>
      <c r="BS79" s="2124"/>
      <c r="BT79" s="2125"/>
      <c r="BU79" s="2106"/>
      <c r="BV79" s="2106"/>
      <c r="BW79" s="2109"/>
      <c r="BX79" s="2476"/>
      <c r="BY79" s="2477"/>
      <c r="BZ79" s="2477"/>
      <c r="CA79" s="2477"/>
      <c r="CB79" s="2478"/>
    </row>
    <row r="80" spans="1:80" ht="46" customHeight="1" x14ac:dyDescent="0.3">
      <c r="A80" s="2208"/>
      <c r="B80" s="2208"/>
      <c r="C80" s="2209"/>
      <c r="D80" s="1102">
        <v>43070</v>
      </c>
      <c r="E80" s="2500"/>
      <c r="F80" s="2106"/>
      <c r="G80" s="2106"/>
      <c r="H80" s="1509" t="str">
        <f>HYPERLINK("http://www.auc.ab.ca/regulatory_documents/ProceedingDocuments/2017/22900-D01-2017.pdf", "AUC Disposition 22900-D01-2017 AGPL and Town of Mayerthorpe franchise agreement and North Rider A, Page 35")</f>
        <v>AUC Disposition 22900-D01-2017 AGPL and Town of Mayerthorpe franchise agreement and North Rider A, Page 35</v>
      </c>
      <c r="I80" s="2217"/>
      <c r="J80" s="2106"/>
      <c r="K80" s="2106"/>
      <c r="L80" s="2106"/>
      <c r="M80" s="2106"/>
      <c r="N80" s="2106"/>
      <c r="O80" s="2128"/>
      <c r="P80" s="2128"/>
      <c r="Q80" s="2132"/>
      <c r="R80" s="2106"/>
      <c r="S80" s="2453"/>
      <c r="T80" s="2106"/>
      <c r="U80" s="2124"/>
      <c r="V80" s="2125"/>
      <c r="W80" s="2106"/>
      <c r="X80" s="2106"/>
      <c r="Y80" s="2109"/>
      <c r="Z80" s="2566"/>
      <c r="AA80" s="2567"/>
      <c r="AB80" s="2567"/>
      <c r="AC80" s="2567"/>
      <c r="AD80" s="2568"/>
      <c r="AE80" s="2500"/>
      <c r="AF80" s="2106"/>
      <c r="AG80" s="2106"/>
      <c r="AH80" s="2195"/>
      <c r="AI80" s="2217"/>
      <c r="AJ80" s="2106"/>
      <c r="AK80" s="2106"/>
      <c r="AL80" s="2106"/>
      <c r="AM80" s="2106"/>
      <c r="AN80" s="2106"/>
      <c r="AO80" s="2106"/>
      <c r="AP80" s="2128"/>
      <c r="AQ80" s="2128"/>
      <c r="AR80" s="2131"/>
      <c r="AS80" s="2191"/>
      <c r="AT80" s="2453"/>
      <c r="AU80" s="2106"/>
      <c r="AV80" s="2124"/>
      <c r="AW80" s="2125"/>
      <c r="AX80" s="2106"/>
      <c r="AY80" s="2106"/>
      <c r="AZ80" s="2109"/>
      <c r="BA80" s="2538"/>
      <c r="BB80" s="2539"/>
      <c r="BC80" s="2539"/>
      <c r="BD80" s="2539"/>
      <c r="BE80" s="2540"/>
      <c r="BF80" s="2577"/>
      <c r="BG80" s="2575"/>
      <c r="BH80" s="2575"/>
      <c r="BI80" s="2185"/>
      <c r="BJ80" s="2184"/>
      <c r="BK80" s="2231"/>
      <c r="BL80" s="2231"/>
      <c r="BM80" s="2231"/>
      <c r="BN80" s="2580"/>
      <c r="BO80" s="2436"/>
      <c r="BP80" s="2575"/>
      <c r="BQ80" s="2453"/>
      <c r="BR80" s="2120"/>
      <c r="BS80" s="2124"/>
      <c r="BT80" s="2125"/>
      <c r="BU80" s="2106"/>
      <c r="BV80" s="2106"/>
      <c r="BW80" s="2109"/>
      <c r="BX80" s="2476"/>
      <c r="BY80" s="2477"/>
      <c r="BZ80" s="2477"/>
      <c r="CA80" s="2477"/>
      <c r="CB80" s="2478"/>
    </row>
    <row r="81" spans="1:80" ht="45.75" customHeight="1" x14ac:dyDescent="0.3">
      <c r="A81" s="2136">
        <v>2018</v>
      </c>
      <c r="B81" s="2136"/>
      <c r="C81" s="2137"/>
      <c r="D81" s="1101">
        <v>43101</v>
      </c>
      <c r="E81" s="2500"/>
      <c r="F81" s="2106"/>
      <c r="G81" s="2106"/>
      <c r="H81" s="1509" t="str">
        <f>HYPERLINK("https://www.trackenergyregs.ca/cga/abuc/en/300914/1/document.do", "AUC Disposition 23029-D01-2017 ATCO Gas and and Hardisty Franchise Agreement and Rate Rider A, Page 35")</f>
        <v>AUC Disposition 23029-D01-2017 ATCO Gas and and Hardisty Franchise Agreement and Rate Rider A, Page 35</v>
      </c>
      <c r="I81" s="2217"/>
      <c r="J81" s="2106"/>
      <c r="K81" s="2106"/>
      <c r="L81" s="2106"/>
      <c r="M81" s="2106"/>
      <c r="N81" s="2106"/>
      <c r="O81" s="2128"/>
      <c r="P81" s="2128"/>
      <c r="Q81" s="2132"/>
      <c r="R81" s="2106"/>
      <c r="S81" s="2453"/>
      <c r="T81" s="2106"/>
      <c r="U81" s="2124"/>
      <c r="V81" s="2125"/>
      <c r="W81" s="2106"/>
      <c r="X81" s="2106"/>
      <c r="Y81" s="2109"/>
      <c r="Z81" s="2566"/>
      <c r="AA81" s="2567"/>
      <c r="AB81" s="2567"/>
      <c r="AC81" s="2567"/>
      <c r="AD81" s="2568"/>
      <c r="AE81" s="2500"/>
      <c r="AF81" s="2106"/>
      <c r="AG81" s="2106"/>
      <c r="AH81" s="2195" t="str">
        <f>HYPERLINK("https://www.altagasutilities.com/sites/default/files/23355-D01-2018ErrataApril12018InterimRates.pdf", "AUC Disposition 23355-D01-2018 April 1, 2018 Interim Rates for AltaGas, ATCO Electric, ATCO Gas, ENMAX, EPCOR and Fortis, Page 55")</f>
        <v>AUC Disposition 23355-D01-2018 April 1, 2018 Interim Rates for AltaGas, ATCO Electric, ATCO Gas, ENMAX, EPCOR and Fortis, Page 55</v>
      </c>
      <c r="AI81" s="2135"/>
      <c r="AJ81" s="2106"/>
      <c r="AK81" s="2106"/>
      <c r="AL81" s="2106"/>
      <c r="AM81" s="2106"/>
      <c r="AN81" s="2106"/>
      <c r="AO81" s="2106"/>
      <c r="AP81" s="2128"/>
      <c r="AQ81" s="2128"/>
      <c r="AR81" s="2131"/>
      <c r="AS81" s="2191"/>
      <c r="AT81" s="2453"/>
      <c r="AU81" s="2106"/>
      <c r="AV81" s="2124"/>
      <c r="AW81" s="2125"/>
      <c r="AX81" s="2106"/>
      <c r="AY81" s="2106"/>
      <c r="AZ81" s="2109"/>
      <c r="BA81" s="2538"/>
      <c r="BB81" s="2539"/>
      <c r="BC81" s="2539"/>
      <c r="BD81" s="2539"/>
      <c r="BE81" s="2540"/>
      <c r="BF81" s="2577"/>
      <c r="BG81" s="2575"/>
      <c r="BH81" s="2575"/>
      <c r="BI81" s="2185"/>
      <c r="BJ81" s="2184"/>
      <c r="BK81" s="2231"/>
      <c r="BL81" s="2231"/>
      <c r="BM81" s="2231"/>
      <c r="BN81" s="2580"/>
      <c r="BO81" s="2436"/>
      <c r="BP81" s="2575"/>
      <c r="BQ81" s="2453"/>
      <c r="BR81" s="2120"/>
      <c r="BS81" s="2124"/>
      <c r="BT81" s="2125"/>
      <c r="BU81" s="2106"/>
      <c r="BV81" s="2106"/>
      <c r="BW81" s="2109"/>
      <c r="BX81" s="2476"/>
      <c r="BY81" s="2477"/>
      <c r="BZ81" s="2477"/>
      <c r="CA81" s="2477"/>
      <c r="CB81" s="2478"/>
    </row>
    <row r="82" spans="1:80" ht="45.75" customHeight="1" x14ac:dyDescent="0.3">
      <c r="A82" s="2138"/>
      <c r="B82" s="2138"/>
      <c r="C82" s="2139"/>
      <c r="D82" s="1037">
        <v>43132</v>
      </c>
      <c r="E82" s="2500"/>
      <c r="F82" s="2106"/>
      <c r="G82" s="2106"/>
      <c r="H82" s="1509" t="str">
        <f>HYPERLINK("https://www.trackenergyregs.ca/cga/abuc/en/300922/1/document.do", "AUC Disposition 23077-D01-2017 ATCO Gas and Pipelines Franchise Agreement and Rate Rider A with Village of Hythe, Page 35")</f>
        <v>AUC Disposition 23077-D01-2017 ATCO Gas and Pipelines Franchise Agreement and Rate Rider A with Village of Hythe, Page 35</v>
      </c>
      <c r="I82" s="2217" t="str">
        <f>HYPERLINK("https://www.altagasutilities.com/sites/default/files/23355-D01-2018ErrataApril12018InterimRates.pdf", "AUC Disposition 23355-D01-2018 April 1, 2018 Interim Rates for AltaGas, ATCO Electric, ATCO Gas, ENMAX, EPCOR and Fortis, Page 43")</f>
        <v>AUC Disposition 23355-D01-2018 April 1, 2018 Interim Rates for AltaGas, ATCO Electric, ATCO Gas, ENMAX, EPCOR and Fortis, Page 43</v>
      </c>
      <c r="J82" s="2106"/>
      <c r="K82" s="2106"/>
      <c r="L82" s="2106"/>
      <c r="M82" s="2106"/>
      <c r="N82" s="2106"/>
      <c r="O82" s="2128"/>
      <c r="P82" s="2128"/>
      <c r="Q82" s="2132"/>
      <c r="R82" s="2106"/>
      <c r="S82" s="2453"/>
      <c r="T82" s="2106"/>
      <c r="U82" s="2124"/>
      <c r="V82" s="2125"/>
      <c r="W82" s="2106"/>
      <c r="X82" s="2106"/>
      <c r="Y82" s="2109"/>
      <c r="Z82" s="2566"/>
      <c r="AA82" s="2567"/>
      <c r="AB82" s="2567"/>
      <c r="AC82" s="2567"/>
      <c r="AD82" s="2568"/>
      <c r="AE82" s="2500"/>
      <c r="AF82" s="2106"/>
      <c r="AG82" s="2106"/>
      <c r="AH82" s="2195"/>
      <c r="AI82" s="2532" t="str">
        <f>HYPERLINK("https://www.altagasutilities.com/sites/default/files/23355-D01-2018ErrataApril12018InterimRates.pdf", "AUC Disposition 23355-D01-2018 April 1, 2018 Interim Rates for AltaGas, ATCO Electric, ATCO Gas, ENMAX, EPCOR and Fortis, Page 56")</f>
        <v>AUC Disposition 23355-D01-2018 April 1, 2018 Interim Rates for AltaGas, ATCO Electric, ATCO Gas, ENMAX, EPCOR and Fortis, Page 56</v>
      </c>
      <c r="AJ82" s="2106"/>
      <c r="AK82" s="2106"/>
      <c r="AL82" s="2106"/>
      <c r="AM82" s="2106"/>
      <c r="AN82" s="2106"/>
      <c r="AO82" s="2106"/>
      <c r="AP82" s="2128"/>
      <c r="AQ82" s="2128"/>
      <c r="AR82" s="2131"/>
      <c r="AS82" s="2191"/>
      <c r="AT82" s="2453"/>
      <c r="AU82" s="2106"/>
      <c r="AV82" s="2124"/>
      <c r="AW82" s="2125"/>
      <c r="AX82" s="2106"/>
      <c r="AY82" s="2106"/>
      <c r="AZ82" s="2109"/>
      <c r="BA82" s="2538"/>
      <c r="BB82" s="2539"/>
      <c r="BC82" s="2539"/>
      <c r="BD82" s="2539"/>
      <c r="BE82" s="2540"/>
      <c r="BF82" s="2577"/>
      <c r="BG82" s="2575"/>
      <c r="BH82" s="2575"/>
      <c r="BI82" s="2185"/>
      <c r="BJ82" s="2184"/>
      <c r="BK82" s="2231"/>
      <c r="BL82" s="2231"/>
      <c r="BM82" s="2231"/>
      <c r="BN82" s="2580"/>
      <c r="BO82" s="2436"/>
      <c r="BP82" s="2575"/>
      <c r="BQ82" s="2453"/>
      <c r="BR82" s="2120"/>
      <c r="BS82" s="2124"/>
      <c r="BT82" s="2125"/>
      <c r="BU82" s="2106"/>
      <c r="BV82" s="2106"/>
      <c r="BW82" s="2109"/>
      <c r="BX82" s="2476"/>
      <c r="BY82" s="2477"/>
      <c r="BZ82" s="2477"/>
      <c r="CA82" s="2477"/>
      <c r="CB82" s="2478"/>
    </row>
    <row r="83" spans="1:80" ht="45.75" customHeight="1" x14ac:dyDescent="0.3">
      <c r="A83" s="2138"/>
      <c r="B83" s="2138"/>
      <c r="C83" s="2139"/>
      <c r="D83" s="1037">
        <v>43160</v>
      </c>
      <c r="E83" s="2500"/>
      <c r="F83" s="2106"/>
      <c r="G83" s="2106"/>
      <c r="H83" s="1509" t="str">
        <f>HYPERLINK("https://www.trackenergyregs.ca/cga/abuc/en/306161/1/document.do", "AUC Disposition 23306-D01-2018 AGPL and the City of Wetaskiwin Franchise Agreement and Rate Rider A, Page 35")</f>
        <v>AUC Disposition 23306-D01-2018 AGPL and the City of Wetaskiwin Franchise Agreement and Rate Rider A, Page 35</v>
      </c>
      <c r="I83" s="2217"/>
      <c r="J83" s="2106"/>
      <c r="K83" s="2106"/>
      <c r="L83" s="2106"/>
      <c r="M83" s="2106"/>
      <c r="N83" s="2106"/>
      <c r="O83" s="2128"/>
      <c r="P83" s="2128"/>
      <c r="Q83" s="2132"/>
      <c r="R83" s="2107"/>
      <c r="S83" s="2453"/>
      <c r="T83" s="2106"/>
      <c r="U83" s="2124"/>
      <c r="V83" s="2125"/>
      <c r="W83" s="2106"/>
      <c r="X83" s="2106"/>
      <c r="Y83" s="2109"/>
      <c r="Z83" s="2566"/>
      <c r="AA83" s="2567"/>
      <c r="AB83" s="2567"/>
      <c r="AC83" s="2567"/>
      <c r="AD83" s="2568"/>
      <c r="AE83" s="2500"/>
      <c r="AF83" s="2106"/>
      <c r="AG83" s="2106"/>
      <c r="AH83" s="2195"/>
      <c r="AI83" s="2533"/>
      <c r="AJ83" s="2106"/>
      <c r="AK83" s="2106"/>
      <c r="AL83" s="2106"/>
      <c r="AM83" s="2106"/>
      <c r="AN83" s="2106"/>
      <c r="AO83" s="2106"/>
      <c r="AP83" s="2128"/>
      <c r="AQ83" s="2128"/>
      <c r="AR83" s="2131"/>
      <c r="AS83" s="2192"/>
      <c r="AT83" s="2453"/>
      <c r="AU83" s="2106"/>
      <c r="AV83" s="2124"/>
      <c r="AW83" s="2125"/>
      <c r="AX83" s="2106"/>
      <c r="AY83" s="2106"/>
      <c r="AZ83" s="2109"/>
      <c r="BA83" s="2538"/>
      <c r="BB83" s="2539"/>
      <c r="BC83" s="2539"/>
      <c r="BD83" s="2539"/>
      <c r="BE83" s="2540"/>
      <c r="BF83" s="2577"/>
      <c r="BG83" s="2575"/>
      <c r="BH83" s="2575"/>
      <c r="BI83" s="2187"/>
      <c r="BJ83" s="2186"/>
      <c r="BK83" s="2231"/>
      <c r="BL83" s="2231"/>
      <c r="BM83" s="2231"/>
      <c r="BN83" s="2580"/>
      <c r="BO83" s="2436"/>
      <c r="BP83" s="2575"/>
      <c r="BQ83" s="2453"/>
      <c r="BR83" s="2120"/>
      <c r="BS83" s="2124"/>
      <c r="BT83" s="2125"/>
      <c r="BU83" s="2106"/>
      <c r="BV83" s="2106"/>
      <c r="BW83" s="2109"/>
      <c r="BX83" s="2476"/>
      <c r="BY83" s="2477"/>
      <c r="BZ83" s="2477"/>
      <c r="CA83" s="2477"/>
      <c r="CB83" s="2478"/>
    </row>
    <row r="84" spans="1:80" ht="46.5" customHeight="1" x14ac:dyDescent="0.3">
      <c r="A84" s="2138"/>
      <c r="B84" s="2138"/>
      <c r="C84" s="2139"/>
      <c r="D84" s="1037">
        <v>43191</v>
      </c>
      <c r="E84" s="2500"/>
      <c r="F84" s="2106"/>
      <c r="G84" s="2106"/>
      <c r="H84" s="2201" t="str">
        <f>HYPERLINK("http://www.auc.ab.ca/regulatory_documents/ProceedingDocuments/2018/23314-D01-2018.pdf", "AUC Disposition 23314-D01-2018 ATCO Gas and Pipelines Ltd. North Rider A Amendment for One Municipality - April 2018, Page 3")</f>
        <v>AUC Disposition 23314-D01-2018 ATCO Gas and Pipelines Ltd. North Rider A Amendment for One Municipality - April 2018, Page 3</v>
      </c>
      <c r="I84" s="2193" t="str">
        <f>HYPERLINK("http://www.atcogas.com/Rates/Current_Rates/Documents/North-Rate-Schedule.pdf", "ATCO Gas and Pipelines Ltd. ATCO Gas North Rate Schedules June 1, 2018, Page 5")</f>
        <v>ATCO Gas and Pipelines Ltd. ATCO Gas North Rate Schedules June 1, 2018, Page 5</v>
      </c>
      <c r="J84" s="2106"/>
      <c r="K84" s="2106"/>
      <c r="L84" s="2106"/>
      <c r="M84" s="2106"/>
      <c r="N84" s="2106"/>
      <c r="O84" s="2128"/>
      <c r="P84" s="2128"/>
      <c r="Q84" s="2132"/>
      <c r="R84" s="2114" t="str">
        <f>HYPERLINK("https://www.directenergyregulatedservices.com/images/docs/180323-DERS-Apr-2018-Interim-North-DRT-Rate-Schedules.pdf", "DERS 2018 Interim Rate Schedules for DRT Service in ATCO Gas North Service Territory Effective April 1, 2018, Page 2")</f>
        <v>DERS 2018 Interim Rate Schedules for DRT Service in ATCO Gas North Service Territory Effective April 1, 2018, Page 2</v>
      </c>
      <c r="S84" s="2453"/>
      <c r="T84" s="2106"/>
      <c r="U84" s="2124"/>
      <c r="V84" s="2125"/>
      <c r="W84" s="2106"/>
      <c r="X84" s="2106"/>
      <c r="Y84" s="2109"/>
      <c r="Z84" s="2566"/>
      <c r="AA84" s="2567"/>
      <c r="AB84" s="2567"/>
      <c r="AC84" s="2567"/>
      <c r="AD84" s="2568"/>
      <c r="AE84" s="2500"/>
      <c r="AF84" s="2106"/>
      <c r="AG84" s="2106"/>
      <c r="AH84" s="2195"/>
      <c r="AI84" s="2533"/>
      <c r="AJ84" s="2106"/>
      <c r="AK84" s="2106"/>
      <c r="AL84" s="2106"/>
      <c r="AM84" s="2106"/>
      <c r="AN84" s="2106"/>
      <c r="AO84" s="2106"/>
      <c r="AP84" s="2128"/>
      <c r="AQ84" s="2128"/>
      <c r="AR84" s="2131"/>
      <c r="AS84" s="2201" t="str">
        <f>HYPERLINK("https://www.directenergyregulatedservices.com/images/docs/180323-DERS-Apr-2018-Interim-South-DRT-Rate-Schedules.pdf", "DERS 2018 Interim Rate Schedules for DRT Service in ATCO Gas South Service Territory Effective April 1, 2018, Page 2")</f>
        <v>DERS 2018 Interim Rate Schedules for DRT Service in ATCO Gas South Service Territory Effective April 1, 2018, Page 2</v>
      </c>
      <c r="AT84" s="2453"/>
      <c r="AU84" s="2106"/>
      <c r="AV84" s="2124"/>
      <c r="AW84" s="2125"/>
      <c r="AX84" s="2106"/>
      <c r="AY84" s="2106"/>
      <c r="AZ84" s="2109"/>
      <c r="BA84" s="2538"/>
      <c r="BB84" s="2539"/>
      <c r="BC84" s="2539"/>
      <c r="BD84" s="2539"/>
      <c r="BE84" s="2540"/>
      <c r="BF84" s="2577"/>
      <c r="BG84" s="2575"/>
      <c r="BH84" s="2575"/>
      <c r="BI84" s="2114" t="str">
        <f>HYPERLINK("https://www.altagasutilities.com/sites/default/files/Rate-Rider-A_Franchise-Tax.pdf", "AltaGas Rate Rider A, Page 1-3")</f>
        <v>AltaGas Rate Rider A, Page 1-3</v>
      </c>
      <c r="BJ84" s="2193" t="str">
        <f>HYPERLINK("https://www.altagasutilities.com/sites/default/files/Rate%20Rider%20B%20-%20Property%20Tax%20-%202018-2019.pdf", "AltaGas Rate Rider B - Property Tax - 2018-2019, Page 1,2")</f>
        <v>AltaGas Rate Rider B - Property Tax - 2018-2019, Page 1,2</v>
      </c>
      <c r="BK84" s="2231"/>
      <c r="BL84" s="2231"/>
      <c r="BM84" s="2231"/>
      <c r="BN84" s="2580"/>
      <c r="BO84" s="2436"/>
      <c r="BP84" s="2575"/>
      <c r="BQ84" s="2453"/>
      <c r="BR84" s="2120"/>
      <c r="BS84" s="2124"/>
      <c r="BT84" s="2125"/>
      <c r="BU84" s="2106"/>
      <c r="BV84" s="2106"/>
      <c r="BW84" s="2109"/>
      <c r="BX84" s="2476"/>
      <c r="BY84" s="2477"/>
      <c r="BZ84" s="2477"/>
      <c r="CA84" s="2477"/>
      <c r="CB84" s="2478"/>
    </row>
    <row r="85" spans="1:80" ht="46.5" customHeight="1" x14ac:dyDescent="0.3">
      <c r="A85" s="2138"/>
      <c r="B85" s="2138"/>
      <c r="C85" s="2139"/>
      <c r="D85" s="1037">
        <v>43221</v>
      </c>
      <c r="E85" s="2500"/>
      <c r="F85" s="2106"/>
      <c r="G85" s="2106"/>
      <c r="H85" s="2201"/>
      <c r="I85" s="2193"/>
      <c r="J85" s="2106"/>
      <c r="K85" s="2106"/>
      <c r="L85" s="2106"/>
      <c r="M85" s="2106"/>
      <c r="N85" s="2106"/>
      <c r="O85" s="2128"/>
      <c r="P85" s="2128"/>
      <c r="Q85" s="2132"/>
      <c r="R85" s="2114"/>
      <c r="S85" s="2453"/>
      <c r="T85" s="2106"/>
      <c r="U85" s="2124"/>
      <c r="V85" s="2125"/>
      <c r="W85" s="2106"/>
      <c r="X85" s="2106"/>
      <c r="Y85" s="2109"/>
      <c r="Z85" s="2566"/>
      <c r="AA85" s="2567"/>
      <c r="AB85" s="2567"/>
      <c r="AC85" s="2567"/>
      <c r="AD85" s="2568"/>
      <c r="AE85" s="2500"/>
      <c r="AF85" s="2106"/>
      <c r="AG85" s="2106"/>
      <c r="AH85" s="2195"/>
      <c r="AI85" s="2533"/>
      <c r="AJ85" s="2106"/>
      <c r="AK85" s="2106"/>
      <c r="AL85" s="2106"/>
      <c r="AM85" s="2106"/>
      <c r="AN85" s="2106"/>
      <c r="AO85" s="2106"/>
      <c r="AP85" s="2128"/>
      <c r="AQ85" s="2128"/>
      <c r="AR85" s="2131"/>
      <c r="AS85" s="2201"/>
      <c r="AT85" s="2453"/>
      <c r="AU85" s="2106"/>
      <c r="AV85" s="2124"/>
      <c r="AW85" s="2125"/>
      <c r="AX85" s="2106"/>
      <c r="AY85" s="2106"/>
      <c r="AZ85" s="2109"/>
      <c r="BA85" s="2538"/>
      <c r="BB85" s="2539"/>
      <c r="BC85" s="2539"/>
      <c r="BD85" s="2539"/>
      <c r="BE85" s="2540"/>
      <c r="BF85" s="2577"/>
      <c r="BG85" s="2575"/>
      <c r="BH85" s="2575"/>
      <c r="BI85" s="2114"/>
      <c r="BJ85" s="2193"/>
      <c r="BK85" s="2231"/>
      <c r="BL85" s="2231"/>
      <c r="BM85" s="2231"/>
      <c r="BN85" s="2580"/>
      <c r="BO85" s="2436"/>
      <c r="BP85" s="2575"/>
      <c r="BQ85" s="2453"/>
      <c r="BR85" s="2120"/>
      <c r="BS85" s="2124"/>
      <c r="BT85" s="2125"/>
      <c r="BU85" s="2106"/>
      <c r="BV85" s="2106"/>
      <c r="BW85" s="2109"/>
      <c r="BX85" s="2476"/>
      <c r="BY85" s="2477"/>
      <c r="BZ85" s="2477"/>
      <c r="CA85" s="2477"/>
      <c r="CB85" s="2478"/>
    </row>
    <row r="86" spans="1:80" ht="46.5" customHeight="1" x14ac:dyDescent="0.3">
      <c r="A86" s="2138"/>
      <c r="B86" s="2138"/>
      <c r="C86" s="2139"/>
      <c r="D86" s="1037">
        <v>43252</v>
      </c>
      <c r="E86" s="2500"/>
      <c r="F86" s="2106"/>
      <c r="G86" s="2106"/>
      <c r="H86" s="2503" t="str">
        <f>HYPERLINK("http://www.atcogas.com/Rates/Current_Rates/Documents/North-Rate-Schedule.pdf", "ATCO Gas and Pipelines Ltd. ATCO Gas North Rate Schedules June 1, 2018, Page 4")</f>
        <v>ATCO Gas and Pipelines Ltd. ATCO Gas North Rate Schedules June 1, 2018, Page 4</v>
      </c>
      <c r="I86" s="2193"/>
      <c r="J86" s="2106"/>
      <c r="K86" s="2106"/>
      <c r="L86" s="2106"/>
      <c r="M86" s="2106"/>
      <c r="N86" s="2106"/>
      <c r="O86" s="2128"/>
      <c r="P86" s="2128"/>
      <c r="Q86" s="2132"/>
      <c r="R86" s="2114"/>
      <c r="S86" s="2453"/>
      <c r="T86" s="2106"/>
      <c r="U86" s="2124"/>
      <c r="V86" s="2125"/>
      <c r="W86" s="2106"/>
      <c r="X86" s="2106"/>
      <c r="Y86" s="2109"/>
      <c r="Z86" s="2566"/>
      <c r="AA86" s="2567"/>
      <c r="AB86" s="2567"/>
      <c r="AC86" s="2567"/>
      <c r="AD86" s="2568"/>
      <c r="AE86" s="2500"/>
      <c r="AF86" s="2106"/>
      <c r="AG86" s="2106"/>
      <c r="AH86" s="2195"/>
      <c r="AI86" s="2533"/>
      <c r="AJ86" s="2106"/>
      <c r="AK86" s="2106"/>
      <c r="AL86" s="2106"/>
      <c r="AM86" s="2106"/>
      <c r="AN86" s="2106"/>
      <c r="AO86" s="2106"/>
      <c r="AP86" s="2128"/>
      <c r="AQ86" s="2128"/>
      <c r="AR86" s="2131"/>
      <c r="AS86" s="2201"/>
      <c r="AT86" s="2453"/>
      <c r="AU86" s="2106"/>
      <c r="AV86" s="2124"/>
      <c r="AW86" s="2125"/>
      <c r="AX86" s="2106"/>
      <c r="AY86" s="2106"/>
      <c r="AZ86" s="2109"/>
      <c r="BA86" s="2538"/>
      <c r="BB86" s="2539"/>
      <c r="BC86" s="2539"/>
      <c r="BD86" s="2539"/>
      <c r="BE86" s="2540"/>
      <c r="BF86" s="2577"/>
      <c r="BG86" s="2575"/>
      <c r="BH86" s="2575"/>
      <c r="BI86" s="2114"/>
      <c r="BJ86" s="2193"/>
      <c r="BK86" s="2231"/>
      <c r="BL86" s="2231"/>
      <c r="BM86" s="2231"/>
      <c r="BN86" s="2580"/>
      <c r="BO86" s="2582" t="str">
        <f>HYPERLINK("https://www.altagasutilities.com/sites/default/files/Rate%201%20-%20April%201%202018.pdf", "AltaGas April 2018 Rate No. 1 Small General Service")</f>
        <v>AltaGas April 2018 Rate No. 1 Small General Service</v>
      </c>
      <c r="BP86" s="2575"/>
      <c r="BQ86" s="2453"/>
      <c r="BR86" s="2120"/>
      <c r="BS86" s="2124"/>
      <c r="BT86" s="2125"/>
      <c r="BU86" s="2106"/>
      <c r="BV86" s="2106"/>
      <c r="BW86" s="2109"/>
      <c r="BX86" s="2476"/>
      <c r="BY86" s="2477"/>
      <c r="BZ86" s="2477"/>
      <c r="CA86" s="2477"/>
      <c r="CB86" s="2478"/>
    </row>
    <row r="87" spans="1:80" ht="46.5" customHeight="1" x14ac:dyDescent="0.3">
      <c r="A87" s="2138"/>
      <c r="B87" s="2138"/>
      <c r="C87" s="2139"/>
      <c r="D87" s="1037">
        <v>43282</v>
      </c>
      <c r="E87" s="2500"/>
      <c r="F87" s="2106"/>
      <c r="G87" s="2106"/>
      <c r="H87" s="2503"/>
      <c r="I87" s="2193"/>
      <c r="J87" s="2106"/>
      <c r="K87" s="2106"/>
      <c r="L87" s="2106"/>
      <c r="M87" s="2106"/>
      <c r="N87" s="2106"/>
      <c r="O87" s="2128"/>
      <c r="P87" s="2128"/>
      <c r="Q87" s="2132"/>
      <c r="R87" s="2114"/>
      <c r="S87" s="2453"/>
      <c r="T87" s="2106"/>
      <c r="U87" s="2124"/>
      <c r="V87" s="2125"/>
      <c r="W87" s="2106"/>
      <c r="X87" s="2106"/>
      <c r="Y87" s="2109"/>
      <c r="Z87" s="2566"/>
      <c r="AA87" s="2567"/>
      <c r="AB87" s="2567"/>
      <c r="AC87" s="2567"/>
      <c r="AD87" s="2568"/>
      <c r="AE87" s="2500"/>
      <c r="AF87" s="2106"/>
      <c r="AG87" s="2106"/>
      <c r="AH87" s="2195"/>
      <c r="AI87" s="2533"/>
      <c r="AJ87" s="2106"/>
      <c r="AK87" s="2106"/>
      <c r="AL87" s="2106"/>
      <c r="AM87" s="2106"/>
      <c r="AN87" s="2106"/>
      <c r="AO87" s="2106"/>
      <c r="AP87" s="2128"/>
      <c r="AQ87" s="2128"/>
      <c r="AR87" s="2131"/>
      <c r="AS87" s="2201"/>
      <c r="AT87" s="2453"/>
      <c r="AU87" s="2106"/>
      <c r="AV87" s="2124"/>
      <c r="AW87" s="2125"/>
      <c r="AX87" s="2106"/>
      <c r="AY87" s="2106"/>
      <c r="AZ87" s="2109"/>
      <c r="BA87" s="2538"/>
      <c r="BB87" s="2539"/>
      <c r="BC87" s="2539"/>
      <c r="BD87" s="2539"/>
      <c r="BE87" s="2540"/>
      <c r="BF87" s="2577"/>
      <c r="BG87" s="2575"/>
      <c r="BH87" s="2575"/>
      <c r="BI87" s="2114"/>
      <c r="BJ87" s="2193"/>
      <c r="BK87" s="2231"/>
      <c r="BL87" s="2231"/>
      <c r="BM87" s="2231"/>
      <c r="BN87" s="2580"/>
      <c r="BO87" s="2582"/>
      <c r="BP87" s="2575"/>
      <c r="BQ87" s="2453"/>
      <c r="BR87" s="2120"/>
      <c r="BS87" s="2124"/>
      <c r="BT87" s="2125"/>
      <c r="BU87" s="2106"/>
      <c r="BV87" s="2106"/>
      <c r="BW87" s="2109"/>
      <c r="BX87" s="2476"/>
      <c r="BY87" s="2477"/>
      <c r="BZ87" s="2477"/>
      <c r="CA87" s="2477"/>
      <c r="CB87" s="2478"/>
    </row>
    <row r="88" spans="1:80" ht="46.5" customHeight="1" x14ac:dyDescent="0.3">
      <c r="A88" s="2138"/>
      <c r="B88" s="2138"/>
      <c r="C88" s="2139"/>
      <c r="D88" s="1037">
        <v>43313</v>
      </c>
      <c r="E88" s="2500"/>
      <c r="F88" s="2106"/>
      <c r="G88" s="2106"/>
      <c r="H88" s="2503"/>
      <c r="I88" s="2193"/>
      <c r="J88" s="2106"/>
      <c r="K88" s="2106"/>
      <c r="L88" s="2106"/>
      <c r="M88" s="2106"/>
      <c r="N88" s="2106"/>
      <c r="O88" s="2128"/>
      <c r="P88" s="2128"/>
      <c r="Q88" s="2132"/>
      <c r="R88" s="2114"/>
      <c r="S88" s="2453"/>
      <c r="T88" s="2106"/>
      <c r="U88" s="2124"/>
      <c r="V88" s="2125"/>
      <c r="W88" s="2106"/>
      <c r="X88" s="2106"/>
      <c r="Y88" s="2109"/>
      <c r="Z88" s="2566"/>
      <c r="AA88" s="2567"/>
      <c r="AB88" s="2567"/>
      <c r="AC88" s="2567"/>
      <c r="AD88" s="2568"/>
      <c r="AE88" s="2500"/>
      <c r="AF88" s="2106"/>
      <c r="AG88" s="2106"/>
      <c r="AH88" s="2195"/>
      <c r="AI88" s="2533"/>
      <c r="AJ88" s="2106"/>
      <c r="AK88" s="2106"/>
      <c r="AL88" s="2106"/>
      <c r="AM88" s="2106"/>
      <c r="AN88" s="2106"/>
      <c r="AO88" s="2106"/>
      <c r="AP88" s="2128"/>
      <c r="AQ88" s="2128"/>
      <c r="AR88" s="2131"/>
      <c r="AS88" s="2201"/>
      <c r="AT88" s="2453"/>
      <c r="AU88" s="2106"/>
      <c r="AV88" s="2124"/>
      <c r="AW88" s="2125"/>
      <c r="AX88" s="2106"/>
      <c r="AY88" s="2106"/>
      <c r="AZ88" s="2109"/>
      <c r="BA88" s="2538"/>
      <c r="BB88" s="2539"/>
      <c r="BC88" s="2539"/>
      <c r="BD88" s="2539"/>
      <c r="BE88" s="2540"/>
      <c r="BF88" s="2577"/>
      <c r="BG88" s="2575"/>
      <c r="BH88" s="2575"/>
      <c r="BI88" s="2114"/>
      <c r="BJ88" s="2193"/>
      <c r="BK88" s="2231"/>
      <c r="BL88" s="2231"/>
      <c r="BM88" s="2231"/>
      <c r="BN88" s="2580"/>
      <c r="BO88" s="2582"/>
      <c r="BP88" s="2575"/>
      <c r="BQ88" s="2453"/>
      <c r="BR88" s="2120"/>
      <c r="BS88" s="2124"/>
      <c r="BT88" s="2125"/>
      <c r="BU88" s="2106"/>
      <c r="BV88" s="2106"/>
      <c r="BW88" s="2109"/>
      <c r="BX88" s="2476"/>
      <c r="BY88" s="2477"/>
      <c r="BZ88" s="2477"/>
      <c r="CA88" s="2477"/>
      <c r="CB88" s="2478"/>
    </row>
    <row r="89" spans="1:80" ht="46.5" customHeight="1" x14ac:dyDescent="0.3">
      <c r="A89" s="2138"/>
      <c r="B89" s="2138"/>
      <c r="C89" s="2139"/>
      <c r="D89" s="1037">
        <v>43344</v>
      </c>
      <c r="E89" s="2500"/>
      <c r="F89" s="2106"/>
      <c r="G89" s="2106"/>
      <c r="H89" s="2503"/>
      <c r="I89" s="2193"/>
      <c r="J89" s="2106"/>
      <c r="K89" s="2106"/>
      <c r="L89" s="2106"/>
      <c r="M89" s="2106"/>
      <c r="N89" s="2106"/>
      <c r="O89" s="2128"/>
      <c r="P89" s="2128"/>
      <c r="Q89" s="2132"/>
      <c r="R89" s="2114"/>
      <c r="S89" s="2453"/>
      <c r="T89" s="2106"/>
      <c r="U89" s="2124"/>
      <c r="V89" s="2125"/>
      <c r="W89" s="2106"/>
      <c r="X89" s="2106"/>
      <c r="Y89" s="2109"/>
      <c r="Z89" s="2566"/>
      <c r="AA89" s="2567"/>
      <c r="AB89" s="2567"/>
      <c r="AC89" s="2567"/>
      <c r="AD89" s="2568"/>
      <c r="AE89" s="2500"/>
      <c r="AF89" s="2106"/>
      <c r="AG89" s="2106"/>
      <c r="AH89" s="2195"/>
      <c r="AI89" s="2533"/>
      <c r="AJ89" s="2106"/>
      <c r="AK89" s="2106"/>
      <c r="AL89" s="2106"/>
      <c r="AM89" s="2106"/>
      <c r="AN89" s="2106"/>
      <c r="AO89" s="2106"/>
      <c r="AP89" s="2128"/>
      <c r="AQ89" s="2128"/>
      <c r="AR89" s="2131"/>
      <c r="AS89" s="2201"/>
      <c r="AT89" s="2453"/>
      <c r="AU89" s="2106"/>
      <c r="AV89" s="2124"/>
      <c r="AW89" s="2125"/>
      <c r="AX89" s="2106"/>
      <c r="AY89" s="2106"/>
      <c r="AZ89" s="2109"/>
      <c r="BA89" s="2538"/>
      <c r="BB89" s="2539"/>
      <c r="BC89" s="2539"/>
      <c r="BD89" s="2539"/>
      <c r="BE89" s="2540"/>
      <c r="BF89" s="2577"/>
      <c r="BG89" s="2575"/>
      <c r="BH89" s="2575"/>
      <c r="BI89" s="2114"/>
      <c r="BJ89" s="2193"/>
      <c r="BK89" s="2231"/>
      <c r="BL89" s="2231"/>
      <c r="BM89" s="2231"/>
      <c r="BN89" s="2580"/>
      <c r="BO89" s="2582"/>
      <c r="BP89" s="2575"/>
      <c r="BQ89" s="2453"/>
      <c r="BR89" s="2120"/>
      <c r="BS89" s="2124"/>
      <c r="BT89" s="2125"/>
      <c r="BU89" s="2106"/>
      <c r="BV89" s="2106"/>
      <c r="BW89" s="2109"/>
      <c r="BX89" s="2476"/>
      <c r="BY89" s="2477"/>
      <c r="BZ89" s="2477"/>
      <c r="CA89" s="2477"/>
      <c r="CB89" s="2478"/>
    </row>
    <row r="90" spans="1:80" ht="46.5" customHeight="1" x14ac:dyDescent="0.3">
      <c r="A90" s="2138"/>
      <c r="B90" s="2138"/>
      <c r="C90" s="2139"/>
      <c r="D90" s="1037">
        <v>43374</v>
      </c>
      <c r="E90" s="2500"/>
      <c r="F90" s="2106"/>
      <c r="G90" s="2106"/>
      <c r="H90" s="2503"/>
      <c r="I90" s="2193"/>
      <c r="J90" s="2106"/>
      <c r="K90" s="2106"/>
      <c r="L90" s="2106"/>
      <c r="M90" s="2106"/>
      <c r="N90" s="2106"/>
      <c r="O90" s="2128"/>
      <c r="P90" s="2128"/>
      <c r="Q90" s="2132"/>
      <c r="R90" s="2335" t="str">
        <f>HYPERLINK("http://www.auc.ab.ca/regulatory_documents/ProceedingDocuments/2018/23748-D01-2018.pdf", "AUC Decision 23748-D01-2018 Direct Energy Regulated Services 2017-2018 Default Rate Tariff and Regulated Rate Tariff Compliance Filing, Page 27")</f>
        <v>AUC Decision 23748-D01-2018 Direct Energy Regulated Services 2017-2018 Default Rate Tariff and Regulated Rate Tariff Compliance Filing, Page 27</v>
      </c>
      <c r="S90" s="2453"/>
      <c r="T90" s="2106"/>
      <c r="U90" s="2124"/>
      <c r="V90" s="2125"/>
      <c r="W90" s="2106"/>
      <c r="X90" s="2106"/>
      <c r="Y90" s="2109"/>
      <c r="Z90" s="2566"/>
      <c r="AA90" s="2567"/>
      <c r="AB90" s="2567"/>
      <c r="AC90" s="2567"/>
      <c r="AD90" s="2568"/>
      <c r="AE90" s="2500"/>
      <c r="AF90" s="2106"/>
      <c r="AG90" s="2106"/>
      <c r="AH90" s="2195"/>
      <c r="AI90" s="2533"/>
      <c r="AJ90" s="2106"/>
      <c r="AK90" s="2106"/>
      <c r="AL90" s="2106"/>
      <c r="AM90" s="2106"/>
      <c r="AN90" s="2106"/>
      <c r="AO90" s="2106"/>
      <c r="AP90" s="2128"/>
      <c r="AQ90" s="2128"/>
      <c r="AR90" s="2131"/>
      <c r="AS90" s="2425" t="str">
        <f>HYPERLINK("http://www.auc.ab.ca/regulatory_documents/ProceedingDocuments/2018/23748-D01-2018.pdf", "AUC Decision 23748-D01-2018 Direct Energy Regulated Services 2017-2018 Default Rate Tariff and Regulated Rate Tariff Compliance Filing, Page 33")</f>
        <v>AUC Decision 23748-D01-2018 Direct Energy Regulated Services 2017-2018 Default Rate Tariff and Regulated Rate Tariff Compliance Filing, Page 33</v>
      </c>
      <c r="AT90" s="2453"/>
      <c r="AU90" s="2106"/>
      <c r="AV90" s="2124"/>
      <c r="AW90" s="2125"/>
      <c r="AX90" s="2106"/>
      <c r="AY90" s="2106"/>
      <c r="AZ90" s="2109"/>
      <c r="BA90" s="2538"/>
      <c r="BB90" s="2539"/>
      <c r="BC90" s="2539"/>
      <c r="BD90" s="2539"/>
      <c r="BE90" s="2540"/>
      <c r="BF90" s="2577"/>
      <c r="BG90" s="2575"/>
      <c r="BH90" s="2575"/>
      <c r="BI90" s="2114"/>
      <c r="BJ90" s="2193"/>
      <c r="BK90" s="2231"/>
      <c r="BL90" s="2231"/>
      <c r="BM90" s="2231"/>
      <c r="BN90" s="2580"/>
      <c r="BO90" s="2582"/>
      <c r="BP90" s="2575"/>
      <c r="BQ90" s="2453"/>
      <c r="BR90" s="2120"/>
      <c r="BS90" s="2124"/>
      <c r="BT90" s="2125"/>
      <c r="BU90" s="2106"/>
      <c r="BV90" s="2106"/>
      <c r="BW90" s="2109"/>
      <c r="BX90" s="2476"/>
      <c r="BY90" s="2477"/>
      <c r="BZ90" s="2477"/>
      <c r="CA90" s="2477"/>
      <c r="CB90" s="2478"/>
    </row>
    <row r="91" spans="1:80" ht="46.5" customHeight="1" x14ac:dyDescent="0.3">
      <c r="A91" s="2138"/>
      <c r="B91" s="2138"/>
      <c r="C91" s="2139"/>
      <c r="D91" s="1037">
        <v>43405</v>
      </c>
      <c r="E91" s="2500"/>
      <c r="F91" s="2106"/>
      <c r="G91" s="2106"/>
      <c r="H91" s="2503"/>
      <c r="I91" s="2193"/>
      <c r="J91" s="2106"/>
      <c r="K91" s="2106"/>
      <c r="L91" s="2106"/>
      <c r="M91" s="2106"/>
      <c r="N91" s="2106"/>
      <c r="O91" s="2128"/>
      <c r="P91" s="2128"/>
      <c r="Q91" s="2132"/>
      <c r="R91" s="2336"/>
      <c r="S91" s="2453"/>
      <c r="T91" s="2106"/>
      <c r="U91" s="2124"/>
      <c r="V91" s="2125"/>
      <c r="W91" s="2106"/>
      <c r="X91" s="2106"/>
      <c r="Y91" s="2109"/>
      <c r="Z91" s="2566"/>
      <c r="AA91" s="2567"/>
      <c r="AB91" s="2567"/>
      <c r="AC91" s="2567"/>
      <c r="AD91" s="2568"/>
      <c r="AE91" s="2500"/>
      <c r="AF91" s="2106"/>
      <c r="AG91" s="2106"/>
      <c r="AH91" s="2195"/>
      <c r="AI91" s="2533"/>
      <c r="AJ91" s="2106"/>
      <c r="AK91" s="2106"/>
      <c r="AL91" s="2106"/>
      <c r="AM91" s="2106"/>
      <c r="AN91" s="2106"/>
      <c r="AO91" s="2106"/>
      <c r="AP91" s="2128"/>
      <c r="AQ91" s="2128"/>
      <c r="AR91" s="2131"/>
      <c r="AS91" s="2426"/>
      <c r="AT91" s="2453"/>
      <c r="AU91" s="2106"/>
      <c r="AV91" s="2124"/>
      <c r="AW91" s="2125"/>
      <c r="AX91" s="2106"/>
      <c r="AY91" s="2106"/>
      <c r="AZ91" s="2109"/>
      <c r="BA91" s="2538"/>
      <c r="BB91" s="2539"/>
      <c r="BC91" s="2539"/>
      <c r="BD91" s="2539"/>
      <c r="BE91" s="2540"/>
      <c r="BF91" s="2577"/>
      <c r="BG91" s="2575"/>
      <c r="BH91" s="2575"/>
      <c r="BI91" s="2114"/>
      <c r="BJ91" s="2193"/>
      <c r="BK91" s="2231"/>
      <c r="BL91" s="2231"/>
      <c r="BM91" s="2231"/>
      <c r="BN91" s="2580"/>
      <c r="BO91" s="2582"/>
      <c r="BP91" s="2575"/>
      <c r="BQ91" s="2453"/>
      <c r="BR91" s="2120"/>
      <c r="BS91" s="2124"/>
      <c r="BT91" s="2125"/>
      <c r="BU91" s="2106"/>
      <c r="BV91" s="2106"/>
      <c r="BW91" s="2109"/>
      <c r="BX91" s="2476"/>
      <c r="BY91" s="2477"/>
      <c r="BZ91" s="2477"/>
      <c r="CA91" s="2477"/>
      <c r="CB91" s="2478"/>
    </row>
    <row r="92" spans="1:80" ht="46.5" customHeight="1" x14ac:dyDescent="0.3">
      <c r="A92" s="2412"/>
      <c r="B92" s="2412"/>
      <c r="C92" s="2413"/>
      <c r="D92" s="1102">
        <v>43435</v>
      </c>
      <c r="E92" s="2500"/>
      <c r="F92" s="2106"/>
      <c r="G92" s="2106"/>
      <c r="H92" s="2503"/>
      <c r="I92" s="2193"/>
      <c r="J92" s="2106"/>
      <c r="K92" s="2106"/>
      <c r="L92" s="2106"/>
      <c r="M92" s="2106"/>
      <c r="N92" s="2106"/>
      <c r="O92" s="2128"/>
      <c r="P92" s="2128"/>
      <c r="Q92" s="2132"/>
      <c r="R92" s="2337"/>
      <c r="S92" s="2453"/>
      <c r="T92" s="2106"/>
      <c r="U92" s="2124"/>
      <c r="V92" s="2125"/>
      <c r="W92" s="2106"/>
      <c r="X92" s="2106"/>
      <c r="Y92" s="2109"/>
      <c r="Z92" s="2566"/>
      <c r="AA92" s="2567"/>
      <c r="AB92" s="2567"/>
      <c r="AC92" s="2567"/>
      <c r="AD92" s="2568"/>
      <c r="AE92" s="2500"/>
      <c r="AF92" s="2106"/>
      <c r="AG92" s="2106"/>
      <c r="AH92" s="2195"/>
      <c r="AI92" s="2534"/>
      <c r="AJ92" s="2106"/>
      <c r="AK92" s="2106"/>
      <c r="AL92" s="2106"/>
      <c r="AM92" s="2106"/>
      <c r="AN92" s="2106"/>
      <c r="AO92" s="2106"/>
      <c r="AP92" s="2128"/>
      <c r="AQ92" s="2128"/>
      <c r="AR92" s="2131"/>
      <c r="AS92" s="2427"/>
      <c r="AT92" s="2453"/>
      <c r="AU92" s="2106"/>
      <c r="AV92" s="2124"/>
      <c r="AW92" s="2125"/>
      <c r="AX92" s="2106"/>
      <c r="AY92" s="2106"/>
      <c r="AZ92" s="2109"/>
      <c r="BA92" s="2538"/>
      <c r="BB92" s="2539"/>
      <c r="BC92" s="2539"/>
      <c r="BD92" s="2539"/>
      <c r="BE92" s="2540"/>
      <c r="BF92" s="2577"/>
      <c r="BG92" s="2575"/>
      <c r="BH92" s="2575"/>
      <c r="BI92" s="2114"/>
      <c r="BJ92" s="2193"/>
      <c r="BK92" s="2231"/>
      <c r="BL92" s="2231"/>
      <c r="BM92" s="2231"/>
      <c r="BN92" s="2580"/>
      <c r="BO92" s="2582"/>
      <c r="BP92" s="2575"/>
      <c r="BQ92" s="2453"/>
      <c r="BR92" s="2120"/>
      <c r="BS92" s="2124"/>
      <c r="BT92" s="2125"/>
      <c r="BU92" s="2106"/>
      <c r="BV92" s="2106"/>
      <c r="BW92" s="2109"/>
      <c r="BX92" s="2476"/>
      <c r="BY92" s="2477"/>
      <c r="BZ92" s="2477"/>
      <c r="CA92" s="2477"/>
      <c r="CB92" s="2478"/>
    </row>
    <row r="93" spans="1:80" ht="46.5" customHeight="1" x14ac:dyDescent="0.3">
      <c r="A93" s="2136">
        <v>2019</v>
      </c>
      <c r="B93" s="2136"/>
      <c r="C93" s="2137"/>
      <c r="D93" s="1101">
        <v>43466</v>
      </c>
      <c r="E93" s="2501"/>
      <c r="F93" s="2107"/>
      <c r="G93" s="2107"/>
      <c r="H93" s="2335" t="str">
        <f>HYPERLINK("http://www.atcogas.com/Rates/Current_Rates/Documents/North-Rate-Schedule.pdf", "ATCO Gas and Pipelines Ltd. ATCO Gas North Rate Schedules January 7, 2019, Page 4")</f>
        <v>ATCO Gas and Pipelines Ltd. ATCO Gas North Rate Schedules January 7, 2019, Page 4</v>
      </c>
      <c r="I93" s="2335" t="str">
        <f>HYPERLINK("http://www.atcogas.com/Rates/Current_Rates/Documents/North-Rate-Schedule.pdf", "ATCO Gas and Pipelines Ltd. ATCO Gas North Rate Schedules January 7, 2019, Page 5")</f>
        <v>ATCO Gas and Pipelines Ltd. ATCO Gas North Rate Schedules January 7, 2019, Page 5</v>
      </c>
      <c r="J93" s="2107"/>
      <c r="K93" s="2107"/>
      <c r="L93" s="2107"/>
      <c r="M93" s="2107"/>
      <c r="N93" s="2107"/>
      <c r="O93" s="2128"/>
      <c r="P93" s="2128"/>
      <c r="Q93" s="2133"/>
      <c r="R93" s="1615" t="str">
        <f>HYPERLINK("https://www.directenergyregulatedservices.com/images/docs/181217-DERS-Jan-2019-Final-North-DRT-Rate-Schedules.pdf", "Direct Energy Regulated Services ATCO Gas North January 2019 Interim Rate Schedules , Page 2")</f>
        <v>Direct Energy Regulated Services ATCO Gas North January 2019 Interim Rate Schedules , Page 2</v>
      </c>
      <c r="S93" s="2453"/>
      <c r="T93" s="2107"/>
      <c r="U93" s="2124"/>
      <c r="V93" s="2125"/>
      <c r="W93" s="2106"/>
      <c r="X93" s="2106"/>
      <c r="Y93" s="2109"/>
      <c r="Z93" s="2566"/>
      <c r="AA93" s="2567"/>
      <c r="AB93" s="2567"/>
      <c r="AC93" s="2567"/>
      <c r="AD93" s="2568"/>
      <c r="AE93" s="2501"/>
      <c r="AF93" s="2107"/>
      <c r="AG93" s="2107"/>
      <c r="AH93" s="2114" t="str">
        <f>HYPERLINK("http://www.atcogas.com/Rates/Current_Rates/Documents/South-Rate-Schedule.pdf", "ATCO Gas and Pipelines Ltd. ATCO Gas South Rate Schedules January 1, 2019, Page 4")</f>
        <v>ATCO Gas and Pipelines Ltd. ATCO Gas South Rate Schedules January 1, 2019, Page 4</v>
      </c>
      <c r="AI93" s="2114" t="str">
        <f>HYPERLINK("http://www.atcogas.com/Rates/Current_Rates/Documents/South-Rate-Schedule.pdf", "ATCO Gas and Pipelines Ltd. ATCO Gas South Rate Schedules January 1, 2019, Page 5")</f>
        <v>ATCO Gas and Pipelines Ltd. ATCO Gas South Rate Schedules January 1, 2019, Page 5</v>
      </c>
      <c r="AJ93" s="2107"/>
      <c r="AK93" s="2107"/>
      <c r="AL93" s="2107"/>
      <c r="AM93" s="2107"/>
      <c r="AN93" s="2107"/>
      <c r="AO93" s="2107"/>
      <c r="AP93" s="2128"/>
      <c r="AQ93" s="2128"/>
      <c r="AR93" s="2455"/>
      <c r="AS93" s="1612" t="str">
        <f>HYPERLINK("https://www.directenergyregulatedservices.com/images/docs/181217-DERS-Jan-2019-Final-South-DRT-Rate-Schedules.pdf", "Direct Energy Regulated Services ATCO Gas North January 2019 Interim Rate Schedules , Page 2")</f>
        <v>Direct Energy Regulated Services ATCO Gas North January 2019 Interim Rate Schedules , Page 2</v>
      </c>
      <c r="AT93" s="2453"/>
      <c r="AU93" s="2107"/>
      <c r="AV93" s="2124"/>
      <c r="AW93" s="2125"/>
      <c r="AX93" s="2106"/>
      <c r="AY93" s="2106"/>
      <c r="AZ93" s="2109"/>
      <c r="BA93" s="2538"/>
      <c r="BB93" s="2539"/>
      <c r="BC93" s="2539"/>
      <c r="BD93" s="2539"/>
      <c r="BE93" s="2540"/>
      <c r="BF93" s="2577"/>
      <c r="BG93" s="2575"/>
      <c r="BH93" s="2575"/>
      <c r="BI93" s="2114"/>
      <c r="BJ93" s="2193"/>
      <c r="BK93" s="2231"/>
      <c r="BL93" s="2231"/>
      <c r="BM93" s="2231"/>
      <c r="BN93" s="2580"/>
      <c r="BO93" s="2582"/>
      <c r="BP93" s="2575"/>
      <c r="BQ93" s="2453"/>
      <c r="BR93" s="2120"/>
      <c r="BS93" s="2124"/>
      <c r="BT93" s="2125"/>
      <c r="BU93" s="2106"/>
      <c r="BV93" s="2106"/>
      <c r="BW93" s="2109"/>
      <c r="BX93" s="2476"/>
      <c r="BY93" s="2477"/>
      <c r="BZ93" s="2477"/>
      <c r="CA93" s="2477"/>
      <c r="CB93" s="2478"/>
    </row>
    <row r="94" spans="1:80" ht="46.5" customHeight="1" x14ac:dyDescent="0.3">
      <c r="A94" s="2138"/>
      <c r="B94" s="2138"/>
      <c r="C94" s="2139"/>
      <c r="D94" s="1037">
        <v>43497</v>
      </c>
      <c r="E94" s="2502" t="str">
        <f>HYPERLINK("https://www.atco.com/content/dam/web/for-home/natural-gas/historic-natural-gas-north-low-use.pdf", "ATCO Gas North History of Rates, Low Use Delivery Service, 'Deemed Value' Column")</f>
        <v>ATCO Gas North History of Rates, Low Use Delivery Service, 'Deemed Value' Column</v>
      </c>
      <c r="F94" s="2128" t="str">
        <f>HYPERLINK("https://www.atco.com/content/dam/web/for-home/natural-gas/historic-natural-gas-north-low-use.pdf", "ATCO Gas North History of Rates, Low Use Delivery Service, 'Variable Energy Charge' Column")</f>
        <v>ATCO Gas North History of Rates, Low Use Delivery Service, 'Variable Energy Charge' Column</v>
      </c>
      <c r="G94" s="2128" t="str">
        <f>HYPERLINK("https://www.atco.com/content/dam/web/for-home/natural-gas/historic-natural-gas-north-low-use.pdf", "ATCO Gas North History of Rates, Low Use Delivery Service, 'Fixed Charge' Column")</f>
        <v>ATCO Gas North History of Rates, Low Use Delivery Service, 'Fixed Charge' Column</v>
      </c>
      <c r="H94" s="2336"/>
      <c r="I94" s="2336"/>
      <c r="J94" s="2128" t="str">
        <f>HYPERLINK("https://www.atco.com/content/dam/web/for-home/natural-gas/historic-natural-gas-north-low-use.pdf", "ATCO Gas North History of Rates, Low Use Delivery Service, 'Rider S for Fixed Chg.' Column")</f>
        <v>ATCO Gas North History of Rates, Low Use Delivery Service, 'Rider S for Fixed Chg.' Column</v>
      </c>
      <c r="K94" s="2128" t="str">
        <f>HYPERLINK("https://www.atco.com/content/dam/web/for-home/natural-gas/historic-natural-gas-north-low-use.pdf", "ATCO Gas North History of Rates, Low Use Delivery Service, 'Rider S for Variable Chg.' Column")</f>
        <v>ATCO Gas North History of Rates, Low Use Delivery Service, 'Rider S for Variable Chg.' Column</v>
      </c>
      <c r="L94" s="2128" t="str">
        <f>HYPERLINK("https://www.atco.com/content/dam/web/for-home/natural-gas/historic-natural-gas-north-low-use.pdf", "ATCO Gas North History of Rates, Low Use Delivery Service, 'Load Balance Rider L' Column")</f>
        <v>ATCO Gas North History of Rates, Low Use Delivery Service, 'Load Balance Rider L' Column</v>
      </c>
      <c r="M94" s="2128" t="str">
        <f>HYPERLINK("https://www.atco.com/content/dam/web/for-home/natural-gas/historic-natural-gas-north-low-use.pdf", "ATCO Gas North History of Rates, Low Use Delivery Service, 'Transmission Service Charge Rider T' Column")</f>
        <v>ATCO Gas North History of Rates, Low Use Delivery Service, 'Transmission Service Charge Rider T' Column</v>
      </c>
      <c r="N94" s="2128" t="str">
        <f>HYPERLINK("https://www.atco.com/content/dam/web/for-home/natural-gas/historic-natural-gas-north-low-use.pdf", "ATCO Gas North History of Rates, Low Use Delivery Service, 'Weather Deferral Acct. Rider W' Column")</f>
        <v>ATCO Gas North History of Rates, Low Use Delivery Service, 'Weather Deferral Acct. Rider W' Column</v>
      </c>
      <c r="O94" s="2128"/>
      <c r="P94" s="2128"/>
      <c r="Q94" s="1614" t="str">
        <f>HYPERLINK("https://www.directenergyregulatedservices.com/images/docs/190125-DERS-Feb-2019-Interim-North-DRT-Rate-Schedules.pdf", "Direct Energy Regulated Services ATCO Gas North February 2019 Interim Rate Schedules , Page 2")</f>
        <v>Direct Energy Regulated Services ATCO Gas North February 2019 Interim Rate Schedules , Page 2</v>
      </c>
      <c r="R94" s="1615" t="str">
        <f>HYPERLINK("https://www.directenergyregulatedservices.com/images/docs/190125-DERS-Feb-2019-Interim-North-DRT-Rate-Schedules.pdf", "Direct Energy Regulated Services ATCO Gas North February 2019 Interim Rate Schedules , Page 2")</f>
        <v>Direct Energy Regulated Services ATCO Gas North February 2019 Interim Rate Schedules , Page 2</v>
      </c>
      <c r="S94" s="2453"/>
      <c r="T94" s="2128" t="str">
        <f>HYPERLINK("https://www.atco.com/content/dam/web/for-home/natural-gas/historic-natural-gas-north-low-use.pdf", "ATCO Gas North History of Rates, Low Use Delivery Service, 'GST' Column")</f>
        <v>ATCO Gas North History of Rates, Low Use Delivery Service, 'GST' Column</v>
      </c>
      <c r="U94" s="2124"/>
      <c r="V94" s="2125"/>
      <c r="W94" s="2106"/>
      <c r="X94" s="2106"/>
      <c r="Y94" s="2109"/>
      <c r="Z94" s="2566"/>
      <c r="AA94" s="2567"/>
      <c r="AB94" s="2567"/>
      <c r="AC94" s="2567"/>
      <c r="AD94" s="2568"/>
      <c r="AE94" s="2502" t="str">
        <f>HYPERLINK("https://www.atco.com/content/dam/web/for-home/natural-gas/historic-natural-gas-south-low-use.pdf", "ATCO Gas South History of Rates, Low Use Delivery Service, 'Deemed Value' Column")</f>
        <v>ATCO Gas South History of Rates, Low Use Delivery Service, 'Deemed Value' Column</v>
      </c>
      <c r="AF94" s="2452" t="str">
        <f>HYPERLINK("https://www.atco.com/content/dam/web/for-home/natural-gas/historic-natural-gas-south-low-use.pdf", "ATCO Gas South History of Rates, Low Use Delivery Service, 'Variable Energy Charge' Column")</f>
        <v>ATCO Gas South History of Rates, Low Use Delivery Service, 'Variable Energy Charge' Column</v>
      </c>
      <c r="AG94" s="2452" t="str">
        <f>HYPERLINK("https://www.atco.com/content/dam/web/for-home/natural-gas/historic-natural-gas-south-low-use.pdf", "ATCO Gas South History of Rates, Low Use Delivery Service, 'Fixed Charge' Column")</f>
        <v>ATCO Gas South History of Rates, Low Use Delivery Service, 'Fixed Charge' Column</v>
      </c>
      <c r="AH94" s="2114"/>
      <c r="AI94" s="2114"/>
      <c r="AJ94" s="2128" t="str">
        <f>HYPERLINK("https://www.atco.com/content/dam/web/for-home/natural-gas/historic-natural-gas-south-low-use.pdf", "ATCO Gas South History of Rates, Low Use Delivery Service")</f>
        <v>ATCO Gas South History of Rates, Low Use Delivery Service</v>
      </c>
      <c r="AK94" s="2452" t="str">
        <f>HYPERLINK("https://www.atco.com/content/dam/web/for-home/natural-gas/historic-natural-gas-south-low-use.pdf", "ATCO Gas South History of Rates, Low Use Delivery Service, 'Load Balance Rider L' Column")</f>
        <v>ATCO Gas South History of Rates, Low Use Delivery Service, 'Load Balance Rider L' Column</v>
      </c>
      <c r="AL94" s="2452" t="str">
        <f>HYPERLINK("https://www.atco.com/content/dam/web/for-home/natural-gas/historic-natural-gas-south-low-use.pdf", "ATCO Gas South History of Rates, Low Use Delivery Service, 'Rider S for Fixed Chg.' Column")</f>
        <v>ATCO Gas South History of Rates, Low Use Delivery Service, 'Rider S for Fixed Chg.' Column</v>
      </c>
      <c r="AM94" s="2452" t="str">
        <f>HYPERLINK("https://www.atco.com/content/dam/web/for-home/natural-gas/historic-natural-gas-south-low-use.pdf", "ATCO Gas South History of Rates, Low Use Delivery Service, 'Rider S for Variable Chg.' Column")</f>
        <v>ATCO Gas South History of Rates, Low Use Delivery Service, 'Rider S for Variable Chg.' Column</v>
      </c>
      <c r="AN94" s="2452" t="str">
        <f>HYPERLINK("https://www.atco.com/content/dam/web/for-home/natural-gas/historic-natural-gas-south-low-use.pdf", "ATCO Gas South History of Rates, Low Use Delivery Service, 'Transmission Service Charge Rider T' Column")</f>
        <v>ATCO Gas South History of Rates, Low Use Delivery Service, 'Transmission Service Charge Rider T' Column</v>
      </c>
      <c r="AO94" s="2452" t="str">
        <f>HYPERLINK("https://www.atco.com/content/dam/web/for-home/natural-gas/historic-natural-gas-south-low-use.pdf", "ATCO Gas South History of Rates, Low Use Delivery Service, 'Weather Deferral Acct. Rider W' Column")</f>
        <v>ATCO Gas South History of Rates, Low Use Delivery Service, 'Weather Deferral Acct. Rider W' Column</v>
      </c>
      <c r="AP94" s="2128"/>
      <c r="AQ94" s="2128"/>
      <c r="AR94" s="1596" t="str">
        <f>HYPERLINK("https://www.directenergyregulatedservices.com/images/docs/190125-DERS-Feb-2019-Interim-South-DRT-Rate-Schedules.pdf", "Direct Energy Regulated Services ATCO Gas South February 2019 Interim Rate Schedules , Page 2")</f>
        <v>Direct Energy Regulated Services ATCO Gas South February 2019 Interim Rate Schedules , Page 2</v>
      </c>
      <c r="AS94" s="1612" t="str">
        <f>HYPERLINK("https://www.directenergyregulatedservices.com/images/docs/190125-DERS-Feb-2019-Interim-South-DRT-Rate-Schedules.pdf", "Direct Energy Regulated Services ATCO Gas South February 2019 Interim Rate Schedules , Page 2")</f>
        <v>Direct Energy Regulated Services ATCO Gas South February 2019 Interim Rate Schedules , Page 2</v>
      </c>
      <c r="AT94" s="2453"/>
      <c r="AU94" s="2452" t="str">
        <f>HYPERLINK("https://www.atco.com/content/dam/web/for-home/natural-gas/historic-natural-gas-south-low-use.pdf", "ATCO Gas South History of Rates, Low Use Delivery Service, 'GST' Column")</f>
        <v>ATCO Gas South History of Rates, Low Use Delivery Service, 'GST' Column</v>
      </c>
      <c r="AV94" s="2124"/>
      <c r="AW94" s="2125"/>
      <c r="AX94" s="2106"/>
      <c r="AY94" s="2106"/>
      <c r="AZ94" s="2109"/>
      <c r="BA94" s="2538"/>
      <c r="BB94" s="2539"/>
      <c r="BC94" s="2539"/>
      <c r="BD94" s="2539"/>
      <c r="BE94" s="2540"/>
      <c r="BF94" s="2577"/>
      <c r="BG94" s="2575"/>
      <c r="BH94" s="2575"/>
      <c r="BI94" s="2114"/>
      <c r="BJ94" s="2193"/>
      <c r="BK94" s="2231"/>
      <c r="BL94" s="2231"/>
      <c r="BM94" s="2231"/>
      <c r="BN94" s="2580"/>
      <c r="BO94" s="2582"/>
      <c r="BP94" s="2575"/>
      <c r="BQ94" s="2453"/>
      <c r="BR94" s="2120"/>
      <c r="BS94" s="2124"/>
      <c r="BT94" s="2125"/>
      <c r="BU94" s="2106"/>
      <c r="BV94" s="2106"/>
      <c r="BW94" s="2109"/>
      <c r="BX94" s="2476"/>
      <c r="BY94" s="2477"/>
      <c r="BZ94" s="2477"/>
      <c r="CA94" s="2477"/>
      <c r="CB94" s="2478"/>
    </row>
    <row r="95" spans="1:80" ht="46.5" customHeight="1" x14ac:dyDescent="0.3">
      <c r="A95" s="2138"/>
      <c r="B95" s="2138"/>
      <c r="C95" s="2139"/>
      <c r="D95" s="1037">
        <v>43525</v>
      </c>
      <c r="E95" s="2500"/>
      <c r="F95" s="2128"/>
      <c r="G95" s="2128"/>
      <c r="H95" s="2336"/>
      <c r="I95" s="2336"/>
      <c r="J95" s="2128"/>
      <c r="K95" s="2128"/>
      <c r="L95" s="2128"/>
      <c r="M95" s="2128"/>
      <c r="N95" s="2128"/>
      <c r="O95" s="2128"/>
      <c r="P95" s="2128"/>
      <c r="Q95" s="1614" t="str">
        <f>HYPERLINK("https://www.directenergyregulatedservices.com/images/docs/190222-DERS-Mar-2019-Interim-North-DRT-Rate-Schedules.pdf", "Direct Energy Regulated Services ATCO Gas North March 2019 Interim Rate Schedules , Page 2")</f>
        <v>Direct Energy Regulated Services ATCO Gas North March 2019 Interim Rate Schedules , Page 2</v>
      </c>
      <c r="R95" s="1615" t="str">
        <f>HYPERLINK("https://www.directenergyregulatedservices.com/images/docs/190222-DERS-Mar-2019-Interim-North-DRT-Rate-Schedules.pdf", "Direct Energy Regulated Services ATCO Gas North March 2019 Interim Rate Schedules , Page 2")</f>
        <v>Direct Energy Regulated Services ATCO Gas North March 2019 Interim Rate Schedules , Page 2</v>
      </c>
      <c r="S95" s="2453"/>
      <c r="T95" s="2128"/>
      <c r="U95" s="2124"/>
      <c r="V95" s="2125"/>
      <c r="W95" s="2106"/>
      <c r="X95" s="2106"/>
      <c r="Y95" s="2109"/>
      <c r="Z95" s="2566"/>
      <c r="AA95" s="2567"/>
      <c r="AB95" s="2567"/>
      <c r="AC95" s="2567"/>
      <c r="AD95" s="2568"/>
      <c r="AE95" s="2500"/>
      <c r="AF95" s="2453"/>
      <c r="AG95" s="2453"/>
      <c r="AH95" s="2114"/>
      <c r="AI95" s="2114"/>
      <c r="AJ95" s="2128"/>
      <c r="AK95" s="2453"/>
      <c r="AL95" s="2453"/>
      <c r="AM95" s="2453"/>
      <c r="AN95" s="2453"/>
      <c r="AO95" s="2453"/>
      <c r="AP95" s="2128"/>
      <c r="AQ95" s="2128"/>
      <c r="AR95" s="1596" t="str">
        <f>HYPERLINK("https://www.directenergyregulatedservices.com/images/docs/190222-DERS-Mar-2019-Interim-South-DRT-Rate-Schedules.pdf", "Direct Energy Regulated Services ATCO Gas South March 2019 Interim Rate Schedules , Page 2")</f>
        <v>Direct Energy Regulated Services ATCO Gas South March 2019 Interim Rate Schedules , Page 2</v>
      </c>
      <c r="AS95" s="1612" t="str">
        <f>HYPERLINK("https://www.directenergyregulatedservices.com/images/docs/190222-DERS-Mar-2019-Interim-South-DRT-Rate-Schedules.pdf", "Direct Energy Regulated Services ATCO Gas South March 2019 Interim Rate Schedules , Page 2")</f>
        <v>Direct Energy Regulated Services ATCO Gas South March 2019 Interim Rate Schedules , Page 2</v>
      </c>
      <c r="AT95" s="2453"/>
      <c r="AU95" s="2453"/>
      <c r="AV95" s="2124"/>
      <c r="AW95" s="2125"/>
      <c r="AX95" s="2106"/>
      <c r="AY95" s="2106"/>
      <c r="AZ95" s="2109"/>
      <c r="BA95" s="2538"/>
      <c r="BB95" s="2539"/>
      <c r="BC95" s="2539"/>
      <c r="BD95" s="2539"/>
      <c r="BE95" s="2540"/>
      <c r="BF95" s="2577"/>
      <c r="BG95" s="2575"/>
      <c r="BH95" s="2575"/>
      <c r="BI95" s="2114"/>
      <c r="BJ95" s="2193"/>
      <c r="BK95" s="2231"/>
      <c r="BL95" s="2231"/>
      <c r="BM95" s="2231"/>
      <c r="BN95" s="2580"/>
      <c r="BO95" s="2582"/>
      <c r="BP95" s="2575"/>
      <c r="BQ95" s="2453"/>
      <c r="BR95" s="2120"/>
      <c r="BS95" s="2124"/>
      <c r="BT95" s="2125"/>
      <c r="BU95" s="2106"/>
      <c r="BV95" s="2106"/>
      <c r="BW95" s="2109"/>
      <c r="BX95" s="2476"/>
      <c r="BY95" s="2477"/>
      <c r="BZ95" s="2477"/>
      <c r="CA95" s="2477"/>
      <c r="CB95" s="2478"/>
    </row>
    <row r="96" spans="1:80" ht="46.5" customHeight="1" x14ac:dyDescent="0.3">
      <c r="A96" s="2138"/>
      <c r="B96" s="2138"/>
      <c r="C96" s="2139"/>
      <c r="D96" s="1037">
        <v>43556</v>
      </c>
      <c r="E96" s="2500"/>
      <c r="F96" s="2128"/>
      <c r="G96" s="2128"/>
      <c r="H96" s="2337"/>
      <c r="I96" s="2337"/>
      <c r="J96" s="2128"/>
      <c r="K96" s="2128"/>
      <c r="L96" s="2128"/>
      <c r="M96" s="2128"/>
      <c r="N96" s="2128"/>
      <c r="O96" s="2128"/>
      <c r="P96" s="2128"/>
      <c r="Q96" s="1614" t="str">
        <f>HYPERLINK("https://www.directenergyregulatedservices.com/images/docs/190325-DERS-Apr-2019-Interim-North-DRT-Rate-Schedules.pdf", "Direct Energy Regulated Services ATCO Gas North April 2019 Interim Rate Schedules , Page 2")</f>
        <v>Direct Energy Regulated Services ATCO Gas North April 2019 Interim Rate Schedules , Page 2</v>
      </c>
      <c r="R96" s="1577" t="str">
        <f>HYPERLINK("https://www.directenergyregulatedservices.com/images/docs/190325-DERS-Apr-2019-Interim-North-DRT-Rate-Schedules.pdf", "Direct Energy Regulated Services ATCO Gas North April 2019 Interim Rate Schedules , Page 2")</f>
        <v>Direct Energy Regulated Services ATCO Gas North April 2019 Interim Rate Schedules , Page 2</v>
      </c>
      <c r="S96" s="2453"/>
      <c r="T96" s="2128"/>
      <c r="U96" s="2124"/>
      <c r="V96" s="2125"/>
      <c r="W96" s="2106"/>
      <c r="X96" s="2106"/>
      <c r="Y96" s="2109"/>
      <c r="Z96" s="2566"/>
      <c r="AA96" s="2567"/>
      <c r="AB96" s="2567"/>
      <c r="AC96" s="2567"/>
      <c r="AD96" s="2568"/>
      <c r="AE96" s="2500"/>
      <c r="AF96" s="2453"/>
      <c r="AG96" s="2453"/>
      <c r="AH96" s="2114"/>
      <c r="AI96" s="2114"/>
      <c r="AJ96" s="2128"/>
      <c r="AK96" s="2453"/>
      <c r="AL96" s="2453"/>
      <c r="AM96" s="2453"/>
      <c r="AN96" s="2453"/>
      <c r="AO96" s="2453"/>
      <c r="AP96" s="2128"/>
      <c r="AQ96" s="2128"/>
      <c r="AR96" s="1615" t="str">
        <f>HYPERLINK("https://www.directenergyregulatedservices.com/images/docs/190325-DERS-Apr-2019-Interim-South-DRT-Rate-Schedules.pdf", "Direct Energy Regulated Services ATCO Gas South April 2019 Interim Rate Schedules , Page 2")</f>
        <v>Direct Energy Regulated Services ATCO Gas South April 2019 Interim Rate Schedules , Page 2</v>
      </c>
      <c r="AS96" s="1615" t="str">
        <f>HYPERLINK("https://www.directenergyregulatedservices.com/images/docs/190325-DERS-Apr-2019-Interim-South-DRT-Rate-Schedules.pdf", "Direct Energy Regulated Services ATCO Gas South April 2019 Interim Rate Schedules , Page 2")</f>
        <v>Direct Energy Regulated Services ATCO Gas South April 2019 Interim Rate Schedules , Page 2</v>
      </c>
      <c r="AT96" s="2453"/>
      <c r="AU96" s="2453"/>
      <c r="AV96" s="2124"/>
      <c r="AW96" s="2125"/>
      <c r="AX96" s="2106"/>
      <c r="AY96" s="2106"/>
      <c r="AZ96" s="2109"/>
      <c r="BA96" s="2538"/>
      <c r="BB96" s="2539"/>
      <c r="BC96" s="2539"/>
      <c r="BD96" s="2539"/>
      <c r="BE96" s="2540"/>
      <c r="BF96" s="2577"/>
      <c r="BG96" s="2575"/>
      <c r="BH96" s="2575"/>
      <c r="BI96" s="2114"/>
      <c r="BJ96" s="2335" t="str">
        <f>HYPERLINK("https://www.altagasutilities.com/sites/default/files/Rider-B_April-2019.pdf", "AltaGas Rate Rider B - Property Tax - 2018-2019, Page 1,2")</f>
        <v>AltaGas Rate Rider B - Property Tax - 2018-2019, Page 1,2</v>
      </c>
      <c r="BK96" s="2231"/>
      <c r="BL96" s="2231"/>
      <c r="BM96" s="2231"/>
      <c r="BN96" s="2580"/>
      <c r="BO96" s="2582"/>
      <c r="BP96" s="2575"/>
      <c r="BQ96" s="2453"/>
      <c r="BR96" s="2120"/>
      <c r="BS96" s="2124"/>
      <c r="BT96" s="2125"/>
      <c r="BU96" s="2106"/>
      <c r="BV96" s="2106"/>
      <c r="BW96" s="2109"/>
      <c r="BX96" s="2476"/>
      <c r="BY96" s="2477"/>
      <c r="BZ96" s="2477"/>
      <c r="CA96" s="2477"/>
      <c r="CB96" s="2478"/>
    </row>
    <row r="97" spans="1:80" ht="46.5" customHeight="1" x14ac:dyDescent="0.3">
      <c r="A97" s="2138"/>
      <c r="B97" s="2138"/>
      <c r="C97" s="2139"/>
      <c r="D97" s="1037">
        <v>43586</v>
      </c>
      <c r="E97" s="2500"/>
      <c r="F97" s="2128"/>
      <c r="G97" s="2128"/>
      <c r="H97" s="2114" t="str">
        <f>HYPERLINK("https://www.atco.com/content/dam/web/for-home/natural-gas/natural-gas-north-rate-schedule.pdf", "ATCO Gas and Pipelines Ltd. ATCO Gas North Rate Schedules August 1, 2019, Page 4")</f>
        <v>ATCO Gas and Pipelines Ltd. ATCO Gas North Rate Schedules August 1, 2019, Page 4</v>
      </c>
      <c r="I97" s="2114" t="str">
        <f>HYPERLINK("https://www.atco.com/content/dam/web/for-home/natural-gas/natural-gas-north-rate-schedule.pdf", "ATCO Gas and Pipelines Ltd. ATCO Gas North Rate Schedules August 1, 2019, Page 5")</f>
        <v>ATCO Gas and Pipelines Ltd. ATCO Gas North Rate Schedules August 1, 2019, Page 5</v>
      </c>
      <c r="J97" s="2128"/>
      <c r="K97" s="2128"/>
      <c r="L97" s="2128"/>
      <c r="M97" s="2128"/>
      <c r="N97" s="2128"/>
      <c r="O97" s="2128"/>
      <c r="P97" s="2128"/>
      <c r="Q97" s="1615" t="str">
        <f>HYPERLINK("https://www.directenergyregulatedservices.com/images/docs/190424-DERS-May-2019-Interim-North-DRT-Rate-Schedules.pdf", "Direct Energy Regulated Services ATCO Gas North May 2019 Interim Rate Schedules , Page 2")</f>
        <v>Direct Energy Regulated Services ATCO Gas North May 2019 Interim Rate Schedules , Page 2</v>
      </c>
      <c r="R97" s="1577" t="str">
        <f>HYPERLINK("https://www.directenergyregulatedservices.com/images/docs/190424-DERS-May-2019-Interim-North-DRT-Rate-Schedules.pdf", "Direct Energy Regulated Services ATCO Gas North May 2019 Interim Rate Schedules , Page 2")</f>
        <v>Direct Energy Regulated Services ATCO Gas North May 2019 Interim Rate Schedules , Page 2</v>
      </c>
      <c r="S97" s="2453"/>
      <c r="T97" s="2128"/>
      <c r="U97" s="2124"/>
      <c r="V97" s="2125"/>
      <c r="W97" s="2106"/>
      <c r="X97" s="2106"/>
      <c r="Y97" s="2109"/>
      <c r="Z97" s="2566"/>
      <c r="AA97" s="2567"/>
      <c r="AB97" s="2567"/>
      <c r="AC97" s="2567"/>
      <c r="AD97" s="2568"/>
      <c r="AE97" s="2500"/>
      <c r="AF97" s="2453"/>
      <c r="AG97" s="2453"/>
      <c r="AH97" s="2114" t="str">
        <f>HYPERLINK("https://www.atco.com/content/dam/web/for-home/natural-gas/natural-gas-south-rate-schedule.pdf", "ATCO Gas and Pipelines Ltd. ATCO Gas South Rate Schedules August 1, 2019, Page 4")</f>
        <v>ATCO Gas and Pipelines Ltd. ATCO Gas South Rate Schedules August 1, 2019, Page 4</v>
      </c>
      <c r="AI97" s="2335" t="str">
        <f>HYPERLINK("https://www.atco.com/content/dam/web/for-home/natural-gas/natural-gas-south-rate-schedule.pdf", "ATCO Gas and Pipelines Ltd. ATCO Gas South Rate Schedules August 1, 2019, Page 5")</f>
        <v>ATCO Gas and Pipelines Ltd. ATCO Gas South Rate Schedules August 1, 2019, Page 5</v>
      </c>
      <c r="AJ97" s="2128"/>
      <c r="AK97" s="2453"/>
      <c r="AL97" s="2453"/>
      <c r="AM97" s="2453"/>
      <c r="AN97" s="2453"/>
      <c r="AO97" s="2453"/>
      <c r="AP97" s="2128"/>
      <c r="AQ97" s="2128"/>
      <c r="AR97" s="1615" t="str">
        <f>HYPERLINK("https://www.directenergyregulatedservices.com/images/docs/190424-DERS-May-2019-Interim-South-DRT-Rate-Schedules.pdf", "Direct Energy Regulated Services ATCO Gas South May 2019 Interim Rate Schedules , Page 2")</f>
        <v>Direct Energy Regulated Services ATCO Gas South May 2019 Interim Rate Schedules , Page 2</v>
      </c>
      <c r="AS97" s="1615" t="str">
        <f>HYPERLINK("https://www.directenergyregulatedservices.com/images/docs/190424-DERS-May-2019-Interim-South-DRT-Rate-Schedules.pdf", "Direct Energy Regulated Services ATCO Gas South May 2019 Interim Rate Schedules , Page 2")</f>
        <v>Direct Energy Regulated Services ATCO Gas South May 2019 Interim Rate Schedules , Page 2</v>
      </c>
      <c r="AT97" s="2453"/>
      <c r="AU97" s="2453"/>
      <c r="AV97" s="2124"/>
      <c r="AW97" s="2125"/>
      <c r="AX97" s="2106"/>
      <c r="AY97" s="2106"/>
      <c r="AZ97" s="2109"/>
      <c r="BA97" s="2538"/>
      <c r="BB97" s="2539"/>
      <c r="BC97" s="2539"/>
      <c r="BD97" s="2539"/>
      <c r="BE97" s="2540"/>
      <c r="BF97" s="2577"/>
      <c r="BG97" s="2575"/>
      <c r="BH97" s="2575"/>
      <c r="BI97" s="2193" t="str">
        <f>HYPERLINK("https://www.altagasutilities.com/sites/default/files/Rider-A_2019-06-05.pdf", "AltaGas Rate Rider A, Page 1-3")</f>
        <v>AltaGas Rate Rider A, Page 1-3</v>
      </c>
      <c r="BJ97" s="2336"/>
      <c r="BK97" s="2231"/>
      <c r="BL97" s="2231"/>
      <c r="BM97" s="2231"/>
      <c r="BN97" s="2580"/>
      <c r="BO97" s="2582"/>
      <c r="BP97" s="2575"/>
      <c r="BQ97" s="2453"/>
      <c r="BR97" s="2120"/>
      <c r="BS97" s="2124"/>
      <c r="BT97" s="2125"/>
      <c r="BU97" s="2106"/>
      <c r="BV97" s="2106"/>
      <c r="BW97" s="2109"/>
      <c r="BX97" s="2476"/>
      <c r="BY97" s="2477"/>
      <c r="BZ97" s="2477"/>
      <c r="CA97" s="2477"/>
      <c r="CB97" s="2478"/>
    </row>
    <row r="98" spans="1:80" ht="46.5" customHeight="1" thickBot="1" x14ac:dyDescent="0.35">
      <c r="A98" s="2138"/>
      <c r="B98" s="2138"/>
      <c r="C98" s="2139"/>
      <c r="D98" s="1037">
        <v>43617</v>
      </c>
      <c r="E98" s="2501"/>
      <c r="F98" s="2128"/>
      <c r="G98" s="2128"/>
      <c r="H98" s="2114"/>
      <c r="I98" s="2114"/>
      <c r="J98" s="2128"/>
      <c r="K98" s="2128"/>
      <c r="L98" s="2128"/>
      <c r="M98" s="2128"/>
      <c r="N98" s="2128"/>
      <c r="O98" s="2128"/>
      <c r="P98" s="2128"/>
      <c r="Q98" s="1615" t="str">
        <f>HYPERLINK("https://www.directenergyregulatedservices.com/images/docs/190527-DERS-Jun-2019-Interim-North-DRT-Rate-Schedules.pdf", "Direct Energy Regulated Services ATCO Gas North June 2019 Interim Rate Schedules , Page 2")</f>
        <v>Direct Energy Regulated Services ATCO Gas North June 2019 Interim Rate Schedules , Page 2</v>
      </c>
      <c r="R98" s="1577" t="str">
        <f>HYPERLINK("https://www.directenergyregulatedservices.com/images/docs/190527-DERS-Jun-2019-Interim-North-DRT-Rate-Schedules.pdf", "Direct Energy Regulated Services ATCO Gas North June 2019 Interim Rate Schedules , Page 2")</f>
        <v>Direct Energy Regulated Services ATCO Gas North June 2019 Interim Rate Schedules , Page 2</v>
      </c>
      <c r="S98" s="2454"/>
      <c r="T98" s="2128"/>
      <c r="U98" s="2126"/>
      <c r="V98" s="2127"/>
      <c r="W98" s="2107"/>
      <c r="X98" s="2107"/>
      <c r="Y98" s="2110"/>
      <c r="Z98" s="2569"/>
      <c r="AA98" s="2570"/>
      <c r="AB98" s="2570"/>
      <c r="AC98" s="2570"/>
      <c r="AD98" s="2571"/>
      <c r="AE98" s="2501"/>
      <c r="AF98" s="2454"/>
      <c r="AG98" s="2454"/>
      <c r="AH98" s="2114"/>
      <c r="AI98" s="2337"/>
      <c r="AJ98" s="2128"/>
      <c r="AK98" s="2454"/>
      <c r="AL98" s="2454"/>
      <c r="AM98" s="2454"/>
      <c r="AN98" s="2454"/>
      <c r="AO98" s="2454"/>
      <c r="AP98" s="2128"/>
      <c r="AQ98" s="2128"/>
      <c r="AR98" s="1615" t="str">
        <f>HYPERLINK("https://www.directenergyregulatedservices.com/images/docs/190527-DERS-Jun-2019-Interim-South-DRT-Rate-Schedules.pdf", "Direct Energy Regulated Services ATCO Gas South June 2019 Interim Rate Schedules , Page 2")</f>
        <v>Direct Energy Regulated Services ATCO Gas South June 2019 Interim Rate Schedules , Page 2</v>
      </c>
      <c r="AS98" s="1615" t="str">
        <f>HYPERLINK("https://www.directenergyregulatedservices.com/images/docs/190527-DERS-Jun-2019-Interim-South-DRT-Rate-Schedules.pdf", "Direct Energy Regulated Services ATCO Gas South June 2019 Interim Rate Schedules , Page 2")</f>
        <v>Direct Energy Regulated Services ATCO Gas South June 2019 Interim Rate Schedules , Page 2</v>
      </c>
      <c r="AT98" s="2454"/>
      <c r="AU98" s="2454"/>
      <c r="AV98" s="2126"/>
      <c r="AW98" s="2127"/>
      <c r="AX98" s="2107"/>
      <c r="AY98" s="2107"/>
      <c r="AZ98" s="2110"/>
      <c r="BA98" s="2541"/>
      <c r="BB98" s="2542"/>
      <c r="BC98" s="2542"/>
      <c r="BD98" s="2542"/>
      <c r="BE98" s="2543"/>
      <c r="BF98" s="2578"/>
      <c r="BG98" s="2576"/>
      <c r="BH98" s="2576"/>
      <c r="BI98" s="2193"/>
      <c r="BJ98" s="2337"/>
      <c r="BK98" s="2231"/>
      <c r="BL98" s="2231"/>
      <c r="BM98" s="2231"/>
      <c r="BN98" s="2581"/>
      <c r="BO98" s="2582"/>
      <c r="BP98" s="2576"/>
      <c r="BQ98" s="2454"/>
      <c r="BR98" s="2121"/>
      <c r="BS98" s="2126"/>
      <c r="BT98" s="2127"/>
      <c r="BU98" s="2107"/>
      <c r="BV98" s="2107"/>
      <c r="BW98" s="2110"/>
      <c r="BX98" s="2479"/>
      <c r="BY98" s="2480"/>
      <c r="BZ98" s="2480"/>
      <c r="CA98" s="2480"/>
      <c r="CB98" s="2481"/>
    </row>
    <row r="99" spans="1:80" ht="14.5" thickTop="1" x14ac:dyDescent="0.3"/>
  </sheetData>
  <mergeCells count="243">
    <mergeCell ref="AT7:AT8"/>
    <mergeCell ref="AT9:AT98"/>
    <mergeCell ref="BQ7:BQ8"/>
    <mergeCell ref="BQ9:BQ98"/>
    <mergeCell ref="BG9:BG98"/>
    <mergeCell ref="BH9:BH98"/>
    <mergeCell ref="BK66:BM98"/>
    <mergeCell ref="BP9:BP98"/>
    <mergeCell ref="BF9:BF98"/>
    <mergeCell ref="BN9:BN98"/>
    <mergeCell ref="BO86:BO98"/>
    <mergeCell ref="BI97:BI98"/>
    <mergeCell ref="BJ96:BJ98"/>
    <mergeCell ref="BI84:BI96"/>
    <mergeCell ref="BI9:BI20"/>
    <mergeCell ref="BI57:BI59"/>
    <mergeCell ref="BI60:BI68"/>
    <mergeCell ref="BJ72:BJ83"/>
    <mergeCell ref="AV9:AW98"/>
    <mergeCell ref="AX9:AX98"/>
    <mergeCell ref="AY9:AY98"/>
    <mergeCell ref="AZ9:AZ98"/>
    <mergeCell ref="BJ48:BJ59"/>
    <mergeCell ref="BJ9:BJ20"/>
    <mergeCell ref="AM9:AM93"/>
    <mergeCell ref="AM94:AM98"/>
    <mergeCell ref="AH61:AH71"/>
    <mergeCell ref="AH72:AH80"/>
    <mergeCell ref="AH24:AH32"/>
    <mergeCell ref="AH10:AH23"/>
    <mergeCell ref="AH33:AH44"/>
    <mergeCell ref="AH45:AH60"/>
    <mergeCell ref="AS9:AS20"/>
    <mergeCell ref="AI93:AI96"/>
    <mergeCell ref="AH97:AH98"/>
    <mergeCell ref="AI97:AI98"/>
    <mergeCell ref="AJ9:AJ93"/>
    <mergeCell ref="AJ94:AJ98"/>
    <mergeCell ref="AK9:AK93"/>
    <mergeCell ref="AK94:AK98"/>
    <mergeCell ref="AL9:AL93"/>
    <mergeCell ref="AL94:AL98"/>
    <mergeCell ref="H97:H98"/>
    <mergeCell ref="I97:I98"/>
    <mergeCell ref="I93:I96"/>
    <mergeCell ref="H93:H96"/>
    <mergeCell ref="AE9:AE93"/>
    <mergeCell ref="AE94:AE98"/>
    <mergeCell ref="AF9:AF93"/>
    <mergeCell ref="AG9:AG93"/>
    <mergeCell ref="AF94:AF98"/>
    <mergeCell ref="AG94:AG98"/>
    <mergeCell ref="T9:T93"/>
    <mergeCell ref="T94:T98"/>
    <mergeCell ref="P71:P98"/>
    <mergeCell ref="O70:O98"/>
    <mergeCell ref="S9:S98"/>
    <mergeCell ref="U9:V98"/>
    <mergeCell ref="W9:W98"/>
    <mergeCell ref="X9:X98"/>
    <mergeCell ref="Y9:Y98"/>
    <mergeCell ref="Z3:AD98"/>
    <mergeCell ref="R90:R92"/>
    <mergeCell ref="K9:K93"/>
    <mergeCell ref="L9:L93"/>
    <mergeCell ref="M9:M93"/>
    <mergeCell ref="AF7:AG8"/>
    <mergeCell ref="V7:V8"/>
    <mergeCell ref="AE7:AE8"/>
    <mergeCell ref="A69:C80"/>
    <mergeCell ref="H9:I9"/>
    <mergeCell ref="H10:I10"/>
    <mergeCell ref="R21:R33"/>
    <mergeCell ref="R34:R44"/>
    <mergeCell ref="R60:R83"/>
    <mergeCell ref="R45:R56"/>
    <mergeCell ref="H11:I16"/>
    <mergeCell ref="H17:I21"/>
    <mergeCell ref="H22:I33"/>
    <mergeCell ref="H34:I45"/>
    <mergeCell ref="H46:H50"/>
    <mergeCell ref="I46:I55"/>
    <mergeCell ref="H51:H53"/>
    <mergeCell ref="R9:R20"/>
    <mergeCell ref="H54:H56"/>
    <mergeCell ref="S7:S8"/>
    <mergeCell ref="BL25:BL30"/>
    <mergeCell ref="AI58:AI69"/>
    <mergeCell ref="AI70:AI81"/>
    <mergeCell ref="BK31:BM38"/>
    <mergeCell ref="BA3:BE98"/>
    <mergeCell ref="BG7:BH7"/>
    <mergeCell ref="BG8:BH8"/>
    <mergeCell ref="BI7:BJ8"/>
    <mergeCell ref="BI74:BI75"/>
    <mergeCell ref="BI77:BI83"/>
    <mergeCell ref="AW7:AW8"/>
    <mergeCell ref="BI3:BJ3"/>
    <mergeCell ref="AS49:AS56"/>
    <mergeCell ref="AS57:AS59"/>
    <mergeCell ref="AS34:AS48"/>
    <mergeCell ref="AI22:AI33"/>
    <mergeCell ref="AI10:AI21"/>
    <mergeCell ref="AH7:AI8"/>
    <mergeCell ref="AO94:AO98"/>
    <mergeCell ref="AU9:AU93"/>
    <mergeCell ref="AU94:AU98"/>
    <mergeCell ref="AQ71:AQ98"/>
    <mergeCell ref="AP70:AP98"/>
    <mergeCell ref="AH93:AH96"/>
    <mergeCell ref="AE1:AZ2"/>
    <mergeCell ref="BA1:BA2"/>
    <mergeCell ref="BB1:BE2"/>
    <mergeCell ref="BF1:BW2"/>
    <mergeCell ref="BX1:BX2"/>
    <mergeCell ref="A1:D2"/>
    <mergeCell ref="E1:Y2"/>
    <mergeCell ref="Z1:Z2"/>
    <mergeCell ref="AA1:AD2"/>
    <mergeCell ref="A93:C98"/>
    <mergeCell ref="E9:E93"/>
    <mergeCell ref="E94:E98"/>
    <mergeCell ref="F9:F93"/>
    <mergeCell ref="F94:F98"/>
    <mergeCell ref="G9:G93"/>
    <mergeCell ref="G94:G98"/>
    <mergeCell ref="M94:M98"/>
    <mergeCell ref="N94:N98"/>
    <mergeCell ref="A81:C92"/>
    <mergeCell ref="H86:H92"/>
    <mergeCell ref="I84:I92"/>
    <mergeCell ref="A45:C56"/>
    <mergeCell ref="A33:C44"/>
    <mergeCell ref="A9:C20"/>
    <mergeCell ref="A21:C32"/>
    <mergeCell ref="H59:H68"/>
    <mergeCell ref="I61:I69"/>
    <mergeCell ref="H84:H85"/>
    <mergeCell ref="I70:I81"/>
    <mergeCell ref="I82:I83"/>
    <mergeCell ref="H69:H79"/>
    <mergeCell ref="A57:C68"/>
    <mergeCell ref="J9:J93"/>
    <mergeCell ref="A6:D6"/>
    <mergeCell ref="A7:D7"/>
    <mergeCell ref="E7:E8"/>
    <mergeCell ref="Y7:Y8"/>
    <mergeCell ref="X7:X8"/>
    <mergeCell ref="W7:W8"/>
    <mergeCell ref="U7:U8"/>
    <mergeCell ref="T7:T8"/>
    <mergeCell ref="R7:R8"/>
    <mergeCell ref="N7:N8"/>
    <mergeCell ref="L7:L8"/>
    <mergeCell ref="I7:I8"/>
    <mergeCell ref="O7:O8"/>
    <mergeCell ref="P7:P8"/>
    <mergeCell ref="Q7:Q8"/>
    <mergeCell ref="H7:H8"/>
    <mergeCell ref="F7:G8"/>
    <mergeCell ref="A8:D8"/>
    <mergeCell ref="F3:G3"/>
    <mergeCell ref="H3:I3"/>
    <mergeCell ref="J3:N3"/>
    <mergeCell ref="U3:Y3"/>
    <mergeCell ref="AV3:AZ3"/>
    <mergeCell ref="AF3:AG3"/>
    <mergeCell ref="AH3:AI3"/>
    <mergeCell ref="A3:D5"/>
    <mergeCell ref="BG3:BH3"/>
    <mergeCell ref="AJ3:AR3"/>
    <mergeCell ref="BY1:CB2"/>
    <mergeCell ref="BL6:BM6"/>
    <mergeCell ref="BL4:BM4"/>
    <mergeCell ref="BL5:BM5"/>
    <mergeCell ref="BW7:BW8"/>
    <mergeCell ref="BV7:BV8"/>
    <mergeCell ref="BU7:BU8"/>
    <mergeCell ref="BS7:BS8"/>
    <mergeCell ref="BR7:BR8"/>
    <mergeCell ref="BP7:BP8"/>
    <mergeCell ref="BK3:BO3"/>
    <mergeCell ref="BS3:BW3"/>
    <mergeCell ref="BT7:BT8"/>
    <mergeCell ref="BL8:BM8"/>
    <mergeCell ref="BK7:BM7"/>
    <mergeCell ref="BX3:CB98"/>
    <mergeCell ref="BO57:BO85"/>
    <mergeCell ref="BS9:BT98"/>
    <mergeCell ref="BU9:BU98"/>
    <mergeCell ref="BV9:BV98"/>
    <mergeCell ref="BW9:BW98"/>
    <mergeCell ref="BR9:BR98"/>
    <mergeCell ref="BK21:BM23"/>
    <mergeCell ref="BK54:BM65"/>
    <mergeCell ref="I56:I58"/>
    <mergeCell ref="BJ84:BJ95"/>
    <mergeCell ref="BI69:BI73"/>
    <mergeCell ref="BI21:BI44"/>
    <mergeCell ref="BI45:BI51"/>
    <mergeCell ref="BI52:BI56"/>
    <mergeCell ref="AV7:AV8"/>
    <mergeCell ref="AX7:AX8"/>
    <mergeCell ref="AY7:AY8"/>
    <mergeCell ref="AZ7:AZ8"/>
    <mergeCell ref="AO7:AO8"/>
    <mergeCell ref="AS7:AS8"/>
    <mergeCell ref="AU7:AU8"/>
    <mergeCell ref="AP7:AP8"/>
    <mergeCell ref="AQ7:AQ8"/>
    <mergeCell ref="AR7:AR8"/>
    <mergeCell ref="AS21:AS33"/>
    <mergeCell ref="AS60:AS83"/>
    <mergeCell ref="AS84:AS89"/>
    <mergeCell ref="AN9:AN93"/>
    <mergeCell ref="AN94:AN98"/>
    <mergeCell ref="AO9:AO93"/>
    <mergeCell ref="AS90:AS92"/>
    <mergeCell ref="AK7:AK8"/>
    <mergeCell ref="BK24:BM24"/>
    <mergeCell ref="BM25:BM30"/>
    <mergeCell ref="BO9:BO32"/>
    <mergeCell ref="BO33:BO44"/>
    <mergeCell ref="BO45:BO56"/>
    <mergeCell ref="BK9:BM20"/>
    <mergeCell ref="BJ60:BJ71"/>
    <mergeCell ref="N9:N93"/>
    <mergeCell ref="J94:J98"/>
    <mergeCell ref="K94:K98"/>
    <mergeCell ref="L94:L98"/>
    <mergeCell ref="R84:R89"/>
    <mergeCell ref="Q9:Q93"/>
    <mergeCell ref="O9:P69"/>
    <mergeCell ref="AH81:AH92"/>
    <mergeCell ref="AP9:AQ69"/>
    <mergeCell ref="AR9:AR93"/>
    <mergeCell ref="BJ36:BJ47"/>
    <mergeCell ref="BJ21:BJ35"/>
    <mergeCell ref="AI34:AI45"/>
    <mergeCell ref="AI46:AI57"/>
    <mergeCell ref="AI82:AI92"/>
    <mergeCell ref="BK39:BM53"/>
    <mergeCell ref="BK25:BK30"/>
  </mergeCells>
  <hyperlinks>
    <hyperlink ref="U9" r:id="rId1" display="http://albertamsa.ca/uploads/pdf/Archive/0000-2016/2016-04-08-Retail-statistics.xlsx"/>
    <hyperlink ref="F7" r:id="rId2" display="http://www.auc.ab.ca/regulatory_documents/ProceedingDocuments/2015/20820-D01-2015.pdf"/>
    <hyperlink ref="AF7" r:id="rId3" display="http://www.auc.ab.ca/regulatory_documents/ProceedingDocuments/2015/20820-D01-2015.pdf"/>
    <hyperlink ref="BK7" r:id="rId4" display="http://www.altagasutilities.com/sites/default/files/pdf/20823-D01-2015AltaGas2016AnnualPBRRateAd.pdf, Page 21"/>
    <hyperlink ref="AV9" r:id="rId5" display="http://albertamsa.ca/uploads/pdf/Archive/0000-2016/2016-04-08-Retail-statistics.xlsx"/>
    <hyperlink ref="BS9" r:id="rId6" display="http://albertamsa.ca/uploads/pdf/Archive/0000-2016/2016-04-08-Retail-statistics.xlsx"/>
  </hyperlinks>
  <pageMargins left="0.7" right="0.7" top="0.75" bottom="0.75" header="0.3" footer="0.3"/>
  <pageSetup orientation="portrait" r:id="rId7"/>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theme="1" tint="0.499984740745262"/>
  </sheetPr>
  <dimension ref="A1:GK1576"/>
  <sheetViews>
    <sheetView showGridLines="0" zoomScale="60" zoomScaleNormal="60" workbookViewId="0">
      <selection activeCell="H23" sqref="H23"/>
    </sheetView>
  </sheetViews>
  <sheetFormatPr defaultColWidth="9.1796875" defaultRowHeight="14" x14ac:dyDescent="0.3"/>
  <cols>
    <col min="1" max="1" width="40.26953125" style="47" customWidth="1"/>
    <col min="2" max="2" width="31.7265625" style="47" customWidth="1"/>
    <col min="3" max="3" width="39.26953125" style="47" customWidth="1"/>
    <col min="4" max="4" width="48.26953125" style="47" customWidth="1"/>
    <col min="5" max="5" width="28.26953125" style="47" customWidth="1"/>
    <col min="6" max="6" width="25" style="47" customWidth="1"/>
    <col min="7" max="7" width="40.81640625" style="47" customWidth="1"/>
    <col min="8" max="8" width="21" style="47" customWidth="1"/>
    <col min="9" max="9" width="20.1796875" style="47" customWidth="1"/>
    <col min="10" max="10" width="16" style="47" bestFit="1" customWidth="1"/>
    <col min="11" max="11" width="28.81640625" style="47" customWidth="1"/>
    <col min="12" max="12" width="34.1796875" style="47" customWidth="1"/>
    <col min="13" max="13" width="22.1796875" style="47" customWidth="1"/>
    <col min="14" max="14" width="52.1796875" style="47" customWidth="1"/>
    <col min="15" max="15" width="36.453125" style="47" customWidth="1"/>
    <col min="16" max="16" width="39.453125" style="47" customWidth="1"/>
    <col min="17" max="17" width="22.54296875" style="47" customWidth="1"/>
    <col min="18" max="18" width="22" style="47" customWidth="1"/>
    <col min="19" max="20" width="22.54296875" style="47" customWidth="1"/>
    <col min="21" max="21" width="19.26953125" style="47" customWidth="1"/>
    <col min="22" max="22" width="20.7265625" style="47" customWidth="1"/>
    <col min="23" max="23" width="22.54296875" style="47" customWidth="1"/>
    <col min="24" max="24" width="22.453125" style="47" customWidth="1"/>
    <col min="25" max="25" width="24.453125" style="47" customWidth="1"/>
    <col min="26" max="26" width="23.453125" style="47" customWidth="1"/>
    <col min="27" max="27" width="21.26953125" style="47" customWidth="1"/>
    <col min="28" max="28" width="22.1796875" style="47" customWidth="1"/>
    <col min="29" max="29" width="23.81640625" style="47" customWidth="1"/>
    <col min="30" max="30" width="20" style="47" customWidth="1"/>
    <col min="31" max="31" width="21.7265625" style="47" customWidth="1"/>
    <col min="32" max="32" width="18.7265625" style="47" customWidth="1"/>
    <col min="33" max="33" width="17.26953125" style="47" bestFit="1" customWidth="1"/>
    <col min="34" max="34" width="12.7265625" style="47" bestFit="1" customWidth="1"/>
    <col min="35" max="35" width="12.1796875" style="47" customWidth="1"/>
    <col min="36" max="36" width="12.81640625" style="47" bestFit="1" customWidth="1"/>
    <col min="37" max="37" width="10.453125" style="47" bestFit="1" customWidth="1"/>
    <col min="38" max="38" width="18.7265625" style="47" customWidth="1"/>
    <col min="39" max="39" width="13.453125" style="47" customWidth="1"/>
    <col min="40" max="41" width="12.453125" style="47" customWidth="1"/>
    <col min="42" max="43" width="16.54296875" style="47" customWidth="1"/>
    <col min="44" max="44" width="14.1796875" style="47" customWidth="1"/>
    <col min="45" max="45" width="16.81640625" style="47" customWidth="1"/>
    <col min="46" max="47" width="10.54296875" style="47" bestFit="1" customWidth="1"/>
    <col min="48" max="48" width="13.7265625" style="47" customWidth="1"/>
    <col min="49" max="49" width="11.26953125" style="47" customWidth="1"/>
    <col min="50" max="50" width="10.54296875" style="47" customWidth="1"/>
    <col min="51" max="51" width="14.26953125" style="47" customWidth="1"/>
    <col min="52" max="52" width="9.1796875" style="47"/>
    <col min="53" max="53" width="11.7265625" style="47" customWidth="1"/>
    <col min="54" max="61" width="9.1796875" style="47"/>
    <col min="62" max="62" width="11.54296875" style="47" bestFit="1" customWidth="1"/>
    <col min="63" max="65" width="9.1796875" style="47"/>
    <col min="66" max="66" width="14.54296875" style="47" customWidth="1"/>
    <col min="67" max="67" width="9.1796875" style="47"/>
    <col min="68" max="68" width="17" style="47" customWidth="1"/>
    <col min="69" max="69" width="9.1796875" style="47"/>
    <col min="70" max="71" width="17" style="47" customWidth="1"/>
    <col min="72" max="72" width="19.81640625" style="47" customWidth="1"/>
    <col min="73" max="73" width="18.1796875" style="47" customWidth="1"/>
    <col min="74" max="74" width="18.7265625" style="47" customWidth="1"/>
    <col min="75" max="75" width="16.7265625" style="47" customWidth="1"/>
    <col min="76" max="76" width="15.26953125" style="47" customWidth="1"/>
    <col min="77" max="77" width="15.81640625" style="47" customWidth="1"/>
    <col min="78" max="78" width="16.7265625" style="47" customWidth="1"/>
    <col min="79" max="79" width="13.7265625" style="47" customWidth="1"/>
    <col min="80" max="80" width="14.453125" style="47" customWidth="1"/>
    <col min="81" max="81" width="9.1796875" style="47"/>
    <col min="82" max="82" width="14.453125" style="47" customWidth="1"/>
    <col min="83" max="83" width="14.1796875" style="47" customWidth="1"/>
    <col min="84" max="84" width="13.7265625" style="47" customWidth="1"/>
    <col min="85" max="85" width="13.1796875" style="47" customWidth="1"/>
    <col min="86" max="86" width="10.26953125" style="47" customWidth="1"/>
    <col min="87" max="87" width="20.81640625" style="47" customWidth="1"/>
    <col min="88" max="88" width="14.54296875" style="47" customWidth="1"/>
    <col min="89" max="90" width="10.453125" style="47" customWidth="1"/>
    <col min="91" max="91" width="11.81640625" style="47" customWidth="1"/>
    <col min="92" max="92" width="12.7265625" style="47" customWidth="1"/>
    <col min="93" max="93" width="17" style="47" customWidth="1"/>
    <col min="94" max="94" width="13.453125" style="47" customWidth="1"/>
    <col min="95" max="96" width="12.453125" style="47" customWidth="1"/>
    <col min="97" max="97" width="11.54296875" style="47" customWidth="1"/>
    <col min="98" max="98" width="14.1796875" style="47" customWidth="1"/>
    <col min="99" max="99" width="11.7265625" style="47" bestFit="1" customWidth="1"/>
    <col min="100" max="100" width="14.26953125" style="47" customWidth="1"/>
    <col min="101" max="101" width="14.81640625" style="47" customWidth="1"/>
    <col min="102" max="102" width="14.26953125" style="47" customWidth="1"/>
    <col min="103" max="103" width="12.81640625" style="47" customWidth="1"/>
    <col min="104" max="104" width="13" style="47" customWidth="1"/>
    <col min="105" max="105" width="12.453125" style="47" customWidth="1"/>
    <col min="106" max="106" width="13.453125" style="47" bestFit="1" customWidth="1"/>
    <col min="107" max="107" width="13.1796875" style="47" customWidth="1"/>
    <col min="108" max="108" width="13.81640625" style="47" customWidth="1"/>
    <col min="109" max="109" width="12.453125" style="47" customWidth="1"/>
    <col min="110" max="110" width="14.54296875" style="47" bestFit="1" customWidth="1"/>
    <col min="111" max="111" width="19.7265625" style="47" bestFit="1" customWidth="1"/>
    <col min="112" max="112" width="14.81640625" style="47" bestFit="1" customWidth="1"/>
    <col min="113" max="113" width="11.1796875" style="47" bestFit="1" customWidth="1"/>
    <col min="114" max="114" width="10.7265625" style="47" bestFit="1" customWidth="1"/>
    <col min="115" max="115" width="12.54296875" style="47" bestFit="1" customWidth="1"/>
    <col min="116" max="116" width="9.54296875" style="47" bestFit="1" customWidth="1"/>
    <col min="117" max="117" width="10.26953125" style="47" bestFit="1" customWidth="1"/>
    <col min="118" max="118" width="10" style="47" bestFit="1" customWidth="1"/>
    <col min="119" max="119" width="18.26953125" style="47" bestFit="1" customWidth="1"/>
    <col min="120" max="120" width="18.453125" style="47" customWidth="1"/>
    <col min="121" max="121" width="12.7265625" style="47" customWidth="1"/>
    <col min="122" max="122" width="14.453125" style="47" bestFit="1" customWidth="1"/>
    <col min="123" max="123" width="10" style="47" bestFit="1" customWidth="1"/>
    <col min="124" max="124" width="12" style="47" bestFit="1" customWidth="1"/>
    <col min="125" max="125" width="11.7265625" style="47" bestFit="1" customWidth="1"/>
    <col min="126" max="126" width="12.81640625" style="47" bestFit="1" customWidth="1"/>
    <col min="127" max="127" width="9.54296875" style="47" bestFit="1" customWidth="1"/>
    <col min="128" max="128" width="11.7265625" style="47" bestFit="1" customWidth="1"/>
    <col min="129" max="129" width="14" style="47" bestFit="1" customWidth="1"/>
    <col min="130" max="16384" width="9.1796875" style="47"/>
  </cols>
  <sheetData>
    <row r="1" spans="1:178" x14ac:dyDescent="0.3">
      <c r="A1" s="1796" t="s">
        <v>489</v>
      </c>
      <c r="B1" s="1886"/>
      <c r="C1" s="1886"/>
      <c r="D1" s="1886"/>
      <c r="E1" s="2739"/>
    </row>
    <row r="2" spans="1:178" x14ac:dyDescent="0.3">
      <c r="A2" s="1887"/>
      <c r="B2" s="1888"/>
      <c r="C2" s="1888"/>
      <c r="D2" s="1888"/>
      <c r="E2" s="2740"/>
    </row>
    <row r="3" spans="1:178" x14ac:dyDescent="0.3">
      <c r="A3" s="1887"/>
      <c r="B3" s="1888"/>
      <c r="C3" s="1888"/>
      <c r="D3" s="1888"/>
      <c r="E3" s="2740"/>
    </row>
    <row r="4" spans="1:178" ht="14.5" thickBot="1" x14ac:dyDescent="0.35">
      <c r="A4" s="2741"/>
      <c r="B4" s="2742"/>
      <c r="C4" s="2742"/>
      <c r="D4" s="2742"/>
      <c r="E4" s="2743"/>
    </row>
    <row r="5" spans="1:178" ht="15" thickBot="1" x14ac:dyDescent="0.25"/>
    <row r="6" spans="1:178" ht="27.75" customHeight="1" thickBot="1" x14ac:dyDescent="0.3">
      <c r="A6" s="2752" t="s">
        <v>490</v>
      </c>
      <c r="B6" s="2753"/>
      <c r="C6" s="2753"/>
      <c r="D6" s="2753"/>
      <c r="E6" s="2754"/>
      <c r="FP6" s="1078"/>
      <c r="FQ6" s="1078"/>
      <c r="FR6" s="1078"/>
      <c r="FS6" s="1078"/>
      <c r="FT6" s="1078"/>
      <c r="FU6" s="1078"/>
      <c r="FV6" s="599"/>
    </row>
    <row r="7" spans="1:178" ht="18" x14ac:dyDescent="0.25">
      <c r="A7" s="2744" t="s">
        <v>530</v>
      </c>
      <c r="B7" s="2745"/>
      <c r="C7" s="2745"/>
      <c r="D7" s="2787" t="s">
        <v>602</v>
      </c>
      <c r="E7" s="2788"/>
      <c r="FP7" s="1078"/>
      <c r="FQ7" s="1078"/>
      <c r="FR7" s="1078"/>
      <c r="FS7" s="1078"/>
      <c r="FT7" s="1078"/>
      <c r="FU7" s="1078"/>
      <c r="FV7" s="599"/>
    </row>
    <row r="8" spans="1:178" ht="15" x14ac:dyDescent="0.25">
      <c r="A8" s="2746" t="s">
        <v>491</v>
      </c>
      <c r="B8" s="2747"/>
      <c r="C8" s="2747"/>
      <c r="D8" s="2749" t="s">
        <v>567</v>
      </c>
      <c r="E8" s="2789"/>
      <c r="FP8" s="1078"/>
      <c r="FQ8" s="1078"/>
      <c r="FR8" s="1078"/>
      <c r="FS8" s="1078"/>
      <c r="FT8" s="1078"/>
      <c r="FU8" s="1078"/>
    </row>
    <row r="9" spans="1:178" ht="15" x14ac:dyDescent="0.25">
      <c r="A9" s="2746" t="s">
        <v>493</v>
      </c>
      <c r="B9" s="2747"/>
      <c r="C9" s="2747"/>
      <c r="D9" s="2749" t="s">
        <v>592</v>
      </c>
      <c r="E9" s="2789"/>
      <c r="FP9" s="1078"/>
      <c r="FQ9" s="1078"/>
      <c r="FR9" s="1078"/>
      <c r="FS9" s="1078"/>
      <c r="FT9" s="1078"/>
      <c r="FU9" s="1078"/>
      <c r="FV9" s="564"/>
    </row>
    <row r="10" spans="1:178" ht="15" x14ac:dyDescent="0.25">
      <c r="A10" s="2746" t="s">
        <v>492</v>
      </c>
      <c r="B10" s="2747"/>
      <c r="C10" s="2747"/>
      <c r="D10" s="2755"/>
      <c r="E10" s="2756"/>
      <c r="FP10" s="1078"/>
      <c r="FQ10" s="1078"/>
      <c r="FR10" s="1078"/>
      <c r="FS10" s="1078"/>
      <c r="FT10" s="1078"/>
      <c r="FU10" s="1078"/>
      <c r="FV10" s="564"/>
    </row>
    <row r="11" spans="1:178" ht="15" x14ac:dyDescent="0.25">
      <c r="A11" s="2748" t="s">
        <v>529</v>
      </c>
      <c r="B11" s="2749"/>
      <c r="C11" s="2749"/>
      <c r="D11" s="2755"/>
      <c r="E11" s="2756"/>
      <c r="FP11" s="1078"/>
      <c r="FQ11" s="1078"/>
      <c r="FR11" s="1078"/>
      <c r="FS11" s="1078"/>
      <c r="FT11" s="1078"/>
      <c r="FU11" s="1078"/>
      <c r="FV11" s="564"/>
    </row>
    <row r="12" spans="1:178" ht="15.75" customHeight="1" x14ac:dyDescent="0.25">
      <c r="A12" s="2748" t="s">
        <v>528</v>
      </c>
      <c r="B12" s="2749"/>
      <c r="C12" s="2749"/>
      <c r="D12" s="2755"/>
      <c r="E12" s="2756"/>
      <c r="FP12" s="1078"/>
      <c r="FQ12" s="1078"/>
      <c r="FR12" s="1078"/>
      <c r="FS12" s="1078"/>
      <c r="FT12" s="1078"/>
      <c r="FU12" s="1078"/>
      <c r="FV12" s="564"/>
    </row>
    <row r="13" spans="1:178" ht="15.75" customHeight="1" x14ac:dyDescent="0.25">
      <c r="A13" s="2746" t="s">
        <v>497</v>
      </c>
      <c r="B13" s="2747"/>
      <c r="C13" s="2747"/>
      <c r="D13" s="2755"/>
      <c r="E13" s="2756"/>
      <c r="FP13" s="1078"/>
      <c r="FQ13" s="1078"/>
      <c r="FR13" s="1078"/>
      <c r="FS13" s="1078"/>
      <c r="FT13" s="1078"/>
      <c r="FU13" s="1078"/>
      <c r="FV13" s="564"/>
    </row>
    <row r="14" spans="1:178" ht="15.75" customHeight="1" x14ac:dyDescent="0.25">
      <c r="A14" s="2746" t="s">
        <v>498</v>
      </c>
      <c r="B14" s="2747"/>
      <c r="C14" s="2747"/>
      <c r="D14" s="2755"/>
      <c r="E14" s="2756"/>
      <c r="FP14" s="1078"/>
      <c r="FQ14" s="1078"/>
      <c r="FR14" s="1078"/>
      <c r="FS14" s="1078"/>
      <c r="FT14" s="1078"/>
      <c r="FU14" s="1078"/>
      <c r="FV14" s="564"/>
    </row>
    <row r="15" spans="1:178" ht="15.75" customHeight="1" x14ac:dyDescent="0.25">
      <c r="A15" s="2746" t="s">
        <v>499</v>
      </c>
      <c r="B15" s="2747"/>
      <c r="C15" s="2747"/>
      <c r="D15" s="2755"/>
      <c r="E15" s="2756"/>
      <c r="FP15" s="1078"/>
      <c r="FQ15" s="1078"/>
      <c r="FR15" s="1078"/>
      <c r="FS15" s="1078"/>
      <c r="FT15" s="1078"/>
      <c r="FU15" s="1078"/>
      <c r="FV15" s="564"/>
    </row>
    <row r="16" spans="1:178" ht="15.75" customHeight="1" x14ac:dyDescent="0.25">
      <c r="A16" s="2746" t="s">
        <v>500</v>
      </c>
      <c r="B16" s="2747"/>
      <c r="C16" s="2747"/>
      <c r="D16" s="2755"/>
      <c r="E16" s="2756"/>
      <c r="FP16" s="1078"/>
      <c r="FQ16" s="1078"/>
      <c r="FR16" s="1078"/>
      <c r="FS16" s="1078"/>
      <c r="FT16" s="1078"/>
      <c r="FU16" s="1078"/>
      <c r="FV16" s="564"/>
    </row>
    <row r="17" spans="1:178" ht="15" x14ac:dyDescent="0.25">
      <c r="A17" s="2748" t="s">
        <v>527</v>
      </c>
      <c r="B17" s="2749"/>
      <c r="C17" s="2749"/>
      <c r="D17" s="2755"/>
      <c r="E17" s="2756"/>
      <c r="FP17" s="1078"/>
      <c r="FQ17" s="1078"/>
      <c r="FR17" s="1078"/>
      <c r="FS17" s="1078"/>
      <c r="FT17" s="1078"/>
      <c r="FU17" s="1078"/>
      <c r="FV17" s="564"/>
    </row>
    <row r="18" spans="1:178" ht="15.75" customHeight="1" x14ac:dyDescent="0.25">
      <c r="A18" s="2746" t="s">
        <v>501</v>
      </c>
      <c r="B18" s="2747"/>
      <c r="C18" s="2747"/>
      <c r="D18" s="2755"/>
      <c r="E18" s="2756"/>
      <c r="FP18" s="1078"/>
      <c r="FQ18" s="1078"/>
      <c r="FR18" s="1078"/>
      <c r="FS18" s="1078"/>
      <c r="FT18" s="1078"/>
      <c r="FU18" s="1078"/>
      <c r="FV18" s="564"/>
    </row>
    <row r="19" spans="1:178" ht="15.75" customHeight="1" x14ac:dyDescent="0.25">
      <c r="A19" s="2746" t="s">
        <v>502</v>
      </c>
      <c r="B19" s="2747"/>
      <c r="C19" s="2747"/>
      <c r="D19" s="2755"/>
      <c r="E19" s="2756"/>
      <c r="FP19" s="1078"/>
      <c r="FQ19" s="1078"/>
      <c r="FR19" s="1078"/>
      <c r="FS19" s="1078"/>
      <c r="FT19" s="1078"/>
      <c r="FU19" s="1078"/>
      <c r="FV19" s="564"/>
    </row>
    <row r="20" spans="1:178" ht="15.75" customHeight="1" x14ac:dyDescent="0.25">
      <c r="A20" s="2746" t="s">
        <v>503</v>
      </c>
      <c r="B20" s="2747"/>
      <c r="C20" s="2747"/>
      <c r="D20" s="2755"/>
      <c r="E20" s="2756"/>
      <c r="FP20" s="1078"/>
      <c r="FQ20" s="1078"/>
      <c r="FR20" s="1078"/>
      <c r="FS20" s="1078"/>
      <c r="FT20" s="1078"/>
      <c r="FU20" s="1078"/>
      <c r="FV20" s="564"/>
    </row>
    <row r="21" spans="1:178" ht="15.75" customHeight="1" x14ac:dyDescent="0.25">
      <c r="A21" s="2746" t="s">
        <v>547</v>
      </c>
      <c r="B21" s="2747"/>
      <c r="C21" s="2747"/>
      <c r="D21" s="2755"/>
      <c r="E21" s="2756"/>
      <c r="FP21" s="1078"/>
      <c r="FQ21" s="1078"/>
      <c r="FR21" s="1078"/>
      <c r="FS21" s="1078"/>
      <c r="FT21" s="1078"/>
      <c r="FU21" s="1078"/>
      <c r="FV21" s="564"/>
    </row>
    <row r="22" spans="1:178" ht="15.75" customHeight="1" x14ac:dyDescent="0.3">
      <c r="A22" s="2746" t="s">
        <v>546</v>
      </c>
      <c r="B22" s="2747"/>
      <c r="C22" s="2747"/>
      <c r="D22" s="2755"/>
      <c r="E22" s="2756"/>
      <c r="FP22" s="1078"/>
      <c r="FQ22" s="1078"/>
      <c r="FR22" s="1078"/>
      <c r="FS22" s="1078"/>
      <c r="FT22" s="1078"/>
      <c r="FU22" s="1078"/>
      <c r="FV22" s="564"/>
    </row>
    <row r="23" spans="1:178" ht="15.75" customHeight="1" x14ac:dyDescent="0.25">
      <c r="A23" s="2746" t="s">
        <v>521</v>
      </c>
      <c r="B23" s="2747"/>
      <c r="C23" s="2747"/>
      <c r="D23" s="2755"/>
      <c r="E23" s="2756"/>
      <c r="FP23" s="1078"/>
      <c r="FQ23" s="1078"/>
      <c r="FR23" s="1078"/>
      <c r="FS23" s="1078"/>
      <c r="FT23" s="1078"/>
      <c r="FU23" s="1078"/>
      <c r="FV23" s="564"/>
    </row>
    <row r="24" spans="1:178" ht="15.75" customHeight="1" x14ac:dyDescent="0.25">
      <c r="A24" s="2746" t="s">
        <v>587</v>
      </c>
      <c r="B24" s="2747"/>
      <c r="C24" s="2747"/>
      <c r="D24" s="2755"/>
      <c r="E24" s="2756"/>
      <c r="FP24" s="1078"/>
      <c r="FQ24" s="1078"/>
      <c r="FR24" s="1078"/>
      <c r="FS24" s="1078"/>
      <c r="FT24" s="1078"/>
      <c r="FU24" s="1078"/>
      <c r="FV24" s="564"/>
    </row>
    <row r="25" spans="1:178" ht="15.75" customHeight="1" x14ac:dyDescent="0.25">
      <c r="A25" s="2746" t="s">
        <v>615</v>
      </c>
      <c r="B25" s="2747"/>
      <c r="C25" s="2747"/>
      <c r="D25" s="2755"/>
      <c r="E25" s="2756"/>
      <c r="FP25" s="1078"/>
      <c r="FQ25" s="1078"/>
      <c r="FR25" s="1078"/>
      <c r="FS25" s="1078"/>
      <c r="FT25" s="1078"/>
      <c r="FU25" s="1078"/>
      <c r="FV25" s="564"/>
    </row>
    <row r="26" spans="1:178" ht="15.75" customHeight="1" x14ac:dyDescent="0.25">
      <c r="A26" s="2748" t="s">
        <v>520</v>
      </c>
      <c r="B26" s="2749"/>
      <c r="C26" s="2749"/>
      <c r="D26" s="2755"/>
      <c r="E26" s="2756"/>
      <c r="FP26" s="1078"/>
      <c r="FQ26" s="1078"/>
      <c r="FR26" s="1078"/>
      <c r="FS26" s="1078"/>
      <c r="FT26" s="1078"/>
      <c r="FU26" s="1078"/>
      <c r="FV26" s="564"/>
    </row>
    <row r="27" spans="1:178" ht="15.75" customHeight="1" x14ac:dyDescent="0.25">
      <c r="A27" s="2746" t="s">
        <v>504</v>
      </c>
      <c r="B27" s="2747"/>
      <c r="C27" s="2747"/>
      <c r="D27" s="2755"/>
      <c r="E27" s="2756"/>
      <c r="FP27" s="1078"/>
      <c r="FQ27" s="1078"/>
      <c r="FR27" s="1078"/>
      <c r="FS27" s="1078"/>
      <c r="FT27" s="1078"/>
      <c r="FU27" s="1078"/>
      <c r="FV27" s="564"/>
    </row>
    <row r="28" spans="1:178" ht="15.75" customHeight="1" x14ac:dyDescent="0.25">
      <c r="A28" s="2746" t="s">
        <v>505</v>
      </c>
      <c r="B28" s="2747"/>
      <c r="C28" s="2747"/>
      <c r="D28" s="2755"/>
      <c r="E28" s="2756"/>
      <c r="FP28" s="1078"/>
      <c r="FQ28" s="1078"/>
      <c r="FR28" s="1078"/>
      <c r="FS28" s="1078"/>
      <c r="FT28" s="1078"/>
      <c r="FU28" s="1078"/>
      <c r="FV28" s="564"/>
    </row>
    <row r="29" spans="1:178" ht="15.75" customHeight="1" x14ac:dyDescent="0.25">
      <c r="A29" s="2748" t="s">
        <v>508</v>
      </c>
      <c r="B29" s="2749"/>
      <c r="C29" s="2749"/>
      <c r="D29" s="2755"/>
      <c r="E29" s="2756"/>
      <c r="FP29" s="1078"/>
      <c r="FQ29" s="1078"/>
      <c r="FR29" s="1078"/>
      <c r="FS29" s="1078"/>
      <c r="FT29" s="1078"/>
      <c r="FU29" s="1078"/>
      <c r="FV29" s="564"/>
    </row>
    <row r="30" spans="1:178" ht="15.75" customHeight="1" x14ac:dyDescent="0.25">
      <c r="A30" s="2746" t="s">
        <v>507</v>
      </c>
      <c r="B30" s="2747"/>
      <c r="C30" s="2747"/>
      <c r="D30" s="2755"/>
      <c r="E30" s="2756"/>
      <c r="FP30" s="1078"/>
      <c r="FQ30" s="1078"/>
      <c r="FR30" s="1078"/>
      <c r="FS30" s="1078"/>
      <c r="FT30" s="1078"/>
      <c r="FU30" s="1078"/>
      <c r="FV30" s="564"/>
    </row>
    <row r="31" spans="1:178" ht="15.75" customHeight="1" x14ac:dyDescent="0.25">
      <c r="A31" s="2746" t="s">
        <v>506</v>
      </c>
      <c r="B31" s="2747"/>
      <c r="C31" s="2747"/>
      <c r="D31" s="2755"/>
      <c r="E31" s="2756"/>
      <c r="FP31" s="1078"/>
      <c r="FQ31" s="1078"/>
      <c r="FR31" s="1078"/>
      <c r="FS31" s="1078"/>
      <c r="FT31" s="1078"/>
      <c r="FU31" s="1078"/>
      <c r="FV31" s="564"/>
    </row>
    <row r="32" spans="1:178" ht="15.75" customHeight="1" x14ac:dyDescent="0.25">
      <c r="A32" s="2748" t="s">
        <v>513</v>
      </c>
      <c r="B32" s="2749"/>
      <c r="C32" s="2749"/>
      <c r="D32" s="2755"/>
      <c r="E32" s="2756"/>
      <c r="FP32" s="1078"/>
      <c r="FQ32" s="1078"/>
      <c r="FR32" s="1078"/>
      <c r="FS32" s="1078"/>
      <c r="FT32" s="1078"/>
      <c r="FU32" s="1078"/>
      <c r="FV32" s="564"/>
    </row>
    <row r="33" spans="1:178" ht="15.75" customHeight="1" x14ac:dyDescent="0.25">
      <c r="A33" s="2746" t="s">
        <v>509</v>
      </c>
      <c r="B33" s="2747"/>
      <c r="C33" s="2747"/>
      <c r="D33" s="2755"/>
      <c r="E33" s="2756"/>
      <c r="FP33" s="1078"/>
      <c r="FQ33" s="1078"/>
      <c r="FR33" s="1078"/>
      <c r="FS33" s="1078"/>
      <c r="FT33" s="1078"/>
      <c r="FU33" s="1078"/>
      <c r="FV33" s="564"/>
    </row>
    <row r="34" spans="1:178" ht="15.75" customHeight="1" x14ac:dyDescent="0.25">
      <c r="A34" s="2746" t="s">
        <v>510</v>
      </c>
      <c r="B34" s="2747"/>
      <c r="C34" s="2747"/>
      <c r="D34" s="2755"/>
      <c r="E34" s="2756"/>
      <c r="FP34" s="1078"/>
      <c r="FQ34" s="1078"/>
      <c r="FR34" s="1078"/>
      <c r="FS34" s="1078"/>
      <c r="FT34" s="1078"/>
      <c r="FU34" s="1078"/>
      <c r="FV34" s="564"/>
    </row>
    <row r="35" spans="1:178" ht="15.75" customHeight="1" x14ac:dyDescent="0.25">
      <c r="A35" s="2746" t="s">
        <v>511</v>
      </c>
      <c r="B35" s="2747"/>
      <c r="C35" s="2747"/>
      <c r="D35" s="2755"/>
      <c r="E35" s="2756"/>
      <c r="FP35" s="1078"/>
      <c r="FQ35" s="1078"/>
      <c r="FR35" s="1078"/>
      <c r="FS35" s="1078"/>
      <c r="FT35" s="1078"/>
      <c r="FU35" s="1078"/>
      <c r="FV35" s="564"/>
    </row>
    <row r="36" spans="1:178" ht="15.75" customHeight="1" x14ac:dyDescent="0.25">
      <c r="A36" s="2746" t="s">
        <v>512</v>
      </c>
      <c r="B36" s="2747"/>
      <c r="C36" s="2747"/>
      <c r="D36" s="2755"/>
      <c r="E36" s="2756"/>
      <c r="FP36" s="1078"/>
      <c r="FQ36" s="1078"/>
      <c r="FR36" s="1078"/>
      <c r="FS36" s="1078"/>
      <c r="FT36" s="1078"/>
      <c r="FU36" s="1078"/>
      <c r="FV36" s="564"/>
    </row>
    <row r="37" spans="1:178" ht="15.75" customHeight="1" x14ac:dyDescent="0.25">
      <c r="A37" s="2748" t="s">
        <v>516</v>
      </c>
      <c r="B37" s="2749"/>
      <c r="C37" s="2749"/>
      <c r="D37" s="2755"/>
      <c r="E37" s="2756"/>
      <c r="FP37" s="1078"/>
      <c r="FQ37" s="1078"/>
      <c r="FR37" s="1078"/>
      <c r="FS37" s="1078"/>
      <c r="FT37" s="1078"/>
      <c r="FU37" s="1078"/>
      <c r="FV37" s="564"/>
    </row>
    <row r="38" spans="1:178" ht="15.75" customHeight="1" x14ac:dyDescent="0.25">
      <c r="A38" s="2746" t="s">
        <v>514</v>
      </c>
      <c r="B38" s="2747"/>
      <c r="C38" s="2747"/>
      <c r="D38" s="2755"/>
      <c r="E38" s="2756"/>
      <c r="FP38" s="1078"/>
      <c r="FQ38" s="1078"/>
      <c r="FR38" s="1078"/>
      <c r="FS38" s="1078"/>
      <c r="FT38" s="1078"/>
      <c r="FU38" s="1078"/>
      <c r="FV38" s="564"/>
    </row>
    <row r="39" spans="1:178" ht="15.75" customHeight="1" x14ac:dyDescent="0.3">
      <c r="A39" s="2746" t="s">
        <v>515</v>
      </c>
      <c r="B39" s="2747"/>
      <c r="C39" s="2747"/>
      <c r="D39" s="2755"/>
      <c r="E39" s="2756"/>
      <c r="FP39" s="1078"/>
      <c r="FQ39" s="1078"/>
      <c r="FR39" s="1078"/>
      <c r="FS39" s="1078"/>
      <c r="FT39" s="1078"/>
      <c r="FU39" s="1078"/>
      <c r="FV39" s="564"/>
    </row>
    <row r="40" spans="1:178" ht="15.75" customHeight="1" x14ac:dyDescent="0.3">
      <c r="A40" s="2748" t="s">
        <v>519</v>
      </c>
      <c r="B40" s="2749"/>
      <c r="C40" s="2749"/>
      <c r="D40" s="2755"/>
      <c r="E40" s="2756"/>
      <c r="FP40" s="1078"/>
      <c r="FQ40" s="1078"/>
      <c r="FR40" s="1078"/>
      <c r="FS40" s="1078"/>
      <c r="FT40" s="1078"/>
      <c r="FU40" s="1078"/>
      <c r="FV40" s="564"/>
    </row>
    <row r="41" spans="1:178" ht="15.75" customHeight="1" x14ac:dyDescent="0.3">
      <c r="A41" s="2746" t="s">
        <v>517</v>
      </c>
      <c r="B41" s="2747"/>
      <c r="C41" s="2747"/>
      <c r="D41" s="2755"/>
      <c r="E41" s="2756"/>
      <c r="FP41" s="1078"/>
      <c r="FQ41" s="1078"/>
      <c r="FR41" s="1078"/>
      <c r="FS41" s="1078"/>
      <c r="FT41" s="1078"/>
      <c r="FU41" s="1078"/>
      <c r="FV41" s="564"/>
    </row>
    <row r="42" spans="1:178" ht="15.75" customHeight="1" x14ac:dyDescent="0.3">
      <c r="A42" s="2746" t="s">
        <v>518</v>
      </c>
      <c r="B42" s="2747"/>
      <c r="C42" s="2747"/>
      <c r="D42" s="2755"/>
      <c r="E42" s="2756"/>
      <c r="FP42" s="1078"/>
      <c r="FQ42" s="1078"/>
      <c r="FR42" s="1078"/>
      <c r="FS42" s="1078"/>
      <c r="FT42" s="1078"/>
      <c r="FU42" s="1078"/>
      <c r="FV42" s="564"/>
    </row>
    <row r="43" spans="1:178" ht="15.75" customHeight="1" thickBot="1" x14ac:dyDescent="0.35">
      <c r="A43" s="2750" t="s">
        <v>630</v>
      </c>
      <c r="B43" s="2751"/>
      <c r="C43" s="2751"/>
      <c r="D43" s="2794"/>
      <c r="E43" s="2795"/>
      <c r="FP43" s="1078"/>
      <c r="FQ43" s="1078"/>
      <c r="FR43" s="1078"/>
      <c r="FS43" s="1078"/>
      <c r="FT43" s="1078"/>
      <c r="FU43" s="1078"/>
      <c r="FV43" s="564"/>
    </row>
    <row r="44" spans="1:178" ht="15.5" x14ac:dyDescent="0.35">
      <c r="A44" s="953"/>
      <c r="B44" s="953"/>
      <c r="FP44" s="1078"/>
      <c r="FQ44" s="1078"/>
      <c r="FR44" s="1078"/>
      <c r="FS44" s="1078"/>
      <c r="FT44" s="1078"/>
      <c r="FU44" s="1078"/>
      <c r="FV44" s="564"/>
    </row>
    <row r="45" spans="1:178" ht="16" thickBot="1" x14ac:dyDescent="0.4">
      <c r="A45" s="905"/>
      <c r="FP45" s="1078"/>
      <c r="FQ45" s="1078"/>
      <c r="FR45" s="1078"/>
      <c r="FS45" s="1078"/>
      <c r="FT45" s="1078"/>
      <c r="FU45" s="1078"/>
      <c r="FV45" s="564"/>
    </row>
    <row r="46" spans="1:178" x14ac:dyDescent="0.3">
      <c r="A46" s="1376"/>
      <c r="B46" s="1377"/>
      <c r="C46" s="1377"/>
      <c r="D46" s="1377"/>
      <c r="E46" s="1377"/>
      <c r="F46" s="1377"/>
      <c r="G46" s="1377"/>
      <c r="H46" s="1377"/>
      <c r="I46" s="1377"/>
      <c r="J46" s="1377"/>
      <c r="K46" s="1377"/>
      <c r="L46" s="1377"/>
      <c r="M46" s="1377"/>
      <c r="N46" s="1377"/>
      <c r="O46" s="1377"/>
      <c r="P46" s="1377"/>
      <c r="Q46" s="1377"/>
      <c r="R46" s="1377"/>
      <c r="S46" s="1377"/>
      <c r="T46" s="1377"/>
      <c r="U46" s="1377"/>
      <c r="V46" s="1377"/>
      <c r="W46" s="1377"/>
      <c r="X46" s="1377"/>
      <c r="Y46" s="1377"/>
      <c r="Z46" s="1377"/>
      <c r="AA46" s="1377"/>
      <c r="AB46" s="1377"/>
      <c r="AC46" s="1377"/>
      <c r="AD46" s="1377"/>
      <c r="AE46" s="1377"/>
      <c r="AF46" s="1377"/>
      <c r="AG46" s="1377"/>
      <c r="AH46" s="1377"/>
      <c r="AI46" s="1377"/>
      <c r="AJ46" s="1377"/>
      <c r="AK46" s="1377"/>
      <c r="AL46" s="1377"/>
      <c r="AM46" s="1377"/>
      <c r="AN46" s="1377"/>
      <c r="AO46" s="1377"/>
      <c r="AP46" s="1377"/>
      <c r="AQ46" s="1377"/>
      <c r="AR46" s="1377"/>
      <c r="AS46" s="1377"/>
      <c r="AT46" s="1377"/>
      <c r="AU46" s="1377"/>
      <c r="AV46" s="1377"/>
      <c r="AW46" s="1377"/>
      <c r="AX46" s="1377"/>
      <c r="AY46" s="1377"/>
      <c r="AZ46" s="1377"/>
      <c r="BA46" s="1377"/>
      <c r="BB46" s="1377"/>
      <c r="BC46" s="1377"/>
      <c r="BD46" s="1377"/>
      <c r="BE46" s="1377"/>
      <c r="BF46" s="1377"/>
      <c r="BG46" s="1377"/>
      <c r="BH46" s="1377"/>
      <c r="BI46" s="1377"/>
      <c r="BJ46" s="1377"/>
      <c r="BK46" s="1377"/>
      <c r="BL46" s="1377"/>
      <c r="BM46" s="1377"/>
      <c r="BN46" s="1377"/>
      <c r="BO46" s="1377"/>
      <c r="BP46" s="1377"/>
      <c r="BQ46" s="1377"/>
      <c r="BR46" s="1377"/>
      <c r="BS46" s="1377"/>
      <c r="BT46" s="1377"/>
      <c r="BU46" s="1377"/>
      <c r="BV46" s="1377"/>
      <c r="BW46" s="1377"/>
      <c r="BX46" s="1377"/>
      <c r="BY46" s="1377"/>
      <c r="BZ46" s="1377"/>
      <c r="CA46" s="1377"/>
      <c r="CB46" s="1377"/>
      <c r="CC46" s="1377"/>
      <c r="CD46" s="1377"/>
      <c r="CE46" s="1377"/>
      <c r="CF46" s="1377"/>
      <c r="CG46" s="1377"/>
      <c r="CH46" s="1377"/>
      <c r="CI46" s="1377"/>
      <c r="CJ46" s="1377"/>
      <c r="CK46" s="1377"/>
      <c r="CL46" s="1377"/>
      <c r="CM46" s="1377"/>
      <c r="CN46" s="1377"/>
      <c r="CO46" s="1377"/>
      <c r="CP46" s="1377"/>
      <c r="CQ46" s="1377"/>
      <c r="CR46" s="1377"/>
      <c r="CS46" s="1377"/>
      <c r="CT46" s="1377"/>
      <c r="CU46" s="1377"/>
      <c r="CV46" s="1377"/>
      <c r="CW46" s="1377"/>
      <c r="CX46" s="1377"/>
      <c r="CY46" s="1377"/>
      <c r="CZ46" s="1377"/>
      <c r="DA46" s="1377"/>
      <c r="DB46" s="1377"/>
      <c r="DC46" s="1377"/>
      <c r="DD46" s="1377"/>
      <c r="DE46" s="1377"/>
      <c r="DF46" s="1377"/>
      <c r="DG46" s="1377"/>
      <c r="DH46" s="1377"/>
      <c r="DI46" s="1377"/>
      <c r="DJ46" s="1377"/>
      <c r="DK46" s="1377"/>
      <c r="DL46" s="1377"/>
      <c r="DM46" s="1377"/>
      <c r="DN46" s="1377"/>
      <c r="DO46" s="1377"/>
      <c r="DP46" s="1377"/>
      <c r="DQ46" s="1377"/>
      <c r="DR46" s="1377"/>
      <c r="DS46" s="1377"/>
      <c r="DT46" s="1377"/>
      <c r="DU46" s="1377"/>
      <c r="DV46" s="1377"/>
      <c r="DW46" s="1377"/>
      <c r="DX46" s="1377"/>
      <c r="DY46" s="1377"/>
      <c r="DZ46" s="1377"/>
      <c r="EA46" s="645"/>
      <c r="FP46" s="1078"/>
      <c r="FQ46" s="1078"/>
      <c r="FR46" s="1078"/>
      <c r="FS46" s="1078"/>
      <c r="FT46" s="1078"/>
      <c r="FU46" s="1078"/>
      <c r="FV46" s="564"/>
    </row>
    <row r="47" spans="1:178" ht="15" customHeight="1" x14ac:dyDescent="0.3">
      <c r="A47" s="2593" t="s">
        <v>530</v>
      </c>
      <c r="B47" s="2594"/>
      <c r="C47" s="2594"/>
      <c r="D47" s="2594"/>
      <c r="E47" s="2594"/>
      <c r="F47" s="1374"/>
      <c r="G47" s="1374"/>
      <c r="H47" s="1374"/>
      <c r="I47" s="1374"/>
      <c r="J47" s="1374"/>
      <c r="K47" s="1374"/>
      <c r="L47" s="1374"/>
      <c r="M47" s="1374"/>
      <c r="N47" s="1374"/>
      <c r="O47" s="1374"/>
      <c r="P47" s="1374"/>
      <c r="Q47" s="1374"/>
      <c r="R47" s="1374"/>
      <c r="S47" s="1374"/>
      <c r="T47" s="1374"/>
      <c r="U47" s="1374"/>
      <c r="V47" s="1374"/>
      <c r="W47" s="1374"/>
      <c r="X47" s="1374"/>
      <c r="Y47" s="1374"/>
      <c r="Z47" s="1374"/>
      <c r="AA47" s="1374"/>
      <c r="AB47" s="1374"/>
      <c r="AC47" s="1374"/>
      <c r="AD47" s="1374"/>
      <c r="AE47" s="1374"/>
      <c r="AF47" s="1374"/>
      <c r="AG47" s="1374"/>
      <c r="AH47" s="1374"/>
      <c r="AI47" s="1374"/>
      <c r="AJ47" s="1374"/>
      <c r="AK47" s="1374"/>
      <c r="AL47" s="1374"/>
      <c r="AM47" s="1374"/>
      <c r="AN47" s="1374"/>
      <c r="AO47" s="1374"/>
      <c r="AP47" s="1374"/>
      <c r="AQ47" s="1374"/>
      <c r="AR47" s="1374"/>
      <c r="AS47" s="1374"/>
      <c r="AT47" s="1374"/>
      <c r="AU47" s="1374"/>
      <c r="AV47" s="1374"/>
      <c r="AW47" s="1374"/>
      <c r="AX47" s="1374"/>
      <c r="AY47" s="1374"/>
      <c r="AZ47" s="1374"/>
      <c r="BA47" s="1374"/>
      <c r="BB47" s="1374"/>
      <c r="BC47" s="1374"/>
      <c r="BD47" s="1374"/>
      <c r="BE47" s="1374"/>
      <c r="BF47" s="1374"/>
      <c r="BG47" s="1374"/>
      <c r="BH47" s="1374"/>
      <c r="BI47" s="1374"/>
      <c r="BJ47" s="1374"/>
      <c r="BK47" s="1374"/>
      <c r="BL47" s="1374"/>
      <c r="BM47" s="1374"/>
      <c r="BN47" s="1374"/>
      <c r="BO47" s="1374"/>
      <c r="BP47" s="1374"/>
      <c r="BQ47" s="1374"/>
      <c r="BR47" s="1374"/>
      <c r="BS47" s="1374"/>
      <c r="BT47" s="1374"/>
      <c r="BU47" s="1374"/>
      <c r="BV47" s="1374"/>
      <c r="BW47" s="1374"/>
      <c r="BX47" s="1374"/>
      <c r="BY47" s="1374"/>
      <c r="BZ47" s="1374"/>
      <c r="CA47" s="1374"/>
      <c r="CB47" s="1374"/>
      <c r="CC47" s="1374"/>
      <c r="CD47" s="1374"/>
      <c r="CE47" s="1374"/>
      <c r="CF47" s="1374"/>
      <c r="CG47" s="1374"/>
      <c r="CH47" s="1374"/>
      <c r="CI47" s="1374"/>
      <c r="CJ47" s="1374"/>
      <c r="CK47" s="1374"/>
      <c r="CL47" s="1374"/>
      <c r="CM47" s="1374"/>
      <c r="CN47" s="1374"/>
      <c r="CO47" s="1374"/>
      <c r="CP47" s="1374"/>
      <c r="CQ47" s="1374"/>
      <c r="CR47" s="1374"/>
      <c r="CS47" s="1374"/>
      <c r="CT47" s="1374"/>
      <c r="CU47" s="1374"/>
      <c r="CV47" s="1374"/>
      <c r="CW47" s="1374"/>
      <c r="CX47" s="1374"/>
      <c r="CY47" s="1374"/>
      <c r="CZ47" s="1374"/>
      <c r="DA47" s="1374"/>
      <c r="DB47" s="1374"/>
      <c r="DC47" s="1374"/>
      <c r="DD47" s="1374"/>
      <c r="DE47" s="1374"/>
      <c r="DF47" s="1374"/>
      <c r="DG47" s="1374"/>
      <c r="DH47" s="1374"/>
      <c r="DI47" s="1374"/>
      <c r="DJ47" s="1374"/>
      <c r="DK47" s="1374"/>
      <c r="DL47" s="1374"/>
      <c r="DM47" s="1374"/>
      <c r="DN47" s="1374"/>
      <c r="DO47" s="1374"/>
      <c r="DP47" s="1374"/>
      <c r="DQ47" s="1374"/>
      <c r="DR47" s="1374"/>
      <c r="DS47" s="1374"/>
      <c r="DT47" s="1374"/>
      <c r="DU47" s="1374"/>
      <c r="DV47" s="1374"/>
      <c r="DW47" s="1374"/>
      <c r="DX47" s="1374"/>
      <c r="DY47" s="1374"/>
      <c r="DZ47" s="1374"/>
      <c r="EA47" s="1439"/>
      <c r="FP47" s="1078"/>
      <c r="FQ47" s="1078"/>
      <c r="FR47" s="1078"/>
      <c r="FS47" s="1078"/>
      <c r="FT47" s="1078"/>
      <c r="FU47" s="1078"/>
      <c r="FV47" s="564"/>
    </row>
    <row r="48" spans="1:178" ht="15" customHeight="1" x14ac:dyDescent="0.3">
      <c r="A48" s="2593"/>
      <c r="B48" s="2594"/>
      <c r="C48" s="2594"/>
      <c r="D48" s="2594"/>
      <c r="E48" s="2594"/>
      <c r="F48" s="1374"/>
      <c r="G48" s="1374"/>
      <c r="H48" s="1374"/>
      <c r="I48" s="1374"/>
      <c r="J48" s="1374"/>
      <c r="K48" s="1374"/>
      <c r="L48" s="1374"/>
      <c r="M48" s="1374"/>
      <c r="N48" s="1374"/>
      <c r="O48" s="1374"/>
      <c r="P48" s="1374"/>
      <c r="Q48" s="1374"/>
      <c r="R48" s="1374"/>
      <c r="S48" s="1374"/>
      <c r="T48" s="1374"/>
      <c r="U48" s="1374"/>
      <c r="V48" s="1374"/>
      <c r="W48" s="1374"/>
      <c r="X48" s="1374"/>
      <c r="Y48" s="1374"/>
      <c r="Z48" s="1374"/>
      <c r="AA48" s="1374"/>
      <c r="AB48" s="1374"/>
      <c r="AC48" s="1374"/>
      <c r="AD48" s="1374"/>
      <c r="AE48" s="1374"/>
      <c r="AF48" s="1374"/>
      <c r="AG48" s="1374"/>
      <c r="AH48" s="1374"/>
      <c r="AI48" s="1374"/>
      <c r="AJ48" s="1374"/>
      <c r="AK48" s="1374"/>
      <c r="AL48" s="1374"/>
      <c r="AM48" s="1374"/>
      <c r="AN48" s="1374"/>
      <c r="AO48" s="1374"/>
      <c r="AP48" s="1374"/>
      <c r="AQ48" s="1374"/>
      <c r="AR48" s="1374"/>
      <c r="AS48" s="1374"/>
      <c r="AT48" s="1374"/>
      <c r="AU48" s="1374"/>
      <c r="AV48" s="1374"/>
      <c r="AW48" s="1374"/>
      <c r="AX48" s="1374"/>
      <c r="AY48" s="1374"/>
      <c r="AZ48" s="1374"/>
      <c r="BA48" s="1374"/>
      <c r="BB48" s="1374"/>
      <c r="BC48" s="1374"/>
      <c r="BD48" s="1374"/>
      <c r="BE48" s="1374"/>
      <c r="BF48" s="1374"/>
      <c r="BG48" s="1374"/>
      <c r="BH48" s="1374"/>
      <c r="BI48" s="1374"/>
      <c r="BJ48" s="1374"/>
      <c r="BK48" s="1374"/>
      <c r="BL48" s="1374"/>
      <c r="BM48" s="1374"/>
      <c r="BN48" s="1374"/>
      <c r="BO48" s="1374"/>
      <c r="BP48" s="1374"/>
      <c r="BQ48" s="1374"/>
      <c r="BR48" s="1374"/>
      <c r="BS48" s="1374"/>
      <c r="BT48" s="1374"/>
      <c r="BU48" s="1374"/>
      <c r="BV48" s="1374"/>
      <c r="BW48" s="1374"/>
      <c r="BX48" s="1374"/>
      <c r="BY48" s="1374"/>
      <c r="BZ48" s="1374"/>
      <c r="CA48" s="1374"/>
      <c r="CB48" s="1374"/>
      <c r="CC48" s="1374"/>
      <c r="CD48" s="1374"/>
      <c r="CE48" s="1374"/>
      <c r="CF48" s="1374"/>
      <c r="CG48" s="1374"/>
      <c r="CH48" s="1374"/>
      <c r="CI48" s="1374"/>
      <c r="CJ48" s="1374"/>
      <c r="CK48" s="1374"/>
      <c r="CL48" s="1374"/>
      <c r="CM48" s="1374"/>
      <c r="CN48" s="1374"/>
      <c r="CO48" s="1374"/>
      <c r="CP48" s="1374"/>
      <c r="CQ48" s="1374"/>
      <c r="CR48" s="1374"/>
      <c r="CS48" s="1374"/>
      <c r="CT48" s="1374"/>
      <c r="CU48" s="1374"/>
      <c r="CV48" s="1374"/>
      <c r="CW48" s="1374"/>
      <c r="CX48" s="1374"/>
      <c r="CY48" s="1374"/>
      <c r="CZ48" s="1374"/>
      <c r="DA48" s="1374"/>
      <c r="DB48" s="1374"/>
      <c r="DC48" s="1374"/>
      <c r="DD48" s="1374"/>
      <c r="DE48" s="1374"/>
      <c r="DF48" s="1374"/>
      <c r="DG48" s="1374"/>
      <c r="DH48" s="1374"/>
      <c r="DI48" s="1374"/>
      <c r="DJ48" s="1374"/>
      <c r="DK48" s="1374"/>
      <c r="DL48" s="1374"/>
      <c r="DM48" s="1374"/>
      <c r="DN48" s="1374"/>
      <c r="DO48" s="1374"/>
      <c r="DP48" s="1374"/>
      <c r="DQ48" s="1374"/>
      <c r="DR48" s="1374"/>
      <c r="DS48" s="1374"/>
      <c r="DT48" s="1374"/>
      <c r="DU48" s="1374"/>
      <c r="DV48" s="1374"/>
      <c r="DW48" s="1374"/>
      <c r="DX48" s="1374"/>
      <c r="DY48" s="1374"/>
      <c r="DZ48" s="1374"/>
      <c r="EA48" s="1439"/>
      <c r="FP48" s="1078"/>
      <c r="FQ48" s="1078"/>
      <c r="FR48" s="1078"/>
      <c r="FS48" s="1078"/>
      <c r="FT48" s="1078"/>
      <c r="FU48" s="1078"/>
      <c r="FV48" s="564"/>
    </row>
    <row r="49" spans="1:193" ht="15" customHeight="1" x14ac:dyDescent="0.3">
      <c r="A49" s="2593"/>
      <c r="B49" s="2594"/>
      <c r="C49" s="2594"/>
      <c r="D49" s="2594"/>
      <c r="E49" s="2594"/>
      <c r="F49" s="1374"/>
      <c r="G49" s="1374"/>
      <c r="H49" s="1374"/>
      <c r="I49" s="1374"/>
      <c r="J49" s="1374"/>
      <c r="K49" s="1374"/>
      <c r="L49" s="1374"/>
      <c r="M49" s="1374"/>
      <c r="N49" s="1374"/>
      <c r="O49" s="1374"/>
      <c r="P49" s="1374"/>
      <c r="Q49" s="1374"/>
      <c r="R49" s="1374"/>
      <c r="S49" s="1374"/>
      <c r="T49" s="1374"/>
      <c r="U49" s="1374"/>
      <c r="V49" s="1374"/>
      <c r="W49" s="1374"/>
      <c r="X49" s="1374"/>
      <c r="Y49" s="1374"/>
      <c r="Z49" s="1374"/>
      <c r="AA49" s="1374"/>
      <c r="AB49" s="1374"/>
      <c r="AC49" s="1374"/>
      <c r="AD49" s="1374"/>
      <c r="AE49" s="1374"/>
      <c r="AF49" s="1374"/>
      <c r="AG49" s="1374"/>
      <c r="AH49" s="1374"/>
      <c r="AI49" s="1374"/>
      <c r="AJ49" s="1374"/>
      <c r="AK49" s="1374"/>
      <c r="AL49" s="1374"/>
      <c r="AM49" s="1374"/>
      <c r="AN49" s="1374"/>
      <c r="AO49" s="1374"/>
      <c r="AP49" s="1374"/>
      <c r="AQ49" s="1374"/>
      <c r="AR49" s="1374"/>
      <c r="AS49" s="1374"/>
      <c r="AT49" s="1374"/>
      <c r="AU49" s="1374"/>
      <c r="AV49" s="1374"/>
      <c r="AW49" s="1374"/>
      <c r="AX49" s="1374"/>
      <c r="AY49" s="1374"/>
      <c r="AZ49" s="1374"/>
      <c r="BA49" s="1374"/>
      <c r="BB49" s="1374"/>
      <c r="BC49" s="1374"/>
      <c r="BD49" s="1374"/>
      <c r="BE49" s="1374"/>
      <c r="BF49" s="1374"/>
      <c r="BG49" s="1374"/>
      <c r="BH49" s="1374"/>
      <c r="BI49" s="1374"/>
      <c r="BJ49" s="1374"/>
      <c r="BK49" s="1374"/>
      <c r="BL49" s="1374"/>
      <c r="BM49" s="1374"/>
      <c r="BN49" s="1374"/>
      <c r="BO49" s="1374"/>
      <c r="BP49" s="1374"/>
      <c r="BQ49" s="1374"/>
      <c r="BR49" s="1374"/>
      <c r="BS49" s="1374"/>
      <c r="BT49" s="1374"/>
      <c r="BU49" s="1374"/>
      <c r="BV49" s="1374"/>
      <c r="BW49" s="1374"/>
      <c r="BX49" s="1374"/>
      <c r="BY49" s="1374"/>
      <c r="BZ49" s="1374"/>
      <c r="CA49" s="1374"/>
      <c r="CB49" s="1374"/>
      <c r="CC49" s="1374"/>
      <c r="CD49" s="1374"/>
      <c r="CE49" s="1374"/>
      <c r="CF49" s="1374"/>
      <c r="CG49" s="1374"/>
      <c r="CH49" s="1374"/>
      <c r="CI49" s="1374"/>
      <c r="CJ49" s="1374"/>
      <c r="CK49" s="1374"/>
      <c r="CL49" s="1374"/>
      <c r="CM49" s="1374"/>
      <c r="CN49" s="1374"/>
      <c r="CO49" s="1374"/>
      <c r="CP49" s="1374"/>
      <c r="CQ49" s="1374"/>
      <c r="CR49" s="1374"/>
      <c r="CS49" s="1374"/>
      <c r="CT49" s="1374"/>
      <c r="CU49" s="1374"/>
      <c r="CV49" s="1374"/>
      <c r="CW49" s="1374"/>
      <c r="CX49" s="1374"/>
      <c r="CY49" s="1374"/>
      <c r="CZ49" s="1374"/>
      <c r="DA49" s="1374"/>
      <c r="DB49" s="1374"/>
      <c r="DC49" s="1374"/>
      <c r="DD49" s="1374"/>
      <c r="DE49" s="1374"/>
      <c r="DF49" s="1374"/>
      <c r="DG49" s="1374"/>
      <c r="DH49" s="1374"/>
      <c r="DI49" s="1374"/>
      <c r="DJ49" s="1374"/>
      <c r="DK49" s="1374"/>
      <c r="DL49" s="1374"/>
      <c r="DM49" s="1374"/>
      <c r="DN49" s="1374"/>
      <c r="DO49" s="1374"/>
      <c r="DP49" s="1374"/>
      <c r="DQ49" s="1374"/>
      <c r="DR49" s="1374"/>
      <c r="DS49" s="1374"/>
      <c r="DT49" s="1374"/>
      <c r="DU49" s="1374"/>
      <c r="DV49" s="1374"/>
      <c r="DW49" s="1374"/>
      <c r="DX49" s="1374"/>
      <c r="DY49" s="1374"/>
      <c r="DZ49" s="1374"/>
      <c r="EA49" s="1439"/>
      <c r="FP49" s="1078"/>
      <c r="FQ49" s="1078"/>
      <c r="FR49" s="1078"/>
      <c r="FS49" s="1078"/>
      <c r="FT49" s="1078"/>
      <c r="FU49" s="1078"/>
      <c r="FV49" s="564"/>
    </row>
    <row r="50" spans="1:193" ht="15" customHeight="1" x14ac:dyDescent="0.3">
      <c r="A50" s="926"/>
      <c r="B50" s="927"/>
      <c r="C50" s="927"/>
      <c r="D50" s="927"/>
      <c r="E50" s="927"/>
      <c r="F50" s="1374"/>
      <c r="G50" s="1374"/>
      <c r="H50" s="1374"/>
      <c r="I50" s="1374"/>
      <c r="J50" s="1374"/>
      <c r="K50" s="1374"/>
      <c r="L50" s="1374"/>
      <c r="M50" s="1374"/>
      <c r="N50" s="1374"/>
      <c r="O50" s="1374"/>
      <c r="P50" s="1374"/>
      <c r="Q50" s="1374"/>
      <c r="R50" s="1374"/>
      <c r="S50" s="1374"/>
      <c r="T50" s="1374"/>
      <c r="U50" s="1374"/>
      <c r="V50" s="1374"/>
      <c r="W50" s="1374"/>
      <c r="X50" s="1374"/>
      <c r="Y50" s="1374"/>
      <c r="Z50" s="1374"/>
      <c r="AA50" s="1374"/>
      <c r="AB50" s="1374"/>
      <c r="AC50" s="1374"/>
      <c r="AD50" s="1374"/>
      <c r="AE50" s="1374"/>
      <c r="AF50" s="1374"/>
      <c r="AG50" s="1374"/>
      <c r="AH50" s="1374"/>
      <c r="AI50" s="1374"/>
      <c r="AJ50" s="1374"/>
      <c r="AK50" s="1374"/>
      <c r="AL50" s="1374"/>
      <c r="AM50" s="1374"/>
      <c r="AN50" s="1374"/>
      <c r="AO50" s="1374"/>
      <c r="AP50" s="1374"/>
      <c r="AQ50" s="1374"/>
      <c r="AR50" s="1374"/>
      <c r="AS50" s="1374"/>
      <c r="AT50" s="1374"/>
      <c r="AU50" s="1374"/>
      <c r="AV50" s="1374"/>
      <c r="AW50" s="1374"/>
      <c r="AX50" s="1374"/>
      <c r="AY50" s="1374"/>
      <c r="AZ50" s="1374"/>
      <c r="BA50" s="1374"/>
      <c r="BB50" s="1374"/>
      <c r="BC50" s="1374"/>
      <c r="BD50" s="1374"/>
      <c r="BE50" s="1374"/>
      <c r="BF50" s="1374"/>
      <c r="BG50" s="1374"/>
      <c r="BH50" s="1374"/>
      <c r="BI50" s="1374"/>
      <c r="BJ50" s="1374"/>
      <c r="BK50" s="1374"/>
      <c r="BL50" s="1374"/>
      <c r="BM50" s="1374"/>
      <c r="BN50" s="1374"/>
      <c r="BO50" s="1374"/>
      <c r="BP50" s="1374"/>
      <c r="BQ50" s="1374"/>
      <c r="BR50" s="1374"/>
      <c r="BS50" s="1374"/>
      <c r="BT50" s="1374"/>
      <c r="BU50" s="1374"/>
      <c r="BV50" s="1374"/>
      <c r="BW50" s="1374"/>
      <c r="BX50" s="1374"/>
      <c r="BY50" s="1374"/>
      <c r="BZ50" s="1374"/>
      <c r="CA50" s="1374"/>
      <c r="CB50" s="1374"/>
      <c r="CC50" s="1374"/>
      <c r="CD50" s="1374"/>
      <c r="CE50" s="1374"/>
      <c r="CF50" s="1374"/>
      <c r="CG50" s="1374"/>
      <c r="CH50" s="1374"/>
      <c r="CI50" s="1374"/>
      <c r="CJ50" s="1374"/>
      <c r="CK50" s="1374"/>
      <c r="CL50" s="1374"/>
      <c r="CM50" s="1374"/>
      <c r="CN50" s="1374"/>
      <c r="CO50" s="1374"/>
      <c r="CP50" s="1374"/>
      <c r="CQ50" s="1374"/>
      <c r="CR50" s="1374"/>
      <c r="CS50" s="1374"/>
      <c r="CT50" s="1374"/>
      <c r="CU50" s="1374"/>
      <c r="CV50" s="1374"/>
      <c r="CW50" s="1374"/>
      <c r="CX50" s="1374"/>
      <c r="CY50" s="1374"/>
      <c r="CZ50" s="1374"/>
      <c r="DA50" s="1374"/>
      <c r="DB50" s="1374"/>
      <c r="DC50" s="1374"/>
      <c r="DD50" s="1374"/>
      <c r="DE50" s="1374"/>
      <c r="DF50" s="1374"/>
      <c r="DG50" s="1374"/>
      <c r="DH50" s="1374"/>
      <c r="DI50" s="1374"/>
      <c r="DJ50" s="1374"/>
      <c r="DK50" s="1374"/>
      <c r="DL50" s="1374"/>
      <c r="DM50" s="1374"/>
      <c r="DN50" s="1374"/>
      <c r="DO50" s="1374"/>
      <c r="DP50" s="1374"/>
      <c r="DQ50" s="1374"/>
      <c r="DR50" s="1374"/>
      <c r="DS50" s="1374"/>
      <c r="DT50" s="1374"/>
      <c r="DU50" s="1374"/>
      <c r="DV50" s="1374"/>
      <c r="DW50" s="1374"/>
      <c r="DX50" s="1374"/>
      <c r="DY50" s="1374"/>
      <c r="DZ50" s="1374"/>
      <c r="EA50" s="1439"/>
      <c r="FP50" s="1078"/>
      <c r="FQ50" s="1078"/>
      <c r="FR50" s="1078"/>
      <c r="FS50" s="1078"/>
      <c r="FT50" s="1078"/>
      <c r="FU50" s="1078"/>
      <c r="FV50" s="564"/>
    </row>
    <row r="51" spans="1:193" ht="14.5" thickBot="1" x14ac:dyDescent="0.35">
      <c r="A51" s="928"/>
      <c r="B51" s="908"/>
      <c r="C51" s="908"/>
      <c r="D51" s="908"/>
      <c r="E51" s="908"/>
      <c r="F51" s="908"/>
      <c r="G51" s="908"/>
      <c r="H51" s="908"/>
      <c r="I51" s="908"/>
      <c r="J51" s="908"/>
      <c r="K51" s="908"/>
      <c r="L51" s="908"/>
      <c r="M51" s="908"/>
      <c r="N51" s="908"/>
      <c r="O51" s="908"/>
      <c r="P51" s="908"/>
      <c r="Q51" s="908"/>
      <c r="R51" s="908"/>
      <c r="S51" s="908"/>
      <c r="T51" s="908"/>
      <c r="U51" s="908"/>
      <c r="V51" s="908"/>
      <c r="W51" s="908"/>
      <c r="X51" s="908"/>
      <c r="Y51" s="908"/>
      <c r="Z51" s="908"/>
      <c r="AA51" s="908"/>
      <c r="AB51" s="908"/>
      <c r="AC51" s="908"/>
      <c r="AD51" s="908"/>
      <c r="AE51" s="908"/>
      <c r="AF51" s="908"/>
      <c r="AG51" s="908"/>
      <c r="AH51" s="908"/>
      <c r="AI51" s="908"/>
      <c r="AJ51" s="908"/>
      <c r="AK51" s="908"/>
      <c r="AL51" s="908"/>
      <c r="AM51" s="908"/>
      <c r="AN51" s="908"/>
      <c r="AO51" s="908"/>
      <c r="AP51" s="908"/>
      <c r="AQ51" s="908"/>
      <c r="AR51" s="908"/>
      <c r="AS51" s="908"/>
      <c r="AT51" s="908"/>
      <c r="AU51" s="908"/>
      <c r="AV51" s="908"/>
      <c r="AW51" s="908"/>
      <c r="AX51" s="908"/>
      <c r="AY51" s="908"/>
      <c r="AZ51" s="908"/>
      <c r="BA51" s="908"/>
      <c r="BB51" s="908"/>
      <c r="BC51" s="908"/>
      <c r="BD51" s="908"/>
      <c r="BE51" s="908"/>
      <c r="BF51" s="908"/>
      <c r="BG51" s="908"/>
      <c r="BH51" s="908"/>
      <c r="BI51" s="908"/>
      <c r="BJ51" s="908"/>
      <c r="BK51" s="908"/>
      <c r="BL51" s="908"/>
      <c r="BM51" s="908"/>
      <c r="BN51" s="908"/>
      <c r="BO51" s="908"/>
      <c r="BP51" s="908"/>
      <c r="BQ51" s="908"/>
      <c r="BR51" s="908"/>
      <c r="BS51" s="908"/>
      <c r="BT51" s="908"/>
      <c r="BU51" s="908"/>
      <c r="BV51" s="908"/>
      <c r="BW51" s="908"/>
      <c r="BX51" s="908"/>
      <c r="BY51" s="908"/>
      <c r="BZ51" s="908"/>
      <c r="CA51" s="908"/>
      <c r="CB51" s="908"/>
      <c r="CC51" s="908"/>
      <c r="CD51" s="908"/>
      <c r="CE51" s="908"/>
      <c r="CF51" s="908"/>
      <c r="CG51" s="908"/>
      <c r="CH51" s="908"/>
      <c r="CI51" s="908"/>
      <c r="CJ51" s="908"/>
      <c r="CK51" s="908"/>
      <c r="CL51" s="908"/>
      <c r="CM51" s="908"/>
      <c r="CN51" s="908"/>
      <c r="CO51" s="908"/>
      <c r="CP51" s="908"/>
      <c r="CQ51" s="908"/>
      <c r="CR51" s="908"/>
      <c r="CS51" s="908"/>
      <c r="CT51" s="908"/>
      <c r="CU51" s="908"/>
      <c r="CV51" s="908"/>
      <c r="CW51" s="908"/>
      <c r="CX51" s="908"/>
      <c r="CY51" s="908"/>
      <c r="CZ51" s="908"/>
      <c r="DA51" s="908"/>
      <c r="DB51" s="908"/>
      <c r="DC51" s="908"/>
      <c r="DD51" s="908"/>
      <c r="DE51" s="908"/>
      <c r="DF51" s="908"/>
      <c r="DG51" s="908"/>
      <c r="DH51" s="908"/>
      <c r="DI51" s="908"/>
      <c r="DJ51" s="908"/>
      <c r="DK51" s="908"/>
      <c r="DL51" s="908"/>
      <c r="DM51" s="908"/>
      <c r="DN51" s="908"/>
      <c r="DO51" s="908"/>
      <c r="DP51" s="908"/>
      <c r="DQ51" s="908"/>
      <c r="DR51" s="908"/>
      <c r="DS51" s="908"/>
      <c r="DT51" s="908"/>
      <c r="DU51" s="908"/>
      <c r="DV51" s="908"/>
      <c r="DW51" s="908"/>
      <c r="DX51" s="908"/>
      <c r="DY51" s="908"/>
      <c r="DZ51" s="909"/>
      <c r="EA51" s="1439"/>
      <c r="FP51" s="1078"/>
      <c r="FQ51" s="1078"/>
      <c r="FR51" s="1078"/>
      <c r="FS51" s="1078"/>
      <c r="FT51" s="1078"/>
      <c r="FU51" s="1078"/>
      <c r="FV51" s="564"/>
    </row>
    <row r="52" spans="1:193" x14ac:dyDescent="0.3">
      <c r="A52" s="2661" t="s">
        <v>496</v>
      </c>
      <c r="B52" s="2679"/>
      <c r="C52" s="2679"/>
      <c r="D52" s="2679"/>
      <c r="E52" s="2680"/>
      <c r="F52" s="1374"/>
      <c r="G52" s="1374"/>
      <c r="H52" s="1374"/>
      <c r="I52" s="1374"/>
      <c r="J52" s="1374"/>
      <c r="K52" s="1374"/>
      <c r="L52" s="1374"/>
      <c r="M52" s="1374"/>
      <c r="N52" s="1374"/>
      <c r="O52" s="1374"/>
      <c r="P52" s="1374"/>
      <c r="Q52" s="1374"/>
      <c r="R52" s="1374"/>
      <c r="S52" s="1374"/>
      <c r="T52" s="1374"/>
      <c r="U52" s="1374"/>
      <c r="V52" s="1374"/>
      <c r="W52" s="1374"/>
      <c r="X52" s="1374"/>
      <c r="Y52" s="1374"/>
      <c r="Z52" s="1374"/>
      <c r="AA52" s="1374"/>
      <c r="AB52" s="1374"/>
      <c r="AC52" s="1374"/>
      <c r="AD52" s="1374"/>
      <c r="AE52" s="1374"/>
      <c r="AF52" s="1374"/>
      <c r="AG52" s="1374"/>
      <c r="AH52" s="1374"/>
      <c r="AI52" s="1374"/>
      <c r="AJ52" s="1374"/>
      <c r="AK52" s="1374"/>
      <c r="AL52" s="1374"/>
      <c r="AM52" s="1374"/>
      <c r="AN52" s="1374"/>
      <c r="AO52" s="1374"/>
      <c r="AP52" s="1374"/>
      <c r="AQ52" s="1374"/>
      <c r="AR52" s="1374"/>
      <c r="AS52" s="1374"/>
      <c r="AT52" s="1374"/>
      <c r="AU52" s="1374"/>
      <c r="AV52" s="1374"/>
      <c r="AW52" s="1374"/>
      <c r="AX52" s="1374"/>
      <c r="AY52" s="1374"/>
      <c r="AZ52" s="1374"/>
      <c r="BA52" s="1374"/>
      <c r="BB52" s="1374"/>
      <c r="BC52" s="1374"/>
      <c r="BD52" s="1374"/>
      <c r="BE52" s="1374"/>
      <c r="BF52" s="1374"/>
      <c r="BG52" s="1374"/>
      <c r="BH52" s="1374"/>
      <c r="BI52" s="1374"/>
      <c r="BJ52" s="1374"/>
      <c r="BK52" s="1374"/>
      <c r="BL52" s="1374"/>
      <c r="BM52" s="1374"/>
      <c r="BN52" s="1374"/>
      <c r="BO52" s="1374"/>
      <c r="BP52" s="1374"/>
      <c r="BQ52" s="1374"/>
      <c r="BR52" s="1374"/>
      <c r="BS52" s="1374"/>
      <c r="BT52" s="1374"/>
      <c r="BU52" s="1374"/>
      <c r="BV52" s="1374"/>
      <c r="BW52" s="1374"/>
      <c r="BX52" s="1374"/>
      <c r="BY52" s="1374"/>
      <c r="BZ52" s="1374"/>
      <c r="CA52" s="1374"/>
      <c r="CB52" s="1374"/>
      <c r="CC52" s="1374"/>
      <c r="CD52" s="1374"/>
      <c r="CE52" s="1374"/>
      <c r="CF52" s="1374"/>
      <c r="CG52" s="1374"/>
      <c r="CH52" s="1374"/>
      <c r="CI52" s="1374"/>
      <c r="CJ52" s="1374"/>
      <c r="CK52" s="1374"/>
      <c r="CL52" s="1374"/>
      <c r="CM52" s="1374"/>
      <c r="CN52" s="1374"/>
      <c r="CO52" s="1374"/>
      <c r="CP52" s="1374"/>
      <c r="CQ52" s="1374"/>
      <c r="CR52" s="1374"/>
      <c r="CS52" s="1374"/>
      <c r="CT52" s="1374"/>
      <c r="CU52" s="1374"/>
      <c r="CV52" s="1374"/>
      <c r="CW52" s="1374"/>
      <c r="CX52" s="1374"/>
      <c r="CY52" s="1374"/>
      <c r="CZ52" s="1374"/>
      <c r="DA52" s="1374"/>
      <c r="DB52" s="1374"/>
      <c r="DC52" s="1374"/>
      <c r="DD52" s="1374"/>
      <c r="DE52" s="1374"/>
      <c r="DF52" s="1374"/>
      <c r="DG52" s="1374"/>
      <c r="DH52" s="1374"/>
      <c r="DI52" s="1374"/>
      <c r="DJ52" s="1374"/>
      <c r="DK52" s="1374"/>
      <c r="DL52" s="1374"/>
      <c r="DM52" s="910"/>
      <c r="DN52" s="1374"/>
      <c r="DO52" s="1374"/>
      <c r="DP52" s="1374"/>
      <c r="DQ52" s="1374"/>
      <c r="DR52" s="1374"/>
      <c r="DS52" s="1374"/>
      <c r="DT52" s="1374"/>
      <c r="DU52" s="1374"/>
      <c r="DV52" s="1374"/>
      <c r="DW52" s="1374"/>
      <c r="DX52" s="1374"/>
      <c r="DY52" s="1374"/>
      <c r="DZ52" s="911"/>
      <c r="EA52" s="1439"/>
      <c r="FP52" s="1078"/>
      <c r="FQ52" s="1078"/>
      <c r="FR52" s="1078"/>
      <c r="FS52" s="1078"/>
      <c r="FT52" s="1078"/>
      <c r="FU52" s="1078"/>
      <c r="FV52" s="564"/>
    </row>
    <row r="53" spans="1:193" ht="14.5" thickBot="1" x14ac:dyDescent="0.35">
      <c r="A53" s="2676"/>
      <c r="B53" s="2677"/>
      <c r="C53" s="2677"/>
      <c r="D53" s="2677"/>
      <c r="E53" s="2678"/>
      <c r="F53" s="1374"/>
      <c r="G53" s="1374"/>
      <c r="H53" s="335"/>
      <c r="I53" s="1374"/>
      <c r="J53" s="1374"/>
      <c r="K53" s="1374"/>
      <c r="L53" s="1374"/>
      <c r="M53" s="1374"/>
      <c r="N53" s="1374"/>
      <c r="O53" s="1374"/>
      <c r="P53" s="1374"/>
      <c r="Q53" s="1374"/>
      <c r="R53" s="1374"/>
      <c r="S53" s="1374"/>
      <c r="T53" s="1374"/>
      <c r="U53" s="1374"/>
      <c r="V53" s="1374"/>
      <c r="W53" s="1374"/>
      <c r="X53" s="1374"/>
      <c r="Y53" s="1374"/>
      <c r="Z53" s="1374"/>
      <c r="AA53" s="1374"/>
      <c r="AB53" s="1374"/>
      <c r="AC53" s="1374"/>
      <c r="AD53" s="1374"/>
      <c r="AE53" s="1374"/>
      <c r="AF53" s="1374"/>
      <c r="AG53" s="1374"/>
      <c r="AH53" s="1374"/>
      <c r="AI53" s="1374"/>
      <c r="AJ53" s="1374"/>
      <c r="AK53" s="1374"/>
      <c r="AL53" s="1374"/>
      <c r="AM53" s="1374"/>
      <c r="AN53" s="1374"/>
      <c r="AO53" s="1374"/>
      <c r="AP53" s="1374"/>
      <c r="AQ53" s="1374"/>
      <c r="AR53" s="1374"/>
      <c r="AS53" s="1374"/>
      <c r="AT53" s="1374"/>
      <c r="AU53" s="1374"/>
      <c r="AV53" s="1374"/>
      <c r="AW53" s="1374"/>
      <c r="AX53" s="1374"/>
      <c r="AY53" s="1374"/>
      <c r="AZ53" s="1374"/>
      <c r="BA53" s="1374"/>
      <c r="BB53" s="1374"/>
      <c r="BC53" s="1374"/>
      <c r="BD53" s="1374"/>
      <c r="BE53" s="1374"/>
      <c r="BF53" s="1374"/>
      <c r="BG53" s="1374"/>
      <c r="BH53" s="1374"/>
      <c r="BI53" s="1374"/>
      <c r="BJ53" s="1374"/>
      <c r="BK53" s="1374"/>
      <c r="BL53" s="1374"/>
      <c r="BM53" s="1374"/>
      <c r="BN53" s="1374"/>
      <c r="BO53" s="1374"/>
      <c r="BP53" s="1374"/>
      <c r="BQ53" s="1374"/>
      <c r="BR53" s="1374"/>
      <c r="BS53" s="1374"/>
      <c r="BT53" s="1374"/>
      <c r="BU53" s="1374"/>
      <c r="BV53" s="1374"/>
      <c r="BW53" s="1374"/>
      <c r="BX53" s="1374"/>
      <c r="BY53" s="1374"/>
      <c r="BZ53" s="1374"/>
      <c r="CA53" s="1374"/>
      <c r="CB53" s="1374"/>
      <c r="CC53" s="1374"/>
      <c r="CD53" s="1374"/>
      <c r="CE53" s="1374"/>
      <c r="CF53" s="1374"/>
      <c r="CG53" s="1374"/>
      <c r="CH53" s="1374"/>
      <c r="CI53" s="1374"/>
      <c r="CJ53" s="1374"/>
      <c r="CK53" s="1374"/>
      <c r="CL53" s="1374"/>
      <c r="CM53" s="1374"/>
      <c r="CN53" s="1374"/>
      <c r="CO53" s="1374"/>
      <c r="CP53" s="1374"/>
      <c r="CQ53" s="1374"/>
      <c r="CR53" s="1374"/>
      <c r="CS53" s="1374"/>
      <c r="CT53" s="1374"/>
      <c r="CU53" s="1374"/>
      <c r="CV53" s="1374"/>
      <c r="CW53" s="1374"/>
      <c r="CX53" s="1374"/>
      <c r="CY53" s="1374"/>
      <c r="CZ53" s="1374"/>
      <c r="DA53" s="1374"/>
      <c r="DB53" s="1374"/>
      <c r="DC53" s="1374"/>
      <c r="DD53" s="1374"/>
      <c r="DE53" s="1374"/>
      <c r="DF53" s="1374"/>
      <c r="DG53" s="1374"/>
      <c r="DH53" s="1374"/>
      <c r="DI53" s="1374"/>
      <c r="DJ53" s="1374"/>
      <c r="DK53" s="1374"/>
      <c r="DL53" s="1374"/>
      <c r="DM53" s="1374"/>
      <c r="DN53" s="1374"/>
      <c r="DO53" s="1374"/>
      <c r="DP53" s="1374"/>
      <c r="DQ53" s="1374"/>
      <c r="DR53" s="1374"/>
      <c r="DS53" s="1374"/>
      <c r="DT53" s="1374"/>
      <c r="DU53" s="1374"/>
      <c r="DV53" s="1374"/>
      <c r="DW53" s="1374"/>
      <c r="DX53" s="1374"/>
      <c r="DY53" s="1374"/>
      <c r="DZ53" s="911"/>
      <c r="EA53" s="1439"/>
      <c r="FP53" s="1078"/>
      <c r="FQ53" s="1078"/>
      <c r="FR53" s="1078"/>
      <c r="FS53" s="1078"/>
      <c r="FT53" s="1078"/>
      <c r="FU53" s="1078"/>
      <c r="FV53" s="564"/>
    </row>
    <row r="54" spans="1:193" ht="18" x14ac:dyDescent="0.3">
      <c r="A54" s="929"/>
      <c r="B54" s="565"/>
      <c r="C54" s="565"/>
      <c r="D54" s="565"/>
      <c r="E54" s="565"/>
      <c r="F54" s="1374"/>
      <c r="G54" s="1374"/>
      <c r="H54" s="335"/>
      <c r="I54" s="1374"/>
      <c r="J54" s="1374"/>
      <c r="K54" s="1374"/>
      <c r="L54" s="1374"/>
      <c r="M54" s="1374"/>
      <c r="N54" s="1374"/>
      <c r="O54" s="1374"/>
      <c r="P54" s="1374"/>
      <c r="Q54" s="1374"/>
      <c r="R54" s="1374"/>
      <c r="S54" s="1374"/>
      <c r="T54" s="1374"/>
      <c r="U54" s="1374"/>
      <c r="V54" s="1374"/>
      <c r="W54" s="1374"/>
      <c r="X54" s="1374"/>
      <c r="Y54" s="1374"/>
      <c r="Z54" s="1374"/>
      <c r="AA54" s="1374"/>
      <c r="AB54" s="1374"/>
      <c r="AC54" s="1374"/>
      <c r="AD54" s="1374"/>
      <c r="AE54" s="1374"/>
      <c r="AF54" s="1374"/>
      <c r="AG54" s="1374"/>
      <c r="AH54" s="1374"/>
      <c r="AI54" s="1374"/>
      <c r="AJ54" s="1374"/>
      <c r="AK54" s="1374"/>
      <c r="AL54" s="1374"/>
      <c r="AM54" s="1374"/>
      <c r="AN54" s="1374"/>
      <c r="AO54" s="1374"/>
      <c r="AP54" s="1374"/>
      <c r="AQ54" s="1374"/>
      <c r="AR54" s="1374"/>
      <c r="AS54" s="1374"/>
      <c r="AT54" s="1374"/>
      <c r="AU54" s="1374"/>
      <c r="AV54" s="1374"/>
      <c r="AW54" s="1374"/>
      <c r="AX54" s="1374"/>
      <c r="AY54" s="1374"/>
      <c r="AZ54" s="1374"/>
      <c r="BA54" s="1374"/>
      <c r="BB54" s="1374"/>
      <c r="BC54" s="1374"/>
      <c r="BD54" s="1374"/>
      <c r="BE54" s="1374"/>
      <c r="BF54" s="1374"/>
      <c r="BG54" s="1374"/>
      <c r="BH54" s="1374"/>
      <c r="BI54" s="1374"/>
      <c r="BJ54" s="1374"/>
      <c r="BK54" s="1374"/>
      <c r="BL54" s="1374"/>
      <c r="BM54" s="1374"/>
      <c r="BN54" s="1374"/>
      <c r="BO54" s="1374"/>
      <c r="BP54" s="1374"/>
      <c r="BQ54" s="1374"/>
      <c r="BR54" s="1374"/>
      <c r="BS54" s="1374"/>
      <c r="BT54" s="1374"/>
      <c r="BU54" s="1374"/>
      <c r="BV54" s="1374"/>
      <c r="BW54" s="1374"/>
      <c r="BX54" s="1374"/>
      <c r="BY54" s="1374"/>
      <c r="BZ54" s="1374"/>
      <c r="CA54" s="1374"/>
      <c r="CB54" s="1374"/>
      <c r="CC54" s="1374"/>
      <c r="CD54" s="1374"/>
      <c r="CE54" s="1374"/>
      <c r="CF54" s="1374"/>
      <c r="CG54" s="1374"/>
      <c r="CH54" s="1374"/>
      <c r="CI54" s="1374"/>
      <c r="CJ54" s="1374"/>
      <c r="CK54" s="1374"/>
      <c r="CL54" s="1374"/>
      <c r="CM54" s="1374"/>
      <c r="CN54" s="1374"/>
      <c r="CO54" s="1374"/>
      <c r="CP54" s="1374"/>
      <c r="CQ54" s="1374"/>
      <c r="CR54" s="1374"/>
      <c r="CS54" s="1374"/>
      <c r="CT54" s="1374"/>
      <c r="CU54" s="1374"/>
      <c r="CV54" s="1374"/>
      <c r="CW54" s="1374"/>
      <c r="CX54" s="1374"/>
      <c r="CY54" s="1374"/>
      <c r="CZ54" s="1374"/>
      <c r="DA54" s="1374"/>
      <c r="DB54" s="1374"/>
      <c r="DC54" s="1374"/>
      <c r="DD54" s="1374"/>
      <c r="DE54" s="1374"/>
      <c r="DF54" s="1374"/>
      <c r="DG54" s="1374"/>
      <c r="DH54" s="1374"/>
      <c r="DI54" s="1374"/>
      <c r="DJ54" s="1374"/>
      <c r="DK54" s="1374"/>
      <c r="DL54" s="1374"/>
      <c r="DM54" s="1374"/>
      <c r="DN54" s="1374"/>
      <c r="DO54" s="1374"/>
      <c r="DP54" s="1374"/>
      <c r="DQ54" s="1374"/>
      <c r="DR54" s="1374"/>
      <c r="DS54" s="1374"/>
      <c r="DT54" s="1374"/>
      <c r="DU54" s="1374"/>
      <c r="DV54" s="1374"/>
      <c r="DW54" s="1374"/>
      <c r="DX54" s="1374"/>
      <c r="DY54" s="1374"/>
      <c r="DZ54" s="911"/>
      <c r="EA54" s="1439"/>
      <c r="FP54" s="1078"/>
      <c r="FQ54" s="1078"/>
      <c r="FR54" s="1078"/>
      <c r="FS54" s="1078"/>
      <c r="FT54" s="1078"/>
      <c r="FU54" s="1078"/>
      <c r="FV54" s="564"/>
      <c r="FX54" s="564"/>
    </row>
    <row r="55" spans="1:193" s="568" customFormat="1" x14ac:dyDescent="0.3">
      <c r="A55" s="930" t="s">
        <v>249</v>
      </c>
      <c r="B55" s="566" t="str">
        <f t="shared" ref="B55:AG55" si="0">B$56&amp;"_"&amp;B$57&amp;"_"&amp;B$58&amp;"_"&amp;B$59&amp;"_"&amp;B$60</f>
        <v>Airdrie_FORTIS_Elec_Y_1</v>
      </c>
      <c r="C55" s="566" t="str">
        <f t="shared" si="0"/>
        <v>Athabasca_FORTIS_Elec_Y_1</v>
      </c>
      <c r="D55" s="566" t="str">
        <f t="shared" si="0"/>
        <v>Banff_FORTIS_Elec_Y_1</v>
      </c>
      <c r="E55" s="566" t="str">
        <f t="shared" si="0"/>
        <v>Beaumont_FORTIS_Elec_Y_1</v>
      </c>
      <c r="F55" s="566" t="str">
        <f t="shared" si="0"/>
        <v>Brooks_FORTIS_Elec_Y_1</v>
      </c>
      <c r="G55" s="566" t="str">
        <f t="shared" si="0"/>
        <v>Calgary_ENMAX_Elec_Y_1</v>
      </c>
      <c r="H55" s="566" t="str">
        <f t="shared" si="0"/>
        <v>Camrose_FORTIS_Elec_Y_1</v>
      </c>
      <c r="I55" s="566" t="str">
        <f t="shared" si="0"/>
        <v>Canmore_FORTIS_Elec_Y_1</v>
      </c>
      <c r="J55" s="566" t="str">
        <f t="shared" si="0"/>
        <v>Chestermere_FORTIS_Elec_Y_1</v>
      </c>
      <c r="K55" s="567" t="str">
        <f t="shared" si="0"/>
        <v>Cochrane_FORTIS_Elec_Y_1</v>
      </c>
      <c r="L55" s="566" t="str">
        <f t="shared" si="0"/>
        <v>Cold Lake_ATCO_Elec_Y_1</v>
      </c>
      <c r="M55" s="566" t="str">
        <f t="shared" si="0"/>
        <v>Edmonton_EPCOR_Elec_Y_1</v>
      </c>
      <c r="N55" s="566" t="str">
        <f t="shared" si="0"/>
        <v>Fort McMurray_ATCO_Elec_Y_1</v>
      </c>
      <c r="O55" s="566" t="str">
        <f t="shared" si="0"/>
        <v>Fort Saskatchewan_FORTIS_Elec_Y_1</v>
      </c>
      <c r="P55" s="566" t="str">
        <f t="shared" si="0"/>
        <v>Grande Prairie_ATCO_Elec_Y_1</v>
      </c>
      <c r="Q55" s="566" t="str">
        <f t="shared" si="0"/>
        <v>High Level_ATCO_Elec_Y_1</v>
      </c>
      <c r="R55" s="566" t="str">
        <f t="shared" si="0"/>
        <v>High River_FORTIS_Elec_Y_1</v>
      </c>
      <c r="S55" s="566" t="str">
        <f t="shared" si="0"/>
        <v>Hines Creek_ATCO_Elec_Y_1</v>
      </c>
      <c r="T55" s="566" t="str">
        <f t="shared" si="0"/>
        <v>Hinton_FORTIS_Elec_Y_1</v>
      </c>
      <c r="U55" s="566" t="str">
        <f t="shared" si="0"/>
        <v>Lacombe_FORTIS_Elec_Y_1</v>
      </c>
      <c r="V55" s="566" t="str">
        <f t="shared" si="0"/>
        <v>Leduc_FORTIS_Elec_Y_1</v>
      </c>
      <c r="W55" s="566" t="str">
        <f t="shared" si="0"/>
        <v>Lloydminster (AB)_ATCO_Elec_Y_1</v>
      </c>
      <c r="X55" s="566" t="str">
        <f t="shared" si="0"/>
        <v>Nobleford_FORTIS_Elec_Y_1</v>
      </c>
      <c r="Y55" s="566" t="str">
        <f t="shared" si="0"/>
        <v>Okotoks_FORTIS_Elec_Y_1</v>
      </c>
      <c r="Z55" s="566" t="str">
        <f t="shared" si="0"/>
        <v>Spruce Grove_FORTIS_Elec_Y_1</v>
      </c>
      <c r="AA55" s="566" t="str">
        <f t="shared" si="0"/>
        <v>St. Albert_FORTIS_Elec_Y_1</v>
      </c>
      <c r="AB55" s="566" t="str">
        <f t="shared" si="0"/>
        <v>Stony Plain_FORTIS_Elec_Y_1</v>
      </c>
      <c r="AC55" s="566" t="str">
        <f t="shared" si="0"/>
        <v>Strathmore_FORTIS_Elec_Y_1</v>
      </c>
      <c r="AD55" s="566" t="str">
        <f t="shared" si="0"/>
        <v>Sylvan Lake_FORTIS_Elec_Y_1</v>
      </c>
      <c r="AE55" s="566" t="str">
        <f t="shared" si="0"/>
        <v>Vulcan_FORTIS_Elec_Y_1</v>
      </c>
      <c r="AF55" s="566" t="str">
        <f t="shared" si="0"/>
        <v>Wetaskiwin_FORTIS_Elec_Y_1</v>
      </c>
      <c r="AG55" s="566" t="str">
        <f t="shared" si="0"/>
        <v>Wood Buffalo_ATCO_Elec_Y_1</v>
      </c>
      <c r="AH55" s="566" t="str">
        <f t="shared" ref="AH55:BN55" si="1">AH$56&amp;"_"&amp;AH$57&amp;"_"&amp;AH$58&amp;"_"&amp;AH$59&amp;"_"&amp;AH$60</f>
        <v>Airdrie_FORTIS_Elec_Y_2</v>
      </c>
      <c r="AI55" s="566" t="str">
        <f t="shared" si="1"/>
        <v>Athabasca_FORTIS_Elec_Y_2</v>
      </c>
      <c r="AJ55" s="566" t="str">
        <f t="shared" si="1"/>
        <v>Banff_FORTIS_Elec_Y_2</v>
      </c>
      <c r="AK55" s="566" t="str">
        <f t="shared" si="1"/>
        <v>Beaumont_FORTIS_Elec_Y_2</v>
      </c>
      <c r="AL55" s="566" t="str">
        <f t="shared" si="1"/>
        <v>Brooks_FORTIS_Elec_Y_2</v>
      </c>
      <c r="AM55" s="566" t="str">
        <f t="shared" si="1"/>
        <v>Calgary_ENMAX_Elec_Y_2</v>
      </c>
      <c r="AN55" s="566" t="str">
        <f t="shared" si="1"/>
        <v>Camrose_FORTIS_Elec_Y_2</v>
      </c>
      <c r="AO55" s="566" t="str">
        <f t="shared" si="1"/>
        <v>Canmore_FORTIS_Elec_Y_2</v>
      </c>
      <c r="AP55" s="566" t="str">
        <f t="shared" si="1"/>
        <v>Chestermere_FORTIS_Elec_Y_2</v>
      </c>
      <c r="AQ55" s="566" t="str">
        <f t="shared" si="1"/>
        <v>Cochrane_FORTIS_Elec_Y_2</v>
      </c>
      <c r="AR55" s="566" t="str">
        <f t="shared" si="1"/>
        <v>Cold Lake_ATCO_Elec_Y_2</v>
      </c>
      <c r="AS55" s="566" t="str">
        <f t="shared" si="1"/>
        <v>Edmonton_EPCOR_Elec_Y_2</v>
      </c>
      <c r="AT55" s="566" t="str">
        <f t="shared" si="1"/>
        <v>Fort McMurray_ATCO_Elec_Y_2</v>
      </c>
      <c r="AU55" s="566" t="str">
        <f t="shared" si="1"/>
        <v>Fort Saskatchewan_FORTIS_Elec_Y_2</v>
      </c>
      <c r="AV55" s="566" t="str">
        <f t="shared" si="1"/>
        <v>Grande Prairie_ATCO_Elec_Y_2</v>
      </c>
      <c r="AW55" s="566" t="str">
        <f t="shared" si="1"/>
        <v>High Level_ATCO_Elec_Y_2</v>
      </c>
      <c r="AX55" s="566" t="str">
        <f t="shared" si="1"/>
        <v>High River_FORTIS_Elec_Y_2</v>
      </c>
      <c r="AY55" s="566" t="str">
        <f t="shared" si="1"/>
        <v>Hines Creek_ATCO_Elec_Y_2</v>
      </c>
      <c r="AZ55" s="566" t="str">
        <f t="shared" si="1"/>
        <v>Hinton_FORTIS_Elec_Y_2</v>
      </c>
      <c r="BA55" s="566" t="str">
        <f t="shared" si="1"/>
        <v>Lacombe_FORTIS_Elec_Y_2</v>
      </c>
      <c r="BB55" s="566" t="str">
        <f t="shared" si="1"/>
        <v>Leduc_FORTIS_Elec_Y_2</v>
      </c>
      <c r="BC55" s="566" t="str">
        <f t="shared" si="1"/>
        <v>Lloydminster (AB)_ATCO_Elec_Y_2</v>
      </c>
      <c r="BD55" s="566" t="str">
        <f t="shared" si="1"/>
        <v>Nobleford_FORTIS_Elec_Y_2</v>
      </c>
      <c r="BE55" s="566" t="str">
        <f t="shared" si="1"/>
        <v>Okotoks_FORTIS_Elec_Y_2</v>
      </c>
      <c r="BF55" s="566" t="str">
        <f t="shared" si="1"/>
        <v>Spruce Grove_FORTIS_Elec_Y_2</v>
      </c>
      <c r="BG55" s="566" t="str">
        <f t="shared" si="1"/>
        <v>St. Albert_FORTIS_Elec_Y_2</v>
      </c>
      <c r="BH55" s="566" t="str">
        <f t="shared" si="1"/>
        <v>Stony Plain_FORTIS_Elec_Y_2</v>
      </c>
      <c r="BI55" s="566" t="str">
        <f t="shared" si="1"/>
        <v>Strathmore_FORTIS_Elec_Y_2</v>
      </c>
      <c r="BJ55" s="566" t="str">
        <f t="shared" si="1"/>
        <v>Sylvan Lake_FORTIS_Elec_Y_2</v>
      </c>
      <c r="BK55" s="566" t="str">
        <f t="shared" si="1"/>
        <v>Vulcan_FORTIS_Elec_Y_2</v>
      </c>
      <c r="BL55" s="566" t="str">
        <f t="shared" si="1"/>
        <v>Wetaskiwin_FORTIS_Elec_Y_2</v>
      </c>
      <c r="BM55" s="566" t="str">
        <f t="shared" si="1"/>
        <v>Wood Buffalo_ATCO_Elec_Y_2</v>
      </c>
      <c r="BN55" s="566" t="str">
        <f t="shared" si="1"/>
        <v>Airdrie_ATCO-S_NG_Y_1</v>
      </c>
      <c r="BO55" s="566" t="str">
        <f t="shared" ref="BO55:DY55" si="2">BO$56&amp;"_"&amp;BO$57&amp;"_"&amp;BO$58&amp;"_"&amp;BO$59&amp;"_"&amp;BO$60</f>
        <v>Athabasca_AltaGas_NG_Y_1</v>
      </c>
      <c r="BP55" s="566" t="str">
        <f t="shared" si="2"/>
        <v>Banff_ATCO-S_NG_Y_1</v>
      </c>
      <c r="BQ55" s="566" t="str">
        <f t="shared" si="2"/>
        <v>Beaumont_AltaGas_NG_Y_1</v>
      </c>
      <c r="BR55" s="566" t="str">
        <f t="shared" si="2"/>
        <v>Brooks_ATCO-S_NG_Y_1</v>
      </c>
      <c r="BS55" s="566" t="str">
        <f t="shared" si="2"/>
        <v>Calgary_ATCO-S_NG_Y_1</v>
      </c>
      <c r="BT55" s="566" t="str">
        <f t="shared" si="2"/>
        <v>Camrose_ATCO-N_NG_Y_1</v>
      </c>
      <c r="BU55" s="566" t="str">
        <f t="shared" si="2"/>
        <v>Canmore_ATCO-S_NG_Y_1</v>
      </c>
      <c r="BV55" s="566" t="str">
        <f t="shared" si="2"/>
        <v>Chestermere_ATCO-S_NG_Y_1</v>
      </c>
      <c r="BW55" s="566" t="str">
        <f t="shared" si="2"/>
        <v>Cochrane_ATCO-S_NG_Y_1</v>
      </c>
      <c r="BX55" s="566" t="str">
        <f t="shared" si="2"/>
        <v>Cold Lake_ATCO-N_NG_Y_1</v>
      </c>
      <c r="BY55" s="566" t="str">
        <f t="shared" si="2"/>
        <v>Edmonton_ATCO-N_NG_Y_1</v>
      </c>
      <c r="BZ55" s="566" t="str">
        <f t="shared" si="2"/>
        <v>Fort McMurray_ATCO-N_NG_Y_1</v>
      </c>
      <c r="CA55" s="566" t="str">
        <f t="shared" si="2"/>
        <v>Fort Saskatchewan_ATCO-N_NG_Y_1</v>
      </c>
      <c r="CB55" s="566" t="str">
        <f t="shared" si="2"/>
        <v>Grande Prairie_ATCO-N_NG_Y_1</v>
      </c>
      <c r="CC55" s="566" t="str">
        <f t="shared" si="2"/>
        <v>High Level_AltaGas_NG_Y_1</v>
      </c>
      <c r="CD55" s="566" t="str">
        <f t="shared" si="2"/>
        <v>High River_ATCO-S_NG_Y_1</v>
      </c>
      <c r="CE55" s="566" t="str">
        <f t="shared" si="2"/>
        <v>Hines Creek_ATCO-N_NG_Y_1</v>
      </c>
      <c r="CF55" s="566" t="str">
        <f t="shared" si="2"/>
        <v>Hinton_ATCO-N_NG_Y_1</v>
      </c>
      <c r="CG55" s="566" t="str">
        <f t="shared" si="2"/>
        <v>Lacombe_ATCO-N_NG_Y_1</v>
      </c>
      <c r="CH55" s="566" t="str">
        <f t="shared" si="2"/>
        <v>Leduc_AltaGas_NG_Y_1</v>
      </c>
      <c r="CI55" s="566" t="str">
        <f t="shared" si="2"/>
        <v>Lloydminster (AB)_ATCO-N_NG_Y_1</v>
      </c>
      <c r="CJ55" s="566" t="str">
        <f t="shared" si="2"/>
        <v>Nobleford_ATCO-S_NG_Y_1</v>
      </c>
      <c r="CK55" s="566" t="str">
        <f t="shared" si="2"/>
        <v>Okotoks_ATCO-S_NG_Y_1</v>
      </c>
      <c r="CL55" s="566" t="str">
        <f t="shared" si="2"/>
        <v>Spruce Grove_ATCO-N_NG_Y_1</v>
      </c>
      <c r="CM55" s="566" t="str">
        <f t="shared" si="2"/>
        <v>St. Albert_ATCO-N_NG_Y_1</v>
      </c>
      <c r="CN55" s="566" t="str">
        <f t="shared" si="2"/>
        <v>Stony Plain_ATCO-N_NG_Y_1</v>
      </c>
      <c r="CO55" s="566" t="str">
        <f t="shared" si="2"/>
        <v>Strathmore_ATCO-S_NG_Y_1</v>
      </c>
      <c r="CP55" s="566" t="str">
        <f t="shared" si="2"/>
        <v>Sylvan Lake_ATCO-N_NG_Y_1</v>
      </c>
      <c r="CQ55" s="566" t="str">
        <f t="shared" si="2"/>
        <v>Vulcan_ATCO-S_NG_Y_1</v>
      </c>
      <c r="CR55" s="566" t="str">
        <f t="shared" si="2"/>
        <v>Wetaskiwin_ATCO-N_NG_Y_1</v>
      </c>
      <c r="CS55" s="566" t="str">
        <f t="shared" si="2"/>
        <v>Wood Buffalo_ATCO-N_NG_Y_1</v>
      </c>
      <c r="CT55" s="566" t="str">
        <f t="shared" si="2"/>
        <v>Airdrie_ATCO-S_NG_Y_2</v>
      </c>
      <c r="CU55" s="566" t="str">
        <f t="shared" si="2"/>
        <v>Athabasca_AltaGas_NG_Y_2</v>
      </c>
      <c r="CV55" s="566" t="str">
        <f t="shared" si="2"/>
        <v>Banff_ATCO-S_NG_Y_2</v>
      </c>
      <c r="CW55" s="566" t="str">
        <f t="shared" si="2"/>
        <v>Beaumont_AltaGas_NG_Y_2</v>
      </c>
      <c r="CX55" s="566" t="str">
        <f t="shared" si="2"/>
        <v>Brooks_ATCO-S_NG_Y_2</v>
      </c>
      <c r="CY55" s="566" t="str">
        <f t="shared" si="2"/>
        <v>Calgary_ATCO-S_NG_Y_2</v>
      </c>
      <c r="CZ55" s="566" t="str">
        <f t="shared" si="2"/>
        <v>Camrose_ATCO-N_NG_Y_2</v>
      </c>
      <c r="DA55" s="566" t="str">
        <f t="shared" si="2"/>
        <v>Canmore_ATCO-S_NG_Y_2</v>
      </c>
      <c r="DB55" s="566" t="str">
        <f t="shared" si="2"/>
        <v>Chestermere_ATCO-S_NG_Y_2</v>
      </c>
      <c r="DC55" s="566" t="str">
        <f t="shared" si="2"/>
        <v>Cochrane_ATCO-S_NG_Y_2</v>
      </c>
      <c r="DD55" s="566" t="str">
        <f t="shared" si="2"/>
        <v>Cold Lake_ATCO-N_NG_Y_2</v>
      </c>
      <c r="DE55" s="566" t="str">
        <f t="shared" si="2"/>
        <v>Edmonton_ATCO-N_NG_Y_2</v>
      </c>
      <c r="DF55" s="566" t="str">
        <f t="shared" si="2"/>
        <v>Fort McMurray_ATCO-N_NG_Y_2</v>
      </c>
      <c r="DG55" s="566" t="str">
        <f t="shared" si="2"/>
        <v>Fort Saskatchewan_ATCO-N_NG_Y_2</v>
      </c>
      <c r="DH55" s="566" t="str">
        <f t="shared" si="2"/>
        <v>Grande Prairie_ATCO-N_NG_Y_2</v>
      </c>
      <c r="DI55" s="566" t="str">
        <f t="shared" si="2"/>
        <v>High Level_AltaGas_NG_Y_2</v>
      </c>
      <c r="DJ55" s="566" t="str">
        <f t="shared" si="2"/>
        <v>High River_ATCO-S_NG_Y_2</v>
      </c>
      <c r="DK55" s="566" t="str">
        <f t="shared" si="2"/>
        <v>Hines Creek_ATCO-N_NG_Y_2</v>
      </c>
      <c r="DL55" s="566" t="str">
        <f t="shared" si="2"/>
        <v>Hinton_ATCO-N_NG_Y_2</v>
      </c>
      <c r="DM55" s="566" t="str">
        <f t="shared" si="2"/>
        <v>Lacombe_ATCO-N_NG_Y_2</v>
      </c>
      <c r="DN55" s="566" t="str">
        <f t="shared" si="2"/>
        <v>Leduc_AltaGas_NG_Y_2</v>
      </c>
      <c r="DO55" s="566" t="str">
        <f t="shared" si="2"/>
        <v>Lloydminster (AB)_ATCO-N_NG_Y_2</v>
      </c>
      <c r="DP55" s="566" t="str">
        <f t="shared" si="2"/>
        <v>Nobleford_ATCO-S_NG_Y_2</v>
      </c>
      <c r="DQ55" s="566" t="str">
        <f t="shared" si="2"/>
        <v>Okotoks_ATCO-S_NG_Y_2</v>
      </c>
      <c r="DR55" s="566" t="str">
        <f t="shared" si="2"/>
        <v>Spruce Grove_ATCO-N_NG_Y_2</v>
      </c>
      <c r="DS55" s="566" t="str">
        <f t="shared" si="2"/>
        <v>St. Albert_ATCO-N_NG_Y_2</v>
      </c>
      <c r="DT55" s="566" t="str">
        <f t="shared" si="2"/>
        <v>Stony Plain_ATCO-N_NG_Y_2</v>
      </c>
      <c r="DU55" s="566" t="str">
        <f t="shared" si="2"/>
        <v>Strathmore_ATCO-S_NG_Y_2</v>
      </c>
      <c r="DV55" s="566" t="str">
        <f t="shared" si="2"/>
        <v>Sylvan Lake_ATCO-N_NG_Y_2</v>
      </c>
      <c r="DW55" s="566" t="str">
        <f t="shared" si="2"/>
        <v>Vulcan_ATCO-S_NG_Y_2</v>
      </c>
      <c r="DX55" s="566" t="str">
        <f t="shared" si="2"/>
        <v>Wetaskiwin_ATCO-N_NG_Y_2</v>
      </c>
      <c r="DY55" s="566" t="str">
        <f t="shared" si="2"/>
        <v>Wood Buffalo_ATCO-N_NG_Y_2</v>
      </c>
      <c r="DZ55" s="912"/>
      <c r="EA55" s="931"/>
      <c r="FP55" s="1078"/>
      <c r="FQ55" s="1078"/>
      <c r="FR55" s="1078"/>
      <c r="FS55" s="1078"/>
      <c r="FT55" s="1078"/>
      <c r="FU55" s="1078"/>
      <c r="FV55" s="564"/>
      <c r="FW55" s="47"/>
      <c r="FX55" s="564"/>
      <c r="FY55" s="47"/>
      <c r="FZ55" s="47"/>
      <c r="GA55" s="47"/>
      <c r="GB55" s="47"/>
      <c r="GC55" s="47"/>
      <c r="GD55" s="47"/>
      <c r="GE55" s="47"/>
      <c r="GF55" s="47"/>
      <c r="GG55" s="47"/>
      <c r="GH55" s="47"/>
      <c r="GI55" s="47"/>
      <c r="GJ55" s="47"/>
      <c r="GK55" s="47"/>
    </row>
    <row r="56" spans="1:193" s="576" customFormat="1" x14ac:dyDescent="0.3">
      <c r="A56" s="932" t="s">
        <v>232</v>
      </c>
      <c r="B56" s="569" t="s">
        <v>210</v>
      </c>
      <c r="C56" s="569" t="s">
        <v>219</v>
      </c>
      <c r="D56" s="569" t="s">
        <v>220</v>
      </c>
      <c r="E56" s="569" t="s">
        <v>228</v>
      </c>
      <c r="F56" s="569" t="s">
        <v>214</v>
      </c>
      <c r="G56" s="569" t="s">
        <v>201</v>
      </c>
      <c r="H56" s="569" t="s">
        <v>203</v>
      </c>
      <c r="I56" s="569" t="s">
        <v>226</v>
      </c>
      <c r="J56" s="569" t="s">
        <v>223</v>
      </c>
      <c r="K56" s="569" t="s">
        <v>216</v>
      </c>
      <c r="L56" s="569" t="s">
        <v>200</v>
      </c>
      <c r="M56" s="569" t="s">
        <v>202</v>
      </c>
      <c r="N56" s="569" t="s">
        <v>221</v>
      </c>
      <c r="O56" s="569" t="s">
        <v>208</v>
      </c>
      <c r="P56" s="569" t="s">
        <v>207</v>
      </c>
      <c r="Q56" s="570" t="s">
        <v>199</v>
      </c>
      <c r="R56" s="569" t="s">
        <v>224</v>
      </c>
      <c r="S56" s="569" t="s">
        <v>204</v>
      </c>
      <c r="T56" s="569" t="s">
        <v>218</v>
      </c>
      <c r="U56" s="569" t="s">
        <v>212</v>
      </c>
      <c r="V56" s="569" t="s">
        <v>209</v>
      </c>
      <c r="W56" s="569" t="s">
        <v>243</v>
      </c>
      <c r="X56" s="569" t="s">
        <v>229</v>
      </c>
      <c r="Y56" s="569" t="s">
        <v>215</v>
      </c>
      <c r="Z56" s="569" t="s">
        <v>211</v>
      </c>
      <c r="AA56" s="569" t="s">
        <v>206</v>
      </c>
      <c r="AB56" s="569" t="s">
        <v>217</v>
      </c>
      <c r="AC56" s="569" t="s">
        <v>227</v>
      </c>
      <c r="AD56" s="569" t="s">
        <v>225</v>
      </c>
      <c r="AE56" s="569" t="s">
        <v>222</v>
      </c>
      <c r="AF56" s="569" t="s">
        <v>213</v>
      </c>
      <c r="AG56" s="569" t="s">
        <v>205</v>
      </c>
      <c r="AH56" s="571" t="s">
        <v>210</v>
      </c>
      <c r="AI56" s="571" t="s">
        <v>219</v>
      </c>
      <c r="AJ56" s="571" t="s">
        <v>220</v>
      </c>
      <c r="AK56" s="571" t="s">
        <v>228</v>
      </c>
      <c r="AL56" s="571" t="s">
        <v>214</v>
      </c>
      <c r="AM56" s="572" t="s">
        <v>201</v>
      </c>
      <c r="AN56" s="571" t="s">
        <v>203</v>
      </c>
      <c r="AO56" s="571" t="s">
        <v>226</v>
      </c>
      <c r="AP56" s="571" t="s">
        <v>223</v>
      </c>
      <c r="AQ56" s="571" t="s">
        <v>216</v>
      </c>
      <c r="AR56" s="571" t="s">
        <v>200</v>
      </c>
      <c r="AS56" s="572" t="s">
        <v>202</v>
      </c>
      <c r="AT56" s="571" t="s">
        <v>221</v>
      </c>
      <c r="AU56" s="571" t="s">
        <v>208</v>
      </c>
      <c r="AV56" s="571" t="s">
        <v>207</v>
      </c>
      <c r="AW56" s="571" t="s">
        <v>199</v>
      </c>
      <c r="AX56" s="571" t="s">
        <v>224</v>
      </c>
      <c r="AY56" s="573" t="s">
        <v>204</v>
      </c>
      <c r="AZ56" s="571" t="s">
        <v>218</v>
      </c>
      <c r="BA56" s="571" t="s">
        <v>212</v>
      </c>
      <c r="BB56" s="571" t="s">
        <v>209</v>
      </c>
      <c r="BC56" s="571" t="s">
        <v>243</v>
      </c>
      <c r="BD56" s="571" t="s">
        <v>229</v>
      </c>
      <c r="BE56" s="571" t="s">
        <v>215</v>
      </c>
      <c r="BF56" s="571" t="s">
        <v>211</v>
      </c>
      <c r="BG56" s="571" t="s">
        <v>206</v>
      </c>
      <c r="BH56" s="571" t="s">
        <v>217</v>
      </c>
      <c r="BI56" s="571" t="s">
        <v>227</v>
      </c>
      <c r="BJ56" s="571" t="s">
        <v>225</v>
      </c>
      <c r="BK56" s="571" t="s">
        <v>222</v>
      </c>
      <c r="BL56" s="571" t="s">
        <v>213</v>
      </c>
      <c r="BM56" s="571" t="s">
        <v>205</v>
      </c>
      <c r="BN56" s="574" t="s">
        <v>210</v>
      </c>
      <c r="BO56" s="574" t="s">
        <v>219</v>
      </c>
      <c r="BP56" s="574" t="s">
        <v>220</v>
      </c>
      <c r="BQ56" s="574" t="s">
        <v>228</v>
      </c>
      <c r="BR56" s="574" t="s">
        <v>214</v>
      </c>
      <c r="BS56" s="574" t="s">
        <v>201</v>
      </c>
      <c r="BT56" s="574" t="s">
        <v>203</v>
      </c>
      <c r="BU56" s="574" t="s">
        <v>226</v>
      </c>
      <c r="BV56" s="574" t="s">
        <v>223</v>
      </c>
      <c r="BW56" s="574" t="s">
        <v>216</v>
      </c>
      <c r="BX56" s="574" t="s">
        <v>200</v>
      </c>
      <c r="BY56" s="574" t="s">
        <v>202</v>
      </c>
      <c r="BZ56" s="574" t="s">
        <v>221</v>
      </c>
      <c r="CA56" s="574" t="s">
        <v>208</v>
      </c>
      <c r="CB56" s="574" t="s">
        <v>207</v>
      </c>
      <c r="CC56" s="574" t="s">
        <v>199</v>
      </c>
      <c r="CD56" s="574" t="s">
        <v>224</v>
      </c>
      <c r="CE56" s="575" t="s">
        <v>204</v>
      </c>
      <c r="CF56" s="574" t="s">
        <v>218</v>
      </c>
      <c r="CG56" s="574" t="s">
        <v>212</v>
      </c>
      <c r="CH56" s="574" t="s">
        <v>209</v>
      </c>
      <c r="CI56" s="574" t="s">
        <v>243</v>
      </c>
      <c r="CJ56" s="574" t="s">
        <v>229</v>
      </c>
      <c r="CK56" s="574" t="s">
        <v>215</v>
      </c>
      <c r="CL56" s="574" t="s">
        <v>211</v>
      </c>
      <c r="CM56" s="574" t="s">
        <v>206</v>
      </c>
      <c r="CN56" s="574" t="s">
        <v>217</v>
      </c>
      <c r="CO56" s="574" t="s">
        <v>227</v>
      </c>
      <c r="CP56" s="574" t="s">
        <v>225</v>
      </c>
      <c r="CQ56" s="574" t="s">
        <v>222</v>
      </c>
      <c r="CR56" s="574" t="s">
        <v>213</v>
      </c>
      <c r="CS56" s="574" t="s">
        <v>205</v>
      </c>
      <c r="CT56" s="116" t="s">
        <v>210</v>
      </c>
      <c r="CU56" s="116" t="s">
        <v>219</v>
      </c>
      <c r="CV56" s="116" t="s">
        <v>220</v>
      </c>
      <c r="CW56" s="116" t="s">
        <v>228</v>
      </c>
      <c r="CX56" s="116" t="s">
        <v>214</v>
      </c>
      <c r="CY56" s="116" t="s">
        <v>201</v>
      </c>
      <c r="CZ56" s="116" t="s">
        <v>203</v>
      </c>
      <c r="DA56" s="116" t="s">
        <v>226</v>
      </c>
      <c r="DB56" s="116" t="s">
        <v>223</v>
      </c>
      <c r="DC56" s="116" t="s">
        <v>216</v>
      </c>
      <c r="DD56" s="116" t="s">
        <v>200</v>
      </c>
      <c r="DE56" s="116" t="s">
        <v>202</v>
      </c>
      <c r="DF56" s="116" t="s">
        <v>221</v>
      </c>
      <c r="DG56" s="116" t="s">
        <v>208</v>
      </c>
      <c r="DH56" s="116" t="s">
        <v>207</v>
      </c>
      <c r="DI56" s="116" t="s">
        <v>199</v>
      </c>
      <c r="DJ56" s="116" t="s">
        <v>224</v>
      </c>
      <c r="DK56" s="116" t="s">
        <v>204</v>
      </c>
      <c r="DL56" s="116" t="s">
        <v>218</v>
      </c>
      <c r="DM56" s="116" t="s">
        <v>212</v>
      </c>
      <c r="DN56" s="116" t="s">
        <v>209</v>
      </c>
      <c r="DO56" s="116" t="s">
        <v>243</v>
      </c>
      <c r="DP56" s="116" t="s">
        <v>229</v>
      </c>
      <c r="DQ56" s="116" t="s">
        <v>215</v>
      </c>
      <c r="DR56" s="116" t="s">
        <v>211</v>
      </c>
      <c r="DS56" s="116" t="s">
        <v>206</v>
      </c>
      <c r="DT56" s="116" t="s">
        <v>217</v>
      </c>
      <c r="DU56" s="116" t="s">
        <v>227</v>
      </c>
      <c r="DV56" s="116" t="s">
        <v>225</v>
      </c>
      <c r="DW56" s="116" t="s">
        <v>222</v>
      </c>
      <c r="DX56" s="116" t="s">
        <v>213</v>
      </c>
      <c r="DY56" s="116" t="s">
        <v>205</v>
      </c>
      <c r="DZ56" s="913"/>
      <c r="EA56" s="933"/>
      <c r="FP56" s="1078"/>
      <c r="FQ56" s="1078"/>
      <c r="FR56" s="1078"/>
      <c r="FS56" s="1078"/>
      <c r="FT56" s="1078"/>
      <c r="FU56" s="1078"/>
      <c r="FV56" s="564"/>
      <c r="FW56" s="47"/>
      <c r="FX56" s="564"/>
      <c r="FY56" s="47"/>
      <c r="FZ56" s="47"/>
      <c r="GA56" s="47"/>
      <c r="GB56" s="47"/>
      <c r="GC56" s="47"/>
      <c r="GD56" s="47"/>
      <c r="GE56" s="47"/>
      <c r="GF56" s="47"/>
      <c r="GG56" s="47"/>
      <c r="GH56" s="47"/>
      <c r="GI56" s="47"/>
      <c r="GJ56" s="47"/>
      <c r="GK56" s="47"/>
    </row>
    <row r="57" spans="1:193" s="568" customFormat="1" x14ac:dyDescent="0.3">
      <c r="A57" s="932" t="s">
        <v>474</v>
      </c>
      <c r="B57" s="577" t="s">
        <v>56</v>
      </c>
      <c r="C57" s="577" t="s">
        <v>56</v>
      </c>
      <c r="D57" s="577" t="s">
        <v>56</v>
      </c>
      <c r="E57" s="577" t="s">
        <v>56</v>
      </c>
      <c r="F57" s="577" t="s">
        <v>56</v>
      </c>
      <c r="G57" s="577" t="s">
        <v>54</v>
      </c>
      <c r="H57" s="577" t="s">
        <v>56</v>
      </c>
      <c r="I57" s="577" t="s">
        <v>56</v>
      </c>
      <c r="J57" s="577" t="s">
        <v>56</v>
      </c>
      <c r="K57" s="577" t="s">
        <v>56</v>
      </c>
      <c r="L57" s="577" t="s">
        <v>57</v>
      </c>
      <c r="M57" s="577" t="s">
        <v>55</v>
      </c>
      <c r="N57" s="577" t="s">
        <v>57</v>
      </c>
      <c r="O57" s="577" t="s">
        <v>56</v>
      </c>
      <c r="P57" s="577" t="s">
        <v>57</v>
      </c>
      <c r="Q57" s="578" t="s">
        <v>57</v>
      </c>
      <c r="R57" s="577" t="s">
        <v>56</v>
      </c>
      <c r="S57" s="577" t="s">
        <v>57</v>
      </c>
      <c r="T57" s="577" t="s">
        <v>56</v>
      </c>
      <c r="U57" s="577" t="s">
        <v>56</v>
      </c>
      <c r="V57" s="577" t="s">
        <v>56</v>
      </c>
      <c r="W57" s="577" t="s">
        <v>57</v>
      </c>
      <c r="X57" s="577" t="s">
        <v>56</v>
      </c>
      <c r="Y57" s="577" t="s">
        <v>56</v>
      </c>
      <c r="Z57" s="577" t="s">
        <v>56</v>
      </c>
      <c r="AA57" s="577" t="s">
        <v>56</v>
      </c>
      <c r="AB57" s="577" t="s">
        <v>56</v>
      </c>
      <c r="AC57" s="577" t="s">
        <v>56</v>
      </c>
      <c r="AD57" s="577" t="s">
        <v>56</v>
      </c>
      <c r="AE57" s="577" t="s">
        <v>56</v>
      </c>
      <c r="AF57" s="577" t="s">
        <v>56</v>
      </c>
      <c r="AG57" s="577" t="s">
        <v>57</v>
      </c>
      <c r="AH57" s="579" t="s">
        <v>56</v>
      </c>
      <c r="AI57" s="579" t="s">
        <v>56</v>
      </c>
      <c r="AJ57" s="579" t="s">
        <v>56</v>
      </c>
      <c r="AK57" s="579" t="s">
        <v>56</v>
      </c>
      <c r="AL57" s="579" t="s">
        <v>56</v>
      </c>
      <c r="AM57" s="580" t="s">
        <v>54</v>
      </c>
      <c r="AN57" s="579" t="s">
        <v>56</v>
      </c>
      <c r="AO57" s="579" t="s">
        <v>56</v>
      </c>
      <c r="AP57" s="579" t="s">
        <v>56</v>
      </c>
      <c r="AQ57" s="579" t="s">
        <v>56</v>
      </c>
      <c r="AR57" s="579" t="s">
        <v>57</v>
      </c>
      <c r="AS57" s="580" t="s">
        <v>55</v>
      </c>
      <c r="AT57" s="579" t="s">
        <v>57</v>
      </c>
      <c r="AU57" s="579" t="s">
        <v>56</v>
      </c>
      <c r="AV57" s="579" t="s">
        <v>57</v>
      </c>
      <c r="AW57" s="581" t="s">
        <v>57</v>
      </c>
      <c r="AX57" s="579" t="s">
        <v>56</v>
      </c>
      <c r="AY57" s="582" t="s">
        <v>57</v>
      </c>
      <c r="AZ57" s="579" t="s">
        <v>56</v>
      </c>
      <c r="BA57" s="579" t="s">
        <v>56</v>
      </c>
      <c r="BB57" s="579" t="s">
        <v>56</v>
      </c>
      <c r="BC57" s="579" t="s">
        <v>57</v>
      </c>
      <c r="BD57" s="579" t="s">
        <v>56</v>
      </c>
      <c r="BE57" s="579" t="s">
        <v>56</v>
      </c>
      <c r="BF57" s="579" t="s">
        <v>56</v>
      </c>
      <c r="BG57" s="579" t="s">
        <v>56</v>
      </c>
      <c r="BH57" s="579" t="s">
        <v>56</v>
      </c>
      <c r="BI57" s="579" t="s">
        <v>56</v>
      </c>
      <c r="BJ57" s="579" t="s">
        <v>56</v>
      </c>
      <c r="BK57" s="579" t="s">
        <v>56</v>
      </c>
      <c r="BL57" s="579" t="s">
        <v>56</v>
      </c>
      <c r="BM57" s="579" t="s">
        <v>57</v>
      </c>
      <c r="BN57" s="574" t="s">
        <v>100</v>
      </c>
      <c r="BO57" s="574" t="s">
        <v>101</v>
      </c>
      <c r="BP57" s="574" t="s">
        <v>100</v>
      </c>
      <c r="BQ57" s="574" t="s">
        <v>101</v>
      </c>
      <c r="BR57" s="574" t="s">
        <v>100</v>
      </c>
      <c r="BS57" s="574" t="s">
        <v>100</v>
      </c>
      <c r="BT57" s="574" t="s">
        <v>99</v>
      </c>
      <c r="BU57" s="574" t="s">
        <v>100</v>
      </c>
      <c r="BV57" s="574" t="s">
        <v>100</v>
      </c>
      <c r="BW57" s="574" t="s">
        <v>100</v>
      </c>
      <c r="BX57" s="574" t="s">
        <v>99</v>
      </c>
      <c r="BY57" s="574" t="s">
        <v>99</v>
      </c>
      <c r="BZ57" s="574" t="s">
        <v>99</v>
      </c>
      <c r="CA57" s="574" t="s">
        <v>99</v>
      </c>
      <c r="CB57" s="574" t="s">
        <v>99</v>
      </c>
      <c r="CC57" s="575" t="s">
        <v>101</v>
      </c>
      <c r="CD57" s="574" t="s">
        <v>100</v>
      </c>
      <c r="CE57" s="574" t="s">
        <v>99</v>
      </c>
      <c r="CF57" s="574" t="s">
        <v>99</v>
      </c>
      <c r="CG57" s="574" t="s">
        <v>99</v>
      </c>
      <c r="CH57" s="574" t="s">
        <v>101</v>
      </c>
      <c r="CI57" s="574" t="s">
        <v>99</v>
      </c>
      <c r="CJ57" s="574" t="s">
        <v>100</v>
      </c>
      <c r="CK57" s="574" t="s">
        <v>100</v>
      </c>
      <c r="CL57" s="574" t="s">
        <v>99</v>
      </c>
      <c r="CM57" s="574" t="s">
        <v>99</v>
      </c>
      <c r="CN57" s="574" t="s">
        <v>99</v>
      </c>
      <c r="CO57" s="574" t="s">
        <v>100</v>
      </c>
      <c r="CP57" s="574" t="s">
        <v>99</v>
      </c>
      <c r="CQ57" s="574" t="s">
        <v>100</v>
      </c>
      <c r="CR57" s="574" t="s">
        <v>99</v>
      </c>
      <c r="CS57" s="574" t="s">
        <v>99</v>
      </c>
      <c r="CT57" s="116" t="s">
        <v>100</v>
      </c>
      <c r="CU57" s="116" t="s">
        <v>101</v>
      </c>
      <c r="CV57" s="116" t="s">
        <v>100</v>
      </c>
      <c r="CW57" s="116" t="s">
        <v>101</v>
      </c>
      <c r="CX57" s="116" t="s">
        <v>100</v>
      </c>
      <c r="CY57" s="116" t="s">
        <v>100</v>
      </c>
      <c r="CZ57" s="116" t="s">
        <v>99</v>
      </c>
      <c r="DA57" s="116" t="s">
        <v>100</v>
      </c>
      <c r="DB57" s="116" t="s">
        <v>100</v>
      </c>
      <c r="DC57" s="116" t="s">
        <v>100</v>
      </c>
      <c r="DD57" s="116" t="s">
        <v>99</v>
      </c>
      <c r="DE57" s="116" t="s">
        <v>99</v>
      </c>
      <c r="DF57" s="116" t="s">
        <v>99</v>
      </c>
      <c r="DG57" s="116" t="s">
        <v>99</v>
      </c>
      <c r="DH57" s="116" t="s">
        <v>99</v>
      </c>
      <c r="DI57" s="116" t="s">
        <v>101</v>
      </c>
      <c r="DJ57" s="116" t="s">
        <v>100</v>
      </c>
      <c r="DK57" s="116" t="s">
        <v>99</v>
      </c>
      <c r="DL57" s="116" t="s">
        <v>99</v>
      </c>
      <c r="DM57" s="116" t="s">
        <v>99</v>
      </c>
      <c r="DN57" s="116" t="s">
        <v>101</v>
      </c>
      <c r="DO57" s="116" t="s">
        <v>99</v>
      </c>
      <c r="DP57" s="116" t="s">
        <v>100</v>
      </c>
      <c r="DQ57" s="116" t="s">
        <v>100</v>
      </c>
      <c r="DR57" s="116" t="s">
        <v>99</v>
      </c>
      <c r="DS57" s="116" t="s">
        <v>99</v>
      </c>
      <c r="DT57" s="116" t="s">
        <v>99</v>
      </c>
      <c r="DU57" s="116" t="s">
        <v>100</v>
      </c>
      <c r="DV57" s="116" t="s">
        <v>99</v>
      </c>
      <c r="DW57" s="116" t="s">
        <v>100</v>
      </c>
      <c r="DX57" s="116" t="s">
        <v>99</v>
      </c>
      <c r="DY57" s="116" t="s">
        <v>99</v>
      </c>
      <c r="DZ57" s="912"/>
      <c r="EA57" s="931"/>
      <c r="FP57" s="1078"/>
      <c r="FQ57" s="1078"/>
      <c r="FR57" s="1078"/>
      <c r="FS57" s="1078"/>
      <c r="FT57" s="1078"/>
      <c r="FU57" s="1078"/>
      <c r="FV57" s="564"/>
      <c r="FW57" s="47"/>
      <c r="FX57" s="564"/>
      <c r="FY57" s="47"/>
      <c r="FZ57" s="47"/>
      <c r="GA57" s="47"/>
      <c r="GB57" s="47"/>
      <c r="GC57" s="47"/>
      <c r="GD57" s="47"/>
      <c r="GE57" s="47"/>
      <c r="GF57" s="47"/>
      <c r="GG57" s="47"/>
      <c r="GH57" s="47"/>
      <c r="GI57" s="47"/>
      <c r="GJ57" s="47"/>
      <c r="GK57" s="47"/>
    </row>
    <row r="58" spans="1:193" s="583" customFormat="1" x14ac:dyDescent="0.3">
      <c r="A58" s="932" t="s">
        <v>233</v>
      </c>
      <c r="B58" s="577" t="s">
        <v>231</v>
      </c>
      <c r="C58" s="577" t="s">
        <v>231</v>
      </c>
      <c r="D58" s="577" t="s">
        <v>231</v>
      </c>
      <c r="E58" s="577" t="s">
        <v>231</v>
      </c>
      <c r="F58" s="577" t="s">
        <v>231</v>
      </c>
      <c r="G58" s="577" t="s">
        <v>231</v>
      </c>
      <c r="H58" s="577" t="s">
        <v>231</v>
      </c>
      <c r="I58" s="577" t="s">
        <v>231</v>
      </c>
      <c r="J58" s="577" t="s">
        <v>231</v>
      </c>
      <c r="K58" s="577" t="s">
        <v>231</v>
      </c>
      <c r="L58" s="577" t="s">
        <v>231</v>
      </c>
      <c r="M58" s="577" t="s">
        <v>231</v>
      </c>
      <c r="N58" s="577" t="s">
        <v>231</v>
      </c>
      <c r="O58" s="577" t="s">
        <v>231</v>
      </c>
      <c r="P58" s="577" t="s">
        <v>231</v>
      </c>
      <c r="Q58" s="577" t="s">
        <v>231</v>
      </c>
      <c r="R58" s="577" t="s">
        <v>231</v>
      </c>
      <c r="S58" s="577" t="s">
        <v>231</v>
      </c>
      <c r="T58" s="577" t="s">
        <v>231</v>
      </c>
      <c r="U58" s="577" t="s">
        <v>231</v>
      </c>
      <c r="V58" s="577" t="s">
        <v>231</v>
      </c>
      <c r="W58" s="577" t="s">
        <v>231</v>
      </c>
      <c r="X58" s="577" t="s">
        <v>231</v>
      </c>
      <c r="Y58" s="577" t="s">
        <v>231</v>
      </c>
      <c r="Z58" s="577" t="s">
        <v>231</v>
      </c>
      <c r="AA58" s="577" t="s">
        <v>231</v>
      </c>
      <c r="AB58" s="577" t="s">
        <v>231</v>
      </c>
      <c r="AC58" s="577" t="s">
        <v>231</v>
      </c>
      <c r="AD58" s="577" t="s">
        <v>231</v>
      </c>
      <c r="AE58" s="577" t="s">
        <v>231</v>
      </c>
      <c r="AF58" s="577" t="s">
        <v>231</v>
      </c>
      <c r="AG58" s="577" t="s">
        <v>231</v>
      </c>
      <c r="AH58" s="578" t="s">
        <v>231</v>
      </c>
      <c r="AI58" s="578" t="s">
        <v>231</v>
      </c>
      <c r="AJ58" s="578" t="s">
        <v>231</v>
      </c>
      <c r="AK58" s="578" t="s">
        <v>231</v>
      </c>
      <c r="AL58" s="578" t="s">
        <v>231</v>
      </c>
      <c r="AM58" s="578" t="s">
        <v>231</v>
      </c>
      <c r="AN58" s="578" t="s">
        <v>231</v>
      </c>
      <c r="AO58" s="578" t="s">
        <v>231</v>
      </c>
      <c r="AP58" s="578" t="s">
        <v>231</v>
      </c>
      <c r="AQ58" s="578" t="s">
        <v>231</v>
      </c>
      <c r="AR58" s="578" t="s">
        <v>231</v>
      </c>
      <c r="AS58" s="578" t="s">
        <v>231</v>
      </c>
      <c r="AT58" s="578" t="s">
        <v>231</v>
      </c>
      <c r="AU58" s="578" t="s">
        <v>231</v>
      </c>
      <c r="AV58" s="578" t="s">
        <v>231</v>
      </c>
      <c r="AW58" s="578" t="s">
        <v>231</v>
      </c>
      <c r="AX58" s="578" t="s">
        <v>231</v>
      </c>
      <c r="AY58" s="578" t="s">
        <v>231</v>
      </c>
      <c r="AZ58" s="578" t="s">
        <v>231</v>
      </c>
      <c r="BA58" s="578" t="s">
        <v>231</v>
      </c>
      <c r="BB58" s="578" t="s">
        <v>231</v>
      </c>
      <c r="BC58" s="578" t="s">
        <v>231</v>
      </c>
      <c r="BD58" s="578" t="s">
        <v>231</v>
      </c>
      <c r="BE58" s="578" t="s">
        <v>231</v>
      </c>
      <c r="BF58" s="578" t="s">
        <v>231</v>
      </c>
      <c r="BG58" s="578" t="s">
        <v>231</v>
      </c>
      <c r="BH58" s="578" t="s">
        <v>231</v>
      </c>
      <c r="BI58" s="578" t="s">
        <v>231</v>
      </c>
      <c r="BJ58" s="578" t="s">
        <v>231</v>
      </c>
      <c r="BK58" s="578" t="s">
        <v>231</v>
      </c>
      <c r="BL58" s="578" t="s">
        <v>231</v>
      </c>
      <c r="BM58" s="578" t="s">
        <v>231</v>
      </c>
      <c r="BN58" s="582" t="s">
        <v>237</v>
      </c>
      <c r="BO58" s="582" t="s">
        <v>237</v>
      </c>
      <c r="BP58" s="582" t="s">
        <v>237</v>
      </c>
      <c r="BQ58" s="582" t="s">
        <v>237</v>
      </c>
      <c r="BR58" s="582" t="s">
        <v>237</v>
      </c>
      <c r="BS58" s="582" t="s">
        <v>237</v>
      </c>
      <c r="BT58" s="582" t="s">
        <v>237</v>
      </c>
      <c r="BU58" s="582" t="s">
        <v>237</v>
      </c>
      <c r="BV58" s="582" t="s">
        <v>237</v>
      </c>
      <c r="BW58" s="582" t="s">
        <v>237</v>
      </c>
      <c r="BX58" s="582" t="s">
        <v>237</v>
      </c>
      <c r="BY58" s="582" t="s">
        <v>237</v>
      </c>
      <c r="BZ58" s="582" t="s">
        <v>237</v>
      </c>
      <c r="CA58" s="582" t="s">
        <v>237</v>
      </c>
      <c r="CB58" s="582" t="s">
        <v>237</v>
      </c>
      <c r="CC58" s="582" t="s">
        <v>237</v>
      </c>
      <c r="CD58" s="582" t="s">
        <v>237</v>
      </c>
      <c r="CE58" s="582" t="s">
        <v>237</v>
      </c>
      <c r="CF58" s="582" t="s">
        <v>237</v>
      </c>
      <c r="CG58" s="582" t="s">
        <v>237</v>
      </c>
      <c r="CH58" s="582" t="s">
        <v>237</v>
      </c>
      <c r="CI58" s="582" t="s">
        <v>237</v>
      </c>
      <c r="CJ58" s="582" t="s">
        <v>237</v>
      </c>
      <c r="CK58" s="582" t="s">
        <v>237</v>
      </c>
      <c r="CL58" s="582" t="s">
        <v>237</v>
      </c>
      <c r="CM58" s="582" t="s">
        <v>237</v>
      </c>
      <c r="CN58" s="582" t="s">
        <v>237</v>
      </c>
      <c r="CO58" s="582" t="s">
        <v>237</v>
      </c>
      <c r="CP58" s="582" t="s">
        <v>237</v>
      </c>
      <c r="CQ58" s="582" t="s">
        <v>237</v>
      </c>
      <c r="CR58" s="582" t="s">
        <v>237</v>
      </c>
      <c r="CS58" s="582" t="s">
        <v>237</v>
      </c>
      <c r="CT58" s="582" t="s">
        <v>237</v>
      </c>
      <c r="CU58" s="582" t="s">
        <v>237</v>
      </c>
      <c r="CV58" s="582" t="s">
        <v>237</v>
      </c>
      <c r="CW58" s="582" t="s">
        <v>237</v>
      </c>
      <c r="CX58" s="582" t="s">
        <v>237</v>
      </c>
      <c r="CY58" s="582" t="s">
        <v>237</v>
      </c>
      <c r="CZ58" s="582" t="s">
        <v>237</v>
      </c>
      <c r="DA58" s="582" t="s">
        <v>237</v>
      </c>
      <c r="DB58" s="582" t="s">
        <v>237</v>
      </c>
      <c r="DC58" s="582" t="s">
        <v>237</v>
      </c>
      <c r="DD58" s="582" t="s">
        <v>237</v>
      </c>
      <c r="DE58" s="582" t="s">
        <v>237</v>
      </c>
      <c r="DF58" s="582" t="s">
        <v>237</v>
      </c>
      <c r="DG58" s="582" t="s">
        <v>237</v>
      </c>
      <c r="DH58" s="582" t="s">
        <v>237</v>
      </c>
      <c r="DI58" s="582" t="s">
        <v>237</v>
      </c>
      <c r="DJ58" s="582" t="s">
        <v>237</v>
      </c>
      <c r="DK58" s="582" t="s">
        <v>237</v>
      </c>
      <c r="DL58" s="582" t="s">
        <v>237</v>
      </c>
      <c r="DM58" s="582" t="s">
        <v>237</v>
      </c>
      <c r="DN58" s="582" t="s">
        <v>237</v>
      </c>
      <c r="DO58" s="582" t="s">
        <v>237</v>
      </c>
      <c r="DP58" s="582" t="s">
        <v>237</v>
      </c>
      <c r="DQ58" s="582" t="s">
        <v>237</v>
      </c>
      <c r="DR58" s="582" t="s">
        <v>237</v>
      </c>
      <c r="DS58" s="582" t="s">
        <v>237</v>
      </c>
      <c r="DT58" s="582" t="s">
        <v>237</v>
      </c>
      <c r="DU58" s="582" t="s">
        <v>237</v>
      </c>
      <c r="DV58" s="582" t="s">
        <v>237</v>
      </c>
      <c r="DW58" s="582" t="s">
        <v>237</v>
      </c>
      <c r="DX58" s="582" t="s">
        <v>237</v>
      </c>
      <c r="DY58" s="582" t="s">
        <v>237</v>
      </c>
      <c r="DZ58" s="914"/>
      <c r="EA58" s="934"/>
      <c r="FP58" s="714"/>
      <c r="FQ58" s="714"/>
      <c r="FR58" s="714"/>
      <c r="FS58" s="714"/>
      <c r="FT58" s="714"/>
      <c r="FU58" s="714"/>
      <c r="FV58" s="564"/>
      <c r="FW58" s="47"/>
      <c r="FX58" s="564"/>
      <c r="FY58" s="47"/>
      <c r="FZ58" s="47"/>
      <c r="GA58" s="47"/>
      <c r="GB58" s="47"/>
      <c r="GC58" s="47"/>
      <c r="GD58" s="47"/>
      <c r="GE58" s="47"/>
      <c r="GF58" s="47"/>
      <c r="GG58" s="47"/>
      <c r="GH58" s="47"/>
      <c r="GI58" s="47"/>
      <c r="GJ58" s="47"/>
      <c r="GK58" s="47"/>
    </row>
    <row r="59" spans="1:193" s="583" customFormat="1" x14ac:dyDescent="0.3">
      <c r="A59" s="932" t="s">
        <v>235</v>
      </c>
      <c r="B59" s="577" t="s">
        <v>236</v>
      </c>
      <c r="C59" s="577" t="s">
        <v>236</v>
      </c>
      <c r="D59" s="577" t="s">
        <v>236</v>
      </c>
      <c r="E59" s="577" t="s">
        <v>236</v>
      </c>
      <c r="F59" s="577" t="s">
        <v>236</v>
      </c>
      <c r="G59" s="577" t="s">
        <v>236</v>
      </c>
      <c r="H59" s="577" t="s">
        <v>236</v>
      </c>
      <c r="I59" s="577" t="s">
        <v>236</v>
      </c>
      <c r="J59" s="577" t="s">
        <v>236</v>
      </c>
      <c r="K59" s="577" t="s">
        <v>236</v>
      </c>
      <c r="L59" s="577" t="s">
        <v>236</v>
      </c>
      <c r="M59" s="577" t="s">
        <v>236</v>
      </c>
      <c r="N59" s="577" t="s">
        <v>236</v>
      </c>
      <c r="O59" s="577" t="s">
        <v>236</v>
      </c>
      <c r="P59" s="577" t="s">
        <v>236</v>
      </c>
      <c r="Q59" s="577" t="s">
        <v>236</v>
      </c>
      <c r="R59" s="577" t="s">
        <v>236</v>
      </c>
      <c r="S59" s="577" t="s">
        <v>236</v>
      </c>
      <c r="T59" s="577" t="s">
        <v>236</v>
      </c>
      <c r="U59" s="577" t="s">
        <v>236</v>
      </c>
      <c r="V59" s="577" t="s">
        <v>236</v>
      </c>
      <c r="W59" s="577" t="s">
        <v>236</v>
      </c>
      <c r="X59" s="577" t="s">
        <v>236</v>
      </c>
      <c r="Y59" s="577" t="s">
        <v>236</v>
      </c>
      <c r="Z59" s="577" t="s">
        <v>236</v>
      </c>
      <c r="AA59" s="577" t="s">
        <v>236</v>
      </c>
      <c r="AB59" s="577" t="s">
        <v>236</v>
      </c>
      <c r="AC59" s="577" t="s">
        <v>236</v>
      </c>
      <c r="AD59" s="577" t="s">
        <v>236</v>
      </c>
      <c r="AE59" s="577" t="s">
        <v>236</v>
      </c>
      <c r="AF59" s="577" t="s">
        <v>236</v>
      </c>
      <c r="AG59" s="577" t="s">
        <v>236</v>
      </c>
      <c r="AH59" s="577" t="s">
        <v>236</v>
      </c>
      <c r="AI59" s="577" t="s">
        <v>236</v>
      </c>
      <c r="AJ59" s="577" t="s">
        <v>236</v>
      </c>
      <c r="AK59" s="577" t="s">
        <v>236</v>
      </c>
      <c r="AL59" s="577" t="s">
        <v>236</v>
      </c>
      <c r="AM59" s="577" t="s">
        <v>236</v>
      </c>
      <c r="AN59" s="577" t="s">
        <v>236</v>
      </c>
      <c r="AO59" s="577" t="s">
        <v>236</v>
      </c>
      <c r="AP59" s="577" t="s">
        <v>236</v>
      </c>
      <c r="AQ59" s="577" t="s">
        <v>236</v>
      </c>
      <c r="AR59" s="577" t="s">
        <v>236</v>
      </c>
      <c r="AS59" s="577" t="s">
        <v>236</v>
      </c>
      <c r="AT59" s="577" t="s">
        <v>236</v>
      </c>
      <c r="AU59" s="577" t="s">
        <v>236</v>
      </c>
      <c r="AV59" s="577" t="s">
        <v>236</v>
      </c>
      <c r="AW59" s="577" t="s">
        <v>236</v>
      </c>
      <c r="AX59" s="577" t="s">
        <v>236</v>
      </c>
      <c r="AY59" s="577" t="s">
        <v>236</v>
      </c>
      <c r="AZ59" s="577" t="s">
        <v>236</v>
      </c>
      <c r="BA59" s="577" t="s">
        <v>236</v>
      </c>
      <c r="BB59" s="577" t="s">
        <v>236</v>
      </c>
      <c r="BC59" s="577" t="s">
        <v>236</v>
      </c>
      <c r="BD59" s="577" t="s">
        <v>236</v>
      </c>
      <c r="BE59" s="577" t="s">
        <v>236</v>
      </c>
      <c r="BF59" s="577" t="s">
        <v>236</v>
      </c>
      <c r="BG59" s="577" t="s">
        <v>236</v>
      </c>
      <c r="BH59" s="577" t="s">
        <v>236</v>
      </c>
      <c r="BI59" s="577" t="s">
        <v>236</v>
      </c>
      <c r="BJ59" s="577" t="s">
        <v>236</v>
      </c>
      <c r="BK59" s="577" t="s">
        <v>236</v>
      </c>
      <c r="BL59" s="577" t="s">
        <v>236</v>
      </c>
      <c r="BM59" s="577" t="s">
        <v>236</v>
      </c>
      <c r="BN59" s="582" t="s">
        <v>236</v>
      </c>
      <c r="BO59" s="582" t="s">
        <v>236</v>
      </c>
      <c r="BP59" s="582" t="s">
        <v>236</v>
      </c>
      <c r="BQ59" s="582" t="s">
        <v>236</v>
      </c>
      <c r="BR59" s="582" t="s">
        <v>236</v>
      </c>
      <c r="BS59" s="582" t="s">
        <v>236</v>
      </c>
      <c r="BT59" s="582" t="s">
        <v>236</v>
      </c>
      <c r="BU59" s="582" t="s">
        <v>236</v>
      </c>
      <c r="BV59" s="582" t="s">
        <v>236</v>
      </c>
      <c r="BW59" s="582" t="s">
        <v>236</v>
      </c>
      <c r="BX59" s="582" t="s">
        <v>236</v>
      </c>
      <c r="BY59" s="582" t="s">
        <v>236</v>
      </c>
      <c r="BZ59" s="582" t="s">
        <v>236</v>
      </c>
      <c r="CA59" s="582" t="s">
        <v>236</v>
      </c>
      <c r="CB59" s="582" t="s">
        <v>236</v>
      </c>
      <c r="CC59" s="582" t="s">
        <v>236</v>
      </c>
      <c r="CD59" s="582" t="s">
        <v>236</v>
      </c>
      <c r="CE59" s="582" t="s">
        <v>236</v>
      </c>
      <c r="CF59" s="582" t="s">
        <v>236</v>
      </c>
      <c r="CG59" s="582" t="s">
        <v>236</v>
      </c>
      <c r="CH59" s="582" t="s">
        <v>236</v>
      </c>
      <c r="CI59" s="582" t="s">
        <v>236</v>
      </c>
      <c r="CJ59" s="582" t="s">
        <v>236</v>
      </c>
      <c r="CK59" s="582" t="s">
        <v>236</v>
      </c>
      <c r="CL59" s="582" t="s">
        <v>236</v>
      </c>
      <c r="CM59" s="582" t="s">
        <v>236</v>
      </c>
      <c r="CN59" s="582" t="s">
        <v>236</v>
      </c>
      <c r="CO59" s="582" t="s">
        <v>236</v>
      </c>
      <c r="CP59" s="582" t="s">
        <v>236</v>
      </c>
      <c r="CQ59" s="582" t="s">
        <v>236</v>
      </c>
      <c r="CR59" s="582" t="s">
        <v>236</v>
      </c>
      <c r="CS59" s="582" t="s">
        <v>236</v>
      </c>
      <c r="CT59" s="582" t="s">
        <v>236</v>
      </c>
      <c r="CU59" s="582" t="s">
        <v>236</v>
      </c>
      <c r="CV59" s="582" t="s">
        <v>236</v>
      </c>
      <c r="CW59" s="582" t="s">
        <v>236</v>
      </c>
      <c r="CX59" s="582" t="s">
        <v>236</v>
      </c>
      <c r="CY59" s="582" t="s">
        <v>236</v>
      </c>
      <c r="CZ59" s="582" t="s">
        <v>236</v>
      </c>
      <c r="DA59" s="582" t="s">
        <v>236</v>
      </c>
      <c r="DB59" s="582" t="s">
        <v>236</v>
      </c>
      <c r="DC59" s="582" t="s">
        <v>236</v>
      </c>
      <c r="DD59" s="582" t="s">
        <v>236</v>
      </c>
      <c r="DE59" s="582" t="s">
        <v>236</v>
      </c>
      <c r="DF59" s="582" t="s">
        <v>236</v>
      </c>
      <c r="DG59" s="582" t="s">
        <v>236</v>
      </c>
      <c r="DH59" s="582" t="s">
        <v>236</v>
      </c>
      <c r="DI59" s="582" t="s">
        <v>236</v>
      </c>
      <c r="DJ59" s="582" t="s">
        <v>236</v>
      </c>
      <c r="DK59" s="582" t="s">
        <v>236</v>
      </c>
      <c r="DL59" s="582" t="s">
        <v>236</v>
      </c>
      <c r="DM59" s="582" t="s">
        <v>236</v>
      </c>
      <c r="DN59" s="582" t="s">
        <v>236</v>
      </c>
      <c r="DO59" s="582" t="s">
        <v>236</v>
      </c>
      <c r="DP59" s="582" t="s">
        <v>236</v>
      </c>
      <c r="DQ59" s="582" t="s">
        <v>236</v>
      </c>
      <c r="DR59" s="582" t="s">
        <v>236</v>
      </c>
      <c r="DS59" s="582" t="s">
        <v>236</v>
      </c>
      <c r="DT59" s="582" t="s">
        <v>236</v>
      </c>
      <c r="DU59" s="582" t="s">
        <v>236</v>
      </c>
      <c r="DV59" s="582" t="s">
        <v>236</v>
      </c>
      <c r="DW59" s="582" t="s">
        <v>236</v>
      </c>
      <c r="DX59" s="582" t="s">
        <v>236</v>
      </c>
      <c r="DY59" s="582" t="s">
        <v>236</v>
      </c>
      <c r="DZ59" s="914"/>
      <c r="EA59" s="934"/>
      <c r="FP59" s="582"/>
      <c r="FQ59" s="582"/>
      <c r="FR59" s="582"/>
      <c r="FS59" s="582"/>
      <c r="FT59" s="582"/>
      <c r="FU59" s="582"/>
      <c r="FV59" s="589"/>
      <c r="FW59" s="1374"/>
      <c r="FX59" s="564"/>
      <c r="FY59" s="47"/>
      <c r="FZ59" s="47"/>
      <c r="GA59" s="47"/>
      <c r="GB59" s="47"/>
      <c r="GC59" s="47"/>
      <c r="GD59" s="47"/>
      <c r="GJ59" s="47"/>
      <c r="GK59" s="47"/>
    </row>
    <row r="60" spans="1:193" s="583" customFormat="1" x14ac:dyDescent="0.3">
      <c r="A60" s="932" t="s">
        <v>384</v>
      </c>
      <c r="B60" s="577">
        <v>1</v>
      </c>
      <c r="C60" s="577">
        <v>1</v>
      </c>
      <c r="D60" s="577">
        <v>1</v>
      </c>
      <c r="E60" s="577">
        <v>1</v>
      </c>
      <c r="F60" s="577">
        <v>1</v>
      </c>
      <c r="G60" s="577">
        <v>1</v>
      </c>
      <c r="H60" s="577">
        <v>1</v>
      </c>
      <c r="I60" s="577">
        <v>1</v>
      </c>
      <c r="J60" s="577">
        <v>1</v>
      </c>
      <c r="K60" s="577">
        <v>1</v>
      </c>
      <c r="L60" s="577">
        <v>1</v>
      </c>
      <c r="M60" s="577">
        <v>1</v>
      </c>
      <c r="N60" s="577">
        <v>1</v>
      </c>
      <c r="O60" s="577">
        <v>1</v>
      </c>
      <c r="P60" s="577">
        <v>1</v>
      </c>
      <c r="Q60" s="577">
        <v>1</v>
      </c>
      <c r="R60" s="577">
        <v>1</v>
      </c>
      <c r="S60" s="577">
        <v>1</v>
      </c>
      <c r="T60" s="577">
        <v>1</v>
      </c>
      <c r="U60" s="577">
        <v>1</v>
      </c>
      <c r="V60" s="577">
        <v>1</v>
      </c>
      <c r="W60" s="577">
        <v>1</v>
      </c>
      <c r="X60" s="577">
        <v>1</v>
      </c>
      <c r="Y60" s="577">
        <v>1</v>
      </c>
      <c r="Z60" s="577">
        <v>1</v>
      </c>
      <c r="AA60" s="577">
        <v>1</v>
      </c>
      <c r="AB60" s="577">
        <v>1</v>
      </c>
      <c r="AC60" s="577">
        <v>1</v>
      </c>
      <c r="AD60" s="577">
        <v>1</v>
      </c>
      <c r="AE60" s="577">
        <v>1</v>
      </c>
      <c r="AF60" s="577">
        <v>1</v>
      </c>
      <c r="AG60" s="577">
        <v>1</v>
      </c>
      <c r="AH60" s="578">
        <v>2</v>
      </c>
      <c r="AI60" s="582">
        <v>2</v>
      </c>
      <c r="AJ60" s="582">
        <v>2</v>
      </c>
      <c r="AK60" s="582">
        <v>2</v>
      </c>
      <c r="AL60" s="582">
        <v>2</v>
      </c>
      <c r="AM60" s="582">
        <v>2</v>
      </c>
      <c r="AN60" s="582">
        <v>2</v>
      </c>
      <c r="AO60" s="582">
        <v>2</v>
      </c>
      <c r="AP60" s="582">
        <v>2</v>
      </c>
      <c r="AQ60" s="582">
        <v>2</v>
      </c>
      <c r="AR60" s="582">
        <v>2</v>
      </c>
      <c r="AS60" s="582">
        <v>2</v>
      </c>
      <c r="AT60" s="582">
        <v>2</v>
      </c>
      <c r="AU60" s="582">
        <v>2</v>
      </c>
      <c r="AV60" s="582">
        <v>2</v>
      </c>
      <c r="AW60" s="582">
        <v>2</v>
      </c>
      <c r="AX60" s="582">
        <v>2</v>
      </c>
      <c r="AY60" s="582">
        <v>2</v>
      </c>
      <c r="AZ60" s="582">
        <v>2</v>
      </c>
      <c r="BA60" s="582">
        <v>2</v>
      </c>
      <c r="BB60" s="582">
        <v>2</v>
      </c>
      <c r="BC60" s="582">
        <v>2</v>
      </c>
      <c r="BD60" s="582">
        <v>2</v>
      </c>
      <c r="BE60" s="582">
        <v>2</v>
      </c>
      <c r="BF60" s="582">
        <v>2</v>
      </c>
      <c r="BG60" s="582">
        <v>2</v>
      </c>
      <c r="BH60" s="582">
        <v>2</v>
      </c>
      <c r="BI60" s="582">
        <v>2</v>
      </c>
      <c r="BJ60" s="582">
        <v>2</v>
      </c>
      <c r="BK60" s="582">
        <v>2</v>
      </c>
      <c r="BL60" s="582">
        <v>2</v>
      </c>
      <c r="BM60" s="582">
        <v>2</v>
      </c>
      <c r="BN60" s="582">
        <v>1</v>
      </c>
      <c r="BO60" s="582">
        <v>1</v>
      </c>
      <c r="BP60" s="582">
        <v>1</v>
      </c>
      <c r="BQ60" s="582">
        <v>1</v>
      </c>
      <c r="BR60" s="582">
        <v>1</v>
      </c>
      <c r="BS60" s="582">
        <v>1</v>
      </c>
      <c r="BT60" s="582">
        <v>1</v>
      </c>
      <c r="BU60" s="582">
        <v>1</v>
      </c>
      <c r="BV60" s="582">
        <v>1</v>
      </c>
      <c r="BW60" s="582">
        <v>1</v>
      </c>
      <c r="BX60" s="582">
        <v>1</v>
      </c>
      <c r="BY60" s="582">
        <v>1</v>
      </c>
      <c r="BZ60" s="582">
        <v>1</v>
      </c>
      <c r="CA60" s="582">
        <v>1</v>
      </c>
      <c r="CB60" s="582">
        <v>1</v>
      </c>
      <c r="CC60" s="582">
        <v>1</v>
      </c>
      <c r="CD60" s="582">
        <v>1</v>
      </c>
      <c r="CE60" s="582">
        <v>1</v>
      </c>
      <c r="CF60" s="582">
        <v>1</v>
      </c>
      <c r="CG60" s="582">
        <v>1</v>
      </c>
      <c r="CH60" s="582">
        <v>1</v>
      </c>
      <c r="CI60" s="582">
        <v>1</v>
      </c>
      <c r="CJ60" s="582">
        <v>1</v>
      </c>
      <c r="CK60" s="582">
        <v>1</v>
      </c>
      <c r="CL60" s="582">
        <v>1</v>
      </c>
      <c r="CM60" s="582">
        <v>1</v>
      </c>
      <c r="CN60" s="582">
        <v>1</v>
      </c>
      <c r="CO60" s="582">
        <v>1</v>
      </c>
      <c r="CP60" s="582">
        <v>1</v>
      </c>
      <c r="CQ60" s="582">
        <v>1</v>
      </c>
      <c r="CR60" s="582">
        <v>1</v>
      </c>
      <c r="CS60" s="582">
        <v>1</v>
      </c>
      <c r="CT60" s="582">
        <v>2</v>
      </c>
      <c r="CU60" s="582">
        <v>2</v>
      </c>
      <c r="CV60" s="582">
        <v>2</v>
      </c>
      <c r="CW60" s="582">
        <v>2</v>
      </c>
      <c r="CX60" s="582">
        <v>2</v>
      </c>
      <c r="CY60" s="582">
        <v>2</v>
      </c>
      <c r="CZ60" s="582">
        <v>2</v>
      </c>
      <c r="DA60" s="582">
        <v>2</v>
      </c>
      <c r="DB60" s="582">
        <v>2</v>
      </c>
      <c r="DC60" s="582">
        <v>2</v>
      </c>
      <c r="DD60" s="582">
        <v>2</v>
      </c>
      <c r="DE60" s="582">
        <v>2</v>
      </c>
      <c r="DF60" s="582">
        <v>2</v>
      </c>
      <c r="DG60" s="582">
        <v>2</v>
      </c>
      <c r="DH60" s="582">
        <v>2</v>
      </c>
      <c r="DI60" s="582">
        <v>2</v>
      </c>
      <c r="DJ60" s="582">
        <v>2</v>
      </c>
      <c r="DK60" s="582">
        <v>2</v>
      </c>
      <c r="DL60" s="582">
        <v>2</v>
      </c>
      <c r="DM60" s="582">
        <v>2</v>
      </c>
      <c r="DN60" s="582">
        <v>2</v>
      </c>
      <c r="DO60" s="582">
        <v>2</v>
      </c>
      <c r="DP60" s="582">
        <v>2</v>
      </c>
      <c r="DQ60" s="582">
        <v>2</v>
      </c>
      <c r="DR60" s="582">
        <v>2</v>
      </c>
      <c r="DS60" s="582">
        <v>2</v>
      </c>
      <c r="DT60" s="582">
        <v>2</v>
      </c>
      <c r="DU60" s="582">
        <v>2</v>
      </c>
      <c r="DV60" s="582">
        <v>2</v>
      </c>
      <c r="DW60" s="582">
        <v>2</v>
      </c>
      <c r="DX60" s="582">
        <v>2</v>
      </c>
      <c r="DY60" s="582">
        <v>2</v>
      </c>
      <c r="DZ60" s="914"/>
      <c r="EA60" s="934"/>
      <c r="FP60" s="582"/>
      <c r="FQ60" s="582"/>
      <c r="FR60" s="582"/>
      <c r="FS60" s="582"/>
      <c r="FT60" s="582"/>
      <c r="FU60" s="582"/>
      <c r="FV60" s="589"/>
      <c r="FW60" s="1374"/>
      <c r="FX60" s="564"/>
      <c r="FY60" s="47"/>
      <c r="FZ60" s="47"/>
      <c r="GA60" s="47"/>
      <c r="GB60" s="47"/>
      <c r="GC60" s="47"/>
      <c r="GD60" s="47"/>
      <c r="GJ60" s="47"/>
      <c r="GK60" s="47"/>
    </row>
    <row r="61" spans="1:193" s="583" customFormat="1" x14ac:dyDescent="0.3">
      <c r="A61" s="930" t="s">
        <v>234</v>
      </c>
      <c r="B61" s="582" t="s">
        <v>36</v>
      </c>
      <c r="C61" s="582" t="s">
        <v>36</v>
      </c>
      <c r="D61" s="582" t="s">
        <v>36</v>
      </c>
      <c r="E61" s="582" t="s">
        <v>36</v>
      </c>
      <c r="F61" s="582" t="s">
        <v>36</v>
      </c>
      <c r="G61" s="582" t="s">
        <v>36</v>
      </c>
      <c r="H61" s="582" t="s">
        <v>36</v>
      </c>
      <c r="I61" s="582" t="s">
        <v>36</v>
      </c>
      <c r="J61" s="582" t="s">
        <v>36</v>
      </c>
      <c r="K61" s="582" t="s">
        <v>36</v>
      </c>
      <c r="L61" s="582" t="s">
        <v>36</v>
      </c>
      <c r="M61" s="584" t="s">
        <v>33</v>
      </c>
      <c r="N61" s="582" t="s">
        <v>36</v>
      </c>
      <c r="O61" s="582" t="s">
        <v>36</v>
      </c>
      <c r="P61" s="582" t="s">
        <v>36</v>
      </c>
      <c r="Q61" s="585"/>
      <c r="R61" s="582" t="s">
        <v>36</v>
      </c>
      <c r="S61" s="582"/>
      <c r="T61" s="582" t="s">
        <v>36</v>
      </c>
      <c r="U61" s="582" t="s">
        <v>36</v>
      </c>
      <c r="V61" s="582" t="s">
        <v>36</v>
      </c>
      <c r="W61" s="582" t="s">
        <v>36</v>
      </c>
      <c r="X61" s="582" t="s">
        <v>36</v>
      </c>
      <c r="Y61" s="582" t="s">
        <v>36</v>
      </c>
      <c r="Z61" s="582" t="s">
        <v>36</v>
      </c>
      <c r="AA61" s="582" t="s">
        <v>36</v>
      </c>
      <c r="AB61" s="582" t="s">
        <v>36</v>
      </c>
      <c r="AC61" s="582" t="s">
        <v>36</v>
      </c>
      <c r="AD61" s="582" t="s">
        <v>36</v>
      </c>
      <c r="AE61" s="582" t="s">
        <v>36</v>
      </c>
      <c r="AF61" s="582" t="s">
        <v>36</v>
      </c>
      <c r="AG61" s="582" t="s">
        <v>36</v>
      </c>
      <c r="AH61" s="579" t="s">
        <v>36</v>
      </c>
      <c r="AI61" s="579" t="s">
        <v>36</v>
      </c>
      <c r="AJ61" s="579" t="s">
        <v>36</v>
      </c>
      <c r="AK61" s="579" t="s">
        <v>36</v>
      </c>
      <c r="AL61" s="579" t="s">
        <v>36</v>
      </c>
      <c r="AM61" s="580" t="s">
        <v>36</v>
      </c>
      <c r="AN61" s="579" t="s">
        <v>36</v>
      </c>
      <c r="AO61" s="579" t="s">
        <v>36</v>
      </c>
      <c r="AP61" s="579" t="s">
        <v>36</v>
      </c>
      <c r="AQ61" s="579" t="s">
        <v>36</v>
      </c>
      <c r="AR61" s="579" t="s">
        <v>36</v>
      </c>
      <c r="AS61" s="586" t="s">
        <v>33</v>
      </c>
      <c r="AT61" s="579" t="s">
        <v>36</v>
      </c>
      <c r="AU61" s="579" t="s">
        <v>36</v>
      </c>
      <c r="AV61" s="579" t="s">
        <v>36</v>
      </c>
      <c r="AW61" s="579" t="s">
        <v>36</v>
      </c>
      <c r="AX61" s="579" t="s">
        <v>36</v>
      </c>
      <c r="AY61" s="579" t="s">
        <v>36</v>
      </c>
      <c r="AZ61" s="579" t="s">
        <v>36</v>
      </c>
      <c r="BA61" s="579" t="s">
        <v>36</v>
      </c>
      <c r="BB61" s="579" t="s">
        <v>36</v>
      </c>
      <c r="BC61" s="579" t="s">
        <v>36</v>
      </c>
      <c r="BD61" s="579" t="s">
        <v>36</v>
      </c>
      <c r="BE61" s="579" t="s">
        <v>36</v>
      </c>
      <c r="BF61" s="579" t="s">
        <v>36</v>
      </c>
      <c r="BG61" s="579" t="s">
        <v>36</v>
      </c>
      <c r="BH61" s="579" t="s">
        <v>36</v>
      </c>
      <c r="BI61" s="579" t="s">
        <v>36</v>
      </c>
      <c r="BJ61" s="579" t="s">
        <v>36</v>
      </c>
      <c r="BK61" s="579" t="s">
        <v>36</v>
      </c>
      <c r="BL61" s="579" t="s">
        <v>36</v>
      </c>
      <c r="BM61" s="579" t="s">
        <v>36</v>
      </c>
      <c r="BN61" s="587" t="s">
        <v>36</v>
      </c>
      <c r="BO61" s="587" t="s">
        <v>36</v>
      </c>
      <c r="BP61" s="587" t="s">
        <v>36</v>
      </c>
      <c r="BQ61" s="587" t="s">
        <v>36</v>
      </c>
      <c r="BR61" s="587" t="s">
        <v>36</v>
      </c>
      <c r="BS61" s="587" t="s">
        <v>36</v>
      </c>
      <c r="BT61" s="587" t="s">
        <v>36</v>
      </c>
      <c r="BU61" s="587" t="s">
        <v>36</v>
      </c>
      <c r="BV61" s="587" t="s">
        <v>36</v>
      </c>
      <c r="BW61" s="587" t="s">
        <v>36</v>
      </c>
      <c r="BX61" s="587" t="s">
        <v>36</v>
      </c>
      <c r="BY61" s="588" t="s">
        <v>36</v>
      </c>
      <c r="BZ61" s="587" t="s">
        <v>36</v>
      </c>
      <c r="CA61" s="587" t="s">
        <v>36</v>
      </c>
      <c r="CB61" s="587" t="s">
        <v>36</v>
      </c>
      <c r="CC61" s="587" t="s">
        <v>36</v>
      </c>
      <c r="CD61" s="587" t="s">
        <v>36</v>
      </c>
      <c r="CE61" s="587" t="s">
        <v>36</v>
      </c>
      <c r="CF61" s="587" t="s">
        <v>36</v>
      </c>
      <c r="CG61" s="587" t="s">
        <v>36</v>
      </c>
      <c r="CH61" s="587" t="s">
        <v>36</v>
      </c>
      <c r="CI61" s="587" t="s">
        <v>36</v>
      </c>
      <c r="CJ61" s="587" t="s">
        <v>36</v>
      </c>
      <c r="CK61" s="587" t="s">
        <v>36</v>
      </c>
      <c r="CL61" s="587" t="s">
        <v>36</v>
      </c>
      <c r="CM61" s="587" t="s">
        <v>36</v>
      </c>
      <c r="CN61" s="587" t="s">
        <v>36</v>
      </c>
      <c r="CO61" s="587" t="s">
        <v>36</v>
      </c>
      <c r="CP61" s="587" t="s">
        <v>36</v>
      </c>
      <c r="CQ61" s="587" t="s">
        <v>36</v>
      </c>
      <c r="CR61" s="587" t="s">
        <v>36</v>
      </c>
      <c r="CS61" s="587" t="s">
        <v>36</v>
      </c>
      <c r="CT61" s="696" t="s">
        <v>36</v>
      </c>
      <c r="CU61" s="696" t="s">
        <v>36</v>
      </c>
      <c r="CV61" s="696" t="s">
        <v>36</v>
      </c>
      <c r="CW61" s="696" t="s">
        <v>36</v>
      </c>
      <c r="CX61" s="696" t="s">
        <v>36</v>
      </c>
      <c r="CY61" s="696" t="s">
        <v>36</v>
      </c>
      <c r="CZ61" s="696" t="s">
        <v>36</v>
      </c>
      <c r="DA61" s="696" t="s">
        <v>36</v>
      </c>
      <c r="DB61" s="696" t="s">
        <v>36</v>
      </c>
      <c r="DC61" s="696" t="s">
        <v>36</v>
      </c>
      <c r="DD61" s="696" t="s">
        <v>36</v>
      </c>
      <c r="DE61" s="696" t="s">
        <v>36</v>
      </c>
      <c r="DF61" s="696" t="s">
        <v>36</v>
      </c>
      <c r="DG61" s="696" t="s">
        <v>36</v>
      </c>
      <c r="DH61" s="696" t="s">
        <v>36</v>
      </c>
      <c r="DI61" s="696" t="s">
        <v>36</v>
      </c>
      <c r="DJ61" s="696" t="s">
        <v>36</v>
      </c>
      <c r="DK61" s="696" t="s">
        <v>36</v>
      </c>
      <c r="DL61" s="696" t="s">
        <v>36</v>
      </c>
      <c r="DM61" s="696" t="s">
        <v>36</v>
      </c>
      <c r="DN61" s="696" t="s">
        <v>36</v>
      </c>
      <c r="DO61" s="696" t="s">
        <v>36</v>
      </c>
      <c r="DP61" s="696" t="s">
        <v>36</v>
      </c>
      <c r="DQ61" s="696" t="s">
        <v>36</v>
      </c>
      <c r="DR61" s="696" t="s">
        <v>36</v>
      </c>
      <c r="DS61" s="696" t="s">
        <v>36</v>
      </c>
      <c r="DT61" s="696" t="s">
        <v>36</v>
      </c>
      <c r="DU61" s="696" t="s">
        <v>36</v>
      </c>
      <c r="DV61" s="696" t="s">
        <v>36</v>
      </c>
      <c r="DW61" s="696" t="s">
        <v>36</v>
      </c>
      <c r="DX61" s="696" t="s">
        <v>36</v>
      </c>
      <c r="DY61" s="696" t="s">
        <v>36</v>
      </c>
      <c r="DZ61" s="914"/>
      <c r="EA61" s="934"/>
      <c r="FP61" s="582"/>
      <c r="FQ61" s="582"/>
      <c r="FR61" s="582"/>
      <c r="FS61" s="582"/>
      <c r="FT61" s="582"/>
      <c r="FU61" s="582"/>
      <c r="FV61" s="589"/>
      <c r="FW61" s="1374"/>
      <c r="FX61" s="564"/>
      <c r="FY61" s="47"/>
      <c r="FZ61" s="47"/>
      <c r="GA61" s="47"/>
      <c r="GB61" s="47"/>
      <c r="GC61" s="47"/>
      <c r="GD61" s="47"/>
      <c r="GJ61" s="47"/>
      <c r="GK61" s="47"/>
    </row>
    <row r="62" spans="1:193" s="583" customFormat="1" x14ac:dyDescent="0.3">
      <c r="A62" s="930" t="s">
        <v>250</v>
      </c>
      <c r="B62" s="582">
        <f>COLUMN(B$55)</f>
        <v>2</v>
      </c>
      <c r="C62" s="582">
        <f t="shared" ref="C62:AG62" si="3">COLUMN(C$55)</f>
        <v>3</v>
      </c>
      <c r="D62" s="582">
        <f t="shared" si="3"/>
        <v>4</v>
      </c>
      <c r="E62" s="582">
        <f t="shared" si="3"/>
        <v>5</v>
      </c>
      <c r="F62" s="582">
        <f t="shared" si="3"/>
        <v>6</v>
      </c>
      <c r="G62" s="582">
        <f t="shared" si="3"/>
        <v>7</v>
      </c>
      <c r="H62" s="582">
        <f t="shared" si="3"/>
        <v>8</v>
      </c>
      <c r="I62" s="582">
        <f t="shared" si="3"/>
        <v>9</v>
      </c>
      <c r="J62" s="582">
        <f t="shared" si="3"/>
        <v>10</v>
      </c>
      <c r="K62" s="582">
        <f t="shared" si="3"/>
        <v>11</v>
      </c>
      <c r="L62" s="582">
        <f t="shared" si="3"/>
        <v>12</v>
      </c>
      <c r="M62" s="582">
        <f t="shared" si="3"/>
        <v>13</v>
      </c>
      <c r="N62" s="582">
        <f t="shared" si="3"/>
        <v>14</v>
      </c>
      <c r="O62" s="582">
        <f t="shared" si="3"/>
        <v>15</v>
      </c>
      <c r="P62" s="582">
        <f t="shared" si="3"/>
        <v>16</v>
      </c>
      <c r="Q62" s="582">
        <f t="shared" si="3"/>
        <v>17</v>
      </c>
      <c r="R62" s="582">
        <f t="shared" si="3"/>
        <v>18</v>
      </c>
      <c r="S62" s="582">
        <f t="shared" si="3"/>
        <v>19</v>
      </c>
      <c r="T62" s="582">
        <f t="shared" si="3"/>
        <v>20</v>
      </c>
      <c r="U62" s="582">
        <f t="shared" si="3"/>
        <v>21</v>
      </c>
      <c r="V62" s="582">
        <f t="shared" si="3"/>
        <v>22</v>
      </c>
      <c r="W62" s="582">
        <f t="shared" si="3"/>
        <v>23</v>
      </c>
      <c r="X62" s="582">
        <f t="shared" si="3"/>
        <v>24</v>
      </c>
      <c r="Y62" s="582">
        <f t="shared" si="3"/>
        <v>25</v>
      </c>
      <c r="Z62" s="582">
        <f t="shared" si="3"/>
        <v>26</v>
      </c>
      <c r="AA62" s="582">
        <f t="shared" si="3"/>
        <v>27</v>
      </c>
      <c r="AB62" s="582">
        <f t="shared" si="3"/>
        <v>28</v>
      </c>
      <c r="AC62" s="582">
        <f t="shared" si="3"/>
        <v>29</v>
      </c>
      <c r="AD62" s="582">
        <f t="shared" si="3"/>
        <v>30</v>
      </c>
      <c r="AE62" s="582">
        <f t="shared" si="3"/>
        <v>31</v>
      </c>
      <c r="AF62" s="582">
        <f t="shared" si="3"/>
        <v>32</v>
      </c>
      <c r="AG62" s="582">
        <f t="shared" si="3"/>
        <v>33</v>
      </c>
      <c r="AH62" s="582">
        <f t="shared" ref="AH62:BM62" si="4">COLUMN(AH$55)</f>
        <v>34</v>
      </c>
      <c r="AI62" s="582">
        <f t="shared" si="4"/>
        <v>35</v>
      </c>
      <c r="AJ62" s="582">
        <f t="shared" si="4"/>
        <v>36</v>
      </c>
      <c r="AK62" s="582">
        <f t="shared" si="4"/>
        <v>37</v>
      </c>
      <c r="AL62" s="582">
        <f t="shared" si="4"/>
        <v>38</v>
      </c>
      <c r="AM62" s="582">
        <f t="shared" si="4"/>
        <v>39</v>
      </c>
      <c r="AN62" s="582">
        <f t="shared" si="4"/>
        <v>40</v>
      </c>
      <c r="AO62" s="582">
        <f t="shared" si="4"/>
        <v>41</v>
      </c>
      <c r="AP62" s="582">
        <f t="shared" si="4"/>
        <v>42</v>
      </c>
      <c r="AQ62" s="582">
        <f t="shared" si="4"/>
        <v>43</v>
      </c>
      <c r="AR62" s="582">
        <f t="shared" si="4"/>
        <v>44</v>
      </c>
      <c r="AS62" s="582">
        <f t="shared" si="4"/>
        <v>45</v>
      </c>
      <c r="AT62" s="582">
        <f t="shared" si="4"/>
        <v>46</v>
      </c>
      <c r="AU62" s="582">
        <f t="shared" si="4"/>
        <v>47</v>
      </c>
      <c r="AV62" s="582">
        <f t="shared" si="4"/>
        <v>48</v>
      </c>
      <c r="AW62" s="582">
        <f t="shared" si="4"/>
        <v>49</v>
      </c>
      <c r="AX62" s="582">
        <f t="shared" si="4"/>
        <v>50</v>
      </c>
      <c r="AY62" s="582">
        <f t="shared" si="4"/>
        <v>51</v>
      </c>
      <c r="AZ62" s="582">
        <f t="shared" si="4"/>
        <v>52</v>
      </c>
      <c r="BA62" s="582">
        <f t="shared" si="4"/>
        <v>53</v>
      </c>
      <c r="BB62" s="582">
        <f t="shared" si="4"/>
        <v>54</v>
      </c>
      <c r="BC62" s="582">
        <f t="shared" si="4"/>
        <v>55</v>
      </c>
      <c r="BD62" s="582">
        <f t="shared" si="4"/>
        <v>56</v>
      </c>
      <c r="BE62" s="582">
        <f t="shared" si="4"/>
        <v>57</v>
      </c>
      <c r="BF62" s="582">
        <f t="shared" si="4"/>
        <v>58</v>
      </c>
      <c r="BG62" s="582">
        <f t="shared" si="4"/>
        <v>59</v>
      </c>
      <c r="BH62" s="582">
        <f t="shared" si="4"/>
        <v>60</v>
      </c>
      <c r="BI62" s="582">
        <f t="shared" si="4"/>
        <v>61</v>
      </c>
      <c r="BJ62" s="582">
        <f t="shared" si="4"/>
        <v>62</v>
      </c>
      <c r="BK62" s="582">
        <f t="shared" si="4"/>
        <v>63</v>
      </c>
      <c r="BL62" s="582">
        <f t="shared" si="4"/>
        <v>64</v>
      </c>
      <c r="BM62" s="582">
        <f t="shared" si="4"/>
        <v>65</v>
      </c>
      <c r="BN62" s="582">
        <f t="shared" ref="BN62:CS62" si="5">COLUMN(BN$55)</f>
        <v>66</v>
      </c>
      <c r="BO62" s="582">
        <f t="shared" si="5"/>
        <v>67</v>
      </c>
      <c r="BP62" s="582">
        <f t="shared" si="5"/>
        <v>68</v>
      </c>
      <c r="BQ62" s="582">
        <f t="shared" si="5"/>
        <v>69</v>
      </c>
      <c r="BR62" s="582">
        <f t="shared" si="5"/>
        <v>70</v>
      </c>
      <c r="BS62" s="582">
        <f t="shared" si="5"/>
        <v>71</v>
      </c>
      <c r="BT62" s="582">
        <f t="shared" si="5"/>
        <v>72</v>
      </c>
      <c r="BU62" s="582">
        <f t="shared" si="5"/>
        <v>73</v>
      </c>
      <c r="BV62" s="582">
        <f t="shared" si="5"/>
        <v>74</v>
      </c>
      <c r="BW62" s="582">
        <f t="shared" si="5"/>
        <v>75</v>
      </c>
      <c r="BX62" s="582">
        <f t="shared" si="5"/>
        <v>76</v>
      </c>
      <c r="BY62" s="582">
        <f t="shared" si="5"/>
        <v>77</v>
      </c>
      <c r="BZ62" s="582">
        <f t="shared" si="5"/>
        <v>78</v>
      </c>
      <c r="CA62" s="582">
        <f t="shared" si="5"/>
        <v>79</v>
      </c>
      <c r="CB62" s="582">
        <f t="shared" si="5"/>
        <v>80</v>
      </c>
      <c r="CC62" s="582">
        <f t="shared" si="5"/>
        <v>81</v>
      </c>
      <c r="CD62" s="582">
        <f t="shared" si="5"/>
        <v>82</v>
      </c>
      <c r="CE62" s="582">
        <f t="shared" si="5"/>
        <v>83</v>
      </c>
      <c r="CF62" s="582">
        <f t="shared" si="5"/>
        <v>84</v>
      </c>
      <c r="CG62" s="582">
        <f t="shared" si="5"/>
        <v>85</v>
      </c>
      <c r="CH62" s="582">
        <f t="shared" si="5"/>
        <v>86</v>
      </c>
      <c r="CI62" s="582">
        <f t="shared" si="5"/>
        <v>87</v>
      </c>
      <c r="CJ62" s="582">
        <f t="shared" si="5"/>
        <v>88</v>
      </c>
      <c r="CK62" s="582">
        <f t="shared" si="5"/>
        <v>89</v>
      </c>
      <c r="CL62" s="582">
        <f t="shared" si="5"/>
        <v>90</v>
      </c>
      <c r="CM62" s="582">
        <f t="shared" si="5"/>
        <v>91</v>
      </c>
      <c r="CN62" s="582">
        <f t="shared" si="5"/>
        <v>92</v>
      </c>
      <c r="CO62" s="582">
        <f t="shared" si="5"/>
        <v>93</v>
      </c>
      <c r="CP62" s="582">
        <f t="shared" si="5"/>
        <v>94</v>
      </c>
      <c r="CQ62" s="582">
        <f t="shared" si="5"/>
        <v>95</v>
      </c>
      <c r="CR62" s="582">
        <f t="shared" si="5"/>
        <v>96</v>
      </c>
      <c r="CS62" s="582">
        <f t="shared" si="5"/>
        <v>97</v>
      </c>
      <c r="CT62" s="582">
        <f t="shared" ref="CT62:DY62" si="6">COLUMN(CT$55)</f>
        <v>98</v>
      </c>
      <c r="CU62" s="582">
        <f t="shared" si="6"/>
        <v>99</v>
      </c>
      <c r="CV62" s="582">
        <f t="shared" si="6"/>
        <v>100</v>
      </c>
      <c r="CW62" s="582">
        <f t="shared" si="6"/>
        <v>101</v>
      </c>
      <c r="CX62" s="582">
        <f t="shared" si="6"/>
        <v>102</v>
      </c>
      <c r="CY62" s="582">
        <f t="shared" si="6"/>
        <v>103</v>
      </c>
      <c r="CZ62" s="582">
        <f t="shared" si="6"/>
        <v>104</v>
      </c>
      <c r="DA62" s="582">
        <f t="shared" si="6"/>
        <v>105</v>
      </c>
      <c r="DB62" s="582">
        <f t="shared" si="6"/>
        <v>106</v>
      </c>
      <c r="DC62" s="582">
        <f t="shared" si="6"/>
        <v>107</v>
      </c>
      <c r="DD62" s="582">
        <f t="shared" si="6"/>
        <v>108</v>
      </c>
      <c r="DE62" s="582">
        <f t="shared" si="6"/>
        <v>109</v>
      </c>
      <c r="DF62" s="582">
        <f t="shared" si="6"/>
        <v>110</v>
      </c>
      <c r="DG62" s="582">
        <f t="shared" si="6"/>
        <v>111</v>
      </c>
      <c r="DH62" s="582">
        <f t="shared" si="6"/>
        <v>112</v>
      </c>
      <c r="DI62" s="582">
        <f t="shared" si="6"/>
        <v>113</v>
      </c>
      <c r="DJ62" s="582">
        <f t="shared" si="6"/>
        <v>114</v>
      </c>
      <c r="DK62" s="582">
        <f t="shared" si="6"/>
        <v>115</v>
      </c>
      <c r="DL62" s="582">
        <f t="shared" si="6"/>
        <v>116</v>
      </c>
      <c r="DM62" s="582">
        <f t="shared" si="6"/>
        <v>117</v>
      </c>
      <c r="DN62" s="582">
        <f t="shared" si="6"/>
        <v>118</v>
      </c>
      <c r="DO62" s="582">
        <f t="shared" si="6"/>
        <v>119</v>
      </c>
      <c r="DP62" s="582">
        <f t="shared" si="6"/>
        <v>120</v>
      </c>
      <c r="DQ62" s="582">
        <f t="shared" si="6"/>
        <v>121</v>
      </c>
      <c r="DR62" s="582">
        <f t="shared" si="6"/>
        <v>122</v>
      </c>
      <c r="DS62" s="582">
        <f t="shared" si="6"/>
        <v>123</v>
      </c>
      <c r="DT62" s="582">
        <f t="shared" si="6"/>
        <v>124</v>
      </c>
      <c r="DU62" s="582">
        <f t="shared" si="6"/>
        <v>125</v>
      </c>
      <c r="DV62" s="582">
        <f t="shared" si="6"/>
        <v>126</v>
      </c>
      <c r="DW62" s="582">
        <f t="shared" si="6"/>
        <v>127</v>
      </c>
      <c r="DX62" s="582">
        <f t="shared" si="6"/>
        <v>128</v>
      </c>
      <c r="DY62" s="582">
        <f t="shared" si="6"/>
        <v>129</v>
      </c>
      <c r="DZ62" s="914"/>
      <c r="EA62" s="934"/>
      <c r="FP62" s="582"/>
      <c r="FQ62" s="582"/>
      <c r="FR62" s="582"/>
      <c r="FS62" s="582"/>
      <c r="FT62" s="582"/>
      <c r="FU62" s="582"/>
      <c r="FV62" s="589"/>
      <c r="FW62" s="1374"/>
      <c r="FX62" s="564"/>
      <c r="FY62" s="47"/>
      <c r="FZ62" s="47"/>
      <c r="GA62" s="47"/>
      <c r="GB62" s="47"/>
      <c r="GC62" s="47"/>
      <c r="GD62" s="47"/>
      <c r="GJ62" s="47"/>
      <c r="GK62" s="47"/>
    </row>
    <row r="63" spans="1:193" x14ac:dyDescent="0.3">
      <c r="A63" s="935">
        <v>40909</v>
      </c>
      <c r="B63" s="589">
        <v>0.08</v>
      </c>
      <c r="C63" s="590">
        <v>0.04</v>
      </c>
      <c r="D63" s="590">
        <v>0.04</v>
      </c>
      <c r="E63" s="590">
        <v>0.05</v>
      </c>
      <c r="F63" s="591">
        <v>0.1263</v>
      </c>
      <c r="G63" s="589">
        <v>0.1111</v>
      </c>
      <c r="H63" s="589">
        <v>0.06</v>
      </c>
      <c r="I63" s="590">
        <v>0.08</v>
      </c>
      <c r="J63" s="590">
        <v>0</v>
      </c>
      <c r="K63" s="590">
        <v>0.15</v>
      </c>
      <c r="L63" s="589">
        <v>4.2500000000000003E-2</v>
      </c>
      <c r="M63" s="592">
        <v>0.66</v>
      </c>
      <c r="N63" s="590">
        <v>0</v>
      </c>
      <c r="O63" s="589">
        <v>0</v>
      </c>
      <c r="P63" s="593">
        <v>7.7499999999999999E-2</v>
      </c>
      <c r="Q63" s="589">
        <v>0.105</v>
      </c>
      <c r="R63" s="590">
        <v>0.2</v>
      </c>
      <c r="S63" s="589">
        <v>2.2499999999999999E-2</v>
      </c>
      <c r="T63" s="594">
        <v>0.107</v>
      </c>
      <c r="U63" s="591">
        <v>6.2E-2</v>
      </c>
      <c r="V63" s="589">
        <v>0.16</v>
      </c>
      <c r="W63" s="595">
        <v>0.105</v>
      </c>
      <c r="X63" s="590">
        <v>0</v>
      </c>
      <c r="Y63" s="590">
        <v>7.0000000000000007E-2</v>
      </c>
      <c r="Z63" s="589">
        <v>0.14249999999999999</v>
      </c>
      <c r="AA63" s="589">
        <v>0</v>
      </c>
      <c r="AB63" s="590">
        <v>0.1</v>
      </c>
      <c r="AC63" s="590">
        <v>0.05</v>
      </c>
      <c r="AD63" s="590">
        <v>0.1</v>
      </c>
      <c r="AE63" s="590">
        <v>0.2</v>
      </c>
      <c r="AF63" s="590">
        <v>0.1</v>
      </c>
      <c r="AG63" s="590">
        <v>0</v>
      </c>
      <c r="AH63" s="594">
        <v>6.4999999999999997E-3</v>
      </c>
      <c r="AI63" s="594">
        <v>-1.9E-3</v>
      </c>
      <c r="AJ63" s="594">
        <v>9.1999999999999998E-3</v>
      </c>
      <c r="AK63" s="594">
        <v>2.5999999999999999E-3</v>
      </c>
      <c r="AL63" s="594">
        <v>3.3E-3</v>
      </c>
      <c r="AM63" s="596"/>
      <c r="AN63" s="594">
        <v>0</v>
      </c>
      <c r="AO63" s="594">
        <v>7.4999999999999997E-3</v>
      </c>
      <c r="AP63" s="594">
        <v>8.8000000000000005E-3</v>
      </c>
      <c r="AQ63" s="594">
        <v>8.0000000000000004E-4</v>
      </c>
      <c r="AR63" s="594">
        <v>1.4200000000000001E-2</v>
      </c>
      <c r="AS63" s="596"/>
      <c r="AT63" s="594">
        <v>7.46E-2</v>
      </c>
      <c r="AU63" s="594">
        <v>5.4000000000000003E-3</v>
      </c>
      <c r="AV63" s="593">
        <v>1.89E-2</v>
      </c>
      <c r="AW63" s="591">
        <v>8.3000000000000001E-3</v>
      </c>
      <c r="AX63" s="594">
        <v>6.7999999999999996E-3</v>
      </c>
      <c r="AY63" s="594">
        <v>3.0499999999999999E-2</v>
      </c>
      <c r="AZ63" s="594">
        <v>3.5000000000000001E-3</v>
      </c>
      <c r="BA63" s="594">
        <v>2.3E-3</v>
      </c>
      <c r="BB63" s="594">
        <v>1.8E-3</v>
      </c>
      <c r="BC63" s="594">
        <v>0</v>
      </c>
      <c r="BD63" s="594">
        <v>-6.1000000000000004E-3</v>
      </c>
      <c r="BE63" s="594">
        <v>7.4000000000000003E-3</v>
      </c>
      <c r="BF63" s="594">
        <v>1E-4</v>
      </c>
      <c r="BG63" s="594">
        <v>7.0000000000000001E-3</v>
      </c>
      <c r="BH63" s="594">
        <v>3.3999999999999998E-3</v>
      </c>
      <c r="BI63" s="594">
        <v>5.0000000000000001E-3</v>
      </c>
      <c r="BJ63" s="594">
        <v>5.3E-3</v>
      </c>
      <c r="BK63" s="594">
        <v>1E-4</v>
      </c>
      <c r="BL63" s="594">
        <v>5.7999999999999996E-3</v>
      </c>
      <c r="BM63" s="594">
        <v>3.0000000000000001E-3</v>
      </c>
      <c r="BN63" s="594">
        <v>0.29599999999999999</v>
      </c>
      <c r="BO63" s="594">
        <v>0.06</v>
      </c>
      <c r="BP63" s="594">
        <v>0.312</v>
      </c>
      <c r="BQ63" s="594">
        <v>0.21199999999999999</v>
      </c>
      <c r="BR63" s="594">
        <v>0.18</v>
      </c>
      <c r="BS63" s="594">
        <v>0.1111</v>
      </c>
      <c r="BT63" s="594">
        <v>0.18</v>
      </c>
      <c r="BU63" s="594">
        <v>0.221</v>
      </c>
      <c r="BV63" s="1467"/>
      <c r="BW63" s="594">
        <v>0.23</v>
      </c>
      <c r="BX63" s="594">
        <v>0.13</v>
      </c>
      <c r="BY63" s="594">
        <v>0.32900000000000001</v>
      </c>
      <c r="BZ63" s="594">
        <v>8.6999999999999994E-2</v>
      </c>
      <c r="CA63" s="594">
        <v>0</v>
      </c>
      <c r="CB63" s="593">
        <v>0.25</v>
      </c>
      <c r="CC63" s="594">
        <v>0.3</v>
      </c>
      <c r="CD63" s="594">
        <v>0.13</v>
      </c>
      <c r="CE63" s="594">
        <v>0.3</v>
      </c>
      <c r="CF63" s="594">
        <v>0.14599999999999999</v>
      </c>
      <c r="CG63" s="594">
        <v>0.22</v>
      </c>
      <c r="CH63" s="594">
        <v>0.27</v>
      </c>
      <c r="CI63" s="594">
        <v>0.25</v>
      </c>
      <c r="CJ63" s="594">
        <v>0</v>
      </c>
      <c r="CK63" s="594">
        <v>5.2499999999999998E-2</v>
      </c>
      <c r="CL63" s="594">
        <v>8.2600000000000007E-2</v>
      </c>
      <c r="CM63" s="594">
        <v>0.188</v>
      </c>
      <c r="CN63" s="594">
        <v>0.17</v>
      </c>
      <c r="CO63" s="594">
        <v>0.1118</v>
      </c>
      <c r="CP63" s="594">
        <v>0.2</v>
      </c>
      <c r="CQ63" s="594">
        <v>0.25</v>
      </c>
      <c r="CR63" s="594">
        <v>0.35</v>
      </c>
      <c r="CS63" s="597"/>
      <c r="CT63" s="591">
        <v>2.3E-2</v>
      </c>
      <c r="CU63" s="1233">
        <v>3.0429999999999999E-2</v>
      </c>
      <c r="CV63" s="591">
        <v>1E-3</v>
      </c>
      <c r="CW63" s="915">
        <v>1.8637000000000001E-2</v>
      </c>
      <c r="CX63" s="591">
        <v>3.6999999999999998E-2</v>
      </c>
      <c r="CY63" s="1234"/>
      <c r="CZ63" s="591">
        <v>2.7E-2</v>
      </c>
      <c r="DA63" s="591">
        <v>2.9000000000000001E-2</v>
      </c>
      <c r="DB63" s="591"/>
      <c r="DC63" s="591"/>
      <c r="DD63" s="591">
        <v>1.7999999999999999E-2</v>
      </c>
      <c r="DE63" s="591">
        <v>4.1000000000000002E-2</v>
      </c>
      <c r="DF63" s="591">
        <v>8.0000000000000002E-3</v>
      </c>
      <c r="DG63" s="591">
        <v>1.4999999999999999E-2</v>
      </c>
      <c r="DH63" s="591">
        <v>3.9E-2</v>
      </c>
      <c r="DI63" s="915">
        <v>2.2001E-2</v>
      </c>
      <c r="DJ63" s="1234"/>
      <c r="DK63" s="591"/>
      <c r="DL63" s="591">
        <v>0.02</v>
      </c>
      <c r="DM63" s="591">
        <v>2.1000000000000001E-2</v>
      </c>
      <c r="DN63" s="915">
        <v>2.4475000000000004E-2</v>
      </c>
      <c r="DO63" s="591">
        <v>1.6E-2</v>
      </c>
      <c r="DP63" s="591">
        <v>4.0000000000000001E-3</v>
      </c>
      <c r="DQ63" s="1234"/>
      <c r="DR63" s="591"/>
      <c r="DS63" s="1234"/>
      <c r="DT63" s="591">
        <v>1.7000000000000001E-2</v>
      </c>
      <c r="DU63" s="591">
        <v>1.2999999999999999E-2</v>
      </c>
      <c r="DV63" s="591">
        <v>0.02</v>
      </c>
      <c r="DW63" s="591">
        <v>0.03</v>
      </c>
      <c r="DX63" s="591">
        <v>3.7999999999999999E-2</v>
      </c>
      <c r="DY63" s="591">
        <v>8.0000000000000002E-3</v>
      </c>
      <c r="DZ63" s="916"/>
      <c r="EA63" s="1439"/>
      <c r="FP63" s="1374"/>
      <c r="FQ63" s="1374"/>
      <c r="FR63" s="1374"/>
      <c r="FS63" s="1374"/>
      <c r="FT63" s="1374"/>
      <c r="FU63" s="1374"/>
      <c r="FV63" s="589"/>
      <c r="FW63" s="1374"/>
      <c r="FX63" s="564"/>
    </row>
    <row r="64" spans="1:193" x14ac:dyDescent="0.3">
      <c r="A64" s="935">
        <v>40940</v>
      </c>
      <c r="B64" s="589">
        <v>0.08</v>
      </c>
      <c r="C64" s="590">
        <v>0.04</v>
      </c>
      <c r="D64" s="590">
        <v>0.04</v>
      </c>
      <c r="E64" s="590">
        <v>0.05</v>
      </c>
      <c r="F64" s="591">
        <v>0.1263</v>
      </c>
      <c r="G64" s="589">
        <v>0.1111</v>
      </c>
      <c r="H64" s="589">
        <v>0.06</v>
      </c>
      <c r="I64" s="590">
        <v>0.08</v>
      </c>
      <c r="J64" s="590">
        <v>0</v>
      </c>
      <c r="K64" s="590">
        <v>0.15</v>
      </c>
      <c r="L64" s="589">
        <v>4.2500000000000003E-2</v>
      </c>
      <c r="M64" s="592">
        <v>0.66</v>
      </c>
      <c r="N64" s="590">
        <v>0</v>
      </c>
      <c r="O64" s="589">
        <v>0</v>
      </c>
      <c r="P64" s="593">
        <v>7.7499999999999999E-2</v>
      </c>
      <c r="Q64" s="589">
        <v>0.105</v>
      </c>
      <c r="R64" s="590">
        <v>0.2</v>
      </c>
      <c r="S64" s="589">
        <v>2.2499999999999999E-2</v>
      </c>
      <c r="T64" s="594">
        <v>0.107</v>
      </c>
      <c r="U64" s="591">
        <v>6.2E-2</v>
      </c>
      <c r="V64" s="589">
        <v>0.16</v>
      </c>
      <c r="W64" s="595">
        <v>0.105</v>
      </c>
      <c r="X64" s="590">
        <v>0</v>
      </c>
      <c r="Y64" s="590">
        <v>7.0000000000000007E-2</v>
      </c>
      <c r="Z64" s="589">
        <v>0.14249999999999999</v>
      </c>
      <c r="AA64" s="589">
        <v>0</v>
      </c>
      <c r="AB64" s="590">
        <v>0.1</v>
      </c>
      <c r="AC64" s="590">
        <v>0.05</v>
      </c>
      <c r="AD64" s="590">
        <v>0.1</v>
      </c>
      <c r="AE64" s="590">
        <v>0.2</v>
      </c>
      <c r="AF64" s="590">
        <v>0.1</v>
      </c>
      <c r="AG64" s="590">
        <v>0</v>
      </c>
      <c r="AH64" s="594">
        <v>6.4999999999999997E-3</v>
      </c>
      <c r="AI64" s="594">
        <v>-1.9E-3</v>
      </c>
      <c r="AJ64" s="594">
        <v>9.1999999999999998E-3</v>
      </c>
      <c r="AK64" s="594">
        <v>2.5999999999999999E-3</v>
      </c>
      <c r="AL64" s="594">
        <v>3.3E-3</v>
      </c>
      <c r="AM64" s="596"/>
      <c r="AN64" s="594">
        <v>0</v>
      </c>
      <c r="AO64" s="594">
        <v>7.4999999999999997E-3</v>
      </c>
      <c r="AP64" s="594">
        <v>8.8000000000000005E-3</v>
      </c>
      <c r="AQ64" s="594">
        <v>8.0000000000000004E-4</v>
      </c>
      <c r="AR64" s="594">
        <v>1.4200000000000001E-2</v>
      </c>
      <c r="AS64" s="596"/>
      <c r="AT64" s="594">
        <v>7.46E-2</v>
      </c>
      <c r="AU64" s="594">
        <v>5.4000000000000003E-3</v>
      </c>
      <c r="AV64" s="593">
        <v>1.89E-2</v>
      </c>
      <c r="AW64" s="591">
        <v>8.3000000000000001E-3</v>
      </c>
      <c r="AX64" s="594">
        <v>6.7999999999999996E-3</v>
      </c>
      <c r="AY64" s="594">
        <v>3.0499999999999999E-2</v>
      </c>
      <c r="AZ64" s="594">
        <v>3.5000000000000001E-3</v>
      </c>
      <c r="BA64" s="594">
        <v>2.3E-3</v>
      </c>
      <c r="BB64" s="594">
        <v>1.8E-3</v>
      </c>
      <c r="BC64" s="594">
        <v>0</v>
      </c>
      <c r="BD64" s="594">
        <v>-6.1000000000000004E-3</v>
      </c>
      <c r="BE64" s="594">
        <v>7.4000000000000003E-3</v>
      </c>
      <c r="BF64" s="594">
        <v>1E-4</v>
      </c>
      <c r="BG64" s="594">
        <v>7.0000000000000001E-3</v>
      </c>
      <c r="BH64" s="594">
        <v>3.3999999999999998E-3</v>
      </c>
      <c r="BI64" s="594">
        <v>5.0000000000000001E-3</v>
      </c>
      <c r="BJ64" s="594">
        <v>5.3E-3</v>
      </c>
      <c r="BK64" s="594">
        <v>1E-4</v>
      </c>
      <c r="BL64" s="594">
        <v>5.7999999999999996E-3</v>
      </c>
      <c r="BM64" s="594">
        <v>3.0000000000000001E-3</v>
      </c>
      <c r="BN64" s="594">
        <v>0.29599999999999999</v>
      </c>
      <c r="BO64" s="594">
        <v>0.06</v>
      </c>
      <c r="BP64" s="594">
        <v>0.312</v>
      </c>
      <c r="BQ64" s="594">
        <v>0.21199999999999999</v>
      </c>
      <c r="BR64" s="594">
        <v>0.18</v>
      </c>
      <c r="BS64" s="594">
        <v>0.1111</v>
      </c>
      <c r="BT64" s="594">
        <v>0.18</v>
      </c>
      <c r="BU64" s="594">
        <v>0.221</v>
      </c>
      <c r="BV64" s="1467"/>
      <c r="BW64" s="594">
        <v>0.23</v>
      </c>
      <c r="BX64" s="594">
        <v>0.13</v>
      </c>
      <c r="BY64" s="594">
        <v>0.32900000000000001</v>
      </c>
      <c r="BZ64" s="594">
        <v>8.6999999999999994E-2</v>
      </c>
      <c r="CA64" s="594">
        <v>0</v>
      </c>
      <c r="CB64" s="593">
        <v>0.25</v>
      </c>
      <c r="CC64" s="594">
        <v>0.3</v>
      </c>
      <c r="CD64" s="594">
        <v>0.13</v>
      </c>
      <c r="CE64" s="594">
        <v>0.3</v>
      </c>
      <c r="CF64" s="594">
        <v>0.14599999999999999</v>
      </c>
      <c r="CG64" s="594">
        <v>0.22</v>
      </c>
      <c r="CH64" s="594">
        <v>0.27</v>
      </c>
      <c r="CI64" s="594">
        <v>0.25</v>
      </c>
      <c r="CJ64" s="594">
        <v>0</v>
      </c>
      <c r="CK64" s="594">
        <v>5.2499999999999998E-2</v>
      </c>
      <c r="CL64" s="594">
        <v>8.2600000000000007E-2</v>
      </c>
      <c r="CM64" s="594">
        <v>0.188</v>
      </c>
      <c r="CN64" s="594">
        <v>0.17</v>
      </c>
      <c r="CO64" s="594">
        <v>0.1118</v>
      </c>
      <c r="CP64" s="594">
        <v>0.2</v>
      </c>
      <c r="CQ64" s="594">
        <v>0.25</v>
      </c>
      <c r="CR64" s="594">
        <v>0.35</v>
      </c>
      <c r="CS64" s="597"/>
      <c r="CT64" s="591">
        <v>2.7E-2</v>
      </c>
      <c r="CU64" s="1233">
        <v>3.0429999999999999E-2</v>
      </c>
      <c r="CV64" s="591">
        <v>0</v>
      </c>
      <c r="CW64" s="915">
        <v>1.8637000000000001E-2</v>
      </c>
      <c r="CX64" s="591">
        <v>4.2000000000000003E-2</v>
      </c>
      <c r="CY64" s="1234"/>
      <c r="CZ64" s="591">
        <v>3.3000000000000002E-2</v>
      </c>
      <c r="DA64" s="591">
        <v>3.1E-2</v>
      </c>
      <c r="DB64" s="591">
        <v>0.05</v>
      </c>
      <c r="DC64" s="591"/>
      <c r="DD64" s="591">
        <v>3.4000000000000002E-2</v>
      </c>
      <c r="DE64" s="591">
        <v>4.4999999999999998E-2</v>
      </c>
      <c r="DF64" s="591">
        <v>1.7000000000000001E-2</v>
      </c>
      <c r="DG64" s="591">
        <v>1.9E-2</v>
      </c>
      <c r="DH64" s="591">
        <v>4.3999999999999997E-2</v>
      </c>
      <c r="DI64" s="915">
        <v>2.2001E-2</v>
      </c>
      <c r="DJ64" s="1234"/>
      <c r="DK64" s="591"/>
      <c r="DL64" s="591">
        <v>2.5000000000000001E-2</v>
      </c>
      <c r="DM64" s="591">
        <v>0.03</v>
      </c>
      <c r="DN64" s="915">
        <v>2.4475000000000004E-2</v>
      </c>
      <c r="DO64" s="591">
        <v>1.7000000000000001E-2</v>
      </c>
      <c r="DP64" s="591">
        <v>8.9999999999999993E-3</v>
      </c>
      <c r="DQ64" s="1234"/>
      <c r="DR64" s="591"/>
      <c r="DS64" s="1234"/>
      <c r="DT64" s="591">
        <v>0.02</v>
      </c>
      <c r="DU64" s="591">
        <v>3.3000000000000002E-2</v>
      </c>
      <c r="DV64" s="591">
        <v>2.5000000000000001E-2</v>
      </c>
      <c r="DW64" s="591">
        <v>4.1000000000000002E-2</v>
      </c>
      <c r="DX64" s="591">
        <v>0.05</v>
      </c>
      <c r="DY64" s="591">
        <v>1.7000000000000001E-2</v>
      </c>
      <c r="DZ64" s="916"/>
      <c r="EA64" s="1439"/>
      <c r="FP64" s="1374"/>
      <c r="FQ64" s="1374"/>
      <c r="FR64" s="1374"/>
      <c r="FS64" s="1374"/>
      <c r="FT64" s="1374"/>
      <c r="FU64" s="1374"/>
      <c r="FV64" s="589"/>
      <c r="FW64" s="1374"/>
      <c r="FX64" s="564"/>
    </row>
    <row r="65" spans="1:180" x14ac:dyDescent="0.3">
      <c r="A65" s="935">
        <v>40969</v>
      </c>
      <c r="B65" s="589">
        <v>0.08</v>
      </c>
      <c r="C65" s="590">
        <v>0.04</v>
      </c>
      <c r="D65" s="590">
        <v>0.04</v>
      </c>
      <c r="E65" s="590">
        <v>0.05</v>
      </c>
      <c r="F65" s="591">
        <v>0.1263</v>
      </c>
      <c r="G65" s="589">
        <v>0.1111</v>
      </c>
      <c r="H65" s="589">
        <v>0.06</v>
      </c>
      <c r="I65" s="590">
        <v>0.08</v>
      </c>
      <c r="J65" s="590">
        <v>0</v>
      </c>
      <c r="K65" s="590">
        <v>0.15</v>
      </c>
      <c r="L65" s="589">
        <v>4.2500000000000003E-2</v>
      </c>
      <c r="M65" s="592">
        <v>0.66</v>
      </c>
      <c r="N65" s="590">
        <v>0</v>
      </c>
      <c r="O65" s="589">
        <v>0</v>
      </c>
      <c r="P65" s="593">
        <v>7.7499999999999999E-2</v>
      </c>
      <c r="Q65" s="589">
        <v>0.105</v>
      </c>
      <c r="R65" s="590">
        <v>0.2</v>
      </c>
      <c r="S65" s="589">
        <v>2.2499999999999999E-2</v>
      </c>
      <c r="T65" s="594">
        <v>0.107</v>
      </c>
      <c r="U65" s="591">
        <v>6.2E-2</v>
      </c>
      <c r="V65" s="589">
        <v>0.16</v>
      </c>
      <c r="W65" s="595">
        <v>0.105</v>
      </c>
      <c r="X65" s="590">
        <v>0</v>
      </c>
      <c r="Y65" s="590">
        <v>7.0000000000000007E-2</v>
      </c>
      <c r="Z65" s="589">
        <v>0.14249999999999999</v>
      </c>
      <c r="AA65" s="589">
        <v>0</v>
      </c>
      <c r="AB65" s="590">
        <v>0.1</v>
      </c>
      <c r="AC65" s="590">
        <v>0.05</v>
      </c>
      <c r="AD65" s="590">
        <v>0.1</v>
      </c>
      <c r="AE65" s="590">
        <v>0.2</v>
      </c>
      <c r="AF65" s="590">
        <v>0.1</v>
      </c>
      <c r="AG65" s="590">
        <v>0</v>
      </c>
      <c r="AH65" s="594">
        <v>6.4999999999999997E-3</v>
      </c>
      <c r="AI65" s="594">
        <v>-1.9E-3</v>
      </c>
      <c r="AJ65" s="594">
        <v>9.1999999999999998E-3</v>
      </c>
      <c r="AK65" s="594">
        <v>2.5999999999999999E-3</v>
      </c>
      <c r="AL65" s="594">
        <v>3.3E-3</v>
      </c>
      <c r="AM65" s="596"/>
      <c r="AN65" s="594">
        <v>0</v>
      </c>
      <c r="AO65" s="594">
        <v>7.4999999999999997E-3</v>
      </c>
      <c r="AP65" s="594">
        <v>8.8000000000000005E-3</v>
      </c>
      <c r="AQ65" s="594">
        <v>8.0000000000000004E-4</v>
      </c>
      <c r="AR65" s="594">
        <v>1.4200000000000001E-2</v>
      </c>
      <c r="AS65" s="596"/>
      <c r="AT65" s="594">
        <v>7.46E-2</v>
      </c>
      <c r="AU65" s="594">
        <v>5.4000000000000003E-3</v>
      </c>
      <c r="AV65" s="593">
        <v>1.89E-2</v>
      </c>
      <c r="AW65" s="591">
        <v>8.3000000000000001E-3</v>
      </c>
      <c r="AX65" s="594">
        <v>6.7999999999999996E-3</v>
      </c>
      <c r="AY65" s="594">
        <v>3.0499999999999999E-2</v>
      </c>
      <c r="AZ65" s="594">
        <v>3.5000000000000001E-3</v>
      </c>
      <c r="BA65" s="594">
        <v>2.3E-3</v>
      </c>
      <c r="BB65" s="594">
        <v>1.8E-3</v>
      </c>
      <c r="BC65" s="594">
        <v>0</v>
      </c>
      <c r="BD65" s="594">
        <v>-6.1000000000000004E-3</v>
      </c>
      <c r="BE65" s="594">
        <v>7.4000000000000003E-3</v>
      </c>
      <c r="BF65" s="594">
        <v>1E-4</v>
      </c>
      <c r="BG65" s="594">
        <v>7.0000000000000001E-3</v>
      </c>
      <c r="BH65" s="594">
        <v>3.3999999999999998E-3</v>
      </c>
      <c r="BI65" s="594">
        <v>5.0000000000000001E-3</v>
      </c>
      <c r="BJ65" s="594">
        <v>5.3E-3</v>
      </c>
      <c r="BK65" s="594">
        <v>1E-4</v>
      </c>
      <c r="BL65" s="594">
        <v>5.7999999999999996E-3</v>
      </c>
      <c r="BM65" s="594">
        <v>3.0000000000000001E-3</v>
      </c>
      <c r="BN65" s="594">
        <v>0.29599999999999999</v>
      </c>
      <c r="BO65" s="594">
        <v>0.06</v>
      </c>
      <c r="BP65" s="594">
        <v>0.312</v>
      </c>
      <c r="BQ65" s="594">
        <v>0.21199999999999999</v>
      </c>
      <c r="BR65" s="594">
        <v>0.18</v>
      </c>
      <c r="BS65" s="594">
        <v>0.1111</v>
      </c>
      <c r="BT65" s="594">
        <v>0.18</v>
      </c>
      <c r="BU65" s="594">
        <v>0.221</v>
      </c>
      <c r="BV65" s="1467"/>
      <c r="BW65" s="594">
        <v>0.23</v>
      </c>
      <c r="BX65" s="594">
        <v>0.13</v>
      </c>
      <c r="BY65" s="594">
        <v>0.32900000000000001</v>
      </c>
      <c r="BZ65" s="594">
        <v>8.6999999999999994E-2</v>
      </c>
      <c r="CA65" s="594">
        <v>0</v>
      </c>
      <c r="CB65" s="593">
        <v>0.25</v>
      </c>
      <c r="CC65" s="594">
        <v>0.3</v>
      </c>
      <c r="CD65" s="594">
        <v>0.13</v>
      </c>
      <c r="CE65" s="594">
        <v>0.3</v>
      </c>
      <c r="CF65" s="594">
        <v>0.14599999999999999</v>
      </c>
      <c r="CG65" s="594">
        <v>0.22</v>
      </c>
      <c r="CH65" s="594">
        <v>0.27</v>
      </c>
      <c r="CI65" s="594">
        <v>0.25</v>
      </c>
      <c r="CJ65" s="594">
        <v>0</v>
      </c>
      <c r="CK65" s="594">
        <v>5.2499999999999998E-2</v>
      </c>
      <c r="CL65" s="594">
        <f>((4/31)*0.0826)+((27/31)*0.107)</f>
        <v>0.10385161290322581</v>
      </c>
      <c r="CM65" s="594">
        <v>0.188</v>
      </c>
      <c r="CN65" s="594">
        <v>0.17</v>
      </c>
      <c r="CO65" s="594">
        <v>0.1118</v>
      </c>
      <c r="CP65" s="594">
        <v>0.2</v>
      </c>
      <c r="CQ65" s="594">
        <v>0.25</v>
      </c>
      <c r="CR65" s="594">
        <v>0.35</v>
      </c>
      <c r="CS65" s="597"/>
      <c r="CT65" s="591">
        <v>2.7E-2</v>
      </c>
      <c r="CU65" s="1233">
        <v>3.0429999999999999E-2</v>
      </c>
      <c r="CV65" s="591">
        <v>0</v>
      </c>
      <c r="CW65" s="915">
        <v>1.8637000000000001E-2</v>
      </c>
      <c r="CX65" s="591">
        <v>4.2000000000000003E-2</v>
      </c>
      <c r="CY65" s="1234"/>
      <c r="CZ65" s="591">
        <v>3.3000000000000002E-2</v>
      </c>
      <c r="DA65" s="591">
        <v>3.1E-2</v>
      </c>
      <c r="DB65" s="591">
        <v>0.05</v>
      </c>
      <c r="DC65" s="591"/>
      <c r="DD65" s="591">
        <v>3.4000000000000002E-2</v>
      </c>
      <c r="DE65" s="591">
        <v>4.4999999999999998E-2</v>
      </c>
      <c r="DF65" s="591">
        <v>1.7000000000000001E-2</v>
      </c>
      <c r="DG65" s="591">
        <v>1.9E-2</v>
      </c>
      <c r="DH65" s="591">
        <v>4.3999999999999997E-2</v>
      </c>
      <c r="DI65" s="915">
        <v>2.2001E-2</v>
      </c>
      <c r="DJ65" s="1234"/>
      <c r="DK65" s="591"/>
      <c r="DL65" s="591">
        <v>2.5000000000000001E-2</v>
      </c>
      <c r="DM65" s="591">
        <v>0.03</v>
      </c>
      <c r="DN65" s="915">
        <v>2.4475000000000004E-2</v>
      </c>
      <c r="DO65" s="591">
        <v>1.7000000000000001E-2</v>
      </c>
      <c r="DP65" s="591">
        <v>8.9999999999999993E-3</v>
      </c>
      <c r="DQ65" s="1234"/>
      <c r="DR65" s="591"/>
      <c r="DS65" s="1234"/>
      <c r="DT65" s="591">
        <v>0.02</v>
      </c>
      <c r="DU65" s="591">
        <v>3.3000000000000002E-2</v>
      </c>
      <c r="DV65" s="591">
        <v>2.5000000000000001E-2</v>
      </c>
      <c r="DW65" s="591">
        <v>4.1000000000000002E-2</v>
      </c>
      <c r="DX65" s="591">
        <v>0.05</v>
      </c>
      <c r="DY65" s="591">
        <v>1.7000000000000001E-2</v>
      </c>
      <c r="DZ65" s="916"/>
      <c r="EA65" s="1439"/>
      <c r="FV65" s="564"/>
      <c r="FX65" s="564"/>
    </row>
    <row r="66" spans="1:180" x14ac:dyDescent="0.3">
      <c r="A66" s="935">
        <v>41000</v>
      </c>
      <c r="B66" s="589">
        <v>0.08</v>
      </c>
      <c r="C66" s="590">
        <v>0.04</v>
      </c>
      <c r="D66" s="590">
        <v>0.04</v>
      </c>
      <c r="E66" s="590">
        <v>0.05</v>
      </c>
      <c r="F66" s="591">
        <v>0.1263</v>
      </c>
      <c r="G66" s="589">
        <v>0.1111</v>
      </c>
      <c r="H66" s="589">
        <v>0.06</v>
      </c>
      <c r="I66" s="590">
        <v>0.08</v>
      </c>
      <c r="J66" s="590">
        <v>0</v>
      </c>
      <c r="K66" s="590">
        <v>0.15</v>
      </c>
      <c r="L66" s="589">
        <v>4.2500000000000003E-2</v>
      </c>
      <c r="M66" s="592">
        <v>0.66</v>
      </c>
      <c r="N66" s="590">
        <v>0</v>
      </c>
      <c r="O66" s="589">
        <v>0</v>
      </c>
      <c r="P66" s="593">
        <v>7.7499999999999999E-2</v>
      </c>
      <c r="Q66" s="589">
        <v>0.105</v>
      </c>
      <c r="R66" s="590">
        <v>0.2</v>
      </c>
      <c r="S66" s="589">
        <v>2.2499999999999999E-2</v>
      </c>
      <c r="T66" s="594">
        <v>0.107</v>
      </c>
      <c r="U66" s="591">
        <v>6.2E-2</v>
      </c>
      <c r="V66" s="589">
        <v>0.16</v>
      </c>
      <c r="W66" s="595">
        <v>0.105</v>
      </c>
      <c r="X66" s="590">
        <v>0</v>
      </c>
      <c r="Y66" s="590">
        <v>7.0000000000000007E-2</v>
      </c>
      <c r="Z66" s="589">
        <v>0.1875</v>
      </c>
      <c r="AA66" s="589">
        <v>0</v>
      </c>
      <c r="AB66" s="590">
        <v>0.1</v>
      </c>
      <c r="AC66" s="590">
        <v>0.05</v>
      </c>
      <c r="AD66" s="590">
        <v>0.1</v>
      </c>
      <c r="AE66" s="590">
        <v>0.2</v>
      </c>
      <c r="AF66" s="590">
        <v>0.1</v>
      </c>
      <c r="AG66" s="590">
        <v>0</v>
      </c>
      <c r="AH66" s="594">
        <v>6.4999999999999997E-3</v>
      </c>
      <c r="AI66" s="594">
        <v>-1.9E-3</v>
      </c>
      <c r="AJ66" s="594">
        <v>9.1999999999999998E-3</v>
      </c>
      <c r="AK66" s="594">
        <v>2.5999999999999999E-3</v>
      </c>
      <c r="AL66" s="594">
        <v>3.3E-3</v>
      </c>
      <c r="AM66" s="596"/>
      <c r="AN66" s="594">
        <v>0</v>
      </c>
      <c r="AO66" s="594">
        <v>7.4999999999999997E-3</v>
      </c>
      <c r="AP66" s="594">
        <v>8.8000000000000005E-3</v>
      </c>
      <c r="AQ66" s="594">
        <v>8.0000000000000004E-4</v>
      </c>
      <c r="AR66" s="594">
        <v>1.4200000000000001E-2</v>
      </c>
      <c r="AS66" s="596"/>
      <c r="AT66" s="594">
        <v>7.46E-2</v>
      </c>
      <c r="AU66" s="594">
        <v>5.4000000000000003E-3</v>
      </c>
      <c r="AV66" s="593">
        <v>1.89E-2</v>
      </c>
      <c r="AW66" s="591">
        <v>8.3000000000000001E-3</v>
      </c>
      <c r="AX66" s="594">
        <v>6.7999999999999996E-3</v>
      </c>
      <c r="AY66" s="594">
        <v>3.0499999999999999E-2</v>
      </c>
      <c r="AZ66" s="594">
        <v>3.5000000000000001E-3</v>
      </c>
      <c r="BA66" s="594">
        <v>2.3E-3</v>
      </c>
      <c r="BB66" s="594">
        <v>1.8E-3</v>
      </c>
      <c r="BC66" s="594">
        <v>0</v>
      </c>
      <c r="BD66" s="594">
        <v>-6.1000000000000004E-3</v>
      </c>
      <c r="BE66" s="594">
        <v>7.4000000000000003E-3</v>
      </c>
      <c r="BF66" s="594">
        <v>1E-4</v>
      </c>
      <c r="BG66" s="594">
        <v>7.0000000000000001E-3</v>
      </c>
      <c r="BH66" s="594">
        <v>3.3999999999999998E-3</v>
      </c>
      <c r="BI66" s="594">
        <v>5.0000000000000001E-3</v>
      </c>
      <c r="BJ66" s="594">
        <v>5.3E-3</v>
      </c>
      <c r="BK66" s="594">
        <v>1E-4</v>
      </c>
      <c r="BL66" s="594">
        <v>5.7999999999999996E-3</v>
      </c>
      <c r="BM66" s="594">
        <v>3.0000000000000001E-3</v>
      </c>
      <c r="BN66" s="594">
        <v>0.29599999999999999</v>
      </c>
      <c r="BO66" s="594">
        <v>0.06</v>
      </c>
      <c r="BP66" s="594">
        <v>0.312</v>
      </c>
      <c r="BQ66" s="594">
        <v>0.21199999999999999</v>
      </c>
      <c r="BR66" s="594">
        <v>0.18</v>
      </c>
      <c r="BS66" s="594">
        <v>0.1111</v>
      </c>
      <c r="BT66" s="594">
        <v>0.18</v>
      </c>
      <c r="BU66" s="594">
        <v>0.221</v>
      </c>
      <c r="BV66" s="1467"/>
      <c r="BW66" s="594">
        <v>0.23</v>
      </c>
      <c r="BX66" s="594">
        <v>0.13</v>
      </c>
      <c r="BY66" s="594">
        <v>0.32900000000000001</v>
      </c>
      <c r="BZ66" s="594">
        <v>8.6999999999999994E-2</v>
      </c>
      <c r="CA66" s="594">
        <v>0</v>
      </c>
      <c r="CB66" s="593">
        <v>0.25</v>
      </c>
      <c r="CC66" s="594">
        <v>0.3</v>
      </c>
      <c r="CD66" s="594">
        <v>0.13</v>
      </c>
      <c r="CE66" s="594">
        <v>0.3</v>
      </c>
      <c r="CF66" s="594">
        <v>0.14599999999999999</v>
      </c>
      <c r="CG66" s="594">
        <v>0.22</v>
      </c>
      <c r="CH66" s="594">
        <v>0.27</v>
      </c>
      <c r="CI66" s="594">
        <v>0.25</v>
      </c>
      <c r="CJ66" s="594">
        <v>0</v>
      </c>
      <c r="CK66" s="594">
        <v>5.2499999999999998E-2</v>
      </c>
      <c r="CL66" s="594">
        <v>0.107</v>
      </c>
      <c r="CM66" s="594">
        <v>0.188</v>
      </c>
      <c r="CN66" s="594">
        <v>0.17</v>
      </c>
      <c r="CO66" s="594">
        <v>0.1118</v>
      </c>
      <c r="CP66" s="594">
        <v>0.2</v>
      </c>
      <c r="CQ66" s="594">
        <v>0.25</v>
      </c>
      <c r="CR66" s="594">
        <v>0.35</v>
      </c>
      <c r="CS66" s="597"/>
      <c r="CT66" s="591">
        <v>2.7E-2</v>
      </c>
      <c r="CU66" s="1233">
        <v>3.0429999999999999E-2</v>
      </c>
      <c r="CV66" s="591">
        <v>0</v>
      </c>
      <c r="CW66" s="915">
        <v>1.8637000000000001E-2</v>
      </c>
      <c r="CX66" s="591">
        <v>4.2000000000000003E-2</v>
      </c>
      <c r="CY66" s="1234"/>
      <c r="CZ66" s="591">
        <v>3.3000000000000002E-2</v>
      </c>
      <c r="DA66" s="591">
        <v>3.1E-2</v>
      </c>
      <c r="DB66" s="591">
        <v>0.05</v>
      </c>
      <c r="DC66" s="591"/>
      <c r="DD66" s="591">
        <v>3.4000000000000002E-2</v>
      </c>
      <c r="DE66" s="591">
        <v>4.4999999999999998E-2</v>
      </c>
      <c r="DF66" s="591">
        <v>1.7000000000000001E-2</v>
      </c>
      <c r="DG66" s="591">
        <v>1.9E-2</v>
      </c>
      <c r="DH66" s="591">
        <v>4.3999999999999997E-2</v>
      </c>
      <c r="DI66" s="915">
        <v>2.2001E-2</v>
      </c>
      <c r="DJ66" s="1234"/>
      <c r="DK66" s="591"/>
      <c r="DL66" s="591">
        <v>2.5000000000000001E-2</v>
      </c>
      <c r="DM66" s="591">
        <v>0.03</v>
      </c>
      <c r="DN66" s="915">
        <v>2.4475000000000004E-2</v>
      </c>
      <c r="DO66" s="591">
        <v>1.7000000000000001E-2</v>
      </c>
      <c r="DP66" s="591">
        <v>8.9999999999999993E-3</v>
      </c>
      <c r="DQ66" s="1234"/>
      <c r="DR66" s="591"/>
      <c r="DS66" s="1234"/>
      <c r="DT66" s="591">
        <v>0.02</v>
      </c>
      <c r="DU66" s="591">
        <v>3.3000000000000002E-2</v>
      </c>
      <c r="DV66" s="591">
        <v>2.5000000000000001E-2</v>
      </c>
      <c r="DW66" s="591">
        <v>4.1000000000000002E-2</v>
      </c>
      <c r="DX66" s="591">
        <v>0.05</v>
      </c>
      <c r="DY66" s="591">
        <v>1.7000000000000001E-2</v>
      </c>
      <c r="DZ66" s="916"/>
      <c r="EA66" s="1439"/>
      <c r="FV66" s="564"/>
      <c r="FX66" s="564"/>
    </row>
    <row r="67" spans="1:180" x14ac:dyDescent="0.3">
      <c r="A67" s="935">
        <v>41030</v>
      </c>
      <c r="B67" s="589">
        <v>0.08</v>
      </c>
      <c r="C67" s="590">
        <v>0.04</v>
      </c>
      <c r="D67" s="590">
        <v>0.04</v>
      </c>
      <c r="E67" s="590">
        <v>0.05</v>
      </c>
      <c r="F67" s="591">
        <v>0.1263</v>
      </c>
      <c r="G67" s="589">
        <v>0.1111</v>
      </c>
      <c r="H67" s="589">
        <v>0.06</v>
      </c>
      <c r="I67" s="590">
        <v>0.08</v>
      </c>
      <c r="J67" s="590">
        <v>0</v>
      </c>
      <c r="K67" s="590">
        <v>0.15</v>
      </c>
      <c r="L67" s="589">
        <v>4.2500000000000003E-2</v>
      </c>
      <c r="M67" s="592">
        <v>0.66</v>
      </c>
      <c r="N67" s="590">
        <v>0</v>
      </c>
      <c r="O67" s="589">
        <v>0</v>
      </c>
      <c r="P67" s="593">
        <v>7.7499999999999999E-2</v>
      </c>
      <c r="Q67" s="589">
        <v>0.105</v>
      </c>
      <c r="R67" s="590">
        <v>0.2</v>
      </c>
      <c r="S67" s="589">
        <v>2.2499999999999999E-2</v>
      </c>
      <c r="T67" s="594">
        <v>0.107</v>
      </c>
      <c r="U67" s="591">
        <v>6.2E-2</v>
      </c>
      <c r="V67" s="589">
        <v>0.16</v>
      </c>
      <c r="W67" s="595">
        <v>0.105</v>
      </c>
      <c r="X67" s="590">
        <v>0</v>
      </c>
      <c r="Y67" s="590">
        <v>7.0000000000000007E-2</v>
      </c>
      <c r="Z67" s="589">
        <v>0.1875</v>
      </c>
      <c r="AA67" s="589">
        <v>0</v>
      </c>
      <c r="AB67" s="590">
        <v>0.1</v>
      </c>
      <c r="AC67" s="590">
        <v>0.05</v>
      </c>
      <c r="AD67" s="590">
        <v>0.1</v>
      </c>
      <c r="AE67" s="590">
        <v>0.2</v>
      </c>
      <c r="AF67" s="590">
        <v>0.1</v>
      </c>
      <c r="AG67" s="590">
        <v>0</v>
      </c>
      <c r="AH67" s="594">
        <v>6.4999999999999997E-3</v>
      </c>
      <c r="AI67" s="594">
        <v>-1.9E-3</v>
      </c>
      <c r="AJ67" s="594">
        <v>9.1999999999999998E-3</v>
      </c>
      <c r="AK67" s="594">
        <v>2.5999999999999999E-3</v>
      </c>
      <c r="AL67" s="594">
        <v>3.3E-3</v>
      </c>
      <c r="AM67" s="596"/>
      <c r="AN67" s="594">
        <v>0</v>
      </c>
      <c r="AO67" s="594">
        <v>7.4999999999999997E-3</v>
      </c>
      <c r="AP67" s="594">
        <v>8.8000000000000005E-3</v>
      </c>
      <c r="AQ67" s="594">
        <v>8.0000000000000004E-4</v>
      </c>
      <c r="AR67" s="594">
        <v>1.4200000000000001E-2</v>
      </c>
      <c r="AS67" s="596"/>
      <c r="AT67" s="594">
        <v>7.46E-2</v>
      </c>
      <c r="AU67" s="594">
        <v>5.4000000000000003E-3</v>
      </c>
      <c r="AV67" s="593">
        <v>1.89E-2</v>
      </c>
      <c r="AW67" s="591">
        <v>8.3000000000000001E-3</v>
      </c>
      <c r="AX67" s="594">
        <v>6.7999999999999996E-3</v>
      </c>
      <c r="AY67" s="594">
        <v>3.0499999999999999E-2</v>
      </c>
      <c r="AZ67" s="594">
        <v>3.5000000000000001E-3</v>
      </c>
      <c r="BA67" s="594">
        <v>2.3E-3</v>
      </c>
      <c r="BB67" s="594">
        <v>1.8E-3</v>
      </c>
      <c r="BC67" s="594">
        <v>0</v>
      </c>
      <c r="BD67" s="594">
        <v>-6.1000000000000004E-3</v>
      </c>
      <c r="BE67" s="594">
        <v>7.4000000000000003E-3</v>
      </c>
      <c r="BF67" s="594">
        <v>1E-4</v>
      </c>
      <c r="BG67" s="594">
        <v>7.0000000000000001E-3</v>
      </c>
      <c r="BH67" s="594">
        <v>3.3999999999999998E-3</v>
      </c>
      <c r="BI67" s="594">
        <v>5.0000000000000001E-3</v>
      </c>
      <c r="BJ67" s="594">
        <v>5.3E-3</v>
      </c>
      <c r="BK67" s="594">
        <v>1E-4</v>
      </c>
      <c r="BL67" s="594">
        <v>5.7999999999999996E-3</v>
      </c>
      <c r="BM67" s="594">
        <v>3.0000000000000001E-3</v>
      </c>
      <c r="BN67" s="594">
        <v>0.29599999999999999</v>
      </c>
      <c r="BO67" s="594">
        <v>0.06</v>
      </c>
      <c r="BP67" s="594">
        <v>0.312</v>
      </c>
      <c r="BQ67" s="594">
        <v>0.21199999999999999</v>
      </c>
      <c r="BR67" s="594">
        <v>0.18</v>
      </c>
      <c r="BS67" s="594">
        <v>0.1111</v>
      </c>
      <c r="BT67" s="594">
        <v>0.18</v>
      </c>
      <c r="BU67" s="594">
        <v>0.221</v>
      </c>
      <c r="BV67" s="1467"/>
      <c r="BW67" s="594">
        <v>0.23</v>
      </c>
      <c r="BX67" s="594">
        <v>0.13</v>
      </c>
      <c r="BY67" s="594">
        <v>0.32900000000000001</v>
      </c>
      <c r="BZ67" s="594">
        <v>8.6999999999999994E-2</v>
      </c>
      <c r="CA67" s="594">
        <v>0</v>
      </c>
      <c r="CB67" s="593">
        <v>0.25</v>
      </c>
      <c r="CC67" s="594">
        <v>0.3</v>
      </c>
      <c r="CD67" s="594">
        <v>0.13</v>
      </c>
      <c r="CE67" s="594">
        <v>0.3</v>
      </c>
      <c r="CF67" s="594">
        <v>0.14599999999999999</v>
      </c>
      <c r="CG67" s="594">
        <v>0.22</v>
      </c>
      <c r="CH67" s="594">
        <v>0.27</v>
      </c>
      <c r="CI67" s="594">
        <v>0.25</v>
      </c>
      <c r="CJ67" s="594">
        <v>0</v>
      </c>
      <c r="CK67" s="594">
        <v>5.2499999999999998E-2</v>
      </c>
      <c r="CL67" s="594">
        <v>0.107</v>
      </c>
      <c r="CM67" s="594">
        <v>0.188</v>
      </c>
      <c r="CN67" s="594">
        <v>0.17</v>
      </c>
      <c r="CO67" s="594">
        <v>0.1118</v>
      </c>
      <c r="CP67" s="594">
        <v>0.2</v>
      </c>
      <c r="CQ67" s="594">
        <v>0.25</v>
      </c>
      <c r="CR67" s="594">
        <v>0.35</v>
      </c>
      <c r="CS67" s="597"/>
      <c r="CT67" s="591">
        <v>2.7E-2</v>
      </c>
      <c r="CU67" s="1233">
        <v>3.0429999999999999E-2</v>
      </c>
      <c r="CV67" s="591">
        <v>0</v>
      </c>
      <c r="CW67" s="915">
        <v>1.8637000000000001E-2</v>
      </c>
      <c r="CX67" s="591">
        <v>4.2000000000000003E-2</v>
      </c>
      <c r="CY67" s="1234"/>
      <c r="CZ67" s="591">
        <v>3.3000000000000002E-2</v>
      </c>
      <c r="DA67" s="591">
        <v>3.1E-2</v>
      </c>
      <c r="DB67" s="591">
        <v>0.05</v>
      </c>
      <c r="DC67" s="591"/>
      <c r="DD67" s="591">
        <v>3.4000000000000002E-2</v>
      </c>
      <c r="DE67" s="591">
        <v>4.4999999999999998E-2</v>
      </c>
      <c r="DF67" s="591">
        <v>1.7000000000000001E-2</v>
      </c>
      <c r="DG67" s="591">
        <v>1.9E-2</v>
      </c>
      <c r="DH67" s="591">
        <v>4.3999999999999997E-2</v>
      </c>
      <c r="DI67" s="915">
        <v>2.2001E-2</v>
      </c>
      <c r="DJ67" s="1234"/>
      <c r="DK67" s="591"/>
      <c r="DL67" s="591">
        <v>2.5000000000000001E-2</v>
      </c>
      <c r="DM67" s="591">
        <v>0.03</v>
      </c>
      <c r="DN67" s="915">
        <v>2.4475000000000004E-2</v>
      </c>
      <c r="DO67" s="591">
        <v>1.7000000000000001E-2</v>
      </c>
      <c r="DP67" s="591">
        <v>8.9999999999999993E-3</v>
      </c>
      <c r="DQ67" s="1234"/>
      <c r="DR67" s="591"/>
      <c r="DS67" s="1234"/>
      <c r="DT67" s="591">
        <v>0.02</v>
      </c>
      <c r="DU67" s="591">
        <v>3.3000000000000002E-2</v>
      </c>
      <c r="DV67" s="591">
        <v>2.5000000000000001E-2</v>
      </c>
      <c r="DW67" s="591">
        <v>4.1000000000000002E-2</v>
      </c>
      <c r="DX67" s="591">
        <v>0.05</v>
      </c>
      <c r="DY67" s="591">
        <v>1.7000000000000001E-2</v>
      </c>
      <c r="DZ67" s="916"/>
      <c r="EA67" s="1439"/>
      <c r="FV67" s="564"/>
      <c r="FX67" s="564"/>
    </row>
    <row r="68" spans="1:180" x14ac:dyDescent="0.3">
      <c r="A68" s="935">
        <v>41061</v>
      </c>
      <c r="B68" s="589">
        <v>0.08</v>
      </c>
      <c r="C68" s="590">
        <v>0.04</v>
      </c>
      <c r="D68" s="590">
        <v>0.04</v>
      </c>
      <c r="E68" s="590">
        <v>0.05</v>
      </c>
      <c r="F68" s="591">
        <v>0.1263</v>
      </c>
      <c r="G68" s="589">
        <v>0.1111</v>
      </c>
      <c r="H68" s="589">
        <v>0.06</v>
      </c>
      <c r="I68" s="590">
        <v>0.08</v>
      </c>
      <c r="J68" s="590">
        <v>0</v>
      </c>
      <c r="K68" s="590">
        <v>0.15</v>
      </c>
      <c r="L68" s="589">
        <v>4.2500000000000003E-2</v>
      </c>
      <c r="M68" s="592">
        <v>0.66</v>
      </c>
      <c r="N68" s="590">
        <v>0</v>
      </c>
      <c r="O68" s="589">
        <v>0</v>
      </c>
      <c r="P68" s="593">
        <v>7.7499999999999999E-2</v>
      </c>
      <c r="Q68" s="589">
        <v>0.105</v>
      </c>
      <c r="R68" s="590">
        <v>0.2</v>
      </c>
      <c r="S68" s="589">
        <v>2.2499999999999999E-2</v>
      </c>
      <c r="T68" s="594">
        <v>0.107</v>
      </c>
      <c r="U68" s="591">
        <v>6.2E-2</v>
      </c>
      <c r="V68" s="589">
        <v>0.16</v>
      </c>
      <c r="W68" s="595">
        <v>0.105</v>
      </c>
      <c r="X68" s="590">
        <v>0</v>
      </c>
      <c r="Y68" s="590">
        <v>7.0000000000000007E-2</v>
      </c>
      <c r="Z68" s="589">
        <v>0.1875</v>
      </c>
      <c r="AA68" s="589">
        <v>0</v>
      </c>
      <c r="AB68" s="590">
        <v>0.1</v>
      </c>
      <c r="AC68" s="590">
        <v>0.05</v>
      </c>
      <c r="AD68" s="590">
        <v>0.1</v>
      </c>
      <c r="AE68" s="590">
        <v>0.2</v>
      </c>
      <c r="AF68" s="590">
        <v>0.1</v>
      </c>
      <c r="AG68" s="590">
        <v>0</v>
      </c>
      <c r="AH68" s="594">
        <v>6.4999999999999997E-3</v>
      </c>
      <c r="AI68" s="594">
        <v>-1.9E-3</v>
      </c>
      <c r="AJ68" s="594">
        <v>9.1999999999999998E-3</v>
      </c>
      <c r="AK68" s="594">
        <v>2.5999999999999999E-3</v>
      </c>
      <c r="AL68" s="594">
        <v>3.3E-3</v>
      </c>
      <c r="AM68" s="596"/>
      <c r="AN68" s="594">
        <v>0</v>
      </c>
      <c r="AO68" s="594">
        <v>7.4999999999999997E-3</v>
      </c>
      <c r="AP68" s="594">
        <v>8.8000000000000005E-3</v>
      </c>
      <c r="AQ68" s="594">
        <v>8.0000000000000004E-4</v>
      </c>
      <c r="AR68" s="594">
        <v>1.4200000000000001E-2</v>
      </c>
      <c r="AS68" s="596"/>
      <c r="AT68" s="594">
        <v>7.46E-2</v>
      </c>
      <c r="AU68" s="594">
        <v>5.4000000000000003E-3</v>
      </c>
      <c r="AV68" s="593">
        <v>1.89E-2</v>
      </c>
      <c r="AW68" s="591">
        <v>8.3000000000000001E-3</v>
      </c>
      <c r="AX68" s="594">
        <v>6.7999999999999996E-3</v>
      </c>
      <c r="AY68" s="594">
        <v>3.0499999999999999E-2</v>
      </c>
      <c r="AZ68" s="594">
        <v>3.5000000000000001E-3</v>
      </c>
      <c r="BA68" s="594">
        <v>2.3E-3</v>
      </c>
      <c r="BB68" s="594">
        <v>1.8E-3</v>
      </c>
      <c r="BC68" s="594">
        <v>0</v>
      </c>
      <c r="BD68" s="594">
        <v>-6.1000000000000004E-3</v>
      </c>
      <c r="BE68" s="594">
        <v>7.4000000000000003E-3</v>
      </c>
      <c r="BF68" s="594">
        <v>1E-4</v>
      </c>
      <c r="BG68" s="594">
        <v>7.0000000000000001E-3</v>
      </c>
      <c r="BH68" s="594">
        <v>3.3999999999999998E-3</v>
      </c>
      <c r="BI68" s="594">
        <v>5.0000000000000001E-3</v>
      </c>
      <c r="BJ68" s="594">
        <v>5.3E-3</v>
      </c>
      <c r="BK68" s="594">
        <v>1E-4</v>
      </c>
      <c r="BL68" s="594">
        <v>5.7999999999999996E-3</v>
      </c>
      <c r="BM68" s="594">
        <v>3.0000000000000001E-3</v>
      </c>
      <c r="BN68" s="594">
        <v>0.29599999999999999</v>
      </c>
      <c r="BO68" s="594">
        <v>0.06</v>
      </c>
      <c r="BP68" s="594">
        <v>0.312</v>
      </c>
      <c r="BQ68" s="594">
        <v>0.21199999999999999</v>
      </c>
      <c r="BR68" s="594">
        <v>0.18</v>
      </c>
      <c r="BS68" s="594">
        <v>0.1111</v>
      </c>
      <c r="BT68" s="594">
        <v>0.18</v>
      </c>
      <c r="BU68" s="594">
        <v>0.221</v>
      </c>
      <c r="BV68" s="1467"/>
      <c r="BW68" s="594">
        <v>0.23</v>
      </c>
      <c r="BX68" s="594">
        <v>0.13</v>
      </c>
      <c r="BY68" s="594">
        <v>0.32900000000000001</v>
      </c>
      <c r="BZ68" s="594">
        <v>8.6999999999999994E-2</v>
      </c>
      <c r="CA68" s="594">
        <v>0</v>
      </c>
      <c r="CB68" s="593">
        <v>0.25</v>
      </c>
      <c r="CC68" s="594">
        <v>0.3</v>
      </c>
      <c r="CD68" s="594">
        <v>0.13</v>
      </c>
      <c r="CE68" s="594">
        <v>0.3</v>
      </c>
      <c r="CF68" s="594">
        <v>0.14599999999999999</v>
      </c>
      <c r="CG68" s="594">
        <v>0.22</v>
      </c>
      <c r="CH68" s="594">
        <v>0.27</v>
      </c>
      <c r="CI68" s="594">
        <v>0.25</v>
      </c>
      <c r="CJ68" s="594">
        <v>0</v>
      </c>
      <c r="CK68" s="594">
        <v>5.2499999999999998E-2</v>
      </c>
      <c r="CL68" s="594">
        <v>0.107</v>
      </c>
      <c r="CM68" s="594">
        <v>0.188</v>
      </c>
      <c r="CN68" s="594">
        <v>0.17</v>
      </c>
      <c r="CO68" s="594">
        <v>0.1118</v>
      </c>
      <c r="CP68" s="594">
        <v>0.2</v>
      </c>
      <c r="CQ68" s="594">
        <v>0.25</v>
      </c>
      <c r="CR68" s="594">
        <v>0.35</v>
      </c>
      <c r="CS68" s="597"/>
      <c r="CT68" s="591">
        <v>2.7E-2</v>
      </c>
      <c r="CU68" s="1233">
        <v>3.0429999999999999E-2</v>
      </c>
      <c r="CV68" s="591">
        <v>0</v>
      </c>
      <c r="CW68" s="915">
        <v>1.8637000000000001E-2</v>
      </c>
      <c r="CX68" s="591">
        <v>4.2000000000000003E-2</v>
      </c>
      <c r="CY68" s="1234"/>
      <c r="CZ68" s="591">
        <v>3.3000000000000002E-2</v>
      </c>
      <c r="DA68" s="591">
        <v>3.1E-2</v>
      </c>
      <c r="DB68" s="591">
        <v>0.05</v>
      </c>
      <c r="DC68" s="591"/>
      <c r="DD68" s="591">
        <v>3.4000000000000002E-2</v>
      </c>
      <c r="DE68" s="591">
        <v>4.4999999999999998E-2</v>
      </c>
      <c r="DF68" s="591">
        <v>1.7000000000000001E-2</v>
      </c>
      <c r="DG68" s="591">
        <v>1.9E-2</v>
      </c>
      <c r="DH68" s="591">
        <v>4.3999999999999997E-2</v>
      </c>
      <c r="DI68" s="915">
        <v>2.2001E-2</v>
      </c>
      <c r="DJ68" s="1234"/>
      <c r="DK68" s="591"/>
      <c r="DL68" s="591">
        <v>2.5000000000000001E-2</v>
      </c>
      <c r="DM68" s="591">
        <v>0.03</v>
      </c>
      <c r="DN68" s="915">
        <v>2.4475000000000004E-2</v>
      </c>
      <c r="DO68" s="591">
        <v>1.7000000000000001E-2</v>
      </c>
      <c r="DP68" s="591">
        <v>8.9999999999999993E-3</v>
      </c>
      <c r="DQ68" s="1234"/>
      <c r="DR68" s="591"/>
      <c r="DS68" s="1234"/>
      <c r="DT68" s="591">
        <v>0.02</v>
      </c>
      <c r="DU68" s="591">
        <v>3.3000000000000002E-2</v>
      </c>
      <c r="DV68" s="591">
        <v>2.5000000000000001E-2</v>
      </c>
      <c r="DW68" s="591">
        <v>4.1000000000000002E-2</v>
      </c>
      <c r="DX68" s="591">
        <v>0.05</v>
      </c>
      <c r="DY68" s="591">
        <v>1.7000000000000001E-2</v>
      </c>
      <c r="DZ68" s="916"/>
      <c r="EA68" s="1439"/>
      <c r="FV68" s="564"/>
      <c r="FX68" s="564"/>
    </row>
    <row r="69" spans="1:180" x14ac:dyDescent="0.3">
      <c r="A69" s="935">
        <v>41091</v>
      </c>
      <c r="B69" s="589">
        <v>0.08</v>
      </c>
      <c r="C69" s="590">
        <v>0.04</v>
      </c>
      <c r="D69" s="590">
        <v>0.04</v>
      </c>
      <c r="E69" s="590">
        <v>0.05</v>
      </c>
      <c r="F69" s="591">
        <v>0.1263</v>
      </c>
      <c r="G69" s="589">
        <v>0.1111</v>
      </c>
      <c r="H69" s="589">
        <v>0.06</v>
      </c>
      <c r="I69" s="590">
        <v>0.08</v>
      </c>
      <c r="J69" s="590">
        <v>0</v>
      </c>
      <c r="K69" s="590">
        <v>0.15</v>
      </c>
      <c r="L69" s="589">
        <v>4.2500000000000003E-2</v>
      </c>
      <c r="M69" s="592">
        <v>0.66</v>
      </c>
      <c r="N69" s="590">
        <v>0</v>
      </c>
      <c r="O69" s="589">
        <v>0</v>
      </c>
      <c r="P69" s="593">
        <v>7.7499999999999999E-2</v>
      </c>
      <c r="Q69" s="589">
        <v>0.105</v>
      </c>
      <c r="R69" s="590">
        <v>0.2</v>
      </c>
      <c r="S69" s="589">
        <v>2.2499999999999999E-2</v>
      </c>
      <c r="T69" s="594">
        <v>0.107</v>
      </c>
      <c r="U69" s="591">
        <v>6.2E-2</v>
      </c>
      <c r="V69" s="589">
        <v>0.16</v>
      </c>
      <c r="W69" s="595">
        <v>0.105</v>
      </c>
      <c r="X69" s="590">
        <v>0</v>
      </c>
      <c r="Y69" s="590">
        <v>7.0000000000000007E-2</v>
      </c>
      <c r="Z69" s="589">
        <v>0.1875</v>
      </c>
      <c r="AA69" s="589">
        <v>0</v>
      </c>
      <c r="AB69" s="590">
        <v>0.1</v>
      </c>
      <c r="AC69" s="590">
        <v>0.05</v>
      </c>
      <c r="AD69" s="590">
        <v>0.1</v>
      </c>
      <c r="AE69" s="590">
        <v>0.2</v>
      </c>
      <c r="AF69" s="590">
        <v>0.1</v>
      </c>
      <c r="AG69" s="590">
        <v>0</v>
      </c>
      <c r="AH69" s="594">
        <v>1.04E-2</v>
      </c>
      <c r="AI69" s="594">
        <v>9.4000000000000004E-3</v>
      </c>
      <c r="AJ69" s="594">
        <v>2.3E-2</v>
      </c>
      <c r="AK69" s="594">
        <v>7.0000000000000001E-3</v>
      </c>
      <c r="AL69" s="594">
        <v>8.8999999999999999E-3</v>
      </c>
      <c r="AM69" s="596"/>
      <c r="AN69" s="594">
        <v>1.0699999999999999E-2</v>
      </c>
      <c r="AO69" s="594">
        <v>1.5599999999999999E-2</v>
      </c>
      <c r="AP69" s="594">
        <v>1.0800000000000001E-2</v>
      </c>
      <c r="AQ69" s="594">
        <v>7.4999999999999997E-3</v>
      </c>
      <c r="AR69" s="594">
        <v>1.3899999999999999E-2</v>
      </c>
      <c r="AS69" s="596"/>
      <c r="AT69" s="594">
        <v>7.6200000000000004E-2</v>
      </c>
      <c r="AU69" s="594">
        <v>7.7999999999999996E-3</v>
      </c>
      <c r="AV69" s="593">
        <v>2.0899999999999998E-2</v>
      </c>
      <c r="AW69" s="591">
        <v>8.3000000000000001E-3</v>
      </c>
      <c r="AX69" s="594">
        <v>1.0200000000000001E-2</v>
      </c>
      <c r="AY69" s="591">
        <v>2.81E-2</v>
      </c>
      <c r="AZ69" s="594">
        <v>6.7000000000000002E-3</v>
      </c>
      <c r="BA69" s="594">
        <v>9.9000000000000008E-3</v>
      </c>
      <c r="BB69" s="594">
        <v>9.5999999999999992E-3</v>
      </c>
      <c r="BC69" s="594">
        <v>-1.1000000000000001E-3</v>
      </c>
      <c r="BD69" s="594">
        <v>6.7000000000000002E-3</v>
      </c>
      <c r="BE69" s="594">
        <v>9.7000000000000003E-3</v>
      </c>
      <c r="BF69" s="594">
        <v>1.0500000000000001E-2</v>
      </c>
      <c r="BG69" s="594">
        <v>1.5699999999999999E-2</v>
      </c>
      <c r="BH69" s="594">
        <v>8.5000000000000006E-3</v>
      </c>
      <c r="BI69" s="594">
        <v>1.14E-2</v>
      </c>
      <c r="BJ69" s="594">
        <v>1.24E-2</v>
      </c>
      <c r="BK69" s="594">
        <v>8.6E-3</v>
      </c>
      <c r="BL69" s="594">
        <v>1.3299999999999999E-2</v>
      </c>
      <c r="BM69" s="594">
        <v>3.2000000000000002E-3</v>
      </c>
      <c r="BN69" s="594">
        <v>0.29599999999999999</v>
      </c>
      <c r="BO69" s="594">
        <v>0.06</v>
      </c>
      <c r="BP69" s="594">
        <v>0.312</v>
      </c>
      <c r="BQ69" s="594">
        <v>0.21199999999999999</v>
      </c>
      <c r="BR69" s="594">
        <v>0.18</v>
      </c>
      <c r="BS69" s="594">
        <v>0.1111</v>
      </c>
      <c r="BT69" s="594">
        <v>0.18</v>
      </c>
      <c r="BU69" s="594">
        <v>0.221</v>
      </c>
      <c r="BV69" s="1467"/>
      <c r="BW69" s="594">
        <v>0.23</v>
      </c>
      <c r="BX69" s="594">
        <v>0.13</v>
      </c>
      <c r="BY69" s="594">
        <v>0.32900000000000001</v>
      </c>
      <c r="BZ69" s="594">
        <v>8.6999999999999994E-2</v>
      </c>
      <c r="CA69" s="594">
        <v>0</v>
      </c>
      <c r="CB69" s="593">
        <v>0.25</v>
      </c>
      <c r="CC69" s="594">
        <v>0.3</v>
      </c>
      <c r="CD69" s="594">
        <v>0.13</v>
      </c>
      <c r="CE69" s="594">
        <v>0.3</v>
      </c>
      <c r="CF69" s="594">
        <v>0.14599999999999999</v>
      </c>
      <c r="CG69" s="594">
        <v>0.22</v>
      </c>
      <c r="CH69" s="594">
        <v>0.27</v>
      </c>
      <c r="CI69" s="594">
        <v>0.25</v>
      </c>
      <c r="CJ69" s="594">
        <v>0</v>
      </c>
      <c r="CK69" s="594">
        <v>5.2499999999999998E-2</v>
      </c>
      <c r="CL69" s="594">
        <v>0.107</v>
      </c>
      <c r="CM69" s="594">
        <v>0.188</v>
      </c>
      <c r="CN69" s="594">
        <v>0.17</v>
      </c>
      <c r="CO69" s="594">
        <v>0.1118</v>
      </c>
      <c r="CP69" s="594">
        <v>0.2</v>
      </c>
      <c r="CQ69" s="594">
        <v>0.25</v>
      </c>
      <c r="CR69" s="594">
        <v>0.35</v>
      </c>
      <c r="CS69" s="597"/>
      <c r="CT69" s="591">
        <v>2.7E-2</v>
      </c>
      <c r="CU69" s="1233">
        <v>3.0429999999999999E-2</v>
      </c>
      <c r="CV69" s="591">
        <v>0</v>
      </c>
      <c r="CW69" s="915">
        <v>1.8637000000000001E-2</v>
      </c>
      <c r="CX69" s="591">
        <v>4.2000000000000003E-2</v>
      </c>
      <c r="CY69" s="1234"/>
      <c r="CZ69" s="591">
        <v>3.3000000000000002E-2</v>
      </c>
      <c r="DA69" s="591">
        <v>3.1E-2</v>
      </c>
      <c r="DB69" s="591">
        <v>0.05</v>
      </c>
      <c r="DC69" s="591"/>
      <c r="DD69" s="591">
        <v>3.4000000000000002E-2</v>
      </c>
      <c r="DE69" s="591">
        <v>4.4999999999999998E-2</v>
      </c>
      <c r="DF69" s="591">
        <v>1.7000000000000001E-2</v>
      </c>
      <c r="DG69" s="591">
        <v>1.9E-2</v>
      </c>
      <c r="DH69" s="591">
        <v>4.3999999999999997E-2</v>
      </c>
      <c r="DI69" s="915">
        <v>2.2001E-2</v>
      </c>
      <c r="DJ69" s="1234"/>
      <c r="DK69" s="591"/>
      <c r="DL69" s="591">
        <v>2.5000000000000001E-2</v>
      </c>
      <c r="DM69" s="591">
        <v>0.03</v>
      </c>
      <c r="DN69" s="915">
        <v>2.4475000000000004E-2</v>
      </c>
      <c r="DO69" s="591">
        <v>1.7000000000000001E-2</v>
      </c>
      <c r="DP69" s="591">
        <v>8.9999999999999993E-3</v>
      </c>
      <c r="DQ69" s="1234"/>
      <c r="DR69" s="591"/>
      <c r="DS69" s="1234"/>
      <c r="DT69" s="591">
        <v>0.02</v>
      </c>
      <c r="DU69" s="591">
        <v>3.3000000000000002E-2</v>
      </c>
      <c r="DV69" s="591">
        <v>2.5000000000000001E-2</v>
      </c>
      <c r="DW69" s="591">
        <v>4.1000000000000002E-2</v>
      </c>
      <c r="DX69" s="591">
        <v>0.05</v>
      </c>
      <c r="DY69" s="591">
        <v>1.7000000000000001E-2</v>
      </c>
      <c r="DZ69" s="916"/>
      <c r="EA69" s="1439"/>
      <c r="FV69" s="564"/>
      <c r="FX69" s="564"/>
    </row>
    <row r="70" spans="1:180" x14ac:dyDescent="0.3">
      <c r="A70" s="935">
        <v>41122</v>
      </c>
      <c r="B70" s="589">
        <v>0.08</v>
      </c>
      <c r="C70" s="590">
        <v>0.04</v>
      </c>
      <c r="D70" s="590">
        <v>0.04</v>
      </c>
      <c r="E70" s="590">
        <v>0.05</v>
      </c>
      <c r="F70" s="591">
        <v>0.1263</v>
      </c>
      <c r="G70" s="589">
        <v>0.1111</v>
      </c>
      <c r="H70" s="589">
        <v>0.06</v>
      </c>
      <c r="I70" s="590">
        <v>0.08</v>
      </c>
      <c r="J70" s="590">
        <v>0</v>
      </c>
      <c r="K70" s="590">
        <v>0.15</v>
      </c>
      <c r="L70" s="589">
        <v>4.2500000000000003E-2</v>
      </c>
      <c r="M70" s="592">
        <v>0.66</v>
      </c>
      <c r="N70" s="590">
        <v>0</v>
      </c>
      <c r="O70" s="589">
        <v>0</v>
      </c>
      <c r="P70" s="593">
        <v>7.7499999999999999E-2</v>
      </c>
      <c r="Q70" s="589">
        <v>0.105</v>
      </c>
      <c r="R70" s="590">
        <v>0.2</v>
      </c>
      <c r="S70" s="589">
        <v>2.2499999999999999E-2</v>
      </c>
      <c r="T70" s="594">
        <v>0.107</v>
      </c>
      <c r="U70" s="591">
        <v>6.2E-2</v>
      </c>
      <c r="V70" s="589">
        <v>0.16</v>
      </c>
      <c r="W70" s="595">
        <v>0.105</v>
      </c>
      <c r="X70" s="590">
        <v>0</v>
      </c>
      <c r="Y70" s="590">
        <v>7.0000000000000007E-2</v>
      </c>
      <c r="Z70" s="589">
        <v>0.1875</v>
      </c>
      <c r="AA70" s="589">
        <v>0</v>
      </c>
      <c r="AB70" s="590">
        <v>0.1</v>
      </c>
      <c r="AC70" s="590">
        <v>0.05</v>
      </c>
      <c r="AD70" s="590">
        <v>0.1</v>
      </c>
      <c r="AE70" s="590">
        <v>0.2</v>
      </c>
      <c r="AF70" s="590">
        <v>0.1</v>
      </c>
      <c r="AG70" s="590">
        <v>0</v>
      </c>
      <c r="AH70" s="594">
        <v>1.04E-2</v>
      </c>
      <c r="AI70" s="594">
        <v>9.4000000000000004E-3</v>
      </c>
      <c r="AJ70" s="594">
        <v>2.3E-2</v>
      </c>
      <c r="AK70" s="594">
        <v>7.0000000000000001E-3</v>
      </c>
      <c r="AL70" s="594">
        <v>8.8999999999999999E-3</v>
      </c>
      <c r="AM70" s="596"/>
      <c r="AN70" s="594">
        <v>1.0699999999999999E-2</v>
      </c>
      <c r="AO70" s="594">
        <v>1.5599999999999999E-2</v>
      </c>
      <c r="AP70" s="594">
        <v>1.0800000000000001E-2</v>
      </c>
      <c r="AQ70" s="594">
        <v>7.4999999999999997E-3</v>
      </c>
      <c r="AR70" s="594">
        <v>1.3899999999999999E-2</v>
      </c>
      <c r="AS70" s="596"/>
      <c r="AT70" s="594">
        <v>7.6200000000000004E-2</v>
      </c>
      <c r="AU70" s="594">
        <v>7.7999999999999996E-3</v>
      </c>
      <c r="AV70" s="593">
        <v>2.0899999999999998E-2</v>
      </c>
      <c r="AW70" s="591">
        <v>8.3000000000000001E-3</v>
      </c>
      <c r="AX70" s="594">
        <v>1.0200000000000001E-2</v>
      </c>
      <c r="AY70" s="591">
        <v>2.81E-2</v>
      </c>
      <c r="AZ70" s="594">
        <v>6.7000000000000002E-3</v>
      </c>
      <c r="BA70" s="594">
        <v>9.9000000000000008E-3</v>
      </c>
      <c r="BB70" s="594">
        <v>9.5999999999999992E-3</v>
      </c>
      <c r="BC70" s="594">
        <v>-1.1000000000000001E-3</v>
      </c>
      <c r="BD70" s="594">
        <v>6.7000000000000002E-3</v>
      </c>
      <c r="BE70" s="594">
        <v>9.7000000000000003E-3</v>
      </c>
      <c r="BF70" s="594">
        <v>1.0500000000000001E-2</v>
      </c>
      <c r="BG70" s="594">
        <v>1.5699999999999999E-2</v>
      </c>
      <c r="BH70" s="594">
        <v>8.5000000000000006E-3</v>
      </c>
      <c r="BI70" s="594">
        <v>1.14E-2</v>
      </c>
      <c r="BJ70" s="594">
        <v>1.24E-2</v>
      </c>
      <c r="BK70" s="594">
        <v>8.6E-3</v>
      </c>
      <c r="BL70" s="594">
        <v>1.3299999999999999E-2</v>
      </c>
      <c r="BM70" s="594">
        <v>3.2000000000000002E-3</v>
      </c>
      <c r="BN70" s="594">
        <v>0.29599999999999999</v>
      </c>
      <c r="BO70" s="594">
        <v>0.06</v>
      </c>
      <c r="BP70" s="594">
        <v>0.312</v>
      </c>
      <c r="BQ70" s="594">
        <v>0.21199999999999999</v>
      </c>
      <c r="BR70" s="594">
        <v>0.18</v>
      </c>
      <c r="BS70" s="594">
        <v>0.1111</v>
      </c>
      <c r="BT70" s="594">
        <v>0.18</v>
      </c>
      <c r="BU70" s="594">
        <v>0.221</v>
      </c>
      <c r="BV70" s="1467"/>
      <c r="BW70" s="594">
        <v>0.23</v>
      </c>
      <c r="BX70" s="594">
        <v>0.13</v>
      </c>
      <c r="BY70" s="594">
        <v>0.32900000000000001</v>
      </c>
      <c r="BZ70" s="594">
        <v>8.6999999999999994E-2</v>
      </c>
      <c r="CA70" s="594">
        <v>0</v>
      </c>
      <c r="CB70" s="593">
        <v>0.25</v>
      </c>
      <c r="CC70" s="594">
        <v>0.3</v>
      </c>
      <c r="CD70" s="594">
        <v>0.13</v>
      </c>
      <c r="CE70" s="594">
        <v>0.3</v>
      </c>
      <c r="CF70" s="594">
        <v>0.14599999999999999</v>
      </c>
      <c r="CG70" s="594">
        <v>0.22</v>
      </c>
      <c r="CH70" s="594">
        <v>0.27</v>
      </c>
      <c r="CI70" s="594">
        <v>0.25</v>
      </c>
      <c r="CJ70" s="594">
        <v>0</v>
      </c>
      <c r="CK70" s="594">
        <v>5.2499999999999998E-2</v>
      </c>
      <c r="CL70" s="594">
        <v>0.107</v>
      </c>
      <c r="CM70" s="594">
        <v>0.188</v>
      </c>
      <c r="CN70" s="594">
        <v>0.17</v>
      </c>
      <c r="CO70" s="594">
        <v>0.1118</v>
      </c>
      <c r="CP70" s="594">
        <v>0.2</v>
      </c>
      <c r="CQ70" s="594">
        <v>0.25</v>
      </c>
      <c r="CR70" s="594">
        <v>0.35</v>
      </c>
      <c r="CS70" s="597"/>
      <c r="CT70" s="591">
        <v>2.7E-2</v>
      </c>
      <c r="CU70" s="1233">
        <v>3.0429999999999999E-2</v>
      </c>
      <c r="CV70" s="591">
        <v>0</v>
      </c>
      <c r="CW70" s="915">
        <v>1.8637000000000001E-2</v>
      </c>
      <c r="CX70" s="591">
        <v>4.2000000000000003E-2</v>
      </c>
      <c r="CY70" s="1234"/>
      <c r="CZ70" s="591">
        <v>3.3000000000000002E-2</v>
      </c>
      <c r="DA70" s="591">
        <v>3.1E-2</v>
      </c>
      <c r="DB70" s="591">
        <v>0.05</v>
      </c>
      <c r="DC70" s="591"/>
      <c r="DD70" s="591">
        <v>3.4000000000000002E-2</v>
      </c>
      <c r="DE70" s="591">
        <v>4.4999999999999998E-2</v>
      </c>
      <c r="DF70" s="591">
        <v>1.7000000000000001E-2</v>
      </c>
      <c r="DG70" s="591">
        <v>1.9E-2</v>
      </c>
      <c r="DH70" s="591">
        <v>4.3999999999999997E-2</v>
      </c>
      <c r="DI70" s="915">
        <v>2.2001E-2</v>
      </c>
      <c r="DJ70" s="1234"/>
      <c r="DK70" s="591"/>
      <c r="DL70" s="591">
        <v>2.5000000000000001E-2</v>
      </c>
      <c r="DM70" s="591">
        <v>0.03</v>
      </c>
      <c r="DN70" s="915">
        <v>2.4475000000000004E-2</v>
      </c>
      <c r="DO70" s="591">
        <v>1.7000000000000001E-2</v>
      </c>
      <c r="DP70" s="591">
        <v>8.9999999999999993E-3</v>
      </c>
      <c r="DQ70" s="1234"/>
      <c r="DR70" s="591"/>
      <c r="DS70" s="1234"/>
      <c r="DT70" s="591">
        <v>0.02</v>
      </c>
      <c r="DU70" s="591">
        <v>3.3000000000000002E-2</v>
      </c>
      <c r="DV70" s="591">
        <v>2.5000000000000001E-2</v>
      </c>
      <c r="DW70" s="591">
        <v>4.1000000000000002E-2</v>
      </c>
      <c r="DX70" s="591">
        <v>0.05</v>
      </c>
      <c r="DY70" s="591">
        <v>1.7000000000000001E-2</v>
      </c>
      <c r="DZ70" s="916"/>
      <c r="EA70" s="1439"/>
      <c r="FV70" s="564"/>
      <c r="FX70" s="564"/>
    </row>
    <row r="71" spans="1:180" x14ac:dyDescent="0.3">
      <c r="A71" s="935">
        <v>41153</v>
      </c>
      <c r="B71" s="589">
        <v>0.08</v>
      </c>
      <c r="C71" s="590">
        <v>0.04</v>
      </c>
      <c r="D71" s="590">
        <v>0.04</v>
      </c>
      <c r="E71" s="590">
        <v>0.05</v>
      </c>
      <c r="F71" s="591">
        <v>0.1263</v>
      </c>
      <c r="G71" s="589">
        <v>0.1111</v>
      </c>
      <c r="H71" s="589">
        <v>0.06</v>
      </c>
      <c r="I71" s="590">
        <v>0.08</v>
      </c>
      <c r="J71" s="590">
        <v>0</v>
      </c>
      <c r="K71" s="590">
        <v>0.15</v>
      </c>
      <c r="L71" s="589">
        <v>4.2500000000000003E-2</v>
      </c>
      <c r="M71" s="592">
        <v>0.66</v>
      </c>
      <c r="N71" s="590">
        <v>0</v>
      </c>
      <c r="O71" s="589">
        <v>0</v>
      </c>
      <c r="P71" s="593">
        <v>7.7499999999999999E-2</v>
      </c>
      <c r="Q71" s="589">
        <v>0.105</v>
      </c>
      <c r="R71" s="590">
        <v>0.2</v>
      </c>
      <c r="S71" s="589">
        <v>2.2499999999999999E-2</v>
      </c>
      <c r="T71" s="594">
        <v>0.107</v>
      </c>
      <c r="U71" s="591">
        <v>6.2E-2</v>
      </c>
      <c r="V71" s="589">
        <v>0.16</v>
      </c>
      <c r="W71" s="595">
        <v>0.105</v>
      </c>
      <c r="X71" s="590">
        <v>0</v>
      </c>
      <c r="Y71" s="590">
        <v>7.0000000000000007E-2</v>
      </c>
      <c r="Z71" s="589">
        <v>0.1875</v>
      </c>
      <c r="AA71" s="589">
        <v>0</v>
      </c>
      <c r="AB71" s="590">
        <v>0.1</v>
      </c>
      <c r="AC71" s="590">
        <v>0.05</v>
      </c>
      <c r="AD71" s="590">
        <v>0.1</v>
      </c>
      <c r="AE71" s="590">
        <v>0.2</v>
      </c>
      <c r="AF71" s="590">
        <v>0.1</v>
      </c>
      <c r="AG71" s="590">
        <v>0</v>
      </c>
      <c r="AH71" s="594">
        <v>1.04E-2</v>
      </c>
      <c r="AI71" s="594">
        <v>9.4000000000000004E-3</v>
      </c>
      <c r="AJ71" s="594">
        <v>2.3E-2</v>
      </c>
      <c r="AK71" s="594">
        <v>7.0000000000000001E-3</v>
      </c>
      <c r="AL71" s="594">
        <v>8.8999999999999999E-3</v>
      </c>
      <c r="AM71" s="596"/>
      <c r="AN71" s="594">
        <v>1.0699999999999999E-2</v>
      </c>
      <c r="AO71" s="594">
        <v>1.5599999999999999E-2</v>
      </c>
      <c r="AP71" s="594">
        <v>1.0800000000000001E-2</v>
      </c>
      <c r="AQ71" s="594">
        <v>7.4999999999999997E-3</v>
      </c>
      <c r="AR71" s="594">
        <v>1.3899999999999999E-2</v>
      </c>
      <c r="AS71" s="596"/>
      <c r="AT71" s="594">
        <v>7.6200000000000004E-2</v>
      </c>
      <c r="AU71" s="594">
        <v>7.7999999999999996E-3</v>
      </c>
      <c r="AV71" s="593">
        <v>2.0899999999999998E-2</v>
      </c>
      <c r="AW71" s="591">
        <v>8.3000000000000001E-3</v>
      </c>
      <c r="AX71" s="594">
        <v>1.0200000000000001E-2</v>
      </c>
      <c r="AY71" s="591">
        <v>2.81E-2</v>
      </c>
      <c r="AZ71" s="594">
        <v>6.7000000000000002E-3</v>
      </c>
      <c r="BA71" s="594">
        <v>9.9000000000000008E-3</v>
      </c>
      <c r="BB71" s="594">
        <v>9.5999999999999992E-3</v>
      </c>
      <c r="BC71" s="594">
        <v>-1.1000000000000001E-3</v>
      </c>
      <c r="BD71" s="594">
        <v>6.7000000000000002E-3</v>
      </c>
      <c r="BE71" s="594">
        <v>9.7000000000000003E-3</v>
      </c>
      <c r="BF71" s="594">
        <v>1.0500000000000001E-2</v>
      </c>
      <c r="BG71" s="594">
        <v>1.5699999999999999E-2</v>
      </c>
      <c r="BH71" s="594">
        <v>8.5000000000000006E-3</v>
      </c>
      <c r="BI71" s="594">
        <v>1.14E-2</v>
      </c>
      <c r="BJ71" s="594">
        <v>1.24E-2</v>
      </c>
      <c r="BK71" s="594">
        <v>8.6E-3</v>
      </c>
      <c r="BL71" s="594">
        <v>1.3299999999999999E-2</v>
      </c>
      <c r="BM71" s="594">
        <v>3.2000000000000002E-3</v>
      </c>
      <c r="BN71" s="594">
        <v>0.29599999999999999</v>
      </c>
      <c r="BO71" s="594">
        <v>0.06</v>
      </c>
      <c r="BP71" s="594">
        <v>0.312</v>
      </c>
      <c r="BQ71" s="594">
        <v>0.21199999999999999</v>
      </c>
      <c r="BR71" s="594">
        <v>0.18</v>
      </c>
      <c r="BS71" s="594">
        <v>0.1111</v>
      </c>
      <c r="BT71" s="594">
        <v>0.18</v>
      </c>
      <c r="BU71" s="594">
        <v>0.221</v>
      </c>
      <c r="BV71" s="1467"/>
      <c r="BW71" s="594">
        <v>0.23</v>
      </c>
      <c r="BX71" s="594">
        <v>0.13</v>
      </c>
      <c r="BY71" s="594">
        <v>0.32900000000000001</v>
      </c>
      <c r="BZ71" s="594">
        <v>8.6999999999999994E-2</v>
      </c>
      <c r="CA71" s="594">
        <v>0</v>
      </c>
      <c r="CB71" s="593">
        <v>0.25</v>
      </c>
      <c r="CC71" s="594">
        <v>0.3</v>
      </c>
      <c r="CD71" s="594">
        <v>0.13</v>
      </c>
      <c r="CE71" s="594">
        <v>0.3</v>
      </c>
      <c r="CF71" s="594">
        <v>0.14599999999999999</v>
      </c>
      <c r="CG71" s="594">
        <v>0.22</v>
      </c>
      <c r="CH71" s="594">
        <v>0.27</v>
      </c>
      <c r="CI71" s="594">
        <v>0.25</v>
      </c>
      <c r="CJ71" s="594">
        <v>0</v>
      </c>
      <c r="CK71" s="594">
        <v>5.2499999999999998E-2</v>
      </c>
      <c r="CL71" s="594">
        <v>0.107</v>
      </c>
      <c r="CM71" s="594">
        <v>0.188</v>
      </c>
      <c r="CN71" s="594">
        <v>0.17</v>
      </c>
      <c r="CO71" s="594">
        <v>0.1118</v>
      </c>
      <c r="CP71" s="594">
        <v>0.2</v>
      </c>
      <c r="CQ71" s="594">
        <v>0.25</v>
      </c>
      <c r="CR71" s="594">
        <v>0.35</v>
      </c>
      <c r="CS71" s="597"/>
      <c r="CT71" s="591">
        <v>2.7E-2</v>
      </c>
      <c r="CU71" s="1233">
        <v>3.0429999999999999E-2</v>
      </c>
      <c r="CV71" s="591">
        <v>0</v>
      </c>
      <c r="CW71" s="915">
        <v>1.8637000000000001E-2</v>
      </c>
      <c r="CX71" s="591">
        <v>4.2000000000000003E-2</v>
      </c>
      <c r="CY71" s="1234"/>
      <c r="CZ71" s="591">
        <v>3.3000000000000002E-2</v>
      </c>
      <c r="DA71" s="591">
        <v>3.1E-2</v>
      </c>
      <c r="DB71" s="591">
        <v>0.05</v>
      </c>
      <c r="DC71" s="591"/>
      <c r="DD71" s="591">
        <v>3.4000000000000002E-2</v>
      </c>
      <c r="DE71" s="591">
        <v>4.4999999999999998E-2</v>
      </c>
      <c r="DF71" s="591">
        <v>1.7000000000000001E-2</v>
      </c>
      <c r="DG71" s="591">
        <v>1.9E-2</v>
      </c>
      <c r="DH71" s="591">
        <v>4.3999999999999997E-2</v>
      </c>
      <c r="DI71" s="915">
        <v>2.2001E-2</v>
      </c>
      <c r="DJ71" s="1234"/>
      <c r="DK71" s="591"/>
      <c r="DL71" s="591">
        <v>2.5000000000000001E-2</v>
      </c>
      <c r="DM71" s="591">
        <v>0.03</v>
      </c>
      <c r="DN71" s="915">
        <v>2.4475000000000004E-2</v>
      </c>
      <c r="DO71" s="591">
        <v>1.7000000000000001E-2</v>
      </c>
      <c r="DP71" s="591">
        <v>8.9999999999999993E-3</v>
      </c>
      <c r="DQ71" s="1234"/>
      <c r="DR71" s="591"/>
      <c r="DS71" s="1234"/>
      <c r="DT71" s="591">
        <v>0.02</v>
      </c>
      <c r="DU71" s="591">
        <v>3.3000000000000002E-2</v>
      </c>
      <c r="DV71" s="591">
        <v>2.5000000000000001E-2</v>
      </c>
      <c r="DW71" s="591">
        <v>4.1000000000000002E-2</v>
      </c>
      <c r="DX71" s="591">
        <v>0.05</v>
      </c>
      <c r="DY71" s="591">
        <v>1.7000000000000001E-2</v>
      </c>
      <c r="DZ71" s="916"/>
      <c r="EA71" s="1439"/>
      <c r="FV71" s="564"/>
      <c r="FX71" s="564"/>
    </row>
    <row r="72" spans="1:180" x14ac:dyDescent="0.3">
      <c r="A72" s="935">
        <v>41183</v>
      </c>
      <c r="B72" s="589">
        <v>0.08</v>
      </c>
      <c r="C72" s="590">
        <v>0.04</v>
      </c>
      <c r="D72" s="590">
        <v>0.04</v>
      </c>
      <c r="E72" s="590">
        <v>0.05</v>
      </c>
      <c r="F72" s="591">
        <v>0.1263</v>
      </c>
      <c r="G72" s="589">
        <v>0.1111</v>
      </c>
      <c r="H72" s="589">
        <v>0.06</v>
      </c>
      <c r="I72" s="590">
        <v>0.08</v>
      </c>
      <c r="J72" s="590">
        <v>0</v>
      </c>
      <c r="K72" s="590">
        <v>0.15</v>
      </c>
      <c r="L72" s="589">
        <v>4.2500000000000003E-2</v>
      </c>
      <c r="M72" s="592">
        <v>0.66</v>
      </c>
      <c r="N72" s="590">
        <v>0</v>
      </c>
      <c r="O72" s="589">
        <v>0</v>
      </c>
      <c r="P72" s="593">
        <v>7.7499999999999999E-2</v>
      </c>
      <c r="Q72" s="589">
        <v>0.105</v>
      </c>
      <c r="R72" s="590">
        <v>0.2</v>
      </c>
      <c r="S72" s="589">
        <v>2.2499999999999999E-2</v>
      </c>
      <c r="T72" s="594">
        <v>0.107</v>
      </c>
      <c r="U72" s="591">
        <v>6.2E-2</v>
      </c>
      <c r="V72" s="589">
        <v>0.16</v>
      </c>
      <c r="W72" s="595">
        <v>0.105</v>
      </c>
      <c r="X72" s="590">
        <v>0</v>
      </c>
      <c r="Y72" s="590">
        <v>7.0000000000000007E-2</v>
      </c>
      <c r="Z72" s="589">
        <v>0.1875</v>
      </c>
      <c r="AA72" s="589">
        <v>0</v>
      </c>
      <c r="AB72" s="590">
        <v>0.1</v>
      </c>
      <c r="AC72" s="590">
        <v>0.05</v>
      </c>
      <c r="AD72" s="590">
        <v>0.1</v>
      </c>
      <c r="AE72" s="590">
        <v>0.2</v>
      </c>
      <c r="AF72" s="590">
        <v>0.1</v>
      </c>
      <c r="AG72" s="590">
        <v>0</v>
      </c>
      <c r="AH72" s="594">
        <v>1.04E-2</v>
      </c>
      <c r="AI72" s="594">
        <v>9.4000000000000004E-3</v>
      </c>
      <c r="AJ72" s="594">
        <v>2.3E-2</v>
      </c>
      <c r="AK72" s="594">
        <v>7.0000000000000001E-3</v>
      </c>
      <c r="AL72" s="594">
        <v>8.8999999999999999E-3</v>
      </c>
      <c r="AM72" s="596"/>
      <c r="AN72" s="594">
        <v>1.0699999999999999E-2</v>
      </c>
      <c r="AO72" s="594">
        <v>1.5599999999999999E-2</v>
      </c>
      <c r="AP72" s="594">
        <v>1.0800000000000001E-2</v>
      </c>
      <c r="AQ72" s="594">
        <v>7.4999999999999997E-3</v>
      </c>
      <c r="AR72" s="594">
        <v>1.3899999999999999E-2</v>
      </c>
      <c r="AS72" s="596"/>
      <c r="AT72" s="594">
        <v>7.6200000000000004E-2</v>
      </c>
      <c r="AU72" s="594">
        <v>7.7999999999999996E-3</v>
      </c>
      <c r="AV72" s="593">
        <v>2.0899999999999998E-2</v>
      </c>
      <c r="AW72" s="591">
        <v>8.3000000000000001E-3</v>
      </c>
      <c r="AX72" s="594">
        <v>1.0200000000000001E-2</v>
      </c>
      <c r="AY72" s="591">
        <v>2.81E-2</v>
      </c>
      <c r="AZ72" s="594">
        <v>6.7000000000000002E-3</v>
      </c>
      <c r="BA72" s="594">
        <v>9.9000000000000008E-3</v>
      </c>
      <c r="BB72" s="594">
        <v>9.5999999999999992E-3</v>
      </c>
      <c r="BC72" s="594">
        <v>-1.1000000000000001E-3</v>
      </c>
      <c r="BD72" s="594">
        <v>6.7000000000000002E-3</v>
      </c>
      <c r="BE72" s="594">
        <v>9.7000000000000003E-3</v>
      </c>
      <c r="BF72" s="594">
        <v>1.0500000000000001E-2</v>
      </c>
      <c r="BG72" s="594">
        <v>1.5699999999999999E-2</v>
      </c>
      <c r="BH72" s="594">
        <v>8.5000000000000006E-3</v>
      </c>
      <c r="BI72" s="594">
        <v>1.14E-2</v>
      </c>
      <c r="BJ72" s="594">
        <v>1.24E-2</v>
      </c>
      <c r="BK72" s="594">
        <v>8.6E-3</v>
      </c>
      <c r="BL72" s="594">
        <v>1.3299999999999999E-2</v>
      </c>
      <c r="BM72" s="594">
        <v>3.2000000000000002E-3</v>
      </c>
      <c r="BN72" s="594">
        <v>0.29599999999999999</v>
      </c>
      <c r="BO72" s="594">
        <v>0.06</v>
      </c>
      <c r="BP72" s="594">
        <v>0.312</v>
      </c>
      <c r="BQ72" s="594">
        <v>0.21199999999999999</v>
      </c>
      <c r="BR72" s="594">
        <v>0.18</v>
      </c>
      <c r="BS72" s="594">
        <v>0.1111</v>
      </c>
      <c r="BT72" s="594">
        <v>0.18</v>
      </c>
      <c r="BU72" s="594">
        <v>0.221</v>
      </c>
      <c r="BV72" s="1467"/>
      <c r="BW72" s="594">
        <v>0.23</v>
      </c>
      <c r="BX72" s="594">
        <v>0.13</v>
      </c>
      <c r="BY72" s="594">
        <v>0.32900000000000001</v>
      </c>
      <c r="BZ72" s="594">
        <v>8.6999999999999994E-2</v>
      </c>
      <c r="CA72" s="594">
        <v>0</v>
      </c>
      <c r="CB72" s="593">
        <v>0.25</v>
      </c>
      <c r="CC72" s="594">
        <v>0.3</v>
      </c>
      <c r="CD72" s="594">
        <v>0.13</v>
      </c>
      <c r="CE72" s="594">
        <v>0.3</v>
      </c>
      <c r="CF72" s="594">
        <v>0.14599999999999999</v>
      </c>
      <c r="CG72" s="594">
        <v>0.22</v>
      </c>
      <c r="CH72" s="594">
        <v>0.27</v>
      </c>
      <c r="CI72" s="594">
        <v>0.25</v>
      </c>
      <c r="CJ72" s="594">
        <v>0</v>
      </c>
      <c r="CK72" s="594">
        <v>5.2499999999999998E-2</v>
      </c>
      <c r="CL72" s="594">
        <v>0.107</v>
      </c>
      <c r="CM72" s="594">
        <v>0.188</v>
      </c>
      <c r="CN72" s="594">
        <v>0.17</v>
      </c>
      <c r="CO72" s="594">
        <v>0.1118</v>
      </c>
      <c r="CP72" s="594">
        <v>0.2</v>
      </c>
      <c r="CQ72" s="594">
        <v>0.25</v>
      </c>
      <c r="CR72" s="594">
        <v>0.35</v>
      </c>
      <c r="CS72" s="597"/>
      <c r="CT72" s="591">
        <v>2.7E-2</v>
      </c>
      <c r="CU72" s="1233">
        <v>3.0429999999999999E-2</v>
      </c>
      <c r="CV72" s="591">
        <v>0</v>
      </c>
      <c r="CW72" s="915">
        <v>1.8637000000000001E-2</v>
      </c>
      <c r="CX72" s="591">
        <v>4.2000000000000003E-2</v>
      </c>
      <c r="CY72" s="1234"/>
      <c r="CZ72" s="591">
        <v>3.3000000000000002E-2</v>
      </c>
      <c r="DA72" s="591">
        <v>3.1E-2</v>
      </c>
      <c r="DB72" s="591">
        <v>0.05</v>
      </c>
      <c r="DC72" s="591"/>
      <c r="DD72" s="591">
        <v>3.4000000000000002E-2</v>
      </c>
      <c r="DE72" s="591">
        <v>4.4999999999999998E-2</v>
      </c>
      <c r="DF72" s="591">
        <v>1.7000000000000001E-2</v>
      </c>
      <c r="DG72" s="591">
        <v>1.9E-2</v>
      </c>
      <c r="DH72" s="591">
        <v>4.3999999999999997E-2</v>
      </c>
      <c r="DI72" s="915">
        <v>2.2001E-2</v>
      </c>
      <c r="DJ72" s="1234"/>
      <c r="DK72" s="591"/>
      <c r="DL72" s="591">
        <v>2.5000000000000001E-2</v>
      </c>
      <c r="DM72" s="591">
        <v>0.03</v>
      </c>
      <c r="DN72" s="915">
        <v>2.4475000000000004E-2</v>
      </c>
      <c r="DO72" s="591">
        <v>1.7000000000000001E-2</v>
      </c>
      <c r="DP72" s="591">
        <v>8.9999999999999993E-3</v>
      </c>
      <c r="DQ72" s="1234"/>
      <c r="DR72" s="591"/>
      <c r="DS72" s="1234"/>
      <c r="DT72" s="591">
        <v>0.02</v>
      </c>
      <c r="DU72" s="591">
        <v>3.3000000000000002E-2</v>
      </c>
      <c r="DV72" s="591">
        <v>2.5000000000000001E-2</v>
      </c>
      <c r="DW72" s="591">
        <v>4.1000000000000002E-2</v>
      </c>
      <c r="DX72" s="591">
        <v>0.05</v>
      </c>
      <c r="DY72" s="591">
        <v>1.7000000000000001E-2</v>
      </c>
      <c r="DZ72" s="916"/>
      <c r="EA72" s="1439"/>
      <c r="FV72" s="564"/>
      <c r="FX72" s="564"/>
    </row>
    <row r="73" spans="1:180" x14ac:dyDescent="0.3">
      <c r="A73" s="935">
        <v>41214</v>
      </c>
      <c r="B73" s="589">
        <v>0.08</v>
      </c>
      <c r="C73" s="590">
        <v>0.04</v>
      </c>
      <c r="D73" s="590">
        <v>0.04</v>
      </c>
      <c r="E73" s="590">
        <v>0.05</v>
      </c>
      <c r="F73" s="591">
        <v>0.1263</v>
      </c>
      <c r="G73" s="589">
        <v>0.1111</v>
      </c>
      <c r="H73" s="589">
        <v>0.06</v>
      </c>
      <c r="I73" s="590">
        <v>0.08</v>
      </c>
      <c r="J73" s="590">
        <v>0</v>
      </c>
      <c r="K73" s="590">
        <v>0.15</v>
      </c>
      <c r="L73" s="589">
        <v>4.2500000000000003E-2</v>
      </c>
      <c r="M73" s="592">
        <v>0.66</v>
      </c>
      <c r="N73" s="590">
        <v>0</v>
      </c>
      <c r="O73" s="589">
        <v>0</v>
      </c>
      <c r="P73" s="593">
        <v>7.7499999999999999E-2</v>
      </c>
      <c r="Q73" s="589">
        <v>0.105</v>
      </c>
      <c r="R73" s="590">
        <v>0.2</v>
      </c>
      <c r="S73" s="589">
        <v>2.2499999999999999E-2</v>
      </c>
      <c r="T73" s="594">
        <v>0.107</v>
      </c>
      <c r="U73" s="591">
        <v>6.2E-2</v>
      </c>
      <c r="V73" s="589">
        <v>0.16</v>
      </c>
      <c r="W73" s="595">
        <v>0.105</v>
      </c>
      <c r="X73" s="590">
        <v>0</v>
      </c>
      <c r="Y73" s="590">
        <v>7.0000000000000007E-2</v>
      </c>
      <c r="Z73" s="589">
        <v>0.1875</v>
      </c>
      <c r="AA73" s="589">
        <v>0</v>
      </c>
      <c r="AB73" s="590">
        <v>0.1</v>
      </c>
      <c r="AC73" s="590">
        <v>0.05</v>
      </c>
      <c r="AD73" s="590">
        <v>0.1</v>
      </c>
      <c r="AE73" s="590">
        <v>0.2</v>
      </c>
      <c r="AF73" s="590">
        <v>0.1</v>
      </c>
      <c r="AG73" s="590">
        <v>0</v>
      </c>
      <c r="AH73" s="594">
        <v>1.04E-2</v>
      </c>
      <c r="AI73" s="594">
        <v>9.4000000000000004E-3</v>
      </c>
      <c r="AJ73" s="594">
        <v>2.3E-2</v>
      </c>
      <c r="AK73" s="594">
        <v>7.0000000000000001E-3</v>
      </c>
      <c r="AL73" s="594">
        <v>8.8999999999999999E-3</v>
      </c>
      <c r="AM73" s="596"/>
      <c r="AN73" s="594">
        <v>1.0699999999999999E-2</v>
      </c>
      <c r="AO73" s="594">
        <v>1.5599999999999999E-2</v>
      </c>
      <c r="AP73" s="594">
        <v>1.0800000000000001E-2</v>
      </c>
      <c r="AQ73" s="594">
        <v>7.4999999999999997E-3</v>
      </c>
      <c r="AR73" s="594">
        <v>1.3899999999999999E-2</v>
      </c>
      <c r="AS73" s="596"/>
      <c r="AT73" s="594">
        <v>7.6200000000000004E-2</v>
      </c>
      <c r="AU73" s="594">
        <v>7.7999999999999996E-3</v>
      </c>
      <c r="AV73" s="593">
        <v>2.0899999999999998E-2</v>
      </c>
      <c r="AW73" s="591">
        <v>8.3000000000000001E-3</v>
      </c>
      <c r="AX73" s="594">
        <v>1.0200000000000001E-2</v>
      </c>
      <c r="AY73" s="591">
        <v>2.81E-2</v>
      </c>
      <c r="AZ73" s="594">
        <v>6.7000000000000002E-3</v>
      </c>
      <c r="BA73" s="594">
        <v>9.9000000000000008E-3</v>
      </c>
      <c r="BB73" s="594">
        <v>9.5999999999999992E-3</v>
      </c>
      <c r="BC73" s="594">
        <v>-1.1000000000000001E-3</v>
      </c>
      <c r="BD73" s="594">
        <v>6.7000000000000002E-3</v>
      </c>
      <c r="BE73" s="594">
        <v>9.7000000000000003E-3</v>
      </c>
      <c r="BF73" s="594">
        <v>1.0500000000000001E-2</v>
      </c>
      <c r="BG73" s="594">
        <v>1.5699999999999999E-2</v>
      </c>
      <c r="BH73" s="594">
        <v>8.5000000000000006E-3</v>
      </c>
      <c r="BI73" s="594">
        <v>1.14E-2</v>
      </c>
      <c r="BJ73" s="594">
        <v>1.24E-2</v>
      </c>
      <c r="BK73" s="594">
        <v>8.6E-3</v>
      </c>
      <c r="BL73" s="594">
        <v>1.3299999999999999E-2</v>
      </c>
      <c r="BM73" s="594">
        <v>3.2000000000000002E-3</v>
      </c>
      <c r="BN73" s="594">
        <v>0.29599999999999999</v>
      </c>
      <c r="BO73" s="594">
        <v>0.06</v>
      </c>
      <c r="BP73" s="594">
        <v>0.312</v>
      </c>
      <c r="BQ73" s="594">
        <v>0.21199999999999999</v>
      </c>
      <c r="BR73" s="594">
        <v>0.18</v>
      </c>
      <c r="BS73" s="594">
        <v>0.1111</v>
      </c>
      <c r="BT73" s="594">
        <v>0.18</v>
      </c>
      <c r="BU73" s="594">
        <v>0.221</v>
      </c>
      <c r="BV73" s="1467"/>
      <c r="BW73" s="594">
        <v>0.23</v>
      </c>
      <c r="BX73" s="594">
        <v>0.13</v>
      </c>
      <c r="BY73" s="594">
        <v>0.32900000000000001</v>
      </c>
      <c r="BZ73" s="594">
        <v>8.6999999999999994E-2</v>
      </c>
      <c r="CA73" s="594">
        <v>0</v>
      </c>
      <c r="CB73" s="593">
        <v>0.25</v>
      </c>
      <c r="CC73" s="594">
        <v>0.3</v>
      </c>
      <c r="CD73" s="594">
        <v>0.13</v>
      </c>
      <c r="CE73" s="594">
        <v>0.3</v>
      </c>
      <c r="CF73" s="594">
        <v>0.14599999999999999</v>
      </c>
      <c r="CG73" s="594">
        <v>0.22</v>
      </c>
      <c r="CH73" s="594">
        <v>0.27</v>
      </c>
      <c r="CI73" s="594">
        <v>0.25</v>
      </c>
      <c r="CJ73" s="594">
        <v>0</v>
      </c>
      <c r="CK73" s="594">
        <v>5.2499999999999998E-2</v>
      </c>
      <c r="CL73" s="594">
        <v>0.107</v>
      </c>
      <c r="CM73" s="594">
        <v>0.188</v>
      </c>
      <c r="CN73" s="594">
        <v>0.17</v>
      </c>
      <c r="CO73" s="594">
        <v>0.1118</v>
      </c>
      <c r="CP73" s="594">
        <v>0.2</v>
      </c>
      <c r="CQ73" s="594">
        <v>0.25</v>
      </c>
      <c r="CR73" s="594">
        <v>0.35</v>
      </c>
      <c r="CS73" s="597"/>
      <c r="CT73" s="591">
        <v>2.7E-2</v>
      </c>
      <c r="CU73" s="1233">
        <v>3.0429999999999999E-2</v>
      </c>
      <c r="CV73" s="591">
        <v>0</v>
      </c>
      <c r="CW73" s="915">
        <v>1.8637000000000001E-2</v>
      </c>
      <c r="CX73" s="591">
        <v>4.2000000000000003E-2</v>
      </c>
      <c r="CY73" s="1234"/>
      <c r="CZ73" s="591">
        <v>3.3000000000000002E-2</v>
      </c>
      <c r="DA73" s="591">
        <v>3.1E-2</v>
      </c>
      <c r="DB73" s="591">
        <v>0.05</v>
      </c>
      <c r="DC73" s="591"/>
      <c r="DD73" s="591">
        <v>3.4000000000000002E-2</v>
      </c>
      <c r="DE73" s="591">
        <v>4.4999999999999998E-2</v>
      </c>
      <c r="DF73" s="591">
        <v>1.7000000000000001E-2</v>
      </c>
      <c r="DG73" s="591">
        <v>1.9E-2</v>
      </c>
      <c r="DH73" s="591">
        <v>4.3999999999999997E-2</v>
      </c>
      <c r="DI73" s="915">
        <v>2.2001E-2</v>
      </c>
      <c r="DJ73" s="1234"/>
      <c r="DK73" s="591"/>
      <c r="DL73" s="591">
        <v>2.5000000000000001E-2</v>
      </c>
      <c r="DM73" s="591">
        <v>0.03</v>
      </c>
      <c r="DN73" s="915">
        <v>2.4475000000000004E-2</v>
      </c>
      <c r="DO73" s="591">
        <v>1.7000000000000001E-2</v>
      </c>
      <c r="DP73" s="591">
        <v>8.9999999999999993E-3</v>
      </c>
      <c r="DQ73" s="1234"/>
      <c r="DR73" s="591"/>
      <c r="DS73" s="1234"/>
      <c r="DT73" s="591">
        <v>0.02</v>
      </c>
      <c r="DU73" s="591">
        <v>3.3000000000000002E-2</v>
      </c>
      <c r="DV73" s="591">
        <v>2.5000000000000001E-2</v>
      </c>
      <c r="DW73" s="591">
        <v>4.1000000000000002E-2</v>
      </c>
      <c r="DX73" s="591">
        <v>0.05</v>
      </c>
      <c r="DY73" s="591">
        <v>1.7000000000000001E-2</v>
      </c>
      <c r="DZ73" s="916"/>
      <c r="EA73" s="1439"/>
      <c r="FV73" s="564"/>
      <c r="FX73" s="564"/>
    </row>
    <row r="74" spans="1:180" x14ac:dyDescent="0.3">
      <c r="A74" s="935">
        <v>41244</v>
      </c>
      <c r="B74" s="589">
        <v>0.08</v>
      </c>
      <c r="C74" s="590">
        <v>0.04</v>
      </c>
      <c r="D74" s="590">
        <v>0.04</v>
      </c>
      <c r="E74" s="590">
        <v>0.05</v>
      </c>
      <c r="F74" s="591">
        <v>0.1263</v>
      </c>
      <c r="G74" s="589">
        <v>0.1111</v>
      </c>
      <c r="H74" s="589">
        <v>0.06</v>
      </c>
      <c r="I74" s="590">
        <v>0.08</v>
      </c>
      <c r="J74" s="590">
        <v>0</v>
      </c>
      <c r="K74" s="590">
        <v>0.15</v>
      </c>
      <c r="L74" s="589">
        <v>4.2500000000000003E-2</v>
      </c>
      <c r="M74" s="592">
        <v>0.66</v>
      </c>
      <c r="N74" s="590">
        <v>0</v>
      </c>
      <c r="O74" s="589">
        <v>0</v>
      </c>
      <c r="P74" s="593">
        <v>7.7499999999999999E-2</v>
      </c>
      <c r="Q74" s="589">
        <v>0.105</v>
      </c>
      <c r="R74" s="590">
        <v>0.2</v>
      </c>
      <c r="S74" s="589">
        <v>2.2499999999999999E-2</v>
      </c>
      <c r="T74" s="594">
        <v>0.107</v>
      </c>
      <c r="U74" s="591">
        <v>6.2E-2</v>
      </c>
      <c r="V74" s="589">
        <v>0.16</v>
      </c>
      <c r="W74" s="595">
        <v>0.105</v>
      </c>
      <c r="X74" s="590">
        <v>0</v>
      </c>
      <c r="Y74" s="590">
        <v>7.0000000000000007E-2</v>
      </c>
      <c r="Z74" s="589">
        <v>0.1875</v>
      </c>
      <c r="AA74" s="589">
        <v>0</v>
      </c>
      <c r="AB74" s="590">
        <v>0.1</v>
      </c>
      <c r="AC74" s="590">
        <v>0.05</v>
      </c>
      <c r="AD74" s="590">
        <v>0.1</v>
      </c>
      <c r="AE74" s="590">
        <v>0.2</v>
      </c>
      <c r="AF74" s="590">
        <v>0.1</v>
      </c>
      <c r="AG74" s="590">
        <v>0</v>
      </c>
      <c r="AH74" s="594">
        <v>1.04E-2</v>
      </c>
      <c r="AI74" s="594">
        <v>9.4000000000000004E-3</v>
      </c>
      <c r="AJ74" s="594">
        <v>2.3E-2</v>
      </c>
      <c r="AK74" s="594">
        <v>7.0000000000000001E-3</v>
      </c>
      <c r="AL74" s="594">
        <v>8.8999999999999999E-3</v>
      </c>
      <c r="AM74" s="596"/>
      <c r="AN74" s="594">
        <v>1.0699999999999999E-2</v>
      </c>
      <c r="AO74" s="594">
        <v>1.5599999999999999E-2</v>
      </c>
      <c r="AP74" s="594">
        <v>1.0800000000000001E-2</v>
      </c>
      <c r="AQ74" s="594">
        <v>7.4999999999999997E-3</v>
      </c>
      <c r="AR74" s="594">
        <v>1.3899999999999999E-2</v>
      </c>
      <c r="AS74" s="596"/>
      <c r="AT74" s="594">
        <v>7.6200000000000004E-2</v>
      </c>
      <c r="AU74" s="594">
        <v>7.7999999999999996E-3</v>
      </c>
      <c r="AV74" s="593">
        <v>2.0899999999999998E-2</v>
      </c>
      <c r="AW74" s="591">
        <v>8.3000000000000001E-3</v>
      </c>
      <c r="AX74" s="594">
        <v>1.0200000000000001E-2</v>
      </c>
      <c r="AY74" s="591">
        <v>2.81E-2</v>
      </c>
      <c r="AZ74" s="594">
        <v>6.7000000000000002E-3</v>
      </c>
      <c r="BA74" s="594">
        <v>9.9000000000000008E-3</v>
      </c>
      <c r="BB74" s="594">
        <v>9.5999999999999992E-3</v>
      </c>
      <c r="BC74" s="594">
        <v>-1.1000000000000001E-3</v>
      </c>
      <c r="BD74" s="594">
        <v>6.7000000000000002E-3</v>
      </c>
      <c r="BE74" s="594">
        <v>9.7000000000000003E-3</v>
      </c>
      <c r="BF74" s="594">
        <v>1.0500000000000001E-2</v>
      </c>
      <c r="BG74" s="594">
        <v>1.5699999999999999E-2</v>
      </c>
      <c r="BH74" s="594">
        <v>8.5000000000000006E-3</v>
      </c>
      <c r="BI74" s="594">
        <v>1.14E-2</v>
      </c>
      <c r="BJ74" s="594">
        <v>1.24E-2</v>
      </c>
      <c r="BK74" s="594">
        <v>8.6E-3</v>
      </c>
      <c r="BL74" s="594">
        <v>1.3299999999999999E-2</v>
      </c>
      <c r="BM74" s="594">
        <v>3.2000000000000002E-3</v>
      </c>
      <c r="BN74" s="594">
        <v>0.29599999999999999</v>
      </c>
      <c r="BO74" s="594">
        <v>0.06</v>
      </c>
      <c r="BP74" s="594">
        <v>0.312</v>
      </c>
      <c r="BQ74" s="594">
        <v>0.21199999999999999</v>
      </c>
      <c r="BR74" s="594">
        <v>0.18</v>
      </c>
      <c r="BS74" s="594">
        <v>0.1111</v>
      </c>
      <c r="BT74" s="594">
        <v>0.18</v>
      </c>
      <c r="BU74" s="594">
        <v>0.221</v>
      </c>
      <c r="BV74" s="1467"/>
      <c r="BW74" s="594">
        <v>0.23</v>
      </c>
      <c r="BX74" s="594">
        <v>0.13</v>
      </c>
      <c r="BY74" s="594">
        <v>0.32900000000000001</v>
      </c>
      <c r="BZ74" s="594">
        <v>8.6999999999999994E-2</v>
      </c>
      <c r="CA74" s="594">
        <v>0</v>
      </c>
      <c r="CB74" s="593">
        <v>0.25</v>
      </c>
      <c r="CC74" s="594">
        <v>0.3</v>
      </c>
      <c r="CD74" s="594">
        <v>0.13</v>
      </c>
      <c r="CE74" s="594">
        <v>0.3</v>
      </c>
      <c r="CF74" s="594">
        <v>0.14599999999999999</v>
      </c>
      <c r="CG74" s="594">
        <v>0.22</v>
      </c>
      <c r="CH74" s="594">
        <v>0.27</v>
      </c>
      <c r="CI74" s="594">
        <v>0.25</v>
      </c>
      <c r="CJ74" s="594">
        <v>0</v>
      </c>
      <c r="CK74" s="594">
        <v>5.2499999999999998E-2</v>
      </c>
      <c r="CL74" s="594">
        <v>0.107</v>
      </c>
      <c r="CM74" s="594">
        <v>0.188</v>
      </c>
      <c r="CN74" s="594">
        <v>0.17</v>
      </c>
      <c r="CO74" s="594">
        <v>0.1118</v>
      </c>
      <c r="CP74" s="594">
        <v>0.2</v>
      </c>
      <c r="CQ74" s="594">
        <v>0.25</v>
      </c>
      <c r="CR74" s="594">
        <v>0.35</v>
      </c>
      <c r="CS74" s="597"/>
      <c r="CT74" s="591">
        <v>2.7E-2</v>
      </c>
      <c r="CU74" s="1233">
        <v>3.0429999999999999E-2</v>
      </c>
      <c r="CV74" s="591">
        <v>0</v>
      </c>
      <c r="CW74" s="915">
        <v>1.8637000000000001E-2</v>
      </c>
      <c r="CX74" s="591">
        <v>4.2000000000000003E-2</v>
      </c>
      <c r="CY74" s="1234"/>
      <c r="CZ74" s="591">
        <v>3.3000000000000002E-2</v>
      </c>
      <c r="DA74" s="591">
        <v>3.1E-2</v>
      </c>
      <c r="DB74" s="591">
        <v>0.05</v>
      </c>
      <c r="DC74" s="591"/>
      <c r="DD74" s="591">
        <v>3.4000000000000002E-2</v>
      </c>
      <c r="DE74" s="591">
        <v>4.4999999999999998E-2</v>
      </c>
      <c r="DF74" s="591">
        <v>1.7000000000000001E-2</v>
      </c>
      <c r="DG74" s="591">
        <v>1.9E-2</v>
      </c>
      <c r="DH74" s="591">
        <v>4.3999999999999997E-2</v>
      </c>
      <c r="DI74" s="915">
        <v>2.2001E-2</v>
      </c>
      <c r="DJ74" s="1234"/>
      <c r="DK74" s="591"/>
      <c r="DL74" s="591">
        <v>2.5000000000000001E-2</v>
      </c>
      <c r="DM74" s="591">
        <v>0.03</v>
      </c>
      <c r="DN74" s="915">
        <v>2.4475000000000004E-2</v>
      </c>
      <c r="DO74" s="591">
        <v>1.7000000000000001E-2</v>
      </c>
      <c r="DP74" s="591">
        <v>8.9999999999999993E-3</v>
      </c>
      <c r="DQ74" s="1234"/>
      <c r="DR74" s="591"/>
      <c r="DS74" s="1234"/>
      <c r="DT74" s="591">
        <v>0.02</v>
      </c>
      <c r="DU74" s="591">
        <v>3.3000000000000002E-2</v>
      </c>
      <c r="DV74" s="591">
        <v>2.5000000000000001E-2</v>
      </c>
      <c r="DW74" s="591">
        <v>4.1000000000000002E-2</v>
      </c>
      <c r="DX74" s="591">
        <v>0.05</v>
      </c>
      <c r="DY74" s="591">
        <v>1.7000000000000001E-2</v>
      </c>
      <c r="DZ74" s="916"/>
      <c r="EA74" s="1439"/>
      <c r="FV74" s="564"/>
      <c r="FX74" s="564"/>
    </row>
    <row r="75" spans="1:180" x14ac:dyDescent="0.3">
      <c r="A75" s="935">
        <v>41275</v>
      </c>
      <c r="B75" s="589">
        <v>0.1</v>
      </c>
      <c r="C75" s="590">
        <v>0.06</v>
      </c>
      <c r="D75" s="590">
        <v>0.04</v>
      </c>
      <c r="E75" s="590">
        <v>0.05</v>
      </c>
      <c r="F75" s="591">
        <v>0.1263</v>
      </c>
      <c r="G75" s="589">
        <v>0.1111</v>
      </c>
      <c r="H75" s="589">
        <v>0.06</v>
      </c>
      <c r="I75" s="590">
        <v>0.08</v>
      </c>
      <c r="J75" s="590">
        <v>0</v>
      </c>
      <c r="K75" s="590">
        <v>0.15</v>
      </c>
      <c r="L75" s="589">
        <v>4.2500000000000003E-2</v>
      </c>
      <c r="M75" s="598">
        <v>0.71</v>
      </c>
      <c r="N75" s="590">
        <v>0</v>
      </c>
      <c r="O75" s="589">
        <v>0</v>
      </c>
      <c r="P75" s="593">
        <v>7.7499999999999999E-2</v>
      </c>
      <c r="Q75" s="589">
        <v>0.105</v>
      </c>
      <c r="R75" s="590">
        <v>0.2</v>
      </c>
      <c r="S75" s="589">
        <v>2.2499999999999999E-2</v>
      </c>
      <c r="T75" s="594">
        <v>0.107</v>
      </c>
      <c r="U75" s="591">
        <v>6.2E-2</v>
      </c>
      <c r="V75" s="589">
        <v>0.16</v>
      </c>
      <c r="W75" s="595">
        <v>0.105</v>
      </c>
      <c r="X75" s="590">
        <v>0</v>
      </c>
      <c r="Y75" s="589">
        <v>8.5000000000000006E-2</v>
      </c>
      <c r="Z75" s="589">
        <v>0.1875</v>
      </c>
      <c r="AA75" s="589">
        <v>0</v>
      </c>
      <c r="AB75" s="590">
        <v>0.2</v>
      </c>
      <c r="AC75" s="590">
        <v>0.1</v>
      </c>
      <c r="AD75" s="590">
        <v>0.1</v>
      </c>
      <c r="AE75" s="590">
        <v>0.2</v>
      </c>
      <c r="AF75" s="590">
        <v>0.1</v>
      </c>
      <c r="AG75" s="590">
        <v>0</v>
      </c>
      <c r="AH75" s="594">
        <v>1.04E-2</v>
      </c>
      <c r="AI75" s="594">
        <v>9.4000000000000004E-3</v>
      </c>
      <c r="AJ75" s="594">
        <v>2.3E-2</v>
      </c>
      <c r="AK75" s="594">
        <v>7.0000000000000001E-3</v>
      </c>
      <c r="AL75" s="594">
        <v>8.8999999999999999E-3</v>
      </c>
      <c r="AM75" s="596"/>
      <c r="AN75" s="594">
        <v>1.0699999999999999E-2</v>
      </c>
      <c r="AO75" s="594">
        <v>1.5599999999999999E-2</v>
      </c>
      <c r="AP75" s="594">
        <v>1.0800000000000001E-2</v>
      </c>
      <c r="AQ75" s="594">
        <v>7.4999999999999997E-3</v>
      </c>
      <c r="AR75" s="594">
        <v>1.3899999999999999E-2</v>
      </c>
      <c r="AS75" s="596"/>
      <c r="AT75" s="594">
        <v>7.6200000000000004E-2</v>
      </c>
      <c r="AU75" s="594">
        <v>7.7999999999999996E-3</v>
      </c>
      <c r="AV75" s="593">
        <v>2.0899999999999998E-2</v>
      </c>
      <c r="AW75" s="591">
        <v>8.3000000000000001E-3</v>
      </c>
      <c r="AX75" s="594">
        <v>1.0200000000000001E-2</v>
      </c>
      <c r="AY75" s="591">
        <v>2.81E-2</v>
      </c>
      <c r="AZ75" s="594">
        <v>6.7000000000000002E-3</v>
      </c>
      <c r="BA75" s="594">
        <v>9.9000000000000008E-3</v>
      </c>
      <c r="BB75" s="594">
        <v>9.5999999999999992E-3</v>
      </c>
      <c r="BC75" s="594">
        <v>-1.1000000000000001E-3</v>
      </c>
      <c r="BD75" s="594">
        <v>6.7000000000000002E-3</v>
      </c>
      <c r="BE75" s="594">
        <v>9.7000000000000003E-3</v>
      </c>
      <c r="BF75" s="594">
        <v>1.0500000000000001E-2</v>
      </c>
      <c r="BG75" s="594">
        <v>1.5699999999999999E-2</v>
      </c>
      <c r="BH75" s="594">
        <v>8.5000000000000006E-3</v>
      </c>
      <c r="BI75" s="594">
        <v>1.14E-2</v>
      </c>
      <c r="BJ75" s="594">
        <v>1.24E-2</v>
      </c>
      <c r="BK75" s="594">
        <v>8.6E-3</v>
      </c>
      <c r="BL75" s="594">
        <v>1.3299999999999999E-2</v>
      </c>
      <c r="BM75" s="594">
        <v>3.2000000000000002E-3</v>
      </c>
      <c r="BN75" s="594">
        <v>0.29599999999999999</v>
      </c>
      <c r="BO75" s="594">
        <v>0.06</v>
      </c>
      <c r="BP75" s="594">
        <v>0.312</v>
      </c>
      <c r="BQ75" s="594">
        <v>0.21199999999999999</v>
      </c>
      <c r="BR75" s="594">
        <v>0.18</v>
      </c>
      <c r="BS75" s="594">
        <v>0.1111</v>
      </c>
      <c r="BT75" s="594">
        <v>0.18</v>
      </c>
      <c r="BU75" s="594">
        <v>0.221</v>
      </c>
      <c r="BV75" s="1467"/>
      <c r="BW75" s="594">
        <v>0.23</v>
      </c>
      <c r="BX75" s="594">
        <v>0.13</v>
      </c>
      <c r="BY75" s="594">
        <v>0.32900000000000001</v>
      </c>
      <c r="BZ75" s="594">
        <v>8.6999999999999994E-2</v>
      </c>
      <c r="CA75" s="594">
        <v>0</v>
      </c>
      <c r="CB75" s="593">
        <v>0.25</v>
      </c>
      <c r="CC75" s="594">
        <v>0.3</v>
      </c>
      <c r="CD75" s="594">
        <v>0.13</v>
      </c>
      <c r="CE75" s="594">
        <v>0.3</v>
      </c>
      <c r="CF75" s="594">
        <v>0.14599999999999999</v>
      </c>
      <c r="CG75" s="594">
        <v>0.22</v>
      </c>
      <c r="CH75" s="594">
        <v>0.27</v>
      </c>
      <c r="CI75" s="594">
        <v>0.25</v>
      </c>
      <c r="CJ75" s="594">
        <v>0</v>
      </c>
      <c r="CK75" s="594">
        <v>5.2499999999999998E-2</v>
      </c>
      <c r="CL75" s="594">
        <v>0.107</v>
      </c>
      <c r="CM75" s="594">
        <v>0.188</v>
      </c>
      <c r="CN75" s="594">
        <v>0.21</v>
      </c>
      <c r="CO75" s="594">
        <v>0.1118</v>
      </c>
      <c r="CP75" s="594">
        <v>0.2</v>
      </c>
      <c r="CQ75" s="594">
        <v>0.25</v>
      </c>
      <c r="CR75" s="594">
        <v>0.35</v>
      </c>
      <c r="CS75" s="597"/>
      <c r="CT75" s="591">
        <v>2.7E-2</v>
      </c>
      <c r="CU75" s="1233">
        <v>4.8025999999999999E-2</v>
      </c>
      <c r="CV75" s="591">
        <v>0</v>
      </c>
      <c r="CW75" s="915">
        <v>3.3327999999999997E-2</v>
      </c>
      <c r="CX75" s="591">
        <v>4.2000000000000003E-2</v>
      </c>
      <c r="CY75" s="1234"/>
      <c r="CZ75" s="591">
        <v>3.3000000000000002E-2</v>
      </c>
      <c r="DA75" s="591">
        <v>3.1E-2</v>
      </c>
      <c r="DB75" s="591">
        <v>0.05</v>
      </c>
      <c r="DC75" s="591"/>
      <c r="DD75" s="591">
        <v>3.4000000000000002E-2</v>
      </c>
      <c r="DE75" s="591">
        <v>4.4999999999999998E-2</v>
      </c>
      <c r="DF75" s="591">
        <v>1.7000000000000001E-2</v>
      </c>
      <c r="DG75" s="591">
        <v>1.9E-2</v>
      </c>
      <c r="DH75" s="591">
        <v>4.3999999999999997E-2</v>
      </c>
      <c r="DI75" s="915">
        <v>5.1573000000000001E-2</v>
      </c>
      <c r="DJ75" s="1234"/>
      <c r="DK75" s="591"/>
      <c r="DL75" s="591">
        <v>2.5000000000000001E-2</v>
      </c>
      <c r="DM75" s="591">
        <v>0.03</v>
      </c>
      <c r="DN75" s="915">
        <v>3.9253999999999997E-2</v>
      </c>
      <c r="DO75" s="591">
        <v>1.7000000000000001E-2</v>
      </c>
      <c r="DP75" s="591">
        <v>8.9999999999999993E-3</v>
      </c>
      <c r="DQ75" s="1234"/>
      <c r="DR75" s="591"/>
      <c r="DS75" s="1234"/>
      <c r="DT75" s="591">
        <v>0.02</v>
      </c>
      <c r="DU75" s="591">
        <v>3.3000000000000002E-2</v>
      </c>
      <c r="DV75" s="591">
        <v>2.5000000000000001E-2</v>
      </c>
      <c r="DW75" s="591">
        <v>4.1000000000000002E-2</v>
      </c>
      <c r="DX75" s="591">
        <v>0.05</v>
      </c>
      <c r="DY75" s="591">
        <v>1.7000000000000001E-2</v>
      </c>
      <c r="DZ75" s="916"/>
      <c r="EA75" s="1439"/>
      <c r="FV75" s="564"/>
      <c r="FX75" s="564"/>
    </row>
    <row r="76" spans="1:180" x14ac:dyDescent="0.3">
      <c r="A76" s="935">
        <v>41306</v>
      </c>
      <c r="B76" s="589">
        <v>0.1</v>
      </c>
      <c r="C76" s="590">
        <v>0.06</v>
      </c>
      <c r="D76" s="590">
        <v>0.04</v>
      </c>
      <c r="E76" s="590">
        <v>0.05</v>
      </c>
      <c r="F76" s="591">
        <v>0.1263</v>
      </c>
      <c r="G76" s="589">
        <v>0.1111</v>
      </c>
      <c r="H76" s="589">
        <v>0.06</v>
      </c>
      <c r="I76" s="590">
        <v>0.08</v>
      </c>
      <c r="J76" s="590">
        <v>0</v>
      </c>
      <c r="K76" s="590">
        <v>0.15</v>
      </c>
      <c r="L76" s="589">
        <v>4.2500000000000003E-2</v>
      </c>
      <c r="M76" s="598">
        <v>0.71</v>
      </c>
      <c r="N76" s="590">
        <v>0</v>
      </c>
      <c r="O76" s="589">
        <v>0</v>
      </c>
      <c r="P76" s="593">
        <v>7.7499999999999999E-2</v>
      </c>
      <c r="Q76" s="589">
        <v>0.105</v>
      </c>
      <c r="R76" s="590">
        <v>0.2</v>
      </c>
      <c r="S76" s="589">
        <v>2.2499999999999999E-2</v>
      </c>
      <c r="T76" s="594">
        <v>0.107</v>
      </c>
      <c r="U76" s="591">
        <v>6.2E-2</v>
      </c>
      <c r="V76" s="589">
        <v>0.16</v>
      </c>
      <c r="W76" s="595">
        <v>0.105</v>
      </c>
      <c r="X76" s="590">
        <v>0</v>
      </c>
      <c r="Y76" s="589">
        <v>8.5000000000000006E-2</v>
      </c>
      <c r="Z76" s="589">
        <v>0.1875</v>
      </c>
      <c r="AA76" s="589">
        <v>0</v>
      </c>
      <c r="AB76" s="590">
        <v>0.2</v>
      </c>
      <c r="AC76" s="590">
        <v>0.1</v>
      </c>
      <c r="AD76" s="590">
        <v>0.1</v>
      </c>
      <c r="AE76" s="590">
        <v>0.2</v>
      </c>
      <c r="AF76" s="590">
        <v>0.1</v>
      </c>
      <c r="AG76" s="590">
        <v>0</v>
      </c>
      <c r="AH76" s="594">
        <v>1.04E-2</v>
      </c>
      <c r="AI76" s="594">
        <v>9.4000000000000004E-3</v>
      </c>
      <c r="AJ76" s="594">
        <v>2.3E-2</v>
      </c>
      <c r="AK76" s="594">
        <v>7.0000000000000001E-3</v>
      </c>
      <c r="AL76" s="594">
        <v>8.8999999999999999E-3</v>
      </c>
      <c r="AM76" s="596"/>
      <c r="AN76" s="594">
        <v>1.0699999999999999E-2</v>
      </c>
      <c r="AO76" s="594">
        <v>1.5599999999999999E-2</v>
      </c>
      <c r="AP76" s="594">
        <v>1.0800000000000001E-2</v>
      </c>
      <c r="AQ76" s="594">
        <v>7.4999999999999997E-3</v>
      </c>
      <c r="AR76" s="594">
        <v>1.3899999999999999E-2</v>
      </c>
      <c r="AS76" s="596"/>
      <c r="AT76" s="594">
        <v>7.6200000000000004E-2</v>
      </c>
      <c r="AU76" s="594">
        <v>7.7999999999999996E-3</v>
      </c>
      <c r="AV76" s="593">
        <v>2.0899999999999998E-2</v>
      </c>
      <c r="AW76" s="591">
        <v>8.3000000000000001E-3</v>
      </c>
      <c r="AX76" s="594">
        <v>1.0200000000000001E-2</v>
      </c>
      <c r="AY76" s="591">
        <v>2.81E-2</v>
      </c>
      <c r="AZ76" s="594">
        <v>6.7000000000000002E-3</v>
      </c>
      <c r="BA76" s="594">
        <v>9.9000000000000008E-3</v>
      </c>
      <c r="BB76" s="594">
        <v>9.5999999999999992E-3</v>
      </c>
      <c r="BC76" s="594">
        <v>-1.1000000000000001E-3</v>
      </c>
      <c r="BD76" s="594">
        <v>6.7000000000000002E-3</v>
      </c>
      <c r="BE76" s="594">
        <v>9.7000000000000003E-3</v>
      </c>
      <c r="BF76" s="594">
        <v>1.0500000000000001E-2</v>
      </c>
      <c r="BG76" s="594">
        <v>1.5699999999999999E-2</v>
      </c>
      <c r="BH76" s="594">
        <v>8.5000000000000006E-3</v>
      </c>
      <c r="BI76" s="594">
        <v>1.14E-2</v>
      </c>
      <c r="BJ76" s="594">
        <v>1.24E-2</v>
      </c>
      <c r="BK76" s="594">
        <v>8.6E-3</v>
      </c>
      <c r="BL76" s="594">
        <v>1.3299999999999999E-2</v>
      </c>
      <c r="BM76" s="594">
        <v>3.2000000000000002E-3</v>
      </c>
      <c r="BN76" s="594">
        <v>0.29599999999999999</v>
      </c>
      <c r="BO76" s="594">
        <v>0.06</v>
      </c>
      <c r="BP76" s="594">
        <v>0.312</v>
      </c>
      <c r="BQ76" s="594">
        <v>0.21199999999999999</v>
      </c>
      <c r="BR76" s="594">
        <v>0.18</v>
      </c>
      <c r="BS76" s="594">
        <v>0.1111</v>
      </c>
      <c r="BT76" s="594">
        <v>0.18</v>
      </c>
      <c r="BU76" s="594">
        <v>0.221</v>
      </c>
      <c r="BV76" s="1467"/>
      <c r="BW76" s="594">
        <v>0.23</v>
      </c>
      <c r="BX76" s="594">
        <v>0.13</v>
      </c>
      <c r="BY76" s="594">
        <v>0.32900000000000001</v>
      </c>
      <c r="BZ76" s="594">
        <v>8.6999999999999994E-2</v>
      </c>
      <c r="CA76" s="594">
        <v>0</v>
      </c>
      <c r="CB76" s="593">
        <v>0.25</v>
      </c>
      <c r="CC76" s="594">
        <v>0.3</v>
      </c>
      <c r="CD76" s="594">
        <v>0.13</v>
      </c>
      <c r="CE76" s="594">
        <v>0.3</v>
      </c>
      <c r="CF76" s="594">
        <v>0.14599999999999999</v>
      </c>
      <c r="CG76" s="594">
        <v>0.22</v>
      </c>
      <c r="CH76" s="594">
        <v>0.27</v>
      </c>
      <c r="CI76" s="594">
        <v>0.25</v>
      </c>
      <c r="CJ76" s="594">
        <v>0</v>
      </c>
      <c r="CK76" s="594">
        <v>5.2499999999999998E-2</v>
      </c>
      <c r="CL76" s="594">
        <v>0.107</v>
      </c>
      <c r="CM76" s="594">
        <v>0.188</v>
      </c>
      <c r="CN76" s="594">
        <v>0.21</v>
      </c>
      <c r="CO76" s="594">
        <v>0.1118</v>
      </c>
      <c r="CP76" s="594">
        <v>0.2</v>
      </c>
      <c r="CQ76" s="594">
        <v>0.25</v>
      </c>
      <c r="CR76" s="594">
        <v>0.35</v>
      </c>
      <c r="CS76" s="597"/>
      <c r="CT76" s="591">
        <v>0.03</v>
      </c>
      <c r="CU76" s="1233">
        <v>4.8025999999999999E-2</v>
      </c>
      <c r="CV76" s="591">
        <v>1E-3</v>
      </c>
      <c r="CW76" s="915">
        <v>3.3327999999999997E-2</v>
      </c>
      <c r="CX76" s="591">
        <v>5.5E-2</v>
      </c>
      <c r="CY76" s="1234"/>
      <c r="CZ76" s="591">
        <v>3.7999999999999999E-2</v>
      </c>
      <c r="DA76" s="591">
        <v>3.1E-2</v>
      </c>
      <c r="DB76" s="591">
        <v>3.2000000000000001E-2</v>
      </c>
      <c r="DC76" s="591"/>
      <c r="DD76" s="591">
        <v>4.1000000000000002E-2</v>
      </c>
      <c r="DE76" s="591">
        <v>5.0999999999999997E-2</v>
      </c>
      <c r="DF76" s="591">
        <v>1.9E-2</v>
      </c>
      <c r="DG76" s="591">
        <v>1.4999999999999999E-2</v>
      </c>
      <c r="DH76" s="591">
        <v>0.05</v>
      </c>
      <c r="DI76" s="915">
        <v>5.1573000000000001E-2</v>
      </c>
      <c r="DJ76" s="1234"/>
      <c r="DK76" s="591"/>
      <c r="DL76" s="591">
        <v>3.2000000000000001E-2</v>
      </c>
      <c r="DM76" s="591">
        <v>3.1E-2</v>
      </c>
      <c r="DN76" s="915">
        <v>3.9253999999999997E-2</v>
      </c>
      <c r="DO76" s="591">
        <v>2.3E-2</v>
      </c>
      <c r="DP76" s="591">
        <v>8.0000000000000002E-3</v>
      </c>
      <c r="DQ76" s="1234"/>
      <c r="DR76" s="591"/>
      <c r="DS76" s="1234"/>
      <c r="DT76" s="591">
        <v>0.02</v>
      </c>
      <c r="DU76" s="591">
        <v>2.7E-2</v>
      </c>
      <c r="DV76" s="591">
        <v>2.8000000000000001E-2</v>
      </c>
      <c r="DW76" s="591">
        <v>5.0999999999999997E-2</v>
      </c>
      <c r="DX76" s="591">
        <v>0.06</v>
      </c>
      <c r="DY76" s="591">
        <v>1.9E-2</v>
      </c>
      <c r="DZ76" s="916"/>
      <c r="EA76" s="1439"/>
      <c r="FV76" s="564"/>
      <c r="FX76" s="564"/>
    </row>
    <row r="77" spans="1:180" x14ac:dyDescent="0.3">
      <c r="A77" s="935">
        <v>41334</v>
      </c>
      <c r="B77" s="589">
        <v>0.1</v>
      </c>
      <c r="C77" s="590">
        <v>0.06</v>
      </c>
      <c r="D77" s="590">
        <v>0.04</v>
      </c>
      <c r="E77" s="590">
        <v>0.05</v>
      </c>
      <c r="F77" s="591">
        <v>0.1263</v>
      </c>
      <c r="G77" s="589">
        <v>0.1111</v>
      </c>
      <c r="H77" s="589">
        <v>0.06</v>
      </c>
      <c r="I77" s="590">
        <v>0.08</v>
      </c>
      <c r="J77" s="590">
        <v>0</v>
      </c>
      <c r="K77" s="590">
        <v>0.15</v>
      </c>
      <c r="L77" s="589">
        <v>4.2500000000000003E-2</v>
      </c>
      <c r="M77" s="598">
        <v>0.71</v>
      </c>
      <c r="N77" s="590">
        <v>0</v>
      </c>
      <c r="O77" s="589">
        <v>0</v>
      </c>
      <c r="P77" s="593">
        <v>7.7499999999999999E-2</v>
      </c>
      <c r="Q77" s="589">
        <v>0.105</v>
      </c>
      <c r="R77" s="590">
        <v>0.2</v>
      </c>
      <c r="S77" s="589">
        <v>2.2499999999999999E-2</v>
      </c>
      <c r="T77" s="594">
        <v>0.107</v>
      </c>
      <c r="U77" s="591">
        <v>6.2E-2</v>
      </c>
      <c r="V77" s="589">
        <v>0.16</v>
      </c>
      <c r="W77" s="595">
        <v>0.105</v>
      </c>
      <c r="X77" s="590">
        <v>0</v>
      </c>
      <c r="Y77" s="589">
        <v>8.5000000000000006E-2</v>
      </c>
      <c r="Z77" s="589">
        <v>0.1875</v>
      </c>
      <c r="AA77" s="589">
        <v>0</v>
      </c>
      <c r="AB77" s="590">
        <v>0.2</v>
      </c>
      <c r="AC77" s="590">
        <v>0.1</v>
      </c>
      <c r="AD77" s="590">
        <v>0.1</v>
      </c>
      <c r="AE77" s="590">
        <v>0.2</v>
      </c>
      <c r="AF77" s="590">
        <v>0.1</v>
      </c>
      <c r="AG77" s="590">
        <v>0</v>
      </c>
      <c r="AH77" s="594">
        <v>1.04E-2</v>
      </c>
      <c r="AI77" s="594">
        <v>9.4000000000000004E-3</v>
      </c>
      <c r="AJ77" s="594">
        <v>2.3E-2</v>
      </c>
      <c r="AK77" s="594">
        <v>7.0000000000000001E-3</v>
      </c>
      <c r="AL77" s="594">
        <v>8.8999999999999999E-3</v>
      </c>
      <c r="AM77" s="596"/>
      <c r="AN77" s="594">
        <v>1.0699999999999999E-2</v>
      </c>
      <c r="AO77" s="594">
        <v>1.5599999999999999E-2</v>
      </c>
      <c r="AP77" s="594">
        <v>1.0800000000000001E-2</v>
      </c>
      <c r="AQ77" s="594">
        <v>7.4999999999999997E-3</v>
      </c>
      <c r="AR77" s="594">
        <v>1.4999999999999999E-2</v>
      </c>
      <c r="AS77" s="596"/>
      <c r="AT77" s="594">
        <v>7.4999999999999997E-3</v>
      </c>
      <c r="AU77" s="594">
        <v>7.7999999999999996E-3</v>
      </c>
      <c r="AV77" s="593">
        <v>2.1299999999999999E-2</v>
      </c>
      <c r="AW77" s="591">
        <v>9.5999999999999992E-3</v>
      </c>
      <c r="AX77" s="594">
        <v>1.0200000000000001E-2</v>
      </c>
      <c r="AY77" s="591">
        <v>4.1399999999999999E-2</v>
      </c>
      <c r="AZ77" s="594">
        <v>6.7000000000000002E-3</v>
      </c>
      <c r="BA77" s="594">
        <v>9.9000000000000008E-3</v>
      </c>
      <c r="BB77" s="594">
        <v>9.5999999999999992E-3</v>
      </c>
      <c r="BC77" s="594">
        <v>7.0000000000000001E-3</v>
      </c>
      <c r="BD77" s="594">
        <v>6.7000000000000002E-3</v>
      </c>
      <c r="BE77" s="594">
        <v>9.7000000000000003E-3</v>
      </c>
      <c r="BF77" s="594">
        <v>1.0500000000000001E-2</v>
      </c>
      <c r="BG77" s="594">
        <v>1.5699999999999999E-2</v>
      </c>
      <c r="BH77" s="594">
        <v>8.5000000000000006E-3</v>
      </c>
      <c r="BI77" s="594">
        <v>1.14E-2</v>
      </c>
      <c r="BJ77" s="594">
        <v>1.24E-2</v>
      </c>
      <c r="BK77" s="594">
        <v>8.6E-3</v>
      </c>
      <c r="BL77" s="594">
        <v>1.3299999999999999E-2</v>
      </c>
      <c r="BM77" s="594">
        <v>3.3999999999999998E-3</v>
      </c>
      <c r="BN77" s="594">
        <v>0.29599999999999999</v>
      </c>
      <c r="BO77" s="594">
        <v>0.06</v>
      </c>
      <c r="BP77" s="594">
        <v>0.312</v>
      </c>
      <c r="BQ77" s="594">
        <v>0.21199999999999999</v>
      </c>
      <c r="BR77" s="594">
        <v>0.18</v>
      </c>
      <c r="BS77" s="594">
        <v>0.1111</v>
      </c>
      <c r="BT77" s="594">
        <v>0.18</v>
      </c>
      <c r="BU77" s="594">
        <v>0.221</v>
      </c>
      <c r="BV77" s="1467"/>
      <c r="BW77" s="594">
        <v>0.23</v>
      </c>
      <c r="BX77" s="594">
        <v>0.13</v>
      </c>
      <c r="BY77" s="594">
        <v>0.32900000000000001</v>
      </c>
      <c r="BZ77" s="594">
        <v>8.6999999999999994E-2</v>
      </c>
      <c r="CA77" s="594">
        <v>0</v>
      </c>
      <c r="CB77" s="593">
        <v>0.25</v>
      </c>
      <c r="CC77" s="594">
        <v>0.3</v>
      </c>
      <c r="CD77" s="594">
        <v>0.13</v>
      </c>
      <c r="CE77" s="594">
        <v>0.3</v>
      </c>
      <c r="CF77" s="594">
        <v>0.14599999999999999</v>
      </c>
      <c r="CG77" s="594">
        <v>0.22</v>
      </c>
      <c r="CH77" s="594">
        <v>0.27</v>
      </c>
      <c r="CI77" s="594">
        <v>0.25</v>
      </c>
      <c r="CJ77" s="594">
        <v>0</v>
      </c>
      <c r="CK77" s="594">
        <v>5.2499999999999998E-2</v>
      </c>
      <c r="CL77" s="594">
        <v>0.107</v>
      </c>
      <c r="CM77" s="594">
        <v>0.188</v>
      </c>
      <c r="CN77" s="594">
        <v>0.21</v>
      </c>
      <c r="CO77" s="594">
        <v>0.1118</v>
      </c>
      <c r="CP77" s="594">
        <v>0.2</v>
      </c>
      <c r="CQ77" s="594">
        <v>0.25</v>
      </c>
      <c r="CR77" s="594">
        <v>0.35</v>
      </c>
      <c r="CS77" s="597"/>
      <c r="CT77" s="591">
        <v>0.03</v>
      </c>
      <c r="CU77" s="1233">
        <v>4.8025999999999999E-2</v>
      </c>
      <c r="CV77" s="591">
        <v>1E-3</v>
      </c>
      <c r="CW77" s="915">
        <v>3.3327999999999997E-2</v>
      </c>
      <c r="CX77" s="591">
        <v>5.5E-2</v>
      </c>
      <c r="CY77" s="1234"/>
      <c r="CZ77" s="591">
        <v>3.7999999999999999E-2</v>
      </c>
      <c r="DA77" s="591">
        <v>3.1E-2</v>
      </c>
      <c r="DB77" s="591">
        <v>3.2000000000000001E-2</v>
      </c>
      <c r="DC77" s="591"/>
      <c r="DD77" s="591">
        <v>4.1000000000000002E-2</v>
      </c>
      <c r="DE77" s="591">
        <v>5.0999999999999997E-2</v>
      </c>
      <c r="DF77" s="591">
        <v>1.9E-2</v>
      </c>
      <c r="DG77" s="591">
        <v>1.4999999999999999E-2</v>
      </c>
      <c r="DH77" s="591">
        <v>0.05</v>
      </c>
      <c r="DI77" s="915">
        <v>5.1573000000000001E-2</v>
      </c>
      <c r="DJ77" s="1234"/>
      <c r="DK77" s="591"/>
      <c r="DL77" s="591">
        <v>3.2000000000000001E-2</v>
      </c>
      <c r="DM77" s="591">
        <v>3.1E-2</v>
      </c>
      <c r="DN77" s="915">
        <v>3.9253999999999997E-2</v>
      </c>
      <c r="DO77" s="591">
        <v>2.3E-2</v>
      </c>
      <c r="DP77" s="591">
        <v>8.0000000000000002E-3</v>
      </c>
      <c r="DQ77" s="1234"/>
      <c r="DR77" s="591"/>
      <c r="DS77" s="1234"/>
      <c r="DT77" s="591">
        <v>0.02</v>
      </c>
      <c r="DU77" s="591">
        <v>2.7E-2</v>
      </c>
      <c r="DV77" s="591">
        <v>2.8000000000000001E-2</v>
      </c>
      <c r="DW77" s="591">
        <v>5.0999999999999997E-2</v>
      </c>
      <c r="DX77" s="591">
        <v>0.06</v>
      </c>
      <c r="DY77" s="591">
        <v>1.9E-2</v>
      </c>
      <c r="DZ77" s="916"/>
      <c r="EA77" s="1439"/>
      <c r="FV77" s="564"/>
      <c r="FX77" s="564"/>
    </row>
    <row r="78" spans="1:180" x14ac:dyDescent="0.3">
      <c r="A78" s="935">
        <v>41365</v>
      </c>
      <c r="B78" s="589">
        <v>0.1</v>
      </c>
      <c r="C78" s="590">
        <v>0.06</v>
      </c>
      <c r="D78" s="590">
        <v>0.04</v>
      </c>
      <c r="E78" s="590">
        <v>0.05</v>
      </c>
      <c r="F78" s="591">
        <v>0.1263</v>
      </c>
      <c r="G78" s="589">
        <v>0.1111</v>
      </c>
      <c r="H78" s="589">
        <v>0.06</v>
      </c>
      <c r="I78" s="590">
        <v>0.08</v>
      </c>
      <c r="J78" s="590">
        <v>0</v>
      </c>
      <c r="K78" s="590">
        <v>0.15</v>
      </c>
      <c r="L78" s="589">
        <v>4.2500000000000003E-2</v>
      </c>
      <c r="M78" s="598">
        <v>0.71</v>
      </c>
      <c r="N78" s="590">
        <v>0</v>
      </c>
      <c r="O78" s="589">
        <v>0</v>
      </c>
      <c r="P78" s="593">
        <v>7.7499999999999999E-2</v>
      </c>
      <c r="Q78" s="589">
        <v>0.105</v>
      </c>
      <c r="R78" s="590">
        <v>0.2</v>
      </c>
      <c r="S78" s="589">
        <v>2.2499999999999999E-2</v>
      </c>
      <c r="T78" s="594">
        <v>0.107</v>
      </c>
      <c r="U78" s="591">
        <v>6.2E-2</v>
      </c>
      <c r="V78" s="589">
        <v>0.16</v>
      </c>
      <c r="W78" s="595">
        <v>0.105</v>
      </c>
      <c r="X78" s="590">
        <v>0</v>
      </c>
      <c r="Y78" s="589">
        <v>8.5000000000000006E-2</v>
      </c>
      <c r="Z78" s="589">
        <v>0.1875</v>
      </c>
      <c r="AA78" s="589">
        <v>0</v>
      </c>
      <c r="AB78" s="590">
        <v>0.2</v>
      </c>
      <c r="AC78" s="590">
        <v>0.1</v>
      </c>
      <c r="AD78" s="590">
        <v>0.1</v>
      </c>
      <c r="AE78" s="590">
        <v>0.2</v>
      </c>
      <c r="AF78" s="590">
        <v>0.1</v>
      </c>
      <c r="AG78" s="590">
        <v>0</v>
      </c>
      <c r="AH78" s="594">
        <v>1.04E-2</v>
      </c>
      <c r="AI78" s="594">
        <v>9.4000000000000004E-3</v>
      </c>
      <c r="AJ78" s="594">
        <v>2.3E-2</v>
      </c>
      <c r="AK78" s="594">
        <v>7.0000000000000001E-3</v>
      </c>
      <c r="AL78" s="594">
        <v>8.8999999999999999E-3</v>
      </c>
      <c r="AM78" s="596"/>
      <c r="AN78" s="594">
        <v>1.0699999999999999E-2</v>
      </c>
      <c r="AO78" s="594">
        <v>1.5599999999999999E-2</v>
      </c>
      <c r="AP78" s="594">
        <v>1.0800000000000001E-2</v>
      </c>
      <c r="AQ78" s="594">
        <v>7.4999999999999997E-3</v>
      </c>
      <c r="AR78" s="594">
        <v>1.4999999999999999E-2</v>
      </c>
      <c r="AS78" s="596"/>
      <c r="AT78" s="594">
        <v>7.4999999999999997E-3</v>
      </c>
      <c r="AU78" s="594">
        <v>7.7999999999999996E-3</v>
      </c>
      <c r="AV78" s="593">
        <v>2.1299999999999999E-2</v>
      </c>
      <c r="AW78" s="591">
        <v>9.5999999999999992E-3</v>
      </c>
      <c r="AX78" s="594">
        <v>1.0200000000000001E-2</v>
      </c>
      <c r="AY78" s="591">
        <v>4.1399999999999999E-2</v>
      </c>
      <c r="AZ78" s="594">
        <v>6.7000000000000002E-3</v>
      </c>
      <c r="BA78" s="594">
        <v>9.9000000000000008E-3</v>
      </c>
      <c r="BB78" s="594">
        <v>9.5999999999999992E-3</v>
      </c>
      <c r="BC78" s="594">
        <v>7.0000000000000001E-3</v>
      </c>
      <c r="BD78" s="594">
        <v>6.7000000000000002E-3</v>
      </c>
      <c r="BE78" s="594">
        <v>9.7000000000000003E-3</v>
      </c>
      <c r="BF78" s="594">
        <v>1.0500000000000001E-2</v>
      </c>
      <c r="BG78" s="594">
        <v>1.5699999999999999E-2</v>
      </c>
      <c r="BH78" s="594">
        <v>8.5000000000000006E-3</v>
      </c>
      <c r="BI78" s="594">
        <v>1.14E-2</v>
      </c>
      <c r="BJ78" s="594">
        <v>1.24E-2</v>
      </c>
      <c r="BK78" s="594">
        <v>8.6E-3</v>
      </c>
      <c r="BL78" s="594">
        <v>1.3299999999999999E-2</v>
      </c>
      <c r="BM78" s="594">
        <v>3.3999999999999998E-3</v>
      </c>
      <c r="BN78" s="594">
        <v>0.29599999999999999</v>
      </c>
      <c r="BO78" s="594">
        <v>0.06</v>
      </c>
      <c r="BP78" s="594">
        <v>0.312</v>
      </c>
      <c r="BQ78" s="594">
        <v>0.21199999999999999</v>
      </c>
      <c r="BR78" s="594">
        <v>0.18</v>
      </c>
      <c r="BS78" s="594">
        <v>0.1111</v>
      </c>
      <c r="BT78" s="594">
        <v>0.18</v>
      </c>
      <c r="BU78" s="594">
        <v>0.221</v>
      </c>
      <c r="BV78" s="594">
        <v>0</v>
      </c>
      <c r="BW78" s="594">
        <v>0.23</v>
      </c>
      <c r="BX78" s="594">
        <v>0.13</v>
      </c>
      <c r="BY78" s="594">
        <v>0.32900000000000001</v>
      </c>
      <c r="BZ78" s="594">
        <v>8.6999999999999994E-2</v>
      </c>
      <c r="CA78" s="594">
        <v>0</v>
      </c>
      <c r="CB78" s="593">
        <v>0.25</v>
      </c>
      <c r="CC78" s="594">
        <v>0.3</v>
      </c>
      <c r="CD78" s="594">
        <v>0.13</v>
      </c>
      <c r="CE78" s="594">
        <v>0.3</v>
      </c>
      <c r="CF78" s="594">
        <v>0.14599999999999999</v>
      </c>
      <c r="CG78" s="594">
        <v>0.22</v>
      </c>
      <c r="CH78" s="594">
        <v>0.27</v>
      </c>
      <c r="CI78" s="594">
        <v>0.25</v>
      </c>
      <c r="CJ78" s="594">
        <v>0</v>
      </c>
      <c r="CK78" s="594">
        <v>5.2499999999999998E-2</v>
      </c>
      <c r="CL78" s="594">
        <v>0.107</v>
      </c>
      <c r="CM78" s="594">
        <v>0.188</v>
      </c>
      <c r="CN78" s="594">
        <v>0.21</v>
      </c>
      <c r="CO78" s="594">
        <v>0.1118</v>
      </c>
      <c r="CP78" s="594">
        <v>0.2</v>
      </c>
      <c r="CQ78" s="594">
        <v>0.25</v>
      </c>
      <c r="CR78" s="594">
        <v>0.35</v>
      </c>
      <c r="CS78" s="597"/>
      <c r="CT78" s="591">
        <v>0.03</v>
      </c>
      <c r="CU78" s="1233">
        <v>4.8025999999999999E-2</v>
      </c>
      <c r="CV78" s="591">
        <v>1E-3</v>
      </c>
      <c r="CW78" s="915">
        <v>3.3327999999999997E-2</v>
      </c>
      <c r="CX78" s="591">
        <v>5.5E-2</v>
      </c>
      <c r="CY78" s="1234"/>
      <c r="CZ78" s="591">
        <v>3.7999999999999999E-2</v>
      </c>
      <c r="DA78" s="591">
        <v>3.1E-2</v>
      </c>
      <c r="DB78" s="591">
        <v>3.2000000000000001E-2</v>
      </c>
      <c r="DC78" s="591"/>
      <c r="DD78" s="591">
        <v>4.1000000000000002E-2</v>
      </c>
      <c r="DE78" s="591">
        <v>5.0999999999999997E-2</v>
      </c>
      <c r="DF78" s="591">
        <v>1.9E-2</v>
      </c>
      <c r="DG78" s="591">
        <v>1.4999999999999999E-2</v>
      </c>
      <c r="DH78" s="591">
        <v>0.05</v>
      </c>
      <c r="DI78" s="915">
        <v>5.1573000000000001E-2</v>
      </c>
      <c r="DJ78" s="1234"/>
      <c r="DK78" s="591"/>
      <c r="DL78" s="591">
        <v>3.2000000000000001E-2</v>
      </c>
      <c r="DM78" s="591">
        <v>3.1E-2</v>
      </c>
      <c r="DN78" s="915">
        <v>3.9253999999999997E-2</v>
      </c>
      <c r="DO78" s="591">
        <v>2.3E-2</v>
      </c>
      <c r="DP78" s="591">
        <v>8.0000000000000002E-3</v>
      </c>
      <c r="DQ78" s="1234"/>
      <c r="DR78" s="591"/>
      <c r="DS78" s="1234"/>
      <c r="DT78" s="591">
        <v>0.02</v>
      </c>
      <c r="DU78" s="591">
        <v>2.7E-2</v>
      </c>
      <c r="DV78" s="591">
        <v>2.8000000000000001E-2</v>
      </c>
      <c r="DW78" s="591">
        <v>5.0999999999999997E-2</v>
      </c>
      <c r="DX78" s="591">
        <v>0.06</v>
      </c>
      <c r="DY78" s="591">
        <v>1.9E-2</v>
      </c>
      <c r="DZ78" s="916"/>
      <c r="EA78" s="1439"/>
      <c r="FV78" s="564"/>
      <c r="FX78" s="564"/>
    </row>
    <row r="79" spans="1:180" x14ac:dyDescent="0.3">
      <c r="A79" s="935">
        <v>41395</v>
      </c>
      <c r="B79" s="589">
        <v>0.1</v>
      </c>
      <c r="C79" s="590">
        <v>0.06</v>
      </c>
      <c r="D79" s="590">
        <v>0.04</v>
      </c>
      <c r="E79" s="590">
        <v>0.05</v>
      </c>
      <c r="F79" s="591">
        <v>0.1263</v>
      </c>
      <c r="G79" s="589">
        <v>0.1111</v>
      </c>
      <c r="H79" s="589">
        <v>0.06</v>
      </c>
      <c r="I79" s="590">
        <v>0.08</v>
      </c>
      <c r="J79" s="590">
        <v>0</v>
      </c>
      <c r="K79" s="590">
        <v>0.15</v>
      </c>
      <c r="L79" s="589">
        <v>4.2500000000000003E-2</v>
      </c>
      <c r="M79" s="598">
        <v>0.71</v>
      </c>
      <c r="N79" s="590">
        <v>0</v>
      </c>
      <c r="O79" s="589">
        <v>0</v>
      </c>
      <c r="P79" s="593">
        <v>7.7499999999999999E-2</v>
      </c>
      <c r="Q79" s="589">
        <v>0.105</v>
      </c>
      <c r="R79" s="590">
        <v>0.2</v>
      </c>
      <c r="S79" s="589">
        <v>2.2499999999999999E-2</v>
      </c>
      <c r="T79" s="594">
        <v>0.107</v>
      </c>
      <c r="U79" s="591">
        <v>6.2E-2</v>
      </c>
      <c r="V79" s="589">
        <v>0.16</v>
      </c>
      <c r="W79" s="595">
        <v>0.105</v>
      </c>
      <c r="X79" s="590">
        <v>0</v>
      </c>
      <c r="Y79" s="589">
        <v>8.5000000000000006E-2</v>
      </c>
      <c r="Z79" s="589">
        <v>0.1875</v>
      </c>
      <c r="AA79" s="589">
        <v>0</v>
      </c>
      <c r="AB79" s="590">
        <v>0.2</v>
      </c>
      <c r="AC79" s="590">
        <v>0.1</v>
      </c>
      <c r="AD79" s="590">
        <v>0.1</v>
      </c>
      <c r="AE79" s="590">
        <v>0.2</v>
      </c>
      <c r="AF79" s="590">
        <v>0.1</v>
      </c>
      <c r="AG79" s="590">
        <v>0</v>
      </c>
      <c r="AH79" s="594">
        <v>1.04E-2</v>
      </c>
      <c r="AI79" s="594">
        <v>9.4000000000000004E-3</v>
      </c>
      <c r="AJ79" s="594">
        <v>2.3E-2</v>
      </c>
      <c r="AK79" s="594">
        <v>7.0000000000000001E-3</v>
      </c>
      <c r="AL79" s="594">
        <v>8.8999999999999999E-3</v>
      </c>
      <c r="AM79" s="596"/>
      <c r="AN79" s="594">
        <v>1.0699999999999999E-2</v>
      </c>
      <c r="AO79" s="594">
        <v>1.5599999999999999E-2</v>
      </c>
      <c r="AP79" s="594">
        <v>1.0800000000000001E-2</v>
      </c>
      <c r="AQ79" s="594">
        <v>7.4999999999999997E-3</v>
      </c>
      <c r="AR79" s="594">
        <v>1.4999999999999999E-2</v>
      </c>
      <c r="AS79" s="596"/>
      <c r="AT79" s="594">
        <v>7.4999999999999997E-3</v>
      </c>
      <c r="AU79" s="594">
        <v>7.7999999999999996E-3</v>
      </c>
      <c r="AV79" s="593">
        <v>2.1299999999999999E-2</v>
      </c>
      <c r="AW79" s="591">
        <v>9.5999999999999992E-3</v>
      </c>
      <c r="AX79" s="594">
        <v>1.0200000000000001E-2</v>
      </c>
      <c r="AY79" s="591">
        <v>4.1399999999999999E-2</v>
      </c>
      <c r="AZ79" s="594">
        <v>6.7000000000000002E-3</v>
      </c>
      <c r="BA79" s="594">
        <v>9.9000000000000008E-3</v>
      </c>
      <c r="BB79" s="594">
        <v>9.5999999999999992E-3</v>
      </c>
      <c r="BC79" s="594">
        <v>7.0000000000000001E-3</v>
      </c>
      <c r="BD79" s="594">
        <v>6.7000000000000002E-3</v>
      </c>
      <c r="BE79" s="594">
        <v>9.7000000000000003E-3</v>
      </c>
      <c r="BF79" s="594">
        <v>1.0500000000000001E-2</v>
      </c>
      <c r="BG79" s="594">
        <v>1.5699999999999999E-2</v>
      </c>
      <c r="BH79" s="594">
        <v>8.5000000000000006E-3</v>
      </c>
      <c r="BI79" s="594">
        <v>1.14E-2</v>
      </c>
      <c r="BJ79" s="594">
        <v>1.24E-2</v>
      </c>
      <c r="BK79" s="594">
        <v>8.6E-3</v>
      </c>
      <c r="BL79" s="594">
        <v>1.3299999999999999E-2</v>
      </c>
      <c r="BM79" s="594">
        <v>3.3999999999999998E-3</v>
      </c>
      <c r="BN79" s="594">
        <v>0.29599999999999999</v>
      </c>
      <c r="BO79" s="594">
        <v>0.06</v>
      </c>
      <c r="BP79" s="594">
        <v>0.312</v>
      </c>
      <c r="BQ79" s="594">
        <v>0.21199999999999999</v>
      </c>
      <c r="BR79" s="594">
        <v>0.18</v>
      </c>
      <c r="BS79" s="594">
        <v>0.1111</v>
      </c>
      <c r="BT79" s="594">
        <v>0.18</v>
      </c>
      <c r="BU79" s="594">
        <v>0.221</v>
      </c>
      <c r="BV79" s="594">
        <v>0</v>
      </c>
      <c r="BW79" s="594">
        <v>0.23</v>
      </c>
      <c r="BX79" s="594">
        <v>0.13</v>
      </c>
      <c r="BY79" s="594">
        <v>0.32900000000000001</v>
      </c>
      <c r="BZ79" s="594">
        <v>8.6999999999999994E-2</v>
      </c>
      <c r="CA79" s="594">
        <v>0</v>
      </c>
      <c r="CB79" s="593">
        <v>0.25</v>
      </c>
      <c r="CC79" s="594">
        <v>0.3</v>
      </c>
      <c r="CD79" s="594">
        <v>0.13</v>
      </c>
      <c r="CE79" s="594">
        <v>0.3</v>
      </c>
      <c r="CF79" s="594">
        <v>0.14599999999999999</v>
      </c>
      <c r="CG79" s="594">
        <v>0.22</v>
      </c>
      <c r="CH79" s="594">
        <v>0.27</v>
      </c>
      <c r="CI79" s="594">
        <v>0.25</v>
      </c>
      <c r="CJ79" s="594">
        <v>0</v>
      </c>
      <c r="CK79" s="594">
        <v>5.2499999999999998E-2</v>
      </c>
      <c r="CL79" s="594">
        <v>0.107</v>
      </c>
      <c r="CM79" s="594">
        <v>0.188</v>
      </c>
      <c r="CN79" s="594">
        <v>0.21</v>
      </c>
      <c r="CO79" s="594">
        <v>0.1118</v>
      </c>
      <c r="CP79" s="594">
        <v>0.2</v>
      </c>
      <c r="CQ79" s="594">
        <v>0.25</v>
      </c>
      <c r="CR79" s="594">
        <v>0.35</v>
      </c>
      <c r="CS79" s="597"/>
      <c r="CT79" s="591">
        <v>0.03</v>
      </c>
      <c r="CU79" s="1233">
        <v>4.8025999999999999E-2</v>
      </c>
      <c r="CV79" s="591">
        <v>1E-3</v>
      </c>
      <c r="CW79" s="915">
        <v>3.3327999999999997E-2</v>
      </c>
      <c r="CX79" s="591">
        <v>5.5E-2</v>
      </c>
      <c r="CY79" s="1234"/>
      <c r="CZ79" s="591">
        <v>3.7999999999999999E-2</v>
      </c>
      <c r="DA79" s="591">
        <v>3.1E-2</v>
      </c>
      <c r="DB79" s="591">
        <v>3.2000000000000001E-2</v>
      </c>
      <c r="DC79" s="591"/>
      <c r="DD79" s="591">
        <v>4.1000000000000002E-2</v>
      </c>
      <c r="DE79" s="591">
        <v>5.0999999999999997E-2</v>
      </c>
      <c r="DF79" s="591">
        <v>1.9E-2</v>
      </c>
      <c r="DG79" s="591">
        <v>1.4999999999999999E-2</v>
      </c>
      <c r="DH79" s="591">
        <v>0.05</v>
      </c>
      <c r="DI79" s="915">
        <v>5.1573000000000001E-2</v>
      </c>
      <c r="DJ79" s="1234"/>
      <c r="DK79" s="591"/>
      <c r="DL79" s="591">
        <v>3.2000000000000001E-2</v>
      </c>
      <c r="DM79" s="591">
        <v>3.1E-2</v>
      </c>
      <c r="DN79" s="915">
        <v>3.9253999999999997E-2</v>
      </c>
      <c r="DO79" s="591">
        <v>2.3E-2</v>
      </c>
      <c r="DP79" s="591">
        <v>8.0000000000000002E-3</v>
      </c>
      <c r="DQ79" s="1234"/>
      <c r="DR79" s="591"/>
      <c r="DS79" s="1234"/>
      <c r="DT79" s="591">
        <v>0.02</v>
      </c>
      <c r="DU79" s="591">
        <v>2.7E-2</v>
      </c>
      <c r="DV79" s="591">
        <v>2.8000000000000001E-2</v>
      </c>
      <c r="DW79" s="591">
        <v>5.0999999999999997E-2</v>
      </c>
      <c r="DX79" s="591">
        <v>0.06</v>
      </c>
      <c r="DY79" s="591">
        <v>1.9E-2</v>
      </c>
      <c r="DZ79" s="916"/>
      <c r="EA79" s="1439"/>
      <c r="FV79" s="564"/>
      <c r="FX79" s="564"/>
    </row>
    <row r="80" spans="1:180" x14ac:dyDescent="0.3">
      <c r="A80" s="935">
        <v>41426</v>
      </c>
      <c r="B80" s="589">
        <v>0.1</v>
      </c>
      <c r="C80" s="590">
        <v>0.06</v>
      </c>
      <c r="D80" s="590">
        <v>0.04</v>
      </c>
      <c r="E80" s="590">
        <v>0.05</v>
      </c>
      <c r="F80" s="591">
        <v>0.1263</v>
      </c>
      <c r="G80" s="589">
        <v>0.1111</v>
      </c>
      <c r="H80" s="589">
        <v>0.06</v>
      </c>
      <c r="I80" s="590">
        <v>0.08</v>
      </c>
      <c r="J80" s="590">
        <v>0</v>
      </c>
      <c r="K80" s="590">
        <v>0.15</v>
      </c>
      <c r="L80" s="589">
        <v>4.2500000000000003E-2</v>
      </c>
      <c r="M80" s="598">
        <v>0.71</v>
      </c>
      <c r="N80" s="590">
        <v>0</v>
      </c>
      <c r="O80" s="589">
        <v>0</v>
      </c>
      <c r="P80" s="593">
        <v>7.7499999999999999E-2</v>
      </c>
      <c r="Q80" s="589">
        <v>0.105</v>
      </c>
      <c r="R80" s="590">
        <v>0.2</v>
      </c>
      <c r="S80" s="589">
        <v>2.2499999999999999E-2</v>
      </c>
      <c r="T80" s="594">
        <v>0.107</v>
      </c>
      <c r="U80" s="591">
        <v>6.2E-2</v>
      </c>
      <c r="V80" s="589">
        <v>0.16</v>
      </c>
      <c r="W80" s="595">
        <v>0.105</v>
      </c>
      <c r="X80" s="590">
        <v>0</v>
      </c>
      <c r="Y80" s="589">
        <v>8.5000000000000006E-2</v>
      </c>
      <c r="Z80" s="589">
        <v>0.1875</v>
      </c>
      <c r="AA80" s="589">
        <v>0</v>
      </c>
      <c r="AB80" s="590">
        <v>0.2</v>
      </c>
      <c r="AC80" s="590">
        <v>0.1</v>
      </c>
      <c r="AD80" s="590">
        <v>0.1</v>
      </c>
      <c r="AE80" s="590">
        <v>0.2</v>
      </c>
      <c r="AF80" s="590">
        <v>0.1</v>
      </c>
      <c r="AG80" s="590">
        <v>0</v>
      </c>
      <c r="AH80" s="594">
        <v>1.04E-2</v>
      </c>
      <c r="AI80" s="594">
        <v>9.4000000000000004E-3</v>
      </c>
      <c r="AJ80" s="594">
        <v>2.3E-2</v>
      </c>
      <c r="AK80" s="594">
        <v>7.0000000000000001E-3</v>
      </c>
      <c r="AL80" s="594">
        <v>8.8999999999999999E-3</v>
      </c>
      <c r="AM80" s="596"/>
      <c r="AN80" s="594">
        <v>1.0699999999999999E-2</v>
      </c>
      <c r="AO80" s="594">
        <v>1.5599999999999999E-2</v>
      </c>
      <c r="AP80" s="594">
        <v>1.0800000000000001E-2</v>
      </c>
      <c r="AQ80" s="594">
        <v>7.4999999999999997E-3</v>
      </c>
      <c r="AR80" s="594">
        <v>1.4999999999999999E-2</v>
      </c>
      <c r="AS80" s="596"/>
      <c r="AT80" s="594">
        <v>7.4999999999999997E-3</v>
      </c>
      <c r="AU80" s="594">
        <v>7.7999999999999996E-3</v>
      </c>
      <c r="AV80" s="593">
        <v>2.1299999999999999E-2</v>
      </c>
      <c r="AW80" s="591">
        <v>9.5999999999999992E-3</v>
      </c>
      <c r="AX80" s="594">
        <v>1.0200000000000001E-2</v>
      </c>
      <c r="AY80" s="591">
        <v>4.1399999999999999E-2</v>
      </c>
      <c r="AZ80" s="594">
        <v>6.7000000000000002E-3</v>
      </c>
      <c r="BA80" s="594">
        <v>9.9000000000000008E-3</v>
      </c>
      <c r="BB80" s="594">
        <v>9.5999999999999992E-3</v>
      </c>
      <c r="BC80" s="594">
        <v>7.0000000000000001E-3</v>
      </c>
      <c r="BD80" s="594">
        <v>6.7000000000000002E-3</v>
      </c>
      <c r="BE80" s="594">
        <v>9.7000000000000003E-3</v>
      </c>
      <c r="BF80" s="594">
        <v>1.0500000000000001E-2</v>
      </c>
      <c r="BG80" s="594">
        <v>1.5699999999999999E-2</v>
      </c>
      <c r="BH80" s="594">
        <v>8.5000000000000006E-3</v>
      </c>
      <c r="BI80" s="594">
        <v>1.14E-2</v>
      </c>
      <c r="BJ80" s="594">
        <v>1.24E-2</v>
      </c>
      <c r="BK80" s="594">
        <v>8.6E-3</v>
      </c>
      <c r="BL80" s="594">
        <v>1.3299999999999999E-2</v>
      </c>
      <c r="BM80" s="594">
        <v>3.3999999999999998E-3</v>
      </c>
      <c r="BN80" s="594">
        <v>0.29599999999999999</v>
      </c>
      <c r="BO80" s="594">
        <v>0.06</v>
      </c>
      <c r="BP80" s="594">
        <v>0.312</v>
      </c>
      <c r="BQ80" s="594">
        <v>0.21199999999999999</v>
      </c>
      <c r="BR80" s="594">
        <v>0.18</v>
      </c>
      <c r="BS80" s="594">
        <v>0.1111</v>
      </c>
      <c r="BT80" s="594">
        <v>0.18</v>
      </c>
      <c r="BU80" s="594">
        <v>0.221</v>
      </c>
      <c r="BV80" s="594">
        <v>0</v>
      </c>
      <c r="BW80" s="594">
        <v>0.23</v>
      </c>
      <c r="BX80" s="594">
        <v>0.13</v>
      </c>
      <c r="BY80" s="594">
        <v>0.32900000000000001</v>
      </c>
      <c r="BZ80" s="594">
        <v>8.6999999999999994E-2</v>
      </c>
      <c r="CA80" s="594">
        <v>0</v>
      </c>
      <c r="CB80" s="593">
        <v>0.25</v>
      </c>
      <c r="CC80" s="594">
        <v>0.3</v>
      </c>
      <c r="CD80" s="594">
        <v>0.13</v>
      </c>
      <c r="CE80" s="594">
        <v>0.3</v>
      </c>
      <c r="CF80" s="594">
        <v>0.14599999999999999</v>
      </c>
      <c r="CG80" s="594">
        <v>0.22</v>
      </c>
      <c r="CH80" s="594">
        <v>0.27</v>
      </c>
      <c r="CI80" s="594">
        <v>0.25</v>
      </c>
      <c r="CJ80" s="594">
        <v>0</v>
      </c>
      <c r="CK80" s="594">
        <v>5.2499999999999998E-2</v>
      </c>
      <c r="CL80" s="594">
        <v>0.107</v>
      </c>
      <c r="CM80" s="594">
        <v>0.188</v>
      </c>
      <c r="CN80" s="594">
        <v>0.21</v>
      </c>
      <c r="CO80" s="594">
        <v>0.1118</v>
      </c>
      <c r="CP80" s="594">
        <v>0.2</v>
      </c>
      <c r="CQ80" s="594">
        <v>0.25</v>
      </c>
      <c r="CR80" s="594">
        <v>0.35</v>
      </c>
      <c r="CS80" s="597"/>
      <c r="CT80" s="591">
        <v>0.03</v>
      </c>
      <c r="CU80" s="1233">
        <v>4.8025999999999999E-2</v>
      </c>
      <c r="CV80" s="591">
        <v>1E-3</v>
      </c>
      <c r="CW80" s="915">
        <v>3.3327999999999997E-2</v>
      </c>
      <c r="CX80" s="591">
        <v>5.5E-2</v>
      </c>
      <c r="CY80" s="1234"/>
      <c r="CZ80" s="591">
        <v>3.7999999999999999E-2</v>
      </c>
      <c r="DA80" s="591">
        <v>3.1E-2</v>
      </c>
      <c r="DB80" s="591">
        <v>3.2000000000000001E-2</v>
      </c>
      <c r="DC80" s="591"/>
      <c r="DD80" s="591">
        <v>4.1000000000000002E-2</v>
      </c>
      <c r="DE80" s="591">
        <v>5.0999999999999997E-2</v>
      </c>
      <c r="DF80" s="591">
        <v>1.9E-2</v>
      </c>
      <c r="DG80" s="591">
        <v>1.4999999999999999E-2</v>
      </c>
      <c r="DH80" s="591">
        <v>0.05</v>
      </c>
      <c r="DI80" s="915">
        <v>5.1573000000000001E-2</v>
      </c>
      <c r="DJ80" s="1234"/>
      <c r="DK80" s="591"/>
      <c r="DL80" s="591">
        <v>3.2000000000000001E-2</v>
      </c>
      <c r="DM80" s="591">
        <v>3.1E-2</v>
      </c>
      <c r="DN80" s="915">
        <v>3.9253999999999997E-2</v>
      </c>
      <c r="DO80" s="591">
        <v>2.3E-2</v>
      </c>
      <c r="DP80" s="591">
        <v>8.0000000000000002E-3</v>
      </c>
      <c r="DQ80" s="1234"/>
      <c r="DR80" s="591"/>
      <c r="DS80" s="1234"/>
      <c r="DT80" s="591">
        <v>0.02</v>
      </c>
      <c r="DU80" s="591">
        <v>2.7E-2</v>
      </c>
      <c r="DV80" s="591">
        <v>2.8000000000000001E-2</v>
      </c>
      <c r="DW80" s="591">
        <v>5.0999999999999997E-2</v>
      </c>
      <c r="DX80" s="591">
        <v>0.06</v>
      </c>
      <c r="DY80" s="591">
        <v>1.9E-2</v>
      </c>
      <c r="DZ80" s="916"/>
      <c r="EA80" s="1439"/>
      <c r="FV80" s="564"/>
      <c r="FX80" s="564"/>
    </row>
    <row r="81" spans="1:131" x14ac:dyDescent="0.3">
      <c r="A81" s="935">
        <v>41456</v>
      </c>
      <c r="B81" s="589">
        <v>0.1</v>
      </c>
      <c r="C81" s="590">
        <v>0.06</v>
      </c>
      <c r="D81" s="590">
        <v>0.04</v>
      </c>
      <c r="E81" s="590">
        <v>0.05</v>
      </c>
      <c r="F81" s="591">
        <v>0.1263</v>
      </c>
      <c r="G81" s="589">
        <v>0.1111</v>
      </c>
      <c r="H81" s="589">
        <v>0.06</v>
      </c>
      <c r="I81" s="590">
        <v>0.08</v>
      </c>
      <c r="J81" s="590">
        <v>0</v>
      </c>
      <c r="K81" s="590">
        <v>0.15</v>
      </c>
      <c r="L81" s="589">
        <v>4.2500000000000003E-2</v>
      </c>
      <c r="M81" s="598">
        <v>0.71</v>
      </c>
      <c r="N81" s="590">
        <v>0</v>
      </c>
      <c r="O81" s="589">
        <v>0</v>
      </c>
      <c r="P81" s="593">
        <v>7.7499999999999999E-2</v>
      </c>
      <c r="Q81" s="589">
        <v>0.105</v>
      </c>
      <c r="R81" s="590">
        <v>0.2</v>
      </c>
      <c r="S81" s="589">
        <v>2.2499999999999999E-2</v>
      </c>
      <c r="T81" s="594">
        <v>0.107</v>
      </c>
      <c r="U81" s="591">
        <v>6.2E-2</v>
      </c>
      <c r="V81" s="589">
        <v>0.16</v>
      </c>
      <c r="W81" s="595">
        <v>0.105</v>
      </c>
      <c r="X81" s="590">
        <v>0</v>
      </c>
      <c r="Y81" s="589">
        <v>8.5000000000000006E-2</v>
      </c>
      <c r="Z81" s="589">
        <v>0.1875</v>
      </c>
      <c r="AA81" s="589">
        <v>0</v>
      </c>
      <c r="AB81" s="590">
        <v>0.2</v>
      </c>
      <c r="AC81" s="590">
        <v>0.1</v>
      </c>
      <c r="AD81" s="590">
        <v>0.1</v>
      </c>
      <c r="AE81" s="590">
        <v>0.2</v>
      </c>
      <c r="AF81" s="590">
        <v>0.1</v>
      </c>
      <c r="AG81" s="590">
        <v>0</v>
      </c>
      <c r="AH81" s="594">
        <v>1.44E-2</v>
      </c>
      <c r="AI81" s="594">
        <v>2.2599999999999999E-2</v>
      </c>
      <c r="AJ81" s="594">
        <v>2.1499999999999998E-2</v>
      </c>
      <c r="AK81" s="594">
        <v>1.11E-2</v>
      </c>
      <c r="AL81" s="594">
        <v>1.72E-2</v>
      </c>
      <c r="AM81" s="596"/>
      <c r="AN81" s="594">
        <v>0.02</v>
      </c>
      <c r="AO81" s="594">
        <v>1.7899999999999999E-2</v>
      </c>
      <c r="AP81" s="594">
        <v>1.1900000000000001E-2</v>
      </c>
      <c r="AQ81" s="594">
        <v>1.6299999999999999E-2</v>
      </c>
      <c r="AR81" s="594">
        <v>1.4999999999999999E-2</v>
      </c>
      <c r="AS81" s="596"/>
      <c r="AT81" s="594">
        <v>7.4999999999999997E-3</v>
      </c>
      <c r="AU81" s="594">
        <v>1.18E-2</v>
      </c>
      <c r="AV81" s="593">
        <v>2.1299999999999999E-2</v>
      </c>
      <c r="AW81" s="591">
        <v>9.5999999999999992E-3</v>
      </c>
      <c r="AX81" s="594">
        <v>1.11E-2</v>
      </c>
      <c r="AY81" s="591">
        <v>4.1399999999999999E-2</v>
      </c>
      <c r="AZ81" s="594">
        <v>1.06E-2</v>
      </c>
      <c r="BA81" s="594">
        <v>1.5699999999999999E-2</v>
      </c>
      <c r="BB81" s="594">
        <v>1.52E-2</v>
      </c>
      <c r="BC81" s="594">
        <v>7.0000000000000001E-3</v>
      </c>
      <c r="BD81" s="594">
        <v>9.7999999999999997E-3</v>
      </c>
      <c r="BE81" s="594">
        <v>1.21E-2</v>
      </c>
      <c r="BF81" s="594">
        <v>1.8200000000000001E-2</v>
      </c>
      <c r="BG81" s="594">
        <v>2.0299999999999999E-2</v>
      </c>
      <c r="BH81" s="594">
        <v>1.18E-2</v>
      </c>
      <c r="BI81" s="594">
        <v>1.26E-2</v>
      </c>
      <c r="BJ81" s="594">
        <v>1.7899999999999999E-2</v>
      </c>
      <c r="BK81" s="594">
        <v>0.02</v>
      </c>
      <c r="BL81" s="594">
        <v>2.52E-2</v>
      </c>
      <c r="BM81" s="594">
        <v>3.3999999999999998E-3</v>
      </c>
      <c r="BN81" s="594">
        <v>0.29599999999999999</v>
      </c>
      <c r="BO81" s="594">
        <v>0.06</v>
      </c>
      <c r="BP81" s="594">
        <v>0.312</v>
      </c>
      <c r="BQ81" s="594">
        <v>0.21199999999999999</v>
      </c>
      <c r="BR81" s="594">
        <v>0.18</v>
      </c>
      <c r="BS81" s="594">
        <v>0.1111</v>
      </c>
      <c r="BT81" s="594">
        <v>0.18</v>
      </c>
      <c r="BU81" s="594">
        <v>0.221</v>
      </c>
      <c r="BV81" s="594">
        <v>0</v>
      </c>
      <c r="BW81" s="594">
        <v>0.23</v>
      </c>
      <c r="BX81" s="594">
        <v>0.13</v>
      </c>
      <c r="BY81" s="594">
        <v>0.32900000000000001</v>
      </c>
      <c r="BZ81" s="594">
        <v>8.6999999999999994E-2</v>
      </c>
      <c r="CA81" s="594">
        <v>0</v>
      </c>
      <c r="CB81" s="593">
        <v>0.25</v>
      </c>
      <c r="CC81" s="594">
        <v>0.3</v>
      </c>
      <c r="CD81" s="594">
        <v>0.13</v>
      </c>
      <c r="CE81" s="594">
        <v>0.3</v>
      </c>
      <c r="CF81" s="594">
        <v>0.14599999999999999</v>
      </c>
      <c r="CG81" s="594">
        <v>0.22</v>
      </c>
      <c r="CH81" s="594">
        <v>0.27</v>
      </c>
      <c r="CI81" s="594">
        <v>0.25</v>
      </c>
      <c r="CJ81" s="594">
        <v>0</v>
      </c>
      <c r="CK81" s="594">
        <v>5.2499999999999998E-2</v>
      </c>
      <c r="CL81" s="594">
        <v>0.107</v>
      </c>
      <c r="CM81" s="594">
        <v>0.188</v>
      </c>
      <c r="CN81" s="594">
        <v>0.21</v>
      </c>
      <c r="CO81" s="594">
        <v>0.1118</v>
      </c>
      <c r="CP81" s="594">
        <v>0.2</v>
      </c>
      <c r="CQ81" s="594">
        <v>0.25</v>
      </c>
      <c r="CR81" s="594">
        <v>0.35</v>
      </c>
      <c r="CS81" s="597"/>
      <c r="CT81" s="591">
        <v>0.03</v>
      </c>
      <c r="CU81" s="1233">
        <v>4.8025999999999999E-2</v>
      </c>
      <c r="CV81" s="591">
        <v>1E-3</v>
      </c>
      <c r="CW81" s="915">
        <v>3.3327999999999997E-2</v>
      </c>
      <c r="CX81" s="591">
        <v>5.5E-2</v>
      </c>
      <c r="CY81" s="1234"/>
      <c r="CZ81" s="591">
        <v>3.7999999999999999E-2</v>
      </c>
      <c r="DA81" s="591">
        <v>3.1E-2</v>
      </c>
      <c r="DB81" s="591">
        <v>3.2000000000000001E-2</v>
      </c>
      <c r="DC81" s="591"/>
      <c r="DD81" s="591">
        <v>4.1000000000000002E-2</v>
      </c>
      <c r="DE81" s="591">
        <v>5.0999999999999997E-2</v>
      </c>
      <c r="DF81" s="591">
        <v>1.9E-2</v>
      </c>
      <c r="DG81" s="591">
        <v>1.4999999999999999E-2</v>
      </c>
      <c r="DH81" s="591">
        <v>0.05</v>
      </c>
      <c r="DI81" s="915">
        <v>5.1573000000000001E-2</v>
      </c>
      <c r="DJ81" s="1234"/>
      <c r="DK81" s="591"/>
      <c r="DL81" s="591">
        <v>3.2000000000000001E-2</v>
      </c>
      <c r="DM81" s="591">
        <v>3.1E-2</v>
      </c>
      <c r="DN81" s="915">
        <v>3.9253999999999997E-2</v>
      </c>
      <c r="DO81" s="591">
        <v>2.3E-2</v>
      </c>
      <c r="DP81" s="591">
        <v>8.0000000000000002E-3</v>
      </c>
      <c r="DQ81" s="1234"/>
      <c r="DR81" s="591"/>
      <c r="DS81" s="1234"/>
      <c r="DT81" s="591">
        <v>0.02</v>
      </c>
      <c r="DU81" s="591">
        <v>2.7E-2</v>
      </c>
      <c r="DV81" s="591">
        <v>2.8000000000000001E-2</v>
      </c>
      <c r="DW81" s="591">
        <v>5.0999999999999997E-2</v>
      </c>
      <c r="DX81" s="591">
        <v>0.06</v>
      </c>
      <c r="DY81" s="591">
        <v>1.9E-2</v>
      </c>
      <c r="DZ81" s="916"/>
      <c r="EA81" s="1439"/>
    </row>
    <row r="82" spans="1:131" x14ac:dyDescent="0.3">
      <c r="A82" s="935">
        <v>41487</v>
      </c>
      <c r="B82" s="589">
        <v>0.1</v>
      </c>
      <c r="C82" s="590">
        <v>0.06</v>
      </c>
      <c r="D82" s="590">
        <v>0.04</v>
      </c>
      <c r="E82" s="590">
        <v>0.05</v>
      </c>
      <c r="F82" s="591">
        <v>0.1263</v>
      </c>
      <c r="G82" s="589">
        <v>0.1111</v>
      </c>
      <c r="H82" s="589">
        <v>0.06</v>
      </c>
      <c r="I82" s="590">
        <v>0.08</v>
      </c>
      <c r="J82" s="590">
        <v>0</v>
      </c>
      <c r="K82" s="590">
        <v>0.15</v>
      </c>
      <c r="L82" s="589">
        <v>4.2500000000000003E-2</v>
      </c>
      <c r="M82" s="598">
        <v>0.71</v>
      </c>
      <c r="N82" s="590">
        <v>0</v>
      </c>
      <c r="O82" s="589">
        <v>0</v>
      </c>
      <c r="P82" s="593">
        <v>7.7499999999999999E-2</v>
      </c>
      <c r="Q82" s="589">
        <v>0.105</v>
      </c>
      <c r="R82" s="590">
        <v>0.2</v>
      </c>
      <c r="S82" s="589">
        <v>2.2499999999999999E-2</v>
      </c>
      <c r="T82" s="594">
        <v>0.107</v>
      </c>
      <c r="U82" s="591">
        <v>6.2E-2</v>
      </c>
      <c r="V82" s="589">
        <v>0.16</v>
      </c>
      <c r="W82" s="595">
        <v>0.105</v>
      </c>
      <c r="X82" s="590">
        <v>0</v>
      </c>
      <c r="Y82" s="589">
        <v>8.5000000000000006E-2</v>
      </c>
      <c r="Z82" s="589">
        <v>0.1875</v>
      </c>
      <c r="AA82" s="589">
        <v>0</v>
      </c>
      <c r="AB82" s="590">
        <v>0.2</v>
      </c>
      <c r="AC82" s="590">
        <v>0.1</v>
      </c>
      <c r="AD82" s="590">
        <v>0.1</v>
      </c>
      <c r="AE82" s="590">
        <v>0.2</v>
      </c>
      <c r="AF82" s="590">
        <v>0.1</v>
      </c>
      <c r="AG82" s="590">
        <v>0</v>
      </c>
      <c r="AH82" s="594">
        <v>1.44E-2</v>
      </c>
      <c r="AI82" s="594">
        <v>2.2599999999999999E-2</v>
      </c>
      <c r="AJ82" s="594">
        <v>2.1499999999999998E-2</v>
      </c>
      <c r="AK82" s="594">
        <v>1.11E-2</v>
      </c>
      <c r="AL82" s="594">
        <v>1.72E-2</v>
      </c>
      <c r="AM82" s="596"/>
      <c r="AN82" s="594">
        <v>0.02</v>
      </c>
      <c r="AO82" s="594">
        <v>1.7899999999999999E-2</v>
      </c>
      <c r="AP82" s="594">
        <v>1.1900000000000001E-2</v>
      </c>
      <c r="AQ82" s="594">
        <v>1.6299999999999999E-2</v>
      </c>
      <c r="AR82" s="594">
        <v>1.4999999999999999E-2</v>
      </c>
      <c r="AS82" s="596"/>
      <c r="AT82" s="594">
        <v>7.4999999999999997E-3</v>
      </c>
      <c r="AU82" s="594">
        <v>1.18E-2</v>
      </c>
      <c r="AV82" s="593">
        <v>2.1299999999999999E-2</v>
      </c>
      <c r="AW82" s="591">
        <v>9.5999999999999992E-3</v>
      </c>
      <c r="AX82" s="594">
        <v>1.11E-2</v>
      </c>
      <c r="AY82" s="591">
        <v>4.1399999999999999E-2</v>
      </c>
      <c r="AZ82" s="594">
        <v>1.06E-2</v>
      </c>
      <c r="BA82" s="594">
        <v>1.5699999999999999E-2</v>
      </c>
      <c r="BB82" s="594">
        <v>1.52E-2</v>
      </c>
      <c r="BC82" s="594">
        <v>7.0000000000000001E-3</v>
      </c>
      <c r="BD82" s="594">
        <v>9.7999999999999997E-3</v>
      </c>
      <c r="BE82" s="594">
        <v>1.21E-2</v>
      </c>
      <c r="BF82" s="594">
        <v>1.8200000000000001E-2</v>
      </c>
      <c r="BG82" s="594">
        <v>2.0299999999999999E-2</v>
      </c>
      <c r="BH82" s="594">
        <v>1.18E-2</v>
      </c>
      <c r="BI82" s="594">
        <v>1.26E-2</v>
      </c>
      <c r="BJ82" s="594">
        <v>1.7899999999999999E-2</v>
      </c>
      <c r="BK82" s="594">
        <v>0.02</v>
      </c>
      <c r="BL82" s="594">
        <v>2.52E-2</v>
      </c>
      <c r="BM82" s="594">
        <v>3.3999999999999998E-3</v>
      </c>
      <c r="BN82" s="594">
        <v>0.29599999999999999</v>
      </c>
      <c r="BO82" s="594">
        <v>0.06</v>
      </c>
      <c r="BP82" s="594">
        <v>0.312</v>
      </c>
      <c r="BQ82" s="594">
        <v>0.21199999999999999</v>
      </c>
      <c r="BR82" s="594">
        <v>0.18</v>
      </c>
      <c r="BS82" s="594">
        <v>0.1111</v>
      </c>
      <c r="BT82" s="594">
        <v>0.18</v>
      </c>
      <c r="BU82" s="594">
        <v>0.221</v>
      </c>
      <c r="BV82" s="594">
        <v>0</v>
      </c>
      <c r="BW82" s="594">
        <v>0.23</v>
      </c>
      <c r="BX82" s="594">
        <v>0.13</v>
      </c>
      <c r="BY82" s="594">
        <v>0.32900000000000001</v>
      </c>
      <c r="BZ82" s="594">
        <v>8.6999999999999994E-2</v>
      </c>
      <c r="CA82" s="594">
        <v>0</v>
      </c>
      <c r="CB82" s="593">
        <v>0.25</v>
      </c>
      <c r="CC82" s="594">
        <v>0.3</v>
      </c>
      <c r="CD82" s="594">
        <v>0.13</v>
      </c>
      <c r="CE82" s="594">
        <v>0.3</v>
      </c>
      <c r="CF82" s="594">
        <v>0.14599999999999999</v>
      </c>
      <c r="CG82" s="594">
        <v>0.22</v>
      </c>
      <c r="CH82" s="594">
        <v>0.27</v>
      </c>
      <c r="CI82" s="594">
        <v>0.25</v>
      </c>
      <c r="CJ82" s="594">
        <v>0</v>
      </c>
      <c r="CK82" s="594">
        <v>5.2499999999999998E-2</v>
      </c>
      <c r="CL82" s="594">
        <v>0.107</v>
      </c>
      <c r="CM82" s="594">
        <v>0.188</v>
      </c>
      <c r="CN82" s="594">
        <v>0.21</v>
      </c>
      <c r="CO82" s="594">
        <v>0.1118</v>
      </c>
      <c r="CP82" s="594">
        <v>0.2</v>
      </c>
      <c r="CQ82" s="594">
        <v>0.25</v>
      </c>
      <c r="CR82" s="594">
        <v>0.35</v>
      </c>
      <c r="CS82" s="597"/>
      <c r="CT82" s="591">
        <v>0.03</v>
      </c>
      <c r="CU82" s="1233">
        <v>4.8025999999999999E-2</v>
      </c>
      <c r="CV82" s="591">
        <v>1E-3</v>
      </c>
      <c r="CW82" s="915">
        <v>3.3327999999999997E-2</v>
      </c>
      <c r="CX82" s="591">
        <v>5.5E-2</v>
      </c>
      <c r="CY82" s="1234"/>
      <c r="CZ82" s="591">
        <v>3.7999999999999999E-2</v>
      </c>
      <c r="DA82" s="591">
        <v>3.1E-2</v>
      </c>
      <c r="DB82" s="591">
        <v>3.2000000000000001E-2</v>
      </c>
      <c r="DC82" s="591"/>
      <c r="DD82" s="591">
        <v>4.1000000000000002E-2</v>
      </c>
      <c r="DE82" s="591">
        <v>5.0999999999999997E-2</v>
      </c>
      <c r="DF82" s="591">
        <v>1.9E-2</v>
      </c>
      <c r="DG82" s="591">
        <v>1.4999999999999999E-2</v>
      </c>
      <c r="DH82" s="591">
        <v>0.05</v>
      </c>
      <c r="DI82" s="915">
        <v>5.1573000000000001E-2</v>
      </c>
      <c r="DJ82" s="1234"/>
      <c r="DK82" s="591"/>
      <c r="DL82" s="591">
        <v>3.2000000000000001E-2</v>
      </c>
      <c r="DM82" s="591">
        <v>3.1E-2</v>
      </c>
      <c r="DN82" s="915">
        <v>3.9253999999999997E-2</v>
      </c>
      <c r="DO82" s="591">
        <v>2.3E-2</v>
      </c>
      <c r="DP82" s="591">
        <v>8.0000000000000002E-3</v>
      </c>
      <c r="DQ82" s="1234"/>
      <c r="DR82" s="591"/>
      <c r="DS82" s="1234"/>
      <c r="DT82" s="591">
        <v>0.02</v>
      </c>
      <c r="DU82" s="591">
        <v>2.7E-2</v>
      </c>
      <c r="DV82" s="591">
        <v>2.8000000000000001E-2</v>
      </c>
      <c r="DW82" s="591">
        <v>5.0999999999999997E-2</v>
      </c>
      <c r="DX82" s="591">
        <v>0.06</v>
      </c>
      <c r="DY82" s="591">
        <v>1.9E-2</v>
      </c>
      <c r="DZ82" s="916"/>
      <c r="EA82" s="1439"/>
    </row>
    <row r="83" spans="1:131" x14ac:dyDescent="0.3">
      <c r="A83" s="935">
        <v>41518</v>
      </c>
      <c r="B83" s="589">
        <v>0.1</v>
      </c>
      <c r="C83" s="590">
        <v>0.06</v>
      </c>
      <c r="D83" s="590">
        <v>0.04</v>
      </c>
      <c r="E83" s="590">
        <v>0.05</v>
      </c>
      <c r="F83" s="591">
        <v>0.1263</v>
      </c>
      <c r="G83" s="589">
        <v>0.1111</v>
      </c>
      <c r="H83" s="589">
        <v>0.06</v>
      </c>
      <c r="I83" s="590">
        <v>0.08</v>
      </c>
      <c r="J83" s="590">
        <v>0</v>
      </c>
      <c r="K83" s="590">
        <v>0.15</v>
      </c>
      <c r="L83" s="589">
        <v>4.2500000000000003E-2</v>
      </c>
      <c r="M83" s="598">
        <v>0.71</v>
      </c>
      <c r="N83" s="590">
        <v>0</v>
      </c>
      <c r="O83" s="589">
        <v>0</v>
      </c>
      <c r="P83" s="593">
        <v>7.7499999999999999E-2</v>
      </c>
      <c r="Q83" s="589">
        <v>0.105</v>
      </c>
      <c r="R83" s="590">
        <v>0.2</v>
      </c>
      <c r="S83" s="589">
        <v>2.2499999999999999E-2</v>
      </c>
      <c r="T83" s="594">
        <v>0.107</v>
      </c>
      <c r="U83" s="591">
        <v>6.2E-2</v>
      </c>
      <c r="V83" s="589">
        <v>0.16</v>
      </c>
      <c r="W83" s="595">
        <v>0.105</v>
      </c>
      <c r="X83" s="590">
        <v>0</v>
      </c>
      <c r="Y83" s="589">
        <v>8.5000000000000006E-2</v>
      </c>
      <c r="Z83" s="589">
        <v>0.1875</v>
      </c>
      <c r="AA83" s="589">
        <v>0</v>
      </c>
      <c r="AB83" s="590">
        <v>0.2</v>
      </c>
      <c r="AC83" s="590">
        <v>0.1</v>
      </c>
      <c r="AD83" s="590">
        <v>0.1</v>
      </c>
      <c r="AE83" s="590">
        <v>0.2</v>
      </c>
      <c r="AF83" s="590">
        <v>0.1</v>
      </c>
      <c r="AG83" s="590">
        <v>0</v>
      </c>
      <c r="AH83" s="594">
        <v>1.44E-2</v>
      </c>
      <c r="AI83" s="594">
        <v>2.2599999999999999E-2</v>
      </c>
      <c r="AJ83" s="594">
        <v>2.1499999999999998E-2</v>
      </c>
      <c r="AK83" s="594">
        <v>1.11E-2</v>
      </c>
      <c r="AL83" s="594">
        <v>1.72E-2</v>
      </c>
      <c r="AM83" s="596"/>
      <c r="AN83" s="594">
        <v>0.02</v>
      </c>
      <c r="AO83" s="594">
        <v>1.7899999999999999E-2</v>
      </c>
      <c r="AP83" s="594">
        <v>1.1900000000000001E-2</v>
      </c>
      <c r="AQ83" s="594">
        <v>1.6299999999999999E-2</v>
      </c>
      <c r="AR83" s="594">
        <v>1.4999999999999999E-2</v>
      </c>
      <c r="AS83" s="596"/>
      <c r="AT83" s="594">
        <v>7.4999999999999997E-3</v>
      </c>
      <c r="AU83" s="594">
        <v>1.18E-2</v>
      </c>
      <c r="AV83" s="593">
        <v>2.1299999999999999E-2</v>
      </c>
      <c r="AW83" s="591">
        <v>9.5999999999999992E-3</v>
      </c>
      <c r="AX83" s="594">
        <v>1.11E-2</v>
      </c>
      <c r="AY83" s="591">
        <v>4.1399999999999999E-2</v>
      </c>
      <c r="AZ83" s="594">
        <v>1.06E-2</v>
      </c>
      <c r="BA83" s="594">
        <v>1.5699999999999999E-2</v>
      </c>
      <c r="BB83" s="594">
        <v>1.52E-2</v>
      </c>
      <c r="BC83" s="594">
        <v>7.0000000000000001E-3</v>
      </c>
      <c r="BD83" s="594">
        <v>9.7999999999999997E-3</v>
      </c>
      <c r="BE83" s="594">
        <v>1.21E-2</v>
      </c>
      <c r="BF83" s="594">
        <v>1.8200000000000001E-2</v>
      </c>
      <c r="BG83" s="594">
        <v>2.0299999999999999E-2</v>
      </c>
      <c r="BH83" s="594">
        <v>1.18E-2</v>
      </c>
      <c r="BI83" s="594">
        <v>1.26E-2</v>
      </c>
      <c r="BJ83" s="594">
        <v>1.7899999999999999E-2</v>
      </c>
      <c r="BK83" s="594">
        <v>0.02</v>
      </c>
      <c r="BL83" s="594">
        <v>2.52E-2</v>
      </c>
      <c r="BM83" s="594">
        <v>3.3999999999999998E-3</v>
      </c>
      <c r="BN83" s="594">
        <v>0.29599999999999999</v>
      </c>
      <c r="BO83" s="594">
        <v>0.06</v>
      </c>
      <c r="BP83" s="594">
        <v>0.312</v>
      </c>
      <c r="BQ83" s="594">
        <v>0.21199999999999999</v>
      </c>
      <c r="BR83" s="594">
        <v>0.18</v>
      </c>
      <c r="BS83" s="594">
        <v>0.1111</v>
      </c>
      <c r="BT83" s="594">
        <v>0.18</v>
      </c>
      <c r="BU83" s="594">
        <v>0.221</v>
      </c>
      <c r="BV83" s="594">
        <v>0</v>
      </c>
      <c r="BW83" s="594">
        <v>0.23</v>
      </c>
      <c r="BX83" s="594">
        <v>0.13</v>
      </c>
      <c r="BY83" s="594">
        <v>0.32900000000000001</v>
      </c>
      <c r="BZ83" s="594">
        <v>8.6999999999999994E-2</v>
      </c>
      <c r="CA83" s="594">
        <v>0</v>
      </c>
      <c r="CB83" s="593">
        <v>0.25</v>
      </c>
      <c r="CC83" s="594">
        <v>0.3</v>
      </c>
      <c r="CD83" s="594">
        <v>0.13</v>
      </c>
      <c r="CE83" s="594">
        <v>0.3</v>
      </c>
      <c r="CF83" s="594">
        <v>0.14599999999999999</v>
      </c>
      <c r="CG83" s="594">
        <v>0.22</v>
      </c>
      <c r="CH83" s="594">
        <v>0.27</v>
      </c>
      <c r="CI83" s="594">
        <v>0.25</v>
      </c>
      <c r="CJ83" s="594">
        <v>0</v>
      </c>
      <c r="CK83" s="594">
        <v>5.2499999999999998E-2</v>
      </c>
      <c r="CL83" s="594">
        <v>0.107</v>
      </c>
      <c r="CM83" s="594">
        <v>0.188</v>
      </c>
      <c r="CN83" s="594">
        <v>0.21</v>
      </c>
      <c r="CO83" s="594">
        <v>0.1118</v>
      </c>
      <c r="CP83" s="594">
        <v>0.2</v>
      </c>
      <c r="CQ83" s="594">
        <v>0.25</v>
      </c>
      <c r="CR83" s="594">
        <v>0.35</v>
      </c>
      <c r="CS83" s="597"/>
      <c r="CT83" s="591">
        <v>0.03</v>
      </c>
      <c r="CU83" s="1233">
        <v>4.8025999999999999E-2</v>
      </c>
      <c r="CV83" s="591">
        <v>1E-3</v>
      </c>
      <c r="CW83" s="915">
        <v>3.3327999999999997E-2</v>
      </c>
      <c r="CX83" s="591">
        <v>5.5E-2</v>
      </c>
      <c r="CY83" s="1234"/>
      <c r="CZ83" s="591">
        <v>3.7999999999999999E-2</v>
      </c>
      <c r="DA83" s="591">
        <v>3.1E-2</v>
      </c>
      <c r="DB83" s="591">
        <v>3.2000000000000001E-2</v>
      </c>
      <c r="DC83" s="591"/>
      <c r="DD83" s="591">
        <v>4.1000000000000002E-2</v>
      </c>
      <c r="DE83" s="591">
        <v>5.0999999999999997E-2</v>
      </c>
      <c r="DF83" s="591">
        <v>1.9E-2</v>
      </c>
      <c r="DG83" s="591">
        <v>1.4999999999999999E-2</v>
      </c>
      <c r="DH83" s="591">
        <v>0.05</v>
      </c>
      <c r="DI83" s="915">
        <v>5.1573000000000001E-2</v>
      </c>
      <c r="DJ83" s="1234"/>
      <c r="DK83" s="591"/>
      <c r="DL83" s="591">
        <v>3.2000000000000001E-2</v>
      </c>
      <c r="DM83" s="591">
        <v>3.1E-2</v>
      </c>
      <c r="DN83" s="915">
        <v>3.9253999999999997E-2</v>
      </c>
      <c r="DO83" s="591">
        <v>2.3E-2</v>
      </c>
      <c r="DP83" s="591">
        <v>8.0000000000000002E-3</v>
      </c>
      <c r="DQ83" s="1234"/>
      <c r="DR83" s="591"/>
      <c r="DS83" s="1234"/>
      <c r="DT83" s="591">
        <v>0.02</v>
      </c>
      <c r="DU83" s="591">
        <v>2.7E-2</v>
      </c>
      <c r="DV83" s="591">
        <v>2.8000000000000001E-2</v>
      </c>
      <c r="DW83" s="591">
        <v>5.0999999999999997E-2</v>
      </c>
      <c r="DX83" s="591">
        <v>0.06</v>
      </c>
      <c r="DY83" s="591">
        <v>1.9E-2</v>
      </c>
      <c r="DZ83" s="916"/>
      <c r="EA83" s="1439"/>
    </row>
    <row r="84" spans="1:131" x14ac:dyDescent="0.3">
      <c r="A84" s="935">
        <v>41548</v>
      </c>
      <c r="B84" s="589">
        <v>0.1</v>
      </c>
      <c r="C84" s="590">
        <v>0.06</v>
      </c>
      <c r="D84" s="590">
        <v>0.04</v>
      </c>
      <c r="E84" s="590">
        <v>0.05</v>
      </c>
      <c r="F84" s="591">
        <v>0.1263</v>
      </c>
      <c r="G84" s="589">
        <v>0.1111</v>
      </c>
      <c r="H84" s="589">
        <v>0.06</v>
      </c>
      <c r="I84" s="590">
        <v>0.08</v>
      </c>
      <c r="J84" s="590">
        <v>0</v>
      </c>
      <c r="K84" s="590">
        <v>0.15</v>
      </c>
      <c r="L84" s="589">
        <v>4.2500000000000003E-2</v>
      </c>
      <c r="M84" s="598">
        <v>0.71</v>
      </c>
      <c r="N84" s="590">
        <v>0</v>
      </c>
      <c r="O84" s="589">
        <v>0</v>
      </c>
      <c r="P84" s="593">
        <v>7.7499999999999999E-2</v>
      </c>
      <c r="Q84" s="589">
        <v>0.105</v>
      </c>
      <c r="R84" s="590">
        <v>0.2</v>
      </c>
      <c r="S84" s="589">
        <v>2.2499999999999999E-2</v>
      </c>
      <c r="T84" s="594">
        <v>0.107</v>
      </c>
      <c r="U84" s="591">
        <v>6.2E-2</v>
      </c>
      <c r="V84" s="589">
        <v>0.16</v>
      </c>
      <c r="W84" s="595">
        <v>0.105</v>
      </c>
      <c r="X84" s="590">
        <v>0</v>
      </c>
      <c r="Y84" s="589">
        <v>8.5000000000000006E-2</v>
      </c>
      <c r="Z84" s="589">
        <v>0.1875</v>
      </c>
      <c r="AA84" s="589">
        <v>0</v>
      </c>
      <c r="AB84" s="590">
        <v>0.2</v>
      </c>
      <c r="AC84" s="590">
        <v>0.1</v>
      </c>
      <c r="AD84" s="590">
        <v>0.1</v>
      </c>
      <c r="AE84" s="590">
        <v>0.2</v>
      </c>
      <c r="AF84" s="590">
        <v>0.1</v>
      </c>
      <c r="AG84" s="590">
        <v>0</v>
      </c>
      <c r="AH84" s="594">
        <v>1.44E-2</v>
      </c>
      <c r="AI84" s="594">
        <v>2.2599999999999999E-2</v>
      </c>
      <c r="AJ84" s="594">
        <v>2.1499999999999998E-2</v>
      </c>
      <c r="AK84" s="594">
        <v>1.11E-2</v>
      </c>
      <c r="AL84" s="594">
        <v>1.72E-2</v>
      </c>
      <c r="AM84" s="596"/>
      <c r="AN84" s="594">
        <v>0.02</v>
      </c>
      <c r="AO84" s="594">
        <v>1.7899999999999999E-2</v>
      </c>
      <c r="AP84" s="594">
        <v>1.1900000000000001E-2</v>
      </c>
      <c r="AQ84" s="594">
        <v>1.6299999999999999E-2</v>
      </c>
      <c r="AR84" s="594">
        <v>1.4999999999999999E-2</v>
      </c>
      <c r="AS84" s="596"/>
      <c r="AT84" s="594">
        <v>7.4999999999999997E-3</v>
      </c>
      <c r="AU84" s="594">
        <v>1.18E-2</v>
      </c>
      <c r="AV84" s="593">
        <v>2.1299999999999999E-2</v>
      </c>
      <c r="AW84" s="591">
        <v>9.5999999999999992E-3</v>
      </c>
      <c r="AX84" s="594">
        <v>1.11E-2</v>
      </c>
      <c r="AY84" s="591">
        <v>4.1399999999999999E-2</v>
      </c>
      <c r="AZ84" s="594">
        <v>1.06E-2</v>
      </c>
      <c r="BA84" s="594">
        <v>1.5699999999999999E-2</v>
      </c>
      <c r="BB84" s="594">
        <v>1.52E-2</v>
      </c>
      <c r="BC84" s="594">
        <v>7.0000000000000001E-3</v>
      </c>
      <c r="BD84" s="594">
        <v>9.7999999999999997E-3</v>
      </c>
      <c r="BE84" s="594">
        <v>1.21E-2</v>
      </c>
      <c r="BF84" s="594">
        <v>1.8200000000000001E-2</v>
      </c>
      <c r="BG84" s="594">
        <v>2.0299999999999999E-2</v>
      </c>
      <c r="BH84" s="594">
        <v>1.18E-2</v>
      </c>
      <c r="BI84" s="594">
        <v>1.26E-2</v>
      </c>
      <c r="BJ84" s="594">
        <v>1.7899999999999999E-2</v>
      </c>
      <c r="BK84" s="594">
        <v>0.02</v>
      </c>
      <c r="BL84" s="594">
        <v>2.52E-2</v>
      </c>
      <c r="BM84" s="594">
        <v>3.3999999999999998E-3</v>
      </c>
      <c r="BN84" s="594">
        <v>0.29599999999999999</v>
      </c>
      <c r="BO84" s="594">
        <v>0.06</v>
      </c>
      <c r="BP84" s="594">
        <v>0.312</v>
      </c>
      <c r="BQ84" s="594">
        <v>0.21199999999999999</v>
      </c>
      <c r="BR84" s="594">
        <v>0.18</v>
      </c>
      <c r="BS84" s="594">
        <v>0.1111</v>
      </c>
      <c r="BT84" s="594">
        <v>0.18</v>
      </c>
      <c r="BU84" s="594">
        <v>0.221</v>
      </c>
      <c r="BV84" s="594">
        <v>0</v>
      </c>
      <c r="BW84" s="594">
        <v>0.23</v>
      </c>
      <c r="BX84" s="594">
        <v>0.13</v>
      </c>
      <c r="BY84" s="594">
        <v>0.32900000000000001</v>
      </c>
      <c r="BZ84" s="594">
        <v>8.6999999999999994E-2</v>
      </c>
      <c r="CA84" s="594">
        <v>0</v>
      </c>
      <c r="CB84" s="593">
        <v>0.25</v>
      </c>
      <c r="CC84" s="594">
        <v>0.3</v>
      </c>
      <c r="CD84" s="594">
        <v>0.13</v>
      </c>
      <c r="CE84" s="594">
        <v>0.3</v>
      </c>
      <c r="CF84" s="594">
        <v>0.14599999999999999</v>
      </c>
      <c r="CG84" s="594">
        <v>0.22</v>
      </c>
      <c r="CH84" s="594">
        <v>0.27</v>
      </c>
      <c r="CI84" s="594">
        <v>0.25</v>
      </c>
      <c r="CJ84" s="594">
        <v>0</v>
      </c>
      <c r="CK84" s="594">
        <v>5.2499999999999998E-2</v>
      </c>
      <c r="CL84" s="594">
        <v>0.107</v>
      </c>
      <c r="CM84" s="594">
        <v>0.188</v>
      </c>
      <c r="CN84" s="594">
        <v>0.21</v>
      </c>
      <c r="CO84" s="594">
        <v>0.1118</v>
      </c>
      <c r="CP84" s="594">
        <v>0.2</v>
      </c>
      <c r="CQ84" s="594">
        <v>0.25</v>
      </c>
      <c r="CR84" s="594">
        <v>0.35</v>
      </c>
      <c r="CS84" s="597"/>
      <c r="CT84" s="591">
        <v>0.03</v>
      </c>
      <c r="CU84" s="1233">
        <v>4.8025999999999999E-2</v>
      </c>
      <c r="CV84" s="591">
        <v>1E-3</v>
      </c>
      <c r="CW84" s="915">
        <v>3.3327999999999997E-2</v>
      </c>
      <c r="CX84" s="591">
        <v>5.5E-2</v>
      </c>
      <c r="CY84" s="1234"/>
      <c r="CZ84" s="591">
        <v>3.7999999999999999E-2</v>
      </c>
      <c r="DA84" s="591">
        <v>3.1E-2</v>
      </c>
      <c r="DB84" s="591">
        <v>3.2000000000000001E-2</v>
      </c>
      <c r="DC84" s="591"/>
      <c r="DD84" s="591">
        <v>4.1000000000000002E-2</v>
      </c>
      <c r="DE84" s="591">
        <v>5.0999999999999997E-2</v>
      </c>
      <c r="DF84" s="591">
        <v>1.9E-2</v>
      </c>
      <c r="DG84" s="591">
        <v>1.4999999999999999E-2</v>
      </c>
      <c r="DH84" s="591">
        <v>0.05</v>
      </c>
      <c r="DI84" s="915">
        <v>5.1573000000000001E-2</v>
      </c>
      <c r="DJ84" s="1234"/>
      <c r="DK84" s="591"/>
      <c r="DL84" s="591">
        <v>3.2000000000000001E-2</v>
      </c>
      <c r="DM84" s="591">
        <v>3.1E-2</v>
      </c>
      <c r="DN84" s="915">
        <v>3.9253999999999997E-2</v>
      </c>
      <c r="DO84" s="591">
        <v>2.3E-2</v>
      </c>
      <c r="DP84" s="591">
        <v>8.0000000000000002E-3</v>
      </c>
      <c r="DQ84" s="1234"/>
      <c r="DR84" s="591"/>
      <c r="DS84" s="1234"/>
      <c r="DT84" s="591">
        <v>0.02</v>
      </c>
      <c r="DU84" s="591">
        <v>2.7E-2</v>
      </c>
      <c r="DV84" s="591">
        <v>2.8000000000000001E-2</v>
      </c>
      <c r="DW84" s="591">
        <v>5.0999999999999997E-2</v>
      </c>
      <c r="DX84" s="591">
        <v>0.06</v>
      </c>
      <c r="DY84" s="591">
        <v>1.9E-2</v>
      </c>
      <c r="DZ84" s="916"/>
      <c r="EA84" s="1439"/>
    </row>
    <row r="85" spans="1:131" x14ac:dyDescent="0.3">
      <c r="A85" s="935">
        <v>41579</v>
      </c>
      <c r="B85" s="589">
        <v>0.1</v>
      </c>
      <c r="C85" s="590">
        <v>0.06</v>
      </c>
      <c r="D85" s="590">
        <v>0.04</v>
      </c>
      <c r="E85" s="590">
        <v>0.05</v>
      </c>
      <c r="F85" s="591">
        <v>0.1263</v>
      </c>
      <c r="G85" s="589">
        <v>0.1111</v>
      </c>
      <c r="H85" s="589">
        <v>0.06</v>
      </c>
      <c r="I85" s="590">
        <v>0.08</v>
      </c>
      <c r="J85" s="590">
        <v>0</v>
      </c>
      <c r="K85" s="590">
        <v>0.15</v>
      </c>
      <c r="L85" s="589">
        <v>4.2500000000000003E-2</v>
      </c>
      <c r="M85" s="598">
        <v>0.71</v>
      </c>
      <c r="N85" s="590">
        <v>0</v>
      </c>
      <c r="O85" s="589">
        <v>0</v>
      </c>
      <c r="P85" s="593">
        <v>7.7499999999999999E-2</v>
      </c>
      <c r="Q85" s="589">
        <v>0.105</v>
      </c>
      <c r="R85" s="590">
        <v>0.2</v>
      </c>
      <c r="S85" s="589">
        <v>2.2499999999999999E-2</v>
      </c>
      <c r="T85" s="594">
        <v>0.107</v>
      </c>
      <c r="U85" s="591">
        <v>6.2E-2</v>
      </c>
      <c r="V85" s="589">
        <v>0.16</v>
      </c>
      <c r="W85" s="595">
        <v>0.105</v>
      </c>
      <c r="X85" s="590">
        <v>0</v>
      </c>
      <c r="Y85" s="589">
        <v>8.5000000000000006E-2</v>
      </c>
      <c r="Z85" s="589">
        <v>0.1875</v>
      </c>
      <c r="AA85" s="589">
        <v>0</v>
      </c>
      <c r="AB85" s="590">
        <v>0.2</v>
      </c>
      <c r="AC85" s="590">
        <v>0.1</v>
      </c>
      <c r="AD85" s="590">
        <v>0.1</v>
      </c>
      <c r="AE85" s="590">
        <v>0.2</v>
      </c>
      <c r="AF85" s="590">
        <v>0.1</v>
      </c>
      <c r="AG85" s="590">
        <v>0</v>
      </c>
      <c r="AH85" s="594">
        <v>1.44E-2</v>
      </c>
      <c r="AI85" s="594">
        <v>2.2599999999999999E-2</v>
      </c>
      <c r="AJ85" s="594">
        <v>2.1499999999999998E-2</v>
      </c>
      <c r="AK85" s="594">
        <v>1.11E-2</v>
      </c>
      <c r="AL85" s="594">
        <v>1.72E-2</v>
      </c>
      <c r="AM85" s="596"/>
      <c r="AN85" s="594">
        <v>0.02</v>
      </c>
      <c r="AO85" s="594">
        <v>1.7899999999999999E-2</v>
      </c>
      <c r="AP85" s="594">
        <v>1.1900000000000001E-2</v>
      </c>
      <c r="AQ85" s="594">
        <v>1.6299999999999999E-2</v>
      </c>
      <c r="AR85" s="594">
        <v>1.4999999999999999E-2</v>
      </c>
      <c r="AS85" s="596"/>
      <c r="AT85" s="594">
        <v>7.4999999999999997E-3</v>
      </c>
      <c r="AU85" s="594">
        <v>1.18E-2</v>
      </c>
      <c r="AV85" s="593">
        <v>2.1299999999999999E-2</v>
      </c>
      <c r="AW85" s="591">
        <v>9.5999999999999992E-3</v>
      </c>
      <c r="AX85" s="594">
        <v>1.11E-2</v>
      </c>
      <c r="AY85" s="591">
        <v>4.1399999999999999E-2</v>
      </c>
      <c r="AZ85" s="594">
        <v>1.06E-2</v>
      </c>
      <c r="BA85" s="594">
        <v>1.5699999999999999E-2</v>
      </c>
      <c r="BB85" s="594">
        <v>1.52E-2</v>
      </c>
      <c r="BC85" s="594">
        <v>7.0000000000000001E-3</v>
      </c>
      <c r="BD85" s="594">
        <v>9.7999999999999997E-3</v>
      </c>
      <c r="BE85" s="594">
        <v>1.21E-2</v>
      </c>
      <c r="BF85" s="594">
        <v>1.8200000000000001E-2</v>
      </c>
      <c r="BG85" s="594">
        <v>2.0299999999999999E-2</v>
      </c>
      <c r="BH85" s="594">
        <v>1.18E-2</v>
      </c>
      <c r="BI85" s="594">
        <v>1.26E-2</v>
      </c>
      <c r="BJ85" s="594">
        <v>1.7899999999999999E-2</v>
      </c>
      <c r="BK85" s="594">
        <v>0.02</v>
      </c>
      <c r="BL85" s="594">
        <v>2.52E-2</v>
      </c>
      <c r="BM85" s="594">
        <v>3.3999999999999998E-3</v>
      </c>
      <c r="BN85" s="594">
        <v>0.29599999999999999</v>
      </c>
      <c r="BO85" s="594">
        <v>0.06</v>
      </c>
      <c r="BP85" s="594">
        <v>0.312</v>
      </c>
      <c r="BQ85" s="594">
        <v>0.21199999999999999</v>
      </c>
      <c r="BR85" s="594">
        <v>0.18</v>
      </c>
      <c r="BS85" s="594">
        <v>0.1111</v>
      </c>
      <c r="BT85" s="594">
        <v>0.18</v>
      </c>
      <c r="BU85" s="594">
        <v>0.221</v>
      </c>
      <c r="BV85" s="594">
        <v>0</v>
      </c>
      <c r="BW85" s="594">
        <v>0.23</v>
      </c>
      <c r="BX85" s="594">
        <v>0.13</v>
      </c>
      <c r="BY85" s="594">
        <v>0.32900000000000001</v>
      </c>
      <c r="BZ85" s="594">
        <v>8.6999999999999994E-2</v>
      </c>
      <c r="CA85" s="594">
        <v>0</v>
      </c>
      <c r="CB85" s="593">
        <v>0.25</v>
      </c>
      <c r="CC85" s="594">
        <v>0.3</v>
      </c>
      <c r="CD85" s="594">
        <v>0.13</v>
      </c>
      <c r="CE85" s="594">
        <v>0.3</v>
      </c>
      <c r="CF85" s="594">
        <v>0.14599999999999999</v>
      </c>
      <c r="CG85" s="594">
        <v>0.22</v>
      </c>
      <c r="CH85" s="594">
        <v>0.27</v>
      </c>
      <c r="CI85" s="594">
        <v>0.25</v>
      </c>
      <c r="CJ85" s="594">
        <v>0</v>
      </c>
      <c r="CK85" s="594">
        <v>5.2499999999999998E-2</v>
      </c>
      <c r="CL85" s="594">
        <v>0.107</v>
      </c>
      <c r="CM85" s="594">
        <v>0.188</v>
      </c>
      <c r="CN85" s="594">
        <v>0.21</v>
      </c>
      <c r="CO85" s="594">
        <v>0.1118</v>
      </c>
      <c r="CP85" s="594">
        <v>0.2</v>
      </c>
      <c r="CQ85" s="594">
        <v>0.25</v>
      </c>
      <c r="CR85" s="594">
        <v>0.35</v>
      </c>
      <c r="CS85" s="597"/>
      <c r="CT85" s="591">
        <v>0.03</v>
      </c>
      <c r="CU85" s="1233">
        <v>4.8025999999999999E-2</v>
      </c>
      <c r="CV85" s="591">
        <v>1E-3</v>
      </c>
      <c r="CW85" s="915">
        <v>3.3327999999999997E-2</v>
      </c>
      <c r="CX85" s="591">
        <v>5.5E-2</v>
      </c>
      <c r="CY85" s="1234"/>
      <c r="CZ85" s="591">
        <v>3.7999999999999999E-2</v>
      </c>
      <c r="DA85" s="591">
        <v>3.1E-2</v>
      </c>
      <c r="DB85" s="591">
        <v>3.2000000000000001E-2</v>
      </c>
      <c r="DC85" s="591"/>
      <c r="DD85" s="591">
        <v>4.1000000000000002E-2</v>
      </c>
      <c r="DE85" s="591">
        <v>5.0999999999999997E-2</v>
      </c>
      <c r="DF85" s="591">
        <v>1.9E-2</v>
      </c>
      <c r="DG85" s="591">
        <v>1.4999999999999999E-2</v>
      </c>
      <c r="DH85" s="591">
        <v>0.05</v>
      </c>
      <c r="DI85" s="915">
        <v>5.1573000000000001E-2</v>
      </c>
      <c r="DJ85" s="1234"/>
      <c r="DK85" s="591"/>
      <c r="DL85" s="591">
        <v>3.2000000000000001E-2</v>
      </c>
      <c r="DM85" s="591">
        <v>3.1E-2</v>
      </c>
      <c r="DN85" s="915">
        <v>3.9253999999999997E-2</v>
      </c>
      <c r="DO85" s="591">
        <v>2.3E-2</v>
      </c>
      <c r="DP85" s="591">
        <v>8.0000000000000002E-3</v>
      </c>
      <c r="DQ85" s="1234"/>
      <c r="DR85" s="591"/>
      <c r="DS85" s="1234"/>
      <c r="DT85" s="591">
        <v>0.02</v>
      </c>
      <c r="DU85" s="591">
        <v>2.7E-2</v>
      </c>
      <c r="DV85" s="591">
        <v>2.8000000000000001E-2</v>
      </c>
      <c r="DW85" s="591">
        <v>5.0999999999999997E-2</v>
      </c>
      <c r="DX85" s="591">
        <v>0.06</v>
      </c>
      <c r="DY85" s="591">
        <v>1.9E-2</v>
      </c>
      <c r="DZ85" s="916"/>
      <c r="EA85" s="1439"/>
    </row>
    <row r="86" spans="1:131" x14ac:dyDescent="0.3">
      <c r="A86" s="935">
        <v>41609</v>
      </c>
      <c r="B86" s="589">
        <v>0.1</v>
      </c>
      <c r="C86" s="590">
        <v>0.06</v>
      </c>
      <c r="D86" s="590">
        <v>0.04</v>
      </c>
      <c r="E86" s="590">
        <v>0.05</v>
      </c>
      <c r="F86" s="591">
        <v>0.1263</v>
      </c>
      <c r="G86" s="589">
        <v>0.1111</v>
      </c>
      <c r="H86" s="589">
        <v>0.06</v>
      </c>
      <c r="I86" s="590">
        <v>0.08</v>
      </c>
      <c r="J86" s="590">
        <v>0</v>
      </c>
      <c r="K86" s="590">
        <v>0.15</v>
      </c>
      <c r="L86" s="589">
        <v>4.2500000000000003E-2</v>
      </c>
      <c r="M86" s="598">
        <v>0.71</v>
      </c>
      <c r="N86" s="590">
        <v>0</v>
      </c>
      <c r="O86" s="589">
        <v>0</v>
      </c>
      <c r="P86" s="593">
        <v>7.7499999999999999E-2</v>
      </c>
      <c r="Q86" s="589">
        <v>0.105</v>
      </c>
      <c r="R86" s="590">
        <v>0.2</v>
      </c>
      <c r="S86" s="589">
        <v>2.2499999999999999E-2</v>
      </c>
      <c r="T86" s="594">
        <v>0.107</v>
      </c>
      <c r="U86" s="591">
        <v>6.2E-2</v>
      </c>
      <c r="V86" s="589">
        <v>0.16</v>
      </c>
      <c r="W86" s="595">
        <v>0.105</v>
      </c>
      <c r="X86" s="590">
        <v>0</v>
      </c>
      <c r="Y86" s="589">
        <v>8.5000000000000006E-2</v>
      </c>
      <c r="Z86" s="589">
        <v>0.1875</v>
      </c>
      <c r="AA86" s="589">
        <v>0</v>
      </c>
      <c r="AB86" s="590">
        <v>0.2</v>
      </c>
      <c r="AC86" s="590">
        <v>0.1</v>
      </c>
      <c r="AD86" s="590">
        <v>0.1</v>
      </c>
      <c r="AE86" s="590">
        <v>0.2</v>
      </c>
      <c r="AF86" s="590">
        <v>0.1</v>
      </c>
      <c r="AG86" s="590">
        <v>0</v>
      </c>
      <c r="AH86" s="594">
        <v>1.44E-2</v>
      </c>
      <c r="AI86" s="594">
        <v>2.2599999999999999E-2</v>
      </c>
      <c r="AJ86" s="594">
        <v>2.1499999999999998E-2</v>
      </c>
      <c r="AK86" s="594">
        <v>1.11E-2</v>
      </c>
      <c r="AL86" s="594">
        <v>1.72E-2</v>
      </c>
      <c r="AM86" s="596"/>
      <c r="AN86" s="594">
        <v>0.02</v>
      </c>
      <c r="AO86" s="594">
        <v>1.7899999999999999E-2</v>
      </c>
      <c r="AP86" s="594">
        <v>1.1900000000000001E-2</v>
      </c>
      <c r="AQ86" s="594">
        <v>1.6299999999999999E-2</v>
      </c>
      <c r="AR86" s="594">
        <v>1.4999999999999999E-2</v>
      </c>
      <c r="AS86" s="596"/>
      <c r="AT86" s="594">
        <v>7.4999999999999997E-3</v>
      </c>
      <c r="AU86" s="594">
        <v>1.18E-2</v>
      </c>
      <c r="AV86" s="593">
        <v>2.1299999999999999E-2</v>
      </c>
      <c r="AW86" s="591">
        <v>9.5999999999999992E-3</v>
      </c>
      <c r="AX86" s="594">
        <v>1.11E-2</v>
      </c>
      <c r="AY86" s="591">
        <v>4.1399999999999999E-2</v>
      </c>
      <c r="AZ86" s="594">
        <v>1.06E-2</v>
      </c>
      <c r="BA86" s="594">
        <v>1.5699999999999999E-2</v>
      </c>
      <c r="BB86" s="594">
        <v>1.52E-2</v>
      </c>
      <c r="BC86" s="594">
        <v>7.0000000000000001E-3</v>
      </c>
      <c r="BD86" s="594">
        <v>9.7999999999999997E-3</v>
      </c>
      <c r="BE86" s="594">
        <v>1.21E-2</v>
      </c>
      <c r="BF86" s="594">
        <v>1.8200000000000001E-2</v>
      </c>
      <c r="BG86" s="594">
        <v>2.0299999999999999E-2</v>
      </c>
      <c r="BH86" s="594">
        <v>1.18E-2</v>
      </c>
      <c r="BI86" s="594">
        <v>1.26E-2</v>
      </c>
      <c r="BJ86" s="594">
        <v>1.7899999999999999E-2</v>
      </c>
      <c r="BK86" s="594">
        <v>0.02</v>
      </c>
      <c r="BL86" s="594">
        <v>2.52E-2</v>
      </c>
      <c r="BM86" s="594">
        <v>3.3999999999999998E-3</v>
      </c>
      <c r="BN86" s="594">
        <v>0.29599999999999999</v>
      </c>
      <c r="BO86" s="594">
        <v>0.06</v>
      </c>
      <c r="BP86" s="594">
        <v>0.312</v>
      </c>
      <c r="BQ86" s="594">
        <v>0.21199999999999999</v>
      </c>
      <c r="BR86" s="594">
        <v>0.18</v>
      </c>
      <c r="BS86" s="594">
        <v>0.1111</v>
      </c>
      <c r="BT86" s="594">
        <v>0.18</v>
      </c>
      <c r="BU86" s="594">
        <v>0.221</v>
      </c>
      <c r="BV86" s="594">
        <v>0</v>
      </c>
      <c r="BW86" s="594">
        <v>0.23</v>
      </c>
      <c r="BX86" s="594">
        <v>0.13</v>
      </c>
      <c r="BY86" s="594">
        <v>0.32900000000000001</v>
      </c>
      <c r="BZ86" s="594">
        <v>8.6999999999999994E-2</v>
      </c>
      <c r="CA86" s="594">
        <v>0</v>
      </c>
      <c r="CB86" s="593">
        <v>0.25</v>
      </c>
      <c r="CC86" s="594">
        <v>0.3</v>
      </c>
      <c r="CD86" s="594">
        <v>0.13</v>
      </c>
      <c r="CE86" s="594">
        <v>0.3</v>
      </c>
      <c r="CF86" s="594">
        <v>0.14599999999999999</v>
      </c>
      <c r="CG86" s="594">
        <v>0.22</v>
      </c>
      <c r="CH86" s="594">
        <v>0.27</v>
      </c>
      <c r="CI86" s="594">
        <v>0.25</v>
      </c>
      <c r="CJ86" s="594">
        <v>0</v>
      </c>
      <c r="CK86" s="594">
        <v>5.2499999999999998E-2</v>
      </c>
      <c r="CL86" s="594">
        <v>0.107</v>
      </c>
      <c r="CM86" s="594">
        <v>0.188</v>
      </c>
      <c r="CN86" s="594">
        <v>0.21</v>
      </c>
      <c r="CO86" s="594">
        <v>0.1118</v>
      </c>
      <c r="CP86" s="594">
        <v>0.2</v>
      </c>
      <c r="CQ86" s="594">
        <v>0.25</v>
      </c>
      <c r="CR86" s="594">
        <v>0.35</v>
      </c>
      <c r="CS86" s="597"/>
      <c r="CT86" s="591">
        <v>0.03</v>
      </c>
      <c r="CU86" s="1233">
        <v>4.8025999999999999E-2</v>
      </c>
      <c r="CV86" s="591">
        <v>1E-3</v>
      </c>
      <c r="CW86" s="915">
        <v>3.3327999999999997E-2</v>
      </c>
      <c r="CX86" s="591">
        <v>5.5E-2</v>
      </c>
      <c r="CY86" s="1234"/>
      <c r="CZ86" s="591">
        <v>3.7999999999999999E-2</v>
      </c>
      <c r="DA86" s="591">
        <v>3.1E-2</v>
      </c>
      <c r="DB86" s="591">
        <v>3.2000000000000001E-2</v>
      </c>
      <c r="DC86" s="591"/>
      <c r="DD86" s="591">
        <v>4.1000000000000002E-2</v>
      </c>
      <c r="DE86" s="591">
        <v>5.0999999999999997E-2</v>
      </c>
      <c r="DF86" s="591">
        <v>1.9E-2</v>
      </c>
      <c r="DG86" s="591">
        <v>1.4999999999999999E-2</v>
      </c>
      <c r="DH86" s="591">
        <v>0.05</v>
      </c>
      <c r="DI86" s="915">
        <v>5.1573000000000001E-2</v>
      </c>
      <c r="DJ86" s="1234"/>
      <c r="DK86" s="591"/>
      <c r="DL86" s="591">
        <v>3.2000000000000001E-2</v>
      </c>
      <c r="DM86" s="591">
        <v>3.1E-2</v>
      </c>
      <c r="DN86" s="915">
        <v>3.9253999999999997E-2</v>
      </c>
      <c r="DO86" s="591">
        <v>2.3E-2</v>
      </c>
      <c r="DP86" s="591">
        <v>8.0000000000000002E-3</v>
      </c>
      <c r="DQ86" s="1234"/>
      <c r="DR86" s="591"/>
      <c r="DS86" s="1234"/>
      <c r="DT86" s="591">
        <v>0.02</v>
      </c>
      <c r="DU86" s="591">
        <v>2.7E-2</v>
      </c>
      <c r="DV86" s="591">
        <v>2.8000000000000001E-2</v>
      </c>
      <c r="DW86" s="591">
        <v>5.0999999999999997E-2</v>
      </c>
      <c r="DX86" s="591">
        <v>0.06</v>
      </c>
      <c r="DY86" s="591">
        <v>1.9E-2</v>
      </c>
      <c r="DZ86" s="916"/>
      <c r="EA86" s="1439"/>
    </row>
    <row r="87" spans="1:131" x14ac:dyDescent="0.3">
      <c r="A87" s="935">
        <v>41640</v>
      </c>
      <c r="B87" s="589">
        <v>0.1</v>
      </c>
      <c r="C87" s="590">
        <v>0.06</v>
      </c>
      <c r="D87" s="590">
        <v>0.04</v>
      </c>
      <c r="E87" s="590">
        <v>0.05</v>
      </c>
      <c r="F87" s="591">
        <v>0.1263</v>
      </c>
      <c r="G87" s="589">
        <v>0.1111</v>
      </c>
      <c r="H87" s="589">
        <v>0.06</v>
      </c>
      <c r="I87" s="590">
        <v>0.08</v>
      </c>
      <c r="J87" s="591">
        <v>0.115</v>
      </c>
      <c r="K87" s="590">
        <v>0.15</v>
      </c>
      <c r="L87" s="589">
        <v>4.2500000000000003E-2</v>
      </c>
      <c r="M87" s="598">
        <v>0.72</v>
      </c>
      <c r="N87" s="590">
        <v>0.1</v>
      </c>
      <c r="O87" s="589">
        <v>0</v>
      </c>
      <c r="P87" s="593">
        <v>7.7499999999999999E-2</v>
      </c>
      <c r="Q87" s="589">
        <v>0.105</v>
      </c>
      <c r="R87" s="590">
        <v>0.2</v>
      </c>
      <c r="S87" s="589">
        <v>2.2499999999999999E-2</v>
      </c>
      <c r="T87" s="594">
        <v>0.107</v>
      </c>
      <c r="U87" s="591">
        <v>6.2E-2</v>
      </c>
      <c r="V87" s="589">
        <v>0.16</v>
      </c>
      <c r="W87" s="595">
        <v>0.105</v>
      </c>
      <c r="X87" s="590">
        <v>0</v>
      </c>
      <c r="Y87" s="589">
        <v>8.5000000000000006E-2</v>
      </c>
      <c r="Z87" s="589">
        <v>0.1875</v>
      </c>
      <c r="AA87" s="589">
        <v>0</v>
      </c>
      <c r="AB87" s="590">
        <v>0.2</v>
      </c>
      <c r="AC87" s="590">
        <v>0.1</v>
      </c>
      <c r="AD87" s="590">
        <v>0.1</v>
      </c>
      <c r="AE87" s="590">
        <v>0.2</v>
      </c>
      <c r="AF87" s="590">
        <v>0.1</v>
      </c>
      <c r="AG87" s="590">
        <v>0</v>
      </c>
      <c r="AH87" s="594">
        <v>1.44E-2</v>
      </c>
      <c r="AI87" s="594">
        <v>2.2599999999999999E-2</v>
      </c>
      <c r="AJ87" s="594">
        <v>2.1499999999999998E-2</v>
      </c>
      <c r="AK87" s="594">
        <v>1.11E-2</v>
      </c>
      <c r="AL87" s="594">
        <v>1.72E-2</v>
      </c>
      <c r="AM87" s="596"/>
      <c r="AN87" s="594">
        <v>0.02</v>
      </c>
      <c r="AO87" s="594">
        <v>1.7899999999999999E-2</v>
      </c>
      <c r="AP87" s="594">
        <v>1.1900000000000001E-2</v>
      </c>
      <c r="AQ87" s="594">
        <v>1.6299999999999999E-2</v>
      </c>
      <c r="AR87" s="594">
        <v>1.4999999999999999E-2</v>
      </c>
      <c r="AS87" s="596"/>
      <c r="AT87" s="594">
        <v>7.4999999999999997E-3</v>
      </c>
      <c r="AU87" s="594">
        <v>1.18E-2</v>
      </c>
      <c r="AV87" s="593">
        <v>2.1299999999999999E-2</v>
      </c>
      <c r="AW87" s="591">
        <v>9.5999999999999992E-3</v>
      </c>
      <c r="AX87" s="594">
        <v>1.11E-2</v>
      </c>
      <c r="AY87" s="591">
        <v>4.1399999999999999E-2</v>
      </c>
      <c r="AZ87" s="594">
        <v>1.06E-2</v>
      </c>
      <c r="BA87" s="594">
        <v>1.5699999999999999E-2</v>
      </c>
      <c r="BB87" s="594">
        <v>1.52E-2</v>
      </c>
      <c r="BC87" s="594">
        <v>7.0000000000000001E-3</v>
      </c>
      <c r="BD87" s="594">
        <v>9.7999999999999997E-3</v>
      </c>
      <c r="BE87" s="594">
        <v>1.21E-2</v>
      </c>
      <c r="BF87" s="594">
        <v>1.8200000000000001E-2</v>
      </c>
      <c r="BG87" s="594">
        <v>2.0299999999999999E-2</v>
      </c>
      <c r="BH87" s="594">
        <v>1.18E-2</v>
      </c>
      <c r="BI87" s="594">
        <v>1.26E-2</v>
      </c>
      <c r="BJ87" s="594">
        <v>1.7899999999999999E-2</v>
      </c>
      <c r="BK87" s="594">
        <v>0.02</v>
      </c>
      <c r="BL87" s="594">
        <v>2.52E-2</v>
      </c>
      <c r="BM87" s="594">
        <v>3.3999999999999998E-3</v>
      </c>
      <c r="BN87" s="594">
        <v>0.29599999999999999</v>
      </c>
      <c r="BO87" s="594">
        <v>0.06</v>
      </c>
      <c r="BP87" s="594">
        <v>0.312</v>
      </c>
      <c r="BQ87" s="594">
        <v>0.21199999999999999</v>
      </c>
      <c r="BR87" s="594">
        <v>0.18</v>
      </c>
      <c r="BS87" s="594">
        <v>0.1111</v>
      </c>
      <c r="BT87" s="594">
        <v>0.18</v>
      </c>
      <c r="BU87" s="594">
        <v>0.221</v>
      </c>
      <c r="BV87" s="594">
        <v>0.17</v>
      </c>
      <c r="BW87" s="594">
        <v>0.23</v>
      </c>
      <c r="BX87" s="594">
        <v>0.13</v>
      </c>
      <c r="BY87" s="594">
        <v>0.32900000000000001</v>
      </c>
      <c r="BZ87" s="594">
        <v>8.6999999999999994E-2</v>
      </c>
      <c r="CA87" s="594">
        <v>0</v>
      </c>
      <c r="CB87" s="593">
        <v>0.25</v>
      </c>
      <c r="CC87" s="594">
        <v>0.3</v>
      </c>
      <c r="CD87" s="594">
        <v>0.13</v>
      </c>
      <c r="CE87" s="594">
        <v>0.3</v>
      </c>
      <c r="CF87" s="594">
        <v>0.14599999999999999</v>
      </c>
      <c r="CG87" s="594">
        <v>0.22</v>
      </c>
      <c r="CH87" s="594">
        <v>0.27</v>
      </c>
      <c r="CI87" s="594">
        <v>0.25</v>
      </c>
      <c r="CJ87" s="594">
        <v>0</v>
      </c>
      <c r="CK87" s="594">
        <v>5.2499999999999998E-2</v>
      </c>
      <c r="CL87" s="594">
        <v>0.107</v>
      </c>
      <c r="CM87" s="594">
        <v>0.188</v>
      </c>
      <c r="CN87" s="594">
        <v>0.21</v>
      </c>
      <c r="CO87" s="594">
        <v>0.1118</v>
      </c>
      <c r="CP87" s="594">
        <v>0.2</v>
      </c>
      <c r="CQ87" s="594">
        <v>0.35</v>
      </c>
      <c r="CR87" s="594">
        <v>0.35</v>
      </c>
      <c r="CS87" s="597"/>
      <c r="CT87" s="591">
        <v>0.03</v>
      </c>
      <c r="CU87" s="1233">
        <v>4.8025999999999999E-2</v>
      </c>
      <c r="CV87" s="591">
        <v>1E-3</v>
      </c>
      <c r="CW87" s="915">
        <v>3.3327999999999997E-2</v>
      </c>
      <c r="CX87" s="591">
        <v>5.5E-2</v>
      </c>
      <c r="CY87" s="1234"/>
      <c r="CZ87" s="591">
        <v>3.7999999999999999E-2</v>
      </c>
      <c r="DA87" s="591">
        <v>3.1E-2</v>
      </c>
      <c r="DB87" s="591">
        <v>3.2000000000000001E-2</v>
      </c>
      <c r="DC87" s="591"/>
      <c r="DD87" s="591">
        <v>4.1000000000000002E-2</v>
      </c>
      <c r="DE87" s="591">
        <v>5.0999999999999997E-2</v>
      </c>
      <c r="DF87" s="591">
        <v>1.9E-2</v>
      </c>
      <c r="DG87" s="591">
        <v>1.4999999999999999E-2</v>
      </c>
      <c r="DH87" s="591">
        <v>0.05</v>
      </c>
      <c r="DI87" s="915">
        <v>5.1573000000000001E-2</v>
      </c>
      <c r="DJ87" s="1234"/>
      <c r="DK87" s="591"/>
      <c r="DL87" s="591">
        <v>3.2000000000000001E-2</v>
      </c>
      <c r="DM87" s="591">
        <v>3.1E-2</v>
      </c>
      <c r="DN87" s="915">
        <v>3.9253999999999997E-2</v>
      </c>
      <c r="DO87" s="591">
        <v>2.3E-2</v>
      </c>
      <c r="DP87" s="591">
        <v>8.0000000000000002E-3</v>
      </c>
      <c r="DQ87" s="1234"/>
      <c r="DR87" s="591"/>
      <c r="DS87" s="1234"/>
      <c r="DT87" s="591">
        <v>0.02</v>
      </c>
      <c r="DU87" s="591">
        <v>2.7E-2</v>
      </c>
      <c r="DV87" s="591">
        <v>2.8000000000000001E-2</v>
      </c>
      <c r="DW87" s="591">
        <v>5.0999999999999997E-2</v>
      </c>
      <c r="DX87" s="591">
        <v>0.06</v>
      </c>
      <c r="DY87" s="591">
        <v>1.9E-2</v>
      </c>
      <c r="DZ87" s="916"/>
      <c r="EA87" s="1439"/>
    </row>
    <row r="88" spans="1:131" x14ac:dyDescent="0.3">
      <c r="A88" s="935">
        <v>41671</v>
      </c>
      <c r="B88" s="589">
        <v>0.1</v>
      </c>
      <c r="C88" s="590">
        <v>0.06</v>
      </c>
      <c r="D88" s="590">
        <v>0.04</v>
      </c>
      <c r="E88" s="590">
        <v>0.05</v>
      </c>
      <c r="F88" s="591">
        <v>0.1263</v>
      </c>
      <c r="G88" s="589">
        <v>0.1111</v>
      </c>
      <c r="H88" s="589">
        <v>0.06</v>
      </c>
      <c r="I88" s="590">
        <v>0.08</v>
      </c>
      <c r="J88" s="591">
        <v>0.115</v>
      </c>
      <c r="K88" s="590">
        <v>0.15</v>
      </c>
      <c r="L88" s="589">
        <v>4.2500000000000003E-2</v>
      </c>
      <c r="M88" s="598">
        <v>0.72</v>
      </c>
      <c r="N88" s="590">
        <v>0.1</v>
      </c>
      <c r="O88" s="589">
        <v>0</v>
      </c>
      <c r="P88" s="593">
        <v>7.7499999999999999E-2</v>
      </c>
      <c r="Q88" s="589">
        <v>0.105</v>
      </c>
      <c r="R88" s="590">
        <v>0.2</v>
      </c>
      <c r="S88" s="589">
        <v>2.2499999999999999E-2</v>
      </c>
      <c r="T88" s="594">
        <v>0.107</v>
      </c>
      <c r="U88" s="591">
        <v>6.2E-2</v>
      </c>
      <c r="V88" s="589">
        <v>0.16</v>
      </c>
      <c r="W88" s="595">
        <v>0.105</v>
      </c>
      <c r="X88" s="590">
        <v>0</v>
      </c>
      <c r="Y88" s="589">
        <v>8.5000000000000006E-2</v>
      </c>
      <c r="Z88" s="589">
        <v>0.1875</v>
      </c>
      <c r="AA88" s="589">
        <v>0</v>
      </c>
      <c r="AB88" s="590">
        <v>0.2</v>
      </c>
      <c r="AC88" s="590">
        <v>0.1</v>
      </c>
      <c r="AD88" s="590">
        <v>0.1</v>
      </c>
      <c r="AE88" s="590">
        <v>0.2</v>
      </c>
      <c r="AF88" s="590">
        <v>0.1</v>
      </c>
      <c r="AG88" s="590">
        <v>0</v>
      </c>
      <c r="AH88" s="594">
        <v>1.44E-2</v>
      </c>
      <c r="AI88" s="594">
        <v>2.2599999999999999E-2</v>
      </c>
      <c r="AJ88" s="594">
        <v>2.1499999999999998E-2</v>
      </c>
      <c r="AK88" s="594">
        <v>1.11E-2</v>
      </c>
      <c r="AL88" s="594">
        <v>1.72E-2</v>
      </c>
      <c r="AM88" s="596"/>
      <c r="AN88" s="594">
        <v>0.02</v>
      </c>
      <c r="AO88" s="594">
        <v>1.7899999999999999E-2</v>
      </c>
      <c r="AP88" s="594">
        <v>1.1900000000000001E-2</v>
      </c>
      <c r="AQ88" s="594">
        <v>1.6299999999999999E-2</v>
      </c>
      <c r="AR88" s="594">
        <v>1.4999999999999999E-2</v>
      </c>
      <c r="AS88" s="596"/>
      <c r="AT88" s="594">
        <v>7.4999999999999997E-3</v>
      </c>
      <c r="AU88" s="594">
        <v>1.18E-2</v>
      </c>
      <c r="AV88" s="593">
        <v>2.1299999999999999E-2</v>
      </c>
      <c r="AW88" s="591">
        <v>9.5999999999999992E-3</v>
      </c>
      <c r="AX88" s="594">
        <v>1.11E-2</v>
      </c>
      <c r="AY88" s="591">
        <v>4.1399999999999999E-2</v>
      </c>
      <c r="AZ88" s="594">
        <v>1.06E-2</v>
      </c>
      <c r="BA88" s="594">
        <v>1.5699999999999999E-2</v>
      </c>
      <c r="BB88" s="594">
        <v>1.52E-2</v>
      </c>
      <c r="BC88" s="594">
        <v>7.0000000000000001E-3</v>
      </c>
      <c r="BD88" s="594">
        <v>9.7999999999999997E-3</v>
      </c>
      <c r="BE88" s="594">
        <v>1.21E-2</v>
      </c>
      <c r="BF88" s="594">
        <v>1.8200000000000001E-2</v>
      </c>
      <c r="BG88" s="594">
        <v>2.0299999999999999E-2</v>
      </c>
      <c r="BH88" s="594">
        <v>1.18E-2</v>
      </c>
      <c r="BI88" s="594">
        <v>1.26E-2</v>
      </c>
      <c r="BJ88" s="594">
        <v>1.7899999999999999E-2</v>
      </c>
      <c r="BK88" s="594">
        <v>0.02</v>
      </c>
      <c r="BL88" s="594">
        <v>2.52E-2</v>
      </c>
      <c r="BM88" s="594">
        <v>3.3999999999999998E-3</v>
      </c>
      <c r="BN88" s="594">
        <v>0.29599999999999999</v>
      </c>
      <c r="BO88" s="594">
        <v>0.06</v>
      </c>
      <c r="BP88" s="594">
        <v>0.312</v>
      </c>
      <c r="BQ88" s="594">
        <v>0.21199999999999999</v>
      </c>
      <c r="BR88" s="594">
        <v>0.18</v>
      </c>
      <c r="BS88" s="594">
        <v>0.1111</v>
      </c>
      <c r="BT88" s="594">
        <v>0.18</v>
      </c>
      <c r="BU88" s="594">
        <v>0.221</v>
      </c>
      <c r="BV88" s="594">
        <v>0.17</v>
      </c>
      <c r="BW88" s="594">
        <v>0.23</v>
      </c>
      <c r="BX88" s="594">
        <v>0.13</v>
      </c>
      <c r="BY88" s="594">
        <v>0.32900000000000001</v>
      </c>
      <c r="BZ88" s="594">
        <v>8.6999999999999994E-2</v>
      </c>
      <c r="CA88" s="594">
        <v>0</v>
      </c>
      <c r="CB88" s="593">
        <v>0.25</v>
      </c>
      <c r="CC88" s="594">
        <v>0.3</v>
      </c>
      <c r="CD88" s="594">
        <v>0.13</v>
      </c>
      <c r="CE88" s="594">
        <v>0.3</v>
      </c>
      <c r="CF88" s="594">
        <v>0.14599999999999999</v>
      </c>
      <c r="CG88" s="594">
        <v>0.22</v>
      </c>
      <c r="CH88" s="594">
        <v>0.27</v>
      </c>
      <c r="CI88" s="594">
        <v>0.25</v>
      </c>
      <c r="CJ88" s="594">
        <v>0</v>
      </c>
      <c r="CK88" s="594">
        <v>5.2499999999999998E-2</v>
      </c>
      <c r="CL88" s="594">
        <v>0.107</v>
      </c>
      <c r="CM88" s="594">
        <v>0.188</v>
      </c>
      <c r="CN88" s="594">
        <v>0.21</v>
      </c>
      <c r="CO88" s="594">
        <v>0.1118</v>
      </c>
      <c r="CP88" s="594">
        <v>0.2</v>
      </c>
      <c r="CQ88" s="594">
        <v>0.35</v>
      </c>
      <c r="CR88" s="594">
        <v>0.35</v>
      </c>
      <c r="CS88" s="597"/>
      <c r="CT88" s="591">
        <v>2.9000000000000001E-2</v>
      </c>
      <c r="CU88" s="1233">
        <v>4.8025999999999999E-2</v>
      </c>
      <c r="CV88" s="591">
        <v>0.01</v>
      </c>
      <c r="CW88" s="915">
        <v>3.3327999999999997E-2</v>
      </c>
      <c r="CX88" s="591">
        <v>5.5E-2</v>
      </c>
      <c r="CY88" s="1234"/>
      <c r="CZ88" s="591">
        <v>3.7999999999999999E-2</v>
      </c>
      <c r="DA88" s="591">
        <v>0.03</v>
      </c>
      <c r="DB88" s="591">
        <v>1.9E-2</v>
      </c>
      <c r="DC88" s="591"/>
      <c r="DD88" s="591">
        <v>3.4000000000000002E-2</v>
      </c>
      <c r="DE88" s="591">
        <v>4.2000000000000003E-2</v>
      </c>
      <c r="DF88" s="591">
        <v>1.7000000000000001E-2</v>
      </c>
      <c r="DG88" s="591">
        <v>1.4999999999999999E-2</v>
      </c>
      <c r="DH88" s="591">
        <v>4.5999999999999999E-2</v>
      </c>
      <c r="DI88" s="915">
        <v>5.1573000000000001E-2</v>
      </c>
      <c r="DJ88" s="1234"/>
      <c r="DK88" s="591"/>
      <c r="DL88" s="591">
        <v>3.7999999999999999E-2</v>
      </c>
      <c r="DM88" s="591">
        <v>0.03</v>
      </c>
      <c r="DN88" s="915">
        <v>3.9253999999999997E-2</v>
      </c>
      <c r="DO88" s="591">
        <v>2.4E-2</v>
      </c>
      <c r="DP88" s="591">
        <v>7.0000000000000001E-3</v>
      </c>
      <c r="DQ88" s="1234"/>
      <c r="DR88" s="591"/>
      <c r="DS88" s="1234"/>
      <c r="DT88" s="591">
        <v>2.7E-2</v>
      </c>
      <c r="DU88" s="591">
        <v>2.1999999999999999E-2</v>
      </c>
      <c r="DV88" s="591">
        <v>3.1E-2</v>
      </c>
      <c r="DW88" s="591">
        <v>6.6000000000000003E-2</v>
      </c>
      <c r="DX88" s="591">
        <v>6.0999999999999999E-2</v>
      </c>
      <c r="DY88" s="591">
        <v>1.7000000000000001E-2</v>
      </c>
      <c r="DZ88" s="916"/>
      <c r="EA88" s="1439"/>
    </row>
    <row r="89" spans="1:131" x14ac:dyDescent="0.3">
      <c r="A89" s="935">
        <v>41699</v>
      </c>
      <c r="B89" s="589">
        <v>0.1</v>
      </c>
      <c r="C89" s="590">
        <v>0.06</v>
      </c>
      <c r="D89" s="590">
        <v>0.04</v>
      </c>
      <c r="E89" s="590">
        <v>0.05</v>
      </c>
      <c r="F89" s="591">
        <v>0.1263</v>
      </c>
      <c r="G89" s="589">
        <v>0.1111</v>
      </c>
      <c r="H89" s="589">
        <v>0.06</v>
      </c>
      <c r="I89" s="590">
        <v>0.08</v>
      </c>
      <c r="J89" s="591">
        <v>0.115</v>
      </c>
      <c r="K89" s="590">
        <v>0.15</v>
      </c>
      <c r="L89" s="589">
        <v>4.2500000000000003E-2</v>
      </c>
      <c r="M89" s="598">
        <v>0.72</v>
      </c>
      <c r="N89" s="590">
        <v>0.1</v>
      </c>
      <c r="O89" s="589">
        <v>0</v>
      </c>
      <c r="P89" s="593">
        <v>7.7499999999999999E-2</v>
      </c>
      <c r="Q89" s="589">
        <v>0.105</v>
      </c>
      <c r="R89" s="590">
        <v>0.2</v>
      </c>
      <c r="S89" s="589">
        <v>2.2499999999999999E-2</v>
      </c>
      <c r="T89" s="594">
        <v>0.107</v>
      </c>
      <c r="U89" s="591">
        <v>6.2E-2</v>
      </c>
      <c r="V89" s="589">
        <v>0.16</v>
      </c>
      <c r="W89" s="595">
        <v>0.105</v>
      </c>
      <c r="X89" s="590">
        <v>0</v>
      </c>
      <c r="Y89" s="589">
        <v>8.5000000000000006E-2</v>
      </c>
      <c r="Z89" s="589">
        <v>0.1875</v>
      </c>
      <c r="AA89" s="589">
        <v>0</v>
      </c>
      <c r="AB89" s="590">
        <v>0.2</v>
      </c>
      <c r="AC89" s="590">
        <v>0.1</v>
      </c>
      <c r="AD89" s="590">
        <v>0.1</v>
      </c>
      <c r="AE89" s="590">
        <v>0.2</v>
      </c>
      <c r="AF89" s="590">
        <v>0.1</v>
      </c>
      <c r="AG89" s="590">
        <v>0</v>
      </c>
      <c r="AH89" s="594">
        <v>1.44E-2</v>
      </c>
      <c r="AI89" s="594">
        <v>2.2599999999999999E-2</v>
      </c>
      <c r="AJ89" s="594">
        <v>2.1499999999999998E-2</v>
      </c>
      <c r="AK89" s="594">
        <v>1.11E-2</v>
      </c>
      <c r="AL89" s="594">
        <v>1.72E-2</v>
      </c>
      <c r="AM89" s="596"/>
      <c r="AN89" s="594">
        <v>0.02</v>
      </c>
      <c r="AO89" s="594">
        <v>1.7899999999999999E-2</v>
      </c>
      <c r="AP89" s="594">
        <v>1.1900000000000001E-2</v>
      </c>
      <c r="AQ89" s="594">
        <v>1.6299999999999999E-2</v>
      </c>
      <c r="AR89" s="594">
        <v>1.14E-2</v>
      </c>
      <c r="AS89" s="596"/>
      <c r="AT89" s="594">
        <v>-2.0999999999999999E-3</v>
      </c>
      <c r="AU89" s="594">
        <v>1.18E-2</v>
      </c>
      <c r="AV89" s="593">
        <v>1.5599999999999999E-2</v>
      </c>
      <c r="AW89" s="594">
        <v>7.4999999999999997E-3</v>
      </c>
      <c r="AX89" s="594">
        <v>1.11E-2</v>
      </c>
      <c r="AY89" s="591">
        <v>-2.0000000000000001E-4</v>
      </c>
      <c r="AZ89" s="594">
        <v>1.06E-2</v>
      </c>
      <c r="BA89" s="594">
        <v>1.5699999999999999E-2</v>
      </c>
      <c r="BB89" s="594">
        <v>1.52E-2</v>
      </c>
      <c r="BC89" s="594">
        <v>8.9999999999999993E-3</v>
      </c>
      <c r="BD89" s="594">
        <v>9.7999999999999997E-3</v>
      </c>
      <c r="BE89" s="594">
        <v>1.21E-2</v>
      </c>
      <c r="BF89" s="594">
        <v>1.8200000000000001E-2</v>
      </c>
      <c r="BG89" s="594">
        <v>2.0299999999999999E-2</v>
      </c>
      <c r="BH89" s="594">
        <v>1.18E-2</v>
      </c>
      <c r="BI89" s="594">
        <v>1.26E-2</v>
      </c>
      <c r="BJ89" s="594">
        <v>1.7899999999999999E-2</v>
      </c>
      <c r="BK89" s="594">
        <v>0.02</v>
      </c>
      <c r="BL89" s="594">
        <v>2.52E-2</v>
      </c>
      <c r="BM89" s="594">
        <v>2.0999999999999999E-3</v>
      </c>
      <c r="BN89" s="594">
        <v>0.29599999999999999</v>
      </c>
      <c r="BO89" s="594">
        <v>0.06</v>
      </c>
      <c r="BP89" s="594">
        <v>0.312</v>
      </c>
      <c r="BQ89" s="594">
        <v>0.21199999999999999</v>
      </c>
      <c r="BR89" s="594">
        <v>0.18</v>
      </c>
      <c r="BS89" s="594">
        <v>0.1111</v>
      </c>
      <c r="BT89" s="594">
        <v>0.18</v>
      </c>
      <c r="BU89" s="594">
        <v>0.221</v>
      </c>
      <c r="BV89" s="594">
        <v>0.17</v>
      </c>
      <c r="BW89" s="594">
        <v>0.23</v>
      </c>
      <c r="BX89" s="594">
        <v>0.13</v>
      </c>
      <c r="BY89" s="594">
        <v>0.32900000000000001</v>
      </c>
      <c r="BZ89" s="594">
        <v>8.6999999999999994E-2</v>
      </c>
      <c r="CA89" s="594">
        <v>0</v>
      </c>
      <c r="CB89" s="593">
        <v>0.25</v>
      </c>
      <c r="CC89" s="594">
        <v>0.3</v>
      </c>
      <c r="CD89" s="594">
        <v>0.13</v>
      </c>
      <c r="CE89" s="594">
        <v>0.3</v>
      </c>
      <c r="CF89" s="594">
        <v>0.14599999999999999</v>
      </c>
      <c r="CG89" s="594">
        <v>0.22</v>
      </c>
      <c r="CH89" s="594">
        <v>0.27</v>
      </c>
      <c r="CI89" s="594">
        <v>0.25</v>
      </c>
      <c r="CJ89" s="594">
        <v>0</v>
      </c>
      <c r="CK89" s="594">
        <v>5.2499999999999998E-2</v>
      </c>
      <c r="CL89" s="594">
        <v>0.107</v>
      </c>
      <c r="CM89" s="594">
        <v>0.188</v>
      </c>
      <c r="CN89" s="594">
        <v>0.21</v>
      </c>
      <c r="CO89" s="594">
        <v>0.1118</v>
      </c>
      <c r="CP89" s="594">
        <v>0.2</v>
      </c>
      <c r="CQ89" s="594">
        <v>0.35</v>
      </c>
      <c r="CR89" s="594">
        <v>0.35</v>
      </c>
      <c r="CS89" s="597"/>
      <c r="CT89" s="591">
        <v>2.9000000000000001E-2</v>
      </c>
      <c r="CU89" s="1233">
        <v>4.8025999999999999E-2</v>
      </c>
      <c r="CV89" s="591">
        <v>0.01</v>
      </c>
      <c r="CW89" s="915">
        <v>3.3327999999999997E-2</v>
      </c>
      <c r="CX89" s="591">
        <v>5.5E-2</v>
      </c>
      <c r="CY89" s="1234"/>
      <c r="CZ89" s="591">
        <v>3.7999999999999999E-2</v>
      </c>
      <c r="DA89" s="591">
        <v>0.03</v>
      </c>
      <c r="DB89" s="591">
        <v>1.9E-2</v>
      </c>
      <c r="DC89" s="591"/>
      <c r="DD89" s="591">
        <v>3.4000000000000002E-2</v>
      </c>
      <c r="DE89" s="591">
        <v>4.2000000000000003E-2</v>
      </c>
      <c r="DF89" s="591">
        <v>1.7000000000000001E-2</v>
      </c>
      <c r="DG89" s="591">
        <v>1.4999999999999999E-2</v>
      </c>
      <c r="DH89" s="591">
        <v>4.5999999999999999E-2</v>
      </c>
      <c r="DI89" s="915">
        <v>5.1573000000000001E-2</v>
      </c>
      <c r="DJ89" s="1234"/>
      <c r="DK89" s="591"/>
      <c r="DL89" s="591">
        <v>3.7999999999999999E-2</v>
      </c>
      <c r="DM89" s="591">
        <v>0.03</v>
      </c>
      <c r="DN89" s="915">
        <v>3.9253999999999997E-2</v>
      </c>
      <c r="DO89" s="591">
        <v>2.4E-2</v>
      </c>
      <c r="DP89" s="591">
        <v>7.0000000000000001E-3</v>
      </c>
      <c r="DQ89" s="1234"/>
      <c r="DR89" s="591"/>
      <c r="DS89" s="1234"/>
      <c r="DT89" s="591">
        <v>2.7E-2</v>
      </c>
      <c r="DU89" s="591">
        <v>2.1999999999999999E-2</v>
      </c>
      <c r="DV89" s="591">
        <v>3.1E-2</v>
      </c>
      <c r="DW89" s="591">
        <v>6.6000000000000003E-2</v>
      </c>
      <c r="DX89" s="591">
        <v>6.0999999999999999E-2</v>
      </c>
      <c r="DY89" s="591">
        <v>1.7000000000000001E-2</v>
      </c>
      <c r="DZ89" s="916"/>
      <c r="EA89" s="1439"/>
    </row>
    <row r="90" spans="1:131" x14ac:dyDescent="0.3">
      <c r="A90" s="935">
        <v>41730</v>
      </c>
      <c r="B90" s="589">
        <v>0.1</v>
      </c>
      <c r="C90" s="590">
        <v>0.06</v>
      </c>
      <c r="D90" s="590">
        <v>0.04</v>
      </c>
      <c r="E90" s="590">
        <v>0.05</v>
      </c>
      <c r="F90" s="591">
        <v>0.1263</v>
      </c>
      <c r="G90" s="589">
        <v>0.1111</v>
      </c>
      <c r="H90" s="589">
        <v>0.06</v>
      </c>
      <c r="I90" s="590">
        <v>0.08</v>
      </c>
      <c r="J90" s="591">
        <v>0.115</v>
      </c>
      <c r="K90" s="590">
        <v>0.15</v>
      </c>
      <c r="L90" s="589">
        <v>4.2500000000000003E-2</v>
      </c>
      <c r="M90" s="598">
        <v>0.72</v>
      </c>
      <c r="N90" s="590">
        <v>0.1</v>
      </c>
      <c r="O90" s="589">
        <v>0</v>
      </c>
      <c r="P90" s="593">
        <v>7.7499999999999999E-2</v>
      </c>
      <c r="Q90" s="589">
        <v>0.105</v>
      </c>
      <c r="R90" s="590">
        <v>0.2</v>
      </c>
      <c r="S90" s="589">
        <v>2.2499999999999999E-2</v>
      </c>
      <c r="T90" s="594">
        <v>0.107</v>
      </c>
      <c r="U90" s="591">
        <v>6.2E-2</v>
      </c>
      <c r="V90" s="589">
        <v>0.16</v>
      </c>
      <c r="W90" s="595">
        <v>0.105</v>
      </c>
      <c r="X90" s="590">
        <v>0</v>
      </c>
      <c r="Y90" s="590">
        <v>0.1</v>
      </c>
      <c r="Z90" s="589">
        <v>0.1875</v>
      </c>
      <c r="AA90" s="589">
        <v>0</v>
      </c>
      <c r="AB90" s="590">
        <v>0.2</v>
      </c>
      <c r="AC90" s="590">
        <v>0.1</v>
      </c>
      <c r="AD90" s="590">
        <v>0.1</v>
      </c>
      <c r="AE90" s="590">
        <v>0.2</v>
      </c>
      <c r="AF90" s="590">
        <v>0.1</v>
      </c>
      <c r="AG90" s="590">
        <v>0</v>
      </c>
      <c r="AH90" s="594">
        <v>1.44E-2</v>
      </c>
      <c r="AI90" s="594">
        <v>2.2599999999999999E-2</v>
      </c>
      <c r="AJ90" s="594">
        <v>2.1499999999999998E-2</v>
      </c>
      <c r="AK90" s="594">
        <v>1.11E-2</v>
      </c>
      <c r="AL90" s="594">
        <v>1.72E-2</v>
      </c>
      <c r="AM90" s="596"/>
      <c r="AN90" s="594">
        <v>0.02</v>
      </c>
      <c r="AO90" s="594">
        <v>1.7899999999999999E-2</v>
      </c>
      <c r="AP90" s="594">
        <v>1.1900000000000001E-2</v>
      </c>
      <c r="AQ90" s="594">
        <v>1.6299999999999999E-2</v>
      </c>
      <c r="AR90" s="594">
        <v>1.14E-2</v>
      </c>
      <c r="AS90" s="596"/>
      <c r="AT90" s="594">
        <v>-2.0999999999999999E-3</v>
      </c>
      <c r="AU90" s="594">
        <v>1.18E-2</v>
      </c>
      <c r="AV90" s="593">
        <v>1.5599999999999999E-2</v>
      </c>
      <c r="AW90" s="594">
        <v>7.4999999999999997E-3</v>
      </c>
      <c r="AX90" s="594">
        <v>1.11E-2</v>
      </c>
      <c r="AY90" s="591">
        <v>-2.0000000000000001E-4</v>
      </c>
      <c r="AZ90" s="594">
        <v>1.06E-2</v>
      </c>
      <c r="BA90" s="594">
        <v>1.5699999999999999E-2</v>
      </c>
      <c r="BB90" s="594">
        <v>1.52E-2</v>
      </c>
      <c r="BC90" s="594">
        <v>8.9999999999999993E-3</v>
      </c>
      <c r="BD90" s="594">
        <v>9.7999999999999997E-3</v>
      </c>
      <c r="BE90" s="594">
        <v>1.21E-2</v>
      </c>
      <c r="BF90" s="594">
        <v>1.8200000000000001E-2</v>
      </c>
      <c r="BG90" s="594">
        <v>2.0299999999999999E-2</v>
      </c>
      <c r="BH90" s="594">
        <v>1.18E-2</v>
      </c>
      <c r="BI90" s="594">
        <v>1.26E-2</v>
      </c>
      <c r="BJ90" s="594">
        <v>1.7899999999999999E-2</v>
      </c>
      <c r="BK90" s="594">
        <v>0.02</v>
      </c>
      <c r="BL90" s="594">
        <v>2.52E-2</v>
      </c>
      <c r="BM90" s="594">
        <v>2.0999999999999999E-3</v>
      </c>
      <c r="BN90" s="594">
        <v>0.29599999999999999</v>
      </c>
      <c r="BO90" s="594">
        <v>0.06</v>
      </c>
      <c r="BP90" s="594">
        <v>0.312</v>
      </c>
      <c r="BQ90" s="594">
        <v>0.21199999999999999</v>
      </c>
      <c r="BR90" s="594">
        <v>0.18</v>
      </c>
      <c r="BS90" s="594">
        <v>0.1111</v>
      </c>
      <c r="BT90" s="594">
        <v>0.18</v>
      </c>
      <c r="BU90" s="594">
        <v>0.221</v>
      </c>
      <c r="BV90" s="594">
        <v>0.17</v>
      </c>
      <c r="BW90" s="594">
        <v>0.23</v>
      </c>
      <c r="BX90" s="594">
        <v>0.13</v>
      </c>
      <c r="BY90" s="594">
        <v>0.32900000000000001</v>
      </c>
      <c r="BZ90" s="594">
        <v>8.6999999999999994E-2</v>
      </c>
      <c r="CA90" s="594">
        <v>0</v>
      </c>
      <c r="CB90" s="593">
        <v>0.25</v>
      </c>
      <c r="CC90" s="594">
        <v>0.3</v>
      </c>
      <c r="CD90" s="594">
        <v>0.13</v>
      </c>
      <c r="CE90" s="594">
        <v>0.3</v>
      </c>
      <c r="CF90" s="594">
        <v>0.14599999999999999</v>
      </c>
      <c r="CG90" s="594">
        <v>0.22</v>
      </c>
      <c r="CH90" s="594">
        <v>0.27</v>
      </c>
      <c r="CI90" s="594">
        <v>0.25</v>
      </c>
      <c r="CJ90" s="594">
        <v>0</v>
      </c>
      <c r="CK90" s="594">
        <v>5.2499999999999998E-2</v>
      </c>
      <c r="CL90" s="594">
        <v>0.107</v>
      </c>
      <c r="CM90" s="594">
        <v>0.188</v>
      </c>
      <c r="CN90" s="594">
        <v>0.21</v>
      </c>
      <c r="CO90" s="594">
        <v>0.1118</v>
      </c>
      <c r="CP90" s="594">
        <v>0.2</v>
      </c>
      <c r="CQ90" s="594">
        <v>0.35</v>
      </c>
      <c r="CR90" s="594">
        <v>0.35</v>
      </c>
      <c r="CS90" s="597"/>
      <c r="CT90" s="591">
        <v>2.9000000000000001E-2</v>
      </c>
      <c r="CU90" s="1233">
        <v>8.2719999999999998E-3</v>
      </c>
      <c r="CV90" s="591">
        <v>0.01</v>
      </c>
      <c r="CW90" s="915">
        <v>9.7069999999999986E-3</v>
      </c>
      <c r="CX90" s="591">
        <v>5.5E-2</v>
      </c>
      <c r="CY90" s="1234"/>
      <c r="CZ90" s="591">
        <v>3.7999999999999999E-2</v>
      </c>
      <c r="DA90" s="591">
        <v>0.03</v>
      </c>
      <c r="DB90" s="591">
        <v>1.9E-2</v>
      </c>
      <c r="DC90" s="591"/>
      <c r="DD90" s="591">
        <v>3.4000000000000002E-2</v>
      </c>
      <c r="DE90" s="591">
        <v>4.2000000000000003E-2</v>
      </c>
      <c r="DF90" s="591">
        <v>1.7000000000000001E-2</v>
      </c>
      <c r="DG90" s="591">
        <v>1.4999999999999999E-2</v>
      </c>
      <c r="DH90" s="591">
        <v>4.5999999999999999E-2</v>
      </c>
      <c r="DI90" s="915">
        <v>1.2933999999999999E-2</v>
      </c>
      <c r="DJ90" s="1234"/>
      <c r="DK90" s="591"/>
      <c r="DL90" s="591">
        <v>3.7999999999999999E-2</v>
      </c>
      <c r="DM90" s="591">
        <v>0.03</v>
      </c>
      <c r="DN90" s="915">
        <v>6.6400000000000001E-3</v>
      </c>
      <c r="DO90" s="591">
        <v>2.4E-2</v>
      </c>
      <c r="DP90" s="591">
        <v>7.0000000000000001E-3</v>
      </c>
      <c r="DQ90" s="1234"/>
      <c r="DR90" s="591"/>
      <c r="DS90" s="1234"/>
      <c r="DT90" s="591">
        <v>2.7E-2</v>
      </c>
      <c r="DU90" s="591">
        <v>2.1999999999999999E-2</v>
      </c>
      <c r="DV90" s="591">
        <v>3.1E-2</v>
      </c>
      <c r="DW90" s="591">
        <v>6.6000000000000003E-2</v>
      </c>
      <c r="DX90" s="591">
        <v>6.0999999999999999E-2</v>
      </c>
      <c r="DY90" s="591">
        <v>1.7000000000000001E-2</v>
      </c>
      <c r="DZ90" s="916"/>
      <c r="EA90" s="1439"/>
    </row>
    <row r="91" spans="1:131" x14ac:dyDescent="0.3">
      <c r="A91" s="935">
        <v>41760</v>
      </c>
      <c r="B91" s="589">
        <v>0.1</v>
      </c>
      <c r="C91" s="590">
        <v>0.06</v>
      </c>
      <c r="D91" s="590">
        <v>0.04</v>
      </c>
      <c r="E91" s="590">
        <v>0.05</v>
      </c>
      <c r="F91" s="591">
        <v>0.1263</v>
      </c>
      <c r="G91" s="589">
        <v>0.1111</v>
      </c>
      <c r="H91" s="589">
        <v>0.06</v>
      </c>
      <c r="I91" s="590">
        <v>0.08</v>
      </c>
      <c r="J91" s="591">
        <v>0.115</v>
      </c>
      <c r="K91" s="590">
        <v>0.15</v>
      </c>
      <c r="L91" s="589">
        <v>4.2500000000000003E-2</v>
      </c>
      <c r="M91" s="598">
        <v>0.72</v>
      </c>
      <c r="N91" s="590">
        <v>0.1</v>
      </c>
      <c r="O91" s="589">
        <v>0</v>
      </c>
      <c r="P91" s="593">
        <v>7.7499999999999999E-2</v>
      </c>
      <c r="Q91" s="589">
        <v>0.105</v>
      </c>
      <c r="R91" s="590">
        <v>0.2</v>
      </c>
      <c r="S91" s="589">
        <v>2.2499999999999999E-2</v>
      </c>
      <c r="T91" s="594">
        <v>0.107</v>
      </c>
      <c r="U91" s="591">
        <v>6.2E-2</v>
      </c>
      <c r="V91" s="589">
        <v>0.16</v>
      </c>
      <c r="W91" s="595">
        <v>0.105</v>
      </c>
      <c r="X91" s="590">
        <v>0</v>
      </c>
      <c r="Y91" s="590">
        <v>0.1</v>
      </c>
      <c r="Z91" s="589">
        <v>0.1875</v>
      </c>
      <c r="AA91" s="589">
        <v>0</v>
      </c>
      <c r="AB91" s="590">
        <v>0.2</v>
      </c>
      <c r="AC91" s="590">
        <v>0.1</v>
      </c>
      <c r="AD91" s="590">
        <v>0.1</v>
      </c>
      <c r="AE91" s="590">
        <v>0.2</v>
      </c>
      <c r="AF91" s="590">
        <v>0.1</v>
      </c>
      <c r="AG91" s="590">
        <v>0</v>
      </c>
      <c r="AH91" s="594">
        <v>1.44E-2</v>
      </c>
      <c r="AI91" s="594">
        <v>2.2599999999999999E-2</v>
      </c>
      <c r="AJ91" s="594">
        <v>2.1499999999999998E-2</v>
      </c>
      <c r="AK91" s="594">
        <v>1.11E-2</v>
      </c>
      <c r="AL91" s="594">
        <v>1.72E-2</v>
      </c>
      <c r="AM91" s="596"/>
      <c r="AN91" s="594">
        <v>0.02</v>
      </c>
      <c r="AO91" s="594">
        <v>1.7899999999999999E-2</v>
      </c>
      <c r="AP91" s="594">
        <v>1.1900000000000001E-2</v>
      </c>
      <c r="AQ91" s="594">
        <v>1.6299999999999999E-2</v>
      </c>
      <c r="AR91" s="594">
        <v>1.14E-2</v>
      </c>
      <c r="AS91" s="596"/>
      <c r="AT91" s="594">
        <v>-2.0999999999999999E-3</v>
      </c>
      <c r="AU91" s="594">
        <v>1.18E-2</v>
      </c>
      <c r="AV91" s="593">
        <v>1.5599999999999999E-2</v>
      </c>
      <c r="AW91" s="594">
        <v>7.4999999999999997E-3</v>
      </c>
      <c r="AX91" s="594">
        <v>1.11E-2</v>
      </c>
      <c r="AY91" s="591">
        <v>-2.0000000000000001E-4</v>
      </c>
      <c r="AZ91" s="594">
        <v>1.06E-2</v>
      </c>
      <c r="BA91" s="594">
        <v>1.5699999999999999E-2</v>
      </c>
      <c r="BB91" s="594">
        <v>1.52E-2</v>
      </c>
      <c r="BC91" s="594">
        <v>8.9999999999999993E-3</v>
      </c>
      <c r="BD91" s="594">
        <v>9.7999999999999997E-3</v>
      </c>
      <c r="BE91" s="594">
        <v>1.21E-2</v>
      </c>
      <c r="BF91" s="594">
        <v>1.8200000000000001E-2</v>
      </c>
      <c r="BG91" s="594">
        <v>2.0299999999999999E-2</v>
      </c>
      <c r="BH91" s="594">
        <v>1.18E-2</v>
      </c>
      <c r="BI91" s="594">
        <v>1.26E-2</v>
      </c>
      <c r="BJ91" s="594">
        <v>1.7899999999999999E-2</v>
      </c>
      <c r="BK91" s="594">
        <v>0.02</v>
      </c>
      <c r="BL91" s="594">
        <v>2.52E-2</v>
      </c>
      <c r="BM91" s="594">
        <v>2.0999999999999999E-3</v>
      </c>
      <c r="BN91" s="594">
        <v>0.29599999999999999</v>
      </c>
      <c r="BO91" s="594">
        <v>0.06</v>
      </c>
      <c r="BP91" s="594">
        <v>0.312</v>
      </c>
      <c r="BQ91" s="594">
        <v>0.21199999999999999</v>
      </c>
      <c r="BR91" s="594">
        <v>0.18</v>
      </c>
      <c r="BS91" s="594">
        <v>0.1111</v>
      </c>
      <c r="BT91" s="594">
        <v>0.18</v>
      </c>
      <c r="BU91" s="594">
        <v>0.221</v>
      </c>
      <c r="BV91" s="594">
        <v>0.17</v>
      </c>
      <c r="BW91" s="594">
        <v>0.23</v>
      </c>
      <c r="BX91" s="594">
        <v>0.13</v>
      </c>
      <c r="BY91" s="594">
        <v>0.32900000000000001</v>
      </c>
      <c r="BZ91" s="594">
        <v>8.6999999999999994E-2</v>
      </c>
      <c r="CA91" s="594">
        <v>0</v>
      </c>
      <c r="CB91" s="593">
        <v>0.25</v>
      </c>
      <c r="CC91" s="594">
        <v>0.3</v>
      </c>
      <c r="CD91" s="594">
        <v>0.13</v>
      </c>
      <c r="CE91" s="594">
        <v>0.3</v>
      </c>
      <c r="CF91" s="594">
        <v>0.14599999999999999</v>
      </c>
      <c r="CG91" s="594">
        <v>0.22</v>
      </c>
      <c r="CH91" s="594">
        <v>0.27</v>
      </c>
      <c r="CI91" s="594">
        <v>0.25</v>
      </c>
      <c r="CJ91" s="594">
        <v>0</v>
      </c>
      <c r="CK91" s="594">
        <v>5.2499999999999998E-2</v>
      </c>
      <c r="CL91" s="594">
        <v>0.107</v>
      </c>
      <c r="CM91" s="594">
        <v>0.188</v>
      </c>
      <c r="CN91" s="594">
        <v>0.21</v>
      </c>
      <c r="CO91" s="594">
        <v>0.1118</v>
      </c>
      <c r="CP91" s="594">
        <v>0.2</v>
      </c>
      <c r="CQ91" s="594">
        <v>0.35</v>
      </c>
      <c r="CR91" s="594">
        <v>0.35</v>
      </c>
      <c r="CS91" s="597"/>
      <c r="CT91" s="591">
        <v>2.9000000000000001E-2</v>
      </c>
      <c r="CU91" s="1233">
        <v>8.2719999999999998E-3</v>
      </c>
      <c r="CV91" s="591">
        <v>0.01</v>
      </c>
      <c r="CW91" s="915">
        <v>9.7069999999999986E-3</v>
      </c>
      <c r="CX91" s="591">
        <v>5.5E-2</v>
      </c>
      <c r="CY91" s="1234"/>
      <c r="CZ91" s="591">
        <v>3.7999999999999999E-2</v>
      </c>
      <c r="DA91" s="591">
        <v>0.03</v>
      </c>
      <c r="DB91" s="591">
        <v>1.9E-2</v>
      </c>
      <c r="DC91" s="591"/>
      <c r="DD91" s="591">
        <v>3.4000000000000002E-2</v>
      </c>
      <c r="DE91" s="591">
        <v>4.2000000000000003E-2</v>
      </c>
      <c r="DF91" s="591">
        <v>1.7000000000000001E-2</v>
      </c>
      <c r="DG91" s="591">
        <v>1.4999999999999999E-2</v>
      </c>
      <c r="DH91" s="591">
        <v>4.5999999999999999E-2</v>
      </c>
      <c r="DI91" s="915">
        <v>1.2933999999999999E-2</v>
      </c>
      <c r="DJ91" s="1234"/>
      <c r="DK91" s="591"/>
      <c r="DL91" s="591">
        <v>3.7999999999999999E-2</v>
      </c>
      <c r="DM91" s="591">
        <v>0.03</v>
      </c>
      <c r="DN91" s="915">
        <v>6.6400000000000001E-3</v>
      </c>
      <c r="DO91" s="591">
        <v>2.4E-2</v>
      </c>
      <c r="DP91" s="591">
        <v>7.0000000000000001E-3</v>
      </c>
      <c r="DQ91" s="1234"/>
      <c r="DR91" s="591"/>
      <c r="DS91" s="1234"/>
      <c r="DT91" s="591">
        <v>2.7E-2</v>
      </c>
      <c r="DU91" s="591">
        <v>2.1999999999999999E-2</v>
      </c>
      <c r="DV91" s="591">
        <v>3.1E-2</v>
      </c>
      <c r="DW91" s="591">
        <v>6.6000000000000003E-2</v>
      </c>
      <c r="DX91" s="591">
        <v>6.0999999999999999E-2</v>
      </c>
      <c r="DY91" s="591">
        <v>1.7000000000000001E-2</v>
      </c>
      <c r="DZ91" s="916"/>
      <c r="EA91" s="1439"/>
    </row>
    <row r="92" spans="1:131" x14ac:dyDescent="0.3">
      <c r="A92" s="935">
        <v>41791</v>
      </c>
      <c r="B92" s="589">
        <v>0.1</v>
      </c>
      <c r="C92" s="590">
        <v>0.06</v>
      </c>
      <c r="D92" s="590">
        <v>0.04</v>
      </c>
      <c r="E92" s="590">
        <v>0.05</v>
      </c>
      <c r="F92" s="591">
        <v>0.1263</v>
      </c>
      <c r="G92" s="589">
        <v>0.1111</v>
      </c>
      <c r="H92" s="589">
        <v>0.06</v>
      </c>
      <c r="I92" s="590">
        <v>0.08</v>
      </c>
      <c r="J92" s="591">
        <v>0.115</v>
      </c>
      <c r="K92" s="590">
        <v>0.15</v>
      </c>
      <c r="L92" s="589">
        <v>4.2500000000000003E-2</v>
      </c>
      <c r="M92" s="598">
        <v>0.72</v>
      </c>
      <c r="N92" s="590">
        <v>0.1</v>
      </c>
      <c r="O92" s="589">
        <v>0</v>
      </c>
      <c r="P92" s="593">
        <v>7.7499999999999999E-2</v>
      </c>
      <c r="Q92" s="589">
        <v>0.105</v>
      </c>
      <c r="R92" s="590">
        <v>0.2</v>
      </c>
      <c r="S92" s="589">
        <v>2.2499999999999999E-2</v>
      </c>
      <c r="T92" s="594">
        <v>0.107</v>
      </c>
      <c r="U92" s="591">
        <v>6.2E-2</v>
      </c>
      <c r="V92" s="589">
        <v>0.16</v>
      </c>
      <c r="W92" s="595">
        <v>0.105</v>
      </c>
      <c r="X92" s="590">
        <v>0</v>
      </c>
      <c r="Y92" s="590">
        <v>0.1</v>
      </c>
      <c r="Z92" s="589">
        <v>0.1875</v>
      </c>
      <c r="AA92" s="589">
        <v>0</v>
      </c>
      <c r="AB92" s="590">
        <v>0.2</v>
      </c>
      <c r="AC92" s="590">
        <v>0.1</v>
      </c>
      <c r="AD92" s="590">
        <v>0.1</v>
      </c>
      <c r="AE92" s="590">
        <v>0.2</v>
      </c>
      <c r="AF92" s="590">
        <v>0.1</v>
      </c>
      <c r="AG92" s="590">
        <v>0</v>
      </c>
      <c r="AH92" s="594">
        <v>1.44E-2</v>
      </c>
      <c r="AI92" s="594">
        <v>2.2599999999999999E-2</v>
      </c>
      <c r="AJ92" s="594">
        <v>2.1499999999999998E-2</v>
      </c>
      <c r="AK92" s="594">
        <v>1.11E-2</v>
      </c>
      <c r="AL92" s="594">
        <v>1.72E-2</v>
      </c>
      <c r="AM92" s="596"/>
      <c r="AN92" s="594">
        <v>0.02</v>
      </c>
      <c r="AO92" s="594">
        <v>1.7899999999999999E-2</v>
      </c>
      <c r="AP92" s="594">
        <v>1.1900000000000001E-2</v>
      </c>
      <c r="AQ92" s="594">
        <v>1.6299999999999999E-2</v>
      </c>
      <c r="AR92" s="594">
        <v>1.14E-2</v>
      </c>
      <c r="AS92" s="596"/>
      <c r="AT92" s="594">
        <v>-2.0999999999999999E-3</v>
      </c>
      <c r="AU92" s="594">
        <v>1.18E-2</v>
      </c>
      <c r="AV92" s="593">
        <v>1.5599999999999999E-2</v>
      </c>
      <c r="AW92" s="594">
        <v>7.4999999999999997E-3</v>
      </c>
      <c r="AX92" s="594">
        <v>1.11E-2</v>
      </c>
      <c r="AY92" s="591">
        <v>-2.0000000000000001E-4</v>
      </c>
      <c r="AZ92" s="594">
        <v>1.06E-2</v>
      </c>
      <c r="BA92" s="594">
        <v>1.5699999999999999E-2</v>
      </c>
      <c r="BB92" s="594">
        <v>1.52E-2</v>
      </c>
      <c r="BC92" s="594">
        <v>8.9999999999999993E-3</v>
      </c>
      <c r="BD92" s="594">
        <v>9.7999999999999997E-3</v>
      </c>
      <c r="BE92" s="594">
        <v>1.21E-2</v>
      </c>
      <c r="BF92" s="594">
        <v>1.8200000000000001E-2</v>
      </c>
      <c r="BG92" s="594">
        <v>2.0299999999999999E-2</v>
      </c>
      <c r="BH92" s="594">
        <v>1.18E-2</v>
      </c>
      <c r="BI92" s="594">
        <v>1.26E-2</v>
      </c>
      <c r="BJ92" s="594">
        <v>1.7899999999999999E-2</v>
      </c>
      <c r="BK92" s="594">
        <v>0.02</v>
      </c>
      <c r="BL92" s="594">
        <v>2.52E-2</v>
      </c>
      <c r="BM92" s="594">
        <v>2.0999999999999999E-3</v>
      </c>
      <c r="BN92" s="594">
        <v>0.29599999999999999</v>
      </c>
      <c r="BO92" s="594">
        <v>0.06</v>
      </c>
      <c r="BP92" s="594">
        <v>0.312</v>
      </c>
      <c r="BQ92" s="594">
        <v>0.21199999999999999</v>
      </c>
      <c r="BR92" s="594">
        <v>0.18</v>
      </c>
      <c r="BS92" s="594">
        <v>0.1111</v>
      </c>
      <c r="BT92" s="594">
        <v>0.18</v>
      </c>
      <c r="BU92" s="594">
        <v>0.221</v>
      </c>
      <c r="BV92" s="594">
        <v>0.17</v>
      </c>
      <c r="BW92" s="594">
        <v>0.23</v>
      </c>
      <c r="BX92" s="594">
        <v>0.13</v>
      </c>
      <c r="BY92" s="594">
        <v>0.32900000000000001</v>
      </c>
      <c r="BZ92" s="594">
        <v>8.6999999999999994E-2</v>
      </c>
      <c r="CA92" s="594">
        <v>0</v>
      </c>
      <c r="CB92" s="593">
        <v>0.25</v>
      </c>
      <c r="CC92" s="594">
        <v>0.3</v>
      </c>
      <c r="CD92" s="594">
        <v>0.13</v>
      </c>
      <c r="CE92" s="594">
        <v>0.3</v>
      </c>
      <c r="CF92" s="594">
        <v>0.14599999999999999</v>
      </c>
      <c r="CG92" s="594">
        <v>0.22</v>
      </c>
      <c r="CH92" s="594">
        <v>0.27</v>
      </c>
      <c r="CI92" s="594">
        <v>0.25</v>
      </c>
      <c r="CJ92" s="594">
        <v>0</v>
      </c>
      <c r="CK92" s="594">
        <v>5.2499999999999998E-2</v>
      </c>
      <c r="CL92" s="594">
        <v>0.107</v>
      </c>
      <c r="CM92" s="594">
        <v>0.188</v>
      </c>
      <c r="CN92" s="594">
        <v>0.21</v>
      </c>
      <c r="CO92" s="594">
        <v>0.1118</v>
      </c>
      <c r="CP92" s="594">
        <v>0.2</v>
      </c>
      <c r="CQ92" s="594">
        <v>0.35</v>
      </c>
      <c r="CR92" s="594">
        <v>0.35</v>
      </c>
      <c r="CS92" s="597"/>
      <c r="CT92" s="591">
        <v>2.9000000000000001E-2</v>
      </c>
      <c r="CU92" s="1233">
        <v>8.2719999999999998E-3</v>
      </c>
      <c r="CV92" s="591">
        <v>0.01</v>
      </c>
      <c r="CW92" s="915">
        <v>9.7069999999999986E-3</v>
      </c>
      <c r="CX92" s="591">
        <v>5.5E-2</v>
      </c>
      <c r="CY92" s="1234"/>
      <c r="CZ92" s="591">
        <v>3.7999999999999999E-2</v>
      </c>
      <c r="DA92" s="591">
        <v>0.03</v>
      </c>
      <c r="DB92" s="591">
        <v>1.9E-2</v>
      </c>
      <c r="DC92" s="591"/>
      <c r="DD92" s="591">
        <v>3.4000000000000002E-2</v>
      </c>
      <c r="DE92" s="591">
        <v>4.2000000000000003E-2</v>
      </c>
      <c r="DF92" s="591">
        <v>1.7000000000000001E-2</v>
      </c>
      <c r="DG92" s="591">
        <v>1.4999999999999999E-2</v>
      </c>
      <c r="DH92" s="591">
        <v>4.5999999999999999E-2</v>
      </c>
      <c r="DI92" s="915">
        <v>1.2933999999999999E-2</v>
      </c>
      <c r="DJ92" s="1234"/>
      <c r="DK92" s="591"/>
      <c r="DL92" s="591">
        <v>3.7999999999999999E-2</v>
      </c>
      <c r="DM92" s="591">
        <v>0.03</v>
      </c>
      <c r="DN92" s="915">
        <v>6.6400000000000001E-3</v>
      </c>
      <c r="DO92" s="591">
        <v>2.4E-2</v>
      </c>
      <c r="DP92" s="591">
        <v>7.0000000000000001E-3</v>
      </c>
      <c r="DQ92" s="1234"/>
      <c r="DR92" s="591"/>
      <c r="DS92" s="1234"/>
      <c r="DT92" s="591">
        <v>2.7E-2</v>
      </c>
      <c r="DU92" s="591">
        <v>2.1999999999999999E-2</v>
      </c>
      <c r="DV92" s="591">
        <v>3.1E-2</v>
      </c>
      <c r="DW92" s="591">
        <v>6.6000000000000003E-2</v>
      </c>
      <c r="DX92" s="591">
        <v>6.0999999999999999E-2</v>
      </c>
      <c r="DY92" s="591">
        <v>1.7000000000000001E-2</v>
      </c>
      <c r="DZ92" s="916"/>
      <c r="EA92" s="1439"/>
    </row>
    <row r="93" spans="1:131" x14ac:dyDescent="0.3">
      <c r="A93" s="935">
        <v>41821</v>
      </c>
      <c r="B93" s="589">
        <v>0.1</v>
      </c>
      <c r="C93" s="590">
        <v>0.06</v>
      </c>
      <c r="D93" s="590">
        <v>0.04</v>
      </c>
      <c r="E93" s="590">
        <v>0.05</v>
      </c>
      <c r="F93" s="591">
        <v>0.1263</v>
      </c>
      <c r="G93" s="589">
        <v>0.1111</v>
      </c>
      <c r="H93" s="589">
        <v>0.06</v>
      </c>
      <c r="I93" s="590">
        <v>0.08</v>
      </c>
      <c r="J93" s="591">
        <v>0.115</v>
      </c>
      <c r="K93" s="590">
        <v>0.15</v>
      </c>
      <c r="L93" s="589">
        <v>4.2500000000000003E-2</v>
      </c>
      <c r="M93" s="598">
        <v>0.72</v>
      </c>
      <c r="N93" s="590">
        <v>0.1</v>
      </c>
      <c r="O93" s="589">
        <v>0</v>
      </c>
      <c r="P93" s="593">
        <v>7.7499999999999999E-2</v>
      </c>
      <c r="Q93" s="589">
        <v>0.105</v>
      </c>
      <c r="R93" s="590">
        <v>0.2</v>
      </c>
      <c r="S93" s="589">
        <v>2.2499999999999999E-2</v>
      </c>
      <c r="T93" s="594">
        <v>0.107</v>
      </c>
      <c r="U93" s="591">
        <v>6.2E-2</v>
      </c>
      <c r="V93" s="589">
        <v>0.16</v>
      </c>
      <c r="W93" s="595">
        <v>0.105</v>
      </c>
      <c r="X93" s="590">
        <v>0</v>
      </c>
      <c r="Y93" s="590">
        <v>0.1</v>
      </c>
      <c r="Z93" s="589">
        <v>0.1875</v>
      </c>
      <c r="AA93" s="589">
        <v>0</v>
      </c>
      <c r="AB93" s="590">
        <v>0.2</v>
      </c>
      <c r="AC93" s="590">
        <v>0.1</v>
      </c>
      <c r="AD93" s="590">
        <v>0.1</v>
      </c>
      <c r="AE93" s="590">
        <v>0.2</v>
      </c>
      <c r="AF93" s="590">
        <v>0.1</v>
      </c>
      <c r="AG93" s="590">
        <v>0</v>
      </c>
      <c r="AH93" s="594">
        <v>1.34E-2</v>
      </c>
      <c r="AI93" s="594">
        <v>2.1899999999999999E-2</v>
      </c>
      <c r="AJ93" s="594">
        <v>1.21E-2</v>
      </c>
      <c r="AK93" s="594">
        <v>1.95E-2</v>
      </c>
      <c r="AL93" s="594">
        <v>1.8599999999999998E-2</v>
      </c>
      <c r="AM93" s="596"/>
      <c r="AN93" s="594">
        <v>1.8200000000000001E-2</v>
      </c>
      <c r="AO93" s="594">
        <v>1.41E-2</v>
      </c>
      <c r="AP93" s="594">
        <v>1.17E-2</v>
      </c>
      <c r="AQ93" s="594">
        <v>1.54E-2</v>
      </c>
      <c r="AR93" s="594">
        <v>1.14E-2</v>
      </c>
      <c r="AS93" s="596"/>
      <c r="AT93" s="594">
        <v>-2.0999999999999999E-3</v>
      </c>
      <c r="AU93" s="594">
        <v>1.2999999999999999E-2</v>
      </c>
      <c r="AV93" s="593">
        <v>1.5599999999999999E-2</v>
      </c>
      <c r="AW93" s="594">
        <v>7.4999999999999997E-3</v>
      </c>
      <c r="AX93" s="594">
        <v>1.3100000000000001E-2</v>
      </c>
      <c r="AY93" s="591">
        <v>-2.0000000000000001E-4</v>
      </c>
      <c r="AZ93" s="594">
        <v>1.15E-2</v>
      </c>
      <c r="BA93" s="594">
        <v>1.47E-2</v>
      </c>
      <c r="BB93" s="594">
        <v>1.21E-2</v>
      </c>
      <c r="BC93" s="594">
        <v>8.9999999999999993E-3</v>
      </c>
      <c r="BD93" s="594">
        <v>4.5999999999999999E-3</v>
      </c>
      <c r="BE93" s="594">
        <v>1.1599999999999999E-2</v>
      </c>
      <c r="BF93" s="594">
        <v>1.5599999999999999E-2</v>
      </c>
      <c r="BG93" s="594">
        <v>1.7299999999999999E-2</v>
      </c>
      <c r="BH93" s="594">
        <v>1.37E-2</v>
      </c>
      <c r="BI93" s="594">
        <v>1.0500000000000001E-2</v>
      </c>
      <c r="BJ93" s="594">
        <v>1.6E-2</v>
      </c>
      <c r="BK93" s="594">
        <v>2.3E-2</v>
      </c>
      <c r="BL93" s="594">
        <v>2.4899999999999999E-2</v>
      </c>
      <c r="BM93" s="594">
        <v>2.0999999999999999E-3</v>
      </c>
      <c r="BN93" s="594">
        <v>0.29599999999999999</v>
      </c>
      <c r="BO93" s="594">
        <v>0.06</v>
      </c>
      <c r="BP93" s="594">
        <v>0.312</v>
      </c>
      <c r="BQ93" s="594">
        <v>0.21199999999999999</v>
      </c>
      <c r="BR93" s="594">
        <v>0.18</v>
      </c>
      <c r="BS93" s="594">
        <v>0.1111</v>
      </c>
      <c r="BT93" s="594">
        <v>0.18</v>
      </c>
      <c r="BU93" s="594">
        <v>0.221</v>
      </c>
      <c r="BV93" s="594">
        <v>0.17</v>
      </c>
      <c r="BW93" s="594">
        <v>0.23</v>
      </c>
      <c r="BX93" s="594">
        <v>0.13</v>
      </c>
      <c r="BY93" s="594">
        <v>0.32900000000000001</v>
      </c>
      <c r="BZ93" s="594">
        <v>8.6999999999999994E-2</v>
      </c>
      <c r="CA93" s="594">
        <v>0</v>
      </c>
      <c r="CB93" s="593">
        <v>0.25</v>
      </c>
      <c r="CC93" s="594">
        <v>0.3</v>
      </c>
      <c r="CD93" s="594">
        <v>0.13</v>
      </c>
      <c r="CE93" s="594">
        <v>0.3</v>
      </c>
      <c r="CF93" s="594">
        <v>0.14599999999999999</v>
      </c>
      <c r="CG93" s="594">
        <v>0.22</v>
      </c>
      <c r="CH93" s="594">
        <v>0.27</v>
      </c>
      <c r="CI93" s="594">
        <v>0.25</v>
      </c>
      <c r="CJ93" s="594">
        <v>0</v>
      </c>
      <c r="CK93" s="594">
        <v>5.2499999999999998E-2</v>
      </c>
      <c r="CL93" s="594">
        <v>0.107</v>
      </c>
      <c r="CM93" s="594">
        <v>0.188</v>
      </c>
      <c r="CN93" s="594">
        <v>0.21</v>
      </c>
      <c r="CO93" s="594">
        <v>0.1118</v>
      </c>
      <c r="CP93" s="594">
        <v>0.2</v>
      </c>
      <c r="CQ93" s="594">
        <v>0.35</v>
      </c>
      <c r="CR93" s="594">
        <v>0.35</v>
      </c>
      <c r="CS93" s="597"/>
      <c r="CT93" s="591">
        <v>2.9000000000000001E-2</v>
      </c>
      <c r="CU93" s="1233">
        <v>8.2719999999999998E-3</v>
      </c>
      <c r="CV93" s="591">
        <v>0.01</v>
      </c>
      <c r="CW93" s="915">
        <v>9.7069999999999986E-3</v>
      </c>
      <c r="CX93" s="591">
        <v>5.5E-2</v>
      </c>
      <c r="CY93" s="1234"/>
      <c r="CZ93" s="591">
        <v>3.7999999999999999E-2</v>
      </c>
      <c r="DA93" s="591">
        <v>0.03</v>
      </c>
      <c r="DB93" s="591">
        <v>1.9E-2</v>
      </c>
      <c r="DC93" s="591"/>
      <c r="DD93" s="591">
        <v>3.4000000000000002E-2</v>
      </c>
      <c r="DE93" s="591">
        <v>4.2000000000000003E-2</v>
      </c>
      <c r="DF93" s="591">
        <v>1.7000000000000001E-2</v>
      </c>
      <c r="DG93" s="591">
        <v>1.4999999999999999E-2</v>
      </c>
      <c r="DH93" s="591">
        <v>4.5999999999999999E-2</v>
      </c>
      <c r="DI93" s="915">
        <v>1.2933999999999999E-2</v>
      </c>
      <c r="DJ93" s="1234"/>
      <c r="DK93" s="591"/>
      <c r="DL93" s="591">
        <v>3.7999999999999999E-2</v>
      </c>
      <c r="DM93" s="591">
        <v>0.03</v>
      </c>
      <c r="DN93" s="915">
        <v>6.6400000000000001E-3</v>
      </c>
      <c r="DO93" s="591">
        <v>2.4E-2</v>
      </c>
      <c r="DP93" s="591">
        <v>7.0000000000000001E-3</v>
      </c>
      <c r="DQ93" s="1234"/>
      <c r="DR93" s="591"/>
      <c r="DS93" s="1234"/>
      <c r="DT93" s="591">
        <v>2.7E-2</v>
      </c>
      <c r="DU93" s="591">
        <v>2.1999999999999999E-2</v>
      </c>
      <c r="DV93" s="591">
        <v>3.1E-2</v>
      </c>
      <c r="DW93" s="591">
        <v>6.6000000000000003E-2</v>
      </c>
      <c r="DX93" s="591">
        <v>6.0999999999999999E-2</v>
      </c>
      <c r="DY93" s="591">
        <v>1.7000000000000001E-2</v>
      </c>
      <c r="DZ93" s="916"/>
      <c r="EA93" s="1439"/>
    </row>
    <row r="94" spans="1:131" x14ac:dyDescent="0.3">
      <c r="A94" s="935">
        <v>41852</v>
      </c>
      <c r="B94" s="589">
        <v>0.1</v>
      </c>
      <c r="C94" s="590">
        <v>0.06</v>
      </c>
      <c r="D94" s="590">
        <v>0.04</v>
      </c>
      <c r="E94" s="590">
        <v>0.05</v>
      </c>
      <c r="F94" s="591">
        <v>0.1263</v>
      </c>
      <c r="G94" s="589">
        <v>0.1111</v>
      </c>
      <c r="H94" s="589">
        <v>0.06</v>
      </c>
      <c r="I94" s="590">
        <v>0.08</v>
      </c>
      <c r="J94" s="591">
        <v>0.115</v>
      </c>
      <c r="K94" s="590">
        <v>0.15</v>
      </c>
      <c r="L94" s="589">
        <v>4.2500000000000003E-2</v>
      </c>
      <c r="M94" s="598">
        <v>0.72</v>
      </c>
      <c r="N94" s="590">
        <v>0.1</v>
      </c>
      <c r="O94" s="589">
        <v>0</v>
      </c>
      <c r="P94" s="593">
        <v>7.7499999999999999E-2</v>
      </c>
      <c r="Q94" s="589">
        <v>0.105</v>
      </c>
      <c r="R94" s="590">
        <v>0.2</v>
      </c>
      <c r="S94" s="589">
        <v>2.2499999999999999E-2</v>
      </c>
      <c r="T94" s="594">
        <v>0.107</v>
      </c>
      <c r="U94" s="591">
        <v>6.2E-2</v>
      </c>
      <c r="V94" s="589">
        <v>0.16</v>
      </c>
      <c r="W94" s="595">
        <v>0.105</v>
      </c>
      <c r="X94" s="590">
        <v>0</v>
      </c>
      <c r="Y94" s="590">
        <v>0.1</v>
      </c>
      <c r="Z94" s="589">
        <v>0.1875</v>
      </c>
      <c r="AA94" s="589">
        <v>0</v>
      </c>
      <c r="AB94" s="590">
        <v>0.2</v>
      </c>
      <c r="AC94" s="590">
        <v>0.1</v>
      </c>
      <c r="AD94" s="590">
        <v>0.1</v>
      </c>
      <c r="AE94" s="590">
        <v>0.2</v>
      </c>
      <c r="AF94" s="590">
        <v>0.1</v>
      </c>
      <c r="AG94" s="590">
        <v>0</v>
      </c>
      <c r="AH94" s="594">
        <v>1.34E-2</v>
      </c>
      <c r="AI94" s="594">
        <v>2.1899999999999999E-2</v>
      </c>
      <c r="AJ94" s="594">
        <v>1.21E-2</v>
      </c>
      <c r="AK94" s="594">
        <v>1.95E-2</v>
      </c>
      <c r="AL94" s="594">
        <v>1.8599999999999998E-2</v>
      </c>
      <c r="AM94" s="596"/>
      <c r="AN94" s="594">
        <v>1.8200000000000001E-2</v>
      </c>
      <c r="AO94" s="594">
        <v>1.41E-2</v>
      </c>
      <c r="AP94" s="594">
        <v>1.17E-2</v>
      </c>
      <c r="AQ94" s="594">
        <v>1.54E-2</v>
      </c>
      <c r="AR94" s="594">
        <v>1.14E-2</v>
      </c>
      <c r="AS94" s="596"/>
      <c r="AT94" s="594">
        <v>-2.0999999999999999E-3</v>
      </c>
      <c r="AU94" s="594">
        <v>1.2999999999999999E-2</v>
      </c>
      <c r="AV94" s="593">
        <v>1.5599999999999999E-2</v>
      </c>
      <c r="AW94" s="594">
        <v>7.4999999999999997E-3</v>
      </c>
      <c r="AX94" s="594">
        <v>1.3100000000000001E-2</v>
      </c>
      <c r="AY94" s="591">
        <v>-2.0000000000000001E-4</v>
      </c>
      <c r="AZ94" s="594">
        <v>1.15E-2</v>
      </c>
      <c r="BA94" s="594">
        <v>1.47E-2</v>
      </c>
      <c r="BB94" s="594">
        <v>1.21E-2</v>
      </c>
      <c r="BC94" s="594">
        <v>8.9999999999999993E-3</v>
      </c>
      <c r="BD94" s="594">
        <v>4.5999999999999999E-3</v>
      </c>
      <c r="BE94" s="594">
        <v>1.1599999999999999E-2</v>
      </c>
      <c r="BF94" s="594">
        <v>1.5599999999999999E-2</v>
      </c>
      <c r="BG94" s="594">
        <v>1.7299999999999999E-2</v>
      </c>
      <c r="BH94" s="594">
        <v>1.37E-2</v>
      </c>
      <c r="BI94" s="594">
        <v>1.0500000000000001E-2</v>
      </c>
      <c r="BJ94" s="594">
        <v>1.6E-2</v>
      </c>
      <c r="BK94" s="594">
        <v>2.3E-2</v>
      </c>
      <c r="BL94" s="594">
        <v>2.4899999999999999E-2</v>
      </c>
      <c r="BM94" s="594">
        <v>2.0999999999999999E-3</v>
      </c>
      <c r="BN94" s="594">
        <v>0.29599999999999999</v>
      </c>
      <c r="BO94" s="594">
        <v>0.06</v>
      </c>
      <c r="BP94" s="594">
        <v>0.312</v>
      </c>
      <c r="BQ94" s="594">
        <v>0.21199999999999999</v>
      </c>
      <c r="BR94" s="594">
        <v>0.18</v>
      </c>
      <c r="BS94" s="594">
        <v>0.1111</v>
      </c>
      <c r="BT94" s="594">
        <v>0.18</v>
      </c>
      <c r="BU94" s="594">
        <v>0.221</v>
      </c>
      <c r="BV94" s="594">
        <v>0.17</v>
      </c>
      <c r="BW94" s="594">
        <v>0.23</v>
      </c>
      <c r="BX94" s="594">
        <v>0.13</v>
      </c>
      <c r="BY94" s="594">
        <v>0.32900000000000001</v>
      </c>
      <c r="BZ94" s="594">
        <v>8.6999999999999994E-2</v>
      </c>
      <c r="CA94" s="594">
        <v>0</v>
      </c>
      <c r="CB94" s="593">
        <v>0.25</v>
      </c>
      <c r="CC94" s="594">
        <v>0.3</v>
      </c>
      <c r="CD94" s="594">
        <v>0.13</v>
      </c>
      <c r="CE94" s="594">
        <v>0.3</v>
      </c>
      <c r="CF94" s="594">
        <v>0.14599999999999999</v>
      </c>
      <c r="CG94" s="594">
        <v>0.22</v>
      </c>
      <c r="CH94" s="594">
        <v>0.27</v>
      </c>
      <c r="CI94" s="594">
        <v>0.25</v>
      </c>
      <c r="CJ94" s="594">
        <v>0</v>
      </c>
      <c r="CK94" s="594">
        <v>5.2499999999999998E-2</v>
      </c>
      <c r="CL94" s="594">
        <v>0.107</v>
      </c>
      <c r="CM94" s="594">
        <v>0.188</v>
      </c>
      <c r="CN94" s="594">
        <v>0.21</v>
      </c>
      <c r="CO94" s="594">
        <v>0.1118</v>
      </c>
      <c r="CP94" s="594">
        <v>0.2</v>
      </c>
      <c r="CQ94" s="594">
        <v>0.35</v>
      </c>
      <c r="CR94" s="594">
        <v>0.35</v>
      </c>
      <c r="CS94" s="597"/>
      <c r="CT94" s="591">
        <v>2.9000000000000001E-2</v>
      </c>
      <c r="CU94" s="1233">
        <v>8.2719999999999998E-3</v>
      </c>
      <c r="CV94" s="591">
        <v>0.01</v>
      </c>
      <c r="CW94" s="915">
        <v>9.7069999999999986E-3</v>
      </c>
      <c r="CX94" s="591">
        <v>5.5E-2</v>
      </c>
      <c r="CY94" s="1234"/>
      <c r="CZ94" s="591">
        <v>3.7999999999999999E-2</v>
      </c>
      <c r="DA94" s="591">
        <v>0.03</v>
      </c>
      <c r="DB94" s="591">
        <v>1.9E-2</v>
      </c>
      <c r="DC94" s="591"/>
      <c r="DD94" s="591">
        <v>3.4000000000000002E-2</v>
      </c>
      <c r="DE94" s="591">
        <v>4.2000000000000003E-2</v>
      </c>
      <c r="DF94" s="591">
        <v>1.7000000000000001E-2</v>
      </c>
      <c r="DG94" s="591">
        <v>1.4999999999999999E-2</v>
      </c>
      <c r="DH94" s="591">
        <v>4.5999999999999999E-2</v>
      </c>
      <c r="DI94" s="915">
        <v>1.2933999999999999E-2</v>
      </c>
      <c r="DJ94" s="1234"/>
      <c r="DK94" s="591"/>
      <c r="DL94" s="591">
        <v>3.7999999999999999E-2</v>
      </c>
      <c r="DM94" s="591">
        <v>0.03</v>
      </c>
      <c r="DN94" s="915">
        <v>6.6400000000000001E-3</v>
      </c>
      <c r="DO94" s="591">
        <v>2.4E-2</v>
      </c>
      <c r="DP94" s="591">
        <v>7.0000000000000001E-3</v>
      </c>
      <c r="DQ94" s="1234"/>
      <c r="DR94" s="591"/>
      <c r="DS94" s="1234"/>
      <c r="DT94" s="591">
        <v>2.7E-2</v>
      </c>
      <c r="DU94" s="591">
        <v>2.1999999999999999E-2</v>
      </c>
      <c r="DV94" s="591">
        <v>3.1E-2</v>
      </c>
      <c r="DW94" s="591">
        <v>6.6000000000000003E-2</v>
      </c>
      <c r="DX94" s="591">
        <v>6.0999999999999999E-2</v>
      </c>
      <c r="DY94" s="591">
        <v>1.7000000000000001E-2</v>
      </c>
      <c r="DZ94" s="916"/>
      <c r="EA94" s="1439"/>
    </row>
    <row r="95" spans="1:131" x14ac:dyDescent="0.3">
      <c r="A95" s="935">
        <v>41883</v>
      </c>
      <c r="B95" s="589">
        <v>0.1</v>
      </c>
      <c r="C95" s="590">
        <v>0.06</v>
      </c>
      <c r="D95" s="590">
        <v>0.04</v>
      </c>
      <c r="E95" s="590">
        <v>0.05</v>
      </c>
      <c r="F95" s="591">
        <v>0.1263</v>
      </c>
      <c r="G95" s="589">
        <v>0.1111</v>
      </c>
      <c r="H95" s="589">
        <v>0.06</v>
      </c>
      <c r="I95" s="590">
        <v>0.08</v>
      </c>
      <c r="J95" s="591">
        <v>0.115</v>
      </c>
      <c r="K95" s="590">
        <v>0.15</v>
      </c>
      <c r="L95" s="589">
        <v>4.2500000000000003E-2</v>
      </c>
      <c r="M95" s="598">
        <v>0.72</v>
      </c>
      <c r="N95" s="590">
        <v>0.1</v>
      </c>
      <c r="O95" s="589">
        <v>0</v>
      </c>
      <c r="P95" s="593">
        <v>7.7499999999999999E-2</v>
      </c>
      <c r="Q95" s="589">
        <v>0.105</v>
      </c>
      <c r="R95" s="590">
        <v>0.2</v>
      </c>
      <c r="S95" s="589">
        <v>2.2499999999999999E-2</v>
      </c>
      <c r="T95" s="594">
        <v>0.107</v>
      </c>
      <c r="U95" s="591">
        <v>6.2E-2</v>
      </c>
      <c r="V95" s="589">
        <v>0.16</v>
      </c>
      <c r="W95" s="595">
        <v>0.105</v>
      </c>
      <c r="X95" s="590">
        <v>0</v>
      </c>
      <c r="Y95" s="590">
        <v>0.1</v>
      </c>
      <c r="Z95" s="589">
        <v>0.1875</v>
      </c>
      <c r="AA95" s="589">
        <v>0</v>
      </c>
      <c r="AB95" s="590">
        <v>0.2</v>
      </c>
      <c r="AC95" s="590">
        <v>0.1</v>
      </c>
      <c r="AD95" s="590">
        <v>0.1</v>
      </c>
      <c r="AE95" s="590">
        <v>0.2</v>
      </c>
      <c r="AF95" s="590">
        <v>0.1</v>
      </c>
      <c r="AG95" s="590">
        <v>0</v>
      </c>
      <c r="AH95" s="594">
        <v>1.34E-2</v>
      </c>
      <c r="AI95" s="594">
        <v>2.1899999999999999E-2</v>
      </c>
      <c r="AJ95" s="594">
        <v>1.21E-2</v>
      </c>
      <c r="AK95" s="594">
        <v>1.95E-2</v>
      </c>
      <c r="AL95" s="594">
        <v>1.8599999999999998E-2</v>
      </c>
      <c r="AM95" s="596"/>
      <c r="AN95" s="594">
        <v>1.8200000000000001E-2</v>
      </c>
      <c r="AO95" s="594">
        <v>1.41E-2</v>
      </c>
      <c r="AP95" s="594">
        <v>1.17E-2</v>
      </c>
      <c r="AQ95" s="594">
        <v>1.54E-2</v>
      </c>
      <c r="AR95" s="594">
        <v>1.14E-2</v>
      </c>
      <c r="AS95" s="596"/>
      <c r="AT95" s="594">
        <v>-2.0999999999999999E-3</v>
      </c>
      <c r="AU95" s="594">
        <v>1.2999999999999999E-2</v>
      </c>
      <c r="AV95" s="593">
        <v>1.5599999999999999E-2</v>
      </c>
      <c r="AW95" s="594">
        <v>7.4999999999999997E-3</v>
      </c>
      <c r="AX95" s="594">
        <v>1.3100000000000001E-2</v>
      </c>
      <c r="AY95" s="591">
        <v>-2.0000000000000001E-4</v>
      </c>
      <c r="AZ95" s="594">
        <v>1.15E-2</v>
      </c>
      <c r="BA95" s="594">
        <v>1.47E-2</v>
      </c>
      <c r="BB95" s="594">
        <v>1.21E-2</v>
      </c>
      <c r="BC95" s="594">
        <v>8.9999999999999993E-3</v>
      </c>
      <c r="BD95" s="594">
        <v>4.5999999999999999E-3</v>
      </c>
      <c r="BE95" s="594">
        <v>1.1599999999999999E-2</v>
      </c>
      <c r="BF95" s="594">
        <v>1.5599999999999999E-2</v>
      </c>
      <c r="BG95" s="594">
        <v>1.7299999999999999E-2</v>
      </c>
      <c r="BH95" s="594">
        <v>1.37E-2</v>
      </c>
      <c r="BI95" s="594">
        <v>1.0500000000000001E-2</v>
      </c>
      <c r="BJ95" s="594">
        <v>1.6E-2</v>
      </c>
      <c r="BK95" s="594">
        <v>2.3E-2</v>
      </c>
      <c r="BL95" s="594">
        <v>2.4899999999999999E-2</v>
      </c>
      <c r="BM95" s="594">
        <v>2.0999999999999999E-3</v>
      </c>
      <c r="BN95" s="594">
        <v>0.29599999999999999</v>
      </c>
      <c r="BO95" s="594">
        <v>0.06</v>
      </c>
      <c r="BP95" s="594">
        <v>0.312</v>
      </c>
      <c r="BQ95" s="594">
        <v>0.21199999999999999</v>
      </c>
      <c r="BR95" s="594">
        <v>0.18</v>
      </c>
      <c r="BS95" s="594">
        <v>0.1111</v>
      </c>
      <c r="BT95" s="594">
        <v>0.18</v>
      </c>
      <c r="BU95" s="594">
        <v>0.221</v>
      </c>
      <c r="BV95" s="594">
        <v>0.17</v>
      </c>
      <c r="BW95" s="594">
        <v>0.23</v>
      </c>
      <c r="BX95" s="594">
        <v>0.13</v>
      </c>
      <c r="BY95" s="594">
        <v>0.32900000000000001</v>
      </c>
      <c r="BZ95" s="594">
        <v>8.6999999999999994E-2</v>
      </c>
      <c r="CA95" s="594">
        <v>0</v>
      </c>
      <c r="CB95" s="593">
        <v>0.25</v>
      </c>
      <c r="CC95" s="594">
        <v>0.3</v>
      </c>
      <c r="CD95" s="594">
        <v>0.13</v>
      </c>
      <c r="CE95" s="594">
        <v>0.3</v>
      </c>
      <c r="CF95" s="594">
        <v>0.14599999999999999</v>
      </c>
      <c r="CG95" s="594">
        <v>0.22</v>
      </c>
      <c r="CH95" s="594">
        <v>0.27</v>
      </c>
      <c r="CI95" s="594">
        <v>0.25</v>
      </c>
      <c r="CJ95" s="594">
        <v>0</v>
      </c>
      <c r="CK95" s="594">
        <v>5.2499999999999998E-2</v>
      </c>
      <c r="CL95" s="594">
        <v>0.107</v>
      </c>
      <c r="CM95" s="594">
        <v>0.188</v>
      </c>
      <c r="CN95" s="594">
        <v>0.21</v>
      </c>
      <c r="CO95" s="594">
        <v>0.1118</v>
      </c>
      <c r="CP95" s="594">
        <v>0.2</v>
      </c>
      <c r="CQ95" s="594">
        <v>0.35</v>
      </c>
      <c r="CR95" s="594">
        <v>0.35</v>
      </c>
      <c r="CS95" s="597"/>
      <c r="CT95" s="591">
        <v>2.9000000000000001E-2</v>
      </c>
      <c r="CU95" s="1233">
        <v>8.2719999999999998E-3</v>
      </c>
      <c r="CV95" s="591">
        <v>0.01</v>
      </c>
      <c r="CW95" s="915">
        <v>9.7069999999999986E-3</v>
      </c>
      <c r="CX95" s="591">
        <v>5.5E-2</v>
      </c>
      <c r="CY95" s="1234"/>
      <c r="CZ95" s="591">
        <v>3.7999999999999999E-2</v>
      </c>
      <c r="DA95" s="591">
        <v>0.03</v>
      </c>
      <c r="DB95" s="591">
        <v>1.9E-2</v>
      </c>
      <c r="DC95" s="591"/>
      <c r="DD95" s="591">
        <v>3.4000000000000002E-2</v>
      </c>
      <c r="DE95" s="591">
        <v>4.2000000000000003E-2</v>
      </c>
      <c r="DF95" s="591">
        <v>1.7000000000000001E-2</v>
      </c>
      <c r="DG95" s="591">
        <v>1.4999999999999999E-2</v>
      </c>
      <c r="DH95" s="591">
        <v>4.5999999999999999E-2</v>
      </c>
      <c r="DI95" s="915">
        <v>1.2933999999999999E-2</v>
      </c>
      <c r="DJ95" s="1234"/>
      <c r="DK95" s="591"/>
      <c r="DL95" s="591">
        <v>3.7999999999999999E-2</v>
      </c>
      <c r="DM95" s="591">
        <v>0.03</v>
      </c>
      <c r="DN95" s="915">
        <v>6.6400000000000001E-3</v>
      </c>
      <c r="DO95" s="591">
        <v>2.4E-2</v>
      </c>
      <c r="DP95" s="591">
        <v>7.0000000000000001E-3</v>
      </c>
      <c r="DQ95" s="1234"/>
      <c r="DR95" s="591"/>
      <c r="DS95" s="1234"/>
      <c r="DT95" s="591">
        <v>2.7E-2</v>
      </c>
      <c r="DU95" s="591">
        <v>2.1999999999999999E-2</v>
      </c>
      <c r="DV95" s="591">
        <v>3.1E-2</v>
      </c>
      <c r="DW95" s="591">
        <v>6.6000000000000003E-2</v>
      </c>
      <c r="DX95" s="591">
        <v>6.0999999999999999E-2</v>
      </c>
      <c r="DY95" s="591">
        <v>1.7000000000000001E-2</v>
      </c>
      <c r="DZ95" s="916"/>
      <c r="EA95" s="1439"/>
    </row>
    <row r="96" spans="1:131" x14ac:dyDescent="0.3">
      <c r="A96" s="935">
        <v>41913</v>
      </c>
      <c r="B96" s="589">
        <v>0.1</v>
      </c>
      <c r="C96" s="590">
        <v>0.06</v>
      </c>
      <c r="D96" s="590">
        <v>0.04</v>
      </c>
      <c r="E96" s="590">
        <v>0.05</v>
      </c>
      <c r="F96" s="591">
        <v>0.1263</v>
      </c>
      <c r="G96" s="589">
        <v>0.1111</v>
      </c>
      <c r="H96" s="589">
        <v>0.06</v>
      </c>
      <c r="I96" s="590">
        <v>0.08</v>
      </c>
      <c r="J96" s="591">
        <v>0.115</v>
      </c>
      <c r="K96" s="590">
        <v>0.15</v>
      </c>
      <c r="L96" s="589">
        <v>4.2500000000000003E-2</v>
      </c>
      <c r="M96" s="598">
        <v>0.72</v>
      </c>
      <c r="N96" s="590">
        <v>0.1</v>
      </c>
      <c r="O96" s="589">
        <v>0</v>
      </c>
      <c r="P96" s="593">
        <v>7.7499999999999999E-2</v>
      </c>
      <c r="Q96" s="589">
        <v>0.105</v>
      </c>
      <c r="R96" s="590">
        <v>0.2</v>
      </c>
      <c r="S96" s="589">
        <v>2.2499999999999999E-2</v>
      </c>
      <c r="T96" s="594">
        <v>0.107</v>
      </c>
      <c r="U96" s="591">
        <v>6.2E-2</v>
      </c>
      <c r="V96" s="589">
        <v>0.16</v>
      </c>
      <c r="W96" s="595">
        <v>0.105</v>
      </c>
      <c r="X96" s="590">
        <v>0</v>
      </c>
      <c r="Y96" s="590">
        <v>0.1</v>
      </c>
      <c r="Z96" s="589">
        <v>0.1875</v>
      </c>
      <c r="AA96" s="589">
        <v>0</v>
      </c>
      <c r="AB96" s="590">
        <v>0.2</v>
      </c>
      <c r="AC96" s="590">
        <v>0.1</v>
      </c>
      <c r="AD96" s="590">
        <v>0.1</v>
      </c>
      <c r="AE96" s="590">
        <v>0.2</v>
      </c>
      <c r="AF96" s="590">
        <v>0.1</v>
      </c>
      <c r="AG96" s="590">
        <v>0</v>
      </c>
      <c r="AH96" s="594">
        <v>1.34E-2</v>
      </c>
      <c r="AI96" s="594">
        <v>2.1899999999999999E-2</v>
      </c>
      <c r="AJ96" s="594">
        <v>1.21E-2</v>
      </c>
      <c r="AK96" s="594">
        <v>1.95E-2</v>
      </c>
      <c r="AL96" s="594">
        <v>1.8599999999999998E-2</v>
      </c>
      <c r="AM96" s="596"/>
      <c r="AN96" s="594">
        <v>1.8200000000000001E-2</v>
      </c>
      <c r="AO96" s="594">
        <v>1.41E-2</v>
      </c>
      <c r="AP96" s="594">
        <v>1.17E-2</v>
      </c>
      <c r="AQ96" s="594">
        <v>1.54E-2</v>
      </c>
      <c r="AR96" s="594">
        <v>1.14E-2</v>
      </c>
      <c r="AS96" s="596"/>
      <c r="AT96" s="594">
        <v>-2.0999999999999999E-3</v>
      </c>
      <c r="AU96" s="594">
        <v>1.2999999999999999E-2</v>
      </c>
      <c r="AV96" s="593">
        <v>1.5599999999999999E-2</v>
      </c>
      <c r="AW96" s="594">
        <v>7.4999999999999997E-3</v>
      </c>
      <c r="AX96" s="594">
        <v>1.3100000000000001E-2</v>
      </c>
      <c r="AY96" s="591">
        <v>-2.0000000000000001E-4</v>
      </c>
      <c r="AZ96" s="594">
        <v>1.15E-2</v>
      </c>
      <c r="BA96" s="594">
        <v>1.47E-2</v>
      </c>
      <c r="BB96" s="594">
        <v>1.21E-2</v>
      </c>
      <c r="BC96" s="594">
        <v>8.9999999999999993E-3</v>
      </c>
      <c r="BD96" s="594">
        <v>4.5999999999999999E-3</v>
      </c>
      <c r="BE96" s="594">
        <v>1.1599999999999999E-2</v>
      </c>
      <c r="BF96" s="594">
        <v>1.5599999999999999E-2</v>
      </c>
      <c r="BG96" s="594">
        <v>1.7299999999999999E-2</v>
      </c>
      <c r="BH96" s="594">
        <v>1.37E-2</v>
      </c>
      <c r="BI96" s="594">
        <v>1.0500000000000001E-2</v>
      </c>
      <c r="BJ96" s="594">
        <v>1.6E-2</v>
      </c>
      <c r="BK96" s="594">
        <v>2.3E-2</v>
      </c>
      <c r="BL96" s="594">
        <v>2.4899999999999999E-2</v>
      </c>
      <c r="BM96" s="594">
        <v>2.0999999999999999E-3</v>
      </c>
      <c r="BN96" s="594">
        <v>0.29599999999999999</v>
      </c>
      <c r="BO96" s="594">
        <v>0.06</v>
      </c>
      <c r="BP96" s="594">
        <v>0.312</v>
      </c>
      <c r="BQ96" s="594">
        <v>0.21199999999999999</v>
      </c>
      <c r="BR96" s="594">
        <v>0.18</v>
      </c>
      <c r="BS96" s="594">
        <v>0.1111</v>
      </c>
      <c r="BT96" s="594">
        <v>0.18</v>
      </c>
      <c r="BU96" s="594">
        <v>0.221</v>
      </c>
      <c r="BV96" s="594">
        <v>0.17</v>
      </c>
      <c r="BW96" s="594">
        <v>0.23</v>
      </c>
      <c r="BX96" s="594">
        <v>0.13</v>
      </c>
      <c r="BY96" s="594">
        <v>0.32900000000000001</v>
      </c>
      <c r="BZ96" s="594">
        <v>8.6999999999999994E-2</v>
      </c>
      <c r="CA96" s="594">
        <v>0</v>
      </c>
      <c r="CB96" s="593">
        <v>0.25</v>
      </c>
      <c r="CC96" s="594">
        <v>0.3</v>
      </c>
      <c r="CD96" s="594">
        <v>0.13</v>
      </c>
      <c r="CE96" s="594">
        <v>0.3</v>
      </c>
      <c r="CF96" s="594">
        <v>0.14599999999999999</v>
      </c>
      <c r="CG96" s="594">
        <v>0.22</v>
      </c>
      <c r="CH96" s="594">
        <v>0.27</v>
      </c>
      <c r="CI96" s="594">
        <v>0.25</v>
      </c>
      <c r="CJ96" s="594">
        <v>0</v>
      </c>
      <c r="CK96" s="594">
        <v>5.2499999999999998E-2</v>
      </c>
      <c r="CL96" s="594">
        <v>0.107</v>
      </c>
      <c r="CM96" s="594">
        <v>0.188</v>
      </c>
      <c r="CN96" s="594">
        <v>0.21</v>
      </c>
      <c r="CO96" s="594">
        <v>0.1118</v>
      </c>
      <c r="CP96" s="594">
        <v>0.2</v>
      </c>
      <c r="CQ96" s="594">
        <v>0.35</v>
      </c>
      <c r="CR96" s="594">
        <v>0.35</v>
      </c>
      <c r="CS96" s="597"/>
      <c r="CT96" s="591">
        <v>2.9000000000000001E-2</v>
      </c>
      <c r="CU96" s="1233">
        <v>8.2719999999999998E-3</v>
      </c>
      <c r="CV96" s="591">
        <v>0.01</v>
      </c>
      <c r="CW96" s="915">
        <v>9.7069999999999986E-3</v>
      </c>
      <c r="CX96" s="591">
        <v>5.5E-2</v>
      </c>
      <c r="CY96" s="1234"/>
      <c r="CZ96" s="591">
        <v>3.7999999999999999E-2</v>
      </c>
      <c r="DA96" s="591">
        <v>0.03</v>
      </c>
      <c r="DB96" s="591">
        <v>1.9E-2</v>
      </c>
      <c r="DC96" s="591"/>
      <c r="DD96" s="591">
        <v>3.4000000000000002E-2</v>
      </c>
      <c r="DE96" s="591">
        <v>4.2000000000000003E-2</v>
      </c>
      <c r="DF96" s="591">
        <v>1.7000000000000001E-2</v>
      </c>
      <c r="DG96" s="591">
        <v>1.4999999999999999E-2</v>
      </c>
      <c r="DH96" s="591">
        <v>4.5999999999999999E-2</v>
      </c>
      <c r="DI96" s="915">
        <v>1.2933999999999999E-2</v>
      </c>
      <c r="DJ96" s="1234"/>
      <c r="DK96" s="591"/>
      <c r="DL96" s="591">
        <v>3.7999999999999999E-2</v>
      </c>
      <c r="DM96" s="591">
        <v>0.03</v>
      </c>
      <c r="DN96" s="915">
        <v>6.6400000000000001E-3</v>
      </c>
      <c r="DO96" s="591">
        <v>2.4E-2</v>
      </c>
      <c r="DP96" s="591">
        <v>7.0000000000000001E-3</v>
      </c>
      <c r="DQ96" s="1234"/>
      <c r="DR96" s="591"/>
      <c r="DS96" s="1234"/>
      <c r="DT96" s="591">
        <v>2.7E-2</v>
      </c>
      <c r="DU96" s="591">
        <v>2.1999999999999999E-2</v>
      </c>
      <c r="DV96" s="591">
        <v>3.1E-2</v>
      </c>
      <c r="DW96" s="591">
        <v>6.6000000000000003E-2</v>
      </c>
      <c r="DX96" s="591">
        <v>6.0999999999999999E-2</v>
      </c>
      <c r="DY96" s="591">
        <v>1.7000000000000001E-2</v>
      </c>
      <c r="DZ96" s="916"/>
      <c r="EA96" s="1439"/>
    </row>
    <row r="97" spans="1:131" x14ac:dyDescent="0.3">
      <c r="A97" s="935">
        <v>41944</v>
      </c>
      <c r="B97" s="589">
        <v>0.1</v>
      </c>
      <c r="C97" s="590">
        <v>0.06</v>
      </c>
      <c r="D97" s="590">
        <v>0.04</v>
      </c>
      <c r="E97" s="590">
        <v>0.05</v>
      </c>
      <c r="F97" s="591">
        <v>0.1263</v>
      </c>
      <c r="G97" s="589">
        <v>0.1111</v>
      </c>
      <c r="H97" s="589">
        <v>0.06</v>
      </c>
      <c r="I97" s="590">
        <v>0.08</v>
      </c>
      <c r="J97" s="591">
        <v>0.115</v>
      </c>
      <c r="K97" s="590">
        <v>0.15</v>
      </c>
      <c r="L97" s="589">
        <v>4.2500000000000003E-2</v>
      </c>
      <c r="M97" s="598">
        <v>0.72</v>
      </c>
      <c r="N97" s="590">
        <v>0.1</v>
      </c>
      <c r="O97" s="589">
        <v>0</v>
      </c>
      <c r="P97" s="593">
        <v>7.7499999999999999E-2</v>
      </c>
      <c r="Q97" s="589">
        <v>0.105</v>
      </c>
      <c r="R97" s="590">
        <v>0.2</v>
      </c>
      <c r="S97" s="589">
        <v>2.2499999999999999E-2</v>
      </c>
      <c r="T97" s="594">
        <v>0.107</v>
      </c>
      <c r="U97" s="591">
        <v>6.2E-2</v>
      </c>
      <c r="V97" s="589">
        <v>0.16</v>
      </c>
      <c r="W97" s="595">
        <v>0.105</v>
      </c>
      <c r="X97" s="590">
        <v>0</v>
      </c>
      <c r="Y97" s="590">
        <v>0.1</v>
      </c>
      <c r="Z97" s="589">
        <v>0.1875</v>
      </c>
      <c r="AA97" s="589">
        <v>0</v>
      </c>
      <c r="AB97" s="590">
        <v>0.2</v>
      </c>
      <c r="AC97" s="590">
        <v>0.1</v>
      </c>
      <c r="AD97" s="590">
        <v>0.1</v>
      </c>
      <c r="AE97" s="590">
        <v>0.2</v>
      </c>
      <c r="AF97" s="590">
        <v>0.1</v>
      </c>
      <c r="AG97" s="590">
        <v>0</v>
      </c>
      <c r="AH97" s="594">
        <v>1.34E-2</v>
      </c>
      <c r="AI97" s="594">
        <v>2.1899999999999999E-2</v>
      </c>
      <c r="AJ97" s="594">
        <v>1.21E-2</v>
      </c>
      <c r="AK97" s="594">
        <v>1.95E-2</v>
      </c>
      <c r="AL97" s="594">
        <v>1.8599999999999998E-2</v>
      </c>
      <c r="AM97" s="596"/>
      <c r="AN97" s="594">
        <v>1.8200000000000001E-2</v>
      </c>
      <c r="AO97" s="594">
        <v>1.41E-2</v>
      </c>
      <c r="AP97" s="594">
        <v>1.17E-2</v>
      </c>
      <c r="AQ97" s="594">
        <v>1.54E-2</v>
      </c>
      <c r="AR97" s="594">
        <v>1.14E-2</v>
      </c>
      <c r="AS97" s="596"/>
      <c r="AT97" s="594">
        <v>-2.0999999999999999E-3</v>
      </c>
      <c r="AU97" s="594">
        <v>1.2999999999999999E-2</v>
      </c>
      <c r="AV97" s="593">
        <v>1.5599999999999999E-2</v>
      </c>
      <c r="AW97" s="594">
        <v>7.4999999999999997E-3</v>
      </c>
      <c r="AX97" s="594">
        <v>1.3100000000000001E-2</v>
      </c>
      <c r="AY97" s="591">
        <v>-2.0000000000000001E-4</v>
      </c>
      <c r="AZ97" s="594">
        <v>1.15E-2</v>
      </c>
      <c r="BA97" s="594">
        <v>1.47E-2</v>
      </c>
      <c r="BB97" s="594">
        <v>1.21E-2</v>
      </c>
      <c r="BC97" s="594">
        <v>8.9999999999999993E-3</v>
      </c>
      <c r="BD97" s="594">
        <v>4.5999999999999999E-3</v>
      </c>
      <c r="BE97" s="594">
        <v>1.1599999999999999E-2</v>
      </c>
      <c r="BF97" s="594">
        <v>1.5599999999999999E-2</v>
      </c>
      <c r="BG97" s="594">
        <v>1.7299999999999999E-2</v>
      </c>
      <c r="BH97" s="594">
        <v>1.37E-2</v>
      </c>
      <c r="BI97" s="594">
        <v>1.0500000000000001E-2</v>
      </c>
      <c r="BJ97" s="594">
        <v>1.6E-2</v>
      </c>
      <c r="BK97" s="594">
        <v>2.3E-2</v>
      </c>
      <c r="BL97" s="594">
        <v>2.4899999999999999E-2</v>
      </c>
      <c r="BM97" s="594">
        <v>2.0999999999999999E-3</v>
      </c>
      <c r="BN97" s="594">
        <v>0.29599999999999999</v>
      </c>
      <c r="BO97" s="594">
        <v>0.06</v>
      </c>
      <c r="BP97" s="594">
        <v>0.312</v>
      </c>
      <c r="BQ97" s="594">
        <v>0.21199999999999999</v>
      </c>
      <c r="BR97" s="594">
        <v>0.18</v>
      </c>
      <c r="BS97" s="594">
        <v>0.1111</v>
      </c>
      <c r="BT97" s="594">
        <v>0.18</v>
      </c>
      <c r="BU97" s="594">
        <v>0.221</v>
      </c>
      <c r="BV97" s="594">
        <v>0.17</v>
      </c>
      <c r="BW97" s="594">
        <v>0.23</v>
      </c>
      <c r="BX97" s="594">
        <v>0.13</v>
      </c>
      <c r="BY97" s="594">
        <v>0.32900000000000001</v>
      </c>
      <c r="BZ97" s="594">
        <v>8.6999999999999994E-2</v>
      </c>
      <c r="CA97" s="594">
        <v>0</v>
      </c>
      <c r="CB97" s="593">
        <v>0.25</v>
      </c>
      <c r="CC97" s="594">
        <v>0.3</v>
      </c>
      <c r="CD97" s="594">
        <v>0.13</v>
      </c>
      <c r="CE97" s="594">
        <v>0.3</v>
      </c>
      <c r="CF97" s="594">
        <v>0.14599999999999999</v>
      </c>
      <c r="CG97" s="594">
        <v>0.22</v>
      </c>
      <c r="CH97" s="594">
        <v>0.27</v>
      </c>
      <c r="CI97" s="594">
        <v>0.25</v>
      </c>
      <c r="CJ97" s="594">
        <v>0</v>
      </c>
      <c r="CK97" s="594">
        <v>5.2499999999999998E-2</v>
      </c>
      <c r="CL97" s="594">
        <v>0.107</v>
      </c>
      <c r="CM97" s="594">
        <v>0.188</v>
      </c>
      <c r="CN97" s="594">
        <v>0.21</v>
      </c>
      <c r="CO97" s="594">
        <v>0.1118</v>
      </c>
      <c r="CP97" s="594">
        <v>0.2</v>
      </c>
      <c r="CQ97" s="594">
        <v>0.35</v>
      </c>
      <c r="CR97" s="594">
        <v>0.35</v>
      </c>
      <c r="CS97" s="597"/>
      <c r="CT97" s="591">
        <v>2.9000000000000001E-2</v>
      </c>
      <c r="CU97" s="1233">
        <v>8.2719999999999998E-3</v>
      </c>
      <c r="CV97" s="591">
        <v>0.01</v>
      </c>
      <c r="CW97" s="915">
        <v>9.7069999999999986E-3</v>
      </c>
      <c r="CX97" s="591">
        <v>5.5E-2</v>
      </c>
      <c r="CY97" s="1234"/>
      <c r="CZ97" s="591">
        <v>3.7999999999999999E-2</v>
      </c>
      <c r="DA97" s="591">
        <v>0.03</v>
      </c>
      <c r="DB97" s="591">
        <v>1.9E-2</v>
      </c>
      <c r="DC97" s="591"/>
      <c r="DD97" s="591">
        <v>3.4000000000000002E-2</v>
      </c>
      <c r="DE97" s="591">
        <v>4.2000000000000003E-2</v>
      </c>
      <c r="DF97" s="591">
        <v>1.7000000000000001E-2</v>
      </c>
      <c r="DG97" s="591">
        <v>1.4999999999999999E-2</v>
      </c>
      <c r="DH97" s="591">
        <v>4.5999999999999999E-2</v>
      </c>
      <c r="DI97" s="915">
        <v>1.2933999999999999E-2</v>
      </c>
      <c r="DJ97" s="1234"/>
      <c r="DK97" s="591"/>
      <c r="DL97" s="591">
        <v>3.7999999999999999E-2</v>
      </c>
      <c r="DM97" s="591">
        <v>0.03</v>
      </c>
      <c r="DN97" s="915">
        <v>6.6400000000000001E-3</v>
      </c>
      <c r="DO97" s="591">
        <v>2.4E-2</v>
      </c>
      <c r="DP97" s="591">
        <v>7.0000000000000001E-3</v>
      </c>
      <c r="DQ97" s="1234"/>
      <c r="DR97" s="591"/>
      <c r="DS97" s="1234"/>
      <c r="DT97" s="591">
        <v>2.7E-2</v>
      </c>
      <c r="DU97" s="591">
        <v>2.1999999999999999E-2</v>
      </c>
      <c r="DV97" s="591">
        <v>3.1E-2</v>
      </c>
      <c r="DW97" s="591">
        <v>6.6000000000000003E-2</v>
      </c>
      <c r="DX97" s="591">
        <v>6.0999999999999999E-2</v>
      </c>
      <c r="DY97" s="591">
        <v>1.7000000000000001E-2</v>
      </c>
      <c r="DZ97" s="916"/>
      <c r="EA97" s="1439"/>
    </row>
    <row r="98" spans="1:131" x14ac:dyDescent="0.3">
      <c r="A98" s="935">
        <v>41974</v>
      </c>
      <c r="B98" s="589">
        <v>0.1</v>
      </c>
      <c r="C98" s="590">
        <v>0.06</v>
      </c>
      <c r="D98" s="590">
        <v>0.04</v>
      </c>
      <c r="E98" s="590">
        <v>0.05</v>
      </c>
      <c r="F98" s="591">
        <v>0.1263</v>
      </c>
      <c r="G98" s="589">
        <v>0.1111</v>
      </c>
      <c r="H98" s="589">
        <v>0.06</v>
      </c>
      <c r="I98" s="590">
        <v>0.08</v>
      </c>
      <c r="J98" s="591">
        <v>0.115</v>
      </c>
      <c r="K98" s="590">
        <v>0.15</v>
      </c>
      <c r="L98" s="589">
        <v>4.2500000000000003E-2</v>
      </c>
      <c r="M98" s="598">
        <v>0.72</v>
      </c>
      <c r="N98" s="590">
        <v>0.1</v>
      </c>
      <c r="O98" s="589">
        <v>0</v>
      </c>
      <c r="P98" s="593">
        <v>7.7499999999999999E-2</v>
      </c>
      <c r="Q98" s="589">
        <v>0.105</v>
      </c>
      <c r="R98" s="590">
        <v>0.2</v>
      </c>
      <c r="S98" s="589">
        <v>2.2499999999999999E-2</v>
      </c>
      <c r="T98" s="594">
        <v>0.107</v>
      </c>
      <c r="U98" s="591">
        <v>6.2E-2</v>
      </c>
      <c r="V98" s="589">
        <v>0.16</v>
      </c>
      <c r="W98" s="595">
        <v>0.105</v>
      </c>
      <c r="X98" s="590">
        <v>0</v>
      </c>
      <c r="Y98" s="590">
        <v>0.1</v>
      </c>
      <c r="Z98" s="589">
        <v>0.1875</v>
      </c>
      <c r="AA98" s="589">
        <v>0</v>
      </c>
      <c r="AB98" s="590">
        <v>0.2</v>
      </c>
      <c r="AC98" s="590">
        <v>0.1</v>
      </c>
      <c r="AD98" s="590">
        <v>0.1</v>
      </c>
      <c r="AE98" s="590">
        <v>0.2</v>
      </c>
      <c r="AF98" s="590">
        <v>0.1</v>
      </c>
      <c r="AG98" s="590">
        <v>0</v>
      </c>
      <c r="AH98" s="594">
        <v>1.34E-2</v>
      </c>
      <c r="AI98" s="594">
        <v>2.1899999999999999E-2</v>
      </c>
      <c r="AJ98" s="594">
        <v>1.21E-2</v>
      </c>
      <c r="AK98" s="594">
        <v>1.95E-2</v>
      </c>
      <c r="AL98" s="594">
        <v>1.8599999999999998E-2</v>
      </c>
      <c r="AM98" s="596"/>
      <c r="AN98" s="594">
        <v>1.8200000000000001E-2</v>
      </c>
      <c r="AO98" s="594">
        <v>1.41E-2</v>
      </c>
      <c r="AP98" s="594">
        <v>1.17E-2</v>
      </c>
      <c r="AQ98" s="594">
        <v>1.54E-2</v>
      </c>
      <c r="AR98" s="594">
        <v>1.14E-2</v>
      </c>
      <c r="AS98" s="596"/>
      <c r="AT98" s="594">
        <v>-2.0999999999999999E-3</v>
      </c>
      <c r="AU98" s="594">
        <v>1.2999999999999999E-2</v>
      </c>
      <c r="AV98" s="593">
        <v>1.5599999999999999E-2</v>
      </c>
      <c r="AW98" s="594">
        <v>7.4999999999999997E-3</v>
      </c>
      <c r="AX98" s="594">
        <v>1.3100000000000001E-2</v>
      </c>
      <c r="AY98" s="591">
        <v>-2.0000000000000001E-4</v>
      </c>
      <c r="AZ98" s="594">
        <v>1.15E-2</v>
      </c>
      <c r="BA98" s="594">
        <v>1.47E-2</v>
      </c>
      <c r="BB98" s="594">
        <v>1.21E-2</v>
      </c>
      <c r="BC98" s="594">
        <v>8.9999999999999993E-3</v>
      </c>
      <c r="BD98" s="594">
        <v>4.5999999999999999E-3</v>
      </c>
      <c r="BE98" s="594">
        <v>1.1599999999999999E-2</v>
      </c>
      <c r="BF98" s="594">
        <v>1.5599999999999999E-2</v>
      </c>
      <c r="BG98" s="594">
        <v>1.7299999999999999E-2</v>
      </c>
      <c r="BH98" s="594">
        <v>1.37E-2</v>
      </c>
      <c r="BI98" s="594">
        <v>1.0500000000000001E-2</v>
      </c>
      <c r="BJ98" s="594">
        <v>1.6E-2</v>
      </c>
      <c r="BK98" s="594">
        <v>2.3E-2</v>
      </c>
      <c r="BL98" s="594">
        <v>2.4899999999999999E-2</v>
      </c>
      <c r="BM98" s="594">
        <v>2.0999999999999999E-3</v>
      </c>
      <c r="BN98" s="594">
        <v>0.29599999999999999</v>
      </c>
      <c r="BO98" s="594">
        <v>0.06</v>
      </c>
      <c r="BP98" s="594">
        <v>0.312</v>
      </c>
      <c r="BQ98" s="594">
        <v>0.21199999999999999</v>
      </c>
      <c r="BR98" s="594">
        <v>0.18</v>
      </c>
      <c r="BS98" s="594">
        <v>0.1111</v>
      </c>
      <c r="BT98" s="594">
        <v>0.18</v>
      </c>
      <c r="BU98" s="594">
        <v>0.221</v>
      </c>
      <c r="BV98" s="594">
        <v>0.17</v>
      </c>
      <c r="BW98" s="594">
        <v>0.23</v>
      </c>
      <c r="BX98" s="594">
        <v>0.13</v>
      </c>
      <c r="BY98" s="594">
        <v>0.32900000000000001</v>
      </c>
      <c r="BZ98" s="594">
        <v>8.6999999999999994E-2</v>
      </c>
      <c r="CA98" s="594">
        <v>0</v>
      </c>
      <c r="CB98" s="593">
        <v>0.25</v>
      </c>
      <c r="CC98" s="594">
        <v>0.3</v>
      </c>
      <c r="CD98" s="594">
        <v>0.13</v>
      </c>
      <c r="CE98" s="594">
        <v>0.3</v>
      </c>
      <c r="CF98" s="594">
        <v>0.14599999999999999</v>
      </c>
      <c r="CG98" s="594">
        <v>0.22</v>
      </c>
      <c r="CH98" s="594">
        <v>0.27</v>
      </c>
      <c r="CI98" s="594">
        <v>0.25</v>
      </c>
      <c r="CJ98" s="594">
        <v>0</v>
      </c>
      <c r="CK98" s="594">
        <v>5.2499999999999998E-2</v>
      </c>
      <c r="CL98" s="594">
        <v>0.107</v>
      </c>
      <c r="CM98" s="594">
        <v>0.188</v>
      </c>
      <c r="CN98" s="594">
        <v>0.21</v>
      </c>
      <c r="CO98" s="594">
        <v>0.1118</v>
      </c>
      <c r="CP98" s="594">
        <v>0.2</v>
      </c>
      <c r="CQ98" s="594">
        <v>0.35</v>
      </c>
      <c r="CR98" s="594">
        <v>0.35</v>
      </c>
      <c r="CS98" s="597"/>
      <c r="CT98" s="591">
        <v>2.9000000000000001E-2</v>
      </c>
      <c r="CU98" s="1233">
        <v>8.2719999999999998E-3</v>
      </c>
      <c r="CV98" s="591">
        <v>0.01</v>
      </c>
      <c r="CW98" s="915">
        <v>9.7069999999999986E-3</v>
      </c>
      <c r="CX98" s="591">
        <v>5.5E-2</v>
      </c>
      <c r="CY98" s="1234"/>
      <c r="CZ98" s="591">
        <v>3.7999999999999999E-2</v>
      </c>
      <c r="DA98" s="591">
        <v>0.03</v>
      </c>
      <c r="DB98" s="591">
        <v>1.9E-2</v>
      </c>
      <c r="DC98" s="591"/>
      <c r="DD98" s="591">
        <v>3.4000000000000002E-2</v>
      </c>
      <c r="DE98" s="591">
        <v>4.2000000000000003E-2</v>
      </c>
      <c r="DF98" s="591">
        <v>1.7000000000000001E-2</v>
      </c>
      <c r="DG98" s="591">
        <v>1.4999999999999999E-2</v>
      </c>
      <c r="DH98" s="591">
        <v>4.5999999999999999E-2</v>
      </c>
      <c r="DI98" s="915">
        <v>1.2933999999999999E-2</v>
      </c>
      <c r="DJ98" s="1234"/>
      <c r="DK98" s="591"/>
      <c r="DL98" s="591">
        <v>3.7999999999999999E-2</v>
      </c>
      <c r="DM98" s="591">
        <v>0.03</v>
      </c>
      <c r="DN98" s="915">
        <v>6.6400000000000001E-3</v>
      </c>
      <c r="DO98" s="591">
        <v>2.4E-2</v>
      </c>
      <c r="DP98" s="591">
        <v>7.0000000000000001E-3</v>
      </c>
      <c r="DQ98" s="1234"/>
      <c r="DR98" s="591"/>
      <c r="DS98" s="1234"/>
      <c r="DT98" s="591">
        <v>2.7E-2</v>
      </c>
      <c r="DU98" s="591">
        <v>2.1999999999999999E-2</v>
      </c>
      <c r="DV98" s="591">
        <v>3.1E-2</v>
      </c>
      <c r="DW98" s="591">
        <v>6.6000000000000003E-2</v>
      </c>
      <c r="DX98" s="591">
        <v>6.0999999999999999E-2</v>
      </c>
      <c r="DY98" s="591">
        <v>1.7000000000000001E-2</v>
      </c>
      <c r="DZ98" s="916"/>
      <c r="EA98" s="1439"/>
    </row>
    <row r="99" spans="1:131" x14ac:dyDescent="0.3">
      <c r="A99" s="935">
        <v>42005</v>
      </c>
      <c r="B99" s="589">
        <v>0.12</v>
      </c>
      <c r="C99" s="590">
        <v>0.06</v>
      </c>
      <c r="D99" s="590">
        <v>0.04</v>
      </c>
      <c r="E99" s="590">
        <v>0.05</v>
      </c>
      <c r="F99" s="591">
        <v>0.1263</v>
      </c>
      <c r="G99" s="589">
        <v>0.1111</v>
      </c>
      <c r="H99" s="589">
        <v>0.06</v>
      </c>
      <c r="I99" s="590">
        <v>0.08</v>
      </c>
      <c r="J99" s="591">
        <v>0.115</v>
      </c>
      <c r="K99" s="590">
        <v>0.15</v>
      </c>
      <c r="L99" s="589">
        <v>4.2500000000000003E-2</v>
      </c>
      <c r="M99" s="598">
        <v>0.72</v>
      </c>
      <c r="N99" s="590">
        <v>0.1</v>
      </c>
      <c r="O99" s="589">
        <v>0</v>
      </c>
      <c r="P99" s="593">
        <v>7.7499999999999999E-2</v>
      </c>
      <c r="Q99" s="589">
        <v>0.105</v>
      </c>
      <c r="R99" s="590">
        <v>0.2</v>
      </c>
      <c r="S99" s="589">
        <v>2.2499999999999999E-2</v>
      </c>
      <c r="T99" s="594">
        <v>0.107</v>
      </c>
      <c r="U99" s="591">
        <v>6.2E-2</v>
      </c>
      <c r="V99" s="589">
        <v>0.16</v>
      </c>
      <c r="W99" s="589">
        <v>0.11</v>
      </c>
      <c r="X99" s="590">
        <v>0</v>
      </c>
      <c r="Y99" s="590">
        <v>0.1</v>
      </c>
      <c r="Z99" s="589">
        <v>0.1875</v>
      </c>
      <c r="AA99" s="589">
        <v>0</v>
      </c>
      <c r="AB99" s="590">
        <v>0.2</v>
      </c>
      <c r="AC99" s="590">
        <v>0.1</v>
      </c>
      <c r="AD99" s="590">
        <v>0.1</v>
      </c>
      <c r="AE99" s="590">
        <v>0.2</v>
      </c>
      <c r="AF99" s="590">
        <v>0.1</v>
      </c>
      <c r="AG99" s="590">
        <v>0</v>
      </c>
      <c r="AH99" s="594">
        <v>1.34E-2</v>
      </c>
      <c r="AI99" s="594">
        <v>2.1899999999999999E-2</v>
      </c>
      <c r="AJ99" s="594">
        <v>1.21E-2</v>
      </c>
      <c r="AK99" s="594">
        <v>1.95E-2</v>
      </c>
      <c r="AL99" s="594">
        <v>1.8599999999999998E-2</v>
      </c>
      <c r="AM99" s="596"/>
      <c r="AN99" s="594">
        <v>1.8200000000000001E-2</v>
      </c>
      <c r="AO99" s="594">
        <v>1.41E-2</v>
      </c>
      <c r="AP99" s="594">
        <v>1.17E-2</v>
      </c>
      <c r="AQ99" s="594">
        <v>1.54E-2</v>
      </c>
      <c r="AR99" s="594">
        <v>1.14E-2</v>
      </c>
      <c r="AS99" s="596"/>
      <c r="AT99" s="594">
        <v>-2.0999999999999999E-3</v>
      </c>
      <c r="AU99" s="594">
        <v>1.2999999999999999E-2</v>
      </c>
      <c r="AV99" s="593">
        <v>1.5599999999999999E-2</v>
      </c>
      <c r="AW99" s="594">
        <v>7.4999999999999997E-3</v>
      </c>
      <c r="AX99" s="594">
        <v>1.3100000000000001E-2</v>
      </c>
      <c r="AY99" s="591">
        <v>-2.0000000000000001E-4</v>
      </c>
      <c r="AZ99" s="594">
        <v>1.15E-2</v>
      </c>
      <c r="BA99" s="594">
        <v>1.47E-2</v>
      </c>
      <c r="BB99" s="594">
        <v>1.21E-2</v>
      </c>
      <c r="BC99" s="594">
        <v>8.9999999999999993E-3</v>
      </c>
      <c r="BD99" s="594">
        <v>4.5999999999999999E-3</v>
      </c>
      <c r="BE99" s="594">
        <v>1.1599999999999999E-2</v>
      </c>
      <c r="BF99" s="594">
        <v>1.5599999999999999E-2</v>
      </c>
      <c r="BG99" s="594">
        <v>1.7299999999999999E-2</v>
      </c>
      <c r="BH99" s="594">
        <v>1.37E-2</v>
      </c>
      <c r="BI99" s="594">
        <v>1.0500000000000001E-2</v>
      </c>
      <c r="BJ99" s="594">
        <v>1.6E-2</v>
      </c>
      <c r="BK99" s="594">
        <v>2.3E-2</v>
      </c>
      <c r="BL99" s="594">
        <v>2.4899999999999999E-2</v>
      </c>
      <c r="BM99" s="594">
        <v>2.0999999999999999E-3</v>
      </c>
      <c r="BN99" s="594">
        <v>0.29599999999999999</v>
      </c>
      <c r="BO99" s="594">
        <v>0.06</v>
      </c>
      <c r="BP99" s="594">
        <v>0.312</v>
      </c>
      <c r="BQ99" s="594">
        <v>0.21199999999999999</v>
      </c>
      <c r="BR99" s="594">
        <v>0.18</v>
      </c>
      <c r="BS99" s="594">
        <v>0.1111</v>
      </c>
      <c r="BT99" s="594">
        <v>0.18</v>
      </c>
      <c r="BU99" s="594">
        <v>0.221</v>
      </c>
      <c r="BV99" s="594">
        <v>0.17</v>
      </c>
      <c r="BW99" s="594">
        <v>0.23</v>
      </c>
      <c r="BX99" s="594">
        <v>0.13</v>
      </c>
      <c r="BY99" s="594">
        <v>0.32900000000000001</v>
      </c>
      <c r="BZ99" s="594">
        <v>8.6999999999999994E-2</v>
      </c>
      <c r="CA99" s="594">
        <v>0</v>
      </c>
      <c r="CB99" s="593">
        <v>0.25</v>
      </c>
      <c r="CC99" s="594">
        <v>0.3</v>
      </c>
      <c r="CD99" s="594">
        <v>0.13</v>
      </c>
      <c r="CE99" s="594">
        <v>0.3</v>
      </c>
      <c r="CF99" s="594">
        <v>0.14599999999999999</v>
      </c>
      <c r="CG99" s="594">
        <v>0.22</v>
      </c>
      <c r="CH99" s="594">
        <v>0.27</v>
      </c>
      <c r="CI99" s="594">
        <v>0.25</v>
      </c>
      <c r="CJ99" s="594">
        <v>0</v>
      </c>
      <c r="CK99" s="594">
        <v>5.2499999999999998E-2</v>
      </c>
      <c r="CL99" s="594">
        <v>0.107</v>
      </c>
      <c r="CM99" s="594">
        <v>0.188</v>
      </c>
      <c r="CN99" s="594">
        <v>0.21</v>
      </c>
      <c r="CO99" s="594">
        <v>0.1118</v>
      </c>
      <c r="CP99" s="594">
        <v>0.2</v>
      </c>
      <c r="CQ99" s="594">
        <v>0.35</v>
      </c>
      <c r="CR99" s="594">
        <v>0.35</v>
      </c>
      <c r="CS99" s="597"/>
      <c r="CT99" s="591">
        <v>2.9000000000000001E-2</v>
      </c>
      <c r="CU99" s="1233">
        <v>8.2719999999999998E-3</v>
      </c>
      <c r="CV99" s="591">
        <v>0.01</v>
      </c>
      <c r="CW99" s="915">
        <v>9.7069999999999986E-3</v>
      </c>
      <c r="CX99" s="591">
        <v>5.5E-2</v>
      </c>
      <c r="CY99" s="1234"/>
      <c r="CZ99" s="591">
        <v>3.7999999999999999E-2</v>
      </c>
      <c r="DA99" s="591">
        <v>0.03</v>
      </c>
      <c r="DB99" s="591">
        <v>1.9E-2</v>
      </c>
      <c r="DC99" s="591"/>
      <c r="DD99" s="591">
        <v>3.4000000000000002E-2</v>
      </c>
      <c r="DE99" s="591">
        <v>4.2000000000000003E-2</v>
      </c>
      <c r="DF99" s="591">
        <v>1.7000000000000001E-2</v>
      </c>
      <c r="DG99" s="591">
        <v>1.4999999999999999E-2</v>
      </c>
      <c r="DH99" s="591">
        <v>4.5999999999999999E-2</v>
      </c>
      <c r="DI99" s="915">
        <v>1.2933999999999999E-2</v>
      </c>
      <c r="DJ99" s="1234"/>
      <c r="DK99" s="591"/>
      <c r="DL99" s="591">
        <v>3.7999999999999999E-2</v>
      </c>
      <c r="DM99" s="591">
        <v>0.03</v>
      </c>
      <c r="DN99" s="915">
        <v>6.6400000000000001E-3</v>
      </c>
      <c r="DO99" s="591">
        <v>2.4E-2</v>
      </c>
      <c r="DP99" s="591">
        <v>7.0000000000000001E-3</v>
      </c>
      <c r="DQ99" s="1234"/>
      <c r="DR99" s="591"/>
      <c r="DS99" s="1234"/>
      <c r="DT99" s="591">
        <v>2.4E-2</v>
      </c>
      <c r="DU99" s="591">
        <v>2.1999999999999999E-2</v>
      </c>
      <c r="DV99" s="591">
        <v>3.1E-2</v>
      </c>
      <c r="DW99" s="591">
        <v>6.6000000000000003E-2</v>
      </c>
      <c r="DX99" s="591">
        <v>6.0999999999999999E-2</v>
      </c>
      <c r="DY99" s="591">
        <v>1.7000000000000001E-2</v>
      </c>
      <c r="DZ99" s="916"/>
      <c r="EA99" s="1439"/>
    </row>
    <row r="100" spans="1:131" x14ac:dyDescent="0.3">
      <c r="A100" s="935">
        <v>42036</v>
      </c>
      <c r="B100" s="589">
        <v>0.12</v>
      </c>
      <c r="C100" s="590">
        <v>0.06</v>
      </c>
      <c r="D100" s="590">
        <v>0.04</v>
      </c>
      <c r="E100" s="590">
        <v>0.05</v>
      </c>
      <c r="F100" s="591">
        <v>0.1263</v>
      </c>
      <c r="G100" s="589">
        <v>0.1111</v>
      </c>
      <c r="H100" s="589">
        <v>0.06</v>
      </c>
      <c r="I100" s="590">
        <v>0.08</v>
      </c>
      <c r="J100" s="591">
        <v>0.115</v>
      </c>
      <c r="K100" s="590">
        <v>0.15</v>
      </c>
      <c r="L100" s="589">
        <v>4.2500000000000003E-2</v>
      </c>
      <c r="M100" s="598">
        <v>0.72</v>
      </c>
      <c r="N100" s="590">
        <v>0.1</v>
      </c>
      <c r="O100" s="589">
        <v>0</v>
      </c>
      <c r="P100" s="593">
        <v>7.7499999999999999E-2</v>
      </c>
      <c r="Q100" s="589">
        <v>0.105</v>
      </c>
      <c r="R100" s="590">
        <v>0.2</v>
      </c>
      <c r="S100" s="589">
        <v>2.2499999999999999E-2</v>
      </c>
      <c r="T100" s="594">
        <v>0.107</v>
      </c>
      <c r="U100" s="591">
        <v>6.2E-2</v>
      </c>
      <c r="V100" s="589">
        <v>0.16</v>
      </c>
      <c r="W100" s="589">
        <v>0.11</v>
      </c>
      <c r="X100" s="590">
        <v>0</v>
      </c>
      <c r="Y100" s="590">
        <v>0.1</v>
      </c>
      <c r="Z100" s="589">
        <v>0.1875</v>
      </c>
      <c r="AA100" s="589">
        <v>0</v>
      </c>
      <c r="AB100" s="590">
        <v>0.2</v>
      </c>
      <c r="AC100" s="590">
        <v>0.1</v>
      </c>
      <c r="AD100" s="590">
        <v>0.1</v>
      </c>
      <c r="AE100" s="590">
        <v>0.2</v>
      </c>
      <c r="AF100" s="590">
        <v>0.1</v>
      </c>
      <c r="AG100" s="590">
        <v>0</v>
      </c>
      <c r="AH100" s="594">
        <v>1.34E-2</v>
      </c>
      <c r="AI100" s="594">
        <v>2.1899999999999999E-2</v>
      </c>
      <c r="AJ100" s="594">
        <v>1.21E-2</v>
      </c>
      <c r="AK100" s="594">
        <v>1.95E-2</v>
      </c>
      <c r="AL100" s="594">
        <v>1.8599999999999998E-2</v>
      </c>
      <c r="AM100" s="596"/>
      <c r="AN100" s="594">
        <v>1.8200000000000001E-2</v>
      </c>
      <c r="AO100" s="594">
        <v>1.41E-2</v>
      </c>
      <c r="AP100" s="594">
        <v>1.17E-2</v>
      </c>
      <c r="AQ100" s="594">
        <v>1.54E-2</v>
      </c>
      <c r="AR100" s="594">
        <v>1.14E-2</v>
      </c>
      <c r="AS100" s="596"/>
      <c r="AT100" s="594">
        <v>-2.0999999999999999E-3</v>
      </c>
      <c r="AU100" s="594">
        <v>1.2999999999999999E-2</v>
      </c>
      <c r="AV100" s="593">
        <v>1.5599999999999999E-2</v>
      </c>
      <c r="AW100" s="594">
        <v>7.4999999999999997E-3</v>
      </c>
      <c r="AX100" s="594">
        <v>1.3100000000000001E-2</v>
      </c>
      <c r="AY100" s="591">
        <v>-2.0000000000000001E-4</v>
      </c>
      <c r="AZ100" s="594">
        <v>1.15E-2</v>
      </c>
      <c r="BA100" s="594">
        <v>1.47E-2</v>
      </c>
      <c r="BB100" s="594">
        <v>1.21E-2</v>
      </c>
      <c r="BC100" s="594">
        <v>8.9999999999999993E-3</v>
      </c>
      <c r="BD100" s="594">
        <v>4.5999999999999999E-3</v>
      </c>
      <c r="BE100" s="594">
        <v>1.1599999999999999E-2</v>
      </c>
      <c r="BF100" s="594">
        <v>1.5599999999999999E-2</v>
      </c>
      <c r="BG100" s="594">
        <v>1.7299999999999999E-2</v>
      </c>
      <c r="BH100" s="594">
        <v>1.37E-2</v>
      </c>
      <c r="BI100" s="594">
        <v>1.0500000000000001E-2</v>
      </c>
      <c r="BJ100" s="594">
        <v>1.6E-2</v>
      </c>
      <c r="BK100" s="594">
        <v>2.3E-2</v>
      </c>
      <c r="BL100" s="594">
        <v>2.4899999999999999E-2</v>
      </c>
      <c r="BM100" s="594">
        <v>2.0999999999999999E-3</v>
      </c>
      <c r="BN100" s="594">
        <v>0.29599999999999999</v>
      </c>
      <c r="BO100" s="594">
        <v>0.06</v>
      </c>
      <c r="BP100" s="594">
        <v>0.312</v>
      </c>
      <c r="BQ100" s="594">
        <v>0.21199999999999999</v>
      </c>
      <c r="BR100" s="594">
        <v>0.18</v>
      </c>
      <c r="BS100" s="594">
        <v>0.1111</v>
      </c>
      <c r="BT100" s="594">
        <v>0.18</v>
      </c>
      <c r="BU100" s="594">
        <v>0.221</v>
      </c>
      <c r="BV100" s="594">
        <v>0.17</v>
      </c>
      <c r="BW100" s="594">
        <v>0.23</v>
      </c>
      <c r="BX100" s="594">
        <v>0.13</v>
      </c>
      <c r="BY100" s="594">
        <v>0.32900000000000001</v>
      </c>
      <c r="BZ100" s="594">
        <v>8.6999999999999994E-2</v>
      </c>
      <c r="CA100" s="594">
        <v>0</v>
      </c>
      <c r="CB100" s="593">
        <v>0.25</v>
      </c>
      <c r="CC100" s="594">
        <v>0.3</v>
      </c>
      <c r="CD100" s="594">
        <v>0.13</v>
      </c>
      <c r="CE100" s="594">
        <v>0.3</v>
      </c>
      <c r="CF100" s="594">
        <v>0.14599999999999999</v>
      </c>
      <c r="CG100" s="594">
        <v>0.22</v>
      </c>
      <c r="CH100" s="594">
        <v>0.27</v>
      </c>
      <c r="CI100" s="594">
        <v>0.25</v>
      </c>
      <c r="CJ100" s="594">
        <v>0</v>
      </c>
      <c r="CK100" s="594">
        <v>5.2499999999999998E-2</v>
      </c>
      <c r="CL100" s="594">
        <v>0.107</v>
      </c>
      <c r="CM100" s="594">
        <v>0.188</v>
      </c>
      <c r="CN100" s="594">
        <v>0.21</v>
      </c>
      <c r="CO100" s="594">
        <v>0.1118</v>
      </c>
      <c r="CP100" s="594">
        <v>0.2</v>
      </c>
      <c r="CQ100" s="594">
        <v>0.35</v>
      </c>
      <c r="CR100" s="594">
        <v>0.35</v>
      </c>
      <c r="CS100" s="597"/>
      <c r="CT100" s="591">
        <v>2.1000000000000001E-2</v>
      </c>
      <c r="CU100" s="1233">
        <v>8.2719999999999998E-3</v>
      </c>
      <c r="CV100" s="591">
        <v>0</v>
      </c>
      <c r="CW100" s="915">
        <v>9.7069999999999986E-3</v>
      </c>
      <c r="CX100" s="591">
        <v>4.2000000000000003E-2</v>
      </c>
      <c r="CY100" s="1234"/>
      <c r="CZ100" s="591">
        <v>2.7E-2</v>
      </c>
      <c r="DA100" s="591">
        <v>2.4E-2</v>
      </c>
      <c r="DB100" s="591">
        <v>1.9E-2</v>
      </c>
      <c r="DC100" s="591"/>
      <c r="DD100" s="591">
        <v>2.5999999999999999E-2</v>
      </c>
      <c r="DE100" s="591">
        <v>3.5000000000000003E-2</v>
      </c>
      <c r="DF100" s="591">
        <v>1.2E-2</v>
      </c>
      <c r="DG100" s="591">
        <v>2.1000000000000001E-2</v>
      </c>
      <c r="DH100" s="591">
        <v>3.6999999999999998E-2</v>
      </c>
      <c r="DI100" s="915">
        <v>1.2933999999999999E-2</v>
      </c>
      <c r="DJ100" s="1234"/>
      <c r="DK100" s="591"/>
      <c r="DL100" s="591">
        <v>2.9000000000000001E-2</v>
      </c>
      <c r="DM100" s="591">
        <v>2.7E-2</v>
      </c>
      <c r="DN100" s="915">
        <v>6.6400000000000001E-3</v>
      </c>
      <c r="DO100" s="591">
        <v>2.1000000000000001E-2</v>
      </c>
      <c r="DP100" s="591">
        <v>1.4E-2</v>
      </c>
      <c r="DQ100" s="1234"/>
      <c r="DR100" s="591"/>
      <c r="DS100" s="1234"/>
      <c r="DT100" s="591">
        <v>2.4E-2</v>
      </c>
      <c r="DU100" s="591">
        <v>1.9E-2</v>
      </c>
      <c r="DV100" s="591">
        <v>2.3E-2</v>
      </c>
      <c r="DW100" s="591">
        <v>4.8000000000000001E-2</v>
      </c>
      <c r="DX100" s="591">
        <v>5.1999999999999998E-2</v>
      </c>
      <c r="DY100" s="591">
        <v>1.2E-2</v>
      </c>
      <c r="DZ100" s="916"/>
      <c r="EA100" s="1439"/>
    </row>
    <row r="101" spans="1:131" x14ac:dyDescent="0.3">
      <c r="A101" s="935">
        <v>42064</v>
      </c>
      <c r="B101" s="589">
        <v>0.12</v>
      </c>
      <c r="C101" s="590">
        <v>0.06</v>
      </c>
      <c r="D101" s="590">
        <v>0.04</v>
      </c>
      <c r="E101" s="590">
        <v>0.05</v>
      </c>
      <c r="F101" s="591">
        <v>0.1263</v>
      </c>
      <c r="G101" s="589">
        <v>0.1111</v>
      </c>
      <c r="H101" s="589">
        <v>0.06</v>
      </c>
      <c r="I101" s="590">
        <v>0.08</v>
      </c>
      <c r="J101" s="591">
        <v>0.115</v>
      </c>
      <c r="K101" s="590">
        <v>0.15</v>
      </c>
      <c r="L101" s="589">
        <v>4.2500000000000003E-2</v>
      </c>
      <c r="M101" s="598">
        <v>0.72</v>
      </c>
      <c r="N101" s="590">
        <v>0.1</v>
      </c>
      <c r="O101" s="589">
        <v>0</v>
      </c>
      <c r="P101" s="593">
        <v>7.7499999999999999E-2</v>
      </c>
      <c r="Q101" s="589">
        <v>0.105</v>
      </c>
      <c r="R101" s="590">
        <v>0.2</v>
      </c>
      <c r="S101" s="589">
        <v>2.2499999999999999E-2</v>
      </c>
      <c r="T101" s="594">
        <v>0.107</v>
      </c>
      <c r="U101" s="591">
        <v>6.2E-2</v>
      </c>
      <c r="V101" s="589">
        <v>0.16</v>
      </c>
      <c r="W101" s="589">
        <v>0.11</v>
      </c>
      <c r="X101" s="590">
        <v>0</v>
      </c>
      <c r="Y101" s="590">
        <v>0.1</v>
      </c>
      <c r="Z101" s="589">
        <v>0.1875</v>
      </c>
      <c r="AA101" s="589">
        <v>0</v>
      </c>
      <c r="AB101" s="590">
        <v>0.2</v>
      </c>
      <c r="AC101" s="590">
        <v>0.1</v>
      </c>
      <c r="AD101" s="590">
        <v>0.1</v>
      </c>
      <c r="AE101" s="590">
        <v>0.2</v>
      </c>
      <c r="AF101" s="590">
        <v>0.1</v>
      </c>
      <c r="AG101" s="590">
        <v>0</v>
      </c>
      <c r="AH101" s="594">
        <v>1.34E-2</v>
      </c>
      <c r="AI101" s="594">
        <v>2.1899999999999999E-2</v>
      </c>
      <c r="AJ101" s="594">
        <v>1.21E-2</v>
      </c>
      <c r="AK101" s="594">
        <v>1.95E-2</v>
      </c>
      <c r="AL101" s="594">
        <v>1.8599999999999998E-2</v>
      </c>
      <c r="AM101" s="596"/>
      <c r="AN101" s="594">
        <v>1.8200000000000001E-2</v>
      </c>
      <c r="AO101" s="594">
        <v>1.41E-2</v>
      </c>
      <c r="AP101" s="594">
        <v>1.17E-2</v>
      </c>
      <c r="AQ101" s="594">
        <v>1.54E-2</v>
      </c>
      <c r="AR101" s="594">
        <v>1.14E-2</v>
      </c>
      <c r="AS101" s="596"/>
      <c r="AT101" s="594">
        <v>-2.0999999999999999E-3</v>
      </c>
      <c r="AU101" s="594">
        <v>1.2999999999999999E-2</v>
      </c>
      <c r="AV101" s="593">
        <v>1.5599999999999999E-2</v>
      </c>
      <c r="AW101" s="594">
        <v>7.4999999999999997E-3</v>
      </c>
      <c r="AX101" s="594">
        <v>1.3100000000000001E-2</v>
      </c>
      <c r="AY101" s="591">
        <v>-2.0000000000000001E-4</v>
      </c>
      <c r="AZ101" s="594">
        <v>1.15E-2</v>
      </c>
      <c r="BA101" s="594">
        <v>1.47E-2</v>
      </c>
      <c r="BB101" s="594">
        <v>1.21E-2</v>
      </c>
      <c r="BC101" s="594">
        <v>8.9999999999999993E-3</v>
      </c>
      <c r="BD101" s="594">
        <v>4.5999999999999999E-3</v>
      </c>
      <c r="BE101" s="594">
        <v>1.1599999999999999E-2</v>
      </c>
      <c r="BF101" s="594">
        <v>1.5599999999999999E-2</v>
      </c>
      <c r="BG101" s="594">
        <v>1.7299999999999999E-2</v>
      </c>
      <c r="BH101" s="594">
        <v>1.37E-2</v>
      </c>
      <c r="BI101" s="594">
        <v>1.0500000000000001E-2</v>
      </c>
      <c r="BJ101" s="594">
        <v>1.6E-2</v>
      </c>
      <c r="BK101" s="594">
        <v>2.3E-2</v>
      </c>
      <c r="BL101" s="594">
        <v>2.4899999999999999E-2</v>
      </c>
      <c r="BM101" s="594">
        <v>2.0999999999999999E-3</v>
      </c>
      <c r="BN101" s="594">
        <v>0.29599999999999999</v>
      </c>
      <c r="BO101" s="594">
        <v>0.06</v>
      </c>
      <c r="BP101" s="594">
        <v>0.312</v>
      </c>
      <c r="BQ101" s="594">
        <v>0.21199999999999999</v>
      </c>
      <c r="BR101" s="594">
        <v>0.18</v>
      </c>
      <c r="BS101" s="594">
        <v>0.1111</v>
      </c>
      <c r="BT101" s="594">
        <v>0.18</v>
      </c>
      <c r="BU101" s="594">
        <v>0.221</v>
      </c>
      <c r="BV101" s="594">
        <v>0.17</v>
      </c>
      <c r="BW101" s="594">
        <v>0.23</v>
      </c>
      <c r="BX101" s="594">
        <v>0.13</v>
      </c>
      <c r="BY101" s="594">
        <v>0.32900000000000001</v>
      </c>
      <c r="BZ101" s="594">
        <v>8.6999999999999994E-2</v>
      </c>
      <c r="CA101" s="594">
        <v>0</v>
      </c>
      <c r="CB101" s="593">
        <v>0.25</v>
      </c>
      <c r="CC101" s="594">
        <v>0.3</v>
      </c>
      <c r="CD101" s="594">
        <v>0.13</v>
      </c>
      <c r="CE101" s="594">
        <v>0.3</v>
      </c>
      <c r="CF101" s="594">
        <v>0.14599999999999999</v>
      </c>
      <c r="CG101" s="594">
        <v>0.22</v>
      </c>
      <c r="CH101" s="594">
        <v>0.27</v>
      </c>
      <c r="CI101" s="594">
        <v>0.25</v>
      </c>
      <c r="CJ101" s="594">
        <v>0</v>
      </c>
      <c r="CK101" s="594">
        <v>5.2499999999999998E-2</v>
      </c>
      <c r="CL101" s="594">
        <v>0.107</v>
      </c>
      <c r="CM101" s="594">
        <v>0.188</v>
      </c>
      <c r="CN101" s="594">
        <v>0.21</v>
      </c>
      <c r="CO101" s="594">
        <v>0.1118</v>
      </c>
      <c r="CP101" s="594">
        <v>0.2</v>
      </c>
      <c r="CQ101" s="594">
        <v>0.35</v>
      </c>
      <c r="CR101" s="594">
        <v>0.35</v>
      </c>
      <c r="CS101" s="597"/>
      <c r="CT101" s="591">
        <v>2.1000000000000001E-2</v>
      </c>
      <c r="CU101" s="1233">
        <v>8.2719999999999998E-3</v>
      </c>
      <c r="CV101" s="591">
        <v>0</v>
      </c>
      <c r="CW101" s="915">
        <v>9.7069999999999986E-3</v>
      </c>
      <c r="CX101" s="591">
        <v>4.2000000000000003E-2</v>
      </c>
      <c r="CY101" s="1234"/>
      <c r="CZ101" s="591">
        <v>2.7E-2</v>
      </c>
      <c r="DA101" s="591">
        <v>2.4E-2</v>
      </c>
      <c r="DB101" s="591">
        <v>1.9E-2</v>
      </c>
      <c r="DC101" s="591"/>
      <c r="DD101" s="591">
        <v>2.5999999999999999E-2</v>
      </c>
      <c r="DE101" s="591">
        <v>3.5000000000000003E-2</v>
      </c>
      <c r="DF101" s="591">
        <v>1.2E-2</v>
      </c>
      <c r="DG101" s="591">
        <v>2.1000000000000001E-2</v>
      </c>
      <c r="DH101" s="591">
        <v>3.6999999999999998E-2</v>
      </c>
      <c r="DI101" s="915">
        <v>1.2933999999999999E-2</v>
      </c>
      <c r="DJ101" s="1234"/>
      <c r="DK101" s="591"/>
      <c r="DL101" s="591">
        <v>2.9000000000000001E-2</v>
      </c>
      <c r="DM101" s="591">
        <v>2.7E-2</v>
      </c>
      <c r="DN101" s="915">
        <v>6.6400000000000001E-3</v>
      </c>
      <c r="DO101" s="591">
        <v>2.1000000000000001E-2</v>
      </c>
      <c r="DP101" s="591">
        <v>1.4E-2</v>
      </c>
      <c r="DQ101" s="1234"/>
      <c r="DR101" s="591"/>
      <c r="DS101" s="1234"/>
      <c r="DT101" s="591">
        <v>2.4E-2</v>
      </c>
      <c r="DU101" s="591">
        <v>1.9E-2</v>
      </c>
      <c r="DV101" s="591">
        <v>2.3E-2</v>
      </c>
      <c r="DW101" s="591">
        <v>4.8000000000000001E-2</v>
      </c>
      <c r="DX101" s="591">
        <v>5.1999999999999998E-2</v>
      </c>
      <c r="DY101" s="591">
        <v>1.2E-2</v>
      </c>
      <c r="DZ101" s="916"/>
      <c r="EA101" s="1439"/>
    </row>
    <row r="102" spans="1:131" x14ac:dyDescent="0.3">
      <c r="A102" s="935">
        <v>42095</v>
      </c>
      <c r="B102" s="589">
        <v>0.12</v>
      </c>
      <c r="C102" s="590">
        <v>0.06</v>
      </c>
      <c r="D102" s="590">
        <v>0.04</v>
      </c>
      <c r="E102" s="590">
        <v>0.05</v>
      </c>
      <c r="F102" s="591">
        <v>0.1263</v>
      </c>
      <c r="G102" s="589">
        <v>0.1111</v>
      </c>
      <c r="H102" s="589">
        <v>0.06</v>
      </c>
      <c r="I102" s="590">
        <v>0.08</v>
      </c>
      <c r="J102" s="591">
        <v>0.115</v>
      </c>
      <c r="K102" s="590">
        <v>0.15</v>
      </c>
      <c r="L102" s="589">
        <v>4.2500000000000003E-2</v>
      </c>
      <c r="M102" s="598">
        <v>0.72</v>
      </c>
      <c r="N102" s="590">
        <v>0.1</v>
      </c>
      <c r="O102" s="589">
        <v>0</v>
      </c>
      <c r="P102" s="593">
        <v>7.7499999999999999E-2</v>
      </c>
      <c r="Q102" s="589">
        <v>0.105</v>
      </c>
      <c r="R102" s="590">
        <v>0.2</v>
      </c>
      <c r="S102" s="589">
        <v>2.2499999999999999E-2</v>
      </c>
      <c r="T102" s="594">
        <v>0.107</v>
      </c>
      <c r="U102" s="591">
        <v>6.2E-2</v>
      </c>
      <c r="V102" s="589">
        <v>0.16</v>
      </c>
      <c r="W102" s="589">
        <v>0.11</v>
      </c>
      <c r="X102" s="590">
        <v>0</v>
      </c>
      <c r="Y102" s="590">
        <v>0.1</v>
      </c>
      <c r="Z102" s="589">
        <v>0.1875</v>
      </c>
      <c r="AA102" s="589">
        <v>0</v>
      </c>
      <c r="AB102" s="590">
        <v>0.2</v>
      </c>
      <c r="AC102" s="590">
        <v>0.1</v>
      </c>
      <c r="AD102" s="590">
        <v>0.1</v>
      </c>
      <c r="AE102" s="590">
        <v>0.2</v>
      </c>
      <c r="AF102" s="590">
        <v>0.1</v>
      </c>
      <c r="AG102" s="590">
        <v>0</v>
      </c>
      <c r="AH102" s="594">
        <v>1.34E-2</v>
      </c>
      <c r="AI102" s="594">
        <v>2.1899999999999999E-2</v>
      </c>
      <c r="AJ102" s="594">
        <v>1.21E-2</v>
      </c>
      <c r="AK102" s="594">
        <v>1.95E-2</v>
      </c>
      <c r="AL102" s="594">
        <v>1.8599999999999998E-2</v>
      </c>
      <c r="AM102" s="596"/>
      <c r="AN102" s="594">
        <v>1.8200000000000001E-2</v>
      </c>
      <c r="AO102" s="594">
        <v>1.41E-2</v>
      </c>
      <c r="AP102" s="594">
        <v>1.17E-2</v>
      </c>
      <c r="AQ102" s="594">
        <v>1.54E-2</v>
      </c>
      <c r="AR102" s="594">
        <v>1.0699999999999999E-2</v>
      </c>
      <c r="AS102" s="596"/>
      <c r="AT102" s="594">
        <v>-1.8E-3</v>
      </c>
      <c r="AU102" s="594">
        <v>1.2999999999999999E-2</v>
      </c>
      <c r="AV102" s="593">
        <v>1.17E-2</v>
      </c>
      <c r="AW102" s="594">
        <v>6.8999999999999999E-3</v>
      </c>
      <c r="AX102" s="594">
        <v>1.3100000000000001E-2</v>
      </c>
      <c r="AY102" s="591">
        <v>4.6399999999999997E-2</v>
      </c>
      <c r="AZ102" s="594">
        <v>1.15E-2</v>
      </c>
      <c r="BA102" s="594">
        <v>1.47E-2</v>
      </c>
      <c r="BB102" s="594">
        <v>1.21E-2</v>
      </c>
      <c r="BC102" s="594">
        <v>7.7000000000000002E-3</v>
      </c>
      <c r="BD102" s="594">
        <v>4.5999999999999999E-3</v>
      </c>
      <c r="BE102" s="594">
        <v>1.1599999999999999E-2</v>
      </c>
      <c r="BF102" s="594">
        <v>1.5599999999999999E-2</v>
      </c>
      <c r="BG102" s="594">
        <v>1.7299999999999999E-2</v>
      </c>
      <c r="BH102" s="594">
        <v>1.37E-2</v>
      </c>
      <c r="BI102" s="594">
        <v>1.0500000000000001E-2</v>
      </c>
      <c r="BJ102" s="594">
        <v>1.6E-2</v>
      </c>
      <c r="BK102" s="594">
        <v>2.3E-2</v>
      </c>
      <c r="BL102" s="594">
        <v>2.4899999999999999E-2</v>
      </c>
      <c r="BM102" s="594">
        <v>1.6000000000000001E-3</v>
      </c>
      <c r="BN102" s="594">
        <v>0.29599999999999999</v>
      </c>
      <c r="BO102" s="594">
        <v>0.06</v>
      </c>
      <c r="BP102" s="594">
        <v>0.312</v>
      </c>
      <c r="BQ102" s="594">
        <v>0.21199999999999999</v>
      </c>
      <c r="BR102" s="594">
        <v>0.18</v>
      </c>
      <c r="BS102" s="594">
        <v>0.1111</v>
      </c>
      <c r="BT102" s="594">
        <v>0.18</v>
      </c>
      <c r="BU102" s="594">
        <v>0.221</v>
      </c>
      <c r="BV102" s="594">
        <v>0.17</v>
      </c>
      <c r="BW102" s="594">
        <v>0.23</v>
      </c>
      <c r="BX102" s="594">
        <v>0.13</v>
      </c>
      <c r="BY102" s="594">
        <v>0.32900000000000001</v>
      </c>
      <c r="BZ102" s="594">
        <v>8.6999999999999994E-2</v>
      </c>
      <c r="CA102" s="594">
        <v>0</v>
      </c>
      <c r="CB102" s="593">
        <v>0.25</v>
      </c>
      <c r="CC102" s="594">
        <v>0.3</v>
      </c>
      <c r="CD102" s="594">
        <v>0.13</v>
      </c>
      <c r="CE102" s="594">
        <v>0.3</v>
      </c>
      <c r="CF102" s="594">
        <v>0.14599999999999999</v>
      </c>
      <c r="CG102" s="594">
        <v>0.22</v>
      </c>
      <c r="CH102" s="594">
        <v>0.27</v>
      </c>
      <c r="CI102" s="594">
        <v>0.25</v>
      </c>
      <c r="CJ102" s="594">
        <v>0</v>
      </c>
      <c r="CK102" s="594">
        <v>5.2499999999999998E-2</v>
      </c>
      <c r="CL102" s="594">
        <v>0.107</v>
      </c>
      <c r="CM102" s="594">
        <v>0.188</v>
      </c>
      <c r="CN102" s="594">
        <v>0.21</v>
      </c>
      <c r="CO102" s="594">
        <v>0.1118</v>
      </c>
      <c r="CP102" s="594">
        <v>0.2</v>
      </c>
      <c r="CQ102" s="594">
        <v>0.35</v>
      </c>
      <c r="CR102" s="594">
        <v>0.35</v>
      </c>
      <c r="CS102" s="597"/>
      <c r="CT102" s="591">
        <v>2.1000000000000001E-2</v>
      </c>
      <c r="CU102" s="1233">
        <v>3.5786999999999999E-2</v>
      </c>
      <c r="CV102" s="591">
        <v>0</v>
      </c>
      <c r="CW102" s="915">
        <v>2.1566999999999999E-2</v>
      </c>
      <c r="CX102" s="591">
        <v>4.2000000000000003E-2</v>
      </c>
      <c r="CY102" s="1234"/>
      <c r="CZ102" s="591">
        <v>2.7E-2</v>
      </c>
      <c r="DA102" s="591">
        <v>2.4E-2</v>
      </c>
      <c r="DB102" s="591">
        <v>1.9E-2</v>
      </c>
      <c r="DC102" s="591"/>
      <c r="DD102" s="591">
        <v>2.5999999999999999E-2</v>
      </c>
      <c r="DE102" s="591">
        <v>3.5000000000000003E-2</v>
      </c>
      <c r="DF102" s="591">
        <v>1.2E-2</v>
      </c>
      <c r="DG102" s="591">
        <v>2.1000000000000001E-2</v>
      </c>
      <c r="DH102" s="591">
        <v>3.6999999999999998E-2</v>
      </c>
      <c r="DI102" s="915">
        <v>3.2761999999999999E-2</v>
      </c>
      <c r="DJ102" s="1234"/>
      <c r="DK102" s="591"/>
      <c r="DL102" s="591">
        <v>2.9000000000000001E-2</v>
      </c>
      <c r="DM102" s="591">
        <v>2.7E-2</v>
      </c>
      <c r="DN102" s="915">
        <v>2.6712E-2</v>
      </c>
      <c r="DO102" s="591">
        <v>2.1000000000000001E-2</v>
      </c>
      <c r="DP102" s="591">
        <v>1.4E-2</v>
      </c>
      <c r="DQ102" s="1234"/>
      <c r="DR102" s="591"/>
      <c r="DS102" s="1234"/>
      <c r="DT102" s="591">
        <v>2.4E-2</v>
      </c>
      <c r="DU102" s="591">
        <v>1.9E-2</v>
      </c>
      <c r="DV102" s="591">
        <v>2.3E-2</v>
      </c>
      <c r="DW102" s="591">
        <v>4.8000000000000001E-2</v>
      </c>
      <c r="DX102" s="591">
        <v>5.1999999999999998E-2</v>
      </c>
      <c r="DY102" s="591">
        <v>1.2E-2</v>
      </c>
      <c r="DZ102" s="916"/>
      <c r="EA102" s="1439"/>
    </row>
    <row r="103" spans="1:131" x14ac:dyDescent="0.3">
      <c r="A103" s="935">
        <v>42125</v>
      </c>
      <c r="B103" s="589">
        <v>0.12</v>
      </c>
      <c r="C103" s="590">
        <v>0.06</v>
      </c>
      <c r="D103" s="590">
        <v>0.04</v>
      </c>
      <c r="E103" s="590">
        <v>0.05</v>
      </c>
      <c r="F103" s="591">
        <v>0.1263</v>
      </c>
      <c r="G103" s="589">
        <v>0.1111</v>
      </c>
      <c r="H103" s="589">
        <v>0.06</v>
      </c>
      <c r="I103" s="590">
        <v>0.08</v>
      </c>
      <c r="J103" s="591">
        <v>0.115</v>
      </c>
      <c r="K103" s="590">
        <v>0.15</v>
      </c>
      <c r="L103" s="589">
        <v>4.2500000000000003E-2</v>
      </c>
      <c r="M103" s="598">
        <v>0.72</v>
      </c>
      <c r="N103" s="590">
        <v>0.1</v>
      </c>
      <c r="O103" s="589">
        <v>0</v>
      </c>
      <c r="P103" s="593">
        <v>7.7499999999999999E-2</v>
      </c>
      <c r="Q103" s="589">
        <v>0.105</v>
      </c>
      <c r="R103" s="590">
        <v>0.2</v>
      </c>
      <c r="S103" s="589">
        <v>2.2499999999999999E-2</v>
      </c>
      <c r="T103" s="594">
        <v>0.107</v>
      </c>
      <c r="U103" s="591">
        <v>6.2E-2</v>
      </c>
      <c r="V103" s="589">
        <v>0.16</v>
      </c>
      <c r="W103" s="589">
        <v>0.11</v>
      </c>
      <c r="X103" s="590">
        <v>0</v>
      </c>
      <c r="Y103" s="590">
        <v>0.1</v>
      </c>
      <c r="Z103" s="589">
        <v>0.1875</v>
      </c>
      <c r="AA103" s="589">
        <v>0</v>
      </c>
      <c r="AB103" s="590">
        <v>0.2</v>
      </c>
      <c r="AC103" s="590">
        <v>0.1</v>
      </c>
      <c r="AD103" s="590">
        <v>0.1</v>
      </c>
      <c r="AE103" s="590">
        <v>0.2</v>
      </c>
      <c r="AF103" s="590">
        <v>0.1</v>
      </c>
      <c r="AG103" s="590">
        <v>0</v>
      </c>
      <c r="AH103" s="594">
        <v>1.34E-2</v>
      </c>
      <c r="AI103" s="594">
        <v>2.1899999999999999E-2</v>
      </c>
      <c r="AJ103" s="594">
        <v>1.21E-2</v>
      </c>
      <c r="AK103" s="594">
        <v>1.95E-2</v>
      </c>
      <c r="AL103" s="594">
        <v>1.8599999999999998E-2</v>
      </c>
      <c r="AM103" s="596"/>
      <c r="AN103" s="594">
        <v>1.8200000000000001E-2</v>
      </c>
      <c r="AO103" s="594">
        <v>1.41E-2</v>
      </c>
      <c r="AP103" s="594">
        <v>1.17E-2</v>
      </c>
      <c r="AQ103" s="594">
        <v>1.54E-2</v>
      </c>
      <c r="AR103" s="594">
        <v>1.0699999999999999E-2</v>
      </c>
      <c r="AS103" s="596"/>
      <c r="AT103" s="594">
        <v>-1.8E-3</v>
      </c>
      <c r="AU103" s="594">
        <v>1.2999999999999999E-2</v>
      </c>
      <c r="AV103" s="593">
        <v>1.17E-2</v>
      </c>
      <c r="AW103" s="594">
        <v>6.8999999999999999E-3</v>
      </c>
      <c r="AX103" s="594">
        <v>1.3100000000000001E-2</v>
      </c>
      <c r="AY103" s="591">
        <v>4.6399999999999997E-2</v>
      </c>
      <c r="AZ103" s="594">
        <v>1.15E-2</v>
      </c>
      <c r="BA103" s="594">
        <v>1.47E-2</v>
      </c>
      <c r="BB103" s="594">
        <v>1.21E-2</v>
      </c>
      <c r="BC103" s="594">
        <v>7.7000000000000002E-3</v>
      </c>
      <c r="BD103" s="594">
        <v>4.5999999999999999E-3</v>
      </c>
      <c r="BE103" s="594">
        <v>1.1599999999999999E-2</v>
      </c>
      <c r="BF103" s="594">
        <v>1.5599999999999999E-2</v>
      </c>
      <c r="BG103" s="594">
        <v>1.7299999999999999E-2</v>
      </c>
      <c r="BH103" s="594">
        <v>1.37E-2</v>
      </c>
      <c r="BI103" s="594">
        <v>1.0500000000000001E-2</v>
      </c>
      <c r="BJ103" s="594">
        <v>1.6E-2</v>
      </c>
      <c r="BK103" s="594">
        <v>2.3E-2</v>
      </c>
      <c r="BL103" s="594">
        <v>2.4899999999999999E-2</v>
      </c>
      <c r="BM103" s="594">
        <v>1.6000000000000001E-3</v>
      </c>
      <c r="BN103" s="594">
        <v>0.29599999999999999</v>
      </c>
      <c r="BO103" s="594">
        <v>0.06</v>
      </c>
      <c r="BP103" s="594">
        <v>0.312</v>
      </c>
      <c r="BQ103" s="594">
        <v>0.21199999999999999</v>
      </c>
      <c r="BR103" s="594">
        <v>0.18</v>
      </c>
      <c r="BS103" s="594">
        <v>0.1111</v>
      </c>
      <c r="BT103" s="594">
        <v>0.18</v>
      </c>
      <c r="BU103" s="594">
        <v>0.221</v>
      </c>
      <c r="BV103" s="594">
        <v>0.17</v>
      </c>
      <c r="BW103" s="594">
        <v>0.23</v>
      </c>
      <c r="BX103" s="594">
        <v>0.13</v>
      </c>
      <c r="BY103" s="594">
        <v>0.32900000000000001</v>
      </c>
      <c r="BZ103" s="594">
        <v>8.6999999999999994E-2</v>
      </c>
      <c r="CA103" s="594">
        <v>0</v>
      </c>
      <c r="CB103" s="593">
        <v>0.25</v>
      </c>
      <c r="CC103" s="594">
        <v>0.3</v>
      </c>
      <c r="CD103" s="594">
        <v>0.13</v>
      </c>
      <c r="CE103" s="594">
        <v>0.3</v>
      </c>
      <c r="CF103" s="594">
        <v>0.14599999999999999</v>
      </c>
      <c r="CG103" s="594">
        <v>0.22</v>
      </c>
      <c r="CH103" s="594">
        <v>0.27</v>
      </c>
      <c r="CI103" s="594">
        <v>0.25</v>
      </c>
      <c r="CJ103" s="594">
        <v>0</v>
      </c>
      <c r="CK103" s="594">
        <v>5.2499999999999998E-2</v>
      </c>
      <c r="CL103" s="594">
        <v>0.107</v>
      </c>
      <c r="CM103" s="594">
        <v>0.188</v>
      </c>
      <c r="CN103" s="594">
        <v>0.21</v>
      </c>
      <c r="CO103" s="594">
        <v>0.1118</v>
      </c>
      <c r="CP103" s="594">
        <v>0.2</v>
      </c>
      <c r="CQ103" s="594">
        <v>0.35</v>
      </c>
      <c r="CR103" s="594">
        <v>0.35</v>
      </c>
      <c r="CS103" s="597"/>
      <c r="CT103" s="591">
        <v>2.1000000000000001E-2</v>
      </c>
      <c r="CU103" s="1233">
        <v>3.5786999999999999E-2</v>
      </c>
      <c r="CV103" s="591">
        <v>0</v>
      </c>
      <c r="CW103" s="915">
        <v>2.1566999999999999E-2</v>
      </c>
      <c r="CX103" s="591">
        <v>4.2000000000000003E-2</v>
      </c>
      <c r="CY103" s="1234"/>
      <c r="CZ103" s="591">
        <v>2.7E-2</v>
      </c>
      <c r="DA103" s="591">
        <v>2.4E-2</v>
      </c>
      <c r="DB103" s="591">
        <v>1.9E-2</v>
      </c>
      <c r="DC103" s="591"/>
      <c r="DD103" s="591">
        <v>2.5999999999999999E-2</v>
      </c>
      <c r="DE103" s="591">
        <v>3.5000000000000003E-2</v>
      </c>
      <c r="DF103" s="591">
        <v>1.2E-2</v>
      </c>
      <c r="DG103" s="591">
        <v>2.1000000000000001E-2</v>
      </c>
      <c r="DH103" s="591">
        <v>3.6999999999999998E-2</v>
      </c>
      <c r="DI103" s="915">
        <v>3.2761999999999999E-2</v>
      </c>
      <c r="DJ103" s="1234"/>
      <c r="DK103" s="591"/>
      <c r="DL103" s="591">
        <v>2.9000000000000001E-2</v>
      </c>
      <c r="DM103" s="591">
        <v>2.7E-2</v>
      </c>
      <c r="DN103" s="915">
        <v>2.6712E-2</v>
      </c>
      <c r="DO103" s="591">
        <v>2.1000000000000001E-2</v>
      </c>
      <c r="DP103" s="591">
        <v>1.4E-2</v>
      </c>
      <c r="DQ103" s="1234"/>
      <c r="DR103" s="591"/>
      <c r="DS103" s="1234"/>
      <c r="DT103" s="591">
        <v>2.4E-2</v>
      </c>
      <c r="DU103" s="591">
        <v>1.9E-2</v>
      </c>
      <c r="DV103" s="591">
        <v>2.3E-2</v>
      </c>
      <c r="DW103" s="591">
        <v>4.8000000000000001E-2</v>
      </c>
      <c r="DX103" s="591">
        <v>5.1999999999999998E-2</v>
      </c>
      <c r="DY103" s="591">
        <v>1.2E-2</v>
      </c>
      <c r="DZ103" s="916"/>
      <c r="EA103" s="1439"/>
    </row>
    <row r="104" spans="1:131" x14ac:dyDescent="0.3">
      <c r="A104" s="935">
        <v>42156</v>
      </c>
      <c r="B104" s="589">
        <v>0.12</v>
      </c>
      <c r="C104" s="590">
        <v>0.06</v>
      </c>
      <c r="D104" s="590">
        <v>0.04</v>
      </c>
      <c r="E104" s="590">
        <v>0.05</v>
      </c>
      <c r="F104" s="591">
        <v>0.1263</v>
      </c>
      <c r="G104" s="589">
        <v>0.1111</v>
      </c>
      <c r="H104" s="589">
        <v>0.06</v>
      </c>
      <c r="I104" s="590">
        <v>0.08</v>
      </c>
      <c r="J104" s="591">
        <v>0.115</v>
      </c>
      <c r="K104" s="590">
        <v>0.15</v>
      </c>
      <c r="L104" s="589">
        <v>4.2500000000000003E-2</v>
      </c>
      <c r="M104" s="598">
        <v>0.72</v>
      </c>
      <c r="N104" s="590">
        <v>0.1</v>
      </c>
      <c r="O104" s="589">
        <v>0</v>
      </c>
      <c r="P104" s="593">
        <v>7.7499999999999999E-2</v>
      </c>
      <c r="Q104" s="589">
        <v>0.105</v>
      </c>
      <c r="R104" s="590">
        <v>0.2</v>
      </c>
      <c r="S104" s="589">
        <v>2.2499999999999999E-2</v>
      </c>
      <c r="T104" s="594">
        <v>0.107</v>
      </c>
      <c r="U104" s="591">
        <v>6.2E-2</v>
      </c>
      <c r="V104" s="589">
        <v>0.16</v>
      </c>
      <c r="W104" s="589">
        <v>0.11</v>
      </c>
      <c r="X104" s="590">
        <v>0</v>
      </c>
      <c r="Y104" s="590">
        <v>0.1</v>
      </c>
      <c r="Z104" s="589">
        <v>0.1875</v>
      </c>
      <c r="AA104" s="589">
        <v>0</v>
      </c>
      <c r="AB104" s="590">
        <v>0.2</v>
      </c>
      <c r="AC104" s="590">
        <v>0.1</v>
      </c>
      <c r="AD104" s="590">
        <v>0.1</v>
      </c>
      <c r="AE104" s="590">
        <v>0.2</v>
      </c>
      <c r="AF104" s="590">
        <v>0.1</v>
      </c>
      <c r="AG104" s="590">
        <v>0</v>
      </c>
      <c r="AH104" s="594">
        <v>1.34E-2</v>
      </c>
      <c r="AI104" s="594">
        <v>2.1899999999999999E-2</v>
      </c>
      <c r="AJ104" s="594">
        <v>1.21E-2</v>
      </c>
      <c r="AK104" s="594">
        <v>1.95E-2</v>
      </c>
      <c r="AL104" s="594">
        <v>1.8599999999999998E-2</v>
      </c>
      <c r="AM104" s="596"/>
      <c r="AN104" s="594">
        <v>1.8200000000000001E-2</v>
      </c>
      <c r="AO104" s="594">
        <v>1.41E-2</v>
      </c>
      <c r="AP104" s="594">
        <v>1.17E-2</v>
      </c>
      <c r="AQ104" s="594">
        <v>1.54E-2</v>
      </c>
      <c r="AR104" s="594">
        <v>1.0699999999999999E-2</v>
      </c>
      <c r="AS104" s="596"/>
      <c r="AT104" s="594">
        <v>-1.8E-3</v>
      </c>
      <c r="AU104" s="594">
        <v>1.2999999999999999E-2</v>
      </c>
      <c r="AV104" s="593">
        <v>1.17E-2</v>
      </c>
      <c r="AW104" s="594">
        <v>6.8999999999999999E-3</v>
      </c>
      <c r="AX104" s="594">
        <v>1.3100000000000001E-2</v>
      </c>
      <c r="AY104" s="591">
        <v>4.6399999999999997E-2</v>
      </c>
      <c r="AZ104" s="594">
        <v>1.15E-2</v>
      </c>
      <c r="BA104" s="594">
        <v>1.47E-2</v>
      </c>
      <c r="BB104" s="594">
        <v>1.21E-2</v>
      </c>
      <c r="BC104" s="594">
        <v>7.7000000000000002E-3</v>
      </c>
      <c r="BD104" s="594">
        <v>4.5999999999999999E-3</v>
      </c>
      <c r="BE104" s="594">
        <v>1.1599999999999999E-2</v>
      </c>
      <c r="BF104" s="594">
        <v>1.5599999999999999E-2</v>
      </c>
      <c r="BG104" s="594">
        <v>1.7299999999999999E-2</v>
      </c>
      <c r="BH104" s="594">
        <v>1.37E-2</v>
      </c>
      <c r="BI104" s="594">
        <v>1.0500000000000001E-2</v>
      </c>
      <c r="BJ104" s="594">
        <v>1.6E-2</v>
      </c>
      <c r="BK104" s="594">
        <v>2.3E-2</v>
      </c>
      <c r="BL104" s="594">
        <v>2.4899999999999999E-2</v>
      </c>
      <c r="BM104" s="594">
        <v>1.6000000000000001E-3</v>
      </c>
      <c r="BN104" s="594">
        <v>0.29599999999999999</v>
      </c>
      <c r="BO104" s="594">
        <v>0.06</v>
      </c>
      <c r="BP104" s="594">
        <v>0.312</v>
      </c>
      <c r="BQ104" s="594">
        <v>0.21199999999999999</v>
      </c>
      <c r="BR104" s="594">
        <v>0.18</v>
      </c>
      <c r="BS104" s="594">
        <v>0.1111</v>
      </c>
      <c r="BT104" s="594">
        <v>0.18</v>
      </c>
      <c r="BU104" s="594">
        <v>0.221</v>
      </c>
      <c r="BV104" s="594">
        <v>0.17</v>
      </c>
      <c r="BW104" s="594">
        <v>0.23</v>
      </c>
      <c r="BX104" s="594">
        <v>0.13</v>
      </c>
      <c r="BY104" s="594">
        <v>0.32900000000000001</v>
      </c>
      <c r="BZ104" s="594">
        <v>8.6999999999999994E-2</v>
      </c>
      <c r="CA104" s="594">
        <v>0</v>
      </c>
      <c r="CB104" s="593">
        <v>0.25</v>
      </c>
      <c r="CC104" s="594">
        <v>0.3</v>
      </c>
      <c r="CD104" s="594">
        <v>0.13</v>
      </c>
      <c r="CE104" s="594">
        <v>0.3</v>
      </c>
      <c r="CF104" s="594">
        <v>0.14599999999999999</v>
      </c>
      <c r="CG104" s="594">
        <v>0.22</v>
      </c>
      <c r="CH104" s="594">
        <v>0.27</v>
      </c>
      <c r="CI104" s="594">
        <v>0.25</v>
      </c>
      <c r="CJ104" s="594">
        <v>0</v>
      </c>
      <c r="CK104" s="594">
        <v>5.2499999999999998E-2</v>
      </c>
      <c r="CL104" s="594">
        <v>0.107</v>
      </c>
      <c r="CM104" s="594">
        <v>0.188</v>
      </c>
      <c r="CN104" s="594">
        <v>0.21</v>
      </c>
      <c r="CO104" s="594">
        <v>0.1118</v>
      </c>
      <c r="CP104" s="594">
        <v>0.2</v>
      </c>
      <c r="CQ104" s="594">
        <v>0.35</v>
      </c>
      <c r="CR104" s="594">
        <v>0.35</v>
      </c>
      <c r="CS104" s="597"/>
      <c r="CT104" s="591">
        <v>2.1000000000000001E-2</v>
      </c>
      <c r="CU104" s="1233">
        <v>3.5786999999999999E-2</v>
      </c>
      <c r="CV104" s="591">
        <v>0</v>
      </c>
      <c r="CW104" s="915">
        <v>2.1566999999999999E-2</v>
      </c>
      <c r="CX104" s="591">
        <v>4.2000000000000003E-2</v>
      </c>
      <c r="CY104" s="1234"/>
      <c r="CZ104" s="591">
        <v>2.7E-2</v>
      </c>
      <c r="DA104" s="591">
        <v>2.4E-2</v>
      </c>
      <c r="DB104" s="591">
        <v>1.9E-2</v>
      </c>
      <c r="DC104" s="591"/>
      <c r="DD104" s="591">
        <v>2.5999999999999999E-2</v>
      </c>
      <c r="DE104" s="591">
        <v>3.5000000000000003E-2</v>
      </c>
      <c r="DF104" s="591">
        <v>1.2E-2</v>
      </c>
      <c r="DG104" s="591">
        <v>2.1000000000000001E-2</v>
      </c>
      <c r="DH104" s="591">
        <v>3.6999999999999998E-2</v>
      </c>
      <c r="DI104" s="915">
        <v>3.2761999999999999E-2</v>
      </c>
      <c r="DJ104" s="1234"/>
      <c r="DK104" s="591"/>
      <c r="DL104" s="591">
        <v>2.9000000000000001E-2</v>
      </c>
      <c r="DM104" s="591">
        <v>2.7E-2</v>
      </c>
      <c r="DN104" s="915">
        <v>2.6712E-2</v>
      </c>
      <c r="DO104" s="591">
        <v>2.1000000000000001E-2</v>
      </c>
      <c r="DP104" s="591">
        <v>1.4E-2</v>
      </c>
      <c r="DQ104" s="1234"/>
      <c r="DR104" s="591"/>
      <c r="DS104" s="1234"/>
      <c r="DT104" s="591">
        <v>2.4E-2</v>
      </c>
      <c r="DU104" s="591">
        <v>1.9E-2</v>
      </c>
      <c r="DV104" s="591">
        <v>2.3E-2</v>
      </c>
      <c r="DW104" s="591">
        <v>4.8000000000000001E-2</v>
      </c>
      <c r="DX104" s="591">
        <v>5.1999999999999998E-2</v>
      </c>
      <c r="DY104" s="591">
        <v>1.2E-2</v>
      </c>
      <c r="DZ104" s="916"/>
      <c r="EA104" s="1439"/>
    </row>
    <row r="105" spans="1:131" x14ac:dyDescent="0.3">
      <c r="A105" s="935">
        <v>42186</v>
      </c>
      <c r="B105" s="589">
        <v>0.12</v>
      </c>
      <c r="C105" s="590">
        <v>0.06</v>
      </c>
      <c r="D105" s="590">
        <v>0.04</v>
      </c>
      <c r="E105" s="590">
        <v>0.05</v>
      </c>
      <c r="F105" s="591">
        <v>0.1263</v>
      </c>
      <c r="G105" s="589">
        <v>0.1111</v>
      </c>
      <c r="H105" s="589">
        <v>0.06</v>
      </c>
      <c r="I105" s="590">
        <v>0.08</v>
      </c>
      <c r="J105" s="591">
        <v>0.115</v>
      </c>
      <c r="K105" s="590">
        <v>0.15</v>
      </c>
      <c r="L105" s="589">
        <v>4.2500000000000003E-2</v>
      </c>
      <c r="M105" s="598">
        <v>0.72</v>
      </c>
      <c r="N105" s="590">
        <v>0.1</v>
      </c>
      <c r="O105" s="589">
        <v>0</v>
      </c>
      <c r="P105" s="593">
        <v>7.7499999999999999E-2</v>
      </c>
      <c r="Q105" s="589">
        <v>0.105</v>
      </c>
      <c r="R105" s="590">
        <v>0.2</v>
      </c>
      <c r="S105" s="589">
        <v>2.2499999999999999E-2</v>
      </c>
      <c r="T105" s="594">
        <v>0.107</v>
      </c>
      <c r="U105" s="591">
        <v>6.2E-2</v>
      </c>
      <c r="V105" s="589">
        <v>0.16</v>
      </c>
      <c r="W105" s="589">
        <v>0.11</v>
      </c>
      <c r="X105" s="590">
        <v>0</v>
      </c>
      <c r="Y105" s="590">
        <v>0.1</v>
      </c>
      <c r="Z105" s="589">
        <v>0.1875</v>
      </c>
      <c r="AA105" s="589">
        <v>0</v>
      </c>
      <c r="AB105" s="590">
        <v>0.2</v>
      </c>
      <c r="AC105" s="590">
        <v>0.1</v>
      </c>
      <c r="AD105" s="590">
        <v>0.1</v>
      </c>
      <c r="AE105" s="590">
        <v>0.2</v>
      </c>
      <c r="AF105" s="590">
        <v>0.1</v>
      </c>
      <c r="AG105" s="590">
        <v>0</v>
      </c>
      <c r="AH105" s="594">
        <v>7.6E-3</v>
      </c>
      <c r="AI105" s="594">
        <v>9.4999999999999998E-3</v>
      </c>
      <c r="AJ105" s="594">
        <v>1.8E-3</v>
      </c>
      <c r="AK105" s="594">
        <v>1.2699999999999999E-2</v>
      </c>
      <c r="AL105" s="594">
        <v>1.17E-2</v>
      </c>
      <c r="AM105" s="596"/>
      <c r="AN105" s="594">
        <v>6.4999999999999997E-3</v>
      </c>
      <c r="AO105" s="594">
        <v>7.3000000000000001E-3</v>
      </c>
      <c r="AP105" s="594">
        <v>9.1999999999999998E-3</v>
      </c>
      <c r="AQ105" s="594">
        <v>5.0000000000000001E-3</v>
      </c>
      <c r="AR105" s="594">
        <v>1.0699999999999999E-2</v>
      </c>
      <c r="AS105" s="596"/>
      <c r="AT105" s="594">
        <v>-1.8E-3</v>
      </c>
      <c r="AU105" s="594">
        <v>8.8000000000000005E-3</v>
      </c>
      <c r="AV105" s="593">
        <v>1.17E-2</v>
      </c>
      <c r="AW105" s="594">
        <v>6.8999999999999999E-3</v>
      </c>
      <c r="AX105" s="594">
        <v>9.9000000000000008E-3</v>
      </c>
      <c r="AY105" s="591">
        <v>4.6399999999999997E-2</v>
      </c>
      <c r="AZ105" s="594">
        <v>5.5999999999999999E-3</v>
      </c>
      <c r="BA105" s="594">
        <v>8.0000000000000002E-3</v>
      </c>
      <c r="BB105" s="594">
        <v>4.5999999999999999E-3</v>
      </c>
      <c r="BC105" s="594">
        <v>7.7000000000000002E-3</v>
      </c>
      <c r="BD105" s="594">
        <v>2.5999999999999999E-3</v>
      </c>
      <c r="BE105" s="594">
        <v>7.1999999999999998E-3</v>
      </c>
      <c r="BF105" s="594">
        <v>6.7000000000000002E-3</v>
      </c>
      <c r="BG105" s="594">
        <v>9.2999999999999992E-3</v>
      </c>
      <c r="BH105" s="594">
        <v>1.06E-2</v>
      </c>
      <c r="BI105" s="594">
        <v>6.1000000000000004E-3</v>
      </c>
      <c r="BJ105" s="594">
        <v>1.01E-2</v>
      </c>
      <c r="BK105" s="594">
        <v>1.38E-2</v>
      </c>
      <c r="BL105" s="594">
        <v>1.4500000000000001E-2</v>
      </c>
      <c r="BM105" s="594">
        <v>1.6000000000000001E-3</v>
      </c>
      <c r="BN105" s="594">
        <v>0.29599999999999999</v>
      </c>
      <c r="BO105" s="594">
        <v>0.06</v>
      </c>
      <c r="BP105" s="594">
        <v>0.312</v>
      </c>
      <c r="BQ105" s="594">
        <v>0.21199999999999999</v>
      </c>
      <c r="BR105" s="594">
        <v>0.18</v>
      </c>
      <c r="BS105" s="594">
        <v>0.1111</v>
      </c>
      <c r="BT105" s="594">
        <v>0.18</v>
      </c>
      <c r="BU105" s="594">
        <v>0.221</v>
      </c>
      <c r="BV105" s="594">
        <v>0.17</v>
      </c>
      <c r="BW105" s="594">
        <v>0.23</v>
      </c>
      <c r="BX105" s="594">
        <v>0.13</v>
      </c>
      <c r="BY105" s="594">
        <v>0.32900000000000001</v>
      </c>
      <c r="BZ105" s="594">
        <v>8.6999999999999994E-2</v>
      </c>
      <c r="CA105" s="594">
        <v>0</v>
      </c>
      <c r="CB105" s="593">
        <v>0.25</v>
      </c>
      <c r="CC105" s="594">
        <v>0.3</v>
      </c>
      <c r="CD105" s="594">
        <v>0.13</v>
      </c>
      <c r="CE105" s="594">
        <v>0.3</v>
      </c>
      <c r="CF105" s="594">
        <v>0.14599999999999999</v>
      </c>
      <c r="CG105" s="594">
        <v>0.22</v>
      </c>
      <c r="CH105" s="594">
        <v>0.27</v>
      </c>
      <c r="CI105" s="594">
        <v>0.25</v>
      </c>
      <c r="CJ105" s="594">
        <v>0</v>
      </c>
      <c r="CK105" s="594">
        <v>5.2499999999999998E-2</v>
      </c>
      <c r="CL105" s="594">
        <v>0.107</v>
      </c>
      <c r="CM105" s="594">
        <v>0.188</v>
      </c>
      <c r="CN105" s="594">
        <v>0.21</v>
      </c>
      <c r="CO105" s="594">
        <v>0.1118</v>
      </c>
      <c r="CP105" s="594">
        <v>0.2</v>
      </c>
      <c r="CQ105" s="594">
        <v>0.35</v>
      </c>
      <c r="CR105" s="594">
        <v>0.35</v>
      </c>
      <c r="CS105" s="597"/>
      <c r="CT105" s="591">
        <v>2.1000000000000001E-2</v>
      </c>
      <c r="CU105" s="1233">
        <v>3.5786999999999999E-2</v>
      </c>
      <c r="CV105" s="591">
        <v>0</v>
      </c>
      <c r="CW105" s="915">
        <v>2.1566999999999999E-2</v>
      </c>
      <c r="CX105" s="591">
        <v>4.2000000000000003E-2</v>
      </c>
      <c r="CY105" s="1234"/>
      <c r="CZ105" s="591">
        <v>2.7E-2</v>
      </c>
      <c r="DA105" s="591">
        <v>2.4E-2</v>
      </c>
      <c r="DB105" s="591">
        <v>1.9E-2</v>
      </c>
      <c r="DC105" s="591"/>
      <c r="DD105" s="591">
        <v>2.5999999999999999E-2</v>
      </c>
      <c r="DE105" s="591">
        <v>3.5000000000000003E-2</v>
      </c>
      <c r="DF105" s="591">
        <v>1.2E-2</v>
      </c>
      <c r="DG105" s="591">
        <v>2.1000000000000001E-2</v>
      </c>
      <c r="DH105" s="591">
        <v>3.6999999999999998E-2</v>
      </c>
      <c r="DI105" s="915">
        <v>3.2761999999999999E-2</v>
      </c>
      <c r="DJ105" s="1234"/>
      <c r="DK105" s="591"/>
      <c r="DL105" s="591">
        <v>2.9000000000000001E-2</v>
      </c>
      <c r="DM105" s="591">
        <v>2.7E-2</v>
      </c>
      <c r="DN105" s="915">
        <v>2.6712E-2</v>
      </c>
      <c r="DO105" s="591">
        <v>2.1000000000000001E-2</v>
      </c>
      <c r="DP105" s="591">
        <v>1.4E-2</v>
      </c>
      <c r="DQ105" s="1234"/>
      <c r="DR105" s="591"/>
      <c r="DS105" s="1234"/>
      <c r="DT105" s="591">
        <v>2.4E-2</v>
      </c>
      <c r="DU105" s="591">
        <v>1.9E-2</v>
      </c>
      <c r="DV105" s="591">
        <v>2.3E-2</v>
      </c>
      <c r="DW105" s="591">
        <v>4.8000000000000001E-2</v>
      </c>
      <c r="DX105" s="591">
        <v>5.1999999999999998E-2</v>
      </c>
      <c r="DY105" s="591">
        <v>1.2E-2</v>
      </c>
      <c r="DZ105" s="916"/>
      <c r="EA105" s="1439"/>
    </row>
    <row r="106" spans="1:131" x14ac:dyDescent="0.3">
      <c r="A106" s="935">
        <v>42217</v>
      </c>
      <c r="B106" s="589">
        <v>0.12</v>
      </c>
      <c r="C106" s="590">
        <v>0.06</v>
      </c>
      <c r="D106" s="590">
        <v>0.04</v>
      </c>
      <c r="E106" s="590">
        <v>0.05</v>
      </c>
      <c r="F106" s="591">
        <v>0.1263</v>
      </c>
      <c r="G106" s="589">
        <v>0.1111</v>
      </c>
      <c r="H106" s="589">
        <v>0.06</v>
      </c>
      <c r="I106" s="590">
        <v>0.08</v>
      </c>
      <c r="J106" s="591">
        <v>0.115</v>
      </c>
      <c r="K106" s="590">
        <v>0.15</v>
      </c>
      <c r="L106" s="589">
        <v>4.2500000000000003E-2</v>
      </c>
      <c r="M106" s="598">
        <v>0.72</v>
      </c>
      <c r="N106" s="590">
        <v>0.1</v>
      </c>
      <c r="O106" s="589">
        <v>0</v>
      </c>
      <c r="P106" s="593">
        <v>7.7499999999999999E-2</v>
      </c>
      <c r="Q106" s="589">
        <v>0.105</v>
      </c>
      <c r="R106" s="590">
        <v>0.2</v>
      </c>
      <c r="S106" s="589">
        <v>2.2499999999999999E-2</v>
      </c>
      <c r="T106" s="594">
        <v>0.107</v>
      </c>
      <c r="U106" s="591">
        <v>6.2E-2</v>
      </c>
      <c r="V106" s="589">
        <v>0.16</v>
      </c>
      <c r="W106" s="589">
        <v>0.11</v>
      </c>
      <c r="X106" s="590">
        <v>0</v>
      </c>
      <c r="Y106" s="590">
        <v>0.1</v>
      </c>
      <c r="Z106" s="589">
        <v>0.1875</v>
      </c>
      <c r="AA106" s="589">
        <v>0</v>
      </c>
      <c r="AB106" s="590">
        <v>0.2</v>
      </c>
      <c r="AC106" s="590">
        <v>0.1</v>
      </c>
      <c r="AD106" s="590">
        <v>0.1</v>
      </c>
      <c r="AE106" s="590">
        <v>0.2</v>
      </c>
      <c r="AF106" s="590">
        <v>0.1</v>
      </c>
      <c r="AG106" s="590">
        <v>0</v>
      </c>
      <c r="AH106" s="594">
        <v>7.6E-3</v>
      </c>
      <c r="AI106" s="594">
        <v>9.4999999999999998E-3</v>
      </c>
      <c r="AJ106" s="594">
        <v>1.8E-3</v>
      </c>
      <c r="AK106" s="594">
        <v>1.2699999999999999E-2</v>
      </c>
      <c r="AL106" s="594">
        <v>1.17E-2</v>
      </c>
      <c r="AM106" s="596"/>
      <c r="AN106" s="594">
        <v>6.4999999999999997E-3</v>
      </c>
      <c r="AO106" s="594">
        <v>7.3000000000000001E-3</v>
      </c>
      <c r="AP106" s="594">
        <v>9.1999999999999998E-3</v>
      </c>
      <c r="AQ106" s="594">
        <v>5.0000000000000001E-3</v>
      </c>
      <c r="AR106" s="594">
        <v>1.0699999999999999E-2</v>
      </c>
      <c r="AS106" s="596"/>
      <c r="AT106" s="594">
        <v>-1.8E-3</v>
      </c>
      <c r="AU106" s="594">
        <v>8.8000000000000005E-3</v>
      </c>
      <c r="AV106" s="593">
        <v>1.17E-2</v>
      </c>
      <c r="AW106" s="594">
        <v>6.8999999999999999E-3</v>
      </c>
      <c r="AX106" s="594">
        <v>9.9000000000000008E-3</v>
      </c>
      <c r="AY106" s="591">
        <v>4.6399999999999997E-2</v>
      </c>
      <c r="AZ106" s="594">
        <v>5.5999999999999999E-3</v>
      </c>
      <c r="BA106" s="594">
        <v>8.0000000000000002E-3</v>
      </c>
      <c r="BB106" s="594">
        <v>4.5999999999999999E-3</v>
      </c>
      <c r="BC106" s="594">
        <v>7.7000000000000002E-3</v>
      </c>
      <c r="BD106" s="594">
        <v>2.5999999999999999E-3</v>
      </c>
      <c r="BE106" s="594">
        <v>7.1999999999999998E-3</v>
      </c>
      <c r="BF106" s="594">
        <v>6.7000000000000002E-3</v>
      </c>
      <c r="BG106" s="594">
        <v>9.2999999999999992E-3</v>
      </c>
      <c r="BH106" s="594">
        <v>1.06E-2</v>
      </c>
      <c r="BI106" s="594">
        <v>6.1000000000000004E-3</v>
      </c>
      <c r="BJ106" s="594">
        <v>1.01E-2</v>
      </c>
      <c r="BK106" s="594">
        <v>1.38E-2</v>
      </c>
      <c r="BL106" s="594">
        <v>1.4500000000000001E-2</v>
      </c>
      <c r="BM106" s="594">
        <v>1.6000000000000001E-3</v>
      </c>
      <c r="BN106" s="594">
        <v>0.29599999999999999</v>
      </c>
      <c r="BO106" s="594">
        <v>0.06</v>
      </c>
      <c r="BP106" s="594">
        <v>0.312</v>
      </c>
      <c r="BQ106" s="594">
        <v>0.21199999999999999</v>
      </c>
      <c r="BR106" s="594">
        <v>0.18</v>
      </c>
      <c r="BS106" s="594">
        <v>0.1111</v>
      </c>
      <c r="BT106" s="594">
        <v>0.18</v>
      </c>
      <c r="BU106" s="594">
        <v>0.221</v>
      </c>
      <c r="BV106" s="594">
        <v>0.17</v>
      </c>
      <c r="BW106" s="594">
        <v>0.23</v>
      </c>
      <c r="BX106" s="594">
        <v>0.13</v>
      </c>
      <c r="BY106" s="594">
        <v>0.32900000000000001</v>
      </c>
      <c r="BZ106" s="594">
        <v>8.6999999999999994E-2</v>
      </c>
      <c r="CA106" s="594">
        <v>0</v>
      </c>
      <c r="CB106" s="593">
        <v>0.25</v>
      </c>
      <c r="CC106" s="594">
        <v>0.3</v>
      </c>
      <c r="CD106" s="594">
        <v>0.13</v>
      </c>
      <c r="CE106" s="594">
        <v>0.3</v>
      </c>
      <c r="CF106" s="594">
        <v>0.14599999999999999</v>
      </c>
      <c r="CG106" s="594">
        <v>0.22</v>
      </c>
      <c r="CH106" s="594">
        <v>0.27</v>
      </c>
      <c r="CI106" s="594">
        <v>0.25</v>
      </c>
      <c r="CJ106" s="594">
        <v>0</v>
      </c>
      <c r="CK106" s="594">
        <v>5.2499999999999998E-2</v>
      </c>
      <c r="CL106" s="594">
        <v>0.107</v>
      </c>
      <c r="CM106" s="594">
        <v>0.188</v>
      </c>
      <c r="CN106" s="594">
        <v>0.21</v>
      </c>
      <c r="CO106" s="594">
        <v>0.1118</v>
      </c>
      <c r="CP106" s="594">
        <v>0.2</v>
      </c>
      <c r="CQ106" s="594">
        <v>0.35</v>
      </c>
      <c r="CR106" s="594">
        <v>0.35</v>
      </c>
      <c r="CS106" s="597"/>
      <c r="CT106" s="591">
        <v>2.1000000000000001E-2</v>
      </c>
      <c r="CU106" s="1233">
        <v>3.5786999999999999E-2</v>
      </c>
      <c r="CV106" s="591">
        <v>0</v>
      </c>
      <c r="CW106" s="915">
        <v>2.1566999999999999E-2</v>
      </c>
      <c r="CX106" s="591">
        <v>4.2000000000000003E-2</v>
      </c>
      <c r="CY106" s="1234"/>
      <c r="CZ106" s="591">
        <v>2.7E-2</v>
      </c>
      <c r="DA106" s="591">
        <v>2.4E-2</v>
      </c>
      <c r="DB106" s="591">
        <v>1.9E-2</v>
      </c>
      <c r="DC106" s="591"/>
      <c r="DD106" s="591">
        <v>2.5999999999999999E-2</v>
      </c>
      <c r="DE106" s="591">
        <v>3.5000000000000003E-2</v>
      </c>
      <c r="DF106" s="591">
        <v>1.2E-2</v>
      </c>
      <c r="DG106" s="591">
        <v>2.1000000000000001E-2</v>
      </c>
      <c r="DH106" s="591">
        <v>3.6999999999999998E-2</v>
      </c>
      <c r="DI106" s="915">
        <v>3.2761999999999999E-2</v>
      </c>
      <c r="DJ106" s="1234"/>
      <c r="DK106" s="591"/>
      <c r="DL106" s="591">
        <v>2.9000000000000001E-2</v>
      </c>
      <c r="DM106" s="591">
        <v>2.7E-2</v>
      </c>
      <c r="DN106" s="915">
        <v>2.6712E-2</v>
      </c>
      <c r="DO106" s="591">
        <v>2.1000000000000001E-2</v>
      </c>
      <c r="DP106" s="591">
        <v>1.4E-2</v>
      </c>
      <c r="DQ106" s="1234"/>
      <c r="DR106" s="591"/>
      <c r="DS106" s="1234"/>
      <c r="DT106" s="591">
        <v>2.4E-2</v>
      </c>
      <c r="DU106" s="591">
        <v>1.9E-2</v>
      </c>
      <c r="DV106" s="591">
        <v>2.3E-2</v>
      </c>
      <c r="DW106" s="591">
        <v>4.8000000000000001E-2</v>
      </c>
      <c r="DX106" s="591">
        <v>5.1999999999999998E-2</v>
      </c>
      <c r="DY106" s="591">
        <v>1.2E-2</v>
      </c>
      <c r="DZ106" s="916"/>
      <c r="EA106" s="1439"/>
    </row>
    <row r="107" spans="1:131" x14ac:dyDescent="0.3">
      <c r="A107" s="935">
        <v>42248</v>
      </c>
      <c r="B107" s="589">
        <v>0.12</v>
      </c>
      <c r="C107" s="590">
        <v>0.06</v>
      </c>
      <c r="D107" s="590">
        <v>0.04</v>
      </c>
      <c r="E107" s="590">
        <v>0.05</v>
      </c>
      <c r="F107" s="591">
        <v>0.1263</v>
      </c>
      <c r="G107" s="589">
        <v>0.1111</v>
      </c>
      <c r="H107" s="589">
        <v>0.06</v>
      </c>
      <c r="I107" s="590">
        <v>0.08</v>
      </c>
      <c r="J107" s="591">
        <v>0.115</v>
      </c>
      <c r="K107" s="590">
        <v>0.15</v>
      </c>
      <c r="L107" s="589">
        <v>4.2500000000000003E-2</v>
      </c>
      <c r="M107" s="598">
        <v>0.72</v>
      </c>
      <c r="N107" s="590">
        <v>0.1</v>
      </c>
      <c r="O107" s="589">
        <v>0</v>
      </c>
      <c r="P107" s="593">
        <v>7.7499999999999999E-2</v>
      </c>
      <c r="Q107" s="589">
        <v>0.105</v>
      </c>
      <c r="R107" s="590">
        <v>0.2</v>
      </c>
      <c r="S107" s="589">
        <v>2.2499999999999999E-2</v>
      </c>
      <c r="T107" s="594">
        <v>0.107</v>
      </c>
      <c r="U107" s="591">
        <v>6.2E-2</v>
      </c>
      <c r="V107" s="589">
        <v>0.16</v>
      </c>
      <c r="W107" s="589">
        <v>0.11</v>
      </c>
      <c r="X107" s="590">
        <v>0</v>
      </c>
      <c r="Y107" s="590">
        <v>0.1</v>
      </c>
      <c r="Z107" s="589">
        <v>0.1875</v>
      </c>
      <c r="AA107" s="589">
        <v>0</v>
      </c>
      <c r="AB107" s="590">
        <v>0.2</v>
      </c>
      <c r="AC107" s="590">
        <v>0.1</v>
      </c>
      <c r="AD107" s="590">
        <v>0.1</v>
      </c>
      <c r="AE107" s="590">
        <v>0.2</v>
      </c>
      <c r="AF107" s="590">
        <v>0.1</v>
      </c>
      <c r="AG107" s="590">
        <v>0</v>
      </c>
      <c r="AH107" s="594">
        <v>7.6E-3</v>
      </c>
      <c r="AI107" s="594">
        <v>9.4999999999999998E-3</v>
      </c>
      <c r="AJ107" s="594">
        <v>1.8E-3</v>
      </c>
      <c r="AK107" s="594">
        <v>1.2699999999999999E-2</v>
      </c>
      <c r="AL107" s="594">
        <v>1.17E-2</v>
      </c>
      <c r="AM107" s="596"/>
      <c r="AN107" s="594">
        <v>6.4999999999999997E-3</v>
      </c>
      <c r="AO107" s="594">
        <v>7.3000000000000001E-3</v>
      </c>
      <c r="AP107" s="594">
        <v>9.1999999999999998E-3</v>
      </c>
      <c r="AQ107" s="594">
        <v>5.0000000000000001E-3</v>
      </c>
      <c r="AR107" s="594">
        <v>1.0699999999999999E-2</v>
      </c>
      <c r="AS107" s="596"/>
      <c r="AT107" s="594">
        <v>-1.8E-3</v>
      </c>
      <c r="AU107" s="594">
        <v>8.8000000000000005E-3</v>
      </c>
      <c r="AV107" s="593">
        <v>1.17E-2</v>
      </c>
      <c r="AW107" s="594">
        <v>6.8999999999999999E-3</v>
      </c>
      <c r="AX107" s="594">
        <v>9.9000000000000008E-3</v>
      </c>
      <c r="AY107" s="591">
        <v>4.6399999999999997E-2</v>
      </c>
      <c r="AZ107" s="594">
        <v>5.5999999999999999E-3</v>
      </c>
      <c r="BA107" s="594">
        <v>8.0000000000000002E-3</v>
      </c>
      <c r="BB107" s="594">
        <v>4.5999999999999999E-3</v>
      </c>
      <c r="BC107" s="594">
        <v>7.7000000000000002E-3</v>
      </c>
      <c r="BD107" s="594">
        <v>2.5999999999999999E-3</v>
      </c>
      <c r="BE107" s="594">
        <v>7.1999999999999998E-3</v>
      </c>
      <c r="BF107" s="594">
        <v>6.7000000000000002E-3</v>
      </c>
      <c r="BG107" s="594">
        <v>9.2999999999999992E-3</v>
      </c>
      <c r="BH107" s="594">
        <v>1.06E-2</v>
      </c>
      <c r="BI107" s="594">
        <v>6.1000000000000004E-3</v>
      </c>
      <c r="BJ107" s="594">
        <v>1.01E-2</v>
      </c>
      <c r="BK107" s="594">
        <v>1.38E-2</v>
      </c>
      <c r="BL107" s="594">
        <v>1.4500000000000001E-2</v>
      </c>
      <c r="BM107" s="594">
        <v>1.6000000000000001E-3</v>
      </c>
      <c r="BN107" s="594">
        <v>0.29599999999999999</v>
      </c>
      <c r="BO107" s="594">
        <v>0.06</v>
      </c>
      <c r="BP107" s="594">
        <v>0.312</v>
      </c>
      <c r="BQ107" s="594">
        <v>0.21199999999999999</v>
      </c>
      <c r="BR107" s="594">
        <v>0.18</v>
      </c>
      <c r="BS107" s="594">
        <v>0.1111</v>
      </c>
      <c r="BT107" s="594">
        <v>0.18</v>
      </c>
      <c r="BU107" s="594">
        <v>0.221</v>
      </c>
      <c r="BV107" s="594">
        <v>0.17</v>
      </c>
      <c r="BW107" s="594">
        <v>0.23</v>
      </c>
      <c r="BX107" s="594">
        <v>0.13</v>
      </c>
      <c r="BY107" s="594">
        <v>0.32900000000000001</v>
      </c>
      <c r="BZ107" s="594">
        <v>8.6999999999999994E-2</v>
      </c>
      <c r="CA107" s="594">
        <v>0</v>
      </c>
      <c r="CB107" s="593">
        <v>0.25</v>
      </c>
      <c r="CC107" s="594">
        <v>0.3</v>
      </c>
      <c r="CD107" s="594">
        <v>0.13</v>
      </c>
      <c r="CE107" s="594">
        <v>0.3</v>
      </c>
      <c r="CF107" s="594">
        <v>0.14599999999999999</v>
      </c>
      <c r="CG107" s="594">
        <v>0.22</v>
      </c>
      <c r="CH107" s="594">
        <v>0.27</v>
      </c>
      <c r="CI107" s="594">
        <v>0.25</v>
      </c>
      <c r="CJ107" s="594">
        <v>0</v>
      </c>
      <c r="CK107" s="594">
        <v>5.2499999999999998E-2</v>
      </c>
      <c r="CL107" s="594">
        <v>0.107</v>
      </c>
      <c r="CM107" s="594">
        <v>0.188</v>
      </c>
      <c r="CN107" s="594">
        <v>0.21</v>
      </c>
      <c r="CO107" s="594">
        <v>0.1118</v>
      </c>
      <c r="CP107" s="594">
        <v>0.2</v>
      </c>
      <c r="CQ107" s="594">
        <v>0.35</v>
      </c>
      <c r="CR107" s="594">
        <v>0.35</v>
      </c>
      <c r="CS107" s="597"/>
      <c r="CT107" s="591">
        <v>2.1000000000000001E-2</v>
      </c>
      <c r="CU107" s="1233">
        <v>3.5786999999999999E-2</v>
      </c>
      <c r="CV107" s="591">
        <v>0</v>
      </c>
      <c r="CW107" s="915">
        <v>2.1566999999999999E-2</v>
      </c>
      <c r="CX107" s="591">
        <v>4.2000000000000003E-2</v>
      </c>
      <c r="CY107" s="1234"/>
      <c r="CZ107" s="591">
        <v>2.7E-2</v>
      </c>
      <c r="DA107" s="591">
        <v>2.4E-2</v>
      </c>
      <c r="DB107" s="591">
        <v>1.9E-2</v>
      </c>
      <c r="DC107" s="591"/>
      <c r="DD107" s="591">
        <v>2.5999999999999999E-2</v>
      </c>
      <c r="DE107" s="591">
        <v>3.5000000000000003E-2</v>
      </c>
      <c r="DF107" s="591">
        <v>1.2E-2</v>
      </c>
      <c r="DG107" s="591">
        <v>2.1000000000000001E-2</v>
      </c>
      <c r="DH107" s="591">
        <v>3.6999999999999998E-2</v>
      </c>
      <c r="DI107" s="915">
        <v>3.2761999999999999E-2</v>
      </c>
      <c r="DJ107" s="1234"/>
      <c r="DK107" s="591"/>
      <c r="DL107" s="591">
        <v>2.9000000000000001E-2</v>
      </c>
      <c r="DM107" s="591">
        <v>2.7E-2</v>
      </c>
      <c r="DN107" s="915">
        <v>2.6712E-2</v>
      </c>
      <c r="DO107" s="591">
        <v>2.1000000000000001E-2</v>
      </c>
      <c r="DP107" s="591">
        <v>1.4E-2</v>
      </c>
      <c r="DQ107" s="1234"/>
      <c r="DR107" s="591"/>
      <c r="DS107" s="1234"/>
      <c r="DT107" s="591">
        <v>2.4E-2</v>
      </c>
      <c r="DU107" s="591">
        <v>1.9E-2</v>
      </c>
      <c r="DV107" s="591">
        <v>2.3E-2</v>
      </c>
      <c r="DW107" s="591">
        <v>4.8000000000000001E-2</v>
      </c>
      <c r="DX107" s="591">
        <v>5.1999999999999998E-2</v>
      </c>
      <c r="DY107" s="591">
        <v>1.2E-2</v>
      </c>
      <c r="DZ107" s="916"/>
      <c r="EA107" s="1439"/>
    </row>
    <row r="108" spans="1:131" x14ac:dyDescent="0.3">
      <c r="A108" s="935">
        <v>42278</v>
      </c>
      <c r="B108" s="589">
        <v>0.12</v>
      </c>
      <c r="C108" s="590">
        <v>0.06</v>
      </c>
      <c r="D108" s="590">
        <v>0.04</v>
      </c>
      <c r="E108" s="590">
        <v>0.05</v>
      </c>
      <c r="F108" s="591">
        <v>0.1263</v>
      </c>
      <c r="G108" s="589">
        <v>0.1111</v>
      </c>
      <c r="H108" s="589">
        <v>0.06</v>
      </c>
      <c r="I108" s="590">
        <v>0.08</v>
      </c>
      <c r="J108" s="591">
        <v>0.115</v>
      </c>
      <c r="K108" s="590">
        <v>0.15</v>
      </c>
      <c r="L108" s="589">
        <v>4.2500000000000003E-2</v>
      </c>
      <c r="M108" s="598">
        <v>0.72</v>
      </c>
      <c r="N108" s="590">
        <v>0.1</v>
      </c>
      <c r="O108" s="589">
        <v>0</v>
      </c>
      <c r="P108" s="593">
        <v>7.7499999999999999E-2</v>
      </c>
      <c r="Q108" s="589">
        <v>0.105</v>
      </c>
      <c r="R108" s="590">
        <v>0.2</v>
      </c>
      <c r="S108" s="589">
        <v>2.2499999999999999E-2</v>
      </c>
      <c r="T108" s="594">
        <v>0.107</v>
      </c>
      <c r="U108" s="591">
        <v>6.2E-2</v>
      </c>
      <c r="V108" s="589">
        <v>0.16</v>
      </c>
      <c r="W108" s="589">
        <v>0.11</v>
      </c>
      <c r="X108" s="590">
        <v>0</v>
      </c>
      <c r="Y108" s="590">
        <v>0.1</v>
      </c>
      <c r="Z108" s="589">
        <v>0.1875</v>
      </c>
      <c r="AA108" s="589">
        <v>0</v>
      </c>
      <c r="AB108" s="590">
        <v>0.2</v>
      </c>
      <c r="AC108" s="590">
        <v>0.1</v>
      </c>
      <c r="AD108" s="590">
        <v>0.1</v>
      </c>
      <c r="AE108" s="590">
        <v>0.2</v>
      </c>
      <c r="AF108" s="590">
        <v>0.1</v>
      </c>
      <c r="AG108" s="590">
        <v>0</v>
      </c>
      <c r="AH108" s="594">
        <v>7.6E-3</v>
      </c>
      <c r="AI108" s="594">
        <v>9.4999999999999998E-3</v>
      </c>
      <c r="AJ108" s="594">
        <v>1.8E-3</v>
      </c>
      <c r="AK108" s="594">
        <v>1.2699999999999999E-2</v>
      </c>
      <c r="AL108" s="594">
        <v>1.17E-2</v>
      </c>
      <c r="AM108" s="596"/>
      <c r="AN108" s="594">
        <v>6.4999999999999997E-3</v>
      </c>
      <c r="AO108" s="594">
        <v>7.3000000000000001E-3</v>
      </c>
      <c r="AP108" s="594">
        <v>9.1999999999999998E-3</v>
      </c>
      <c r="AQ108" s="594">
        <v>5.0000000000000001E-3</v>
      </c>
      <c r="AR108" s="594">
        <v>1.0699999999999999E-2</v>
      </c>
      <c r="AS108" s="596"/>
      <c r="AT108" s="594">
        <v>-1.8E-3</v>
      </c>
      <c r="AU108" s="594">
        <v>8.8000000000000005E-3</v>
      </c>
      <c r="AV108" s="593">
        <v>1.17E-2</v>
      </c>
      <c r="AW108" s="594">
        <v>6.8999999999999999E-3</v>
      </c>
      <c r="AX108" s="594">
        <v>9.9000000000000008E-3</v>
      </c>
      <c r="AY108" s="591">
        <v>4.6399999999999997E-2</v>
      </c>
      <c r="AZ108" s="594">
        <v>5.5999999999999999E-3</v>
      </c>
      <c r="BA108" s="594">
        <v>8.0000000000000002E-3</v>
      </c>
      <c r="BB108" s="594">
        <v>4.5999999999999999E-3</v>
      </c>
      <c r="BC108" s="594">
        <v>7.7000000000000002E-3</v>
      </c>
      <c r="BD108" s="594">
        <v>2.5999999999999999E-3</v>
      </c>
      <c r="BE108" s="594">
        <v>7.1999999999999998E-3</v>
      </c>
      <c r="BF108" s="594">
        <v>6.7000000000000002E-3</v>
      </c>
      <c r="BG108" s="594">
        <v>9.2999999999999992E-3</v>
      </c>
      <c r="BH108" s="594">
        <v>1.06E-2</v>
      </c>
      <c r="BI108" s="594">
        <v>6.1000000000000004E-3</v>
      </c>
      <c r="BJ108" s="594">
        <v>1.01E-2</v>
      </c>
      <c r="BK108" s="594">
        <v>1.38E-2</v>
      </c>
      <c r="BL108" s="594">
        <v>1.4500000000000001E-2</v>
      </c>
      <c r="BM108" s="594">
        <v>1.6000000000000001E-3</v>
      </c>
      <c r="BN108" s="594">
        <v>0.29599999999999999</v>
      </c>
      <c r="BO108" s="594">
        <v>0.06</v>
      </c>
      <c r="BP108" s="594">
        <v>0.312</v>
      </c>
      <c r="BQ108" s="594">
        <v>0.21199999999999999</v>
      </c>
      <c r="BR108" s="594">
        <v>0.18</v>
      </c>
      <c r="BS108" s="594">
        <v>0.1111</v>
      </c>
      <c r="BT108" s="594">
        <v>0.18</v>
      </c>
      <c r="BU108" s="594">
        <v>0.221</v>
      </c>
      <c r="BV108" s="594">
        <v>0.17</v>
      </c>
      <c r="BW108" s="594">
        <v>0.23</v>
      </c>
      <c r="BX108" s="594">
        <v>0.13</v>
      </c>
      <c r="BY108" s="594">
        <v>0.32900000000000001</v>
      </c>
      <c r="BZ108" s="594">
        <v>8.6999999999999994E-2</v>
      </c>
      <c r="CA108" s="594">
        <v>0</v>
      </c>
      <c r="CB108" s="593">
        <v>0.25</v>
      </c>
      <c r="CC108" s="594">
        <v>0.3</v>
      </c>
      <c r="CD108" s="594">
        <v>0.13</v>
      </c>
      <c r="CE108" s="594">
        <v>0.3</v>
      </c>
      <c r="CF108" s="594">
        <v>0.14599999999999999</v>
      </c>
      <c r="CG108" s="594">
        <v>0.22</v>
      </c>
      <c r="CH108" s="594">
        <v>0.27</v>
      </c>
      <c r="CI108" s="594">
        <v>0.25</v>
      </c>
      <c r="CJ108" s="594">
        <v>0</v>
      </c>
      <c r="CK108" s="594">
        <v>5.2499999999999998E-2</v>
      </c>
      <c r="CL108" s="594">
        <v>0.107</v>
      </c>
      <c r="CM108" s="594">
        <v>0.188</v>
      </c>
      <c r="CN108" s="594">
        <v>0.21</v>
      </c>
      <c r="CO108" s="594">
        <v>0.1118</v>
      </c>
      <c r="CP108" s="594">
        <v>0.2</v>
      </c>
      <c r="CQ108" s="594">
        <v>0.35</v>
      </c>
      <c r="CR108" s="594">
        <v>0.35</v>
      </c>
      <c r="CS108" s="597"/>
      <c r="CT108" s="591">
        <v>2.1000000000000001E-2</v>
      </c>
      <c r="CU108" s="1233">
        <v>3.5786999999999999E-2</v>
      </c>
      <c r="CV108" s="591">
        <v>0</v>
      </c>
      <c r="CW108" s="915">
        <v>2.1566999999999999E-2</v>
      </c>
      <c r="CX108" s="591">
        <v>4.2000000000000003E-2</v>
      </c>
      <c r="CY108" s="1234"/>
      <c r="CZ108" s="591">
        <v>2.7E-2</v>
      </c>
      <c r="DA108" s="591">
        <v>2.4E-2</v>
      </c>
      <c r="DB108" s="591">
        <v>1.9E-2</v>
      </c>
      <c r="DC108" s="591"/>
      <c r="DD108" s="591">
        <v>2.5999999999999999E-2</v>
      </c>
      <c r="DE108" s="591">
        <v>3.5000000000000003E-2</v>
      </c>
      <c r="DF108" s="591">
        <v>1.2E-2</v>
      </c>
      <c r="DG108" s="591">
        <v>2.1000000000000001E-2</v>
      </c>
      <c r="DH108" s="591">
        <v>3.6999999999999998E-2</v>
      </c>
      <c r="DI108" s="915">
        <v>3.2761999999999999E-2</v>
      </c>
      <c r="DJ108" s="1234"/>
      <c r="DK108" s="591"/>
      <c r="DL108" s="591">
        <v>2.9000000000000001E-2</v>
      </c>
      <c r="DM108" s="591">
        <v>2.7E-2</v>
      </c>
      <c r="DN108" s="915">
        <v>2.6712E-2</v>
      </c>
      <c r="DO108" s="591">
        <v>2.1000000000000001E-2</v>
      </c>
      <c r="DP108" s="591">
        <v>1.4E-2</v>
      </c>
      <c r="DQ108" s="1234"/>
      <c r="DR108" s="591"/>
      <c r="DS108" s="1234"/>
      <c r="DT108" s="591">
        <v>2.4E-2</v>
      </c>
      <c r="DU108" s="591">
        <v>1.9E-2</v>
      </c>
      <c r="DV108" s="591">
        <v>2.3E-2</v>
      </c>
      <c r="DW108" s="591">
        <v>4.8000000000000001E-2</v>
      </c>
      <c r="DX108" s="591">
        <v>5.1999999999999998E-2</v>
      </c>
      <c r="DY108" s="591">
        <v>1.2E-2</v>
      </c>
      <c r="DZ108" s="916"/>
      <c r="EA108" s="1439"/>
    </row>
    <row r="109" spans="1:131" x14ac:dyDescent="0.3">
      <c r="A109" s="935">
        <v>42309</v>
      </c>
      <c r="B109" s="589">
        <v>0.12</v>
      </c>
      <c r="C109" s="590">
        <v>0.06</v>
      </c>
      <c r="D109" s="590">
        <v>0.04</v>
      </c>
      <c r="E109" s="590">
        <v>0.05</v>
      </c>
      <c r="F109" s="591">
        <v>0.1263</v>
      </c>
      <c r="G109" s="589">
        <v>0.1111</v>
      </c>
      <c r="H109" s="589">
        <v>0.06</v>
      </c>
      <c r="I109" s="590">
        <v>0.08</v>
      </c>
      <c r="J109" s="591">
        <v>0.115</v>
      </c>
      <c r="K109" s="590">
        <v>0.15</v>
      </c>
      <c r="L109" s="589">
        <v>4.2500000000000003E-2</v>
      </c>
      <c r="M109" s="598">
        <v>0.72</v>
      </c>
      <c r="N109" s="590">
        <v>0.1</v>
      </c>
      <c r="O109" s="589">
        <v>0</v>
      </c>
      <c r="P109" s="593">
        <v>7.7499999999999999E-2</v>
      </c>
      <c r="Q109" s="589">
        <v>0.105</v>
      </c>
      <c r="R109" s="590">
        <v>0.2</v>
      </c>
      <c r="S109" s="589">
        <v>2.2499999999999999E-2</v>
      </c>
      <c r="T109" s="594">
        <v>0.107</v>
      </c>
      <c r="U109" s="591">
        <v>6.2E-2</v>
      </c>
      <c r="V109" s="589">
        <v>0.16</v>
      </c>
      <c r="W109" s="589">
        <v>0.11</v>
      </c>
      <c r="X109" s="590">
        <v>0</v>
      </c>
      <c r="Y109" s="590">
        <v>0.1</v>
      </c>
      <c r="Z109" s="589">
        <v>0.1875</v>
      </c>
      <c r="AA109" s="589">
        <v>0</v>
      </c>
      <c r="AB109" s="590">
        <v>0.2</v>
      </c>
      <c r="AC109" s="590">
        <v>0.1</v>
      </c>
      <c r="AD109" s="590">
        <v>0.1</v>
      </c>
      <c r="AE109" s="590">
        <v>0.2</v>
      </c>
      <c r="AF109" s="590">
        <v>0.1</v>
      </c>
      <c r="AG109" s="590">
        <v>0</v>
      </c>
      <c r="AH109" s="594">
        <v>7.6E-3</v>
      </c>
      <c r="AI109" s="594">
        <v>9.4999999999999998E-3</v>
      </c>
      <c r="AJ109" s="594">
        <v>1.8E-3</v>
      </c>
      <c r="AK109" s="594">
        <v>1.2699999999999999E-2</v>
      </c>
      <c r="AL109" s="594">
        <v>1.17E-2</v>
      </c>
      <c r="AM109" s="596"/>
      <c r="AN109" s="594">
        <v>6.4999999999999997E-3</v>
      </c>
      <c r="AO109" s="594">
        <v>7.3000000000000001E-3</v>
      </c>
      <c r="AP109" s="594">
        <v>9.1999999999999998E-3</v>
      </c>
      <c r="AQ109" s="594">
        <v>5.0000000000000001E-3</v>
      </c>
      <c r="AR109" s="594">
        <v>1.0699999999999999E-2</v>
      </c>
      <c r="AS109" s="596"/>
      <c r="AT109" s="594">
        <v>-1.8E-3</v>
      </c>
      <c r="AU109" s="594">
        <v>8.8000000000000005E-3</v>
      </c>
      <c r="AV109" s="593">
        <v>1.17E-2</v>
      </c>
      <c r="AW109" s="594">
        <v>6.8999999999999999E-3</v>
      </c>
      <c r="AX109" s="594">
        <v>9.9000000000000008E-3</v>
      </c>
      <c r="AY109" s="591">
        <v>4.6399999999999997E-2</v>
      </c>
      <c r="AZ109" s="594">
        <v>5.5999999999999999E-3</v>
      </c>
      <c r="BA109" s="594">
        <v>8.0000000000000002E-3</v>
      </c>
      <c r="BB109" s="594">
        <v>4.5999999999999999E-3</v>
      </c>
      <c r="BC109" s="594">
        <v>7.7000000000000002E-3</v>
      </c>
      <c r="BD109" s="594">
        <v>2.5999999999999999E-3</v>
      </c>
      <c r="BE109" s="594">
        <v>7.1999999999999998E-3</v>
      </c>
      <c r="BF109" s="594">
        <v>6.7000000000000002E-3</v>
      </c>
      <c r="BG109" s="594">
        <v>9.2999999999999992E-3</v>
      </c>
      <c r="BH109" s="594">
        <v>1.06E-2</v>
      </c>
      <c r="BI109" s="594">
        <v>6.1000000000000004E-3</v>
      </c>
      <c r="BJ109" s="594">
        <v>1.01E-2</v>
      </c>
      <c r="BK109" s="594">
        <v>1.38E-2</v>
      </c>
      <c r="BL109" s="594">
        <v>1.4500000000000001E-2</v>
      </c>
      <c r="BM109" s="594">
        <v>1.6000000000000001E-3</v>
      </c>
      <c r="BN109" s="594">
        <v>0.29599999999999999</v>
      </c>
      <c r="BO109" s="594">
        <v>0.06</v>
      </c>
      <c r="BP109" s="594">
        <v>0.312</v>
      </c>
      <c r="BQ109" s="594">
        <v>0.21199999999999999</v>
      </c>
      <c r="BR109" s="594">
        <v>0.18</v>
      </c>
      <c r="BS109" s="594">
        <v>0.1111</v>
      </c>
      <c r="BT109" s="594">
        <v>0.18</v>
      </c>
      <c r="BU109" s="594">
        <v>0.221</v>
      </c>
      <c r="BV109" s="594">
        <v>0.17</v>
      </c>
      <c r="BW109" s="594">
        <v>0.23</v>
      </c>
      <c r="BX109" s="594">
        <v>0.13</v>
      </c>
      <c r="BY109" s="594">
        <v>0.32900000000000001</v>
      </c>
      <c r="BZ109" s="594">
        <v>8.6999999999999994E-2</v>
      </c>
      <c r="CA109" s="594">
        <v>0</v>
      </c>
      <c r="CB109" s="593">
        <v>0.25</v>
      </c>
      <c r="CC109" s="594">
        <v>0.3</v>
      </c>
      <c r="CD109" s="594">
        <v>0.13</v>
      </c>
      <c r="CE109" s="594">
        <v>0.3</v>
      </c>
      <c r="CF109" s="594">
        <v>0.14599999999999999</v>
      </c>
      <c r="CG109" s="594">
        <v>0.22</v>
      </c>
      <c r="CH109" s="594">
        <v>0.27</v>
      </c>
      <c r="CI109" s="594">
        <v>0.25</v>
      </c>
      <c r="CJ109" s="594">
        <v>0</v>
      </c>
      <c r="CK109" s="594">
        <v>5.2499999999999998E-2</v>
      </c>
      <c r="CL109" s="594">
        <v>0.107</v>
      </c>
      <c r="CM109" s="594">
        <v>0.188</v>
      </c>
      <c r="CN109" s="594">
        <v>0.21</v>
      </c>
      <c r="CO109" s="594">
        <v>0.1118</v>
      </c>
      <c r="CP109" s="594">
        <v>0.2</v>
      </c>
      <c r="CQ109" s="594">
        <v>0.35</v>
      </c>
      <c r="CR109" s="594">
        <v>0.35</v>
      </c>
      <c r="CS109" s="597"/>
      <c r="CT109" s="591">
        <v>2.1000000000000001E-2</v>
      </c>
      <c r="CU109" s="1233">
        <v>3.5786999999999999E-2</v>
      </c>
      <c r="CV109" s="591">
        <v>0</v>
      </c>
      <c r="CW109" s="915">
        <v>2.1566999999999999E-2</v>
      </c>
      <c r="CX109" s="591">
        <v>4.2000000000000003E-2</v>
      </c>
      <c r="CY109" s="1234"/>
      <c r="CZ109" s="591">
        <v>2.7E-2</v>
      </c>
      <c r="DA109" s="591">
        <v>2.4E-2</v>
      </c>
      <c r="DB109" s="591">
        <v>1.9E-2</v>
      </c>
      <c r="DC109" s="591"/>
      <c r="DD109" s="591">
        <v>2.5999999999999999E-2</v>
      </c>
      <c r="DE109" s="591">
        <v>3.5000000000000003E-2</v>
      </c>
      <c r="DF109" s="591">
        <v>1.2E-2</v>
      </c>
      <c r="DG109" s="591">
        <v>2.1000000000000001E-2</v>
      </c>
      <c r="DH109" s="591">
        <v>3.6999999999999998E-2</v>
      </c>
      <c r="DI109" s="915">
        <v>3.2761999999999999E-2</v>
      </c>
      <c r="DJ109" s="1234"/>
      <c r="DK109" s="591"/>
      <c r="DL109" s="591">
        <v>2.9000000000000001E-2</v>
      </c>
      <c r="DM109" s="591">
        <v>2.7E-2</v>
      </c>
      <c r="DN109" s="915">
        <v>2.6712E-2</v>
      </c>
      <c r="DO109" s="591">
        <v>2.1000000000000001E-2</v>
      </c>
      <c r="DP109" s="591">
        <v>1.4E-2</v>
      </c>
      <c r="DQ109" s="1234"/>
      <c r="DR109" s="591"/>
      <c r="DS109" s="1234"/>
      <c r="DT109" s="591">
        <v>2.4E-2</v>
      </c>
      <c r="DU109" s="591">
        <v>1.9E-2</v>
      </c>
      <c r="DV109" s="591">
        <v>2.3E-2</v>
      </c>
      <c r="DW109" s="591">
        <v>4.8000000000000001E-2</v>
      </c>
      <c r="DX109" s="591">
        <v>5.1999999999999998E-2</v>
      </c>
      <c r="DY109" s="591">
        <v>1.2E-2</v>
      </c>
      <c r="DZ109" s="916"/>
      <c r="EA109" s="1439"/>
    </row>
    <row r="110" spans="1:131" x14ac:dyDescent="0.3">
      <c r="A110" s="935">
        <v>42339</v>
      </c>
      <c r="B110" s="589">
        <v>0.12</v>
      </c>
      <c r="C110" s="590">
        <v>0.06</v>
      </c>
      <c r="D110" s="590">
        <v>0.04</v>
      </c>
      <c r="E110" s="590">
        <v>0.05</v>
      </c>
      <c r="F110" s="591">
        <v>0.1263</v>
      </c>
      <c r="G110" s="589">
        <v>0.1111</v>
      </c>
      <c r="H110" s="589">
        <v>0.06</v>
      </c>
      <c r="I110" s="590">
        <v>0.08</v>
      </c>
      <c r="J110" s="591">
        <v>0.115</v>
      </c>
      <c r="K110" s="590">
        <v>0.15</v>
      </c>
      <c r="L110" s="589">
        <v>4.2500000000000003E-2</v>
      </c>
      <c r="M110" s="598">
        <v>0.72</v>
      </c>
      <c r="N110" s="590">
        <v>0.1</v>
      </c>
      <c r="O110" s="589">
        <v>0</v>
      </c>
      <c r="P110" s="593">
        <v>7.7499999999999999E-2</v>
      </c>
      <c r="Q110" s="589">
        <v>0.105</v>
      </c>
      <c r="R110" s="590">
        <v>0.2</v>
      </c>
      <c r="S110" s="589">
        <v>2.2499999999999999E-2</v>
      </c>
      <c r="T110" s="594">
        <v>0.107</v>
      </c>
      <c r="U110" s="591">
        <v>6.2E-2</v>
      </c>
      <c r="V110" s="589">
        <v>0.16</v>
      </c>
      <c r="W110" s="589">
        <v>0.11</v>
      </c>
      <c r="X110" s="590">
        <v>0</v>
      </c>
      <c r="Y110" s="590">
        <v>0.1</v>
      </c>
      <c r="Z110" s="589">
        <v>0.1875</v>
      </c>
      <c r="AA110" s="589">
        <v>0</v>
      </c>
      <c r="AB110" s="590">
        <v>0.2</v>
      </c>
      <c r="AC110" s="590">
        <v>0.1</v>
      </c>
      <c r="AD110" s="590">
        <v>0.1</v>
      </c>
      <c r="AE110" s="590">
        <v>0.2</v>
      </c>
      <c r="AF110" s="590">
        <v>0.1</v>
      </c>
      <c r="AG110" s="590">
        <v>0</v>
      </c>
      <c r="AH110" s="594">
        <v>7.6E-3</v>
      </c>
      <c r="AI110" s="594">
        <v>9.4999999999999998E-3</v>
      </c>
      <c r="AJ110" s="594">
        <v>1.8E-3</v>
      </c>
      <c r="AK110" s="594">
        <v>1.2699999999999999E-2</v>
      </c>
      <c r="AL110" s="594">
        <v>1.17E-2</v>
      </c>
      <c r="AM110" s="596"/>
      <c r="AN110" s="594">
        <v>6.4999999999999997E-3</v>
      </c>
      <c r="AO110" s="594">
        <v>7.3000000000000001E-3</v>
      </c>
      <c r="AP110" s="594">
        <v>9.1999999999999998E-3</v>
      </c>
      <c r="AQ110" s="594">
        <v>5.0000000000000001E-3</v>
      </c>
      <c r="AR110" s="594">
        <v>1.0699999999999999E-2</v>
      </c>
      <c r="AS110" s="596"/>
      <c r="AT110" s="594">
        <v>-1.8E-3</v>
      </c>
      <c r="AU110" s="594">
        <v>8.8000000000000005E-3</v>
      </c>
      <c r="AV110" s="593">
        <v>1.17E-2</v>
      </c>
      <c r="AW110" s="594">
        <v>6.8999999999999999E-3</v>
      </c>
      <c r="AX110" s="594">
        <v>9.9000000000000008E-3</v>
      </c>
      <c r="AY110" s="591">
        <v>4.6399999999999997E-2</v>
      </c>
      <c r="AZ110" s="594">
        <v>5.5999999999999999E-3</v>
      </c>
      <c r="BA110" s="594">
        <v>8.0000000000000002E-3</v>
      </c>
      <c r="BB110" s="594">
        <v>4.5999999999999999E-3</v>
      </c>
      <c r="BC110" s="594">
        <v>7.7000000000000002E-3</v>
      </c>
      <c r="BD110" s="594">
        <v>2.5999999999999999E-3</v>
      </c>
      <c r="BE110" s="594">
        <v>7.1999999999999998E-3</v>
      </c>
      <c r="BF110" s="594">
        <v>6.7000000000000002E-3</v>
      </c>
      <c r="BG110" s="594">
        <v>9.2999999999999992E-3</v>
      </c>
      <c r="BH110" s="594">
        <v>1.06E-2</v>
      </c>
      <c r="BI110" s="594">
        <v>6.1000000000000004E-3</v>
      </c>
      <c r="BJ110" s="594">
        <v>1.01E-2</v>
      </c>
      <c r="BK110" s="594">
        <v>1.38E-2</v>
      </c>
      <c r="BL110" s="594">
        <v>1.4500000000000001E-2</v>
      </c>
      <c r="BM110" s="594">
        <v>1.6000000000000001E-3</v>
      </c>
      <c r="BN110" s="594">
        <v>0.29599999999999999</v>
      </c>
      <c r="BO110" s="594">
        <v>0.06</v>
      </c>
      <c r="BP110" s="594">
        <v>0.312</v>
      </c>
      <c r="BQ110" s="594">
        <v>0.21199999999999999</v>
      </c>
      <c r="BR110" s="594">
        <v>0.18</v>
      </c>
      <c r="BS110" s="594">
        <v>0.1111</v>
      </c>
      <c r="BT110" s="594">
        <v>0.18</v>
      </c>
      <c r="BU110" s="594">
        <v>0.221</v>
      </c>
      <c r="BV110" s="594">
        <v>0.17</v>
      </c>
      <c r="BW110" s="594">
        <v>0.23</v>
      </c>
      <c r="BX110" s="594">
        <v>0.13</v>
      </c>
      <c r="BY110" s="594">
        <v>0.32900000000000001</v>
      </c>
      <c r="BZ110" s="594">
        <v>8.6999999999999994E-2</v>
      </c>
      <c r="CA110" s="594">
        <v>0</v>
      </c>
      <c r="CB110" s="593">
        <v>0.25</v>
      </c>
      <c r="CC110" s="594">
        <v>0.3</v>
      </c>
      <c r="CD110" s="594">
        <v>0.13</v>
      </c>
      <c r="CE110" s="594">
        <v>0.3</v>
      </c>
      <c r="CF110" s="594">
        <v>0.14599999999999999</v>
      </c>
      <c r="CG110" s="594">
        <v>0.22</v>
      </c>
      <c r="CH110" s="594">
        <v>0.27</v>
      </c>
      <c r="CI110" s="594">
        <v>0.25</v>
      </c>
      <c r="CJ110" s="594">
        <v>0</v>
      </c>
      <c r="CK110" s="594">
        <v>5.2499999999999998E-2</v>
      </c>
      <c r="CL110" s="594">
        <v>0.107</v>
      </c>
      <c r="CM110" s="594">
        <v>0.188</v>
      </c>
      <c r="CN110" s="594">
        <v>0.21</v>
      </c>
      <c r="CO110" s="594">
        <v>0.1118</v>
      </c>
      <c r="CP110" s="594">
        <v>0.2</v>
      </c>
      <c r="CQ110" s="594">
        <v>0.35</v>
      </c>
      <c r="CR110" s="594">
        <v>0.35</v>
      </c>
      <c r="CS110" s="597"/>
      <c r="CT110" s="591">
        <v>2.1000000000000001E-2</v>
      </c>
      <c r="CU110" s="1233">
        <v>3.5786999999999999E-2</v>
      </c>
      <c r="CV110" s="591">
        <v>0</v>
      </c>
      <c r="CW110" s="915">
        <v>2.1566999999999999E-2</v>
      </c>
      <c r="CX110" s="591">
        <v>4.2000000000000003E-2</v>
      </c>
      <c r="CY110" s="1234"/>
      <c r="CZ110" s="591">
        <v>2.7E-2</v>
      </c>
      <c r="DA110" s="591">
        <v>2.4E-2</v>
      </c>
      <c r="DB110" s="591">
        <v>1.9E-2</v>
      </c>
      <c r="DC110" s="591"/>
      <c r="DD110" s="591">
        <v>2.5999999999999999E-2</v>
      </c>
      <c r="DE110" s="591">
        <v>3.5000000000000003E-2</v>
      </c>
      <c r="DF110" s="591">
        <v>1.2E-2</v>
      </c>
      <c r="DG110" s="591">
        <v>2.1000000000000001E-2</v>
      </c>
      <c r="DH110" s="591">
        <v>3.6999999999999998E-2</v>
      </c>
      <c r="DI110" s="915">
        <v>3.2761999999999999E-2</v>
      </c>
      <c r="DJ110" s="1234"/>
      <c r="DK110" s="591">
        <v>0.14000000000000001</v>
      </c>
      <c r="DL110" s="591">
        <v>2.9000000000000001E-2</v>
      </c>
      <c r="DM110" s="591">
        <v>2.7E-2</v>
      </c>
      <c r="DN110" s="915">
        <v>2.6712E-2</v>
      </c>
      <c r="DO110" s="591">
        <v>2.1000000000000001E-2</v>
      </c>
      <c r="DP110" s="591">
        <v>1.4E-2</v>
      </c>
      <c r="DQ110" s="1234"/>
      <c r="DR110" s="591"/>
      <c r="DS110" s="1234"/>
      <c r="DT110" s="591">
        <v>2.4E-2</v>
      </c>
      <c r="DU110" s="591">
        <v>1.9E-2</v>
      </c>
      <c r="DV110" s="591">
        <v>2.3E-2</v>
      </c>
      <c r="DW110" s="591">
        <v>4.8000000000000001E-2</v>
      </c>
      <c r="DX110" s="591">
        <v>5.1999999999999998E-2</v>
      </c>
      <c r="DY110" s="591">
        <v>1.2E-2</v>
      </c>
      <c r="DZ110" s="916"/>
      <c r="EA110" s="1439"/>
    </row>
    <row r="111" spans="1:131" x14ac:dyDescent="0.3">
      <c r="A111" s="935">
        <v>42370</v>
      </c>
      <c r="B111" s="589">
        <v>0.13</v>
      </c>
      <c r="C111" s="590">
        <v>0.06</v>
      </c>
      <c r="D111" s="590">
        <v>0.04</v>
      </c>
      <c r="E111" s="590">
        <v>0.05</v>
      </c>
      <c r="F111" s="591">
        <v>0.1263</v>
      </c>
      <c r="G111" s="589">
        <v>0.1111</v>
      </c>
      <c r="H111" s="589">
        <v>0.1</v>
      </c>
      <c r="I111" s="590">
        <v>0.1</v>
      </c>
      <c r="J111" s="591">
        <v>0.115</v>
      </c>
      <c r="K111" s="590">
        <v>0.15</v>
      </c>
      <c r="L111" s="589">
        <v>4.2500000000000003E-2</v>
      </c>
      <c r="M111" s="592">
        <v>0.76</v>
      </c>
      <c r="N111" s="590">
        <v>0.1</v>
      </c>
      <c r="O111" s="589">
        <v>0</v>
      </c>
      <c r="P111" s="593">
        <v>7.7499999999999999E-2</v>
      </c>
      <c r="Q111" s="589">
        <v>0.105</v>
      </c>
      <c r="R111" s="590">
        <v>0.2</v>
      </c>
      <c r="S111" s="589">
        <v>2.2499999999999999E-2</v>
      </c>
      <c r="T111" s="594">
        <v>0.107</v>
      </c>
      <c r="U111" s="591">
        <v>6.2E-2</v>
      </c>
      <c r="V111" s="589">
        <v>0.16</v>
      </c>
      <c r="W111" s="589">
        <v>0.11</v>
      </c>
      <c r="X111" s="590">
        <v>0</v>
      </c>
      <c r="Y111" s="590">
        <v>0.1</v>
      </c>
      <c r="Z111" s="589">
        <v>0.2</v>
      </c>
      <c r="AA111" s="589">
        <v>0</v>
      </c>
      <c r="AB111" s="590">
        <v>0.2</v>
      </c>
      <c r="AC111" s="590">
        <v>0.1</v>
      </c>
      <c r="AD111" s="590">
        <v>0.12</v>
      </c>
      <c r="AE111" s="590">
        <v>0.2</v>
      </c>
      <c r="AF111" s="591">
        <v>0.12</v>
      </c>
      <c r="AG111" s="590">
        <v>0</v>
      </c>
      <c r="AH111" s="594">
        <v>7.6E-3</v>
      </c>
      <c r="AI111" s="594">
        <v>9.4999999999999998E-3</v>
      </c>
      <c r="AJ111" s="594">
        <v>1.8E-3</v>
      </c>
      <c r="AK111" s="594">
        <v>1.2699999999999999E-2</v>
      </c>
      <c r="AL111" s="594">
        <v>1.17E-2</v>
      </c>
      <c r="AM111" s="596"/>
      <c r="AN111" s="594">
        <v>6.4999999999999997E-3</v>
      </c>
      <c r="AO111" s="594">
        <v>7.3000000000000001E-3</v>
      </c>
      <c r="AP111" s="594">
        <v>9.1999999999999998E-3</v>
      </c>
      <c r="AQ111" s="594">
        <v>5.0000000000000001E-3</v>
      </c>
      <c r="AR111" s="594">
        <v>1.0699999999999999E-2</v>
      </c>
      <c r="AS111" s="596"/>
      <c r="AT111" s="594">
        <v>-1.8E-3</v>
      </c>
      <c r="AU111" s="594">
        <v>8.8000000000000005E-3</v>
      </c>
      <c r="AV111" s="593">
        <v>1.17E-2</v>
      </c>
      <c r="AW111" s="594">
        <v>6.8999999999999999E-3</v>
      </c>
      <c r="AX111" s="594">
        <v>9.9000000000000008E-3</v>
      </c>
      <c r="AY111" s="594">
        <v>4.6399999999999997E-2</v>
      </c>
      <c r="AZ111" s="594">
        <v>5.5999999999999999E-3</v>
      </c>
      <c r="BA111" s="594">
        <v>8.0000000000000002E-3</v>
      </c>
      <c r="BB111" s="594">
        <v>4.5999999999999999E-3</v>
      </c>
      <c r="BC111" s="594">
        <v>7.7000000000000002E-3</v>
      </c>
      <c r="BD111" s="594">
        <v>2.5999999999999999E-3</v>
      </c>
      <c r="BE111" s="594">
        <v>7.1999999999999998E-3</v>
      </c>
      <c r="BF111" s="594">
        <v>6.7000000000000002E-3</v>
      </c>
      <c r="BG111" s="594">
        <v>9.2999999999999992E-3</v>
      </c>
      <c r="BH111" s="594">
        <v>1.06E-2</v>
      </c>
      <c r="BI111" s="594">
        <v>6.1000000000000004E-3</v>
      </c>
      <c r="BJ111" s="594">
        <v>1.01E-2</v>
      </c>
      <c r="BK111" s="594">
        <v>1.38E-2</v>
      </c>
      <c r="BL111" s="594">
        <v>1.4500000000000001E-2</v>
      </c>
      <c r="BM111" s="594">
        <v>1.6000000000000001E-3</v>
      </c>
      <c r="BN111" s="594">
        <v>0.29599999999999999</v>
      </c>
      <c r="BO111" s="594">
        <v>0.06</v>
      </c>
      <c r="BP111" s="594">
        <v>0.312</v>
      </c>
      <c r="BQ111" s="594">
        <v>0.21199999999999999</v>
      </c>
      <c r="BR111" s="594">
        <v>0.18</v>
      </c>
      <c r="BS111" s="594">
        <v>0.1111</v>
      </c>
      <c r="BT111" s="594">
        <v>0.25</v>
      </c>
      <c r="BU111" s="594">
        <v>0.221</v>
      </c>
      <c r="BV111" s="594">
        <v>0.17</v>
      </c>
      <c r="BW111" s="594">
        <v>0.2</v>
      </c>
      <c r="BX111" s="594">
        <v>0.13</v>
      </c>
      <c r="BY111" s="594">
        <v>0.32900000000000001</v>
      </c>
      <c r="BZ111" s="594">
        <v>8.6999999999999994E-2</v>
      </c>
      <c r="CA111" s="594">
        <v>0</v>
      </c>
      <c r="CB111" s="593">
        <v>0.25</v>
      </c>
      <c r="CC111" s="594">
        <v>0.3</v>
      </c>
      <c r="CD111" s="594">
        <v>0.13</v>
      </c>
      <c r="CE111" s="594">
        <v>0.3</v>
      </c>
      <c r="CF111" s="594">
        <v>0.14599999999999999</v>
      </c>
      <c r="CG111" s="594">
        <v>0.22</v>
      </c>
      <c r="CH111" s="594">
        <v>0.27</v>
      </c>
      <c r="CI111" s="594">
        <v>0.25</v>
      </c>
      <c r="CJ111" s="594">
        <v>0</v>
      </c>
      <c r="CK111" s="594">
        <v>5.2499999999999998E-2</v>
      </c>
      <c r="CL111" s="594">
        <v>0.107</v>
      </c>
      <c r="CM111" s="594">
        <v>0.188</v>
      </c>
      <c r="CN111" s="594">
        <v>0.25</v>
      </c>
      <c r="CO111" s="594">
        <v>0.1118</v>
      </c>
      <c r="CP111" s="594">
        <v>0.2</v>
      </c>
      <c r="CQ111" s="594">
        <v>0.35</v>
      </c>
      <c r="CR111" s="594">
        <v>0.35</v>
      </c>
      <c r="CS111" s="597"/>
      <c r="CT111" s="591">
        <v>2.1000000000000001E-2</v>
      </c>
      <c r="CU111" s="1233">
        <v>3.5786999999999999E-2</v>
      </c>
      <c r="CV111" s="591">
        <v>0</v>
      </c>
      <c r="CW111" s="915">
        <v>2.1566999999999999E-2</v>
      </c>
      <c r="CX111" s="591">
        <v>4.2000000000000003E-2</v>
      </c>
      <c r="CY111" s="1234"/>
      <c r="CZ111" s="591">
        <v>2.7E-2</v>
      </c>
      <c r="DA111" s="591">
        <v>2.4E-2</v>
      </c>
      <c r="DB111" s="591">
        <v>1.9E-2</v>
      </c>
      <c r="DC111" s="591">
        <v>0.02</v>
      </c>
      <c r="DD111" s="591">
        <v>2.5999999999999999E-2</v>
      </c>
      <c r="DE111" s="591">
        <v>3.5000000000000003E-2</v>
      </c>
      <c r="DF111" s="591">
        <v>1.2E-2</v>
      </c>
      <c r="DG111" s="591">
        <v>2.1000000000000001E-2</v>
      </c>
      <c r="DH111" s="591">
        <v>3.6999999999999998E-2</v>
      </c>
      <c r="DI111" s="915">
        <v>3.2761999999999999E-2</v>
      </c>
      <c r="DJ111" s="1234"/>
      <c r="DK111" s="591">
        <v>0.14000000000000001</v>
      </c>
      <c r="DL111" s="591">
        <v>2.9000000000000001E-2</v>
      </c>
      <c r="DM111" s="591">
        <v>2.7E-2</v>
      </c>
      <c r="DN111" s="915">
        <v>2.6712E-2</v>
      </c>
      <c r="DO111" s="591">
        <v>2.1000000000000001E-2</v>
      </c>
      <c r="DP111" s="591">
        <v>1.4E-2</v>
      </c>
      <c r="DQ111" s="1234"/>
      <c r="DR111" s="591"/>
      <c r="DS111" s="1234"/>
      <c r="DT111" s="591">
        <v>2.4E-2</v>
      </c>
      <c r="DU111" s="591">
        <v>1.9E-2</v>
      </c>
      <c r="DV111" s="591">
        <v>2.3E-2</v>
      </c>
      <c r="DW111" s="591">
        <v>4.8000000000000001E-2</v>
      </c>
      <c r="DX111" s="591">
        <v>5.1999999999999998E-2</v>
      </c>
      <c r="DY111" s="591">
        <v>1.2E-2</v>
      </c>
      <c r="DZ111" s="916"/>
      <c r="EA111" s="1439"/>
    </row>
    <row r="112" spans="1:131" x14ac:dyDescent="0.3">
      <c r="A112" s="935">
        <v>42401</v>
      </c>
      <c r="B112" s="589">
        <v>0.13</v>
      </c>
      <c r="C112" s="590">
        <v>0.06</v>
      </c>
      <c r="D112" s="590">
        <v>0.04</v>
      </c>
      <c r="E112" s="590">
        <v>0.05</v>
      </c>
      <c r="F112" s="591">
        <v>0.1263</v>
      </c>
      <c r="G112" s="589">
        <v>0.1111</v>
      </c>
      <c r="H112" s="589">
        <v>0.1</v>
      </c>
      <c r="I112" s="590">
        <v>0.1</v>
      </c>
      <c r="J112" s="591">
        <v>0.115</v>
      </c>
      <c r="K112" s="590">
        <v>0.15</v>
      </c>
      <c r="L112" s="589">
        <v>4.2500000000000003E-2</v>
      </c>
      <c r="M112" s="592">
        <v>0.76</v>
      </c>
      <c r="N112" s="590">
        <v>0.1</v>
      </c>
      <c r="O112" s="589">
        <v>0</v>
      </c>
      <c r="P112" s="593">
        <v>7.7499999999999999E-2</v>
      </c>
      <c r="Q112" s="589">
        <v>0.105</v>
      </c>
      <c r="R112" s="590">
        <v>0.2</v>
      </c>
      <c r="S112" s="589">
        <v>2.2499999999999999E-2</v>
      </c>
      <c r="T112" s="594">
        <v>0.107</v>
      </c>
      <c r="U112" s="591">
        <v>6.2E-2</v>
      </c>
      <c r="V112" s="589">
        <v>0.16</v>
      </c>
      <c r="W112" s="589">
        <v>0.11</v>
      </c>
      <c r="X112" s="590">
        <v>0</v>
      </c>
      <c r="Y112" s="590">
        <v>0.1</v>
      </c>
      <c r="Z112" s="589">
        <v>0.2</v>
      </c>
      <c r="AA112" s="589">
        <v>0</v>
      </c>
      <c r="AB112" s="590">
        <v>0.2</v>
      </c>
      <c r="AC112" s="590">
        <v>0.1</v>
      </c>
      <c r="AD112" s="590">
        <v>0.12</v>
      </c>
      <c r="AE112" s="590">
        <v>0.2</v>
      </c>
      <c r="AF112" s="591">
        <v>0.12</v>
      </c>
      <c r="AG112" s="590">
        <v>0</v>
      </c>
      <c r="AH112" s="594">
        <v>7.6E-3</v>
      </c>
      <c r="AI112" s="594">
        <v>9.4999999999999998E-3</v>
      </c>
      <c r="AJ112" s="594">
        <v>1.8E-3</v>
      </c>
      <c r="AK112" s="594">
        <v>1.2699999999999999E-2</v>
      </c>
      <c r="AL112" s="594">
        <v>1.17E-2</v>
      </c>
      <c r="AM112" s="596"/>
      <c r="AN112" s="594">
        <v>6.4999999999999997E-3</v>
      </c>
      <c r="AO112" s="594">
        <v>7.3000000000000001E-3</v>
      </c>
      <c r="AP112" s="594">
        <v>9.1999999999999998E-3</v>
      </c>
      <c r="AQ112" s="594">
        <v>5.0000000000000001E-3</v>
      </c>
      <c r="AR112" s="594">
        <v>1.0699999999999999E-2</v>
      </c>
      <c r="AS112" s="596"/>
      <c r="AT112" s="594">
        <v>-1.8E-3</v>
      </c>
      <c r="AU112" s="594">
        <v>8.8000000000000005E-3</v>
      </c>
      <c r="AV112" s="593">
        <v>1.17E-2</v>
      </c>
      <c r="AW112" s="594">
        <v>6.8999999999999999E-3</v>
      </c>
      <c r="AX112" s="594">
        <v>9.9000000000000008E-3</v>
      </c>
      <c r="AY112" s="594">
        <v>4.6399999999999997E-2</v>
      </c>
      <c r="AZ112" s="594">
        <v>5.5999999999999999E-3</v>
      </c>
      <c r="BA112" s="594">
        <v>8.0000000000000002E-3</v>
      </c>
      <c r="BB112" s="594">
        <v>4.5999999999999999E-3</v>
      </c>
      <c r="BC112" s="594">
        <v>7.7000000000000002E-3</v>
      </c>
      <c r="BD112" s="594">
        <v>2.5999999999999999E-3</v>
      </c>
      <c r="BE112" s="594">
        <v>7.1999999999999998E-3</v>
      </c>
      <c r="BF112" s="594">
        <v>6.7000000000000002E-3</v>
      </c>
      <c r="BG112" s="594">
        <v>9.2999999999999992E-3</v>
      </c>
      <c r="BH112" s="594">
        <v>1.06E-2</v>
      </c>
      <c r="BI112" s="594">
        <v>6.1000000000000004E-3</v>
      </c>
      <c r="BJ112" s="594">
        <v>1.01E-2</v>
      </c>
      <c r="BK112" s="594">
        <v>1.38E-2</v>
      </c>
      <c r="BL112" s="594">
        <v>1.4500000000000001E-2</v>
      </c>
      <c r="BM112" s="594">
        <v>1.6000000000000001E-3</v>
      </c>
      <c r="BN112" s="594">
        <v>0.29599999999999999</v>
      </c>
      <c r="BO112" s="594">
        <v>0.06</v>
      </c>
      <c r="BP112" s="594">
        <v>0.312</v>
      </c>
      <c r="BQ112" s="594">
        <v>0.21199999999999999</v>
      </c>
      <c r="BR112" s="594">
        <v>0.18</v>
      </c>
      <c r="BS112" s="594">
        <v>0.1111</v>
      </c>
      <c r="BT112" s="594">
        <v>0.25</v>
      </c>
      <c r="BU112" s="594">
        <v>0.27</v>
      </c>
      <c r="BV112" s="594">
        <v>0.17</v>
      </c>
      <c r="BW112" s="594">
        <v>0.2</v>
      </c>
      <c r="BX112" s="594">
        <v>0.13</v>
      </c>
      <c r="BY112" s="594">
        <v>0.32900000000000001</v>
      </c>
      <c r="BZ112" s="594">
        <v>8.6999999999999994E-2</v>
      </c>
      <c r="CA112" s="594">
        <v>0</v>
      </c>
      <c r="CB112" s="593">
        <v>0.25</v>
      </c>
      <c r="CC112" s="594">
        <v>0.3</v>
      </c>
      <c r="CD112" s="594">
        <v>0.13</v>
      </c>
      <c r="CE112" s="594">
        <v>0.3</v>
      </c>
      <c r="CF112" s="594">
        <v>0.14599999999999999</v>
      </c>
      <c r="CG112" s="594">
        <v>0.22</v>
      </c>
      <c r="CH112" s="594">
        <v>0.27</v>
      </c>
      <c r="CI112" s="594">
        <v>0.25</v>
      </c>
      <c r="CJ112" s="594">
        <v>0</v>
      </c>
      <c r="CK112" s="594">
        <v>5.2499999999999998E-2</v>
      </c>
      <c r="CL112" s="594">
        <v>0.107</v>
      </c>
      <c r="CM112" s="594">
        <v>0.188</v>
      </c>
      <c r="CN112" s="594">
        <v>0.25</v>
      </c>
      <c r="CO112" s="594">
        <v>0.1118</v>
      </c>
      <c r="CP112" s="594">
        <v>0.23</v>
      </c>
      <c r="CQ112" s="594">
        <v>0.35</v>
      </c>
      <c r="CR112" s="594">
        <v>0.35</v>
      </c>
      <c r="CS112" s="597"/>
      <c r="CT112" s="591">
        <v>2.5000000000000001E-2</v>
      </c>
      <c r="CU112" s="1233">
        <v>3.5786999999999999E-2</v>
      </c>
      <c r="CV112" s="591">
        <v>0</v>
      </c>
      <c r="CW112" s="915">
        <v>2.1566999999999999E-2</v>
      </c>
      <c r="CX112" s="591">
        <v>4.4999999999999998E-2</v>
      </c>
      <c r="CY112" s="1234"/>
      <c r="CZ112" s="591">
        <v>3.1E-2</v>
      </c>
      <c r="DA112" s="591">
        <v>2.1999999999999999E-2</v>
      </c>
      <c r="DB112" s="591">
        <v>2.4E-2</v>
      </c>
      <c r="DC112" s="591">
        <v>1.7000000000000001E-2</v>
      </c>
      <c r="DD112" s="591">
        <v>3.1E-2</v>
      </c>
      <c r="DE112" s="591">
        <v>4.1000000000000002E-2</v>
      </c>
      <c r="DF112" s="591">
        <v>1.4999999999999999E-2</v>
      </c>
      <c r="DG112" s="591">
        <v>3.1E-2</v>
      </c>
      <c r="DH112" s="591">
        <v>4.2000000000000003E-2</v>
      </c>
      <c r="DI112" s="915">
        <v>3.2761999999999999E-2</v>
      </c>
      <c r="DJ112" s="1234"/>
      <c r="DK112" s="591">
        <v>0.22900000000000001</v>
      </c>
      <c r="DL112" s="591">
        <v>3.2000000000000001E-2</v>
      </c>
      <c r="DM112" s="591">
        <v>2.8000000000000001E-2</v>
      </c>
      <c r="DN112" s="915">
        <v>2.6712E-2</v>
      </c>
      <c r="DO112" s="591">
        <v>0.02</v>
      </c>
      <c r="DP112" s="591">
        <v>1.0999999999999999E-2</v>
      </c>
      <c r="DQ112" s="1234"/>
      <c r="DR112" s="591"/>
      <c r="DS112" s="1234"/>
      <c r="DT112" s="591">
        <v>2.1999999999999999E-2</v>
      </c>
      <c r="DU112" s="591">
        <v>0.02</v>
      </c>
      <c r="DV112" s="591">
        <v>2.5000000000000001E-2</v>
      </c>
      <c r="DW112" s="591">
        <v>4.4999999999999998E-2</v>
      </c>
      <c r="DX112" s="591">
        <v>5.8000000000000003E-2</v>
      </c>
      <c r="DY112" s="591">
        <v>1.4999999999999999E-2</v>
      </c>
      <c r="DZ112" s="916"/>
      <c r="EA112" s="1439"/>
    </row>
    <row r="113" spans="1:131" x14ac:dyDescent="0.3">
      <c r="A113" s="935">
        <v>42430</v>
      </c>
      <c r="B113" s="589">
        <v>0.13</v>
      </c>
      <c r="C113" s="590">
        <v>0.06</v>
      </c>
      <c r="D113" s="590">
        <v>0.04</v>
      </c>
      <c r="E113" s="590">
        <v>0.05</v>
      </c>
      <c r="F113" s="591">
        <v>0.1263</v>
      </c>
      <c r="G113" s="589">
        <v>0.1111</v>
      </c>
      <c r="H113" s="589">
        <v>0.1</v>
      </c>
      <c r="I113" s="590">
        <v>0.1</v>
      </c>
      <c r="J113" s="591">
        <v>0.115</v>
      </c>
      <c r="K113" s="590">
        <v>0.15</v>
      </c>
      <c r="L113" s="589">
        <v>4.2500000000000003E-2</v>
      </c>
      <c r="M113" s="592">
        <v>0.76</v>
      </c>
      <c r="N113" s="590">
        <v>0.1</v>
      </c>
      <c r="O113" s="589">
        <v>0</v>
      </c>
      <c r="P113" s="593">
        <v>7.7499999999999999E-2</v>
      </c>
      <c r="Q113" s="589">
        <v>0.105</v>
      </c>
      <c r="R113" s="590">
        <v>0.2</v>
      </c>
      <c r="S113" s="589">
        <v>2.2499999999999999E-2</v>
      </c>
      <c r="T113" s="594">
        <v>0.107</v>
      </c>
      <c r="U113" s="591">
        <v>6.2E-2</v>
      </c>
      <c r="V113" s="589">
        <v>0.16</v>
      </c>
      <c r="W113" s="589">
        <v>0.11</v>
      </c>
      <c r="X113" s="590">
        <v>0</v>
      </c>
      <c r="Y113" s="590">
        <v>0.1</v>
      </c>
      <c r="Z113" s="589">
        <v>0.2</v>
      </c>
      <c r="AA113" s="589">
        <v>0</v>
      </c>
      <c r="AB113" s="590">
        <v>0.2</v>
      </c>
      <c r="AC113" s="590">
        <v>0.1</v>
      </c>
      <c r="AD113" s="590">
        <v>0.12</v>
      </c>
      <c r="AE113" s="590">
        <v>0.2</v>
      </c>
      <c r="AF113" s="591">
        <v>0.12</v>
      </c>
      <c r="AG113" s="590">
        <v>0</v>
      </c>
      <c r="AH113" s="594">
        <v>7.6E-3</v>
      </c>
      <c r="AI113" s="594">
        <v>9.4999999999999998E-3</v>
      </c>
      <c r="AJ113" s="594">
        <v>1.8E-3</v>
      </c>
      <c r="AK113" s="594">
        <v>1.2699999999999999E-2</v>
      </c>
      <c r="AL113" s="594">
        <v>1.17E-2</v>
      </c>
      <c r="AM113" s="596"/>
      <c r="AN113" s="594">
        <v>6.4999999999999997E-3</v>
      </c>
      <c r="AO113" s="594">
        <v>7.3000000000000001E-3</v>
      </c>
      <c r="AP113" s="594">
        <v>9.1999999999999998E-3</v>
      </c>
      <c r="AQ113" s="594">
        <v>5.0000000000000001E-3</v>
      </c>
      <c r="AR113" s="594">
        <v>1.0699999999999999E-2</v>
      </c>
      <c r="AS113" s="596"/>
      <c r="AT113" s="594">
        <v>-1.8E-3</v>
      </c>
      <c r="AU113" s="594">
        <v>8.8000000000000005E-3</v>
      </c>
      <c r="AV113" s="593">
        <v>1.17E-2</v>
      </c>
      <c r="AW113" s="594">
        <v>6.8999999999999999E-3</v>
      </c>
      <c r="AX113" s="594">
        <v>9.9000000000000008E-3</v>
      </c>
      <c r="AY113" s="594">
        <v>4.6399999999999997E-2</v>
      </c>
      <c r="AZ113" s="594">
        <v>5.5999999999999999E-3</v>
      </c>
      <c r="BA113" s="594">
        <v>8.0000000000000002E-3</v>
      </c>
      <c r="BB113" s="594">
        <v>4.5999999999999999E-3</v>
      </c>
      <c r="BC113" s="594">
        <v>7.7000000000000002E-3</v>
      </c>
      <c r="BD113" s="594">
        <v>2.5999999999999999E-3</v>
      </c>
      <c r="BE113" s="594">
        <v>7.1999999999999998E-3</v>
      </c>
      <c r="BF113" s="594">
        <v>6.7000000000000002E-3</v>
      </c>
      <c r="BG113" s="594">
        <v>9.2999999999999992E-3</v>
      </c>
      <c r="BH113" s="594">
        <v>1.06E-2</v>
      </c>
      <c r="BI113" s="594">
        <v>6.1000000000000004E-3</v>
      </c>
      <c r="BJ113" s="594">
        <v>1.01E-2</v>
      </c>
      <c r="BK113" s="594">
        <v>1.38E-2</v>
      </c>
      <c r="BL113" s="594">
        <v>1.4500000000000001E-2</v>
      </c>
      <c r="BM113" s="594">
        <v>1.6000000000000001E-3</v>
      </c>
      <c r="BN113" s="594">
        <v>0.29599999999999999</v>
      </c>
      <c r="BO113" s="594">
        <v>0.06</v>
      </c>
      <c r="BP113" s="594">
        <v>0.312</v>
      </c>
      <c r="BQ113" s="594">
        <v>0.21199999999999999</v>
      </c>
      <c r="BR113" s="594">
        <v>0.18</v>
      </c>
      <c r="BS113" s="594">
        <v>0.1111</v>
      </c>
      <c r="BT113" s="594">
        <v>0.25</v>
      </c>
      <c r="BU113" s="594">
        <v>0.27</v>
      </c>
      <c r="BV113" s="594">
        <v>0.17</v>
      </c>
      <c r="BW113" s="594">
        <v>0.2</v>
      </c>
      <c r="BX113" s="594">
        <v>0.13</v>
      </c>
      <c r="BY113" s="594">
        <v>0.32900000000000001</v>
      </c>
      <c r="BZ113" s="594">
        <v>8.6999999999999994E-2</v>
      </c>
      <c r="CA113" s="594">
        <v>0</v>
      </c>
      <c r="CB113" s="593">
        <v>0.25</v>
      </c>
      <c r="CC113" s="594">
        <v>0.3</v>
      </c>
      <c r="CD113" s="594">
        <v>0.13</v>
      </c>
      <c r="CE113" s="594">
        <v>0.3</v>
      </c>
      <c r="CF113" s="594">
        <v>0.14599999999999999</v>
      </c>
      <c r="CG113" s="594">
        <v>0.22</v>
      </c>
      <c r="CH113" s="594">
        <v>0.27</v>
      </c>
      <c r="CI113" s="594">
        <v>0.25</v>
      </c>
      <c r="CJ113" s="594">
        <v>0</v>
      </c>
      <c r="CK113" s="594">
        <v>5.2499999999999998E-2</v>
      </c>
      <c r="CL113" s="594">
        <v>0.107</v>
      </c>
      <c r="CM113" s="594">
        <v>0.188</v>
      </c>
      <c r="CN113" s="594">
        <v>0.25</v>
      </c>
      <c r="CO113" s="594">
        <v>0.1118</v>
      </c>
      <c r="CP113" s="594">
        <v>0.23</v>
      </c>
      <c r="CQ113" s="594">
        <v>0.35</v>
      </c>
      <c r="CR113" s="594">
        <v>0.35</v>
      </c>
      <c r="CS113" s="597"/>
      <c r="CT113" s="591">
        <v>2.5000000000000001E-2</v>
      </c>
      <c r="CU113" s="1233">
        <v>3.5786999999999999E-2</v>
      </c>
      <c r="CV113" s="591">
        <v>0</v>
      </c>
      <c r="CW113" s="915">
        <v>2.1566999999999999E-2</v>
      </c>
      <c r="CX113" s="591">
        <v>4.4999999999999998E-2</v>
      </c>
      <c r="CY113" s="1234"/>
      <c r="CZ113" s="591">
        <v>3.1E-2</v>
      </c>
      <c r="DA113" s="591">
        <v>2.1999999999999999E-2</v>
      </c>
      <c r="DB113" s="591">
        <v>2.4E-2</v>
      </c>
      <c r="DC113" s="591">
        <v>1.7000000000000001E-2</v>
      </c>
      <c r="DD113" s="591">
        <v>3.1E-2</v>
      </c>
      <c r="DE113" s="591">
        <v>4.1000000000000002E-2</v>
      </c>
      <c r="DF113" s="591">
        <v>1.4999999999999999E-2</v>
      </c>
      <c r="DG113" s="591">
        <v>3.1E-2</v>
      </c>
      <c r="DH113" s="591">
        <v>4.2000000000000003E-2</v>
      </c>
      <c r="DI113" s="915">
        <v>3.2761999999999999E-2</v>
      </c>
      <c r="DJ113" s="1234"/>
      <c r="DK113" s="591">
        <v>0.22900000000000001</v>
      </c>
      <c r="DL113" s="591">
        <v>3.2000000000000001E-2</v>
      </c>
      <c r="DM113" s="591">
        <v>2.8000000000000001E-2</v>
      </c>
      <c r="DN113" s="915">
        <v>2.6712E-2</v>
      </c>
      <c r="DO113" s="591">
        <v>0.02</v>
      </c>
      <c r="DP113" s="591">
        <v>1.0999999999999999E-2</v>
      </c>
      <c r="DQ113" s="1234"/>
      <c r="DR113" s="591"/>
      <c r="DS113" s="1234"/>
      <c r="DT113" s="591">
        <v>2.1999999999999999E-2</v>
      </c>
      <c r="DU113" s="591">
        <v>0.02</v>
      </c>
      <c r="DV113" s="591">
        <v>2.5000000000000001E-2</v>
      </c>
      <c r="DW113" s="591">
        <v>4.4999999999999998E-2</v>
      </c>
      <c r="DX113" s="591">
        <v>5.8000000000000003E-2</v>
      </c>
      <c r="DY113" s="591">
        <v>1.4999999999999999E-2</v>
      </c>
      <c r="DZ113" s="916"/>
      <c r="EA113" s="1439"/>
    </row>
    <row r="114" spans="1:131" x14ac:dyDescent="0.3">
      <c r="A114" s="935">
        <v>42461</v>
      </c>
      <c r="B114" s="589">
        <v>0.13</v>
      </c>
      <c r="C114" s="590">
        <v>0.06</v>
      </c>
      <c r="D114" s="590">
        <v>0.04</v>
      </c>
      <c r="E114" s="590">
        <v>0.05</v>
      </c>
      <c r="F114" s="591">
        <v>0.1263</v>
      </c>
      <c r="G114" s="589">
        <v>0.1111</v>
      </c>
      <c r="H114" s="589">
        <v>0.1</v>
      </c>
      <c r="I114" s="590">
        <v>0.1</v>
      </c>
      <c r="J114" s="591">
        <v>0.115</v>
      </c>
      <c r="K114" s="590">
        <v>0.15</v>
      </c>
      <c r="L114" s="589">
        <v>4.2500000000000003E-2</v>
      </c>
      <c r="M114" s="592">
        <v>0.76</v>
      </c>
      <c r="N114" s="590">
        <v>0.1</v>
      </c>
      <c r="O114" s="589">
        <v>0</v>
      </c>
      <c r="P114" s="593">
        <v>7.7499999999999999E-2</v>
      </c>
      <c r="Q114" s="589">
        <v>0.105</v>
      </c>
      <c r="R114" s="590">
        <v>0.2</v>
      </c>
      <c r="S114" s="589">
        <v>2.2499999999999999E-2</v>
      </c>
      <c r="T114" s="594">
        <v>0.107</v>
      </c>
      <c r="U114" s="591">
        <v>6.2E-2</v>
      </c>
      <c r="V114" s="589">
        <v>0.16</v>
      </c>
      <c r="W114" s="589">
        <v>0.11</v>
      </c>
      <c r="X114" s="590">
        <v>0</v>
      </c>
      <c r="Y114" s="590">
        <v>0.1</v>
      </c>
      <c r="Z114" s="589">
        <v>0.2</v>
      </c>
      <c r="AA114" s="589">
        <v>0</v>
      </c>
      <c r="AB114" s="590">
        <v>0.2</v>
      </c>
      <c r="AC114" s="590">
        <v>0.1</v>
      </c>
      <c r="AD114" s="590">
        <v>0.12</v>
      </c>
      <c r="AE114" s="590">
        <v>0.2</v>
      </c>
      <c r="AF114" s="591">
        <v>0.12</v>
      </c>
      <c r="AG114" s="590">
        <v>0</v>
      </c>
      <c r="AH114" s="594">
        <v>7.6E-3</v>
      </c>
      <c r="AI114" s="594">
        <v>9.4999999999999998E-3</v>
      </c>
      <c r="AJ114" s="594">
        <v>1.8E-3</v>
      </c>
      <c r="AK114" s="594">
        <v>1.2699999999999999E-2</v>
      </c>
      <c r="AL114" s="594">
        <v>1.17E-2</v>
      </c>
      <c r="AM114" s="596"/>
      <c r="AN114" s="594">
        <v>6.4999999999999997E-3</v>
      </c>
      <c r="AO114" s="594">
        <v>7.3000000000000001E-3</v>
      </c>
      <c r="AP114" s="594">
        <v>9.1999999999999998E-3</v>
      </c>
      <c r="AQ114" s="594">
        <v>5.0000000000000001E-3</v>
      </c>
      <c r="AR114" s="594">
        <v>1.0699999999999999E-2</v>
      </c>
      <c r="AS114" s="596"/>
      <c r="AT114" s="594">
        <v>-1.8E-3</v>
      </c>
      <c r="AU114" s="594">
        <v>8.8000000000000005E-3</v>
      </c>
      <c r="AV114" s="593">
        <v>1.17E-2</v>
      </c>
      <c r="AW114" s="594">
        <v>6.8999999999999999E-3</v>
      </c>
      <c r="AX114" s="594">
        <v>9.9000000000000008E-3</v>
      </c>
      <c r="AY114" s="594">
        <v>4.6399999999999997E-2</v>
      </c>
      <c r="AZ114" s="594">
        <v>5.5999999999999999E-3</v>
      </c>
      <c r="BA114" s="594">
        <v>8.0000000000000002E-3</v>
      </c>
      <c r="BB114" s="594">
        <v>4.5999999999999999E-3</v>
      </c>
      <c r="BC114" s="594">
        <v>7.7000000000000002E-3</v>
      </c>
      <c r="BD114" s="594">
        <v>2.5999999999999999E-3</v>
      </c>
      <c r="BE114" s="594">
        <v>7.1999999999999998E-3</v>
      </c>
      <c r="BF114" s="594">
        <v>6.7000000000000002E-3</v>
      </c>
      <c r="BG114" s="594">
        <v>9.2999999999999992E-3</v>
      </c>
      <c r="BH114" s="594">
        <v>1.06E-2</v>
      </c>
      <c r="BI114" s="594">
        <v>6.1000000000000004E-3</v>
      </c>
      <c r="BJ114" s="594">
        <v>1.01E-2</v>
      </c>
      <c r="BK114" s="594">
        <v>1.38E-2</v>
      </c>
      <c r="BL114" s="594">
        <v>1.4500000000000001E-2</v>
      </c>
      <c r="BM114" s="594">
        <v>1.6000000000000001E-3</v>
      </c>
      <c r="BN114" s="594">
        <v>0.29599999999999999</v>
      </c>
      <c r="BO114" s="594">
        <v>0.06</v>
      </c>
      <c r="BP114" s="594">
        <v>0.312</v>
      </c>
      <c r="BQ114" s="594">
        <v>0.21199999999999999</v>
      </c>
      <c r="BR114" s="594">
        <v>0.18</v>
      </c>
      <c r="BS114" s="594">
        <v>0.1111</v>
      </c>
      <c r="BT114" s="594">
        <v>0.25</v>
      </c>
      <c r="BU114" s="594">
        <v>0.27</v>
      </c>
      <c r="BV114" s="594">
        <v>0.17</v>
      </c>
      <c r="BW114" s="594">
        <v>0.2</v>
      </c>
      <c r="BX114" s="594">
        <v>0.13</v>
      </c>
      <c r="BY114" s="594">
        <v>0.32900000000000001</v>
      </c>
      <c r="BZ114" s="594">
        <v>8.6999999999999994E-2</v>
      </c>
      <c r="CA114" s="594">
        <v>0</v>
      </c>
      <c r="CB114" s="593">
        <v>0.25</v>
      </c>
      <c r="CC114" s="594">
        <v>0.3</v>
      </c>
      <c r="CD114" s="594">
        <v>0.13</v>
      </c>
      <c r="CE114" s="594">
        <v>0.3</v>
      </c>
      <c r="CF114" s="594">
        <v>0.14599999999999999</v>
      </c>
      <c r="CG114" s="594">
        <v>0.22</v>
      </c>
      <c r="CH114" s="594">
        <v>0.27</v>
      </c>
      <c r="CI114" s="594">
        <v>0.25</v>
      </c>
      <c r="CJ114" s="594">
        <v>0</v>
      </c>
      <c r="CK114" s="594">
        <v>5.2499999999999998E-2</v>
      </c>
      <c r="CL114" s="594">
        <v>0.107</v>
      </c>
      <c r="CM114" s="594">
        <v>0.188</v>
      </c>
      <c r="CN114" s="594">
        <v>0.25</v>
      </c>
      <c r="CO114" s="594">
        <v>0.1118</v>
      </c>
      <c r="CP114" s="594">
        <v>0.23</v>
      </c>
      <c r="CQ114" s="594">
        <v>0.35</v>
      </c>
      <c r="CR114" s="594">
        <v>0.35</v>
      </c>
      <c r="CS114" s="597"/>
      <c r="CT114" s="591">
        <v>2.5000000000000001E-2</v>
      </c>
      <c r="CU114" s="1233">
        <v>4.0163999999999998E-2</v>
      </c>
      <c r="CV114" s="591">
        <v>0</v>
      </c>
      <c r="CW114" s="915">
        <v>2.6999000000000002E-2</v>
      </c>
      <c r="CX114" s="591">
        <v>4.4999999999999998E-2</v>
      </c>
      <c r="CY114" s="1234"/>
      <c r="CZ114" s="591">
        <v>3.1E-2</v>
      </c>
      <c r="DA114" s="591">
        <v>2.1999999999999999E-2</v>
      </c>
      <c r="DB114" s="591">
        <v>2.4E-2</v>
      </c>
      <c r="DC114" s="591">
        <v>1.7000000000000001E-2</v>
      </c>
      <c r="DD114" s="591">
        <v>3.1E-2</v>
      </c>
      <c r="DE114" s="591">
        <v>4.1000000000000002E-2</v>
      </c>
      <c r="DF114" s="591">
        <v>1.4999999999999999E-2</v>
      </c>
      <c r="DG114" s="591">
        <v>3.1E-2</v>
      </c>
      <c r="DH114" s="591">
        <v>4.2000000000000003E-2</v>
      </c>
      <c r="DI114" s="915">
        <v>5.8078000000000005E-2</v>
      </c>
      <c r="DJ114" s="1234"/>
      <c r="DK114" s="591">
        <v>0.22900000000000001</v>
      </c>
      <c r="DL114" s="591">
        <v>3.2000000000000001E-2</v>
      </c>
      <c r="DM114" s="591">
        <v>2.8000000000000001E-2</v>
      </c>
      <c r="DN114" s="915">
        <v>3.1079999999999997E-2</v>
      </c>
      <c r="DO114" s="591">
        <v>0.02</v>
      </c>
      <c r="DP114" s="591">
        <v>1.0999999999999999E-2</v>
      </c>
      <c r="DQ114" s="1234"/>
      <c r="DR114" s="591"/>
      <c r="DS114" s="1234"/>
      <c r="DT114" s="591">
        <v>2.1999999999999999E-2</v>
      </c>
      <c r="DU114" s="591">
        <v>0.02</v>
      </c>
      <c r="DV114" s="591">
        <v>2.5000000000000001E-2</v>
      </c>
      <c r="DW114" s="591">
        <v>4.4999999999999998E-2</v>
      </c>
      <c r="DX114" s="591">
        <v>5.8000000000000003E-2</v>
      </c>
      <c r="DY114" s="591">
        <v>1.4999999999999999E-2</v>
      </c>
      <c r="DZ114" s="916"/>
      <c r="EA114" s="1439"/>
    </row>
    <row r="115" spans="1:131" x14ac:dyDescent="0.3">
      <c r="A115" s="935">
        <v>42491</v>
      </c>
      <c r="B115" s="589">
        <v>0.13</v>
      </c>
      <c r="C115" s="590">
        <v>0.06</v>
      </c>
      <c r="D115" s="590">
        <v>0.04</v>
      </c>
      <c r="E115" s="590">
        <v>0.05</v>
      </c>
      <c r="F115" s="591">
        <v>0.1263</v>
      </c>
      <c r="G115" s="589">
        <v>0.1111</v>
      </c>
      <c r="H115" s="589">
        <v>0.1</v>
      </c>
      <c r="I115" s="590">
        <v>0.1</v>
      </c>
      <c r="J115" s="591">
        <v>0.115</v>
      </c>
      <c r="K115" s="590">
        <v>0.15</v>
      </c>
      <c r="L115" s="589">
        <v>4.2500000000000003E-2</v>
      </c>
      <c r="M115" s="592">
        <v>0.76</v>
      </c>
      <c r="N115" s="590">
        <v>0.1</v>
      </c>
      <c r="O115" s="589">
        <v>0</v>
      </c>
      <c r="P115" s="593">
        <v>7.7499999999999999E-2</v>
      </c>
      <c r="Q115" s="589">
        <v>0.105</v>
      </c>
      <c r="R115" s="590">
        <v>0.2</v>
      </c>
      <c r="S115" s="589">
        <v>2.2499999999999999E-2</v>
      </c>
      <c r="T115" s="594">
        <v>0.107</v>
      </c>
      <c r="U115" s="591">
        <v>6.2E-2</v>
      </c>
      <c r="V115" s="589">
        <v>0.16</v>
      </c>
      <c r="W115" s="589">
        <v>0.11</v>
      </c>
      <c r="X115" s="590">
        <v>0</v>
      </c>
      <c r="Y115" s="590">
        <v>0.1</v>
      </c>
      <c r="Z115" s="589">
        <v>0.2</v>
      </c>
      <c r="AA115" s="589">
        <v>0</v>
      </c>
      <c r="AB115" s="590">
        <v>0.2</v>
      </c>
      <c r="AC115" s="590">
        <v>0.1</v>
      </c>
      <c r="AD115" s="590">
        <v>0.12</v>
      </c>
      <c r="AE115" s="590">
        <v>0.2</v>
      </c>
      <c r="AF115" s="591">
        <v>0.12</v>
      </c>
      <c r="AG115" s="590">
        <v>0</v>
      </c>
      <c r="AH115" s="594">
        <v>7.6E-3</v>
      </c>
      <c r="AI115" s="594">
        <v>9.4999999999999998E-3</v>
      </c>
      <c r="AJ115" s="594">
        <v>1.8E-3</v>
      </c>
      <c r="AK115" s="594">
        <v>1.2699999999999999E-2</v>
      </c>
      <c r="AL115" s="594">
        <v>1.17E-2</v>
      </c>
      <c r="AM115" s="596"/>
      <c r="AN115" s="594">
        <v>6.4999999999999997E-3</v>
      </c>
      <c r="AO115" s="594">
        <v>7.3000000000000001E-3</v>
      </c>
      <c r="AP115" s="594">
        <v>9.1999999999999998E-3</v>
      </c>
      <c r="AQ115" s="594">
        <v>5.0000000000000001E-3</v>
      </c>
      <c r="AR115" s="594">
        <v>1.0699999999999999E-2</v>
      </c>
      <c r="AS115" s="596"/>
      <c r="AT115" s="594">
        <v>-1.8E-3</v>
      </c>
      <c r="AU115" s="594">
        <v>8.8000000000000005E-3</v>
      </c>
      <c r="AV115" s="593">
        <v>1.17E-2</v>
      </c>
      <c r="AW115" s="594">
        <v>6.8999999999999999E-3</v>
      </c>
      <c r="AX115" s="594">
        <v>9.9000000000000008E-3</v>
      </c>
      <c r="AY115" s="594">
        <v>4.6399999999999997E-2</v>
      </c>
      <c r="AZ115" s="594">
        <v>5.5999999999999999E-3</v>
      </c>
      <c r="BA115" s="594">
        <v>8.0000000000000002E-3</v>
      </c>
      <c r="BB115" s="594">
        <v>4.5999999999999999E-3</v>
      </c>
      <c r="BC115" s="594">
        <v>7.7000000000000002E-3</v>
      </c>
      <c r="BD115" s="594">
        <v>2.5999999999999999E-3</v>
      </c>
      <c r="BE115" s="594">
        <v>7.1999999999999998E-3</v>
      </c>
      <c r="BF115" s="594">
        <v>6.7000000000000002E-3</v>
      </c>
      <c r="BG115" s="594">
        <v>9.2999999999999992E-3</v>
      </c>
      <c r="BH115" s="594">
        <v>1.06E-2</v>
      </c>
      <c r="BI115" s="594">
        <v>6.1000000000000004E-3</v>
      </c>
      <c r="BJ115" s="594">
        <v>1.01E-2</v>
      </c>
      <c r="BK115" s="594">
        <v>1.38E-2</v>
      </c>
      <c r="BL115" s="594">
        <v>1.4500000000000001E-2</v>
      </c>
      <c r="BM115" s="594">
        <v>1.6000000000000001E-3</v>
      </c>
      <c r="BN115" s="594">
        <v>0.29599999999999999</v>
      </c>
      <c r="BO115" s="594">
        <v>0.06</v>
      </c>
      <c r="BP115" s="594">
        <v>0.312</v>
      </c>
      <c r="BQ115" s="594">
        <v>0.21199999999999999</v>
      </c>
      <c r="BR115" s="594">
        <v>0.18</v>
      </c>
      <c r="BS115" s="594">
        <v>0.1111</v>
      </c>
      <c r="BT115" s="594">
        <v>0.25</v>
      </c>
      <c r="BU115" s="594">
        <v>0.27</v>
      </c>
      <c r="BV115" s="594">
        <v>0.17</v>
      </c>
      <c r="BW115" s="594">
        <v>0.2</v>
      </c>
      <c r="BX115" s="594">
        <v>0.13</v>
      </c>
      <c r="BY115" s="594">
        <v>0.32900000000000001</v>
      </c>
      <c r="BZ115" s="594">
        <v>8.6999999999999994E-2</v>
      </c>
      <c r="CA115" s="594">
        <v>0</v>
      </c>
      <c r="CB115" s="593">
        <v>0.25</v>
      </c>
      <c r="CC115" s="594">
        <v>0.3</v>
      </c>
      <c r="CD115" s="594">
        <v>0.13</v>
      </c>
      <c r="CE115" s="594">
        <v>0.3</v>
      </c>
      <c r="CF115" s="594">
        <v>0.14599999999999999</v>
      </c>
      <c r="CG115" s="594">
        <v>0.22</v>
      </c>
      <c r="CH115" s="594">
        <v>0.27</v>
      </c>
      <c r="CI115" s="594">
        <v>0.25</v>
      </c>
      <c r="CJ115" s="594">
        <v>0</v>
      </c>
      <c r="CK115" s="594">
        <v>5.2499999999999998E-2</v>
      </c>
      <c r="CL115" s="594">
        <v>0.107</v>
      </c>
      <c r="CM115" s="594">
        <v>0.188</v>
      </c>
      <c r="CN115" s="594">
        <v>0.25</v>
      </c>
      <c r="CO115" s="594">
        <v>0.1118</v>
      </c>
      <c r="CP115" s="594">
        <v>0.23</v>
      </c>
      <c r="CQ115" s="594">
        <v>0.35</v>
      </c>
      <c r="CR115" s="594">
        <v>0.35</v>
      </c>
      <c r="CS115" s="597"/>
      <c r="CT115" s="591">
        <v>2.5000000000000001E-2</v>
      </c>
      <c r="CU115" s="1233">
        <v>4.0163999999999998E-2</v>
      </c>
      <c r="CV115" s="591">
        <v>0</v>
      </c>
      <c r="CW115" s="915">
        <v>2.6999000000000002E-2</v>
      </c>
      <c r="CX115" s="591">
        <v>4.4999999999999998E-2</v>
      </c>
      <c r="CY115" s="1234"/>
      <c r="CZ115" s="591">
        <v>3.1E-2</v>
      </c>
      <c r="DA115" s="591">
        <v>2.1999999999999999E-2</v>
      </c>
      <c r="DB115" s="591">
        <v>2.4E-2</v>
      </c>
      <c r="DC115" s="591">
        <v>1.7000000000000001E-2</v>
      </c>
      <c r="DD115" s="591">
        <v>3.1E-2</v>
      </c>
      <c r="DE115" s="591">
        <v>4.1000000000000002E-2</v>
      </c>
      <c r="DF115" s="591">
        <v>1.4999999999999999E-2</v>
      </c>
      <c r="DG115" s="591">
        <v>3.1E-2</v>
      </c>
      <c r="DH115" s="591">
        <v>4.2000000000000003E-2</v>
      </c>
      <c r="DI115" s="915">
        <v>5.8078000000000005E-2</v>
      </c>
      <c r="DJ115" s="1234"/>
      <c r="DK115" s="591">
        <v>0.22900000000000001</v>
      </c>
      <c r="DL115" s="591">
        <v>3.2000000000000001E-2</v>
      </c>
      <c r="DM115" s="591">
        <v>2.8000000000000001E-2</v>
      </c>
      <c r="DN115" s="915">
        <v>3.1079999999999997E-2</v>
      </c>
      <c r="DO115" s="591">
        <v>0.02</v>
      </c>
      <c r="DP115" s="591">
        <v>1.0999999999999999E-2</v>
      </c>
      <c r="DQ115" s="1234"/>
      <c r="DR115" s="591"/>
      <c r="DS115" s="1234"/>
      <c r="DT115" s="591">
        <v>2.1999999999999999E-2</v>
      </c>
      <c r="DU115" s="591">
        <v>0.02</v>
      </c>
      <c r="DV115" s="591">
        <v>2.5000000000000001E-2</v>
      </c>
      <c r="DW115" s="591">
        <v>4.4999999999999998E-2</v>
      </c>
      <c r="DX115" s="591">
        <v>5.8000000000000003E-2</v>
      </c>
      <c r="DY115" s="594">
        <v>1.4999999999999999E-2</v>
      </c>
      <c r="DZ115" s="916"/>
      <c r="EA115" s="1439"/>
    </row>
    <row r="116" spans="1:131" x14ac:dyDescent="0.3">
      <c r="A116" s="935">
        <v>42522</v>
      </c>
      <c r="B116" s="589">
        <v>0.13</v>
      </c>
      <c r="C116" s="590">
        <v>0.06</v>
      </c>
      <c r="D116" s="590">
        <v>0.04</v>
      </c>
      <c r="E116" s="590">
        <v>0.05</v>
      </c>
      <c r="F116" s="591">
        <v>0.1263</v>
      </c>
      <c r="G116" s="589">
        <v>0.1111</v>
      </c>
      <c r="H116" s="589">
        <v>0.1</v>
      </c>
      <c r="I116" s="590">
        <v>0.1</v>
      </c>
      <c r="J116" s="591">
        <v>0.115</v>
      </c>
      <c r="K116" s="590">
        <v>0.15</v>
      </c>
      <c r="L116" s="589">
        <v>4.2500000000000003E-2</v>
      </c>
      <c r="M116" s="592">
        <v>0.76</v>
      </c>
      <c r="N116" s="590">
        <v>0.1</v>
      </c>
      <c r="O116" s="589">
        <v>0</v>
      </c>
      <c r="P116" s="593">
        <v>7.7499999999999999E-2</v>
      </c>
      <c r="Q116" s="589">
        <v>0.105</v>
      </c>
      <c r="R116" s="590">
        <v>0.2</v>
      </c>
      <c r="S116" s="589">
        <v>2.2499999999999999E-2</v>
      </c>
      <c r="T116" s="594">
        <v>0.107</v>
      </c>
      <c r="U116" s="591">
        <v>6.2E-2</v>
      </c>
      <c r="V116" s="589">
        <v>0.16</v>
      </c>
      <c r="W116" s="589">
        <v>0.11</v>
      </c>
      <c r="X116" s="590">
        <v>0</v>
      </c>
      <c r="Y116" s="590">
        <v>0.1</v>
      </c>
      <c r="Z116" s="589">
        <v>0.2</v>
      </c>
      <c r="AA116" s="589">
        <v>0</v>
      </c>
      <c r="AB116" s="590">
        <v>0.2</v>
      </c>
      <c r="AC116" s="590">
        <v>0.1</v>
      </c>
      <c r="AD116" s="590">
        <v>0.12</v>
      </c>
      <c r="AE116" s="590">
        <v>0.2</v>
      </c>
      <c r="AF116" s="591">
        <v>0.12</v>
      </c>
      <c r="AG116" s="590">
        <v>0</v>
      </c>
      <c r="AH116" s="594">
        <v>7.6E-3</v>
      </c>
      <c r="AI116" s="594">
        <v>9.4999999999999998E-3</v>
      </c>
      <c r="AJ116" s="594">
        <v>1.8E-3</v>
      </c>
      <c r="AK116" s="594">
        <v>1.2699999999999999E-2</v>
      </c>
      <c r="AL116" s="594">
        <v>1.17E-2</v>
      </c>
      <c r="AM116" s="596"/>
      <c r="AN116" s="594">
        <v>6.4999999999999997E-3</v>
      </c>
      <c r="AO116" s="594">
        <v>7.3000000000000001E-3</v>
      </c>
      <c r="AP116" s="594">
        <v>9.1999999999999998E-3</v>
      </c>
      <c r="AQ116" s="594">
        <v>5.0000000000000001E-3</v>
      </c>
      <c r="AR116" s="594">
        <v>1.0699999999999999E-2</v>
      </c>
      <c r="AS116" s="596"/>
      <c r="AT116" s="594">
        <v>-1.8E-3</v>
      </c>
      <c r="AU116" s="594">
        <v>8.8000000000000005E-3</v>
      </c>
      <c r="AV116" s="593">
        <v>1.17E-2</v>
      </c>
      <c r="AW116" s="594">
        <v>6.8999999999999999E-3</v>
      </c>
      <c r="AX116" s="594">
        <v>9.9000000000000008E-3</v>
      </c>
      <c r="AY116" s="594">
        <v>4.6399999999999997E-2</v>
      </c>
      <c r="AZ116" s="594">
        <v>5.5999999999999999E-3</v>
      </c>
      <c r="BA116" s="594">
        <v>8.0000000000000002E-3</v>
      </c>
      <c r="BB116" s="594">
        <v>4.5999999999999999E-3</v>
      </c>
      <c r="BC116" s="594">
        <v>7.7000000000000002E-3</v>
      </c>
      <c r="BD116" s="594">
        <v>2.5999999999999999E-3</v>
      </c>
      <c r="BE116" s="594">
        <v>7.1999999999999998E-3</v>
      </c>
      <c r="BF116" s="594">
        <v>6.7000000000000002E-3</v>
      </c>
      <c r="BG116" s="594">
        <v>9.2999999999999992E-3</v>
      </c>
      <c r="BH116" s="594">
        <v>1.06E-2</v>
      </c>
      <c r="BI116" s="594">
        <v>6.1000000000000004E-3</v>
      </c>
      <c r="BJ116" s="594">
        <v>1.01E-2</v>
      </c>
      <c r="BK116" s="594">
        <v>1.38E-2</v>
      </c>
      <c r="BL116" s="594">
        <v>1.4500000000000001E-2</v>
      </c>
      <c r="BM116" s="594">
        <v>1.6000000000000001E-3</v>
      </c>
      <c r="BN116" s="594">
        <v>0.29599999999999999</v>
      </c>
      <c r="BO116" s="594">
        <v>0.06</v>
      </c>
      <c r="BP116" s="594">
        <v>0.312</v>
      </c>
      <c r="BQ116" s="594">
        <v>0.21199999999999999</v>
      </c>
      <c r="BR116" s="594">
        <v>0.18</v>
      </c>
      <c r="BS116" s="594">
        <v>0.1111</v>
      </c>
      <c r="BT116" s="594">
        <v>0.25</v>
      </c>
      <c r="BU116" s="594">
        <v>0.27</v>
      </c>
      <c r="BV116" s="594">
        <v>0.17</v>
      </c>
      <c r="BW116" s="594">
        <v>0.2</v>
      </c>
      <c r="BX116" s="594">
        <v>0.13</v>
      </c>
      <c r="BY116" s="594">
        <v>0.32900000000000001</v>
      </c>
      <c r="BZ116" s="594">
        <v>8.6999999999999994E-2</v>
      </c>
      <c r="CA116" s="594">
        <v>0</v>
      </c>
      <c r="CB116" s="593">
        <v>0.25</v>
      </c>
      <c r="CC116" s="594">
        <v>0.3</v>
      </c>
      <c r="CD116" s="594">
        <v>0.13</v>
      </c>
      <c r="CE116" s="594">
        <v>0.3</v>
      </c>
      <c r="CF116" s="594">
        <v>0.14599999999999999</v>
      </c>
      <c r="CG116" s="594">
        <v>0.22</v>
      </c>
      <c r="CH116" s="594">
        <v>0.27</v>
      </c>
      <c r="CI116" s="594">
        <v>0.25</v>
      </c>
      <c r="CJ116" s="594">
        <v>0</v>
      </c>
      <c r="CK116" s="594">
        <v>5.2499999999999998E-2</v>
      </c>
      <c r="CL116" s="594">
        <v>0.107</v>
      </c>
      <c r="CM116" s="594">
        <v>0.188</v>
      </c>
      <c r="CN116" s="594">
        <v>0.25</v>
      </c>
      <c r="CO116" s="594">
        <v>0.1118</v>
      </c>
      <c r="CP116" s="594">
        <v>0.23</v>
      </c>
      <c r="CQ116" s="594">
        <v>0.35</v>
      </c>
      <c r="CR116" s="594">
        <v>0.35</v>
      </c>
      <c r="CS116" s="597"/>
      <c r="CT116" s="591">
        <v>2.5000000000000001E-2</v>
      </c>
      <c r="CU116" s="1233">
        <v>4.0163999999999998E-2</v>
      </c>
      <c r="CV116" s="591">
        <v>0</v>
      </c>
      <c r="CW116" s="915">
        <v>2.6999000000000002E-2</v>
      </c>
      <c r="CX116" s="591">
        <v>4.4999999999999998E-2</v>
      </c>
      <c r="CY116" s="1234"/>
      <c r="CZ116" s="591">
        <v>3.1E-2</v>
      </c>
      <c r="DA116" s="591">
        <v>2.1999999999999999E-2</v>
      </c>
      <c r="DB116" s="591">
        <v>2.4E-2</v>
      </c>
      <c r="DC116" s="591">
        <v>1.7000000000000001E-2</v>
      </c>
      <c r="DD116" s="591">
        <v>3.1E-2</v>
      </c>
      <c r="DE116" s="591">
        <v>4.1000000000000002E-2</v>
      </c>
      <c r="DF116" s="591">
        <v>1.4999999999999999E-2</v>
      </c>
      <c r="DG116" s="591">
        <v>3.1E-2</v>
      </c>
      <c r="DH116" s="591">
        <v>4.2000000000000003E-2</v>
      </c>
      <c r="DI116" s="915">
        <v>5.8078000000000005E-2</v>
      </c>
      <c r="DJ116" s="1234"/>
      <c r="DK116" s="591">
        <v>0.22900000000000001</v>
      </c>
      <c r="DL116" s="591">
        <v>3.2000000000000001E-2</v>
      </c>
      <c r="DM116" s="591">
        <v>2.8000000000000001E-2</v>
      </c>
      <c r="DN116" s="915">
        <v>3.1079999999999997E-2</v>
      </c>
      <c r="DO116" s="591">
        <v>0.02</v>
      </c>
      <c r="DP116" s="591">
        <v>1.0999999999999999E-2</v>
      </c>
      <c r="DQ116" s="1234"/>
      <c r="DR116" s="591"/>
      <c r="DS116" s="1234"/>
      <c r="DT116" s="591">
        <v>2.1999999999999999E-2</v>
      </c>
      <c r="DU116" s="591">
        <v>0.02</v>
      </c>
      <c r="DV116" s="591">
        <v>2.5000000000000001E-2</v>
      </c>
      <c r="DW116" s="591">
        <v>4.4999999999999998E-2</v>
      </c>
      <c r="DX116" s="591">
        <v>5.8000000000000003E-2</v>
      </c>
      <c r="DY116" s="594">
        <v>1.4999999999999999E-2</v>
      </c>
      <c r="DZ116" s="916"/>
      <c r="EA116" s="1439"/>
    </row>
    <row r="117" spans="1:131" x14ac:dyDescent="0.3">
      <c r="A117" s="935">
        <v>42552</v>
      </c>
      <c r="B117" s="589">
        <v>0.13</v>
      </c>
      <c r="C117" s="590">
        <v>0.06</v>
      </c>
      <c r="D117" s="590">
        <v>0.04</v>
      </c>
      <c r="E117" s="590">
        <v>0.05</v>
      </c>
      <c r="F117" s="591">
        <v>0.1263</v>
      </c>
      <c r="G117" s="589">
        <v>0.1111</v>
      </c>
      <c r="H117" s="589">
        <v>0.1</v>
      </c>
      <c r="I117" s="590">
        <v>0.1</v>
      </c>
      <c r="J117" s="591">
        <v>0.115</v>
      </c>
      <c r="K117" s="590">
        <v>0.15</v>
      </c>
      <c r="L117" s="589">
        <v>4.2500000000000003E-2</v>
      </c>
      <c r="M117" s="592">
        <v>0.76</v>
      </c>
      <c r="N117" s="590">
        <v>0.1</v>
      </c>
      <c r="O117" s="589">
        <v>0</v>
      </c>
      <c r="P117" s="593">
        <v>7.7499999999999999E-2</v>
      </c>
      <c r="Q117" s="589">
        <v>0.105</v>
      </c>
      <c r="R117" s="590">
        <v>0.2</v>
      </c>
      <c r="S117" s="589">
        <v>2.2499999999999999E-2</v>
      </c>
      <c r="T117" s="594">
        <v>0.107</v>
      </c>
      <c r="U117" s="591">
        <v>6.2E-2</v>
      </c>
      <c r="V117" s="589">
        <v>0.16</v>
      </c>
      <c r="W117" s="589">
        <v>0.11</v>
      </c>
      <c r="X117" s="590">
        <v>0</v>
      </c>
      <c r="Y117" s="590">
        <v>0.1</v>
      </c>
      <c r="Z117" s="589">
        <v>0.2</v>
      </c>
      <c r="AA117" s="589">
        <v>0</v>
      </c>
      <c r="AB117" s="590">
        <v>0.2</v>
      </c>
      <c r="AC117" s="590">
        <v>0.1</v>
      </c>
      <c r="AD117" s="590">
        <v>0.12</v>
      </c>
      <c r="AE117" s="590">
        <v>0.2</v>
      </c>
      <c r="AF117" s="591">
        <v>0.12</v>
      </c>
      <c r="AG117" s="590">
        <v>0</v>
      </c>
      <c r="AH117" s="594">
        <v>5.4999999999999997E-3</v>
      </c>
      <c r="AI117" s="594">
        <v>5.8999999999999999E-3</v>
      </c>
      <c r="AJ117" s="594">
        <v>2.3999999999999998E-3</v>
      </c>
      <c r="AK117" s="594">
        <v>8.0000000000000002E-3</v>
      </c>
      <c r="AL117" s="594">
        <v>8.8999999999999999E-3</v>
      </c>
      <c r="AM117" s="596"/>
      <c r="AN117" s="594">
        <v>4.3E-3</v>
      </c>
      <c r="AO117" s="594">
        <v>6.3E-3</v>
      </c>
      <c r="AP117" s="594">
        <v>8.6999999999999994E-3</v>
      </c>
      <c r="AQ117" s="594">
        <v>3.5999999999999999E-3</v>
      </c>
      <c r="AR117" s="594">
        <v>1.0699999999999999E-2</v>
      </c>
      <c r="AS117" s="596"/>
      <c r="AT117" s="594">
        <v>-1.8E-3</v>
      </c>
      <c r="AU117" s="594">
        <v>6.0000000000000001E-3</v>
      </c>
      <c r="AV117" s="593">
        <v>1.17E-2</v>
      </c>
      <c r="AW117" s="594">
        <v>6.8999999999999999E-3</v>
      </c>
      <c r="AX117" s="594">
        <v>8.2000000000000007E-3</v>
      </c>
      <c r="AY117" s="594">
        <v>4.6399999999999997E-2</v>
      </c>
      <c r="AZ117" s="594">
        <v>3.7000000000000002E-3</v>
      </c>
      <c r="BA117" s="594">
        <v>5.8999999999999999E-3</v>
      </c>
      <c r="BB117" s="594">
        <v>4.5999999999999999E-3</v>
      </c>
      <c r="BC117" s="594">
        <v>7.7000000000000002E-3</v>
      </c>
      <c r="BD117" s="594">
        <v>3.3E-3</v>
      </c>
      <c r="BE117" s="594">
        <v>6.7999999999999996E-3</v>
      </c>
      <c r="BF117" s="594">
        <v>4.1000000000000003E-3</v>
      </c>
      <c r="BG117" s="594">
        <v>8.0000000000000002E-3</v>
      </c>
      <c r="BH117" s="594">
        <v>7.6E-3</v>
      </c>
      <c r="BI117" s="594">
        <v>5.5999999999999999E-3</v>
      </c>
      <c r="BJ117" s="594">
        <v>8.9999999999999993E-3</v>
      </c>
      <c r="BK117" s="594">
        <v>8.5000000000000006E-3</v>
      </c>
      <c r="BL117" s="594">
        <v>1.2500000000000001E-2</v>
      </c>
      <c r="BM117" s="594">
        <v>1.6000000000000001E-3</v>
      </c>
      <c r="BN117" s="594">
        <v>0.29599999999999999</v>
      </c>
      <c r="BO117" s="594">
        <v>0.06</v>
      </c>
      <c r="BP117" s="594">
        <v>0.312</v>
      </c>
      <c r="BQ117" s="594">
        <v>0.21199999999999999</v>
      </c>
      <c r="BR117" s="594">
        <v>0.18</v>
      </c>
      <c r="BS117" s="594">
        <v>0.1111</v>
      </c>
      <c r="BT117" s="594">
        <v>0.25</v>
      </c>
      <c r="BU117" s="594">
        <v>0.27</v>
      </c>
      <c r="BV117" s="594">
        <v>0.17</v>
      </c>
      <c r="BW117" s="594">
        <v>0.2</v>
      </c>
      <c r="BX117" s="594">
        <v>0.13</v>
      </c>
      <c r="BY117" s="594">
        <v>0.32900000000000001</v>
      </c>
      <c r="BZ117" s="594">
        <v>8.6999999999999994E-2</v>
      </c>
      <c r="CA117" s="594">
        <v>0</v>
      </c>
      <c r="CB117" s="593">
        <v>0.25</v>
      </c>
      <c r="CC117" s="594">
        <v>0.3</v>
      </c>
      <c r="CD117" s="594">
        <v>0.13</v>
      </c>
      <c r="CE117" s="594">
        <v>0.3</v>
      </c>
      <c r="CF117" s="594">
        <v>0.14599999999999999</v>
      </c>
      <c r="CG117" s="594">
        <v>0.22</v>
      </c>
      <c r="CH117" s="594">
        <v>0.27</v>
      </c>
      <c r="CI117" s="594">
        <v>0.25</v>
      </c>
      <c r="CJ117" s="594">
        <v>0</v>
      </c>
      <c r="CK117" s="594">
        <v>5.2499999999999998E-2</v>
      </c>
      <c r="CL117" s="594">
        <v>0.107</v>
      </c>
      <c r="CM117" s="594">
        <v>0.188</v>
      </c>
      <c r="CN117" s="594">
        <v>0.25</v>
      </c>
      <c r="CO117" s="594">
        <v>0.1118</v>
      </c>
      <c r="CP117" s="594">
        <v>0.23</v>
      </c>
      <c r="CQ117" s="594">
        <v>0.35</v>
      </c>
      <c r="CR117" s="594">
        <v>0.35</v>
      </c>
      <c r="CS117" s="597"/>
      <c r="CT117" s="591">
        <v>2.5000000000000001E-2</v>
      </c>
      <c r="CU117" s="1233">
        <v>4.0163999999999998E-2</v>
      </c>
      <c r="CV117" s="591">
        <v>0</v>
      </c>
      <c r="CW117" s="915">
        <v>2.6999000000000002E-2</v>
      </c>
      <c r="CX117" s="591">
        <v>4.4999999999999998E-2</v>
      </c>
      <c r="CY117" s="1234"/>
      <c r="CZ117" s="591">
        <v>3.1E-2</v>
      </c>
      <c r="DA117" s="591">
        <v>2.1999999999999999E-2</v>
      </c>
      <c r="DB117" s="591">
        <v>2.4E-2</v>
      </c>
      <c r="DC117" s="591">
        <v>1.7000000000000001E-2</v>
      </c>
      <c r="DD117" s="591">
        <v>3.1E-2</v>
      </c>
      <c r="DE117" s="591">
        <v>4.1000000000000002E-2</v>
      </c>
      <c r="DF117" s="591">
        <v>1.4999999999999999E-2</v>
      </c>
      <c r="DG117" s="591">
        <v>3.1E-2</v>
      </c>
      <c r="DH117" s="591">
        <v>4.2000000000000003E-2</v>
      </c>
      <c r="DI117" s="915">
        <v>5.8078000000000005E-2</v>
      </c>
      <c r="DJ117" s="1234"/>
      <c r="DK117" s="591">
        <v>0.22900000000000001</v>
      </c>
      <c r="DL117" s="591">
        <v>3.2000000000000001E-2</v>
      </c>
      <c r="DM117" s="591">
        <v>2.8000000000000001E-2</v>
      </c>
      <c r="DN117" s="915">
        <v>3.1079999999999997E-2</v>
      </c>
      <c r="DO117" s="591">
        <v>0.02</v>
      </c>
      <c r="DP117" s="591">
        <v>1.0999999999999999E-2</v>
      </c>
      <c r="DQ117" s="1234"/>
      <c r="DR117" s="591"/>
      <c r="DS117" s="1234"/>
      <c r="DT117" s="591">
        <v>2.1999999999999999E-2</v>
      </c>
      <c r="DU117" s="591">
        <v>0.02</v>
      </c>
      <c r="DV117" s="591">
        <v>2.5000000000000001E-2</v>
      </c>
      <c r="DW117" s="591">
        <v>4.4999999999999998E-2</v>
      </c>
      <c r="DX117" s="591">
        <v>5.8000000000000003E-2</v>
      </c>
      <c r="DY117" s="594">
        <v>1.4999999999999999E-2</v>
      </c>
      <c r="DZ117" s="916"/>
      <c r="EA117" s="1439"/>
    </row>
    <row r="118" spans="1:131" x14ac:dyDescent="0.3">
      <c r="A118" s="935">
        <v>42583</v>
      </c>
      <c r="B118" s="589">
        <v>0.13</v>
      </c>
      <c r="C118" s="590">
        <v>0.06</v>
      </c>
      <c r="D118" s="590">
        <v>0.04</v>
      </c>
      <c r="E118" s="590">
        <v>0.05</v>
      </c>
      <c r="F118" s="591">
        <v>0.1263</v>
      </c>
      <c r="G118" s="589">
        <v>0.1111</v>
      </c>
      <c r="H118" s="589">
        <v>0.1</v>
      </c>
      <c r="I118" s="590">
        <v>0.1</v>
      </c>
      <c r="J118" s="591">
        <v>0.115</v>
      </c>
      <c r="K118" s="590">
        <v>0.15</v>
      </c>
      <c r="L118" s="589">
        <v>4.2500000000000003E-2</v>
      </c>
      <c r="M118" s="592">
        <v>0.76</v>
      </c>
      <c r="N118" s="590">
        <v>0.1</v>
      </c>
      <c r="O118" s="589">
        <v>0</v>
      </c>
      <c r="P118" s="593">
        <v>7.7499999999999999E-2</v>
      </c>
      <c r="Q118" s="589">
        <v>0.105</v>
      </c>
      <c r="R118" s="590">
        <v>0.2</v>
      </c>
      <c r="S118" s="589">
        <v>2.2499999999999999E-2</v>
      </c>
      <c r="T118" s="594">
        <v>0.107</v>
      </c>
      <c r="U118" s="591">
        <v>6.2E-2</v>
      </c>
      <c r="V118" s="589">
        <v>0.16</v>
      </c>
      <c r="W118" s="589">
        <v>0.11</v>
      </c>
      <c r="X118" s="590">
        <v>0</v>
      </c>
      <c r="Y118" s="590">
        <v>0.1</v>
      </c>
      <c r="Z118" s="589">
        <v>0.2</v>
      </c>
      <c r="AA118" s="589">
        <v>0</v>
      </c>
      <c r="AB118" s="590">
        <v>0.2</v>
      </c>
      <c r="AC118" s="590">
        <v>0.1</v>
      </c>
      <c r="AD118" s="590">
        <v>0.12</v>
      </c>
      <c r="AE118" s="590">
        <v>0.2</v>
      </c>
      <c r="AF118" s="591">
        <v>0.12</v>
      </c>
      <c r="AG118" s="590">
        <v>0</v>
      </c>
      <c r="AH118" s="594">
        <v>5.4999999999999997E-3</v>
      </c>
      <c r="AI118" s="594">
        <v>5.8999999999999999E-3</v>
      </c>
      <c r="AJ118" s="594">
        <v>2.3999999999999998E-3</v>
      </c>
      <c r="AK118" s="594">
        <v>8.0000000000000002E-3</v>
      </c>
      <c r="AL118" s="594">
        <v>8.8999999999999999E-3</v>
      </c>
      <c r="AM118" s="596"/>
      <c r="AN118" s="594">
        <v>4.3E-3</v>
      </c>
      <c r="AO118" s="594">
        <v>6.3E-3</v>
      </c>
      <c r="AP118" s="594">
        <v>8.6999999999999994E-3</v>
      </c>
      <c r="AQ118" s="594">
        <v>3.5999999999999999E-3</v>
      </c>
      <c r="AR118" s="594">
        <v>1.0699999999999999E-2</v>
      </c>
      <c r="AS118" s="596"/>
      <c r="AT118" s="594">
        <v>-1.8E-3</v>
      </c>
      <c r="AU118" s="594">
        <v>6.0000000000000001E-3</v>
      </c>
      <c r="AV118" s="593">
        <v>1.17E-2</v>
      </c>
      <c r="AW118" s="594">
        <v>6.8999999999999999E-3</v>
      </c>
      <c r="AX118" s="594">
        <v>8.2000000000000007E-3</v>
      </c>
      <c r="AY118" s="594">
        <v>4.6399999999999997E-2</v>
      </c>
      <c r="AZ118" s="594">
        <v>3.7000000000000002E-3</v>
      </c>
      <c r="BA118" s="594">
        <v>5.8999999999999999E-3</v>
      </c>
      <c r="BB118" s="594">
        <v>4.5999999999999999E-3</v>
      </c>
      <c r="BC118" s="594">
        <v>7.7000000000000002E-3</v>
      </c>
      <c r="BD118" s="594">
        <v>3.3E-3</v>
      </c>
      <c r="BE118" s="594">
        <v>6.7999999999999996E-3</v>
      </c>
      <c r="BF118" s="594">
        <v>4.1000000000000003E-3</v>
      </c>
      <c r="BG118" s="594">
        <v>8.0000000000000002E-3</v>
      </c>
      <c r="BH118" s="594">
        <v>7.6E-3</v>
      </c>
      <c r="BI118" s="594">
        <v>5.5999999999999999E-3</v>
      </c>
      <c r="BJ118" s="594">
        <v>8.9999999999999993E-3</v>
      </c>
      <c r="BK118" s="594">
        <v>8.5000000000000006E-3</v>
      </c>
      <c r="BL118" s="594">
        <v>1.2500000000000001E-2</v>
      </c>
      <c r="BM118" s="594">
        <v>1.6000000000000001E-3</v>
      </c>
      <c r="BN118" s="594">
        <v>0.29599999999999999</v>
      </c>
      <c r="BO118" s="594">
        <v>0.06</v>
      </c>
      <c r="BP118" s="594">
        <v>0.312</v>
      </c>
      <c r="BQ118" s="594">
        <v>0.21199999999999999</v>
      </c>
      <c r="BR118" s="594">
        <v>0.18</v>
      </c>
      <c r="BS118" s="594">
        <v>0.1111</v>
      </c>
      <c r="BT118" s="594">
        <v>0.25</v>
      </c>
      <c r="BU118" s="594">
        <v>0.27</v>
      </c>
      <c r="BV118" s="594">
        <v>0.17</v>
      </c>
      <c r="BW118" s="594">
        <v>0.2</v>
      </c>
      <c r="BX118" s="594">
        <v>0.13</v>
      </c>
      <c r="BY118" s="594">
        <v>0.32900000000000001</v>
      </c>
      <c r="BZ118" s="594">
        <v>8.6999999999999994E-2</v>
      </c>
      <c r="CA118" s="594">
        <v>0</v>
      </c>
      <c r="CB118" s="593">
        <v>0.25</v>
      </c>
      <c r="CC118" s="594">
        <v>0.3</v>
      </c>
      <c r="CD118" s="594">
        <v>0.13</v>
      </c>
      <c r="CE118" s="594">
        <v>0.3</v>
      </c>
      <c r="CF118" s="594">
        <v>0.14599999999999999</v>
      </c>
      <c r="CG118" s="594">
        <v>0.22</v>
      </c>
      <c r="CH118" s="594">
        <v>0.27</v>
      </c>
      <c r="CI118" s="594">
        <v>0.25</v>
      </c>
      <c r="CJ118" s="594">
        <v>0</v>
      </c>
      <c r="CK118" s="594">
        <v>5.2499999999999998E-2</v>
      </c>
      <c r="CL118" s="594">
        <v>0.107</v>
      </c>
      <c r="CM118" s="594">
        <v>0.188</v>
      </c>
      <c r="CN118" s="594">
        <v>0.25</v>
      </c>
      <c r="CO118" s="594">
        <v>0.1118</v>
      </c>
      <c r="CP118" s="594">
        <v>0.23</v>
      </c>
      <c r="CQ118" s="594">
        <v>0.35</v>
      </c>
      <c r="CR118" s="594">
        <v>0.35</v>
      </c>
      <c r="CS118" s="597"/>
      <c r="CT118" s="591">
        <v>2.5000000000000001E-2</v>
      </c>
      <c r="CU118" s="1233">
        <v>4.0163999999999998E-2</v>
      </c>
      <c r="CV118" s="591">
        <v>0</v>
      </c>
      <c r="CW118" s="915">
        <v>2.6999000000000002E-2</v>
      </c>
      <c r="CX118" s="591">
        <v>4.4999999999999998E-2</v>
      </c>
      <c r="CY118" s="1234"/>
      <c r="CZ118" s="591">
        <v>3.1E-2</v>
      </c>
      <c r="DA118" s="591">
        <v>2.1999999999999999E-2</v>
      </c>
      <c r="DB118" s="591">
        <v>2.4E-2</v>
      </c>
      <c r="DC118" s="591">
        <v>1.7000000000000001E-2</v>
      </c>
      <c r="DD118" s="591">
        <v>3.1E-2</v>
      </c>
      <c r="DE118" s="591">
        <v>4.1000000000000002E-2</v>
      </c>
      <c r="DF118" s="591">
        <v>1.4999999999999999E-2</v>
      </c>
      <c r="DG118" s="591">
        <v>3.1E-2</v>
      </c>
      <c r="DH118" s="591">
        <v>4.2000000000000003E-2</v>
      </c>
      <c r="DI118" s="915">
        <v>5.8078000000000005E-2</v>
      </c>
      <c r="DJ118" s="1234"/>
      <c r="DK118" s="591">
        <v>0.22900000000000001</v>
      </c>
      <c r="DL118" s="591">
        <v>3.2000000000000001E-2</v>
      </c>
      <c r="DM118" s="591">
        <v>2.8000000000000001E-2</v>
      </c>
      <c r="DN118" s="915">
        <v>3.1079999999999997E-2</v>
      </c>
      <c r="DO118" s="591">
        <v>0.02</v>
      </c>
      <c r="DP118" s="591">
        <v>1.0999999999999999E-2</v>
      </c>
      <c r="DQ118" s="1234"/>
      <c r="DR118" s="591"/>
      <c r="DS118" s="1234"/>
      <c r="DT118" s="591">
        <v>2.1999999999999999E-2</v>
      </c>
      <c r="DU118" s="591">
        <v>0.02</v>
      </c>
      <c r="DV118" s="591">
        <v>2.5000000000000001E-2</v>
      </c>
      <c r="DW118" s="591">
        <v>4.4999999999999998E-2</v>
      </c>
      <c r="DX118" s="591">
        <v>5.8000000000000003E-2</v>
      </c>
      <c r="DY118" s="594">
        <v>1.4999999999999999E-2</v>
      </c>
      <c r="DZ118" s="916"/>
      <c r="EA118" s="1439"/>
    </row>
    <row r="119" spans="1:131" x14ac:dyDescent="0.3">
      <c r="A119" s="935">
        <v>42614</v>
      </c>
      <c r="B119" s="589">
        <v>0.13</v>
      </c>
      <c r="C119" s="590">
        <v>0.06</v>
      </c>
      <c r="D119" s="590">
        <v>0.04</v>
      </c>
      <c r="E119" s="590">
        <v>0.05</v>
      </c>
      <c r="F119" s="591">
        <v>0.1263</v>
      </c>
      <c r="G119" s="589">
        <v>0.1111</v>
      </c>
      <c r="H119" s="589">
        <v>0.1</v>
      </c>
      <c r="I119" s="590">
        <v>0.1</v>
      </c>
      <c r="J119" s="591">
        <v>0.115</v>
      </c>
      <c r="K119" s="590">
        <v>0.15</v>
      </c>
      <c r="L119" s="589">
        <v>4.2500000000000003E-2</v>
      </c>
      <c r="M119" s="592">
        <v>0.76</v>
      </c>
      <c r="N119" s="590">
        <v>0.1</v>
      </c>
      <c r="O119" s="589">
        <v>0</v>
      </c>
      <c r="P119" s="593">
        <v>7.7499999999999999E-2</v>
      </c>
      <c r="Q119" s="589">
        <v>0.105</v>
      </c>
      <c r="R119" s="590">
        <v>0.2</v>
      </c>
      <c r="S119" s="589">
        <v>2.2499999999999999E-2</v>
      </c>
      <c r="T119" s="594">
        <v>0.107</v>
      </c>
      <c r="U119" s="591">
        <v>6.2E-2</v>
      </c>
      <c r="V119" s="589">
        <v>0.16</v>
      </c>
      <c r="W119" s="589">
        <v>0.11</v>
      </c>
      <c r="X119" s="590">
        <v>0</v>
      </c>
      <c r="Y119" s="590">
        <v>0.1</v>
      </c>
      <c r="Z119" s="589">
        <v>0.2</v>
      </c>
      <c r="AA119" s="589">
        <v>0</v>
      </c>
      <c r="AB119" s="590">
        <v>0.2</v>
      </c>
      <c r="AC119" s="590">
        <v>0.1</v>
      </c>
      <c r="AD119" s="590">
        <v>0.12</v>
      </c>
      <c r="AE119" s="590">
        <v>0.2</v>
      </c>
      <c r="AF119" s="591">
        <v>0.12</v>
      </c>
      <c r="AG119" s="590">
        <v>0</v>
      </c>
      <c r="AH119" s="594">
        <v>5.4999999999999997E-3</v>
      </c>
      <c r="AI119" s="594">
        <v>5.8999999999999999E-3</v>
      </c>
      <c r="AJ119" s="594">
        <v>2.3999999999999998E-3</v>
      </c>
      <c r="AK119" s="594">
        <v>8.0000000000000002E-3</v>
      </c>
      <c r="AL119" s="594">
        <v>8.8999999999999999E-3</v>
      </c>
      <c r="AM119" s="596"/>
      <c r="AN119" s="594">
        <v>4.3E-3</v>
      </c>
      <c r="AO119" s="594">
        <v>6.3E-3</v>
      </c>
      <c r="AP119" s="594">
        <v>8.6999999999999994E-3</v>
      </c>
      <c r="AQ119" s="594">
        <v>3.5999999999999999E-3</v>
      </c>
      <c r="AR119" s="594">
        <v>1.0699999999999999E-2</v>
      </c>
      <c r="AS119" s="596"/>
      <c r="AT119" s="594">
        <v>-1.8E-3</v>
      </c>
      <c r="AU119" s="594">
        <v>6.0000000000000001E-3</v>
      </c>
      <c r="AV119" s="593">
        <v>1.17E-2</v>
      </c>
      <c r="AW119" s="594">
        <v>6.8999999999999999E-3</v>
      </c>
      <c r="AX119" s="594">
        <v>8.2000000000000007E-3</v>
      </c>
      <c r="AY119" s="594">
        <v>4.6399999999999997E-2</v>
      </c>
      <c r="AZ119" s="594">
        <v>3.7000000000000002E-3</v>
      </c>
      <c r="BA119" s="594">
        <v>5.8999999999999999E-3</v>
      </c>
      <c r="BB119" s="594">
        <v>4.5999999999999999E-3</v>
      </c>
      <c r="BC119" s="594">
        <v>7.7000000000000002E-3</v>
      </c>
      <c r="BD119" s="594">
        <v>3.3E-3</v>
      </c>
      <c r="BE119" s="594">
        <v>6.7999999999999996E-3</v>
      </c>
      <c r="BF119" s="594">
        <v>4.1000000000000003E-3</v>
      </c>
      <c r="BG119" s="594">
        <v>8.0000000000000002E-3</v>
      </c>
      <c r="BH119" s="594">
        <v>7.6E-3</v>
      </c>
      <c r="BI119" s="594">
        <v>5.5999999999999999E-3</v>
      </c>
      <c r="BJ119" s="594">
        <v>8.9999999999999993E-3</v>
      </c>
      <c r="BK119" s="594">
        <v>8.5000000000000006E-3</v>
      </c>
      <c r="BL119" s="594">
        <v>1.2500000000000001E-2</v>
      </c>
      <c r="BM119" s="594">
        <v>1.6000000000000001E-3</v>
      </c>
      <c r="BN119" s="594">
        <v>0.29599999999999999</v>
      </c>
      <c r="BO119" s="594">
        <v>0.06</v>
      </c>
      <c r="BP119" s="594">
        <v>0.312</v>
      </c>
      <c r="BQ119" s="594">
        <v>0.21199999999999999</v>
      </c>
      <c r="BR119" s="594">
        <v>0.18</v>
      </c>
      <c r="BS119" s="594">
        <v>0.1111</v>
      </c>
      <c r="BT119" s="594">
        <v>0.25</v>
      </c>
      <c r="BU119" s="594">
        <v>0.27</v>
      </c>
      <c r="BV119" s="594">
        <v>0.17</v>
      </c>
      <c r="BW119" s="594">
        <v>0.2</v>
      </c>
      <c r="BX119" s="594">
        <v>0.13</v>
      </c>
      <c r="BY119" s="594">
        <v>0.32900000000000001</v>
      </c>
      <c r="BZ119" s="594">
        <v>8.6999999999999994E-2</v>
      </c>
      <c r="CA119" s="594">
        <v>0</v>
      </c>
      <c r="CB119" s="593">
        <v>0.25</v>
      </c>
      <c r="CC119" s="594">
        <v>0.3</v>
      </c>
      <c r="CD119" s="594">
        <v>0.13</v>
      </c>
      <c r="CE119" s="594">
        <v>0.3</v>
      </c>
      <c r="CF119" s="594">
        <v>0.14599999999999999</v>
      </c>
      <c r="CG119" s="594">
        <v>0.22</v>
      </c>
      <c r="CH119" s="594">
        <v>0.27</v>
      </c>
      <c r="CI119" s="594">
        <v>0.25</v>
      </c>
      <c r="CJ119" s="594">
        <v>0</v>
      </c>
      <c r="CK119" s="594">
        <v>5.2499999999999998E-2</v>
      </c>
      <c r="CL119" s="594">
        <v>0.107</v>
      </c>
      <c r="CM119" s="594">
        <v>0.188</v>
      </c>
      <c r="CN119" s="594">
        <v>0.25</v>
      </c>
      <c r="CO119" s="594">
        <v>0.1118</v>
      </c>
      <c r="CP119" s="594">
        <v>0.23</v>
      </c>
      <c r="CQ119" s="594">
        <v>0.35</v>
      </c>
      <c r="CR119" s="594">
        <v>0.35</v>
      </c>
      <c r="CS119" s="597"/>
      <c r="CT119" s="591">
        <v>2.5000000000000001E-2</v>
      </c>
      <c r="CU119" s="1233">
        <v>4.0163999999999998E-2</v>
      </c>
      <c r="CV119" s="591">
        <v>0</v>
      </c>
      <c r="CW119" s="915">
        <v>2.6999000000000002E-2</v>
      </c>
      <c r="CX119" s="591">
        <v>4.4999999999999998E-2</v>
      </c>
      <c r="CY119" s="1234"/>
      <c r="CZ119" s="591">
        <v>3.1E-2</v>
      </c>
      <c r="DA119" s="591">
        <v>2.1999999999999999E-2</v>
      </c>
      <c r="DB119" s="591">
        <v>2.4E-2</v>
      </c>
      <c r="DC119" s="591">
        <v>1.7000000000000001E-2</v>
      </c>
      <c r="DD119" s="591">
        <v>3.1E-2</v>
      </c>
      <c r="DE119" s="591">
        <v>4.1000000000000002E-2</v>
      </c>
      <c r="DF119" s="591">
        <v>1.4999999999999999E-2</v>
      </c>
      <c r="DG119" s="591">
        <v>3.1E-2</v>
      </c>
      <c r="DH119" s="591">
        <v>4.2000000000000003E-2</v>
      </c>
      <c r="DI119" s="915">
        <v>5.8078000000000005E-2</v>
      </c>
      <c r="DJ119" s="1234"/>
      <c r="DK119" s="591">
        <v>0.22900000000000001</v>
      </c>
      <c r="DL119" s="591">
        <v>3.2000000000000001E-2</v>
      </c>
      <c r="DM119" s="591">
        <v>2.8000000000000001E-2</v>
      </c>
      <c r="DN119" s="915">
        <v>3.1079999999999997E-2</v>
      </c>
      <c r="DO119" s="591">
        <v>0.02</v>
      </c>
      <c r="DP119" s="591">
        <v>1.0999999999999999E-2</v>
      </c>
      <c r="DQ119" s="1234"/>
      <c r="DR119" s="591"/>
      <c r="DS119" s="1234"/>
      <c r="DT119" s="591">
        <v>2.1999999999999999E-2</v>
      </c>
      <c r="DU119" s="591">
        <v>0.02</v>
      </c>
      <c r="DV119" s="591">
        <v>2.5000000000000001E-2</v>
      </c>
      <c r="DW119" s="591">
        <v>4.4999999999999998E-2</v>
      </c>
      <c r="DX119" s="591">
        <v>5.8000000000000003E-2</v>
      </c>
      <c r="DY119" s="594">
        <v>1.4999999999999999E-2</v>
      </c>
      <c r="DZ119" s="916"/>
      <c r="EA119" s="1439"/>
    </row>
    <row r="120" spans="1:131" x14ac:dyDescent="0.3">
      <c r="A120" s="935">
        <v>42644</v>
      </c>
      <c r="B120" s="589">
        <v>0.13</v>
      </c>
      <c r="C120" s="590">
        <v>0.06</v>
      </c>
      <c r="D120" s="590">
        <v>0.04</v>
      </c>
      <c r="E120" s="590">
        <v>0.05</v>
      </c>
      <c r="F120" s="591">
        <v>0.1263</v>
      </c>
      <c r="G120" s="589">
        <v>0.1111</v>
      </c>
      <c r="H120" s="589">
        <v>0.1</v>
      </c>
      <c r="I120" s="590">
        <v>0.1</v>
      </c>
      <c r="J120" s="591">
        <v>0.115</v>
      </c>
      <c r="K120" s="590">
        <v>0.15</v>
      </c>
      <c r="L120" s="589">
        <v>4.2500000000000003E-2</v>
      </c>
      <c r="M120" s="592">
        <v>0.76</v>
      </c>
      <c r="N120" s="590">
        <v>0.1</v>
      </c>
      <c r="O120" s="589">
        <v>0</v>
      </c>
      <c r="P120" s="593">
        <v>7.7499999999999999E-2</v>
      </c>
      <c r="Q120" s="589">
        <v>0.105</v>
      </c>
      <c r="R120" s="590">
        <v>0.2</v>
      </c>
      <c r="S120" s="589">
        <v>2.2499999999999999E-2</v>
      </c>
      <c r="T120" s="594">
        <v>0.107</v>
      </c>
      <c r="U120" s="591">
        <v>6.2E-2</v>
      </c>
      <c r="V120" s="589">
        <v>0.16</v>
      </c>
      <c r="W120" s="589">
        <v>0.11</v>
      </c>
      <c r="X120" s="590">
        <v>0</v>
      </c>
      <c r="Y120" s="590">
        <v>0.1</v>
      </c>
      <c r="Z120" s="589">
        <v>0.2</v>
      </c>
      <c r="AA120" s="589">
        <v>0</v>
      </c>
      <c r="AB120" s="590">
        <v>0.2</v>
      </c>
      <c r="AC120" s="590">
        <v>0.1</v>
      </c>
      <c r="AD120" s="590">
        <v>0.12</v>
      </c>
      <c r="AE120" s="590">
        <v>0.2</v>
      </c>
      <c r="AF120" s="591">
        <v>0.12</v>
      </c>
      <c r="AG120" s="590">
        <v>0</v>
      </c>
      <c r="AH120" s="594">
        <v>5.4999999999999997E-3</v>
      </c>
      <c r="AI120" s="594">
        <v>5.8999999999999999E-3</v>
      </c>
      <c r="AJ120" s="594">
        <v>2.3999999999999998E-3</v>
      </c>
      <c r="AK120" s="594">
        <v>8.0000000000000002E-3</v>
      </c>
      <c r="AL120" s="594">
        <v>8.8999999999999999E-3</v>
      </c>
      <c r="AM120" s="596"/>
      <c r="AN120" s="594">
        <v>4.3E-3</v>
      </c>
      <c r="AO120" s="594">
        <v>6.3E-3</v>
      </c>
      <c r="AP120" s="594">
        <v>8.6999999999999994E-3</v>
      </c>
      <c r="AQ120" s="594">
        <v>3.5999999999999999E-3</v>
      </c>
      <c r="AR120" s="594">
        <v>1.0699999999999999E-2</v>
      </c>
      <c r="AS120" s="596"/>
      <c r="AT120" s="594">
        <v>-1.8E-3</v>
      </c>
      <c r="AU120" s="594">
        <v>6.0000000000000001E-3</v>
      </c>
      <c r="AV120" s="593">
        <v>1.17E-2</v>
      </c>
      <c r="AW120" s="594">
        <v>6.8999999999999999E-3</v>
      </c>
      <c r="AX120" s="594">
        <v>8.2000000000000007E-3</v>
      </c>
      <c r="AY120" s="594">
        <v>4.6399999999999997E-2</v>
      </c>
      <c r="AZ120" s="594">
        <v>3.7000000000000002E-3</v>
      </c>
      <c r="BA120" s="594">
        <v>5.8999999999999999E-3</v>
      </c>
      <c r="BB120" s="594">
        <v>4.5999999999999999E-3</v>
      </c>
      <c r="BC120" s="594">
        <v>7.7000000000000002E-3</v>
      </c>
      <c r="BD120" s="594">
        <v>3.3E-3</v>
      </c>
      <c r="BE120" s="594">
        <v>6.7999999999999996E-3</v>
      </c>
      <c r="BF120" s="594">
        <v>4.1000000000000003E-3</v>
      </c>
      <c r="BG120" s="594">
        <v>8.0000000000000002E-3</v>
      </c>
      <c r="BH120" s="594">
        <v>7.6E-3</v>
      </c>
      <c r="BI120" s="594">
        <v>5.5999999999999999E-3</v>
      </c>
      <c r="BJ120" s="594">
        <v>8.9999999999999993E-3</v>
      </c>
      <c r="BK120" s="594">
        <v>8.5000000000000006E-3</v>
      </c>
      <c r="BL120" s="594">
        <v>1.2500000000000001E-2</v>
      </c>
      <c r="BM120" s="594">
        <v>1.6000000000000001E-3</v>
      </c>
      <c r="BN120" s="594">
        <v>0.29599999999999999</v>
      </c>
      <c r="BO120" s="594">
        <v>0.06</v>
      </c>
      <c r="BP120" s="594">
        <v>0.312</v>
      </c>
      <c r="BQ120" s="594">
        <v>0.21199999999999999</v>
      </c>
      <c r="BR120" s="594">
        <v>0.18</v>
      </c>
      <c r="BS120" s="594">
        <v>0.1111</v>
      </c>
      <c r="BT120" s="594">
        <v>0.25</v>
      </c>
      <c r="BU120" s="594">
        <v>0.27</v>
      </c>
      <c r="BV120" s="594">
        <v>0.17</v>
      </c>
      <c r="BW120" s="594">
        <v>0.2</v>
      </c>
      <c r="BX120" s="594">
        <v>0.13</v>
      </c>
      <c r="BY120" s="594">
        <v>0.32900000000000001</v>
      </c>
      <c r="BZ120" s="594">
        <v>8.6999999999999994E-2</v>
      </c>
      <c r="CA120" s="594">
        <v>0</v>
      </c>
      <c r="CB120" s="593">
        <v>0.25</v>
      </c>
      <c r="CC120" s="594">
        <v>0.3</v>
      </c>
      <c r="CD120" s="594">
        <v>0.13</v>
      </c>
      <c r="CE120" s="594">
        <v>0.3</v>
      </c>
      <c r="CF120" s="594">
        <v>0.14599999999999999</v>
      </c>
      <c r="CG120" s="594">
        <v>0.22</v>
      </c>
      <c r="CH120" s="594">
        <v>0.27</v>
      </c>
      <c r="CI120" s="594">
        <v>0.25</v>
      </c>
      <c r="CJ120" s="594">
        <v>0</v>
      </c>
      <c r="CK120" s="594">
        <v>5.2499999999999998E-2</v>
      </c>
      <c r="CL120" s="594">
        <v>0.107</v>
      </c>
      <c r="CM120" s="594">
        <v>0.188</v>
      </c>
      <c r="CN120" s="594">
        <v>0.25</v>
      </c>
      <c r="CO120" s="594">
        <v>0.1118</v>
      </c>
      <c r="CP120" s="594">
        <v>0.23</v>
      </c>
      <c r="CQ120" s="594">
        <v>0.35</v>
      </c>
      <c r="CR120" s="594">
        <v>0.35</v>
      </c>
      <c r="CS120" s="597"/>
      <c r="CT120" s="591">
        <v>2.5000000000000001E-2</v>
      </c>
      <c r="CU120" s="1233">
        <v>4.0163999999999998E-2</v>
      </c>
      <c r="CV120" s="591">
        <v>0</v>
      </c>
      <c r="CW120" s="915">
        <v>2.6999000000000002E-2</v>
      </c>
      <c r="CX120" s="591">
        <v>4.4999999999999998E-2</v>
      </c>
      <c r="CY120" s="1234"/>
      <c r="CZ120" s="591">
        <v>3.1E-2</v>
      </c>
      <c r="DA120" s="591">
        <v>2.1999999999999999E-2</v>
      </c>
      <c r="DB120" s="591">
        <v>2.4E-2</v>
      </c>
      <c r="DC120" s="591">
        <v>1.7000000000000001E-2</v>
      </c>
      <c r="DD120" s="591">
        <v>3.1E-2</v>
      </c>
      <c r="DE120" s="591">
        <v>4.1000000000000002E-2</v>
      </c>
      <c r="DF120" s="591">
        <v>1.4999999999999999E-2</v>
      </c>
      <c r="DG120" s="591">
        <v>3.1E-2</v>
      </c>
      <c r="DH120" s="591">
        <v>4.2000000000000003E-2</v>
      </c>
      <c r="DI120" s="915">
        <v>5.8078000000000005E-2</v>
      </c>
      <c r="DJ120" s="1234"/>
      <c r="DK120" s="591">
        <v>0.22900000000000001</v>
      </c>
      <c r="DL120" s="591">
        <v>3.2000000000000001E-2</v>
      </c>
      <c r="DM120" s="591">
        <v>2.8000000000000001E-2</v>
      </c>
      <c r="DN120" s="915">
        <v>3.1079999999999997E-2</v>
      </c>
      <c r="DO120" s="591">
        <v>0.02</v>
      </c>
      <c r="DP120" s="591">
        <v>1.0999999999999999E-2</v>
      </c>
      <c r="DQ120" s="1234"/>
      <c r="DR120" s="591"/>
      <c r="DS120" s="1234"/>
      <c r="DT120" s="591">
        <v>2.1999999999999999E-2</v>
      </c>
      <c r="DU120" s="591">
        <v>0.02</v>
      </c>
      <c r="DV120" s="591">
        <v>2.5000000000000001E-2</v>
      </c>
      <c r="DW120" s="591">
        <v>4.4999999999999998E-2</v>
      </c>
      <c r="DX120" s="591">
        <v>5.8000000000000003E-2</v>
      </c>
      <c r="DY120" s="594">
        <v>1.4999999999999999E-2</v>
      </c>
      <c r="DZ120" s="916"/>
      <c r="EA120" s="1439"/>
    </row>
    <row r="121" spans="1:131" x14ac:dyDescent="0.3">
      <c r="A121" s="935">
        <v>42675</v>
      </c>
      <c r="B121" s="589">
        <v>0.13</v>
      </c>
      <c r="C121" s="590">
        <v>0.06</v>
      </c>
      <c r="D121" s="590">
        <v>0.04</v>
      </c>
      <c r="E121" s="590">
        <v>0.05</v>
      </c>
      <c r="F121" s="591">
        <v>0.1263</v>
      </c>
      <c r="G121" s="589">
        <v>0.1111</v>
      </c>
      <c r="H121" s="589">
        <v>0.1</v>
      </c>
      <c r="I121" s="590">
        <v>0.1</v>
      </c>
      <c r="J121" s="591">
        <v>0.115</v>
      </c>
      <c r="K121" s="590">
        <v>0.15</v>
      </c>
      <c r="L121" s="589">
        <v>4.2500000000000003E-2</v>
      </c>
      <c r="M121" s="592">
        <v>0.76</v>
      </c>
      <c r="N121" s="590">
        <v>0.1</v>
      </c>
      <c r="O121" s="589">
        <v>0</v>
      </c>
      <c r="P121" s="593">
        <v>7.7499999999999999E-2</v>
      </c>
      <c r="Q121" s="589">
        <v>0.105</v>
      </c>
      <c r="R121" s="590">
        <v>0.2</v>
      </c>
      <c r="S121" s="589">
        <v>2.2499999999999999E-2</v>
      </c>
      <c r="T121" s="594">
        <v>0.107</v>
      </c>
      <c r="U121" s="591">
        <v>6.2E-2</v>
      </c>
      <c r="V121" s="589">
        <v>0.16</v>
      </c>
      <c r="W121" s="589">
        <v>0.11</v>
      </c>
      <c r="X121" s="590">
        <v>0</v>
      </c>
      <c r="Y121" s="590">
        <v>0.1</v>
      </c>
      <c r="Z121" s="589">
        <v>0.2</v>
      </c>
      <c r="AA121" s="589">
        <v>0</v>
      </c>
      <c r="AB121" s="590">
        <v>0.2</v>
      </c>
      <c r="AC121" s="590">
        <v>0.1</v>
      </c>
      <c r="AD121" s="590">
        <v>0.12</v>
      </c>
      <c r="AE121" s="590">
        <v>0.2</v>
      </c>
      <c r="AF121" s="591">
        <v>0.12</v>
      </c>
      <c r="AG121" s="590">
        <v>0</v>
      </c>
      <c r="AH121" s="594">
        <v>5.4999999999999997E-3</v>
      </c>
      <c r="AI121" s="594">
        <v>5.8999999999999999E-3</v>
      </c>
      <c r="AJ121" s="594">
        <v>2.3999999999999998E-3</v>
      </c>
      <c r="AK121" s="594">
        <v>8.0000000000000002E-3</v>
      </c>
      <c r="AL121" s="594">
        <v>8.8999999999999999E-3</v>
      </c>
      <c r="AM121" s="596"/>
      <c r="AN121" s="594">
        <v>4.3E-3</v>
      </c>
      <c r="AO121" s="594">
        <v>6.3E-3</v>
      </c>
      <c r="AP121" s="594">
        <v>8.6999999999999994E-3</v>
      </c>
      <c r="AQ121" s="594">
        <v>3.5999999999999999E-3</v>
      </c>
      <c r="AR121" s="594">
        <v>1.0699999999999999E-2</v>
      </c>
      <c r="AS121" s="596"/>
      <c r="AT121" s="594">
        <v>-1.8E-3</v>
      </c>
      <c r="AU121" s="594">
        <v>6.0000000000000001E-3</v>
      </c>
      <c r="AV121" s="593">
        <v>1.17E-2</v>
      </c>
      <c r="AW121" s="594">
        <v>6.8999999999999999E-3</v>
      </c>
      <c r="AX121" s="594">
        <v>8.2000000000000007E-3</v>
      </c>
      <c r="AY121" s="594">
        <v>4.6399999999999997E-2</v>
      </c>
      <c r="AZ121" s="594">
        <v>3.7000000000000002E-3</v>
      </c>
      <c r="BA121" s="594">
        <v>5.8999999999999999E-3</v>
      </c>
      <c r="BB121" s="594">
        <v>4.5999999999999999E-3</v>
      </c>
      <c r="BC121" s="594">
        <v>7.7000000000000002E-3</v>
      </c>
      <c r="BD121" s="594">
        <v>3.3E-3</v>
      </c>
      <c r="BE121" s="594">
        <v>6.7999999999999996E-3</v>
      </c>
      <c r="BF121" s="594">
        <v>4.1000000000000003E-3</v>
      </c>
      <c r="BG121" s="594">
        <v>8.0000000000000002E-3</v>
      </c>
      <c r="BH121" s="594">
        <v>7.6E-3</v>
      </c>
      <c r="BI121" s="594">
        <v>5.5999999999999999E-3</v>
      </c>
      <c r="BJ121" s="594">
        <v>8.9999999999999993E-3</v>
      </c>
      <c r="BK121" s="594">
        <v>8.5000000000000006E-3</v>
      </c>
      <c r="BL121" s="594">
        <v>1.2500000000000001E-2</v>
      </c>
      <c r="BM121" s="594">
        <v>1.6000000000000001E-3</v>
      </c>
      <c r="BN121" s="594">
        <v>0.29599999999999999</v>
      </c>
      <c r="BO121" s="594">
        <v>0.06</v>
      </c>
      <c r="BP121" s="594">
        <v>0.312</v>
      </c>
      <c r="BQ121" s="594">
        <v>0.21199999999999999</v>
      </c>
      <c r="BR121" s="594">
        <v>0.18</v>
      </c>
      <c r="BS121" s="594">
        <v>0.1111</v>
      </c>
      <c r="BT121" s="594">
        <v>0.25</v>
      </c>
      <c r="BU121" s="594">
        <v>0.27</v>
      </c>
      <c r="BV121" s="594">
        <v>0.17</v>
      </c>
      <c r="BW121" s="594">
        <v>0.2</v>
      </c>
      <c r="BX121" s="594">
        <v>0.13</v>
      </c>
      <c r="BY121" s="594">
        <v>0.32900000000000001</v>
      </c>
      <c r="BZ121" s="594">
        <v>8.6999999999999994E-2</v>
      </c>
      <c r="CA121" s="594">
        <v>0</v>
      </c>
      <c r="CB121" s="593">
        <v>0.25</v>
      </c>
      <c r="CC121" s="594">
        <v>0.3</v>
      </c>
      <c r="CD121" s="594">
        <v>0.13</v>
      </c>
      <c r="CE121" s="594">
        <v>0.3</v>
      </c>
      <c r="CF121" s="594">
        <v>0.14599999999999999</v>
      </c>
      <c r="CG121" s="594">
        <v>0.22</v>
      </c>
      <c r="CH121" s="594">
        <v>0.27</v>
      </c>
      <c r="CI121" s="594">
        <v>0.25</v>
      </c>
      <c r="CJ121" s="594">
        <v>0</v>
      </c>
      <c r="CK121" s="594">
        <v>5.2499999999999998E-2</v>
      </c>
      <c r="CL121" s="594">
        <v>0.107</v>
      </c>
      <c r="CM121" s="594">
        <v>0.188</v>
      </c>
      <c r="CN121" s="594">
        <v>0.25</v>
      </c>
      <c r="CO121" s="594">
        <v>0.1118</v>
      </c>
      <c r="CP121" s="594">
        <v>0.23</v>
      </c>
      <c r="CQ121" s="594">
        <v>0.35</v>
      </c>
      <c r="CR121" s="594">
        <v>0.35</v>
      </c>
      <c r="CS121" s="597"/>
      <c r="CT121" s="591">
        <v>2.5000000000000001E-2</v>
      </c>
      <c r="CU121" s="1233">
        <v>4.0163999999999998E-2</v>
      </c>
      <c r="CV121" s="591">
        <v>0</v>
      </c>
      <c r="CW121" s="915">
        <v>2.6999000000000002E-2</v>
      </c>
      <c r="CX121" s="591">
        <v>4.4999999999999998E-2</v>
      </c>
      <c r="CY121" s="1234"/>
      <c r="CZ121" s="591">
        <v>3.1E-2</v>
      </c>
      <c r="DA121" s="591">
        <v>2.1999999999999999E-2</v>
      </c>
      <c r="DB121" s="591">
        <v>2.4E-2</v>
      </c>
      <c r="DC121" s="591">
        <v>1.7000000000000001E-2</v>
      </c>
      <c r="DD121" s="591">
        <v>3.1E-2</v>
      </c>
      <c r="DE121" s="591">
        <v>4.1000000000000002E-2</v>
      </c>
      <c r="DF121" s="591">
        <v>1.4999999999999999E-2</v>
      </c>
      <c r="DG121" s="591">
        <v>3.1E-2</v>
      </c>
      <c r="DH121" s="591">
        <v>4.2000000000000003E-2</v>
      </c>
      <c r="DI121" s="915">
        <v>5.8078000000000005E-2</v>
      </c>
      <c r="DJ121" s="1234"/>
      <c r="DK121" s="591">
        <v>0.22900000000000001</v>
      </c>
      <c r="DL121" s="591">
        <v>3.2000000000000001E-2</v>
      </c>
      <c r="DM121" s="591">
        <v>2.8000000000000001E-2</v>
      </c>
      <c r="DN121" s="915">
        <v>3.1079999999999997E-2</v>
      </c>
      <c r="DO121" s="591">
        <v>0.02</v>
      </c>
      <c r="DP121" s="591">
        <v>1.0999999999999999E-2</v>
      </c>
      <c r="DQ121" s="1234"/>
      <c r="DR121" s="591"/>
      <c r="DS121" s="1234"/>
      <c r="DT121" s="591">
        <v>2.1999999999999999E-2</v>
      </c>
      <c r="DU121" s="591">
        <v>0.02</v>
      </c>
      <c r="DV121" s="591">
        <v>2.5000000000000001E-2</v>
      </c>
      <c r="DW121" s="591">
        <v>4.4999999999999998E-2</v>
      </c>
      <c r="DX121" s="591">
        <v>5.8000000000000003E-2</v>
      </c>
      <c r="DY121" s="594">
        <v>1.4999999999999999E-2</v>
      </c>
      <c r="DZ121" s="916"/>
      <c r="EA121" s="1439"/>
    </row>
    <row r="122" spans="1:131" x14ac:dyDescent="0.3">
      <c r="A122" s="935">
        <v>42705</v>
      </c>
      <c r="B122" s="589">
        <v>0.13</v>
      </c>
      <c r="C122" s="590">
        <v>0.06</v>
      </c>
      <c r="D122" s="590">
        <v>0.04</v>
      </c>
      <c r="E122" s="590">
        <v>0.05</v>
      </c>
      <c r="F122" s="591">
        <v>0.1263</v>
      </c>
      <c r="G122" s="589">
        <v>0.1111</v>
      </c>
      <c r="H122" s="589">
        <v>0.1</v>
      </c>
      <c r="I122" s="590">
        <v>0.1</v>
      </c>
      <c r="J122" s="591">
        <v>0.115</v>
      </c>
      <c r="K122" s="590">
        <v>0.15</v>
      </c>
      <c r="L122" s="589">
        <v>4.2500000000000003E-2</v>
      </c>
      <c r="M122" s="592">
        <v>0.76</v>
      </c>
      <c r="N122" s="590">
        <v>0.1</v>
      </c>
      <c r="O122" s="589">
        <v>0</v>
      </c>
      <c r="P122" s="593">
        <v>7.7499999999999999E-2</v>
      </c>
      <c r="Q122" s="589">
        <v>0.105</v>
      </c>
      <c r="R122" s="590">
        <v>0.2</v>
      </c>
      <c r="S122" s="589">
        <v>2.2499999999999999E-2</v>
      </c>
      <c r="T122" s="594">
        <v>0.107</v>
      </c>
      <c r="U122" s="591">
        <v>6.2E-2</v>
      </c>
      <c r="V122" s="589">
        <v>0.16</v>
      </c>
      <c r="W122" s="589">
        <v>0.11</v>
      </c>
      <c r="X122" s="590">
        <v>0</v>
      </c>
      <c r="Y122" s="590">
        <v>0.1</v>
      </c>
      <c r="Z122" s="589">
        <v>0.2</v>
      </c>
      <c r="AA122" s="589">
        <v>0</v>
      </c>
      <c r="AB122" s="590">
        <v>0.2</v>
      </c>
      <c r="AC122" s="590">
        <v>0.1</v>
      </c>
      <c r="AD122" s="590">
        <v>0.12</v>
      </c>
      <c r="AE122" s="590">
        <v>0.2</v>
      </c>
      <c r="AF122" s="591">
        <v>0.12</v>
      </c>
      <c r="AG122" s="590">
        <v>0</v>
      </c>
      <c r="AH122" s="594">
        <v>5.4999999999999997E-3</v>
      </c>
      <c r="AI122" s="594">
        <v>5.8999999999999999E-3</v>
      </c>
      <c r="AJ122" s="594">
        <v>2.3999999999999998E-3</v>
      </c>
      <c r="AK122" s="594">
        <v>8.0000000000000002E-3</v>
      </c>
      <c r="AL122" s="594">
        <v>8.8999999999999999E-3</v>
      </c>
      <c r="AM122" s="596"/>
      <c r="AN122" s="594">
        <v>4.3E-3</v>
      </c>
      <c r="AO122" s="594">
        <v>6.3E-3</v>
      </c>
      <c r="AP122" s="594">
        <v>8.6999999999999994E-3</v>
      </c>
      <c r="AQ122" s="594">
        <v>3.5999999999999999E-3</v>
      </c>
      <c r="AR122" s="594">
        <v>1.0699999999999999E-2</v>
      </c>
      <c r="AS122" s="596"/>
      <c r="AT122" s="594">
        <v>-1.8E-3</v>
      </c>
      <c r="AU122" s="594">
        <v>6.0000000000000001E-3</v>
      </c>
      <c r="AV122" s="593">
        <v>1.17E-2</v>
      </c>
      <c r="AW122" s="594">
        <v>6.8999999999999999E-3</v>
      </c>
      <c r="AX122" s="594">
        <v>8.2000000000000007E-3</v>
      </c>
      <c r="AY122" s="594">
        <v>4.6399999999999997E-2</v>
      </c>
      <c r="AZ122" s="594">
        <v>3.7000000000000002E-3</v>
      </c>
      <c r="BA122" s="594">
        <v>5.8999999999999999E-3</v>
      </c>
      <c r="BB122" s="594">
        <v>4.5999999999999999E-3</v>
      </c>
      <c r="BC122" s="594">
        <v>7.7000000000000002E-3</v>
      </c>
      <c r="BD122" s="594">
        <v>3.3E-3</v>
      </c>
      <c r="BE122" s="594">
        <v>6.7999999999999996E-3</v>
      </c>
      <c r="BF122" s="594">
        <v>4.1000000000000003E-3</v>
      </c>
      <c r="BG122" s="594">
        <v>8.0000000000000002E-3</v>
      </c>
      <c r="BH122" s="594">
        <v>7.6E-3</v>
      </c>
      <c r="BI122" s="594">
        <v>5.5999999999999999E-3</v>
      </c>
      <c r="BJ122" s="594">
        <v>8.9999999999999993E-3</v>
      </c>
      <c r="BK122" s="594">
        <v>8.5000000000000006E-3</v>
      </c>
      <c r="BL122" s="594">
        <v>1.2500000000000001E-2</v>
      </c>
      <c r="BM122" s="594">
        <v>1.6000000000000001E-3</v>
      </c>
      <c r="BN122" s="594">
        <v>0.29599999999999999</v>
      </c>
      <c r="BO122" s="594">
        <v>0.06</v>
      </c>
      <c r="BP122" s="594">
        <v>0.312</v>
      </c>
      <c r="BQ122" s="594">
        <v>0.21199999999999999</v>
      </c>
      <c r="BR122" s="594">
        <v>0.18</v>
      </c>
      <c r="BS122" s="594">
        <v>0.1111</v>
      </c>
      <c r="BT122" s="594">
        <v>0.25</v>
      </c>
      <c r="BU122" s="594">
        <v>0.27</v>
      </c>
      <c r="BV122" s="594">
        <v>0.17</v>
      </c>
      <c r="BW122" s="594">
        <v>0.2</v>
      </c>
      <c r="BX122" s="594">
        <v>0.13</v>
      </c>
      <c r="BY122" s="594">
        <v>0.32900000000000001</v>
      </c>
      <c r="BZ122" s="594">
        <v>8.6999999999999994E-2</v>
      </c>
      <c r="CA122" s="594">
        <v>0</v>
      </c>
      <c r="CB122" s="593">
        <v>0.25</v>
      </c>
      <c r="CC122" s="594">
        <v>0.3</v>
      </c>
      <c r="CD122" s="594">
        <v>0.13</v>
      </c>
      <c r="CE122" s="594">
        <v>0.3</v>
      </c>
      <c r="CF122" s="594">
        <v>0.14599999999999999</v>
      </c>
      <c r="CG122" s="594">
        <v>0.22</v>
      </c>
      <c r="CH122" s="594">
        <v>0.27</v>
      </c>
      <c r="CI122" s="594">
        <v>0.25</v>
      </c>
      <c r="CJ122" s="594">
        <v>0</v>
      </c>
      <c r="CK122" s="594">
        <v>5.2499999999999998E-2</v>
      </c>
      <c r="CL122" s="594">
        <v>0.107</v>
      </c>
      <c r="CM122" s="594">
        <v>0.188</v>
      </c>
      <c r="CN122" s="594">
        <v>0.25</v>
      </c>
      <c r="CO122" s="594">
        <v>0.1118</v>
      </c>
      <c r="CP122" s="594">
        <v>0.23</v>
      </c>
      <c r="CQ122" s="594">
        <v>0.35</v>
      </c>
      <c r="CR122" s="594">
        <v>0.35</v>
      </c>
      <c r="CS122" s="597"/>
      <c r="CT122" s="591">
        <v>2.5000000000000001E-2</v>
      </c>
      <c r="CU122" s="1233">
        <v>4.0163999999999998E-2</v>
      </c>
      <c r="CV122" s="591">
        <v>0</v>
      </c>
      <c r="CW122" s="915">
        <v>2.6999000000000002E-2</v>
      </c>
      <c r="CX122" s="591">
        <v>4.4999999999999998E-2</v>
      </c>
      <c r="CY122" s="1234"/>
      <c r="CZ122" s="591">
        <v>3.1E-2</v>
      </c>
      <c r="DA122" s="591">
        <v>2.1999999999999999E-2</v>
      </c>
      <c r="DB122" s="591">
        <v>2.4E-2</v>
      </c>
      <c r="DC122" s="591">
        <v>1.7000000000000001E-2</v>
      </c>
      <c r="DD122" s="591">
        <v>3.1E-2</v>
      </c>
      <c r="DE122" s="591">
        <v>4.1000000000000002E-2</v>
      </c>
      <c r="DF122" s="591">
        <v>1.4999999999999999E-2</v>
      </c>
      <c r="DG122" s="591">
        <v>3.1E-2</v>
      </c>
      <c r="DH122" s="591">
        <v>4.2000000000000003E-2</v>
      </c>
      <c r="DI122" s="915">
        <v>5.8078000000000005E-2</v>
      </c>
      <c r="DJ122" s="1234"/>
      <c r="DK122" s="591">
        <v>0.22900000000000001</v>
      </c>
      <c r="DL122" s="591">
        <v>3.2000000000000001E-2</v>
      </c>
      <c r="DM122" s="591">
        <v>2.8000000000000001E-2</v>
      </c>
      <c r="DN122" s="915">
        <v>3.1079999999999997E-2</v>
      </c>
      <c r="DO122" s="591">
        <v>0.02</v>
      </c>
      <c r="DP122" s="591">
        <v>1.0999999999999999E-2</v>
      </c>
      <c r="DQ122" s="1234"/>
      <c r="DR122" s="591"/>
      <c r="DS122" s="1234"/>
      <c r="DT122" s="591">
        <v>2.1999999999999999E-2</v>
      </c>
      <c r="DU122" s="591">
        <v>0.02</v>
      </c>
      <c r="DV122" s="591">
        <v>2.5000000000000001E-2</v>
      </c>
      <c r="DW122" s="591">
        <v>4.4999999999999998E-2</v>
      </c>
      <c r="DX122" s="591">
        <v>5.8000000000000003E-2</v>
      </c>
      <c r="DY122" s="594">
        <v>1.4999999999999999E-2</v>
      </c>
      <c r="DZ122" s="916"/>
      <c r="EA122" s="1439"/>
    </row>
    <row r="123" spans="1:131" x14ac:dyDescent="0.3">
      <c r="A123" s="935">
        <v>42736</v>
      </c>
      <c r="B123" s="589">
        <v>0.13</v>
      </c>
      <c r="C123" s="590">
        <v>0.06</v>
      </c>
      <c r="D123" s="590">
        <v>0.04</v>
      </c>
      <c r="E123" s="590">
        <v>0.05</v>
      </c>
      <c r="F123" s="591">
        <v>0.1263</v>
      </c>
      <c r="G123" s="589">
        <v>0.1111</v>
      </c>
      <c r="H123" s="589">
        <v>0.1</v>
      </c>
      <c r="I123" s="590">
        <v>0.1</v>
      </c>
      <c r="J123" s="591">
        <v>0.115</v>
      </c>
      <c r="K123" s="590">
        <v>0.15</v>
      </c>
      <c r="L123" s="589">
        <v>4.2500000000000003E-2</v>
      </c>
      <c r="M123" s="592">
        <v>0.84</v>
      </c>
      <c r="N123" s="590">
        <v>0.1</v>
      </c>
      <c r="O123" s="589">
        <v>0</v>
      </c>
      <c r="P123" s="593">
        <v>7.7499999999999999E-2</v>
      </c>
      <c r="Q123" s="589">
        <v>0.105</v>
      </c>
      <c r="R123" s="590">
        <v>0.2</v>
      </c>
      <c r="S123" s="589">
        <v>2.2499999999999999E-2</v>
      </c>
      <c r="T123" s="594">
        <v>0.107</v>
      </c>
      <c r="U123" s="591">
        <v>6.2E-2</v>
      </c>
      <c r="V123" s="589">
        <v>0.16</v>
      </c>
      <c r="W123" s="589">
        <v>0.11</v>
      </c>
      <c r="X123" s="590">
        <v>0</v>
      </c>
      <c r="Y123" s="590">
        <v>0.1</v>
      </c>
      <c r="Z123" s="589">
        <v>0.2</v>
      </c>
      <c r="AA123" s="589">
        <v>0</v>
      </c>
      <c r="AB123" s="590">
        <v>0.2</v>
      </c>
      <c r="AC123" s="590">
        <v>0.1</v>
      </c>
      <c r="AD123" s="590">
        <v>0.12</v>
      </c>
      <c r="AE123" s="590">
        <v>0.2</v>
      </c>
      <c r="AF123" s="591">
        <v>0.12</v>
      </c>
      <c r="AG123" s="590">
        <v>0</v>
      </c>
      <c r="AH123" s="594">
        <v>5.4999999999999997E-3</v>
      </c>
      <c r="AI123" s="594">
        <v>5.8999999999999999E-3</v>
      </c>
      <c r="AJ123" s="594">
        <v>2.3999999999999998E-3</v>
      </c>
      <c r="AK123" s="594">
        <v>8.0000000000000002E-3</v>
      </c>
      <c r="AL123" s="594">
        <v>8.8999999999999999E-3</v>
      </c>
      <c r="AM123" s="596"/>
      <c r="AN123" s="594">
        <v>4.3E-3</v>
      </c>
      <c r="AO123" s="594">
        <v>6.3E-3</v>
      </c>
      <c r="AP123" s="594">
        <v>8.6999999999999994E-3</v>
      </c>
      <c r="AQ123" s="594">
        <v>3.5999999999999999E-3</v>
      </c>
      <c r="AR123" s="594">
        <v>1.12E-2</v>
      </c>
      <c r="AS123" s="596"/>
      <c r="AT123" s="594">
        <v>5.7999999999999996E-3</v>
      </c>
      <c r="AU123" s="594">
        <v>6.0000000000000001E-3</v>
      </c>
      <c r="AV123" s="593">
        <v>1.4500000000000001E-2</v>
      </c>
      <c r="AW123" s="594">
        <v>8.2000000000000007E-3</v>
      </c>
      <c r="AX123" s="594">
        <v>8.2000000000000007E-3</v>
      </c>
      <c r="AY123" s="594">
        <v>5.2999999999999999E-2</v>
      </c>
      <c r="AZ123" s="594">
        <v>3.7000000000000002E-3</v>
      </c>
      <c r="BA123" s="594">
        <v>5.8999999999999999E-3</v>
      </c>
      <c r="BB123" s="594">
        <v>4.5999999999999999E-3</v>
      </c>
      <c r="BC123" s="594">
        <v>1E-3</v>
      </c>
      <c r="BD123" s="594">
        <v>3.3E-3</v>
      </c>
      <c r="BE123" s="594">
        <v>6.7999999999999996E-3</v>
      </c>
      <c r="BF123" s="594">
        <v>4.1000000000000003E-3</v>
      </c>
      <c r="BG123" s="594">
        <v>8.0000000000000002E-3</v>
      </c>
      <c r="BH123" s="594">
        <v>7.6E-3</v>
      </c>
      <c r="BI123" s="594">
        <v>5.5999999999999999E-3</v>
      </c>
      <c r="BJ123" s="594">
        <v>8.9999999999999993E-3</v>
      </c>
      <c r="BK123" s="594">
        <v>8.5000000000000006E-3</v>
      </c>
      <c r="BL123" s="594">
        <v>1.2500000000000001E-2</v>
      </c>
      <c r="BM123" s="594">
        <v>1.4E-3</v>
      </c>
      <c r="BN123" s="594">
        <v>0.29599999999999999</v>
      </c>
      <c r="BO123" s="594">
        <v>0.06</v>
      </c>
      <c r="BP123" s="594">
        <v>0.312</v>
      </c>
      <c r="BQ123" s="594">
        <v>0.21199999999999999</v>
      </c>
      <c r="BR123" s="594">
        <v>0.18</v>
      </c>
      <c r="BS123" s="594">
        <v>0.1111</v>
      </c>
      <c r="BT123" s="594">
        <v>0.25</v>
      </c>
      <c r="BU123" s="594">
        <v>0.27</v>
      </c>
      <c r="BV123" s="594">
        <v>0.17</v>
      </c>
      <c r="BW123" s="594">
        <v>0.2</v>
      </c>
      <c r="BX123" s="594">
        <v>0.13</v>
      </c>
      <c r="BY123" s="594">
        <v>0.32900000000000001</v>
      </c>
      <c r="BZ123" s="594">
        <v>8.6999999999999994E-2</v>
      </c>
      <c r="CA123" s="594">
        <v>0</v>
      </c>
      <c r="CB123" s="593">
        <v>0.25</v>
      </c>
      <c r="CC123" s="594">
        <v>0.3</v>
      </c>
      <c r="CD123" s="594">
        <v>0.13</v>
      </c>
      <c r="CE123" s="594">
        <v>0.3</v>
      </c>
      <c r="CF123" s="594">
        <v>0.14599999999999999</v>
      </c>
      <c r="CG123" s="594">
        <v>0.22</v>
      </c>
      <c r="CH123" s="594">
        <v>0.27</v>
      </c>
      <c r="CI123" s="594">
        <v>0.25</v>
      </c>
      <c r="CJ123" s="594">
        <v>0</v>
      </c>
      <c r="CK123" s="594">
        <v>5.2499999999999998E-2</v>
      </c>
      <c r="CL123" s="594">
        <v>0.107</v>
      </c>
      <c r="CM123" s="594">
        <v>0.188</v>
      </c>
      <c r="CN123" s="594">
        <v>0.25</v>
      </c>
      <c r="CO123" s="594">
        <v>0.1118</v>
      </c>
      <c r="CP123" s="594">
        <v>0.23</v>
      </c>
      <c r="CQ123" s="594">
        <v>0.35</v>
      </c>
      <c r="CR123" s="594">
        <v>0.35</v>
      </c>
      <c r="CS123" s="597"/>
      <c r="CT123" s="591">
        <v>2.5000000000000001E-2</v>
      </c>
      <c r="CU123" s="1233">
        <v>4.0163999999999998E-2</v>
      </c>
      <c r="CV123" s="591">
        <v>0</v>
      </c>
      <c r="CW123" s="915">
        <v>2.6999000000000002E-2</v>
      </c>
      <c r="CX123" s="591">
        <v>4.4999999999999998E-2</v>
      </c>
      <c r="CY123" s="1234"/>
      <c r="CZ123" s="591">
        <v>3.1E-2</v>
      </c>
      <c r="DA123" s="591">
        <v>2.1999999999999999E-2</v>
      </c>
      <c r="DB123" s="591">
        <v>2.4E-2</v>
      </c>
      <c r="DC123" s="591">
        <v>1.7000000000000001E-2</v>
      </c>
      <c r="DD123" s="591">
        <v>3.1E-2</v>
      </c>
      <c r="DE123" s="591">
        <v>4.1000000000000002E-2</v>
      </c>
      <c r="DF123" s="591">
        <v>1.4999999999999999E-2</v>
      </c>
      <c r="DG123" s="591">
        <v>3.1E-2</v>
      </c>
      <c r="DH123" s="591">
        <v>4.2000000000000003E-2</v>
      </c>
      <c r="DI123" s="915">
        <v>5.8078000000000005E-2</v>
      </c>
      <c r="DJ123" s="1234"/>
      <c r="DK123" s="591">
        <v>0.22900000000000001</v>
      </c>
      <c r="DL123" s="591">
        <v>3.2000000000000001E-2</v>
      </c>
      <c r="DM123" s="591">
        <v>2.8000000000000001E-2</v>
      </c>
      <c r="DN123" s="915">
        <v>3.1079999999999997E-2</v>
      </c>
      <c r="DO123" s="591">
        <v>0.02</v>
      </c>
      <c r="DP123" s="591">
        <v>1.0999999999999999E-2</v>
      </c>
      <c r="DQ123" s="1234"/>
      <c r="DR123" s="591"/>
      <c r="DS123" s="1234"/>
      <c r="DT123" s="591">
        <v>2.1999999999999999E-2</v>
      </c>
      <c r="DU123" s="591">
        <v>0.02</v>
      </c>
      <c r="DV123" s="591">
        <v>2.5000000000000001E-2</v>
      </c>
      <c r="DW123" s="591">
        <v>4.4999999999999998E-2</v>
      </c>
      <c r="DX123" s="591">
        <v>5.8000000000000003E-2</v>
      </c>
      <c r="DY123" s="594">
        <v>1.4999999999999999E-2</v>
      </c>
      <c r="DZ123" s="916"/>
      <c r="EA123" s="1439"/>
    </row>
    <row r="124" spans="1:131" x14ac:dyDescent="0.3">
      <c r="A124" s="935">
        <v>42767</v>
      </c>
      <c r="B124" s="589">
        <v>0.13</v>
      </c>
      <c r="C124" s="590">
        <v>0.06</v>
      </c>
      <c r="D124" s="590">
        <v>0.04</v>
      </c>
      <c r="E124" s="590">
        <v>0.05</v>
      </c>
      <c r="F124" s="591">
        <v>0.1263</v>
      </c>
      <c r="G124" s="589">
        <v>0.1111</v>
      </c>
      <c r="H124" s="589">
        <v>0.1</v>
      </c>
      <c r="I124" s="590">
        <v>0.1</v>
      </c>
      <c r="J124" s="591">
        <v>0.115</v>
      </c>
      <c r="K124" s="590">
        <v>0.15</v>
      </c>
      <c r="L124" s="589">
        <v>4.2500000000000003E-2</v>
      </c>
      <c r="M124" s="592">
        <v>0.84</v>
      </c>
      <c r="N124" s="590">
        <v>0.1</v>
      </c>
      <c r="O124" s="589">
        <v>0</v>
      </c>
      <c r="P124" s="593">
        <v>7.7499999999999999E-2</v>
      </c>
      <c r="Q124" s="589">
        <v>0.105</v>
      </c>
      <c r="R124" s="590">
        <v>0.2</v>
      </c>
      <c r="S124" s="589">
        <v>2.2499999999999999E-2</v>
      </c>
      <c r="T124" s="594">
        <v>0.107</v>
      </c>
      <c r="U124" s="591">
        <v>6.2E-2</v>
      </c>
      <c r="V124" s="589">
        <v>0.16</v>
      </c>
      <c r="W124" s="589">
        <v>0.11</v>
      </c>
      <c r="X124" s="590">
        <v>0</v>
      </c>
      <c r="Y124" s="590">
        <v>0.1</v>
      </c>
      <c r="Z124" s="589">
        <v>0.2</v>
      </c>
      <c r="AA124" s="589">
        <v>0</v>
      </c>
      <c r="AB124" s="590">
        <v>0.2</v>
      </c>
      <c r="AC124" s="590">
        <v>0.1</v>
      </c>
      <c r="AD124" s="590">
        <v>0.12</v>
      </c>
      <c r="AE124" s="590">
        <v>0.2</v>
      </c>
      <c r="AF124" s="591">
        <v>0.12</v>
      </c>
      <c r="AG124" s="590">
        <v>0</v>
      </c>
      <c r="AH124" s="594">
        <v>5.4999999999999997E-3</v>
      </c>
      <c r="AI124" s="594">
        <v>5.8999999999999999E-3</v>
      </c>
      <c r="AJ124" s="594">
        <v>2.3999999999999998E-3</v>
      </c>
      <c r="AK124" s="594">
        <v>8.0000000000000002E-3</v>
      </c>
      <c r="AL124" s="594">
        <v>8.8999999999999999E-3</v>
      </c>
      <c r="AM124" s="596"/>
      <c r="AN124" s="594">
        <v>4.3E-3</v>
      </c>
      <c r="AO124" s="594">
        <v>6.3E-3</v>
      </c>
      <c r="AP124" s="594">
        <v>8.6999999999999994E-3</v>
      </c>
      <c r="AQ124" s="594">
        <v>3.5999999999999999E-3</v>
      </c>
      <c r="AR124" s="594">
        <v>1.12E-2</v>
      </c>
      <c r="AS124" s="596"/>
      <c r="AT124" s="594">
        <v>5.7999999999999996E-3</v>
      </c>
      <c r="AU124" s="594">
        <v>6.0000000000000001E-3</v>
      </c>
      <c r="AV124" s="593">
        <v>1.4500000000000001E-2</v>
      </c>
      <c r="AW124" s="594">
        <v>8.2000000000000007E-3</v>
      </c>
      <c r="AX124" s="594">
        <v>8.2000000000000007E-3</v>
      </c>
      <c r="AY124" s="594">
        <v>5.2999999999999999E-2</v>
      </c>
      <c r="AZ124" s="594">
        <v>3.7000000000000002E-3</v>
      </c>
      <c r="BA124" s="594">
        <v>5.8999999999999999E-3</v>
      </c>
      <c r="BB124" s="594">
        <v>4.5999999999999999E-3</v>
      </c>
      <c r="BC124" s="594">
        <v>1E-3</v>
      </c>
      <c r="BD124" s="594">
        <v>3.3E-3</v>
      </c>
      <c r="BE124" s="594">
        <v>6.7999999999999996E-3</v>
      </c>
      <c r="BF124" s="594">
        <v>4.1000000000000003E-3</v>
      </c>
      <c r="BG124" s="594">
        <v>8.0000000000000002E-3</v>
      </c>
      <c r="BH124" s="594">
        <v>7.6E-3</v>
      </c>
      <c r="BI124" s="594">
        <v>5.5999999999999999E-3</v>
      </c>
      <c r="BJ124" s="594">
        <v>8.9999999999999993E-3</v>
      </c>
      <c r="BK124" s="594">
        <v>8.5000000000000006E-3</v>
      </c>
      <c r="BL124" s="594">
        <v>1.2500000000000001E-2</v>
      </c>
      <c r="BM124" s="594">
        <v>1.4E-3</v>
      </c>
      <c r="BN124" s="594">
        <v>0.29599999999999999</v>
      </c>
      <c r="BO124" s="594">
        <v>0.06</v>
      </c>
      <c r="BP124" s="594">
        <v>0.312</v>
      </c>
      <c r="BQ124" s="594">
        <v>0.21199999999999999</v>
      </c>
      <c r="BR124" s="594">
        <v>0.18</v>
      </c>
      <c r="BS124" s="594">
        <v>0.1111</v>
      </c>
      <c r="BT124" s="594">
        <v>0.25</v>
      </c>
      <c r="BU124" s="594">
        <v>0.27</v>
      </c>
      <c r="BV124" s="594">
        <v>0.17</v>
      </c>
      <c r="BW124" s="594">
        <v>0.2</v>
      </c>
      <c r="BX124" s="594">
        <v>0.13</v>
      </c>
      <c r="BY124" s="594">
        <v>0.32900000000000001</v>
      </c>
      <c r="BZ124" s="594">
        <v>8.6999999999999994E-2</v>
      </c>
      <c r="CA124" s="594">
        <v>0</v>
      </c>
      <c r="CB124" s="593">
        <v>0.25</v>
      </c>
      <c r="CC124" s="594">
        <v>0.3</v>
      </c>
      <c r="CD124" s="594">
        <v>0.13</v>
      </c>
      <c r="CE124" s="594">
        <v>0.3</v>
      </c>
      <c r="CF124" s="594">
        <v>0.14599999999999999</v>
      </c>
      <c r="CG124" s="594">
        <v>0.22</v>
      </c>
      <c r="CH124" s="594">
        <v>0.27</v>
      </c>
      <c r="CI124" s="594">
        <v>0.25</v>
      </c>
      <c r="CJ124" s="594">
        <v>0</v>
      </c>
      <c r="CK124" s="594">
        <v>5.2499999999999998E-2</v>
      </c>
      <c r="CL124" s="594">
        <v>0.107</v>
      </c>
      <c r="CM124" s="594">
        <v>0.188</v>
      </c>
      <c r="CN124" s="594">
        <v>0.25</v>
      </c>
      <c r="CO124" s="594">
        <v>0.1118</v>
      </c>
      <c r="CP124" s="594">
        <v>0.23</v>
      </c>
      <c r="CQ124" s="594">
        <v>0.35</v>
      </c>
      <c r="CR124" s="594">
        <v>0.35</v>
      </c>
      <c r="CS124" s="597"/>
      <c r="CT124" s="591">
        <v>2.9000000000000001E-2</v>
      </c>
      <c r="CU124" s="1233">
        <v>4.0163999999999998E-2</v>
      </c>
      <c r="CV124" s="591">
        <v>0</v>
      </c>
      <c r="CW124" s="915">
        <v>2.6999000000000002E-2</v>
      </c>
      <c r="CX124" s="594">
        <v>0.04</v>
      </c>
      <c r="CY124" s="1234"/>
      <c r="CZ124" s="591">
        <v>2.5999999999999999E-2</v>
      </c>
      <c r="DA124" s="591">
        <v>1.7999999999999999E-2</v>
      </c>
      <c r="DB124" s="594">
        <v>0.02</v>
      </c>
      <c r="DC124" s="591">
        <v>1.7000000000000001E-2</v>
      </c>
      <c r="DD124" s="591">
        <v>2.5000000000000001E-2</v>
      </c>
      <c r="DE124" s="594">
        <v>3.3000000000000002E-2</v>
      </c>
      <c r="DF124" s="594">
        <v>1.7000000000000001E-2</v>
      </c>
      <c r="DG124" s="594">
        <v>3.5999999999999997E-2</v>
      </c>
      <c r="DH124" s="594">
        <v>3.5000000000000003E-2</v>
      </c>
      <c r="DI124" s="915">
        <v>5.8078000000000005E-2</v>
      </c>
      <c r="DJ124" s="1234"/>
      <c r="DK124" s="594">
        <v>1.4E-2</v>
      </c>
      <c r="DL124" s="594">
        <v>1.4999999999999999E-2</v>
      </c>
      <c r="DM124" s="594">
        <v>2.1999999999999999E-2</v>
      </c>
      <c r="DN124" s="915">
        <v>3.1079999999999997E-2</v>
      </c>
      <c r="DO124" s="594">
        <v>1.7000000000000001E-2</v>
      </c>
      <c r="DP124" s="591">
        <v>0.01</v>
      </c>
      <c r="DQ124" s="1234"/>
      <c r="DR124" s="591"/>
      <c r="DS124" s="1234"/>
      <c r="DT124" s="594">
        <v>1.7000000000000001E-2</v>
      </c>
      <c r="DU124" s="594">
        <v>1.6E-2</v>
      </c>
      <c r="DV124" s="594">
        <v>2.3E-2</v>
      </c>
      <c r="DW124" s="594">
        <v>3.7999999999999999E-2</v>
      </c>
      <c r="DX124" s="594">
        <v>4.3999999999999997E-2</v>
      </c>
      <c r="DY124" s="594">
        <v>1.7000000000000001E-2</v>
      </c>
      <c r="DZ124" s="916"/>
      <c r="EA124" s="1439"/>
    </row>
    <row r="125" spans="1:131" x14ac:dyDescent="0.3">
      <c r="A125" s="935">
        <v>42795</v>
      </c>
      <c r="B125" s="589">
        <v>0.13</v>
      </c>
      <c r="C125" s="590">
        <v>0.06</v>
      </c>
      <c r="D125" s="590">
        <v>0.04</v>
      </c>
      <c r="E125" s="590">
        <v>0.05</v>
      </c>
      <c r="F125" s="591">
        <v>0.1263</v>
      </c>
      <c r="G125" s="589">
        <v>0.1111</v>
      </c>
      <c r="H125" s="589">
        <v>0.1</v>
      </c>
      <c r="I125" s="590">
        <v>0.1</v>
      </c>
      <c r="J125" s="591">
        <v>0.115</v>
      </c>
      <c r="K125" s="590">
        <v>0.15</v>
      </c>
      <c r="L125" s="589">
        <v>4.2500000000000003E-2</v>
      </c>
      <c r="M125" s="592">
        <v>0.84</v>
      </c>
      <c r="N125" s="590">
        <v>0.1</v>
      </c>
      <c r="O125" s="589">
        <v>0</v>
      </c>
      <c r="P125" s="593">
        <v>7.7499999999999999E-2</v>
      </c>
      <c r="Q125" s="589">
        <v>0.105</v>
      </c>
      <c r="R125" s="590">
        <v>0.2</v>
      </c>
      <c r="S125" s="589">
        <v>2.2499999999999999E-2</v>
      </c>
      <c r="T125" s="594">
        <v>0.107</v>
      </c>
      <c r="U125" s="591">
        <v>6.2E-2</v>
      </c>
      <c r="V125" s="589">
        <v>0.16</v>
      </c>
      <c r="W125" s="589">
        <v>0.11</v>
      </c>
      <c r="X125" s="590">
        <v>0</v>
      </c>
      <c r="Y125" s="590">
        <v>0.1</v>
      </c>
      <c r="Z125" s="589">
        <v>0.2</v>
      </c>
      <c r="AA125" s="589">
        <v>0</v>
      </c>
      <c r="AB125" s="590">
        <v>0.2</v>
      </c>
      <c r="AC125" s="590">
        <v>0.1</v>
      </c>
      <c r="AD125" s="590">
        <v>0.12</v>
      </c>
      <c r="AE125" s="590">
        <v>0.2</v>
      </c>
      <c r="AF125" s="591">
        <v>0.12</v>
      </c>
      <c r="AG125" s="590">
        <v>0</v>
      </c>
      <c r="AH125" s="594">
        <v>5.4999999999999997E-3</v>
      </c>
      <c r="AI125" s="594">
        <v>5.8999999999999999E-3</v>
      </c>
      <c r="AJ125" s="594">
        <v>2.3999999999999998E-3</v>
      </c>
      <c r="AK125" s="594">
        <v>8.0000000000000002E-3</v>
      </c>
      <c r="AL125" s="594">
        <v>8.8999999999999999E-3</v>
      </c>
      <c r="AM125" s="596"/>
      <c r="AN125" s="594">
        <v>4.3E-3</v>
      </c>
      <c r="AO125" s="594">
        <v>6.3E-3</v>
      </c>
      <c r="AP125" s="594">
        <v>8.6999999999999994E-3</v>
      </c>
      <c r="AQ125" s="594">
        <v>3.5999999999999999E-3</v>
      </c>
      <c r="AR125" s="594">
        <v>1.12E-2</v>
      </c>
      <c r="AS125" s="596"/>
      <c r="AT125" s="594">
        <v>5.7999999999999996E-3</v>
      </c>
      <c r="AU125" s="594">
        <v>6.0000000000000001E-3</v>
      </c>
      <c r="AV125" s="593">
        <v>1.4500000000000001E-2</v>
      </c>
      <c r="AW125" s="594">
        <v>8.2000000000000007E-3</v>
      </c>
      <c r="AX125" s="594">
        <v>8.2000000000000007E-3</v>
      </c>
      <c r="AY125" s="594">
        <v>5.2999999999999999E-2</v>
      </c>
      <c r="AZ125" s="594">
        <v>3.7000000000000002E-3</v>
      </c>
      <c r="BA125" s="594">
        <v>5.8999999999999999E-3</v>
      </c>
      <c r="BB125" s="594">
        <v>4.5999999999999999E-3</v>
      </c>
      <c r="BC125" s="594">
        <v>1E-3</v>
      </c>
      <c r="BD125" s="594">
        <v>3.3E-3</v>
      </c>
      <c r="BE125" s="594">
        <v>6.7999999999999996E-3</v>
      </c>
      <c r="BF125" s="594">
        <v>4.1000000000000003E-3</v>
      </c>
      <c r="BG125" s="594">
        <v>8.0000000000000002E-3</v>
      </c>
      <c r="BH125" s="594">
        <v>7.6E-3</v>
      </c>
      <c r="BI125" s="594">
        <v>5.5999999999999999E-3</v>
      </c>
      <c r="BJ125" s="594">
        <v>8.9999999999999993E-3</v>
      </c>
      <c r="BK125" s="594">
        <v>8.5000000000000006E-3</v>
      </c>
      <c r="BL125" s="594">
        <v>1.2500000000000001E-2</v>
      </c>
      <c r="BM125" s="594">
        <v>1.4E-3</v>
      </c>
      <c r="BN125" s="594">
        <v>0.29599999999999999</v>
      </c>
      <c r="BO125" s="594">
        <v>0.06</v>
      </c>
      <c r="BP125" s="594">
        <v>0.312</v>
      </c>
      <c r="BQ125" s="594">
        <v>0.21199999999999999</v>
      </c>
      <c r="BR125" s="594">
        <v>0.18</v>
      </c>
      <c r="BS125" s="594">
        <v>0.1111</v>
      </c>
      <c r="BT125" s="594">
        <v>0.25</v>
      </c>
      <c r="BU125" s="594">
        <v>0.27</v>
      </c>
      <c r="BV125" s="594">
        <v>0.17</v>
      </c>
      <c r="BW125" s="594">
        <v>0.2</v>
      </c>
      <c r="BX125" s="594">
        <v>0.13</v>
      </c>
      <c r="BY125" s="594">
        <v>0.32900000000000001</v>
      </c>
      <c r="BZ125" s="594">
        <v>8.6999999999999994E-2</v>
      </c>
      <c r="CA125" s="594">
        <v>0</v>
      </c>
      <c r="CB125" s="593">
        <v>0.25</v>
      </c>
      <c r="CC125" s="594">
        <v>0.3</v>
      </c>
      <c r="CD125" s="594">
        <v>0.13</v>
      </c>
      <c r="CE125" s="594">
        <v>0.3</v>
      </c>
      <c r="CF125" s="594">
        <v>0.14599999999999999</v>
      </c>
      <c r="CG125" s="594">
        <v>0.22</v>
      </c>
      <c r="CH125" s="594">
        <v>0.27</v>
      </c>
      <c r="CI125" s="594">
        <v>0.25</v>
      </c>
      <c r="CJ125" s="594">
        <v>0</v>
      </c>
      <c r="CK125" s="594">
        <v>5.2499999999999998E-2</v>
      </c>
      <c r="CL125" s="594">
        <v>0.107</v>
      </c>
      <c r="CM125" s="594">
        <v>0.188</v>
      </c>
      <c r="CN125" s="594">
        <v>0.25</v>
      </c>
      <c r="CO125" s="594">
        <v>0.1118</v>
      </c>
      <c r="CP125" s="594">
        <v>0.23</v>
      </c>
      <c r="CQ125" s="594">
        <v>0.35</v>
      </c>
      <c r="CR125" s="594">
        <v>0.35</v>
      </c>
      <c r="CS125" s="597"/>
      <c r="CT125" s="591">
        <v>2.9000000000000001E-2</v>
      </c>
      <c r="CU125" s="1233">
        <v>4.0163999999999998E-2</v>
      </c>
      <c r="CV125" s="591">
        <v>0</v>
      </c>
      <c r="CW125" s="915">
        <v>2.6999000000000002E-2</v>
      </c>
      <c r="CX125" s="594">
        <v>0.04</v>
      </c>
      <c r="CY125" s="1234"/>
      <c r="CZ125" s="591">
        <v>2.5999999999999999E-2</v>
      </c>
      <c r="DA125" s="591">
        <v>1.7999999999999999E-2</v>
      </c>
      <c r="DB125" s="594">
        <v>0.02</v>
      </c>
      <c r="DC125" s="591">
        <v>1.7000000000000001E-2</v>
      </c>
      <c r="DD125" s="591">
        <v>2.5000000000000001E-2</v>
      </c>
      <c r="DE125" s="594">
        <v>3.3000000000000002E-2</v>
      </c>
      <c r="DF125" s="594">
        <v>1.7000000000000001E-2</v>
      </c>
      <c r="DG125" s="594">
        <v>3.5999999999999997E-2</v>
      </c>
      <c r="DH125" s="594">
        <v>3.5000000000000003E-2</v>
      </c>
      <c r="DI125" s="915">
        <v>5.8078000000000005E-2</v>
      </c>
      <c r="DJ125" s="1234"/>
      <c r="DK125" s="594">
        <v>1.4E-2</v>
      </c>
      <c r="DL125" s="594">
        <v>1.4999999999999999E-2</v>
      </c>
      <c r="DM125" s="594">
        <v>2.1999999999999999E-2</v>
      </c>
      <c r="DN125" s="915">
        <v>3.1079999999999997E-2</v>
      </c>
      <c r="DO125" s="594">
        <v>1.7000000000000001E-2</v>
      </c>
      <c r="DP125" s="591">
        <v>0.01</v>
      </c>
      <c r="DQ125" s="1234"/>
      <c r="DR125" s="591"/>
      <c r="DS125" s="1234"/>
      <c r="DT125" s="594">
        <v>1.7000000000000001E-2</v>
      </c>
      <c r="DU125" s="594">
        <v>1.6E-2</v>
      </c>
      <c r="DV125" s="594">
        <v>2.3E-2</v>
      </c>
      <c r="DW125" s="594">
        <v>3.7999999999999999E-2</v>
      </c>
      <c r="DX125" s="594">
        <v>4.3999999999999997E-2</v>
      </c>
      <c r="DY125" s="594">
        <v>1.7000000000000001E-2</v>
      </c>
      <c r="DZ125" s="916"/>
      <c r="EA125" s="1439"/>
    </row>
    <row r="126" spans="1:131" x14ac:dyDescent="0.3">
      <c r="A126" s="935">
        <v>42826</v>
      </c>
      <c r="B126" s="589">
        <v>0.13</v>
      </c>
      <c r="C126" s="590">
        <v>0.06</v>
      </c>
      <c r="D126" s="590">
        <v>0.04</v>
      </c>
      <c r="E126" s="590">
        <v>0.05</v>
      </c>
      <c r="F126" s="591">
        <v>0.1263</v>
      </c>
      <c r="G126" s="589">
        <v>0.1111</v>
      </c>
      <c r="H126" s="589">
        <v>0.1</v>
      </c>
      <c r="I126" s="590">
        <v>0.1</v>
      </c>
      <c r="J126" s="591">
        <v>0.115</v>
      </c>
      <c r="K126" s="590">
        <v>0.15</v>
      </c>
      <c r="L126" s="589">
        <v>4.2500000000000003E-2</v>
      </c>
      <c r="M126" s="592">
        <v>0.84</v>
      </c>
      <c r="N126" s="590">
        <v>0.1</v>
      </c>
      <c r="O126" s="589">
        <v>0</v>
      </c>
      <c r="P126" s="593">
        <v>7.7499999999999999E-2</v>
      </c>
      <c r="Q126" s="589">
        <v>0.105</v>
      </c>
      <c r="R126" s="590">
        <v>0.2</v>
      </c>
      <c r="S126" s="589">
        <v>2.2499999999999999E-2</v>
      </c>
      <c r="T126" s="594">
        <v>0.107</v>
      </c>
      <c r="U126" s="591">
        <v>6.2E-2</v>
      </c>
      <c r="V126" s="589">
        <v>0.16</v>
      </c>
      <c r="W126" s="589">
        <v>0.11</v>
      </c>
      <c r="X126" s="590">
        <v>0</v>
      </c>
      <c r="Y126" s="590">
        <v>0.1</v>
      </c>
      <c r="Z126" s="589">
        <v>0.2</v>
      </c>
      <c r="AA126" s="589">
        <v>0</v>
      </c>
      <c r="AB126" s="590">
        <v>0.2</v>
      </c>
      <c r="AC126" s="1231">
        <v>0.13500000000000001</v>
      </c>
      <c r="AD126" s="590">
        <v>0.12</v>
      </c>
      <c r="AE126" s="590">
        <v>0.2</v>
      </c>
      <c r="AF126" s="591">
        <v>0.12</v>
      </c>
      <c r="AG126" s="590">
        <v>0</v>
      </c>
      <c r="AH126" s="594">
        <v>5.4999999999999997E-3</v>
      </c>
      <c r="AI126" s="594">
        <v>5.8999999999999999E-3</v>
      </c>
      <c r="AJ126" s="594">
        <v>2.3999999999999998E-3</v>
      </c>
      <c r="AK126" s="594">
        <v>8.0000000000000002E-3</v>
      </c>
      <c r="AL126" s="594">
        <v>8.8999999999999999E-3</v>
      </c>
      <c r="AM126" s="596"/>
      <c r="AN126" s="594">
        <v>4.3E-3</v>
      </c>
      <c r="AO126" s="594">
        <v>6.3E-3</v>
      </c>
      <c r="AP126" s="594">
        <v>8.6999999999999994E-3</v>
      </c>
      <c r="AQ126" s="594">
        <v>3.5999999999999999E-3</v>
      </c>
      <c r="AR126" s="594">
        <v>1.2699999999999999E-2</v>
      </c>
      <c r="AS126" s="596"/>
      <c r="AT126" s="594">
        <v>6.6E-3</v>
      </c>
      <c r="AU126" s="594">
        <v>6.0000000000000001E-3</v>
      </c>
      <c r="AV126" s="594">
        <v>1.5699999999999999E-2</v>
      </c>
      <c r="AW126" s="594">
        <v>8.8000000000000005E-3</v>
      </c>
      <c r="AX126" s="594">
        <v>8.2000000000000007E-3</v>
      </c>
      <c r="AY126" s="594">
        <v>3.9800000000000002E-2</v>
      </c>
      <c r="AZ126" s="594">
        <v>3.7000000000000002E-3</v>
      </c>
      <c r="BA126" s="594">
        <v>5.8999999999999999E-3</v>
      </c>
      <c r="BB126" s="594">
        <v>4.5999999999999999E-3</v>
      </c>
      <c r="BC126" s="594">
        <v>8.5000000000000006E-3</v>
      </c>
      <c r="BD126" s="594">
        <v>3.3E-3</v>
      </c>
      <c r="BE126" s="594">
        <v>6.7999999999999996E-3</v>
      </c>
      <c r="BF126" s="594">
        <v>4.1000000000000003E-3</v>
      </c>
      <c r="BG126" s="594">
        <v>8.0000000000000002E-3</v>
      </c>
      <c r="BH126" s="594">
        <v>7.6E-3</v>
      </c>
      <c r="BI126" s="594">
        <v>5.5999999999999999E-3</v>
      </c>
      <c r="BJ126" s="594">
        <v>8.9999999999999993E-3</v>
      </c>
      <c r="BK126" s="594">
        <v>8.5000000000000006E-3</v>
      </c>
      <c r="BL126" s="594">
        <v>1.2500000000000001E-2</v>
      </c>
      <c r="BM126" s="594">
        <v>2E-3</v>
      </c>
      <c r="BN126" s="594">
        <v>0.29599999999999999</v>
      </c>
      <c r="BO126" s="594">
        <v>0.06</v>
      </c>
      <c r="BP126" s="594">
        <v>0.312</v>
      </c>
      <c r="BQ126" s="594">
        <v>0.21199999999999999</v>
      </c>
      <c r="BR126" s="594">
        <v>0.18</v>
      </c>
      <c r="BS126" s="594">
        <v>0.1111</v>
      </c>
      <c r="BT126" s="594">
        <v>0.25</v>
      </c>
      <c r="BU126" s="594">
        <v>0.27</v>
      </c>
      <c r="BV126" s="594">
        <v>0.17</v>
      </c>
      <c r="BW126" s="594">
        <v>0.2</v>
      </c>
      <c r="BX126" s="594">
        <v>0.13</v>
      </c>
      <c r="BY126" s="594">
        <v>0.32900000000000001</v>
      </c>
      <c r="BZ126" s="594">
        <v>8.6999999999999994E-2</v>
      </c>
      <c r="CA126" s="594">
        <v>0</v>
      </c>
      <c r="CB126" s="593">
        <v>0.25</v>
      </c>
      <c r="CC126" s="594">
        <v>0.3</v>
      </c>
      <c r="CD126" s="594">
        <v>0.13</v>
      </c>
      <c r="CE126" s="594">
        <v>0.3</v>
      </c>
      <c r="CF126" s="594">
        <v>0.14599999999999999</v>
      </c>
      <c r="CG126" s="594">
        <v>0.22</v>
      </c>
      <c r="CH126" s="594">
        <v>0.27</v>
      </c>
      <c r="CI126" s="594">
        <v>0.25</v>
      </c>
      <c r="CJ126" s="594">
        <v>0</v>
      </c>
      <c r="CK126" s="594">
        <v>5.2499999999999998E-2</v>
      </c>
      <c r="CL126" s="594">
        <v>0.107</v>
      </c>
      <c r="CM126" s="594">
        <v>0.188</v>
      </c>
      <c r="CN126" s="594">
        <v>0.25</v>
      </c>
      <c r="CO126" s="594">
        <v>0.1118</v>
      </c>
      <c r="CP126" s="594">
        <v>0.23</v>
      </c>
      <c r="CQ126" s="594">
        <v>0.35</v>
      </c>
      <c r="CR126" s="594">
        <v>0.35</v>
      </c>
      <c r="CS126" s="597"/>
      <c r="CT126" s="591">
        <v>2.9000000000000001E-2</v>
      </c>
      <c r="CU126" s="1233">
        <v>1.5610000000000001E-2</v>
      </c>
      <c r="CV126" s="591">
        <v>0</v>
      </c>
      <c r="CW126" s="915">
        <v>1.1380000000000001E-2</v>
      </c>
      <c r="CX126" s="594">
        <v>0.04</v>
      </c>
      <c r="CY126" s="1234"/>
      <c r="CZ126" s="591">
        <v>2.5999999999999999E-2</v>
      </c>
      <c r="DA126" s="591">
        <v>1.7999999999999999E-2</v>
      </c>
      <c r="DB126" s="594">
        <v>0.02</v>
      </c>
      <c r="DC126" s="591">
        <v>1.7000000000000001E-2</v>
      </c>
      <c r="DD126" s="591">
        <v>2.5000000000000001E-2</v>
      </c>
      <c r="DE126" s="594">
        <v>3.3000000000000002E-2</v>
      </c>
      <c r="DF126" s="594">
        <v>1.7000000000000001E-2</v>
      </c>
      <c r="DG126" s="594">
        <v>3.5999999999999997E-2</v>
      </c>
      <c r="DH126" s="594">
        <v>3.5000000000000003E-2</v>
      </c>
      <c r="DI126" s="915">
        <v>1.5207000000000002E-2</v>
      </c>
      <c r="DJ126" s="1234"/>
      <c r="DK126" s="594">
        <v>1.4E-2</v>
      </c>
      <c r="DL126" s="594">
        <v>1.4999999999999999E-2</v>
      </c>
      <c r="DM126" s="594">
        <v>2.1999999999999999E-2</v>
      </c>
      <c r="DN126" s="915">
        <v>1.2286E-2</v>
      </c>
      <c r="DO126" s="594">
        <v>1.7000000000000001E-2</v>
      </c>
      <c r="DP126" s="591">
        <v>0.01</v>
      </c>
      <c r="DQ126" s="1234"/>
      <c r="DR126" s="591"/>
      <c r="DS126" s="1234"/>
      <c r="DT126" s="594">
        <v>1.7000000000000001E-2</v>
      </c>
      <c r="DU126" s="594">
        <v>1.6E-2</v>
      </c>
      <c r="DV126" s="594">
        <v>2.3E-2</v>
      </c>
      <c r="DW126" s="594">
        <v>3.7999999999999999E-2</v>
      </c>
      <c r="DX126" s="594">
        <v>4.3999999999999997E-2</v>
      </c>
      <c r="DY126" s="594">
        <v>1.7000000000000001E-2</v>
      </c>
      <c r="DZ126" s="916"/>
      <c r="EA126" s="1439"/>
    </row>
    <row r="127" spans="1:131" x14ac:dyDescent="0.3">
      <c r="A127" s="935">
        <v>42856</v>
      </c>
      <c r="B127" s="589">
        <v>0.13</v>
      </c>
      <c r="C127" s="590">
        <v>0.06</v>
      </c>
      <c r="D127" s="590">
        <v>0.04</v>
      </c>
      <c r="E127" s="590">
        <v>0.05</v>
      </c>
      <c r="F127" s="591">
        <v>0.1263</v>
      </c>
      <c r="G127" s="589">
        <v>0.1111</v>
      </c>
      <c r="H127" s="589">
        <v>0.1</v>
      </c>
      <c r="I127" s="590">
        <v>0.1</v>
      </c>
      <c r="J127" s="591">
        <v>0.115</v>
      </c>
      <c r="K127" s="590">
        <v>0.15</v>
      </c>
      <c r="L127" s="589">
        <v>4.2500000000000003E-2</v>
      </c>
      <c r="M127" s="592">
        <v>0.84</v>
      </c>
      <c r="N127" s="590">
        <v>0.1</v>
      </c>
      <c r="O127" s="589">
        <v>0</v>
      </c>
      <c r="P127" s="593">
        <v>7.7499999999999999E-2</v>
      </c>
      <c r="Q127" s="589">
        <v>0.105</v>
      </c>
      <c r="R127" s="590">
        <v>0.2</v>
      </c>
      <c r="S127" s="589">
        <v>2.2499999999999999E-2</v>
      </c>
      <c r="T127" s="594">
        <v>0.107</v>
      </c>
      <c r="U127" s="591">
        <v>6.2E-2</v>
      </c>
      <c r="V127" s="589">
        <v>0.16</v>
      </c>
      <c r="W127" s="589">
        <v>0.11</v>
      </c>
      <c r="X127" s="590">
        <v>0</v>
      </c>
      <c r="Y127" s="590">
        <v>0.1</v>
      </c>
      <c r="Z127" s="589">
        <v>0.2</v>
      </c>
      <c r="AA127" s="589">
        <v>0</v>
      </c>
      <c r="AB127" s="590">
        <v>0.2</v>
      </c>
      <c r="AC127" s="1231">
        <v>0.13500000000000001</v>
      </c>
      <c r="AD127" s="590">
        <v>0.12</v>
      </c>
      <c r="AE127" s="590">
        <v>0.2</v>
      </c>
      <c r="AF127" s="591">
        <v>0.12</v>
      </c>
      <c r="AG127" s="590">
        <v>0</v>
      </c>
      <c r="AH127" s="594">
        <v>5.4999999999999997E-3</v>
      </c>
      <c r="AI127" s="594">
        <v>5.8999999999999999E-3</v>
      </c>
      <c r="AJ127" s="594">
        <v>2.3999999999999998E-3</v>
      </c>
      <c r="AK127" s="594">
        <v>8.0000000000000002E-3</v>
      </c>
      <c r="AL127" s="594">
        <v>8.8999999999999999E-3</v>
      </c>
      <c r="AM127" s="596"/>
      <c r="AN127" s="594">
        <v>4.3E-3</v>
      </c>
      <c r="AO127" s="594">
        <v>6.3E-3</v>
      </c>
      <c r="AP127" s="594">
        <v>8.6999999999999994E-3</v>
      </c>
      <c r="AQ127" s="594">
        <v>3.5999999999999999E-3</v>
      </c>
      <c r="AR127" s="594">
        <v>1.2699999999999999E-2</v>
      </c>
      <c r="AS127" s="596"/>
      <c r="AT127" s="594">
        <v>6.6E-3</v>
      </c>
      <c r="AU127" s="594">
        <v>6.0000000000000001E-3</v>
      </c>
      <c r="AV127" s="594">
        <v>1.5699999999999999E-2</v>
      </c>
      <c r="AW127" s="594">
        <v>8.8000000000000005E-3</v>
      </c>
      <c r="AX127" s="594">
        <v>8.2000000000000007E-3</v>
      </c>
      <c r="AY127" s="594">
        <v>3.9800000000000002E-2</v>
      </c>
      <c r="AZ127" s="594">
        <v>3.7000000000000002E-3</v>
      </c>
      <c r="BA127" s="594">
        <v>5.8999999999999999E-3</v>
      </c>
      <c r="BB127" s="594">
        <v>4.5999999999999999E-3</v>
      </c>
      <c r="BC127" s="594">
        <v>8.5000000000000006E-3</v>
      </c>
      <c r="BD127" s="594">
        <v>3.3E-3</v>
      </c>
      <c r="BE127" s="594">
        <v>6.7999999999999996E-3</v>
      </c>
      <c r="BF127" s="594">
        <v>4.1000000000000003E-3</v>
      </c>
      <c r="BG127" s="594">
        <v>8.0000000000000002E-3</v>
      </c>
      <c r="BH127" s="594">
        <v>7.6E-3</v>
      </c>
      <c r="BI127" s="594">
        <v>5.5999999999999999E-3</v>
      </c>
      <c r="BJ127" s="594">
        <v>8.9999999999999993E-3</v>
      </c>
      <c r="BK127" s="594">
        <v>8.5000000000000006E-3</v>
      </c>
      <c r="BL127" s="594">
        <v>1.2500000000000001E-2</v>
      </c>
      <c r="BM127" s="594">
        <v>2E-3</v>
      </c>
      <c r="BN127" s="594">
        <v>0.29599999999999999</v>
      </c>
      <c r="BO127" s="594">
        <v>0.06</v>
      </c>
      <c r="BP127" s="594">
        <v>0.312</v>
      </c>
      <c r="BQ127" s="594">
        <v>0.21199999999999999</v>
      </c>
      <c r="BR127" s="594">
        <v>0.18</v>
      </c>
      <c r="BS127" s="594">
        <v>0.1111</v>
      </c>
      <c r="BT127" s="594">
        <v>0.25</v>
      </c>
      <c r="BU127" s="594">
        <v>0.27</v>
      </c>
      <c r="BV127" s="594">
        <v>0.17</v>
      </c>
      <c r="BW127" s="594">
        <v>0.2</v>
      </c>
      <c r="BX127" s="594">
        <v>0.13</v>
      </c>
      <c r="BY127" s="594">
        <v>0.32900000000000001</v>
      </c>
      <c r="BZ127" s="594">
        <v>8.6999999999999994E-2</v>
      </c>
      <c r="CA127" s="594">
        <v>0</v>
      </c>
      <c r="CB127" s="593">
        <v>0.25</v>
      </c>
      <c r="CC127" s="594">
        <v>0.3</v>
      </c>
      <c r="CD127" s="594">
        <v>0.13</v>
      </c>
      <c r="CE127" s="594">
        <v>0.3</v>
      </c>
      <c r="CF127" s="594">
        <v>0.14599999999999999</v>
      </c>
      <c r="CG127" s="594">
        <v>0.22</v>
      </c>
      <c r="CH127" s="594">
        <v>0.27</v>
      </c>
      <c r="CI127" s="594">
        <v>0.25</v>
      </c>
      <c r="CJ127" s="594">
        <v>0</v>
      </c>
      <c r="CK127" s="594">
        <v>5.2499999999999998E-2</v>
      </c>
      <c r="CL127" s="594">
        <v>0.107</v>
      </c>
      <c r="CM127" s="594">
        <v>0.188</v>
      </c>
      <c r="CN127" s="594">
        <v>0.25</v>
      </c>
      <c r="CO127" s="594">
        <v>0.17219999999999999</v>
      </c>
      <c r="CP127" s="594">
        <v>0.23</v>
      </c>
      <c r="CQ127" s="594">
        <v>0.35</v>
      </c>
      <c r="CR127" s="594">
        <v>0.35</v>
      </c>
      <c r="CS127" s="597"/>
      <c r="CT127" s="591">
        <v>2.9000000000000001E-2</v>
      </c>
      <c r="CU127" s="1233">
        <v>1.5610000000000001E-2</v>
      </c>
      <c r="CV127" s="591">
        <v>0</v>
      </c>
      <c r="CW127" s="915">
        <v>1.1380000000000001E-2</v>
      </c>
      <c r="CX127" s="594">
        <v>0.04</v>
      </c>
      <c r="CY127" s="1234"/>
      <c r="CZ127" s="591">
        <v>2.5999999999999999E-2</v>
      </c>
      <c r="DA127" s="591">
        <v>1.7999999999999999E-2</v>
      </c>
      <c r="DB127" s="594">
        <v>0.02</v>
      </c>
      <c r="DC127" s="591">
        <v>1.7000000000000001E-2</v>
      </c>
      <c r="DD127" s="591">
        <v>2.5000000000000001E-2</v>
      </c>
      <c r="DE127" s="594">
        <v>3.3000000000000002E-2</v>
      </c>
      <c r="DF127" s="594">
        <v>1.7000000000000001E-2</v>
      </c>
      <c r="DG127" s="594">
        <v>3.5999999999999997E-2</v>
      </c>
      <c r="DH127" s="594">
        <v>3.5000000000000003E-2</v>
      </c>
      <c r="DI127" s="915">
        <v>1.5207000000000002E-2</v>
      </c>
      <c r="DJ127" s="1234"/>
      <c r="DK127" s="594">
        <v>1.4E-2</v>
      </c>
      <c r="DL127" s="594">
        <v>1.4999999999999999E-2</v>
      </c>
      <c r="DM127" s="594">
        <v>2.1999999999999999E-2</v>
      </c>
      <c r="DN127" s="915">
        <v>1.2286E-2</v>
      </c>
      <c r="DO127" s="594">
        <v>1.7000000000000001E-2</v>
      </c>
      <c r="DP127" s="591">
        <v>0.01</v>
      </c>
      <c r="DQ127" s="1234"/>
      <c r="DR127" s="591"/>
      <c r="DS127" s="1234"/>
      <c r="DT127" s="594">
        <v>1.7000000000000001E-2</v>
      </c>
      <c r="DU127" s="594">
        <v>1.6E-2</v>
      </c>
      <c r="DV127" s="594">
        <v>2.3E-2</v>
      </c>
      <c r="DW127" s="594">
        <v>3.7999999999999999E-2</v>
      </c>
      <c r="DX127" s="594">
        <v>4.3999999999999997E-2</v>
      </c>
      <c r="DY127" s="594">
        <v>1.7000000000000001E-2</v>
      </c>
      <c r="DZ127" s="916"/>
      <c r="EA127" s="1439"/>
    </row>
    <row r="128" spans="1:131" x14ac:dyDescent="0.3">
      <c r="A128" s="935">
        <v>42887</v>
      </c>
      <c r="B128" s="589">
        <v>0.13</v>
      </c>
      <c r="C128" s="590">
        <v>0.06</v>
      </c>
      <c r="D128" s="590">
        <v>0.04</v>
      </c>
      <c r="E128" s="590">
        <v>0.05</v>
      </c>
      <c r="F128" s="591">
        <v>0.1263</v>
      </c>
      <c r="G128" s="589">
        <v>0.1111</v>
      </c>
      <c r="H128" s="589">
        <v>0.1</v>
      </c>
      <c r="I128" s="590">
        <v>0.1</v>
      </c>
      <c r="J128" s="591">
        <v>0.115</v>
      </c>
      <c r="K128" s="590">
        <v>0.15</v>
      </c>
      <c r="L128" s="589">
        <v>4.2500000000000003E-2</v>
      </c>
      <c r="M128" s="592">
        <v>0.84</v>
      </c>
      <c r="N128" s="590">
        <v>0.1</v>
      </c>
      <c r="O128" s="589">
        <v>0</v>
      </c>
      <c r="P128" s="593">
        <v>7.7499999999999999E-2</v>
      </c>
      <c r="Q128" s="589">
        <v>0.105</v>
      </c>
      <c r="R128" s="590">
        <v>0.2</v>
      </c>
      <c r="S128" s="589">
        <v>2.2499999999999999E-2</v>
      </c>
      <c r="T128" s="594">
        <v>0.107</v>
      </c>
      <c r="U128" s="591">
        <v>6.2E-2</v>
      </c>
      <c r="V128" s="589">
        <v>0.16</v>
      </c>
      <c r="W128" s="589">
        <v>0.11</v>
      </c>
      <c r="X128" s="590">
        <v>0</v>
      </c>
      <c r="Y128" s="590">
        <v>0.1</v>
      </c>
      <c r="Z128" s="589">
        <v>0.2</v>
      </c>
      <c r="AA128" s="589">
        <v>0</v>
      </c>
      <c r="AB128" s="590">
        <v>0.2</v>
      </c>
      <c r="AC128" s="1231">
        <v>0.13500000000000001</v>
      </c>
      <c r="AD128" s="590">
        <v>0.12</v>
      </c>
      <c r="AE128" s="590">
        <v>0.2</v>
      </c>
      <c r="AF128" s="591">
        <v>0.12</v>
      </c>
      <c r="AG128" s="590">
        <v>0</v>
      </c>
      <c r="AH128" s="594">
        <v>5.4999999999999997E-3</v>
      </c>
      <c r="AI128" s="594">
        <v>5.8999999999999999E-3</v>
      </c>
      <c r="AJ128" s="594">
        <v>2.3999999999999998E-3</v>
      </c>
      <c r="AK128" s="594">
        <v>8.0000000000000002E-3</v>
      </c>
      <c r="AL128" s="594">
        <v>8.8999999999999999E-3</v>
      </c>
      <c r="AM128" s="596"/>
      <c r="AN128" s="594">
        <v>4.3E-3</v>
      </c>
      <c r="AO128" s="594">
        <v>6.3E-3</v>
      </c>
      <c r="AP128" s="594">
        <v>8.6999999999999994E-3</v>
      </c>
      <c r="AQ128" s="594">
        <v>3.5999999999999999E-3</v>
      </c>
      <c r="AR128" s="594">
        <v>1.2699999999999999E-2</v>
      </c>
      <c r="AS128" s="596"/>
      <c r="AT128" s="594">
        <v>6.6E-3</v>
      </c>
      <c r="AU128" s="594">
        <v>6.0000000000000001E-3</v>
      </c>
      <c r="AV128" s="594">
        <v>1.5699999999999999E-2</v>
      </c>
      <c r="AW128" s="594">
        <v>8.8000000000000005E-3</v>
      </c>
      <c r="AX128" s="594">
        <v>8.2000000000000007E-3</v>
      </c>
      <c r="AY128" s="594">
        <v>3.9800000000000002E-2</v>
      </c>
      <c r="AZ128" s="594">
        <v>3.7000000000000002E-3</v>
      </c>
      <c r="BA128" s="594">
        <v>5.8999999999999999E-3</v>
      </c>
      <c r="BB128" s="594">
        <v>4.5999999999999999E-3</v>
      </c>
      <c r="BC128" s="594">
        <v>8.5000000000000006E-3</v>
      </c>
      <c r="BD128" s="594">
        <v>3.3E-3</v>
      </c>
      <c r="BE128" s="594">
        <v>6.7999999999999996E-3</v>
      </c>
      <c r="BF128" s="594">
        <v>4.1000000000000003E-3</v>
      </c>
      <c r="BG128" s="594">
        <v>8.0000000000000002E-3</v>
      </c>
      <c r="BH128" s="594">
        <v>7.6E-3</v>
      </c>
      <c r="BI128" s="594">
        <v>5.5999999999999999E-3</v>
      </c>
      <c r="BJ128" s="594">
        <v>8.9999999999999993E-3</v>
      </c>
      <c r="BK128" s="594">
        <v>8.5000000000000006E-3</v>
      </c>
      <c r="BL128" s="594">
        <v>1.2500000000000001E-2</v>
      </c>
      <c r="BM128" s="594">
        <v>2E-3</v>
      </c>
      <c r="BN128" s="594">
        <v>0.29599999999999999</v>
      </c>
      <c r="BO128" s="594">
        <v>0.06</v>
      </c>
      <c r="BP128" s="594">
        <v>0.312</v>
      </c>
      <c r="BQ128" s="594">
        <v>0.21199999999999999</v>
      </c>
      <c r="BR128" s="594">
        <v>0.18</v>
      </c>
      <c r="BS128" s="594">
        <v>0.1111</v>
      </c>
      <c r="BT128" s="594">
        <v>0.25</v>
      </c>
      <c r="BU128" s="594">
        <v>0.27</v>
      </c>
      <c r="BV128" s="594">
        <v>0.17</v>
      </c>
      <c r="BW128" s="594">
        <v>0.2</v>
      </c>
      <c r="BX128" s="594">
        <v>0.13</v>
      </c>
      <c r="BY128" s="594">
        <v>0.32900000000000001</v>
      </c>
      <c r="BZ128" s="594">
        <v>8.6999999999999994E-2</v>
      </c>
      <c r="CA128" s="594">
        <v>0</v>
      </c>
      <c r="CB128" s="593">
        <v>0.25</v>
      </c>
      <c r="CC128" s="594">
        <v>0.3</v>
      </c>
      <c r="CD128" s="594">
        <v>0.13</v>
      </c>
      <c r="CE128" s="594">
        <v>0.3</v>
      </c>
      <c r="CF128" s="594">
        <v>0.14599999999999999</v>
      </c>
      <c r="CG128" s="594">
        <v>0.22</v>
      </c>
      <c r="CH128" s="594">
        <v>0.27</v>
      </c>
      <c r="CI128" s="594">
        <v>0.25</v>
      </c>
      <c r="CJ128" s="594">
        <v>0</v>
      </c>
      <c r="CK128" s="594">
        <v>5.2499999999999998E-2</v>
      </c>
      <c r="CL128" s="594">
        <v>0.107</v>
      </c>
      <c r="CM128" s="594">
        <v>0.188</v>
      </c>
      <c r="CN128" s="594">
        <v>0.25</v>
      </c>
      <c r="CO128" s="594">
        <v>0.17219999999999999</v>
      </c>
      <c r="CP128" s="594">
        <v>0.23</v>
      </c>
      <c r="CQ128" s="594">
        <v>0.35</v>
      </c>
      <c r="CR128" s="594">
        <v>0.35</v>
      </c>
      <c r="CS128" s="597"/>
      <c r="CT128" s="591">
        <v>2.9000000000000001E-2</v>
      </c>
      <c r="CU128" s="1233">
        <v>1.5610000000000001E-2</v>
      </c>
      <c r="CV128" s="591">
        <v>0</v>
      </c>
      <c r="CW128" s="915">
        <v>1.1380000000000001E-2</v>
      </c>
      <c r="CX128" s="594">
        <v>0.04</v>
      </c>
      <c r="CY128" s="1234"/>
      <c r="CZ128" s="591">
        <v>2.5999999999999999E-2</v>
      </c>
      <c r="DA128" s="591">
        <v>1.7999999999999999E-2</v>
      </c>
      <c r="DB128" s="594">
        <v>0.02</v>
      </c>
      <c r="DC128" s="591">
        <v>1.7000000000000001E-2</v>
      </c>
      <c r="DD128" s="591">
        <v>2.5000000000000001E-2</v>
      </c>
      <c r="DE128" s="594">
        <v>3.3000000000000002E-2</v>
      </c>
      <c r="DF128" s="594">
        <v>1.7000000000000001E-2</v>
      </c>
      <c r="DG128" s="594">
        <v>3.5999999999999997E-2</v>
      </c>
      <c r="DH128" s="594">
        <v>3.5000000000000003E-2</v>
      </c>
      <c r="DI128" s="915">
        <v>1.5207000000000002E-2</v>
      </c>
      <c r="DJ128" s="1234"/>
      <c r="DK128" s="594">
        <v>1.4E-2</v>
      </c>
      <c r="DL128" s="594">
        <v>1.4999999999999999E-2</v>
      </c>
      <c r="DM128" s="594">
        <v>2.1999999999999999E-2</v>
      </c>
      <c r="DN128" s="915">
        <v>1.2286E-2</v>
      </c>
      <c r="DO128" s="594">
        <v>1.7000000000000001E-2</v>
      </c>
      <c r="DP128" s="591">
        <v>0.01</v>
      </c>
      <c r="DQ128" s="1234"/>
      <c r="DR128" s="591"/>
      <c r="DS128" s="1234"/>
      <c r="DT128" s="594">
        <v>1.7000000000000001E-2</v>
      </c>
      <c r="DU128" s="594">
        <v>1.6E-2</v>
      </c>
      <c r="DV128" s="594">
        <v>2.3E-2</v>
      </c>
      <c r="DW128" s="594">
        <v>3.7999999999999999E-2</v>
      </c>
      <c r="DX128" s="594">
        <v>4.3999999999999997E-2</v>
      </c>
      <c r="DY128" s="594">
        <v>1.7000000000000001E-2</v>
      </c>
      <c r="DZ128" s="916"/>
      <c r="EA128" s="1439"/>
    </row>
    <row r="129" spans="1:131" x14ac:dyDescent="0.3">
      <c r="A129" s="935">
        <v>42917</v>
      </c>
      <c r="B129" s="589">
        <v>0.13</v>
      </c>
      <c r="C129" s="590">
        <v>0.06</v>
      </c>
      <c r="D129" s="590">
        <v>0.04</v>
      </c>
      <c r="E129" s="590">
        <v>0.05</v>
      </c>
      <c r="F129" s="591">
        <v>0.1263</v>
      </c>
      <c r="G129" s="589">
        <v>0.1111</v>
      </c>
      <c r="H129" s="589">
        <v>0.1</v>
      </c>
      <c r="I129" s="590">
        <v>0.1</v>
      </c>
      <c r="J129" s="591">
        <v>0.115</v>
      </c>
      <c r="K129" s="590">
        <v>0.15</v>
      </c>
      <c r="L129" s="589">
        <v>4.2500000000000003E-2</v>
      </c>
      <c r="M129" s="592">
        <v>0.84</v>
      </c>
      <c r="N129" s="590">
        <v>0.1</v>
      </c>
      <c r="O129" s="589">
        <v>0</v>
      </c>
      <c r="P129" s="593">
        <v>7.7499999999999999E-2</v>
      </c>
      <c r="Q129" s="589">
        <v>0.105</v>
      </c>
      <c r="R129" s="590">
        <v>0.2</v>
      </c>
      <c r="S129" s="589">
        <v>2.2499999999999999E-2</v>
      </c>
      <c r="T129" s="594">
        <v>0.107</v>
      </c>
      <c r="U129" s="591">
        <v>6.2E-2</v>
      </c>
      <c r="V129" s="589">
        <v>0.16</v>
      </c>
      <c r="W129" s="589">
        <v>0.11</v>
      </c>
      <c r="X129" s="590">
        <v>0</v>
      </c>
      <c r="Y129" s="590">
        <v>0.1</v>
      </c>
      <c r="Z129" s="589">
        <v>0.2</v>
      </c>
      <c r="AA129" s="589">
        <v>0</v>
      </c>
      <c r="AB129" s="590">
        <v>0.2</v>
      </c>
      <c r="AC129" s="1231">
        <v>0.13500000000000001</v>
      </c>
      <c r="AD129" s="590">
        <v>0.12</v>
      </c>
      <c r="AE129" s="590">
        <v>0.2</v>
      </c>
      <c r="AF129" s="591">
        <v>0.12</v>
      </c>
      <c r="AG129" s="590">
        <v>0</v>
      </c>
      <c r="AH129" s="594">
        <v>8.5000000000000006E-3</v>
      </c>
      <c r="AI129" s="594">
        <v>1.0699999999999999E-2</v>
      </c>
      <c r="AJ129" s="594">
        <v>1.12E-2</v>
      </c>
      <c r="AK129" s="594">
        <v>8.9999999999999993E-3</v>
      </c>
      <c r="AL129" s="594">
        <v>1.1299999999999999E-2</v>
      </c>
      <c r="AM129" s="596"/>
      <c r="AN129" s="594">
        <v>1.01E-2</v>
      </c>
      <c r="AO129" s="594">
        <v>0.01</v>
      </c>
      <c r="AP129" s="594">
        <v>1.1599999999999999E-2</v>
      </c>
      <c r="AQ129" s="594">
        <v>7.9000000000000008E-3</v>
      </c>
      <c r="AR129" s="594">
        <v>1.2699999999999999E-2</v>
      </c>
      <c r="AS129" s="596"/>
      <c r="AT129" s="594">
        <v>6.6E-3</v>
      </c>
      <c r="AU129" s="594">
        <v>6.8999999999999999E-3</v>
      </c>
      <c r="AV129" s="594">
        <v>1.5699999999999999E-2</v>
      </c>
      <c r="AW129" s="594">
        <v>8.8000000000000005E-3</v>
      </c>
      <c r="AX129" s="594">
        <v>8.6E-3</v>
      </c>
      <c r="AY129" s="594">
        <v>3.9800000000000002E-2</v>
      </c>
      <c r="AZ129" s="594">
        <v>6.7000000000000002E-3</v>
      </c>
      <c r="BA129" s="594">
        <v>9.4000000000000004E-3</v>
      </c>
      <c r="BB129" s="594">
        <v>7.9000000000000008E-3</v>
      </c>
      <c r="BC129" s="594">
        <v>8.5000000000000006E-3</v>
      </c>
      <c r="BD129" s="594">
        <v>5.4000000000000003E-3</v>
      </c>
      <c r="BE129" s="594">
        <v>9.2999999999999992E-3</v>
      </c>
      <c r="BF129" s="594">
        <v>8.8999999999999999E-3</v>
      </c>
      <c r="BG129" s="594">
        <v>1.21E-2</v>
      </c>
      <c r="BH129" s="594">
        <v>8.9999999999999993E-3</v>
      </c>
      <c r="BI129" s="594">
        <v>8.0999999999999996E-3</v>
      </c>
      <c r="BJ129" s="594">
        <v>1.2999999999999999E-2</v>
      </c>
      <c r="BK129" s="594">
        <v>1.01E-2</v>
      </c>
      <c r="BL129" s="594">
        <v>1.5699999999999999E-2</v>
      </c>
      <c r="BM129" s="594">
        <v>2E-3</v>
      </c>
      <c r="BN129" s="594">
        <v>0.29599999999999999</v>
      </c>
      <c r="BO129" s="594">
        <v>0.06</v>
      </c>
      <c r="BP129" s="594">
        <v>0.312</v>
      </c>
      <c r="BQ129" s="594">
        <v>0.21199999999999999</v>
      </c>
      <c r="BR129" s="594">
        <v>0.18</v>
      </c>
      <c r="BS129" s="594">
        <v>0.1111</v>
      </c>
      <c r="BT129" s="594">
        <v>0.25</v>
      </c>
      <c r="BU129" s="594">
        <v>0.27</v>
      </c>
      <c r="BV129" s="594">
        <v>0.17</v>
      </c>
      <c r="BW129" s="594">
        <v>0.2</v>
      </c>
      <c r="BX129" s="594">
        <v>0.13</v>
      </c>
      <c r="BY129" s="594">
        <v>0.32900000000000001</v>
      </c>
      <c r="BZ129" s="594">
        <v>8.6999999999999994E-2</v>
      </c>
      <c r="CA129" s="594">
        <v>0</v>
      </c>
      <c r="CB129" s="593">
        <v>0.25</v>
      </c>
      <c r="CC129" s="594">
        <v>0.3</v>
      </c>
      <c r="CD129" s="594">
        <v>0.13</v>
      </c>
      <c r="CE129" s="594">
        <v>0.3</v>
      </c>
      <c r="CF129" s="594">
        <v>0.14599999999999999</v>
      </c>
      <c r="CG129" s="594">
        <v>0.22</v>
      </c>
      <c r="CH129" s="594">
        <v>0.27</v>
      </c>
      <c r="CI129" s="594">
        <v>0.25</v>
      </c>
      <c r="CJ129" s="594">
        <v>0</v>
      </c>
      <c r="CK129" s="594">
        <v>5.2499999999999998E-2</v>
      </c>
      <c r="CL129" s="594">
        <v>0.107</v>
      </c>
      <c r="CM129" s="594">
        <v>0.188</v>
      </c>
      <c r="CN129" s="594">
        <v>0.25</v>
      </c>
      <c r="CO129" s="594">
        <v>0.17219999999999999</v>
      </c>
      <c r="CP129" s="594">
        <v>0.23</v>
      </c>
      <c r="CQ129" s="594">
        <v>0.35</v>
      </c>
      <c r="CR129" s="594">
        <v>0.35</v>
      </c>
      <c r="CS129" s="597"/>
      <c r="CT129" s="591">
        <v>2.9000000000000001E-2</v>
      </c>
      <c r="CU129" s="1233">
        <v>1.5610000000000001E-2</v>
      </c>
      <c r="CV129" s="591">
        <v>0</v>
      </c>
      <c r="CW129" s="915">
        <v>1.1380000000000001E-2</v>
      </c>
      <c r="CX129" s="594">
        <v>0.04</v>
      </c>
      <c r="CY129" s="1234"/>
      <c r="CZ129" s="591">
        <v>2.5999999999999999E-2</v>
      </c>
      <c r="DA129" s="591">
        <v>1.7999999999999999E-2</v>
      </c>
      <c r="DB129" s="594">
        <v>0.02</v>
      </c>
      <c r="DC129" s="591">
        <v>1.7000000000000001E-2</v>
      </c>
      <c r="DD129" s="591">
        <v>2.5000000000000001E-2</v>
      </c>
      <c r="DE129" s="594">
        <v>3.3000000000000002E-2</v>
      </c>
      <c r="DF129" s="594">
        <v>1.7000000000000001E-2</v>
      </c>
      <c r="DG129" s="594">
        <v>3.5999999999999997E-2</v>
      </c>
      <c r="DH129" s="594">
        <v>3.5000000000000003E-2</v>
      </c>
      <c r="DI129" s="915">
        <v>1.5207000000000002E-2</v>
      </c>
      <c r="DJ129" s="1234"/>
      <c r="DK129" s="594">
        <v>1.4E-2</v>
      </c>
      <c r="DL129" s="594">
        <v>1.4999999999999999E-2</v>
      </c>
      <c r="DM129" s="594">
        <v>2.1999999999999999E-2</v>
      </c>
      <c r="DN129" s="915">
        <v>1.2286E-2</v>
      </c>
      <c r="DO129" s="594">
        <v>1.7000000000000001E-2</v>
      </c>
      <c r="DP129" s="591">
        <v>0.01</v>
      </c>
      <c r="DQ129" s="1234"/>
      <c r="DR129" s="591"/>
      <c r="DS129" s="1234"/>
      <c r="DT129" s="594">
        <v>1.7000000000000001E-2</v>
      </c>
      <c r="DU129" s="594">
        <v>1.6E-2</v>
      </c>
      <c r="DV129" s="594">
        <v>2.3E-2</v>
      </c>
      <c r="DW129" s="594">
        <v>3.7999999999999999E-2</v>
      </c>
      <c r="DX129" s="594">
        <v>4.3999999999999997E-2</v>
      </c>
      <c r="DY129" s="594">
        <v>1.7000000000000001E-2</v>
      </c>
      <c r="DZ129" s="916"/>
      <c r="EA129" s="1439"/>
    </row>
    <row r="130" spans="1:131" x14ac:dyDescent="0.3">
      <c r="A130" s="935">
        <v>42948</v>
      </c>
      <c r="B130" s="589">
        <v>0.13</v>
      </c>
      <c r="C130" s="590">
        <v>0.06</v>
      </c>
      <c r="D130" s="590">
        <v>0.04</v>
      </c>
      <c r="E130" s="590">
        <v>0.05</v>
      </c>
      <c r="F130" s="591">
        <v>0.1263</v>
      </c>
      <c r="G130" s="589">
        <v>0.1111</v>
      </c>
      <c r="H130" s="589">
        <v>0.1</v>
      </c>
      <c r="I130" s="590">
        <v>0.1</v>
      </c>
      <c r="J130" s="591">
        <v>0.115</v>
      </c>
      <c r="K130" s="590">
        <v>0.15</v>
      </c>
      <c r="L130" s="589">
        <v>4.2500000000000003E-2</v>
      </c>
      <c r="M130" s="592">
        <v>0.84</v>
      </c>
      <c r="N130" s="590">
        <v>0.1</v>
      </c>
      <c r="O130" s="589">
        <v>0</v>
      </c>
      <c r="P130" s="593">
        <v>7.7499999999999999E-2</v>
      </c>
      <c r="Q130" s="589">
        <v>0.105</v>
      </c>
      <c r="R130" s="590">
        <v>0.2</v>
      </c>
      <c r="S130" s="589">
        <v>2.2499999999999999E-2</v>
      </c>
      <c r="T130" s="594">
        <v>0.107</v>
      </c>
      <c r="U130" s="591">
        <v>6.2E-2</v>
      </c>
      <c r="V130" s="589">
        <v>0.16</v>
      </c>
      <c r="W130" s="589">
        <v>0.11</v>
      </c>
      <c r="X130" s="590">
        <v>0</v>
      </c>
      <c r="Y130" s="590">
        <v>0.1</v>
      </c>
      <c r="Z130" s="589">
        <v>0.2</v>
      </c>
      <c r="AA130" s="589">
        <v>0</v>
      </c>
      <c r="AB130" s="590">
        <v>0.2</v>
      </c>
      <c r="AC130" s="1231">
        <v>0.13500000000000001</v>
      </c>
      <c r="AD130" s="590">
        <v>0.12</v>
      </c>
      <c r="AE130" s="590">
        <v>0.2</v>
      </c>
      <c r="AF130" s="591">
        <v>0.12</v>
      </c>
      <c r="AG130" s="590">
        <v>0</v>
      </c>
      <c r="AH130" s="594">
        <v>8.5000000000000006E-3</v>
      </c>
      <c r="AI130" s="594">
        <v>1.0699999999999999E-2</v>
      </c>
      <c r="AJ130" s="594">
        <v>1.12E-2</v>
      </c>
      <c r="AK130" s="594">
        <v>8.9999999999999993E-3</v>
      </c>
      <c r="AL130" s="594">
        <v>1.1299999999999999E-2</v>
      </c>
      <c r="AM130" s="596"/>
      <c r="AN130" s="594">
        <v>1.01E-2</v>
      </c>
      <c r="AO130" s="594">
        <v>0.01</v>
      </c>
      <c r="AP130" s="594">
        <v>1.1599999999999999E-2</v>
      </c>
      <c r="AQ130" s="594">
        <v>7.9000000000000008E-3</v>
      </c>
      <c r="AR130" s="594">
        <v>1.2699999999999999E-2</v>
      </c>
      <c r="AS130" s="596"/>
      <c r="AT130" s="594">
        <v>6.6E-3</v>
      </c>
      <c r="AU130" s="594">
        <v>6.8999999999999999E-3</v>
      </c>
      <c r="AV130" s="594">
        <v>1.5699999999999999E-2</v>
      </c>
      <c r="AW130" s="594">
        <v>8.8000000000000005E-3</v>
      </c>
      <c r="AX130" s="594">
        <v>8.6E-3</v>
      </c>
      <c r="AY130" s="594">
        <v>3.9800000000000002E-2</v>
      </c>
      <c r="AZ130" s="594">
        <v>6.7000000000000002E-3</v>
      </c>
      <c r="BA130" s="594">
        <v>9.4000000000000004E-3</v>
      </c>
      <c r="BB130" s="594">
        <v>7.9000000000000008E-3</v>
      </c>
      <c r="BC130" s="594">
        <v>8.5000000000000006E-3</v>
      </c>
      <c r="BD130" s="594">
        <v>5.4000000000000003E-3</v>
      </c>
      <c r="BE130" s="594">
        <v>9.2999999999999992E-3</v>
      </c>
      <c r="BF130" s="594">
        <v>8.8999999999999999E-3</v>
      </c>
      <c r="BG130" s="594">
        <v>1.21E-2</v>
      </c>
      <c r="BH130" s="594">
        <v>8.9999999999999993E-3</v>
      </c>
      <c r="BI130" s="594">
        <v>8.0999999999999996E-3</v>
      </c>
      <c r="BJ130" s="594">
        <v>1.2999999999999999E-2</v>
      </c>
      <c r="BK130" s="594">
        <v>1.01E-2</v>
      </c>
      <c r="BL130" s="594">
        <v>1.5699999999999999E-2</v>
      </c>
      <c r="BM130" s="594">
        <v>2E-3</v>
      </c>
      <c r="BN130" s="594">
        <v>0.29599999999999999</v>
      </c>
      <c r="BO130" s="594">
        <v>0.06</v>
      </c>
      <c r="BP130" s="594">
        <v>0.312</v>
      </c>
      <c r="BQ130" s="594">
        <v>0.21199999999999999</v>
      </c>
      <c r="BR130" s="594">
        <v>0.18</v>
      </c>
      <c r="BS130" s="594">
        <v>0.1111</v>
      </c>
      <c r="BT130" s="594">
        <v>0.25</v>
      </c>
      <c r="BU130" s="594">
        <v>0.27</v>
      </c>
      <c r="BV130" s="594">
        <v>0.17</v>
      </c>
      <c r="BW130" s="594">
        <v>0.2</v>
      </c>
      <c r="BX130" s="594">
        <v>0.13</v>
      </c>
      <c r="BY130" s="594">
        <v>0.32900000000000001</v>
      </c>
      <c r="BZ130" s="594">
        <v>8.6999999999999994E-2</v>
      </c>
      <c r="CA130" s="594">
        <v>0</v>
      </c>
      <c r="CB130" s="593">
        <v>0.25</v>
      </c>
      <c r="CC130" s="594">
        <v>0.3</v>
      </c>
      <c r="CD130" s="594">
        <v>0.13</v>
      </c>
      <c r="CE130" s="594">
        <v>0.3</v>
      </c>
      <c r="CF130" s="594">
        <v>0.14599999999999999</v>
      </c>
      <c r="CG130" s="594">
        <v>0.22</v>
      </c>
      <c r="CH130" s="594">
        <v>0.27</v>
      </c>
      <c r="CI130" s="594">
        <v>0.25</v>
      </c>
      <c r="CJ130" s="594">
        <v>0</v>
      </c>
      <c r="CK130" s="594">
        <v>5.2499999999999998E-2</v>
      </c>
      <c r="CL130" s="594">
        <v>0.107</v>
      </c>
      <c r="CM130" s="594">
        <v>0.188</v>
      </c>
      <c r="CN130" s="594">
        <v>0.25</v>
      </c>
      <c r="CO130" s="594">
        <v>0.17219999999999999</v>
      </c>
      <c r="CP130" s="594">
        <v>0.23</v>
      </c>
      <c r="CQ130" s="594">
        <v>0.35</v>
      </c>
      <c r="CR130" s="594">
        <v>0.35</v>
      </c>
      <c r="CS130" s="597"/>
      <c r="CT130" s="591">
        <v>2.9000000000000001E-2</v>
      </c>
      <c r="CU130" s="1233">
        <v>1.5610000000000001E-2</v>
      </c>
      <c r="CV130" s="591">
        <v>0</v>
      </c>
      <c r="CW130" s="915">
        <v>1.1380000000000001E-2</v>
      </c>
      <c r="CX130" s="594">
        <v>0.04</v>
      </c>
      <c r="CY130" s="1234"/>
      <c r="CZ130" s="591">
        <v>2.5999999999999999E-2</v>
      </c>
      <c r="DA130" s="591">
        <v>1.7999999999999999E-2</v>
      </c>
      <c r="DB130" s="594">
        <v>0.02</v>
      </c>
      <c r="DC130" s="591">
        <v>1.7000000000000001E-2</v>
      </c>
      <c r="DD130" s="591">
        <v>2.5000000000000001E-2</v>
      </c>
      <c r="DE130" s="594">
        <v>3.3000000000000002E-2</v>
      </c>
      <c r="DF130" s="594">
        <v>1.7000000000000001E-2</v>
      </c>
      <c r="DG130" s="594">
        <v>3.5999999999999997E-2</v>
      </c>
      <c r="DH130" s="594">
        <v>3.5000000000000003E-2</v>
      </c>
      <c r="DI130" s="915">
        <v>1.5207000000000002E-2</v>
      </c>
      <c r="DJ130" s="1234"/>
      <c r="DK130" s="594">
        <v>1.4E-2</v>
      </c>
      <c r="DL130" s="594">
        <v>1.4999999999999999E-2</v>
      </c>
      <c r="DM130" s="594">
        <v>2.1999999999999999E-2</v>
      </c>
      <c r="DN130" s="915">
        <v>1.2286E-2</v>
      </c>
      <c r="DO130" s="594">
        <v>1.7000000000000001E-2</v>
      </c>
      <c r="DP130" s="591">
        <v>0.01</v>
      </c>
      <c r="DQ130" s="1234"/>
      <c r="DR130" s="591"/>
      <c r="DS130" s="1234"/>
      <c r="DT130" s="594">
        <v>1.7000000000000001E-2</v>
      </c>
      <c r="DU130" s="594">
        <v>1.6E-2</v>
      </c>
      <c r="DV130" s="594">
        <v>2.3E-2</v>
      </c>
      <c r="DW130" s="594">
        <v>3.7999999999999999E-2</v>
      </c>
      <c r="DX130" s="594">
        <v>4.3999999999999997E-2</v>
      </c>
      <c r="DY130" s="594">
        <v>1.7000000000000001E-2</v>
      </c>
      <c r="DZ130" s="916"/>
      <c r="EA130" s="1439"/>
    </row>
    <row r="131" spans="1:131" x14ac:dyDescent="0.3">
      <c r="A131" s="935">
        <v>42979</v>
      </c>
      <c r="B131" s="589">
        <v>0.13</v>
      </c>
      <c r="C131" s="590">
        <v>0.06</v>
      </c>
      <c r="D131" s="590">
        <v>0.04</v>
      </c>
      <c r="E131" s="590">
        <v>0.05</v>
      </c>
      <c r="F131" s="591">
        <v>0.1263</v>
      </c>
      <c r="G131" s="589">
        <v>0.1111</v>
      </c>
      <c r="H131" s="589">
        <v>0.1</v>
      </c>
      <c r="I131" s="590">
        <v>0.1</v>
      </c>
      <c r="J131" s="591">
        <v>0.115</v>
      </c>
      <c r="K131" s="590">
        <v>0.15</v>
      </c>
      <c r="L131" s="589">
        <v>4.2500000000000003E-2</v>
      </c>
      <c r="M131" s="592">
        <v>0.84</v>
      </c>
      <c r="N131" s="590">
        <v>0.1</v>
      </c>
      <c r="O131" s="589">
        <v>0</v>
      </c>
      <c r="P131" s="593">
        <v>7.7499999999999999E-2</v>
      </c>
      <c r="Q131" s="589">
        <v>0.105</v>
      </c>
      <c r="R131" s="590">
        <v>0.2</v>
      </c>
      <c r="S131" s="589">
        <v>2.2499999999999999E-2</v>
      </c>
      <c r="T131" s="594">
        <v>0.107</v>
      </c>
      <c r="U131" s="591">
        <v>6.2E-2</v>
      </c>
      <c r="V131" s="589">
        <v>0.16</v>
      </c>
      <c r="W131" s="589">
        <v>0.11</v>
      </c>
      <c r="X131" s="590">
        <v>0</v>
      </c>
      <c r="Y131" s="590">
        <v>0.1</v>
      </c>
      <c r="Z131" s="589">
        <v>0.2</v>
      </c>
      <c r="AA131" s="589">
        <v>0</v>
      </c>
      <c r="AB131" s="590">
        <v>0.2</v>
      </c>
      <c r="AC131" s="1231">
        <v>0.13500000000000001</v>
      </c>
      <c r="AD131" s="590">
        <v>0.12</v>
      </c>
      <c r="AE131" s="590">
        <v>0.2</v>
      </c>
      <c r="AF131" s="591">
        <v>0.12</v>
      </c>
      <c r="AG131" s="590">
        <v>0</v>
      </c>
      <c r="AH131" s="594">
        <v>8.5000000000000006E-3</v>
      </c>
      <c r="AI131" s="594">
        <v>1.0699999999999999E-2</v>
      </c>
      <c r="AJ131" s="594">
        <v>1.12E-2</v>
      </c>
      <c r="AK131" s="594">
        <v>8.9999999999999993E-3</v>
      </c>
      <c r="AL131" s="594">
        <v>1.1299999999999999E-2</v>
      </c>
      <c r="AM131" s="596"/>
      <c r="AN131" s="594">
        <v>1.01E-2</v>
      </c>
      <c r="AO131" s="594">
        <v>0.01</v>
      </c>
      <c r="AP131" s="594">
        <v>1.1599999999999999E-2</v>
      </c>
      <c r="AQ131" s="594">
        <v>7.9000000000000008E-3</v>
      </c>
      <c r="AR131" s="594">
        <v>1.2699999999999999E-2</v>
      </c>
      <c r="AS131" s="596"/>
      <c r="AT131" s="594">
        <v>6.6E-3</v>
      </c>
      <c r="AU131" s="594">
        <v>6.8999999999999999E-3</v>
      </c>
      <c r="AV131" s="594">
        <v>1.5699999999999999E-2</v>
      </c>
      <c r="AW131" s="594">
        <v>8.8000000000000005E-3</v>
      </c>
      <c r="AX131" s="594">
        <v>8.6E-3</v>
      </c>
      <c r="AY131" s="594">
        <v>3.9800000000000002E-2</v>
      </c>
      <c r="AZ131" s="594">
        <v>6.7000000000000002E-3</v>
      </c>
      <c r="BA131" s="594">
        <v>9.4000000000000004E-3</v>
      </c>
      <c r="BB131" s="594">
        <v>7.9000000000000008E-3</v>
      </c>
      <c r="BC131" s="594">
        <v>8.5000000000000006E-3</v>
      </c>
      <c r="BD131" s="594">
        <v>5.4000000000000003E-3</v>
      </c>
      <c r="BE131" s="594">
        <v>9.2999999999999992E-3</v>
      </c>
      <c r="BF131" s="594">
        <v>8.8999999999999999E-3</v>
      </c>
      <c r="BG131" s="594">
        <v>1.21E-2</v>
      </c>
      <c r="BH131" s="594">
        <v>8.9999999999999993E-3</v>
      </c>
      <c r="BI131" s="594">
        <v>8.0999999999999996E-3</v>
      </c>
      <c r="BJ131" s="594">
        <v>1.2999999999999999E-2</v>
      </c>
      <c r="BK131" s="594">
        <v>1.01E-2</v>
      </c>
      <c r="BL131" s="594">
        <v>1.5699999999999999E-2</v>
      </c>
      <c r="BM131" s="594">
        <v>2E-3</v>
      </c>
      <c r="BN131" s="594">
        <v>0.29599999999999999</v>
      </c>
      <c r="BO131" s="594">
        <v>0.06</v>
      </c>
      <c r="BP131" s="594">
        <v>0.312</v>
      </c>
      <c r="BQ131" s="594">
        <v>0.21199999999999999</v>
      </c>
      <c r="BR131" s="594">
        <v>0.18</v>
      </c>
      <c r="BS131" s="594">
        <v>0.1111</v>
      </c>
      <c r="BT131" s="594">
        <v>0.25</v>
      </c>
      <c r="BU131" s="594">
        <v>0.27</v>
      </c>
      <c r="BV131" s="594">
        <v>0.17</v>
      </c>
      <c r="BW131" s="594">
        <v>0.2</v>
      </c>
      <c r="BX131" s="594">
        <v>0.13</v>
      </c>
      <c r="BY131" s="594">
        <v>0.32900000000000001</v>
      </c>
      <c r="BZ131" s="594">
        <v>8.6999999999999994E-2</v>
      </c>
      <c r="CA131" s="594">
        <v>0</v>
      </c>
      <c r="CB131" s="593">
        <v>0.25</v>
      </c>
      <c r="CC131" s="594">
        <v>0.3</v>
      </c>
      <c r="CD131" s="594">
        <v>0.13</v>
      </c>
      <c r="CE131" s="594">
        <v>0.3</v>
      </c>
      <c r="CF131" s="594">
        <v>0.14599999999999999</v>
      </c>
      <c r="CG131" s="594">
        <v>0.22</v>
      </c>
      <c r="CH131" s="594">
        <v>0.27</v>
      </c>
      <c r="CI131" s="594">
        <v>0.25</v>
      </c>
      <c r="CJ131" s="594">
        <v>0</v>
      </c>
      <c r="CK131" s="594">
        <v>5.2499999999999998E-2</v>
      </c>
      <c r="CL131" s="594">
        <v>0.107</v>
      </c>
      <c r="CM131" s="594">
        <v>0.188</v>
      </c>
      <c r="CN131" s="594">
        <v>0.25</v>
      </c>
      <c r="CO131" s="594">
        <v>0.17219999999999999</v>
      </c>
      <c r="CP131" s="594">
        <v>0.23</v>
      </c>
      <c r="CQ131" s="594">
        <v>0.35</v>
      </c>
      <c r="CR131" s="594">
        <v>0.35</v>
      </c>
      <c r="CS131" s="597"/>
      <c r="CT131" s="591">
        <v>2.9000000000000001E-2</v>
      </c>
      <c r="CU131" s="1233">
        <v>1.5610000000000001E-2</v>
      </c>
      <c r="CV131" s="591">
        <v>0</v>
      </c>
      <c r="CW131" s="915">
        <v>1.1380000000000001E-2</v>
      </c>
      <c r="CX131" s="594">
        <v>0.04</v>
      </c>
      <c r="CY131" s="1234"/>
      <c r="CZ131" s="591">
        <v>2.5999999999999999E-2</v>
      </c>
      <c r="DA131" s="591">
        <v>1.7999999999999999E-2</v>
      </c>
      <c r="DB131" s="594">
        <v>0.02</v>
      </c>
      <c r="DC131" s="591">
        <v>1.7000000000000001E-2</v>
      </c>
      <c r="DD131" s="591">
        <v>2.5000000000000001E-2</v>
      </c>
      <c r="DE131" s="594">
        <v>3.3000000000000002E-2</v>
      </c>
      <c r="DF131" s="594">
        <v>1.7000000000000001E-2</v>
      </c>
      <c r="DG131" s="594">
        <v>3.5999999999999997E-2</v>
      </c>
      <c r="DH131" s="594">
        <v>3.5000000000000003E-2</v>
      </c>
      <c r="DI131" s="915">
        <v>1.5207000000000002E-2</v>
      </c>
      <c r="DJ131" s="1234"/>
      <c r="DK131" s="594">
        <v>1.4E-2</v>
      </c>
      <c r="DL131" s="594">
        <v>1.4999999999999999E-2</v>
      </c>
      <c r="DM131" s="594">
        <v>2.1999999999999999E-2</v>
      </c>
      <c r="DN131" s="915">
        <v>1.2286E-2</v>
      </c>
      <c r="DO131" s="594">
        <v>1.7000000000000001E-2</v>
      </c>
      <c r="DP131" s="591">
        <v>0.01</v>
      </c>
      <c r="DQ131" s="1234"/>
      <c r="DR131" s="591"/>
      <c r="DS131" s="1234"/>
      <c r="DT131" s="594">
        <v>1.7000000000000001E-2</v>
      </c>
      <c r="DU131" s="594">
        <v>1.6E-2</v>
      </c>
      <c r="DV131" s="594">
        <v>2.3E-2</v>
      </c>
      <c r="DW131" s="594">
        <v>3.7999999999999999E-2</v>
      </c>
      <c r="DX131" s="594">
        <v>4.3999999999999997E-2</v>
      </c>
      <c r="DY131" s="594">
        <v>1.7000000000000001E-2</v>
      </c>
      <c r="DZ131" s="916"/>
      <c r="EA131" s="1439"/>
    </row>
    <row r="132" spans="1:131" x14ac:dyDescent="0.3">
      <c r="A132" s="935">
        <v>43009</v>
      </c>
      <c r="B132" s="589">
        <v>0.13</v>
      </c>
      <c r="C132" s="590">
        <v>0.06</v>
      </c>
      <c r="D132" s="590">
        <v>0.04</v>
      </c>
      <c r="E132" s="590">
        <v>0.05</v>
      </c>
      <c r="F132" s="591">
        <v>0.1263</v>
      </c>
      <c r="G132" s="589">
        <v>0.1111</v>
      </c>
      <c r="H132" s="589">
        <v>0.1</v>
      </c>
      <c r="I132" s="590">
        <v>0.1</v>
      </c>
      <c r="J132" s="591">
        <v>0.115</v>
      </c>
      <c r="K132" s="590">
        <v>0.15</v>
      </c>
      <c r="L132" s="589">
        <v>4.2500000000000003E-2</v>
      </c>
      <c r="M132" s="592">
        <v>0.84</v>
      </c>
      <c r="N132" s="590">
        <v>0.1</v>
      </c>
      <c r="O132" s="589">
        <v>0</v>
      </c>
      <c r="P132" s="593">
        <v>7.7499999999999999E-2</v>
      </c>
      <c r="Q132" s="589">
        <v>0.105</v>
      </c>
      <c r="R132" s="590">
        <v>0.2</v>
      </c>
      <c r="S132" s="589">
        <v>2.2499999999999999E-2</v>
      </c>
      <c r="T132" s="594">
        <v>0.107</v>
      </c>
      <c r="U132" s="591">
        <v>6.2E-2</v>
      </c>
      <c r="V132" s="589">
        <v>0.16</v>
      </c>
      <c r="W132" s="589">
        <v>0.11</v>
      </c>
      <c r="X132" s="590">
        <v>0</v>
      </c>
      <c r="Y132" s="590">
        <v>0.1</v>
      </c>
      <c r="Z132" s="589">
        <v>0.2</v>
      </c>
      <c r="AA132" s="589">
        <v>0</v>
      </c>
      <c r="AB132" s="590">
        <v>0.2</v>
      </c>
      <c r="AC132" s="1231">
        <v>0.13500000000000001</v>
      </c>
      <c r="AD132" s="590">
        <v>0.12</v>
      </c>
      <c r="AE132" s="590">
        <v>0.2</v>
      </c>
      <c r="AF132" s="591">
        <v>0.12</v>
      </c>
      <c r="AG132" s="590">
        <v>0</v>
      </c>
      <c r="AH132" s="594">
        <v>8.5000000000000006E-3</v>
      </c>
      <c r="AI132" s="594">
        <v>1.0699999999999999E-2</v>
      </c>
      <c r="AJ132" s="594">
        <v>1.12E-2</v>
      </c>
      <c r="AK132" s="594">
        <v>8.9999999999999993E-3</v>
      </c>
      <c r="AL132" s="594">
        <v>1.1299999999999999E-2</v>
      </c>
      <c r="AM132" s="596"/>
      <c r="AN132" s="594">
        <v>1.01E-2</v>
      </c>
      <c r="AO132" s="594">
        <v>0.01</v>
      </c>
      <c r="AP132" s="594">
        <v>1.1599999999999999E-2</v>
      </c>
      <c r="AQ132" s="594">
        <v>7.9000000000000008E-3</v>
      </c>
      <c r="AR132" s="594">
        <v>1.2699999999999999E-2</v>
      </c>
      <c r="AS132" s="596"/>
      <c r="AT132" s="594">
        <v>6.6E-3</v>
      </c>
      <c r="AU132" s="594">
        <v>6.8999999999999999E-3</v>
      </c>
      <c r="AV132" s="594">
        <v>1.5699999999999999E-2</v>
      </c>
      <c r="AW132" s="594">
        <v>8.8000000000000005E-3</v>
      </c>
      <c r="AX132" s="594">
        <v>8.6E-3</v>
      </c>
      <c r="AY132" s="594">
        <v>3.9800000000000002E-2</v>
      </c>
      <c r="AZ132" s="594">
        <v>6.7000000000000002E-3</v>
      </c>
      <c r="BA132" s="594">
        <v>9.4000000000000004E-3</v>
      </c>
      <c r="BB132" s="594">
        <v>7.9000000000000008E-3</v>
      </c>
      <c r="BC132" s="594">
        <v>8.5000000000000006E-3</v>
      </c>
      <c r="BD132" s="594">
        <v>5.4000000000000003E-3</v>
      </c>
      <c r="BE132" s="594">
        <v>9.2999999999999992E-3</v>
      </c>
      <c r="BF132" s="594">
        <v>8.8999999999999999E-3</v>
      </c>
      <c r="BG132" s="594">
        <v>1.21E-2</v>
      </c>
      <c r="BH132" s="594">
        <v>8.9999999999999993E-3</v>
      </c>
      <c r="BI132" s="594">
        <v>8.0999999999999996E-3</v>
      </c>
      <c r="BJ132" s="594">
        <v>1.2999999999999999E-2</v>
      </c>
      <c r="BK132" s="594">
        <v>1.01E-2</v>
      </c>
      <c r="BL132" s="594">
        <v>1.5699999999999999E-2</v>
      </c>
      <c r="BM132" s="594">
        <v>2E-3</v>
      </c>
      <c r="BN132" s="594">
        <v>0.29599999999999999</v>
      </c>
      <c r="BO132" s="594">
        <v>0.06</v>
      </c>
      <c r="BP132" s="594">
        <v>0.312</v>
      </c>
      <c r="BQ132" s="594">
        <v>0.21199999999999999</v>
      </c>
      <c r="BR132" s="594">
        <v>0.18</v>
      </c>
      <c r="BS132" s="594">
        <v>0.1111</v>
      </c>
      <c r="BT132" s="594">
        <v>0.25</v>
      </c>
      <c r="BU132" s="594">
        <v>0.27</v>
      </c>
      <c r="BV132" s="594">
        <v>0.17</v>
      </c>
      <c r="BW132" s="594">
        <v>0.2</v>
      </c>
      <c r="BX132" s="594">
        <v>0.13</v>
      </c>
      <c r="BY132" s="594">
        <v>0.32900000000000001</v>
      </c>
      <c r="BZ132" s="594">
        <v>8.6999999999999994E-2</v>
      </c>
      <c r="CA132" s="594">
        <v>0</v>
      </c>
      <c r="CB132" s="593">
        <v>0.25</v>
      </c>
      <c r="CC132" s="594">
        <v>0.3</v>
      </c>
      <c r="CD132" s="594">
        <v>0.13</v>
      </c>
      <c r="CE132" s="594">
        <v>0.3</v>
      </c>
      <c r="CF132" s="594">
        <v>0.14599999999999999</v>
      </c>
      <c r="CG132" s="594">
        <v>0.22</v>
      </c>
      <c r="CH132" s="594">
        <v>0.27</v>
      </c>
      <c r="CI132" s="594">
        <v>0.25</v>
      </c>
      <c r="CJ132" s="594">
        <v>0</v>
      </c>
      <c r="CK132" s="594">
        <v>5.2499999999999998E-2</v>
      </c>
      <c r="CL132" s="594">
        <v>0.107</v>
      </c>
      <c r="CM132" s="594">
        <v>0.188</v>
      </c>
      <c r="CN132" s="594">
        <v>0.25</v>
      </c>
      <c r="CO132" s="594">
        <v>0.17219999999999999</v>
      </c>
      <c r="CP132" s="594">
        <v>0.23</v>
      </c>
      <c r="CQ132" s="594">
        <v>0.35</v>
      </c>
      <c r="CR132" s="594">
        <v>0.35</v>
      </c>
      <c r="CS132" s="597"/>
      <c r="CT132" s="591">
        <v>2.9000000000000001E-2</v>
      </c>
      <c r="CU132" s="1233">
        <v>1.5610000000000001E-2</v>
      </c>
      <c r="CV132" s="591">
        <v>0</v>
      </c>
      <c r="CW132" s="915">
        <v>1.1380000000000001E-2</v>
      </c>
      <c r="CX132" s="594">
        <v>0.04</v>
      </c>
      <c r="CY132" s="1234"/>
      <c r="CZ132" s="591">
        <v>2.5999999999999999E-2</v>
      </c>
      <c r="DA132" s="591">
        <v>1.7999999999999999E-2</v>
      </c>
      <c r="DB132" s="594">
        <v>0.02</v>
      </c>
      <c r="DC132" s="591">
        <v>1.7000000000000001E-2</v>
      </c>
      <c r="DD132" s="591">
        <v>2.5000000000000001E-2</v>
      </c>
      <c r="DE132" s="594">
        <v>3.3000000000000002E-2</v>
      </c>
      <c r="DF132" s="594">
        <v>1.7000000000000001E-2</v>
      </c>
      <c r="DG132" s="594">
        <v>3.5999999999999997E-2</v>
      </c>
      <c r="DH132" s="594">
        <v>3.5000000000000003E-2</v>
      </c>
      <c r="DI132" s="915">
        <v>1.5207000000000002E-2</v>
      </c>
      <c r="DJ132" s="1234"/>
      <c r="DK132" s="594">
        <v>1.4E-2</v>
      </c>
      <c r="DL132" s="594">
        <v>1.4999999999999999E-2</v>
      </c>
      <c r="DM132" s="594">
        <v>2.1999999999999999E-2</v>
      </c>
      <c r="DN132" s="915">
        <v>1.2286E-2</v>
      </c>
      <c r="DO132" s="594">
        <v>1.7000000000000001E-2</v>
      </c>
      <c r="DP132" s="591">
        <v>0.01</v>
      </c>
      <c r="DQ132" s="1234"/>
      <c r="DR132" s="591"/>
      <c r="DS132" s="1234"/>
      <c r="DT132" s="594">
        <v>1.7000000000000001E-2</v>
      </c>
      <c r="DU132" s="594">
        <v>1.6E-2</v>
      </c>
      <c r="DV132" s="594">
        <v>2.3E-2</v>
      </c>
      <c r="DW132" s="594">
        <v>3.7999999999999999E-2</v>
      </c>
      <c r="DX132" s="594">
        <v>4.3999999999999997E-2</v>
      </c>
      <c r="DY132" s="594">
        <v>1.7000000000000001E-2</v>
      </c>
      <c r="DZ132" s="916"/>
      <c r="EA132" s="1439"/>
    </row>
    <row r="133" spans="1:131" x14ac:dyDescent="0.3">
      <c r="A133" s="935">
        <v>43040</v>
      </c>
      <c r="B133" s="589">
        <v>0.13</v>
      </c>
      <c r="C133" s="590">
        <v>0.06</v>
      </c>
      <c r="D133" s="590">
        <v>0.04</v>
      </c>
      <c r="E133" s="590">
        <v>0.05</v>
      </c>
      <c r="F133" s="591">
        <v>0.1263</v>
      </c>
      <c r="G133" s="589">
        <v>0.1111</v>
      </c>
      <c r="H133" s="589">
        <v>0.1</v>
      </c>
      <c r="I133" s="590">
        <v>0.1</v>
      </c>
      <c r="J133" s="591">
        <v>0.115</v>
      </c>
      <c r="K133" s="590">
        <v>0.15</v>
      </c>
      <c r="L133" s="589">
        <v>4.2500000000000003E-2</v>
      </c>
      <c r="M133" s="592">
        <v>0.84</v>
      </c>
      <c r="N133" s="590">
        <v>0.1</v>
      </c>
      <c r="O133" s="589">
        <v>0</v>
      </c>
      <c r="P133" s="593">
        <v>7.7499999999999999E-2</v>
      </c>
      <c r="Q133" s="589">
        <v>0.105</v>
      </c>
      <c r="R133" s="590">
        <v>0.2</v>
      </c>
      <c r="S133" s="589">
        <v>2.2499999999999999E-2</v>
      </c>
      <c r="T133" s="594">
        <v>0.107</v>
      </c>
      <c r="U133" s="591">
        <v>6.2E-2</v>
      </c>
      <c r="V133" s="589">
        <v>0.16</v>
      </c>
      <c r="W133" s="589">
        <v>0.11</v>
      </c>
      <c r="X133" s="590">
        <v>0</v>
      </c>
      <c r="Y133" s="590">
        <v>0.1</v>
      </c>
      <c r="Z133" s="589">
        <v>0.2</v>
      </c>
      <c r="AA133" s="589">
        <v>0</v>
      </c>
      <c r="AB133" s="590">
        <v>0.2</v>
      </c>
      <c r="AC133" s="1231">
        <v>0.13500000000000001</v>
      </c>
      <c r="AD133" s="590">
        <v>0.12</v>
      </c>
      <c r="AE133" s="590">
        <v>0.2</v>
      </c>
      <c r="AF133" s="591">
        <v>0.12</v>
      </c>
      <c r="AG133" s="590">
        <v>0</v>
      </c>
      <c r="AH133" s="594">
        <v>8.5000000000000006E-3</v>
      </c>
      <c r="AI133" s="594">
        <v>1.0699999999999999E-2</v>
      </c>
      <c r="AJ133" s="594">
        <v>1.12E-2</v>
      </c>
      <c r="AK133" s="594">
        <v>8.9999999999999993E-3</v>
      </c>
      <c r="AL133" s="594">
        <v>1.1299999999999999E-2</v>
      </c>
      <c r="AM133" s="596"/>
      <c r="AN133" s="594">
        <v>1.01E-2</v>
      </c>
      <c r="AO133" s="594">
        <v>0.01</v>
      </c>
      <c r="AP133" s="594">
        <v>1.1599999999999999E-2</v>
      </c>
      <c r="AQ133" s="594">
        <v>7.9000000000000008E-3</v>
      </c>
      <c r="AR133" s="594">
        <v>1.2699999999999999E-2</v>
      </c>
      <c r="AS133" s="596"/>
      <c r="AT133" s="594">
        <v>6.6E-3</v>
      </c>
      <c r="AU133" s="594">
        <v>6.8999999999999999E-3</v>
      </c>
      <c r="AV133" s="594">
        <v>1.5699999999999999E-2</v>
      </c>
      <c r="AW133" s="594">
        <v>8.8000000000000005E-3</v>
      </c>
      <c r="AX133" s="594">
        <v>8.6E-3</v>
      </c>
      <c r="AY133" s="594">
        <v>3.9800000000000002E-2</v>
      </c>
      <c r="AZ133" s="594">
        <v>6.7000000000000002E-3</v>
      </c>
      <c r="BA133" s="594">
        <v>9.4000000000000004E-3</v>
      </c>
      <c r="BB133" s="594">
        <v>7.9000000000000008E-3</v>
      </c>
      <c r="BC133" s="594">
        <v>8.5000000000000006E-3</v>
      </c>
      <c r="BD133" s="594">
        <v>5.4000000000000003E-3</v>
      </c>
      <c r="BE133" s="594">
        <v>9.2999999999999992E-3</v>
      </c>
      <c r="BF133" s="594">
        <v>8.8999999999999999E-3</v>
      </c>
      <c r="BG133" s="594">
        <v>1.21E-2</v>
      </c>
      <c r="BH133" s="594">
        <v>8.9999999999999993E-3</v>
      </c>
      <c r="BI133" s="594">
        <v>8.0999999999999996E-3</v>
      </c>
      <c r="BJ133" s="594">
        <v>1.2999999999999999E-2</v>
      </c>
      <c r="BK133" s="594">
        <v>1.01E-2</v>
      </c>
      <c r="BL133" s="594">
        <v>1.5699999999999999E-2</v>
      </c>
      <c r="BM133" s="594">
        <v>2E-3</v>
      </c>
      <c r="BN133" s="594">
        <v>0.29599999999999999</v>
      </c>
      <c r="BO133" s="594">
        <v>0.06</v>
      </c>
      <c r="BP133" s="594">
        <v>0.312</v>
      </c>
      <c r="BQ133" s="594">
        <v>0.21199999999999999</v>
      </c>
      <c r="BR133" s="594">
        <v>0.18</v>
      </c>
      <c r="BS133" s="594">
        <v>0.1111</v>
      </c>
      <c r="BT133" s="594">
        <v>0.25</v>
      </c>
      <c r="BU133" s="594">
        <v>0.27</v>
      </c>
      <c r="BV133" s="594">
        <v>0.17</v>
      </c>
      <c r="BW133" s="594">
        <v>0.2</v>
      </c>
      <c r="BX133" s="594">
        <v>0.13</v>
      </c>
      <c r="BY133" s="594">
        <v>0.32900000000000001</v>
      </c>
      <c r="BZ133" s="594">
        <v>8.6999999999999994E-2</v>
      </c>
      <c r="CA133" s="594">
        <v>0</v>
      </c>
      <c r="CB133" s="593">
        <v>0.25</v>
      </c>
      <c r="CC133" s="594">
        <v>0.3</v>
      </c>
      <c r="CD133" s="594">
        <v>0.13</v>
      </c>
      <c r="CE133" s="594">
        <v>0.3</v>
      </c>
      <c r="CF133" s="594">
        <v>0.14599999999999999</v>
      </c>
      <c r="CG133" s="594">
        <v>0.22</v>
      </c>
      <c r="CH133" s="594">
        <v>0.27</v>
      </c>
      <c r="CI133" s="594">
        <v>0.25</v>
      </c>
      <c r="CJ133" s="594">
        <v>0</v>
      </c>
      <c r="CK133" s="594">
        <v>5.2499999999999998E-2</v>
      </c>
      <c r="CL133" s="594">
        <v>0.107</v>
      </c>
      <c r="CM133" s="594">
        <v>0.188</v>
      </c>
      <c r="CN133" s="594">
        <v>0.25</v>
      </c>
      <c r="CO133" s="594">
        <v>0.17219999999999999</v>
      </c>
      <c r="CP133" s="594">
        <v>0.23</v>
      </c>
      <c r="CQ133" s="594">
        <v>0.35</v>
      </c>
      <c r="CR133" s="594">
        <v>0.35</v>
      </c>
      <c r="CS133" s="597"/>
      <c r="CT133" s="591">
        <v>2.9000000000000001E-2</v>
      </c>
      <c r="CU133" s="1233">
        <v>1.5610000000000001E-2</v>
      </c>
      <c r="CV133" s="591">
        <v>0</v>
      </c>
      <c r="CW133" s="915">
        <v>1.1380000000000001E-2</v>
      </c>
      <c r="CX133" s="594">
        <v>0.04</v>
      </c>
      <c r="CY133" s="1234"/>
      <c r="CZ133" s="591">
        <v>2.5999999999999999E-2</v>
      </c>
      <c r="DA133" s="591">
        <v>1.7999999999999999E-2</v>
      </c>
      <c r="DB133" s="594">
        <v>0.02</v>
      </c>
      <c r="DC133" s="591">
        <v>1.7000000000000001E-2</v>
      </c>
      <c r="DD133" s="591">
        <v>2.5000000000000001E-2</v>
      </c>
      <c r="DE133" s="594">
        <v>3.3000000000000002E-2</v>
      </c>
      <c r="DF133" s="594">
        <v>1.7000000000000001E-2</v>
      </c>
      <c r="DG133" s="594">
        <v>3.5999999999999997E-2</v>
      </c>
      <c r="DH133" s="594">
        <v>3.5000000000000003E-2</v>
      </c>
      <c r="DI133" s="915">
        <v>1.5207000000000002E-2</v>
      </c>
      <c r="DJ133" s="1234"/>
      <c r="DK133" s="594">
        <v>1.4E-2</v>
      </c>
      <c r="DL133" s="594">
        <v>1.4999999999999999E-2</v>
      </c>
      <c r="DM133" s="594">
        <v>2.1999999999999999E-2</v>
      </c>
      <c r="DN133" s="915">
        <v>1.2286E-2</v>
      </c>
      <c r="DO133" s="594">
        <v>1.7000000000000001E-2</v>
      </c>
      <c r="DP133" s="591">
        <v>0.01</v>
      </c>
      <c r="DQ133" s="1234"/>
      <c r="DR133" s="591"/>
      <c r="DS133" s="1234"/>
      <c r="DT133" s="594">
        <v>1.7000000000000001E-2</v>
      </c>
      <c r="DU133" s="594">
        <v>1.6E-2</v>
      </c>
      <c r="DV133" s="594">
        <v>2.3E-2</v>
      </c>
      <c r="DW133" s="594">
        <v>3.7999999999999999E-2</v>
      </c>
      <c r="DX133" s="594">
        <v>4.3999999999999997E-2</v>
      </c>
      <c r="DY133" s="594">
        <v>1.7000000000000001E-2</v>
      </c>
      <c r="DZ133" s="916"/>
      <c r="EA133" s="1439"/>
    </row>
    <row r="134" spans="1:131" x14ac:dyDescent="0.3">
      <c r="A134" s="935">
        <v>43070</v>
      </c>
      <c r="B134" s="589">
        <v>0.13</v>
      </c>
      <c r="C134" s="590">
        <v>0.06</v>
      </c>
      <c r="D134" s="590">
        <v>0.04</v>
      </c>
      <c r="E134" s="590">
        <v>0.05</v>
      </c>
      <c r="F134" s="591">
        <v>0.1263</v>
      </c>
      <c r="G134" s="589">
        <v>0.1111</v>
      </c>
      <c r="H134" s="589">
        <v>0.1</v>
      </c>
      <c r="I134" s="590">
        <v>0.1</v>
      </c>
      <c r="J134" s="591">
        <v>0.115</v>
      </c>
      <c r="K134" s="590">
        <v>0.15</v>
      </c>
      <c r="L134" s="589">
        <v>4.2500000000000003E-2</v>
      </c>
      <c r="M134" s="592">
        <v>0.84</v>
      </c>
      <c r="N134" s="590">
        <v>0.1</v>
      </c>
      <c r="O134" s="589">
        <v>0</v>
      </c>
      <c r="P134" s="593">
        <v>7.7499999999999999E-2</v>
      </c>
      <c r="Q134" s="589">
        <v>0.105</v>
      </c>
      <c r="R134" s="590">
        <v>0.2</v>
      </c>
      <c r="S134" s="589">
        <v>2.2499999999999999E-2</v>
      </c>
      <c r="T134" s="594">
        <v>0.107</v>
      </c>
      <c r="U134" s="591">
        <v>6.2E-2</v>
      </c>
      <c r="V134" s="589">
        <v>0.16</v>
      </c>
      <c r="W134" s="589">
        <v>0.11</v>
      </c>
      <c r="X134" s="590">
        <v>0</v>
      </c>
      <c r="Y134" s="590">
        <v>0.1</v>
      </c>
      <c r="Z134" s="589">
        <v>0.2</v>
      </c>
      <c r="AA134" s="589">
        <v>0</v>
      </c>
      <c r="AB134" s="590">
        <v>0.2</v>
      </c>
      <c r="AC134" s="1231">
        <v>0.13500000000000001</v>
      </c>
      <c r="AD134" s="590">
        <v>0.12</v>
      </c>
      <c r="AE134" s="590">
        <v>0.2</v>
      </c>
      <c r="AF134" s="591">
        <v>0.12</v>
      </c>
      <c r="AG134" s="590">
        <v>0</v>
      </c>
      <c r="AH134" s="594">
        <v>8.5000000000000006E-3</v>
      </c>
      <c r="AI134" s="594">
        <v>1.0699999999999999E-2</v>
      </c>
      <c r="AJ134" s="594">
        <v>1.12E-2</v>
      </c>
      <c r="AK134" s="594">
        <v>8.9999999999999993E-3</v>
      </c>
      <c r="AL134" s="594">
        <v>1.1299999999999999E-2</v>
      </c>
      <c r="AM134" s="596"/>
      <c r="AN134" s="594">
        <v>1.01E-2</v>
      </c>
      <c r="AO134" s="594">
        <v>0.01</v>
      </c>
      <c r="AP134" s="594">
        <v>1.1599999999999999E-2</v>
      </c>
      <c r="AQ134" s="594">
        <v>7.9000000000000008E-3</v>
      </c>
      <c r="AR134" s="594">
        <v>1.2699999999999999E-2</v>
      </c>
      <c r="AS134" s="596"/>
      <c r="AT134" s="594">
        <v>6.6E-3</v>
      </c>
      <c r="AU134" s="594">
        <v>6.8999999999999999E-3</v>
      </c>
      <c r="AV134" s="594">
        <v>1.5699999999999999E-2</v>
      </c>
      <c r="AW134" s="594">
        <v>8.8000000000000005E-3</v>
      </c>
      <c r="AX134" s="594">
        <v>8.6E-3</v>
      </c>
      <c r="AY134" s="594">
        <v>3.9800000000000002E-2</v>
      </c>
      <c r="AZ134" s="594">
        <v>6.7000000000000002E-3</v>
      </c>
      <c r="BA134" s="594">
        <v>9.4000000000000004E-3</v>
      </c>
      <c r="BB134" s="594">
        <v>7.9000000000000008E-3</v>
      </c>
      <c r="BC134" s="594">
        <v>8.5000000000000006E-3</v>
      </c>
      <c r="BD134" s="594">
        <v>5.4000000000000003E-3</v>
      </c>
      <c r="BE134" s="594">
        <v>9.2999999999999992E-3</v>
      </c>
      <c r="BF134" s="594">
        <v>8.8999999999999999E-3</v>
      </c>
      <c r="BG134" s="594">
        <v>1.21E-2</v>
      </c>
      <c r="BH134" s="594">
        <v>8.9999999999999993E-3</v>
      </c>
      <c r="BI134" s="594">
        <v>8.0999999999999996E-3</v>
      </c>
      <c r="BJ134" s="594">
        <v>1.2999999999999999E-2</v>
      </c>
      <c r="BK134" s="594">
        <v>1.01E-2</v>
      </c>
      <c r="BL134" s="594">
        <v>1.5699999999999999E-2</v>
      </c>
      <c r="BM134" s="594">
        <v>2E-3</v>
      </c>
      <c r="BN134" s="594">
        <v>0.29599999999999999</v>
      </c>
      <c r="BO134" s="594">
        <v>0.06</v>
      </c>
      <c r="BP134" s="594">
        <v>0.312</v>
      </c>
      <c r="BQ134" s="594">
        <v>0.21199999999999999</v>
      </c>
      <c r="BR134" s="594">
        <v>0.18</v>
      </c>
      <c r="BS134" s="594">
        <v>0.1111</v>
      </c>
      <c r="BT134" s="594">
        <v>0.25</v>
      </c>
      <c r="BU134" s="594">
        <v>0.27</v>
      </c>
      <c r="BV134" s="594">
        <v>0.17</v>
      </c>
      <c r="BW134" s="594">
        <v>0.2</v>
      </c>
      <c r="BX134" s="594">
        <v>0.13</v>
      </c>
      <c r="BY134" s="594">
        <v>0.32900000000000001</v>
      </c>
      <c r="BZ134" s="594">
        <v>8.6999999999999994E-2</v>
      </c>
      <c r="CA134" s="594">
        <v>0</v>
      </c>
      <c r="CB134" s="593">
        <v>0.25</v>
      </c>
      <c r="CC134" s="594">
        <v>0.3</v>
      </c>
      <c r="CD134" s="594">
        <v>0.13</v>
      </c>
      <c r="CE134" s="594">
        <v>0.3</v>
      </c>
      <c r="CF134" s="594">
        <v>0.14599999999999999</v>
      </c>
      <c r="CG134" s="594">
        <v>0.22</v>
      </c>
      <c r="CH134" s="594">
        <v>0.27</v>
      </c>
      <c r="CI134" s="594">
        <v>0.25</v>
      </c>
      <c r="CJ134" s="594">
        <v>0</v>
      </c>
      <c r="CK134" s="594">
        <v>5.2499999999999998E-2</v>
      </c>
      <c r="CL134" s="594">
        <v>0.107</v>
      </c>
      <c r="CM134" s="594">
        <v>0.188</v>
      </c>
      <c r="CN134" s="594">
        <v>0.25</v>
      </c>
      <c r="CO134" s="594">
        <v>0.17219999999999999</v>
      </c>
      <c r="CP134" s="594">
        <v>0.23</v>
      </c>
      <c r="CQ134" s="594">
        <v>0.35</v>
      </c>
      <c r="CR134" s="594">
        <v>0.35</v>
      </c>
      <c r="CS134" s="597"/>
      <c r="CT134" s="591">
        <v>2.9000000000000001E-2</v>
      </c>
      <c r="CU134" s="1233">
        <v>1.5610000000000001E-2</v>
      </c>
      <c r="CV134" s="591">
        <v>0</v>
      </c>
      <c r="CW134" s="915">
        <v>1.1380000000000001E-2</v>
      </c>
      <c r="CX134" s="594">
        <v>0.04</v>
      </c>
      <c r="CY134" s="1234"/>
      <c r="CZ134" s="591">
        <v>2.5999999999999999E-2</v>
      </c>
      <c r="DA134" s="591">
        <v>1.7999999999999999E-2</v>
      </c>
      <c r="DB134" s="594">
        <v>0.02</v>
      </c>
      <c r="DC134" s="591">
        <v>1.7000000000000001E-2</v>
      </c>
      <c r="DD134" s="591">
        <v>2.5000000000000001E-2</v>
      </c>
      <c r="DE134" s="594">
        <v>3.3000000000000002E-2</v>
      </c>
      <c r="DF134" s="594">
        <v>1.7000000000000001E-2</v>
      </c>
      <c r="DG134" s="594">
        <v>3.5999999999999997E-2</v>
      </c>
      <c r="DH134" s="594">
        <v>3.5000000000000003E-2</v>
      </c>
      <c r="DI134" s="915">
        <v>1.5207000000000002E-2</v>
      </c>
      <c r="DJ134" s="1234"/>
      <c r="DK134" s="594">
        <v>1.4E-2</v>
      </c>
      <c r="DL134" s="594">
        <v>1.4999999999999999E-2</v>
      </c>
      <c r="DM134" s="594">
        <v>2.1999999999999999E-2</v>
      </c>
      <c r="DN134" s="915">
        <v>1.2286E-2</v>
      </c>
      <c r="DO134" s="594">
        <v>1.7000000000000001E-2</v>
      </c>
      <c r="DP134" s="591">
        <v>0.01</v>
      </c>
      <c r="DQ134" s="1234"/>
      <c r="DR134" s="591"/>
      <c r="DS134" s="1234"/>
      <c r="DT134" s="594">
        <v>1.7000000000000001E-2</v>
      </c>
      <c r="DU134" s="594">
        <v>1.6E-2</v>
      </c>
      <c r="DV134" s="594">
        <v>2.3E-2</v>
      </c>
      <c r="DW134" s="594">
        <v>3.7999999999999999E-2</v>
      </c>
      <c r="DX134" s="594">
        <v>4.3999999999999997E-2</v>
      </c>
      <c r="DY134" s="594">
        <v>1.7000000000000001E-2</v>
      </c>
      <c r="DZ134" s="916"/>
      <c r="EA134" s="1439"/>
    </row>
    <row r="135" spans="1:131" x14ac:dyDescent="0.3">
      <c r="A135" s="935">
        <v>43101</v>
      </c>
      <c r="B135" s="589">
        <v>0.13</v>
      </c>
      <c r="C135" s="590">
        <v>0.06</v>
      </c>
      <c r="D135" s="590">
        <v>0.04</v>
      </c>
      <c r="E135" s="590">
        <v>0.05</v>
      </c>
      <c r="F135" s="591">
        <v>0.1263</v>
      </c>
      <c r="G135" s="589">
        <v>0.1111</v>
      </c>
      <c r="H135" s="589">
        <v>0.1</v>
      </c>
      <c r="I135" s="590">
        <v>0.1</v>
      </c>
      <c r="J135" s="591">
        <v>0.115</v>
      </c>
      <c r="K135" s="590">
        <v>0.15</v>
      </c>
      <c r="L135" s="589">
        <v>4.2500000000000003E-2</v>
      </c>
      <c r="M135" s="592">
        <v>0.81</v>
      </c>
      <c r="N135" s="590">
        <v>0.1</v>
      </c>
      <c r="O135" s="589">
        <v>0</v>
      </c>
      <c r="P135" s="593">
        <v>7.7499999999999999E-2</v>
      </c>
      <c r="Q135" s="1287">
        <v>0.115</v>
      </c>
      <c r="R135" s="590">
        <v>0.2</v>
      </c>
      <c r="S135" s="589">
        <v>2.2499999999999999E-2</v>
      </c>
      <c r="T135" s="594">
        <v>0.107</v>
      </c>
      <c r="U135" s="591">
        <v>6.2E-2</v>
      </c>
      <c r="V135" s="589">
        <v>0.16</v>
      </c>
      <c r="W135" s="589">
        <v>0.11</v>
      </c>
      <c r="X135" s="590">
        <v>0</v>
      </c>
      <c r="Y135" s="590">
        <v>0.1</v>
      </c>
      <c r="Z135" s="589">
        <v>0.2</v>
      </c>
      <c r="AA135" s="589">
        <v>0</v>
      </c>
      <c r="AB135" s="590">
        <v>0.2</v>
      </c>
      <c r="AC135" s="1231">
        <v>0.13500000000000001</v>
      </c>
      <c r="AD135" s="590">
        <v>0.12</v>
      </c>
      <c r="AE135" s="590">
        <v>0.2</v>
      </c>
      <c r="AF135" s="591">
        <v>0.12</v>
      </c>
      <c r="AG135" s="590">
        <v>0</v>
      </c>
      <c r="AH135" s="594">
        <v>8.5000000000000006E-3</v>
      </c>
      <c r="AI135" s="594">
        <v>1.0699999999999999E-2</v>
      </c>
      <c r="AJ135" s="594">
        <v>1.12E-2</v>
      </c>
      <c r="AK135" s="594">
        <v>8.9999999999999993E-3</v>
      </c>
      <c r="AL135" s="594">
        <v>1.1299999999999999E-2</v>
      </c>
      <c r="AM135" s="596"/>
      <c r="AN135" s="594">
        <v>1.01E-2</v>
      </c>
      <c r="AO135" s="594">
        <v>0.01</v>
      </c>
      <c r="AP135" s="594">
        <v>1.1599999999999999E-2</v>
      </c>
      <c r="AQ135" s="594">
        <v>7.9000000000000008E-3</v>
      </c>
      <c r="AR135" s="594">
        <v>1.2699999999999999E-2</v>
      </c>
      <c r="AS135" s="596"/>
      <c r="AT135" s="594">
        <v>6.6E-3</v>
      </c>
      <c r="AU135" s="594">
        <v>6.8999999999999999E-3</v>
      </c>
      <c r="AV135" s="594">
        <v>1.5699999999999999E-2</v>
      </c>
      <c r="AW135" s="594">
        <v>8.8000000000000005E-3</v>
      </c>
      <c r="AX135" s="594">
        <v>8.6E-3</v>
      </c>
      <c r="AY135" s="594">
        <v>3.9800000000000002E-2</v>
      </c>
      <c r="AZ135" s="594">
        <v>6.7000000000000002E-3</v>
      </c>
      <c r="BA135" s="594">
        <v>9.4000000000000004E-3</v>
      </c>
      <c r="BB135" s="594">
        <v>7.9000000000000008E-3</v>
      </c>
      <c r="BC135" s="594">
        <v>8.5000000000000006E-3</v>
      </c>
      <c r="BD135" s="594">
        <v>5.4000000000000003E-3</v>
      </c>
      <c r="BE135" s="594">
        <v>9.2999999999999992E-3</v>
      </c>
      <c r="BF135" s="594">
        <v>8.8999999999999999E-3</v>
      </c>
      <c r="BG135" s="594">
        <v>1.21E-2</v>
      </c>
      <c r="BH135" s="594">
        <v>8.9999999999999993E-3</v>
      </c>
      <c r="BI135" s="594">
        <v>8.0999999999999996E-3</v>
      </c>
      <c r="BJ135" s="594">
        <v>1.2999999999999999E-2</v>
      </c>
      <c r="BK135" s="594">
        <v>1.01E-2</v>
      </c>
      <c r="BL135" s="594">
        <v>1.5699999999999999E-2</v>
      </c>
      <c r="BM135" s="594">
        <v>2E-3</v>
      </c>
      <c r="BN135" s="594">
        <v>0.29599999999999999</v>
      </c>
      <c r="BO135" s="594">
        <v>0.06</v>
      </c>
      <c r="BP135" s="594">
        <v>0.312</v>
      </c>
      <c r="BQ135" s="594">
        <v>0.21199999999999999</v>
      </c>
      <c r="BR135" s="594">
        <v>0.18</v>
      </c>
      <c r="BS135" s="594">
        <v>0.1111</v>
      </c>
      <c r="BT135" s="594">
        <v>0.25</v>
      </c>
      <c r="BU135" s="594">
        <v>0.27</v>
      </c>
      <c r="BV135" s="594">
        <v>0.17</v>
      </c>
      <c r="BW135" s="594">
        <v>0.2</v>
      </c>
      <c r="BX135" s="594">
        <v>0.13</v>
      </c>
      <c r="BY135" s="594">
        <v>0.32900000000000001</v>
      </c>
      <c r="BZ135" s="594">
        <v>8.6999999999999994E-2</v>
      </c>
      <c r="CA135" s="594">
        <v>0</v>
      </c>
      <c r="CB135" s="593">
        <v>0.25</v>
      </c>
      <c r="CC135" s="594">
        <v>0.3</v>
      </c>
      <c r="CD135" s="594">
        <v>0.13</v>
      </c>
      <c r="CE135" s="594">
        <v>0.3</v>
      </c>
      <c r="CF135" s="594">
        <v>0.14599999999999999</v>
      </c>
      <c r="CG135" s="594">
        <v>0.22</v>
      </c>
      <c r="CH135" s="594">
        <v>0.27</v>
      </c>
      <c r="CI135" s="594">
        <v>0.25</v>
      </c>
      <c r="CJ135" s="594">
        <v>0</v>
      </c>
      <c r="CK135" s="594">
        <v>5.2499999999999998E-2</v>
      </c>
      <c r="CL135" s="594">
        <v>0.107</v>
      </c>
      <c r="CM135" s="594">
        <v>0.188</v>
      </c>
      <c r="CN135" s="594">
        <v>0.25</v>
      </c>
      <c r="CO135" s="594">
        <v>0.17219999999999999</v>
      </c>
      <c r="CP135" s="594">
        <v>0.23</v>
      </c>
      <c r="CQ135" s="594">
        <v>0.35</v>
      </c>
      <c r="CR135" s="594">
        <v>0.35</v>
      </c>
      <c r="CS135" s="597"/>
      <c r="CT135" s="591">
        <v>2.9000000000000001E-2</v>
      </c>
      <c r="CU135" s="1233">
        <v>1.5610000000000001E-2</v>
      </c>
      <c r="CV135" s="591">
        <v>0</v>
      </c>
      <c r="CW135" s="915">
        <v>1.1380000000000001E-2</v>
      </c>
      <c r="CX135" s="594">
        <v>0.04</v>
      </c>
      <c r="CY135" s="1234"/>
      <c r="CZ135" s="591">
        <v>2.5999999999999999E-2</v>
      </c>
      <c r="DA135" s="591">
        <v>1.7999999999999999E-2</v>
      </c>
      <c r="DB135" s="594">
        <v>0.02</v>
      </c>
      <c r="DC135" s="591">
        <v>1.7000000000000001E-2</v>
      </c>
      <c r="DD135" s="591">
        <v>2.5000000000000001E-2</v>
      </c>
      <c r="DE135" s="594">
        <v>3.3000000000000002E-2</v>
      </c>
      <c r="DF135" s="594">
        <v>1.7000000000000001E-2</v>
      </c>
      <c r="DG135" s="594">
        <v>3.5999999999999997E-2</v>
      </c>
      <c r="DH135" s="594">
        <v>3.5000000000000003E-2</v>
      </c>
      <c r="DI135" s="915">
        <v>1.5207000000000002E-2</v>
      </c>
      <c r="DJ135" s="1234"/>
      <c r="DK135" s="594">
        <v>1.4E-2</v>
      </c>
      <c r="DL135" s="594">
        <v>1.4999999999999999E-2</v>
      </c>
      <c r="DM135" s="594">
        <v>2.1999999999999999E-2</v>
      </c>
      <c r="DN135" s="915">
        <v>1.2286E-2</v>
      </c>
      <c r="DO135" s="594">
        <v>1.7000000000000001E-2</v>
      </c>
      <c r="DP135" s="591">
        <v>0.01</v>
      </c>
      <c r="DQ135" s="1234"/>
      <c r="DR135" s="591"/>
      <c r="DS135" s="1234"/>
      <c r="DT135" s="594">
        <v>1.7000000000000001E-2</v>
      </c>
      <c r="DU135" s="594">
        <v>1.6E-2</v>
      </c>
      <c r="DV135" s="594">
        <v>2.3E-2</v>
      </c>
      <c r="DW135" s="594">
        <v>3.7999999999999999E-2</v>
      </c>
      <c r="DX135" s="594">
        <v>4.3999999999999997E-2</v>
      </c>
      <c r="DY135" s="594">
        <v>1.7000000000000001E-2</v>
      </c>
      <c r="DZ135" s="916"/>
      <c r="EA135" s="1439"/>
    </row>
    <row r="136" spans="1:131" x14ac:dyDescent="0.3">
      <c r="A136" s="935">
        <v>43132</v>
      </c>
      <c r="B136" s="589">
        <v>0.13</v>
      </c>
      <c r="C136" s="590">
        <v>0.06</v>
      </c>
      <c r="D136" s="590">
        <v>0.04</v>
      </c>
      <c r="E136" s="590">
        <v>0.05</v>
      </c>
      <c r="F136" s="591">
        <v>0.1263</v>
      </c>
      <c r="G136" s="589">
        <v>0.1111</v>
      </c>
      <c r="H136" s="589">
        <v>0.1</v>
      </c>
      <c r="I136" s="590">
        <v>0.1</v>
      </c>
      <c r="J136" s="591">
        <v>0.115</v>
      </c>
      <c r="K136" s="590">
        <v>0.15</v>
      </c>
      <c r="L136" s="589">
        <v>4.2500000000000003E-2</v>
      </c>
      <c r="M136" s="592">
        <v>0.81</v>
      </c>
      <c r="N136" s="590">
        <v>0.1</v>
      </c>
      <c r="O136" s="589">
        <v>0</v>
      </c>
      <c r="P136" s="593">
        <v>7.7499999999999999E-2</v>
      </c>
      <c r="Q136" s="1287">
        <v>0.115</v>
      </c>
      <c r="R136" s="590">
        <v>0.2</v>
      </c>
      <c r="S136" s="589">
        <v>2.2499999999999999E-2</v>
      </c>
      <c r="T136" s="594">
        <v>0.107</v>
      </c>
      <c r="U136" s="591">
        <v>6.2E-2</v>
      </c>
      <c r="V136" s="589">
        <v>0.16</v>
      </c>
      <c r="W136" s="589">
        <v>0.11</v>
      </c>
      <c r="X136" s="590">
        <v>0</v>
      </c>
      <c r="Y136" s="590">
        <v>0.1</v>
      </c>
      <c r="Z136" s="589">
        <v>0.2</v>
      </c>
      <c r="AA136" s="589">
        <v>0</v>
      </c>
      <c r="AB136" s="590">
        <v>0.2</v>
      </c>
      <c r="AC136" s="1231">
        <v>0.13500000000000001</v>
      </c>
      <c r="AD136" s="590">
        <v>0.12</v>
      </c>
      <c r="AE136" s="590">
        <v>0.2</v>
      </c>
      <c r="AF136" s="591">
        <v>0.12</v>
      </c>
      <c r="AG136" s="590">
        <v>0</v>
      </c>
      <c r="AH136" s="594">
        <v>8.5000000000000006E-3</v>
      </c>
      <c r="AI136" s="594">
        <v>1.0699999999999999E-2</v>
      </c>
      <c r="AJ136" s="594">
        <v>1.12E-2</v>
      </c>
      <c r="AK136" s="594">
        <v>8.9999999999999993E-3</v>
      </c>
      <c r="AL136" s="594">
        <v>1.1299999999999999E-2</v>
      </c>
      <c r="AM136" s="596"/>
      <c r="AN136" s="594">
        <v>1.01E-2</v>
      </c>
      <c r="AO136" s="594">
        <v>0.01</v>
      </c>
      <c r="AP136" s="594">
        <v>1.1599999999999999E-2</v>
      </c>
      <c r="AQ136" s="594">
        <v>7.9000000000000008E-3</v>
      </c>
      <c r="AR136" s="594">
        <v>1.2699999999999999E-2</v>
      </c>
      <c r="AS136" s="596"/>
      <c r="AT136" s="594">
        <v>6.6E-3</v>
      </c>
      <c r="AU136" s="594">
        <v>6.8999999999999999E-3</v>
      </c>
      <c r="AV136" s="594">
        <v>1.5699999999999999E-2</v>
      </c>
      <c r="AW136" s="594">
        <v>8.8000000000000005E-3</v>
      </c>
      <c r="AX136" s="594">
        <v>8.6E-3</v>
      </c>
      <c r="AY136" s="594">
        <v>3.9800000000000002E-2</v>
      </c>
      <c r="AZ136" s="594">
        <v>6.7000000000000002E-3</v>
      </c>
      <c r="BA136" s="594">
        <v>9.4000000000000004E-3</v>
      </c>
      <c r="BB136" s="594">
        <v>7.9000000000000008E-3</v>
      </c>
      <c r="BC136" s="594">
        <v>8.5000000000000006E-3</v>
      </c>
      <c r="BD136" s="594">
        <v>5.4000000000000003E-3</v>
      </c>
      <c r="BE136" s="594">
        <v>9.2999999999999992E-3</v>
      </c>
      <c r="BF136" s="594">
        <v>8.8999999999999999E-3</v>
      </c>
      <c r="BG136" s="594">
        <v>1.21E-2</v>
      </c>
      <c r="BH136" s="594">
        <v>8.9999999999999993E-3</v>
      </c>
      <c r="BI136" s="594">
        <v>8.0999999999999996E-3</v>
      </c>
      <c r="BJ136" s="594">
        <v>1.2999999999999999E-2</v>
      </c>
      <c r="BK136" s="594">
        <v>1.01E-2</v>
      </c>
      <c r="BL136" s="594">
        <v>1.5699999999999999E-2</v>
      </c>
      <c r="BM136" s="594">
        <v>2E-3</v>
      </c>
      <c r="BN136" s="594">
        <v>0.29599999999999999</v>
      </c>
      <c r="BO136" s="594">
        <v>0.06</v>
      </c>
      <c r="BP136" s="594">
        <v>0.312</v>
      </c>
      <c r="BQ136" s="594">
        <v>0.21199999999999999</v>
      </c>
      <c r="BR136" s="594">
        <v>0.18</v>
      </c>
      <c r="BS136" s="594">
        <v>0.1111</v>
      </c>
      <c r="BT136" s="594">
        <v>0.25</v>
      </c>
      <c r="BU136" s="594">
        <v>0.27</v>
      </c>
      <c r="BV136" s="594">
        <v>0.17</v>
      </c>
      <c r="BW136" s="594">
        <v>0.2</v>
      </c>
      <c r="BX136" s="594">
        <v>0.13</v>
      </c>
      <c r="BY136" s="594">
        <v>0.32900000000000001</v>
      </c>
      <c r="BZ136" s="594">
        <v>8.6999999999999994E-2</v>
      </c>
      <c r="CA136" s="594">
        <v>0</v>
      </c>
      <c r="CB136" s="593">
        <v>0.25</v>
      </c>
      <c r="CC136" s="594">
        <v>0.3</v>
      </c>
      <c r="CD136" s="594">
        <v>0.13</v>
      </c>
      <c r="CE136" s="594">
        <v>0.3</v>
      </c>
      <c r="CF136" s="594">
        <v>0.14599999999999999</v>
      </c>
      <c r="CG136" s="594">
        <v>0.22</v>
      </c>
      <c r="CH136" s="594">
        <v>0.27</v>
      </c>
      <c r="CI136" s="594">
        <v>0.25</v>
      </c>
      <c r="CJ136" s="594">
        <v>0</v>
      </c>
      <c r="CK136" s="594">
        <v>5.2499999999999998E-2</v>
      </c>
      <c r="CL136" s="594">
        <v>0.107</v>
      </c>
      <c r="CM136" s="594">
        <v>0.188</v>
      </c>
      <c r="CN136" s="594">
        <v>0.25</v>
      </c>
      <c r="CO136" s="594">
        <v>0.17219999999999999</v>
      </c>
      <c r="CP136" s="594">
        <v>0.23</v>
      </c>
      <c r="CQ136" s="594">
        <v>0.35</v>
      </c>
      <c r="CR136" s="594">
        <v>0.35</v>
      </c>
      <c r="CS136" s="597"/>
      <c r="CT136" s="591">
        <v>2.4E-2</v>
      </c>
      <c r="CU136" s="1233">
        <v>1.5610000000000001E-2</v>
      </c>
      <c r="CV136" s="591">
        <v>1E-3</v>
      </c>
      <c r="CW136" s="915">
        <v>1.1380000000000001E-2</v>
      </c>
      <c r="CX136" s="594">
        <v>3.3000000000000002E-2</v>
      </c>
      <c r="CY136" s="1234"/>
      <c r="CZ136" s="591">
        <v>2.1000000000000001E-2</v>
      </c>
      <c r="DA136" s="594">
        <v>1.6E-2</v>
      </c>
      <c r="DB136" s="594">
        <v>1.4999999999999999E-2</v>
      </c>
      <c r="DC136" s="594">
        <v>1.4E-2</v>
      </c>
      <c r="DD136" s="594">
        <v>2.4E-2</v>
      </c>
      <c r="DE136" s="594">
        <v>0.03</v>
      </c>
      <c r="DF136" s="594">
        <v>1.0999999999999999E-2</v>
      </c>
      <c r="DG136" s="594">
        <v>2.8000000000000001E-2</v>
      </c>
      <c r="DH136" s="594">
        <v>2.7E-2</v>
      </c>
      <c r="DI136" s="915">
        <v>1.5207000000000002E-2</v>
      </c>
      <c r="DJ136" s="1234"/>
      <c r="DK136" s="594">
        <v>2.7E-2</v>
      </c>
      <c r="DL136" s="594">
        <v>1.7000000000000001E-2</v>
      </c>
      <c r="DM136" s="594">
        <v>1.4E-2</v>
      </c>
      <c r="DN136" s="915">
        <v>1.2286E-2</v>
      </c>
      <c r="DO136" s="594">
        <v>1.7999999999999999E-2</v>
      </c>
      <c r="DP136" s="594">
        <v>8.0000000000000002E-3</v>
      </c>
      <c r="DQ136" s="1234"/>
      <c r="DR136" s="591"/>
      <c r="DS136" s="1234"/>
      <c r="DT136" s="594">
        <v>1.6E-2</v>
      </c>
      <c r="DU136" s="594">
        <v>1.4E-2</v>
      </c>
      <c r="DV136" s="594">
        <v>3.2000000000000001E-2</v>
      </c>
      <c r="DW136" s="594">
        <v>3.3000000000000002E-2</v>
      </c>
      <c r="DX136" s="594">
        <v>3.3000000000000002E-2</v>
      </c>
      <c r="DY136" s="594">
        <v>1.0999999999999999E-2</v>
      </c>
      <c r="DZ136" s="916"/>
      <c r="EA136" s="1439"/>
    </row>
    <row r="137" spans="1:131" x14ac:dyDescent="0.3">
      <c r="A137" s="935">
        <v>43160</v>
      </c>
      <c r="B137" s="589">
        <v>0.13</v>
      </c>
      <c r="C137" s="590">
        <v>0.06</v>
      </c>
      <c r="D137" s="590">
        <v>0.04</v>
      </c>
      <c r="E137" s="590">
        <v>0.05</v>
      </c>
      <c r="F137" s="591">
        <v>0.1263</v>
      </c>
      <c r="G137" s="589">
        <v>0.1111</v>
      </c>
      <c r="H137" s="589">
        <v>0.1</v>
      </c>
      <c r="I137" s="590">
        <v>0.1</v>
      </c>
      <c r="J137" s="591">
        <v>0.115</v>
      </c>
      <c r="K137" s="590">
        <v>0.15</v>
      </c>
      <c r="L137" s="589">
        <v>4.2500000000000003E-2</v>
      </c>
      <c r="M137" s="592">
        <v>0.81</v>
      </c>
      <c r="N137" s="590">
        <v>0.1</v>
      </c>
      <c r="O137" s="589">
        <v>0</v>
      </c>
      <c r="P137" s="593">
        <v>7.7499999999999999E-2</v>
      </c>
      <c r="Q137" s="1287">
        <v>0.115</v>
      </c>
      <c r="R137" s="590">
        <v>0.2</v>
      </c>
      <c r="S137" s="589">
        <v>2.2499999999999999E-2</v>
      </c>
      <c r="T137" s="594">
        <v>0.107</v>
      </c>
      <c r="U137" s="591">
        <v>6.2E-2</v>
      </c>
      <c r="V137" s="589">
        <v>0.16</v>
      </c>
      <c r="W137" s="589">
        <v>0.11</v>
      </c>
      <c r="X137" s="590">
        <v>0</v>
      </c>
      <c r="Y137" s="590">
        <v>0.1</v>
      </c>
      <c r="Z137" s="589">
        <v>0.2</v>
      </c>
      <c r="AA137" s="589">
        <v>0</v>
      </c>
      <c r="AB137" s="590">
        <v>0.2</v>
      </c>
      <c r="AC137" s="1231">
        <v>0.13500000000000001</v>
      </c>
      <c r="AD137" s="590">
        <v>0.12</v>
      </c>
      <c r="AE137" s="590">
        <v>0.2</v>
      </c>
      <c r="AF137" s="591">
        <v>0.12</v>
      </c>
      <c r="AG137" s="590">
        <v>0</v>
      </c>
      <c r="AH137" s="594">
        <v>8.5000000000000006E-3</v>
      </c>
      <c r="AI137" s="594">
        <v>1.0699999999999999E-2</v>
      </c>
      <c r="AJ137" s="594">
        <v>1.12E-2</v>
      </c>
      <c r="AK137" s="594">
        <v>8.9999999999999993E-3</v>
      </c>
      <c r="AL137" s="594">
        <v>1.1299999999999999E-2</v>
      </c>
      <c r="AM137" s="596"/>
      <c r="AN137" s="594">
        <v>1.01E-2</v>
      </c>
      <c r="AO137" s="594">
        <v>0.01</v>
      </c>
      <c r="AP137" s="594">
        <v>1.1599999999999999E-2</v>
      </c>
      <c r="AQ137" s="594">
        <v>7.9000000000000008E-3</v>
      </c>
      <c r="AR137" s="594">
        <v>1.2699999999999999E-2</v>
      </c>
      <c r="AS137" s="596"/>
      <c r="AT137" s="594">
        <v>6.6E-3</v>
      </c>
      <c r="AU137" s="594">
        <v>6.8999999999999999E-3</v>
      </c>
      <c r="AV137" s="594">
        <v>1.5699999999999999E-2</v>
      </c>
      <c r="AW137" s="594">
        <v>8.8000000000000005E-3</v>
      </c>
      <c r="AX137" s="594">
        <v>8.6E-3</v>
      </c>
      <c r="AY137" s="594">
        <v>3.9800000000000002E-2</v>
      </c>
      <c r="AZ137" s="594">
        <v>6.7000000000000002E-3</v>
      </c>
      <c r="BA137" s="594">
        <v>9.4000000000000004E-3</v>
      </c>
      <c r="BB137" s="594">
        <v>7.9000000000000008E-3</v>
      </c>
      <c r="BC137" s="594">
        <v>8.5000000000000006E-3</v>
      </c>
      <c r="BD137" s="594">
        <v>5.4000000000000003E-3</v>
      </c>
      <c r="BE137" s="594">
        <v>9.2999999999999992E-3</v>
      </c>
      <c r="BF137" s="594">
        <v>8.8999999999999999E-3</v>
      </c>
      <c r="BG137" s="594">
        <v>1.21E-2</v>
      </c>
      <c r="BH137" s="594">
        <v>8.9999999999999993E-3</v>
      </c>
      <c r="BI137" s="594">
        <v>8.0999999999999996E-3</v>
      </c>
      <c r="BJ137" s="594">
        <v>1.2999999999999999E-2</v>
      </c>
      <c r="BK137" s="594">
        <v>1.01E-2</v>
      </c>
      <c r="BL137" s="594">
        <v>1.5699999999999999E-2</v>
      </c>
      <c r="BM137" s="594">
        <v>2E-3</v>
      </c>
      <c r="BN137" s="594">
        <v>0.29599999999999999</v>
      </c>
      <c r="BO137" s="594">
        <v>0.06</v>
      </c>
      <c r="BP137" s="594">
        <v>0.312</v>
      </c>
      <c r="BQ137" s="594">
        <v>0.21199999999999999</v>
      </c>
      <c r="BR137" s="594">
        <v>0.18</v>
      </c>
      <c r="BS137" s="594">
        <v>0.1111</v>
      </c>
      <c r="BT137" s="594">
        <v>0.25</v>
      </c>
      <c r="BU137" s="594">
        <v>0.27</v>
      </c>
      <c r="BV137" s="594">
        <v>0.17</v>
      </c>
      <c r="BW137" s="594">
        <v>0.2</v>
      </c>
      <c r="BX137" s="594">
        <v>0.13</v>
      </c>
      <c r="BY137" s="594">
        <v>0.32900000000000001</v>
      </c>
      <c r="BZ137" s="594">
        <v>8.6999999999999994E-2</v>
      </c>
      <c r="CA137" s="594">
        <v>0</v>
      </c>
      <c r="CB137" s="593">
        <v>0.25</v>
      </c>
      <c r="CC137" s="594">
        <v>0.3</v>
      </c>
      <c r="CD137" s="594">
        <v>0.13</v>
      </c>
      <c r="CE137" s="594">
        <v>0.3</v>
      </c>
      <c r="CF137" s="594">
        <v>0.14599999999999999</v>
      </c>
      <c r="CG137" s="594">
        <v>0.22</v>
      </c>
      <c r="CH137" s="594">
        <v>0.27</v>
      </c>
      <c r="CI137" s="594">
        <v>0.25</v>
      </c>
      <c r="CJ137" s="594">
        <v>0</v>
      </c>
      <c r="CK137" s="594">
        <v>5.2499999999999998E-2</v>
      </c>
      <c r="CL137" s="594">
        <v>0.107</v>
      </c>
      <c r="CM137" s="594">
        <v>0.188</v>
      </c>
      <c r="CN137" s="594">
        <v>0.25</v>
      </c>
      <c r="CO137" s="594">
        <v>0.17219999999999999</v>
      </c>
      <c r="CP137" s="594">
        <v>0.23</v>
      </c>
      <c r="CQ137" s="594">
        <v>0.35</v>
      </c>
      <c r="CR137" s="594">
        <v>0.35</v>
      </c>
      <c r="CS137" s="597"/>
      <c r="CT137" s="591">
        <v>2.4E-2</v>
      </c>
      <c r="CU137" s="1233">
        <v>1.5610000000000001E-2</v>
      </c>
      <c r="CV137" s="591">
        <v>1E-3</v>
      </c>
      <c r="CW137" s="915">
        <v>1.1380000000000001E-2</v>
      </c>
      <c r="CX137" s="594">
        <v>3.3000000000000002E-2</v>
      </c>
      <c r="CY137" s="1234"/>
      <c r="CZ137" s="591">
        <v>2.1000000000000001E-2</v>
      </c>
      <c r="DA137" s="594">
        <v>1.6E-2</v>
      </c>
      <c r="DB137" s="594">
        <v>1.4999999999999999E-2</v>
      </c>
      <c r="DC137" s="594">
        <v>1.4E-2</v>
      </c>
      <c r="DD137" s="594">
        <v>2.4E-2</v>
      </c>
      <c r="DE137" s="594">
        <v>0.03</v>
      </c>
      <c r="DF137" s="594">
        <v>1.0999999999999999E-2</v>
      </c>
      <c r="DG137" s="594">
        <v>2.8000000000000001E-2</v>
      </c>
      <c r="DH137" s="594">
        <v>2.7E-2</v>
      </c>
      <c r="DI137" s="915">
        <v>1.5207000000000002E-2</v>
      </c>
      <c r="DJ137" s="1234"/>
      <c r="DK137" s="594">
        <v>2.7E-2</v>
      </c>
      <c r="DL137" s="594">
        <v>1.7000000000000001E-2</v>
      </c>
      <c r="DM137" s="594">
        <v>1.4E-2</v>
      </c>
      <c r="DN137" s="915">
        <v>1.2286E-2</v>
      </c>
      <c r="DO137" s="594">
        <v>1.7999999999999999E-2</v>
      </c>
      <c r="DP137" s="594">
        <v>8.0000000000000002E-3</v>
      </c>
      <c r="DQ137" s="1234"/>
      <c r="DR137" s="591"/>
      <c r="DS137" s="1234"/>
      <c r="DT137" s="594">
        <v>1.6E-2</v>
      </c>
      <c r="DU137" s="594">
        <v>1.4E-2</v>
      </c>
      <c r="DV137" s="594">
        <v>3.2000000000000001E-2</v>
      </c>
      <c r="DW137" s="594">
        <v>3.3000000000000002E-2</v>
      </c>
      <c r="DX137" s="594">
        <v>3.3000000000000002E-2</v>
      </c>
      <c r="DY137" s="594">
        <v>1.0999999999999999E-2</v>
      </c>
      <c r="DZ137" s="916"/>
      <c r="EA137" s="1439"/>
    </row>
    <row r="138" spans="1:131" x14ac:dyDescent="0.3">
      <c r="A138" s="935">
        <v>43191</v>
      </c>
      <c r="B138" s="589">
        <v>0.15</v>
      </c>
      <c r="C138" s="590">
        <v>7.0000000000000007E-2</v>
      </c>
      <c r="D138" s="590">
        <v>0.04</v>
      </c>
      <c r="E138" s="590">
        <v>0.05</v>
      </c>
      <c r="F138" s="591">
        <v>0.1263</v>
      </c>
      <c r="G138" s="589">
        <v>0.1111</v>
      </c>
      <c r="H138" s="589">
        <v>0.1</v>
      </c>
      <c r="I138" s="590">
        <v>0.1</v>
      </c>
      <c r="J138" s="591">
        <v>0.115</v>
      </c>
      <c r="K138" s="590">
        <v>0.15</v>
      </c>
      <c r="L138" s="589">
        <v>4.2500000000000003E-2</v>
      </c>
      <c r="M138" s="592">
        <v>0.81</v>
      </c>
      <c r="N138" s="590">
        <v>0.1</v>
      </c>
      <c r="O138" s="589">
        <v>0</v>
      </c>
      <c r="P138" s="593">
        <v>7.7499999999999999E-2</v>
      </c>
      <c r="Q138" s="1287">
        <v>0.115</v>
      </c>
      <c r="R138" s="590">
        <v>0.2</v>
      </c>
      <c r="S138" s="589">
        <v>2.2499999999999999E-2</v>
      </c>
      <c r="T138" s="594">
        <v>0.107</v>
      </c>
      <c r="U138" s="591">
        <v>6.2E-2</v>
      </c>
      <c r="V138" s="589">
        <v>0.16</v>
      </c>
      <c r="W138" s="589">
        <v>0.11</v>
      </c>
      <c r="X138" s="590">
        <v>0</v>
      </c>
      <c r="Y138" s="590">
        <v>0.1</v>
      </c>
      <c r="Z138" s="589">
        <v>0.2</v>
      </c>
      <c r="AA138" s="589">
        <v>0</v>
      </c>
      <c r="AB138" s="590">
        <v>0.2</v>
      </c>
      <c r="AC138" s="1231">
        <v>0.13500000000000001</v>
      </c>
      <c r="AD138" s="590">
        <v>0.12</v>
      </c>
      <c r="AE138" s="590">
        <v>0.2</v>
      </c>
      <c r="AF138" s="591">
        <v>0.12</v>
      </c>
      <c r="AG138" s="590">
        <v>0</v>
      </c>
      <c r="AH138" s="594">
        <v>8.5000000000000006E-3</v>
      </c>
      <c r="AI138" s="594">
        <v>1.0699999999999999E-2</v>
      </c>
      <c r="AJ138" s="594">
        <v>1.12E-2</v>
      </c>
      <c r="AK138" s="594">
        <v>8.9999999999999993E-3</v>
      </c>
      <c r="AL138" s="594">
        <v>1.1299999999999999E-2</v>
      </c>
      <c r="AM138" s="596"/>
      <c r="AN138" s="594">
        <v>1.01E-2</v>
      </c>
      <c r="AO138" s="594">
        <v>0.01</v>
      </c>
      <c r="AP138" s="594">
        <v>1.1599999999999999E-2</v>
      </c>
      <c r="AQ138" s="594">
        <v>7.9000000000000008E-3</v>
      </c>
      <c r="AR138" s="594">
        <v>1.49E-2</v>
      </c>
      <c r="AS138" s="596"/>
      <c r="AT138" s="594">
        <v>5.7000000000000002E-3</v>
      </c>
      <c r="AU138" s="594">
        <v>6.8999999999999999E-3</v>
      </c>
      <c r="AV138" s="594">
        <v>1.7100000000000001E-2</v>
      </c>
      <c r="AW138" s="594">
        <v>7.9000000000000008E-3</v>
      </c>
      <c r="AX138" s="594">
        <v>8.6E-3</v>
      </c>
      <c r="AY138" s="594">
        <v>2.53E-2</v>
      </c>
      <c r="AZ138" s="594">
        <v>6.7000000000000002E-3</v>
      </c>
      <c r="BA138" s="594">
        <v>9.4000000000000004E-3</v>
      </c>
      <c r="BB138" s="594">
        <v>7.9000000000000008E-3</v>
      </c>
      <c r="BC138" s="594">
        <v>1.14E-2</v>
      </c>
      <c r="BD138" s="594">
        <v>5.4000000000000003E-3</v>
      </c>
      <c r="BE138" s="594">
        <v>9.2999999999999992E-3</v>
      </c>
      <c r="BF138" s="594">
        <v>8.8999999999999999E-3</v>
      </c>
      <c r="BG138" s="594">
        <v>1.21E-2</v>
      </c>
      <c r="BH138" s="594">
        <v>8.9999999999999993E-3</v>
      </c>
      <c r="BI138" s="594">
        <v>8.0999999999999996E-3</v>
      </c>
      <c r="BJ138" s="594">
        <v>1.2999999999999999E-2</v>
      </c>
      <c r="BK138" s="594">
        <v>1.01E-2</v>
      </c>
      <c r="BL138" s="594">
        <v>1.5699999999999999E-2</v>
      </c>
      <c r="BM138" s="594">
        <v>2.3E-3</v>
      </c>
      <c r="BN138" s="594">
        <v>0.29599999999999999</v>
      </c>
      <c r="BO138" s="594">
        <v>0.06</v>
      </c>
      <c r="BP138" s="594">
        <v>0.312</v>
      </c>
      <c r="BQ138" s="594">
        <v>0.21199999999999999</v>
      </c>
      <c r="BR138" s="594">
        <v>0.18</v>
      </c>
      <c r="BS138" s="594">
        <v>0.1111</v>
      </c>
      <c r="BT138" s="594">
        <v>0.25</v>
      </c>
      <c r="BU138" s="594">
        <v>0.27</v>
      </c>
      <c r="BV138" s="594">
        <v>0.17</v>
      </c>
      <c r="BW138" s="594">
        <v>0.2</v>
      </c>
      <c r="BX138" s="594">
        <v>0.13</v>
      </c>
      <c r="BY138" s="594">
        <v>0.32900000000000001</v>
      </c>
      <c r="BZ138" s="594">
        <v>8.6999999999999994E-2</v>
      </c>
      <c r="CA138" s="594">
        <v>0</v>
      </c>
      <c r="CB138" s="593">
        <v>0.25</v>
      </c>
      <c r="CC138" s="594">
        <v>0.3</v>
      </c>
      <c r="CD138" s="594">
        <v>0.13</v>
      </c>
      <c r="CE138" s="594">
        <v>0.3</v>
      </c>
      <c r="CF138" s="594">
        <v>0.14599999999999999</v>
      </c>
      <c r="CG138" s="594">
        <v>0.22</v>
      </c>
      <c r="CH138" s="594">
        <v>0.27</v>
      </c>
      <c r="CI138" s="594">
        <v>0.25</v>
      </c>
      <c r="CJ138" s="594">
        <v>0</v>
      </c>
      <c r="CK138" s="594">
        <v>5.2499999999999998E-2</v>
      </c>
      <c r="CL138" s="594">
        <v>0.107</v>
      </c>
      <c r="CM138" s="594">
        <v>0.188</v>
      </c>
      <c r="CN138" s="594">
        <v>0.3</v>
      </c>
      <c r="CO138" s="594">
        <v>0.17219999999999999</v>
      </c>
      <c r="CP138" s="594">
        <v>0.23</v>
      </c>
      <c r="CQ138" s="594">
        <v>0.35</v>
      </c>
      <c r="CR138" s="594">
        <v>0.35</v>
      </c>
      <c r="CS138" s="597"/>
      <c r="CT138" s="591">
        <v>2.4E-2</v>
      </c>
      <c r="CU138" s="1233">
        <v>2.7021E-2</v>
      </c>
      <c r="CV138" s="591">
        <v>1E-3</v>
      </c>
      <c r="CW138" s="915">
        <v>1.9370999999999999E-2</v>
      </c>
      <c r="CX138" s="594">
        <v>3.3000000000000002E-2</v>
      </c>
      <c r="CY138" s="1234"/>
      <c r="CZ138" s="591">
        <v>2.1000000000000001E-2</v>
      </c>
      <c r="DA138" s="594">
        <v>1.6E-2</v>
      </c>
      <c r="DB138" s="594">
        <v>1.4999999999999999E-2</v>
      </c>
      <c r="DC138" s="594">
        <v>1.4E-2</v>
      </c>
      <c r="DD138" s="594">
        <v>2.4E-2</v>
      </c>
      <c r="DE138" s="594">
        <v>0.03</v>
      </c>
      <c r="DF138" s="594">
        <v>1.0999999999999999E-2</v>
      </c>
      <c r="DG138" s="594">
        <v>2.8000000000000001E-2</v>
      </c>
      <c r="DH138" s="594">
        <v>2.7E-2</v>
      </c>
      <c r="DI138" s="915">
        <v>3.2308999999999997E-2</v>
      </c>
      <c r="DJ138" s="1234"/>
      <c r="DK138" s="594">
        <v>2.7E-2</v>
      </c>
      <c r="DL138" s="594">
        <v>1.7000000000000001E-2</v>
      </c>
      <c r="DM138" s="594">
        <v>1.4E-2</v>
      </c>
      <c r="DN138" s="915">
        <v>2.6445E-2</v>
      </c>
      <c r="DO138" s="594">
        <v>1.7999999999999999E-2</v>
      </c>
      <c r="DP138" s="594">
        <v>8.0000000000000002E-3</v>
      </c>
      <c r="DQ138" s="1234"/>
      <c r="DR138" s="591"/>
      <c r="DS138" s="1234"/>
      <c r="DT138" s="594">
        <v>1.6E-2</v>
      </c>
      <c r="DU138" s="594">
        <v>1.4E-2</v>
      </c>
      <c r="DV138" s="594">
        <v>3.2000000000000001E-2</v>
      </c>
      <c r="DW138" s="594">
        <v>3.3000000000000002E-2</v>
      </c>
      <c r="DX138" s="594">
        <v>3.3000000000000002E-2</v>
      </c>
      <c r="DY138" s="594">
        <v>1.0999999999999999E-2</v>
      </c>
      <c r="DZ138" s="916"/>
      <c r="EA138" s="1493"/>
    </row>
    <row r="139" spans="1:131" x14ac:dyDescent="0.3">
      <c r="A139" s="935">
        <v>43221</v>
      </c>
      <c r="B139" s="589">
        <v>0.15</v>
      </c>
      <c r="C139" s="590">
        <v>7.0000000000000007E-2</v>
      </c>
      <c r="D139" s="590">
        <v>0.04</v>
      </c>
      <c r="E139" s="590">
        <v>0.05</v>
      </c>
      <c r="F139" s="591">
        <v>0.1263</v>
      </c>
      <c r="G139" s="589">
        <v>0.1111</v>
      </c>
      <c r="H139" s="589">
        <v>0.1</v>
      </c>
      <c r="I139" s="590">
        <v>0.1</v>
      </c>
      <c r="J139" s="591">
        <v>0.115</v>
      </c>
      <c r="K139" s="590">
        <v>0.15</v>
      </c>
      <c r="L139" s="589">
        <v>4.2500000000000003E-2</v>
      </c>
      <c r="M139" s="592">
        <v>0.81</v>
      </c>
      <c r="N139" s="590">
        <v>0.1</v>
      </c>
      <c r="O139" s="589">
        <v>0</v>
      </c>
      <c r="P139" s="593">
        <v>7.7499999999999999E-2</v>
      </c>
      <c r="Q139" s="1287">
        <v>0.115</v>
      </c>
      <c r="R139" s="590">
        <v>0.2</v>
      </c>
      <c r="S139" s="589">
        <v>2.2499999999999999E-2</v>
      </c>
      <c r="T139" s="594">
        <v>0.107</v>
      </c>
      <c r="U139" s="591">
        <v>6.2E-2</v>
      </c>
      <c r="V139" s="589">
        <v>0.16</v>
      </c>
      <c r="W139" s="589">
        <v>0.11</v>
      </c>
      <c r="X139" s="590">
        <v>0</v>
      </c>
      <c r="Y139" s="590">
        <v>0.1</v>
      </c>
      <c r="Z139" s="589">
        <v>0.2</v>
      </c>
      <c r="AA139" s="589">
        <v>0</v>
      </c>
      <c r="AB139" s="590">
        <v>0.2</v>
      </c>
      <c r="AC139" s="1231">
        <v>0.13500000000000001</v>
      </c>
      <c r="AD139" s="590">
        <v>0.12</v>
      </c>
      <c r="AE139" s="590">
        <v>0.2</v>
      </c>
      <c r="AF139" s="591">
        <v>0.12</v>
      </c>
      <c r="AG139" s="590">
        <v>0</v>
      </c>
      <c r="AH139" s="594">
        <v>8.5000000000000006E-3</v>
      </c>
      <c r="AI139" s="594">
        <v>1.0699999999999999E-2</v>
      </c>
      <c r="AJ139" s="594">
        <v>1.12E-2</v>
      </c>
      <c r="AK139" s="594">
        <v>8.9999999999999993E-3</v>
      </c>
      <c r="AL139" s="594">
        <v>1.1299999999999999E-2</v>
      </c>
      <c r="AM139" s="596"/>
      <c r="AN139" s="594">
        <v>1.01E-2</v>
      </c>
      <c r="AO139" s="594">
        <v>0.01</v>
      </c>
      <c r="AP139" s="594">
        <v>1.1599999999999999E-2</v>
      </c>
      <c r="AQ139" s="594">
        <v>7.9000000000000008E-3</v>
      </c>
      <c r="AR139" s="594">
        <v>1.49E-2</v>
      </c>
      <c r="AS139" s="596"/>
      <c r="AT139" s="594">
        <v>5.7000000000000002E-3</v>
      </c>
      <c r="AU139" s="594">
        <v>6.8999999999999999E-3</v>
      </c>
      <c r="AV139" s="594">
        <v>1.7100000000000001E-2</v>
      </c>
      <c r="AW139" s="594">
        <v>7.9000000000000008E-3</v>
      </c>
      <c r="AX139" s="594">
        <v>8.6E-3</v>
      </c>
      <c r="AY139" s="594">
        <v>2.53E-2</v>
      </c>
      <c r="AZ139" s="594">
        <v>6.7000000000000002E-3</v>
      </c>
      <c r="BA139" s="594">
        <v>9.4000000000000004E-3</v>
      </c>
      <c r="BB139" s="594">
        <v>7.9000000000000008E-3</v>
      </c>
      <c r="BC139" s="594">
        <v>1.14E-2</v>
      </c>
      <c r="BD139" s="594">
        <v>5.4000000000000003E-3</v>
      </c>
      <c r="BE139" s="594">
        <v>9.2999999999999992E-3</v>
      </c>
      <c r="BF139" s="594">
        <v>8.8999999999999999E-3</v>
      </c>
      <c r="BG139" s="594">
        <v>1.21E-2</v>
      </c>
      <c r="BH139" s="594">
        <v>8.9999999999999993E-3</v>
      </c>
      <c r="BI139" s="594">
        <v>8.0999999999999996E-3</v>
      </c>
      <c r="BJ139" s="594">
        <v>1.2999999999999999E-2</v>
      </c>
      <c r="BK139" s="594">
        <v>1.01E-2</v>
      </c>
      <c r="BL139" s="594">
        <v>1.5699999999999999E-2</v>
      </c>
      <c r="BM139" s="594">
        <v>2.3E-3</v>
      </c>
      <c r="BN139" s="594">
        <v>0.29599999999999999</v>
      </c>
      <c r="BO139" s="594">
        <v>0.06</v>
      </c>
      <c r="BP139" s="594">
        <v>0.312</v>
      </c>
      <c r="BQ139" s="594">
        <v>0.21199999999999999</v>
      </c>
      <c r="BR139" s="594">
        <v>0.18</v>
      </c>
      <c r="BS139" s="594">
        <v>0.1111</v>
      </c>
      <c r="BT139" s="594">
        <v>0.25</v>
      </c>
      <c r="BU139" s="594">
        <v>0.27</v>
      </c>
      <c r="BV139" s="594">
        <v>0.17</v>
      </c>
      <c r="BW139" s="594">
        <v>0.2</v>
      </c>
      <c r="BX139" s="594">
        <v>0.13</v>
      </c>
      <c r="BY139" s="594">
        <v>0.32900000000000001</v>
      </c>
      <c r="BZ139" s="594">
        <v>8.6999999999999994E-2</v>
      </c>
      <c r="CA139" s="594">
        <v>0</v>
      </c>
      <c r="CB139" s="593">
        <v>0.25</v>
      </c>
      <c r="CC139" s="594">
        <v>0.3</v>
      </c>
      <c r="CD139" s="594">
        <v>0.13</v>
      </c>
      <c r="CE139" s="594">
        <v>0.3</v>
      </c>
      <c r="CF139" s="594">
        <v>0.14599999999999999</v>
      </c>
      <c r="CG139" s="594">
        <v>0.22</v>
      </c>
      <c r="CH139" s="594">
        <v>0.27</v>
      </c>
      <c r="CI139" s="594">
        <v>0.25</v>
      </c>
      <c r="CJ139" s="594">
        <v>0</v>
      </c>
      <c r="CK139" s="594">
        <v>5.2499999999999998E-2</v>
      </c>
      <c r="CL139" s="594">
        <v>0.107</v>
      </c>
      <c r="CM139" s="594">
        <v>0.188</v>
      </c>
      <c r="CN139" s="594">
        <v>0.3</v>
      </c>
      <c r="CO139" s="594">
        <v>0.2</v>
      </c>
      <c r="CP139" s="594">
        <v>0.23</v>
      </c>
      <c r="CQ139" s="594">
        <v>0.35</v>
      </c>
      <c r="CR139" s="594">
        <v>0.35</v>
      </c>
      <c r="CS139" s="597"/>
      <c r="CT139" s="591">
        <v>2.4E-2</v>
      </c>
      <c r="CU139" s="1233">
        <v>2.7021E-2</v>
      </c>
      <c r="CV139" s="591">
        <v>1E-3</v>
      </c>
      <c r="CW139" s="915">
        <v>1.9370999999999999E-2</v>
      </c>
      <c r="CX139" s="594">
        <v>3.3000000000000002E-2</v>
      </c>
      <c r="CY139" s="1234"/>
      <c r="CZ139" s="591">
        <v>2.1000000000000001E-2</v>
      </c>
      <c r="DA139" s="594">
        <v>1.6E-2</v>
      </c>
      <c r="DB139" s="594">
        <v>1.4999999999999999E-2</v>
      </c>
      <c r="DC139" s="594">
        <v>1.4E-2</v>
      </c>
      <c r="DD139" s="594">
        <v>2.4E-2</v>
      </c>
      <c r="DE139" s="594">
        <v>0.03</v>
      </c>
      <c r="DF139" s="594">
        <v>1.0999999999999999E-2</v>
      </c>
      <c r="DG139" s="594">
        <v>2.8000000000000001E-2</v>
      </c>
      <c r="DH139" s="594">
        <v>2.7E-2</v>
      </c>
      <c r="DI139" s="915">
        <v>3.2308999999999997E-2</v>
      </c>
      <c r="DJ139" s="1234"/>
      <c r="DK139" s="594">
        <v>2.7E-2</v>
      </c>
      <c r="DL139" s="594">
        <v>1.7000000000000001E-2</v>
      </c>
      <c r="DM139" s="594">
        <v>1.4E-2</v>
      </c>
      <c r="DN139" s="915">
        <v>2.6445E-2</v>
      </c>
      <c r="DO139" s="594">
        <v>1.7999999999999999E-2</v>
      </c>
      <c r="DP139" s="594">
        <v>8.0000000000000002E-3</v>
      </c>
      <c r="DQ139" s="1234"/>
      <c r="DR139" s="591"/>
      <c r="DS139" s="1234"/>
      <c r="DT139" s="594">
        <v>1.6E-2</v>
      </c>
      <c r="DU139" s="594">
        <v>1.4E-2</v>
      </c>
      <c r="DV139" s="594">
        <v>3.2000000000000001E-2</v>
      </c>
      <c r="DW139" s="594">
        <v>3.3000000000000002E-2</v>
      </c>
      <c r="DX139" s="594">
        <v>3.3000000000000002E-2</v>
      </c>
      <c r="DY139" s="594">
        <v>1.0999999999999999E-2</v>
      </c>
      <c r="DZ139" s="916"/>
      <c r="EA139" s="1493"/>
    </row>
    <row r="140" spans="1:131" x14ac:dyDescent="0.3">
      <c r="A140" s="935">
        <v>43252</v>
      </c>
      <c r="B140" s="589">
        <v>0.15</v>
      </c>
      <c r="C140" s="590">
        <v>7.0000000000000007E-2</v>
      </c>
      <c r="D140" s="590">
        <v>0.04</v>
      </c>
      <c r="E140" s="590">
        <v>0.05</v>
      </c>
      <c r="F140" s="591">
        <v>0.1263</v>
      </c>
      <c r="G140" s="589">
        <v>0.1111</v>
      </c>
      <c r="H140" s="589">
        <v>0.1</v>
      </c>
      <c r="I140" s="590">
        <v>0.1</v>
      </c>
      <c r="J140" s="591">
        <v>0.115</v>
      </c>
      <c r="K140" s="590">
        <v>0.15</v>
      </c>
      <c r="L140" s="589">
        <v>4.2500000000000003E-2</v>
      </c>
      <c r="M140" s="592">
        <v>0.81</v>
      </c>
      <c r="N140" s="590">
        <v>0.1</v>
      </c>
      <c r="O140" s="589">
        <v>0</v>
      </c>
      <c r="P140" s="593">
        <v>7.7499999999999999E-2</v>
      </c>
      <c r="Q140" s="1287">
        <v>0.115</v>
      </c>
      <c r="R140" s="590">
        <v>0.2</v>
      </c>
      <c r="S140" s="589">
        <v>2.2499999999999999E-2</v>
      </c>
      <c r="T140" s="594">
        <v>0.107</v>
      </c>
      <c r="U140" s="591">
        <v>6.2E-2</v>
      </c>
      <c r="V140" s="589">
        <v>0.16</v>
      </c>
      <c r="W140" s="589">
        <v>0.11</v>
      </c>
      <c r="X140" s="590">
        <v>0</v>
      </c>
      <c r="Y140" s="590">
        <v>0.1</v>
      </c>
      <c r="Z140" s="589">
        <v>0.2</v>
      </c>
      <c r="AA140" s="589">
        <v>0</v>
      </c>
      <c r="AB140" s="590">
        <v>0.2</v>
      </c>
      <c r="AC140" s="1231">
        <v>0.13500000000000001</v>
      </c>
      <c r="AD140" s="590">
        <v>0.12</v>
      </c>
      <c r="AE140" s="590">
        <v>0.2</v>
      </c>
      <c r="AF140" s="591">
        <v>0.12</v>
      </c>
      <c r="AG140" s="590">
        <v>0</v>
      </c>
      <c r="AH140" s="594">
        <v>8.5000000000000006E-3</v>
      </c>
      <c r="AI140" s="594">
        <v>1.0699999999999999E-2</v>
      </c>
      <c r="AJ140" s="594">
        <v>1.12E-2</v>
      </c>
      <c r="AK140" s="594">
        <v>8.9999999999999993E-3</v>
      </c>
      <c r="AL140" s="594">
        <v>1.1299999999999999E-2</v>
      </c>
      <c r="AM140" s="596"/>
      <c r="AN140" s="594">
        <v>1.01E-2</v>
      </c>
      <c r="AO140" s="594">
        <v>0.01</v>
      </c>
      <c r="AP140" s="594">
        <v>1.1599999999999999E-2</v>
      </c>
      <c r="AQ140" s="594">
        <v>7.9000000000000008E-3</v>
      </c>
      <c r="AR140" s="594">
        <v>1.49E-2</v>
      </c>
      <c r="AS140" s="596"/>
      <c r="AT140" s="594">
        <v>5.7000000000000002E-3</v>
      </c>
      <c r="AU140" s="594">
        <v>6.8999999999999999E-3</v>
      </c>
      <c r="AV140" s="594">
        <v>1.7100000000000001E-2</v>
      </c>
      <c r="AW140" s="594">
        <v>7.9000000000000008E-3</v>
      </c>
      <c r="AX140" s="594">
        <v>8.6E-3</v>
      </c>
      <c r="AY140" s="594">
        <v>2.53E-2</v>
      </c>
      <c r="AZ140" s="594">
        <v>6.7000000000000002E-3</v>
      </c>
      <c r="BA140" s="594">
        <v>9.4000000000000004E-3</v>
      </c>
      <c r="BB140" s="594">
        <v>7.9000000000000008E-3</v>
      </c>
      <c r="BC140" s="594">
        <v>1.14E-2</v>
      </c>
      <c r="BD140" s="594">
        <v>5.4000000000000003E-3</v>
      </c>
      <c r="BE140" s="594">
        <v>9.2999999999999992E-3</v>
      </c>
      <c r="BF140" s="594">
        <v>8.8999999999999999E-3</v>
      </c>
      <c r="BG140" s="594">
        <v>1.21E-2</v>
      </c>
      <c r="BH140" s="594">
        <v>8.9999999999999993E-3</v>
      </c>
      <c r="BI140" s="594">
        <v>8.0999999999999996E-3</v>
      </c>
      <c r="BJ140" s="594">
        <v>1.2999999999999999E-2</v>
      </c>
      <c r="BK140" s="594">
        <v>1.01E-2</v>
      </c>
      <c r="BL140" s="594">
        <v>1.5699999999999999E-2</v>
      </c>
      <c r="BM140" s="594">
        <v>2.3E-3</v>
      </c>
      <c r="BN140" s="594">
        <v>0.29599999999999999</v>
      </c>
      <c r="BO140" s="594">
        <v>0.06</v>
      </c>
      <c r="BP140" s="594">
        <v>0.312</v>
      </c>
      <c r="BQ140" s="594">
        <v>0.21199999999999999</v>
      </c>
      <c r="BR140" s="594">
        <v>0.18</v>
      </c>
      <c r="BS140" s="594">
        <v>0.1111</v>
      </c>
      <c r="BT140" s="594">
        <v>0.25</v>
      </c>
      <c r="BU140" s="594">
        <v>0.27</v>
      </c>
      <c r="BV140" s="594">
        <v>0.17</v>
      </c>
      <c r="BW140" s="594">
        <v>0.2</v>
      </c>
      <c r="BX140" s="594">
        <v>0.13</v>
      </c>
      <c r="BY140" s="594">
        <v>0.32900000000000001</v>
      </c>
      <c r="BZ140" s="594">
        <v>8.6999999999999994E-2</v>
      </c>
      <c r="CA140" s="594">
        <v>0</v>
      </c>
      <c r="CB140" s="593">
        <v>0.25</v>
      </c>
      <c r="CC140" s="594">
        <v>0.3</v>
      </c>
      <c r="CD140" s="594">
        <v>0.13</v>
      </c>
      <c r="CE140" s="594">
        <v>0.3</v>
      </c>
      <c r="CF140" s="594">
        <v>0.14599999999999999</v>
      </c>
      <c r="CG140" s="594">
        <v>0.22</v>
      </c>
      <c r="CH140" s="594">
        <v>0.27</v>
      </c>
      <c r="CI140" s="594">
        <v>0.25</v>
      </c>
      <c r="CJ140" s="594">
        <v>0</v>
      </c>
      <c r="CK140" s="594">
        <v>5.2499999999999998E-2</v>
      </c>
      <c r="CL140" s="594">
        <v>0.107</v>
      </c>
      <c r="CM140" s="594">
        <v>0.188</v>
      </c>
      <c r="CN140" s="594">
        <v>0.3</v>
      </c>
      <c r="CO140" s="594">
        <v>0.2</v>
      </c>
      <c r="CP140" s="594">
        <v>0.23</v>
      </c>
      <c r="CQ140" s="594">
        <v>0.35</v>
      </c>
      <c r="CR140" s="594">
        <v>0.35</v>
      </c>
      <c r="CS140" s="597"/>
      <c r="CT140" s="591">
        <v>2.4E-2</v>
      </c>
      <c r="CU140" s="1233">
        <v>2.7021E-2</v>
      </c>
      <c r="CV140" s="591">
        <v>1E-3</v>
      </c>
      <c r="CW140" s="915">
        <v>1.9370999999999999E-2</v>
      </c>
      <c r="CX140" s="594">
        <v>3.3000000000000002E-2</v>
      </c>
      <c r="CY140" s="1234"/>
      <c r="CZ140" s="591">
        <v>2.1000000000000001E-2</v>
      </c>
      <c r="DA140" s="594">
        <v>1.6E-2</v>
      </c>
      <c r="DB140" s="594">
        <v>1.4999999999999999E-2</v>
      </c>
      <c r="DC140" s="594">
        <v>1.4E-2</v>
      </c>
      <c r="DD140" s="594">
        <v>2.4E-2</v>
      </c>
      <c r="DE140" s="594">
        <v>0.03</v>
      </c>
      <c r="DF140" s="594">
        <v>1.0999999999999999E-2</v>
      </c>
      <c r="DG140" s="594">
        <v>2.8000000000000001E-2</v>
      </c>
      <c r="DH140" s="594">
        <v>2.7E-2</v>
      </c>
      <c r="DI140" s="915">
        <v>3.2308999999999997E-2</v>
      </c>
      <c r="DJ140" s="1234"/>
      <c r="DK140" s="594">
        <v>2.7E-2</v>
      </c>
      <c r="DL140" s="594">
        <v>1.7000000000000001E-2</v>
      </c>
      <c r="DM140" s="594">
        <v>1.4E-2</v>
      </c>
      <c r="DN140" s="915">
        <v>2.6445E-2</v>
      </c>
      <c r="DO140" s="594">
        <v>1.7999999999999999E-2</v>
      </c>
      <c r="DP140" s="594">
        <v>8.0000000000000002E-3</v>
      </c>
      <c r="DQ140" s="1234"/>
      <c r="DR140" s="591"/>
      <c r="DS140" s="1234"/>
      <c r="DT140" s="594">
        <v>1.6E-2</v>
      </c>
      <c r="DU140" s="594">
        <v>1.4E-2</v>
      </c>
      <c r="DV140" s="594">
        <v>3.2000000000000001E-2</v>
      </c>
      <c r="DW140" s="594">
        <v>3.3000000000000002E-2</v>
      </c>
      <c r="DX140" s="594">
        <v>3.3000000000000002E-2</v>
      </c>
      <c r="DY140" s="594">
        <v>1.0999999999999999E-2</v>
      </c>
      <c r="DZ140" s="916"/>
      <c r="EA140" s="1493"/>
    </row>
    <row r="141" spans="1:131" x14ac:dyDescent="0.3">
      <c r="A141" s="935">
        <v>43282</v>
      </c>
      <c r="B141" s="589">
        <v>0.15</v>
      </c>
      <c r="C141" s="590">
        <v>7.0000000000000007E-2</v>
      </c>
      <c r="D141" s="590">
        <v>0.04</v>
      </c>
      <c r="E141" s="590">
        <v>0.05</v>
      </c>
      <c r="F141" s="591">
        <v>0.1263</v>
      </c>
      <c r="G141" s="589">
        <v>0.1111</v>
      </c>
      <c r="H141" s="589">
        <v>0.1</v>
      </c>
      <c r="I141" s="590">
        <v>0.1</v>
      </c>
      <c r="J141" s="591">
        <v>0.115</v>
      </c>
      <c r="K141" s="590">
        <v>0.15</v>
      </c>
      <c r="L141" s="589">
        <v>4.2500000000000003E-2</v>
      </c>
      <c r="M141" s="592">
        <v>0.81</v>
      </c>
      <c r="N141" s="590">
        <v>0.1</v>
      </c>
      <c r="O141" s="589">
        <v>0</v>
      </c>
      <c r="P141" s="593">
        <v>7.7499999999999999E-2</v>
      </c>
      <c r="Q141" s="1287">
        <v>0.115</v>
      </c>
      <c r="R141" s="590">
        <v>0.2</v>
      </c>
      <c r="S141" s="589">
        <v>2.2499999999999999E-2</v>
      </c>
      <c r="T141" s="594">
        <v>0.107</v>
      </c>
      <c r="U141" s="591">
        <v>6.2E-2</v>
      </c>
      <c r="V141" s="589">
        <v>0.16</v>
      </c>
      <c r="W141" s="589">
        <v>0.11</v>
      </c>
      <c r="X141" s="590">
        <v>0</v>
      </c>
      <c r="Y141" s="590">
        <v>0.1</v>
      </c>
      <c r="Z141" s="589">
        <v>0.2</v>
      </c>
      <c r="AA141" s="589">
        <v>0</v>
      </c>
      <c r="AB141" s="590">
        <v>0.2</v>
      </c>
      <c r="AC141" s="1231">
        <v>0.15</v>
      </c>
      <c r="AD141" s="590">
        <v>0.12</v>
      </c>
      <c r="AE141" s="590">
        <v>0.2</v>
      </c>
      <c r="AF141" s="591">
        <v>0.12</v>
      </c>
      <c r="AG141" s="590">
        <v>0</v>
      </c>
      <c r="AH141" s="594">
        <v>1.1599999999999999E-2</v>
      </c>
      <c r="AI141" s="594">
        <v>1.5299999999999999E-2</v>
      </c>
      <c r="AJ141" s="594">
        <v>1.2200000000000001E-2</v>
      </c>
      <c r="AK141" s="594">
        <v>1.3100000000000001E-2</v>
      </c>
      <c r="AL141" s="594">
        <v>1.32E-2</v>
      </c>
      <c r="AM141" s="596"/>
      <c r="AN141" s="594">
        <v>1.32E-2</v>
      </c>
      <c r="AO141" s="594">
        <v>1.15E-2</v>
      </c>
      <c r="AP141" s="594">
        <v>1.11E-2</v>
      </c>
      <c r="AQ141" s="594">
        <v>1.0200000000000001E-2</v>
      </c>
      <c r="AR141" s="594">
        <v>1.49E-2</v>
      </c>
      <c r="AS141" s="596"/>
      <c r="AT141" s="594">
        <v>5.7000000000000002E-3</v>
      </c>
      <c r="AU141" s="594">
        <v>7.3000000000000001E-3</v>
      </c>
      <c r="AV141" s="594">
        <v>1.7100000000000001E-2</v>
      </c>
      <c r="AW141" s="594">
        <v>7.9000000000000008E-3</v>
      </c>
      <c r="AX141" s="594">
        <v>9.4999999999999998E-3</v>
      </c>
      <c r="AY141" s="594">
        <v>2.53E-2</v>
      </c>
      <c r="AZ141" s="594">
        <v>8.5000000000000006E-3</v>
      </c>
      <c r="BA141" s="594">
        <v>1.06E-2</v>
      </c>
      <c r="BB141" s="594">
        <v>1.01E-2</v>
      </c>
      <c r="BC141" s="594">
        <v>1.14E-2</v>
      </c>
      <c r="BD141" s="594">
        <v>4.7999999999999996E-3</v>
      </c>
      <c r="BE141" s="594">
        <v>1.03E-2</v>
      </c>
      <c r="BF141" s="594">
        <v>1.3299999999999999E-2</v>
      </c>
      <c r="BG141" s="594">
        <v>1.4500000000000001E-2</v>
      </c>
      <c r="BH141" s="594">
        <v>1.1299999999999999E-2</v>
      </c>
      <c r="BI141" s="594">
        <v>9.2999999999999992E-3</v>
      </c>
      <c r="BJ141" s="594">
        <v>1.7999999999999999E-2</v>
      </c>
      <c r="BK141" s="594">
        <v>1.46E-2</v>
      </c>
      <c r="BL141" s="594">
        <v>1.55E-2</v>
      </c>
      <c r="BM141" s="594">
        <v>2.3E-3</v>
      </c>
      <c r="BN141" s="594">
        <v>0.29599999999999999</v>
      </c>
      <c r="BO141" s="594">
        <v>0.06</v>
      </c>
      <c r="BP141" s="594">
        <v>0.312</v>
      </c>
      <c r="BQ141" s="594">
        <v>0.21199999999999999</v>
      </c>
      <c r="BR141" s="594">
        <v>0.18</v>
      </c>
      <c r="BS141" s="594">
        <v>0.1111</v>
      </c>
      <c r="BT141" s="594">
        <v>0.25</v>
      </c>
      <c r="BU141" s="594">
        <v>0.27</v>
      </c>
      <c r="BV141" s="594">
        <v>0.17</v>
      </c>
      <c r="BW141" s="594">
        <v>0.2</v>
      </c>
      <c r="BX141" s="594">
        <v>0.13</v>
      </c>
      <c r="BY141" s="594">
        <v>0.32900000000000001</v>
      </c>
      <c r="BZ141" s="594">
        <v>8.6999999999999994E-2</v>
      </c>
      <c r="CA141" s="594">
        <v>0</v>
      </c>
      <c r="CB141" s="593">
        <v>0.25</v>
      </c>
      <c r="CC141" s="594">
        <v>0.3</v>
      </c>
      <c r="CD141" s="594">
        <v>0.13</v>
      </c>
      <c r="CE141" s="594">
        <v>0.3</v>
      </c>
      <c r="CF141" s="594">
        <v>0.14599999999999999</v>
      </c>
      <c r="CG141" s="594">
        <v>0.22</v>
      </c>
      <c r="CH141" s="594">
        <v>0.27</v>
      </c>
      <c r="CI141" s="594">
        <v>0.25</v>
      </c>
      <c r="CJ141" s="594">
        <v>0</v>
      </c>
      <c r="CK141" s="594">
        <v>5.2499999999999998E-2</v>
      </c>
      <c r="CL141" s="594">
        <v>0.107</v>
      </c>
      <c r="CM141" s="594">
        <v>0.188</v>
      </c>
      <c r="CN141" s="594">
        <v>0.3</v>
      </c>
      <c r="CO141" s="594">
        <v>0.2</v>
      </c>
      <c r="CP141" s="594">
        <v>0.23</v>
      </c>
      <c r="CQ141" s="594">
        <v>0.35</v>
      </c>
      <c r="CR141" s="594">
        <v>0.35</v>
      </c>
      <c r="CS141" s="597"/>
      <c r="CT141" s="591">
        <v>2.4E-2</v>
      </c>
      <c r="CU141" s="1233">
        <v>2.7021E-2</v>
      </c>
      <c r="CV141" s="591">
        <v>1E-3</v>
      </c>
      <c r="CW141" s="915">
        <v>1.9370999999999999E-2</v>
      </c>
      <c r="CX141" s="594">
        <v>3.3000000000000002E-2</v>
      </c>
      <c r="CY141" s="1234"/>
      <c r="CZ141" s="591">
        <v>2.1000000000000001E-2</v>
      </c>
      <c r="DA141" s="594">
        <v>1.6E-2</v>
      </c>
      <c r="DB141" s="594">
        <v>1.4999999999999999E-2</v>
      </c>
      <c r="DC141" s="594">
        <v>1.4E-2</v>
      </c>
      <c r="DD141" s="594">
        <v>2.4E-2</v>
      </c>
      <c r="DE141" s="594">
        <v>0.03</v>
      </c>
      <c r="DF141" s="594">
        <v>1.0999999999999999E-2</v>
      </c>
      <c r="DG141" s="594">
        <v>2.8000000000000001E-2</v>
      </c>
      <c r="DH141" s="594">
        <v>2.7E-2</v>
      </c>
      <c r="DI141" s="915">
        <v>3.2308999999999997E-2</v>
      </c>
      <c r="DJ141" s="1234"/>
      <c r="DK141" s="594">
        <v>2.7E-2</v>
      </c>
      <c r="DL141" s="594">
        <v>1.7000000000000001E-2</v>
      </c>
      <c r="DM141" s="594">
        <v>1.4E-2</v>
      </c>
      <c r="DN141" s="915">
        <v>2.6445E-2</v>
      </c>
      <c r="DO141" s="594">
        <v>1.7999999999999999E-2</v>
      </c>
      <c r="DP141" s="594">
        <v>8.0000000000000002E-3</v>
      </c>
      <c r="DQ141" s="1234"/>
      <c r="DR141" s="591"/>
      <c r="DS141" s="1234"/>
      <c r="DT141" s="594">
        <v>1.6E-2</v>
      </c>
      <c r="DU141" s="594">
        <v>1.4E-2</v>
      </c>
      <c r="DV141" s="594">
        <v>3.2000000000000001E-2</v>
      </c>
      <c r="DW141" s="594">
        <v>3.3000000000000002E-2</v>
      </c>
      <c r="DX141" s="594">
        <v>3.3000000000000002E-2</v>
      </c>
      <c r="DY141" s="594">
        <v>1.0999999999999999E-2</v>
      </c>
      <c r="DZ141" s="916"/>
      <c r="EA141" s="1493"/>
    </row>
    <row r="142" spans="1:131" x14ac:dyDescent="0.3">
      <c r="A142" s="935">
        <v>43313</v>
      </c>
      <c r="B142" s="589">
        <v>0.15</v>
      </c>
      <c r="C142" s="590">
        <v>7.0000000000000007E-2</v>
      </c>
      <c r="D142" s="590">
        <v>0.04</v>
      </c>
      <c r="E142" s="590">
        <v>0.05</v>
      </c>
      <c r="F142" s="591">
        <v>0.1263</v>
      </c>
      <c r="G142" s="589">
        <v>0.1111</v>
      </c>
      <c r="H142" s="589">
        <v>0.1</v>
      </c>
      <c r="I142" s="590">
        <v>0.1</v>
      </c>
      <c r="J142" s="591">
        <v>0.115</v>
      </c>
      <c r="K142" s="590">
        <v>0.15</v>
      </c>
      <c r="L142" s="589">
        <v>4.2500000000000003E-2</v>
      </c>
      <c r="M142" s="592">
        <v>0.81</v>
      </c>
      <c r="N142" s="590">
        <v>0.1</v>
      </c>
      <c r="O142" s="589">
        <v>0</v>
      </c>
      <c r="P142" s="593">
        <v>7.7499999999999999E-2</v>
      </c>
      <c r="Q142" s="1287">
        <v>0.115</v>
      </c>
      <c r="R142" s="590">
        <v>0.2</v>
      </c>
      <c r="S142" s="589">
        <v>2.2499999999999999E-2</v>
      </c>
      <c r="T142" s="594">
        <v>0.107</v>
      </c>
      <c r="U142" s="591">
        <v>6.2E-2</v>
      </c>
      <c r="V142" s="589">
        <v>0.16</v>
      </c>
      <c r="W142" s="589">
        <v>0.11</v>
      </c>
      <c r="X142" s="590">
        <v>0</v>
      </c>
      <c r="Y142" s="590">
        <v>0.1</v>
      </c>
      <c r="Z142" s="589">
        <v>0.2</v>
      </c>
      <c r="AA142" s="589">
        <v>0</v>
      </c>
      <c r="AB142" s="590">
        <v>0.2</v>
      </c>
      <c r="AC142" s="1231">
        <v>0.15</v>
      </c>
      <c r="AD142" s="590">
        <v>0.12</v>
      </c>
      <c r="AE142" s="590">
        <v>0.2</v>
      </c>
      <c r="AF142" s="591">
        <v>0.12</v>
      </c>
      <c r="AG142" s="590">
        <v>0</v>
      </c>
      <c r="AH142" s="594">
        <v>1.1599999999999999E-2</v>
      </c>
      <c r="AI142" s="594">
        <v>1.5299999999999999E-2</v>
      </c>
      <c r="AJ142" s="594">
        <v>1.2200000000000001E-2</v>
      </c>
      <c r="AK142" s="594">
        <v>1.3100000000000001E-2</v>
      </c>
      <c r="AL142" s="594">
        <v>1.32E-2</v>
      </c>
      <c r="AM142" s="596"/>
      <c r="AN142" s="594">
        <v>1.32E-2</v>
      </c>
      <c r="AO142" s="594">
        <v>1.15E-2</v>
      </c>
      <c r="AP142" s="594">
        <v>1.11E-2</v>
      </c>
      <c r="AQ142" s="594">
        <v>1.0200000000000001E-2</v>
      </c>
      <c r="AR142" s="594">
        <v>1.49E-2</v>
      </c>
      <c r="AS142" s="596"/>
      <c r="AT142" s="594">
        <v>5.7000000000000002E-3</v>
      </c>
      <c r="AU142" s="594">
        <v>7.3000000000000001E-3</v>
      </c>
      <c r="AV142" s="594">
        <v>1.7100000000000001E-2</v>
      </c>
      <c r="AW142" s="594">
        <v>7.9000000000000008E-3</v>
      </c>
      <c r="AX142" s="594">
        <v>9.4999999999999998E-3</v>
      </c>
      <c r="AY142" s="594">
        <v>2.53E-2</v>
      </c>
      <c r="AZ142" s="594">
        <v>8.5000000000000006E-3</v>
      </c>
      <c r="BA142" s="594">
        <v>1.06E-2</v>
      </c>
      <c r="BB142" s="594">
        <v>1.01E-2</v>
      </c>
      <c r="BC142" s="594">
        <v>1.14E-2</v>
      </c>
      <c r="BD142" s="594">
        <v>4.7999999999999996E-3</v>
      </c>
      <c r="BE142" s="594">
        <v>1.03E-2</v>
      </c>
      <c r="BF142" s="594">
        <v>1.3299999999999999E-2</v>
      </c>
      <c r="BG142" s="594">
        <v>1.4500000000000001E-2</v>
      </c>
      <c r="BH142" s="594">
        <v>1.1299999999999999E-2</v>
      </c>
      <c r="BI142" s="594">
        <v>9.2999999999999992E-3</v>
      </c>
      <c r="BJ142" s="594">
        <v>1.7999999999999999E-2</v>
      </c>
      <c r="BK142" s="594">
        <v>1.46E-2</v>
      </c>
      <c r="BL142" s="594">
        <v>1.55E-2</v>
      </c>
      <c r="BM142" s="594">
        <v>2.3E-3</v>
      </c>
      <c r="BN142" s="594">
        <v>0.29599999999999999</v>
      </c>
      <c r="BO142" s="594">
        <v>0.06</v>
      </c>
      <c r="BP142" s="594">
        <v>0.312</v>
      </c>
      <c r="BQ142" s="594">
        <v>0.21199999999999999</v>
      </c>
      <c r="BR142" s="594">
        <v>0.18</v>
      </c>
      <c r="BS142" s="594">
        <v>0.1111</v>
      </c>
      <c r="BT142" s="594">
        <v>0.25</v>
      </c>
      <c r="BU142" s="594">
        <v>0.27</v>
      </c>
      <c r="BV142" s="594">
        <v>0.17</v>
      </c>
      <c r="BW142" s="594">
        <v>0.2</v>
      </c>
      <c r="BX142" s="594">
        <v>0.13</v>
      </c>
      <c r="BY142" s="594">
        <v>0.32900000000000001</v>
      </c>
      <c r="BZ142" s="594">
        <v>8.6999999999999994E-2</v>
      </c>
      <c r="CA142" s="594">
        <v>0</v>
      </c>
      <c r="CB142" s="593">
        <v>0.25</v>
      </c>
      <c r="CC142" s="594">
        <v>0.3</v>
      </c>
      <c r="CD142" s="594">
        <v>0.13</v>
      </c>
      <c r="CE142" s="594">
        <v>0.3</v>
      </c>
      <c r="CF142" s="594">
        <v>0.14599999999999999</v>
      </c>
      <c r="CG142" s="594">
        <v>0.22</v>
      </c>
      <c r="CH142" s="594">
        <v>0.27</v>
      </c>
      <c r="CI142" s="594">
        <v>0.25</v>
      </c>
      <c r="CJ142" s="594">
        <v>0</v>
      </c>
      <c r="CK142" s="594">
        <v>5.2499999999999998E-2</v>
      </c>
      <c r="CL142" s="594">
        <v>0.107</v>
      </c>
      <c r="CM142" s="594">
        <v>0.188</v>
      </c>
      <c r="CN142" s="594">
        <v>0.3</v>
      </c>
      <c r="CO142" s="594">
        <v>0.2</v>
      </c>
      <c r="CP142" s="594">
        <v>0.23</v>
      </c>
      <c r="CQ142" s="594">
        <v>0.35</v>
      </c>
      <c r="CR142" s="594">
        <v>0.35</v>
      </c>
      <c r="CS142" s="597"/>
      <c r="CT142" s="591">
        <v>2.4E-2</v>
      </c>
      <c r="CU142" s="1233">
        <v>2.7021E-2</v>
      </c>
      <c r="CV142" s="591">
        <v>1E-3</v>
      </c>
      <c r="CW142" s="915">
        <v>1.9370999999999999E-2</v>
      </c>
      <c r="CX142" s="594">
        <v>3.3000000000000002E-2</v>
      </c>
      <c r="CY142" s="1234"/>
      <c r="CZ142" s="591">
        <v>2.1000000000000001E-2</v>
      </c>
      <c r="DA142" s="594">
        <v>1.6E-2</v>
      </c>
      <c r="DB142" s="594">
        <v>1.4999999999999999E-2</v>
      </c>
      <c r="DC142" s="594">
        <v>1.4E-2</v>
      </c>
      <c r="DD142" s="594">
        <v>2.4E-2</v>
      </c>
      <c r="DE142" s="594">
        <v>0.03</v>
      </c>
      <c r="DF142" s="594">
        <v>1.0999999999999999E-2</v>
      </c>
      <c r="DG142" s="594">
        <v>2.8000000000000001E-2</v>
      </c>
      <c r="DH142" s="594">
        <v>2.7E-2</v>
      </c>
      <c r="DI142" s="915">
        <v>3.2308999999999997E-2</v>
      </c>
      <c r="DJ142" s="1234"/>
      <c r="DK142" s="594">
        <v>2.7E-2</v>
      </c>
      <c r="DL142" s="594">
        <v>1.7000000000000001E-2</v>
      </c>
      <c r="DM142" s="594">
        <v>1.4E-2</v>
      </c>
      <c r="DN142" s="915">
        <v>2.6445E-2</v>
      </c>
      <c r="DO142" s="594">
        <v>1.7999999999999999E-2</v>
      </c>
      <c r="DP142" s="594">
        <v>8.0000000000000002E-3</v>
      </c>
      <c r="DQ142" s="1234"/>
      <c r="DR142" s="591"/>
      <c r="DS142" s="1234"/>
      <c r="DT142" s="594">
        <v>1.6E-2</v>
      </c>
      <c r="DU142" s="594">
        <v>1.4E-2</v>
      </c>
      <c r="DV142" s="594">
        <v>3.2000000000000001E-2</v>
      </c>
      <c r="DW142" s="594">
        <v>3.3000000000000002E-2</v>
      </c>
      <c r="DX142" s="594">
        <v>3.3000000000000002E-2</v>
      </c>
      <c r="DY142" s="594">
        <v>1.0999999999999999E-2</v>
      </c>
      <c r="DZ142" s="916"/>
      <c r="EA142" s="1493"/>
    </row>
    <row r="143" spans="1:131" x14ac:dyDescent="0.3">
      <c r="A143" s="935">
        <v>43344</v>
      </c>
      <c r="B143" s="589">
        <v>0.15</v>
      </c>
      <c r="C143" s="590">
        <v>7.0000000000000007E-2</v>
      </c>
      <c r="D143" s="590">
        <v>0.04</v>
      </c>
      <c r="E143" s="590">
        <v>0.05</v>
      </c>
      <c r="F143" s="591">
        <v>0.1263</v>
      </c>
      <c r="G143" s="589">
        <v>0.1111</v>
      </c>
      <c r="H143" s="589">
        <v>0.1</v>
      </c>
      <c r="I143" s="590">
        <v>0.1</v>
      </c>
      <c r="J143" s="591">
        <v>0.115</v>
      </c>
      <c r="K143" s="590">
        <v>0.15</v>
      </c>
      <c r="L143" s="589">
        <v>4.2500000000000003E-2</v>
      </c>
      <c r="M143" s="592">
        <v>0.81</v>
      </c>
      <c r="N143" s="590">
        <v>0.1</v>
      </c>
      <c r="O143" s="589">
        <v>0</v>
      </c>
      <c r="P143" s="593">
        <v>7.7499999999999999E-2</v>
      </c>
      <c r="Q143" s="1287">
        <v>0.115</v>
      </c>
      <c r="R143" s="590">
        <v>0.2</v>
      </c>
      <c r="S143" s="589">
        <v>2.2499999999999999E-2</v>
      </c>
      <c r="T143" s="594">
        <v>0.107</v>
      </c>
      <c r="U143" s="591">
        <v>6.2E-2</v>
      </c>
      <c r="V143" s="589">
        <v>0.16</v>
      </c>
      <c r="W143" s="589">
        <v>0.11</v>
      </c>
      <c r="X143" s="590">
        <v>0</v>
      </c>
      <c r="Y143" s="590">
        <v>0.1</v>
      </c>
      <c r="Z143" s="589">
        <v>0.2</v>
      </c>
      <c r="AA143" s="589">
        <v>0</v>
      </c>
      <c r="AB143" s="590">
        <v>0.2</v>
      </c>
      <c r="AC143" s="1231">
        <v>0.15</v>
      </c>
      <c r="AD143" s="590">
        <v>0.12</v>
      </c>
      <c r="AE143" s="590">
        <v>0.2</v>
      </c>
      <c r="AF143" s="591">
        <v>0.12</v>
      </c>
      <c r="AG143" s="590">
        <v>0</v>
      </c>
      <c r="AH143" s="594">
        <v>1.1599999999999999E-2</v>
      </c>
      <c r="AI143" s="594">
        <v>1.5299999999999999E-2</v>
      </c>
      <c r="AJ143" s="594">
        <v>1.2200000000000001E-2</v>
      </c>
      <c r="AK143" s="594">
        <v>1.3100000000000001E-2</v>
      </c>
      <c r="AL143" s="594">
        <v>1.32E-2</v>
      </c>
      <c r="AM143" s="596"/>
      <c r="AN143" s="594">
        <v>1.32E-2</v>
      </c>
      <c r="AO143" s="594">
        <v>1.15E-2</v>
      </c>
      <c r="AP143" s="594">
        <v>1.11E-2</v>
      </c>
      <c r="AQ143" s="594">
        <v>1.0200000000000001E-2</v>
      </c>
      <c r="AR143" s="594">
        <v>1.49E-2</v>
      </c>
      <c r="AS143" s="596"/>
      <c r="AT143" s="594">
        <v>5.7000000000000002E-3</v>
      </c>
      <c r="AU143" s="594">
        <v>7.3000000000000001E-3</v>
      </c>
      <c r="AV143" s="594">
        <v>1.7100000000000001E-2</v>
      </c>
      <c r="AW143" s="594">
        <v>7.9000000000000008E-3</v>
      </c>
      <c r="AX143" s="594">
        <v>9.4999999999999998E-3</v>
      </c>
      <c r="AY143" s="594">
        <v>2.53E-2</v>
      </c>
      <c r="AZ143" s="594">
        <v>8.5000000000000006E-3</v>
      </c>
      <c r="BA143" s="594">
        <v>1.06E-2</v>
      </c>
      <c r="BB143" s="594">
        <v>1.01E-2</v>
      </c>
      <c r="BC143" s="594">
        <v>1.14E-2</v>
      </c>
      <c r="BD143" s="594">
        <v>4.7999999999999996E-3</v>
      </c>
      <c r="BE143" s="594">
        <v>1.03E-2</v>
      </c>
      <c r="BF143" s="594">
        <v>1.3299999999999999E-2</v>
      </c>
      <c r="BG143" s="594">
        <v>1.4500000000000001E-2</v>
      </c>
      <c r="BH143" s="594">
        <v>1.1299999999999999E-2</v>
      </c>
      <c r="BI143" s="594">
        <v>9.2999999999999992E-3</v>
      </c>
      <c r="BJ143" s="594">
        <v>1.7999999999999999E-2</v>
      </c>
      <c r="BK143" s="594">
        <v>1.46E-2</v>
      </c>
      <c r="BL143" s="594">
        <v>1.55E-2</v>
      </c>
      <c r="BM143" s="594">
        <v>2.3E-3</v>
      </c>
      <c r="BN143" s="594">
        <v>0.29599999999999999</v>
      </c>
      <c r="BO143" s="594">
        <v>0.06</v>
      </c>
      <c r="BP143" s="594">
        <v>0.312</v>
      </c>
      <c r="BQ143" s="594">
        <v>0.21199999999999999</v>
      </c>
      <c r="BR143" s="594">
        <v>0.18</v>
      </c>
      <c r="BS143" s="594">
        <v>0.1111</v>
      </c>
      <c r="BT143" s="594">
        <v>0.25</v>
      </c>
      <c r="BU143" s="594">
        <v>0.27</v>
      </c>
      <c r="BV143" s="594">
        <v>0.17</v>
      </c>
      <c r="BW143" s="594">
        <v>0.2</v>
      </c>
      <c r="BX143" s="594">
        <v>0.13</v>
      </c>
      <c r="BY143" s="594">
        <v>0.32900000000000001</v>
      </c>
      <c r="BZ143" s="594">
        <v>8.6999999999999994E-2</v>
      </c>
      <c r="CA143" s="594">
        <v>0</v>
      </c>
      <c r="CB143" s="593">
        <v>0.25</v>
      </c>
      <c r="CC143" s="594">
        <v>0.3</v>
      </c>
      <c r="CD143" s="594">
        <v>0.13</v>
      </c>
      <c r="CE143" s="594">
        <v>0.3</v>
      </c>
      <c r="CF143" s="594">
        <v>0.14599999999999999</v>
      </c>
      <c r="CG143" s="594">
        <v>0.22</v>
      </c>
      <c r="CH143" s="594">
        <v>0.27</v>
      </c>
      <c r="CI143" s="594">
        <v>0.25</v>
      </c>
      <c r="CJ143" s="594">
        <v>0</v>
      </c>
      <c r="CK143" s="594">
        <v>5.2499999999999998E-2</v>
      </c>
      <c r="CL143" s="594">
        <v>0.107</v>
      </c>
      <c r="CM143" s="594">
        <v>0.188</v>
      </c>
      <c r="CN143" s="594">
        <v>0.3</v>
      </c>
      <c r="CO143" s="594">
        <v>0.2</v>
      </c>
      <c r="CP143" s="594">
        <v>0.23</v>
      </c>
      <c r="CQ143" s="594">
        <v>0.35</v>
      </c>
      <c r="CR143" s="594">
        <v>0.35</v>
      </c>
      <c r="CS143" s="597"/>
      <c r="CT143" s="591">
        <v>2.4E-2</v>
      </c>
      <c r="CU143" s="1233">
        <v>2.7021E-2</v>
      </c>
      <c r="CV143" s="591">
        <v>1E-3</v>
      </c>
      <c r="CW143" s="915">
        <v>1.9370999999999999E-2</v>
      </c>
      <c r="CX143" s="594">
        <v>3.3000000000000002E-2</v>
      </c>
      <c r="CY143" s="1234"/>
      <c r="CZ143" s="591">
        <v>2.1000000000000001E-2</v>
      </c>
      <c r="DA143" s="594">
        <v>1.6E-2</v>
      </c>
      <c r="DB143" s="594">
        <v>1.4999999999999999E-2</v>
      </c>
      <c r="DC143" s="594">
        <v>1.4E-2</v>
      </c>
      <c r="DD143" s="594">
        <v>2.4E-2</v>
      </c>
      <c r="DE143" s="594">
        <v>0.03</v>
      </c>
      <c r="DF143" s="594">
        <v>1.0999999999999999E-2</v>
      </c>
      <c r="DG143" s="594">
        <v>2.8000000000000001E-2</v>
      </c>
      <c r="DH143" s="594">
        <v>2.7E-2</v>
      </c>
      <c r="DI143" s="915">
        <v>3.2308999999999997E-2</v>
      </c>
      <c r="DJ143" s="1234"/>
      <c r="DK143" s="594">
        <v>2.7E-2</v>
      </c>
      <c r="DL143" s="594">
        <v>1.7000000000000001E-2</v>
      </c>
      <c r="DM143" s="594">
        <v>1.4E-2</v>
      </c>
      <c r="DN143" s="915">
        <v>2.6445E-2</v>
      </c>
      <c r="DO143" s="594">
        <v>1.7999999999999999E-2</v>
      </c>
      <c r="DP143" s="594">
        <v>8.0000000000000002E-3</v>
      </c>
      <c r="DQ143" s="1234"/>
      <c r="DR143" s="591"/>
      <c r="DS143" s="1234"/>
      <c r="DT143" s="594">
        <v>1.6E-2</v>
      </c>
      <c r="DU143" s="594">
        <v>1.4E-2</v>
      </c>
      <c r="DV143" s="594">
        <v>3.2000000000000001E-2</v>
      </c>
      <c r="DW143" s="594">
        <v>3.3000000000000002E-2</v>
      </c>
      <c r="DX143" s="594">
        <v>3.3000000000000002E-2</v>
      </c>
      <c r="DY143" s="594">
        <v>1.0999999999999999E-2</v>
      </c>
      <c r="DZ143" s="916"/>
      <c r="EA143" s="1493"/>
    </row>
    <row r="144" spans="1:131" x14ac:dyDescent="0.3">
      <c r="A144" s="935">
        <v>43374</v>
      </c>
      <c r="B144" s="589">
        <v>0.15</v>
      </c>
      <c r="C144" s="590">
        <v>7.0000000000000007E-2</v>
      </c>
      <c r="D144" s="590">
        <v>0.04</v>
      </c>
      <c r="E144" s="590">
        <v>0.05</v>
      </c>
      <c r="F144" s="591">
        <v>0.1263</v>
      </c>
      <c r="G144" s="589">
        <v>0.1111</v>
      </c>
      <c r="H144" s="589">
        <v>0.1</v>
      </c>
      <c r="I144" s="590">
        <v>0.1</v>
      </c>
      <c r="J144" s="591">
        <v>0.115</v>
      </c>
      <c r="K144" s="590">
        <v>0.15</v>
      </c>
      <c r="L144" s="589">
        <v>4.2500000000000003E-2</v>
      </c>
      <c r="M144" s="592">
        <v>0.81</v>
      </c>
      <c r="N144" s="590">
        <v>0.1</v>
      </c>
      <c r="O144" s="589">
        <v>0</v>
      </c>
      <c r="P144" s="593">
        <v>7.7499999999999999E-2</v>
      </c>
      <c r="Q144" s="1287">
        <v>0.115</v>
      </c>
      <c r="R144" s="590">
        <v>0.2</v>
      </c>
      <c r="S144" s="589">
        <v>2.2499999999999999E-2</v>
      </c>
      <c r="T144" s="594">
        <v>0.107</v>
      </c>
      <c r="U144" s="591">
        <v>6.2E-2</v>
      </c>
      <c r="V144" s="589">
        <v>0.16</v>
      </c>
      <c r="W144" s="589">
        <v>0.11</v>
      </c>
      <c r="X144" s="590">
        <v>0</v>
      </c>
      <c r="Y144" s="590">
        <v>0.1</v>
      </c>
      <c r="Z144" s="589">
        <v>0.2</v>
      </c>
      <c r="AA144" s="589">
        <v>0</v>
      </c>
      <c r="AB144" s="590">
        <v>0.2</v>
      </c>
      <c r="AC144" s="1231">
        <v>0.15</v>
      </c>
      <c r="AD144" s="590">
        <v>0.12</v>
      </c>
      <c r="AE144" s="590">
        <v>0.2</v>
      </c>
      <c r="AF144" s="591">
        <v>0.12</v>
      </c>
      <c r="AG144" s="590">
        <v>0</v>
      </c>
      <c r="AH144" s="594">
        <v>1.1599999999999999E-2</v>
      </c>
      <c r="AI144" s="594">
        <v>1.5299999999999999E-2</v>
      </c>
      <c r="AJ144" s="594">
        <v>1.2200000000000001E-2</v>
      </c>
      <c r="AK144" s="594">
        <v>1.3100000000000001E-2</v>
      </c>
      <c r="AL144" s="594">
        <v>1.32E-2</v>
      </c>
      <c r="AM144" s="596"/>
      <c r="AN144" s="594">
        <v>1.32E-2</v>
      </c>
      <c r="AO144" s="594">
        <v>1.15E-2</v>
      </c>
      <c r="AP144" s="594">
        <v>1.11E-2</v>
      </c>
      <c r="AQ144" s="594">
        <v>1.0200000000000001E-2</v>
      </c>
      <c r="AR144" s="594">
        <v>1.49E-2</v>
      </c>
      <c r="AS144" s="596"/>
      <c r="AT144" s="594">
        <v>5.7000000000000002E-3</v>
      </c>
      <c r="AU144" s="594">
        <v>7.3000000000000001E-3</v>
      </c>
      <c r="AV144" s="594">
        <v>1.7100000000000001E-2</v>
      </c>
      <c r="AW144" s="594">
        <v>7.9000000000000008E-3</v>
      </c>
      <c r="AX144" s="594">
        <v>9.4999999999999998E-3</v>
      </c>
      <c r="AY144" s="594">
        <v>2.53E-2</v>
      </c>
      <c r="AZ144" s="594">
        <v>8.5000000000000006E-3</v>
      </c>
      <c r="BA144" s="594">
        <v>1.06E-2</v>
      </c>
      <c r="BB144" s="594">
        <v>1.01E-2</v>
      </c>
      <c r="BC144" s="594">
        <v>1.14E-2</v>
      </c>
      <c r="BD144" s="594">
        <v>4.7999999999999996E-3</v>
      </c>
      <c r="BE144" s="594">
        <v>1.03E-2</v>
      </c>
      <c r="BF144" s="594">
        <v>1.3299999999999999E-2</v>
      </c>
      <c r="BG144" s="594">
        <v>1.4500000000000001E-2</v>
      </c>
      <c r="BH144" s="594">
        <v>1.1299999999999999E-2</v>
      </c>
      <c r="BI144" s="594">
        <v>9.2999999999999992E-3</v>
      </c>
      <c r="BJ144" s="594">
        <v>1.7999999999999999E-2</v>
      </c>
      <c r="BK144" s="594">
        <v>1.46E-2</v>
      </c>
      <c r="BL144" s="594">
        <v>1.55E-2</v>
      </c>
      <c r="BM144" s="594">
        <v>2.3E-3</v>
      </c>
      <c r="BN144" s="594">
        <v>0.29599999999999999</v>
      </c>
      <c r="BO144" s="594">
        <v>0.06</v>
      </c>
      <c r="BP144" s="594">
        <v>0.312</v>
      </c>
      <c r="BQ144" s="594">
        <v>0.21199999999999999</v>
      </c>
      <c r="BR144" s="594">
        <v>0.18</v>
      </c>
      <c r="BS144" s="594">
        <v>0.1111</v>
      </c>
      <c r="BT144" s="594">
        <v>0.25</v>
      </c>
      <c r="BU144" s="594">
        <v>0.27</v>
      </c>
      <c r="BV144" s="594">
        <v>0.17</v>
      </c>
      <c r="BW144" s="594">
        <v>0.2</v>
      </c>
      <c r="BX144" s="594">
        <v>0.13</v>
      </c>
      <c r="BY144" s="594">
        <v>0.32900000000000001</v>
      </c>
      <c r="BZ144" s="594">
        <v>8.6999999999999994E-2</v>
      </c>
      <c r="CA144" s="594">
        <v>0</v>
      </c>
      <c r="CB144" s="593">
        <v>0.25</v>
      </c>
      <c r="CC144" s="594">
        <v>0.3</v>
      </c>
      <c r="CD144" s="594">
        <v>0.13</v>
      </c>
      <c r="CE144" s="594">
        <v>0.3</v>
      </c>
      <c r="CF144" s="594">
        <v>0.14599999999999999</v>
      </c>
      <c r="CG144" s="594">
        <v>0.22</v>
      </c>
      <c r="CH144" s="594">
        <v>0.27</v>
      </c>
      <c r="CI144" s="594">
        <v>0.25</v>
      </c>
      <c r="CJ144" s="594">
        <v>0</v>
      </c>
      <c r="CK144" s="594">
        <v>5.2499999999999998E-2</v>
      </c>
      <c r="CL144" s="594">
        <v>0.107</v>
      </c>
      <c r="CM144" s="594">
        <v>0.188</v>
      </c>
      <c r="CN144" s="594">
        <v>0.3</v>
      </c>
      <c r="CO144" s="594">
        <v>0.2</v>
      </c>
      <c r="CP144" s="594">
        <v>0.23</v>
      </c>
      <c r="CQ144" s="594">
        <v>0.35</v>
      </c>
      <c r="CR144" s="594">
        <v>0.35</v>
      </c>
      <c r="CS144" s="597"/>
      <c r="CT144" s="591">
        <v>2.4E-2</v>
      </c>
      <c r="CU144" s="1233">
        <v>2.7021E-2</v>
      </c>
      <c r="CV144" s="591">
        <v>1E-3</v>
      </c>
      <c r="CW144" s="915">
        <v>1.9370999999999999E-2</v>
      </c>
      <c r="CX144" s="594">
        <v>3.3000000000000002E-2</v>
      </c>
      <c r="CY144" s="1234"/>
      <c r="CZ144" s="591">
        <v>2.1000000000000001E-2</v>
      </c>
      <c r="DA144" s="594">
        <v>1.6E-2</v>
      </c>
      <c r="DB144" s="594">
        <v>1.4999999999999999E-2</v>
      </c>
      <c r="DC144" s="594">
        <v>1.4E-2</v>
      </c>
      <c r="DD144" s="594">
        <v>2.4E-2</v>
      </c>
      <c r="DE144" s="594">
        <v>0.03</v>
      </c>
      <c r="DF144" s="594">
        <v>1.0999999999999999E-2</v>
      </c>
      <c r="DG144" s="594">
        <v>2.8000000000000001E-2</v>
      </c>
      <c r="DH144" s="594">
        <v>2.7E-2</v>
      </c>
      <c r="DI144" s="915">
        <v>3.2309000000000004E-2</v>
      </c>
      <c r="DJ144" s="1234"/>
      <c r="DK144" s="594">
        <v>2.7E-2</v>
      </c>
      <c r="DL144" s="594">
        <v>1.7000000000000001E-2</v>
      </c>
      <c r="DM144" s="594">
        <v>1.4E-2</v>
      </c>
      <c r="DN144" s="915">
        <v>2.6445E-2</v>
      </c>
      <c r="DO144" s="594">
        <v>1.7999999999999999E-2</v>
      </c>
      <c r="DP144" s="594">
        <v>8.0000000000000002E-3</v>
      </c>
      <c r="DQ144" s="1234"/>
      <c r="DR144" s="591"/>
      <c r="DS144" s="1234"/>
      <c r="DT144" s="594">
        <v>1.6E-2</v>
      </c>
      <c r="DU144" s="594">
        <v>1.4E-2</v>
      </c>
      <c r="DV144" s="594">
        <v>3.2000000000000001E-2</v>
      </c>
      <c r="DW144" s="594">
        <v>3.3000000000000002E-2</v>
      </c>
      <c r="DX144" s="594">
        <v>3.3000000000000002E-2</v>
      </c>
      <c r="DY144" s="594">
        <v>1.0999999999999999E-2</v>
      </c>
      <c r="DZ144" s="916"/>
      <c r="EA144" s="1493"/>
    </row>
    <row r="145" spans="1:131" x14ac:dyDescent="0.3">
      <c r="A145" s="935">
        <v>43405</v>
      </c>
      <c r="B145" s="589">
        <v>0.15</v>
      </c>
      <c r="C145" s="590">
        <v>7.0000000000000007E-2</v>
      </c>
      <c r="D145" s="590">
        <v>0.04</v>
      </c>
      <c r="E145" s="590">
        <v>0.05</v>
      </c>
      <c r="F145" s="591">
        <v>0.1263</v>
      </c>
      <c r="G145" s="589">
        <v>0.1111</v>
      </c>
      <c r="H145" s="589">
        <v>0.1</v>
      </c>
      <c r="I145" s="590">
        <v>0.1</v>
      </c>
      <c r="J145" s="591">
        <v>0.115</v>
      </c>
      <c r="K145" s="590">
        <v>0.15</v>
      </c>
      <c r="L145" s="589">
        <v>4.2500000000000003E-2</v>
      </c>
      <c r="M145" s="592">
        <v>0.81</v>
      </c>
      <c r="N145" s="590">
        <v>0.1</v>
      </c>
      <c r="O145" s="589">
        <v>0</v>
      </c>
      <c r="P145" s="593">
        <v>7.7499999999999999E-2</v>
      </c>
      <c r="Q145" s="1287">
        <v>0.115</v>
      </c>
      <c r="R145" s="590">
        <v>0.2</v>
      </c>
      <c r="S145" s="589">
        <v>2.2499999999999999E-2</v>
      </c>
      <c r="T145" s="594">
        <v>0.107</v>
      </c>
      <c r="U145" s="591">
        <v>6.2E-2</v>
      </c>
      <c r="V145" s="589">
        <v>0.16</v>
      </c>
      <c r="W145" s="589">
        <v>0.11</v>
      </c>
      <c r="X145" s="590">
        <v>0</v>
      </c>
      <c r="Y145" s="590">
        <v>0.1</v>
      </c>
      <c r="Z145" s="589">
        <v>0.2</v>
      </c>
      <c r="AA145" s="589">
        <v>0</v>
      </c>
      <c r="AB145" s="590">
        <v>0.2</v>
      </c>
      <c r="AC145" s="1231">
        <v>0.15</v>
      </c>
      <c r="AD145" s="590">
        <v>0.12</v>
      </c>
      <c r="AE145" s="590">
        <v>0.2</v>
      </c>
      <c r="AF145" s="591">
        <v>0.12</v>
      </c>
      <c r="AG145" s="590">
        <v>0</v>
      </c>
      <c r="AH145" s="594">
        <v>1.1599999999999999E-2</v>
      </c>
      <c r="AI145" s="594">
        <v>1.5299999999999999E-2</v>
      </c>
      <c r="AJ145" s="594">
        <v>1.2200000000000001E-2</v>
      </c>
      <c r="AK145" s="594">
        <v>1.3100000000000001E-2</v>
      </c>
      <c r="AL145" s="594">
        <v>1.32E-2</v>
      </c>
      <c r="AM145" s="596"/>
      <c r="AN145" s="594">
        <v>1.32E-2</v>
      </c>
      <c r="AO145" s="594">
        <v>1.15E-2</v>
      </c>
      <c r="AP145" s="594">
        <v>1.11E-2</v>
      </c>
      <c r="AQ145" s="594">
        <v>1.0200000000000001E-2</v>
      </c>
      <c r="AR145" s="594">
        <v>1.49E-2</v>
      </c>
      <c r="AS145" s="596"/>
      <c r="AT145" s="594">
        <v>5.7000000000000002E-3</v>
      </c>
      <c r="AU145" s="594">
        <v>7.3000000000000001E-3</v>
      </c>
      <c r="AV145" s="594">
        <v>1.7100000000000001E-2</v>
      </c>
      <c r="AW145" s="594">
        <v>7.9000000000000008E-3</v>
      </c>
      <c r="AX145" s="594">
        <v>9.4999999999999998E-3</v>
      </c>
      <c r="AY145" s="594">
        <v>2.53E-2</v>
      </c>
      <c r="AZ145" s="594">
        <v>8.5000000000000006E-3</v>
      </c>
      <c r="BA145" s="594">
        <v>1.06E-2</v>
      </c>
      <c r="BB145" s="594">
        <v>1.01E-2</v>
      </c>
      <c r="BC145" s="594">
        <v>1.14E-2</v>
      </c>
      <c r="BD145" s="594">
        <v>4.7999999999999996E-3</v>
      </c>
      <c r="BE145" s="594">
        <v>1.03E-2</v>
      </c>
      <c r="BF145" s="594">
        <v>1.3299999999999999E-2</v>
      </c>
      <c r="BG145" s="594">
        <v>1.4500000000000001E-2</v>
      </c>
      <c r="BH145" s="594">
        <v>1.1299999999999999E-2</v>
      </c>
      <c r="BI145" s="594">
        <v>9.2999999999999992E-3</v>
      </c>
      <c r="BJ145" s="594">
        <v>1.7999999999999999E-2</v>
      </c>
      <c r="BK145" s="594">
        <v>1.46E-2</v>
      </c>
      <c r="BL145" s="594">
        <v>1.55E-2</v>
      </c>
      <c r="BM145" s="594">
        <v>2.3E-3</v>
      </c>
      <c r="BN145" s="594">
        <v>0.29599999999999999</v>
      </c>
      <c r="BO145" s="594">
        <v>0.06</v>
      </c>
      <c r="BP145" s="594">
        <v>0.312</v>
      </c>
      <c r="BQ145" s="594">
        <v>0.21199999999999999</v>
      </c>
      <c r="BR145" s="594">
        <v>0.18</v>
      </c>
      <c r="BS145" s="594">
        <v>0.1111</v>
      </c>
      <c r="BT145" s="594">
        <v>0.25</v>
      </c>
      <c r="BU145" s="594">
        <v>0.27</v>
      </c>
      <c r="BV145" s="594">
        <v>0.17</v>
      </c>
      <c r="BW145" s="594">
        <v>0.2</v>
      </c>
      <c r="BX145" s="594">
        <v>0.13</v>
      </c>
      <c r="BY145" s="594">
        <v>0.32900000000000001</v>
      </c>
      <c r="BZ145" s="594">
        <v>8.6999999999999994E-2</v>
      </c>
      <c r="CA145" s="594">
        <v>0</v>
      </c>
      <c r="CB145" s="593">
        <v>0.25</v>
      </c>
      <c r="CC145" s="594">
        <v>0.3</v>
      </c>
      <c r="CD145" s="594">
        <v>0.13</v>
      </c>
      <c r="CE145" s="594">
        <v>0.3</v>
      </c>
      <c r="CF145" s="594">
        <v>0.14599999999999999</v>
      </c>
      <c r="CG145" s="594">
        <v>0.22</v>
      </c>
      <c r="CH145" s="594">
        <v>0.27</v>
      </c>
      <c r="CI145" s="594">
        <v>0.25</v>
      </c>
      <c r="CJ145" s="594">
        <v>0</v>
      </c>
      <c r="CK145" s="594">
        <v>5.2499999999999998E-2</v>
      </c>
      <c r="CL145" s="594">
        <v>0.107</v>
      </c>
      <c r="CM145" s="594">
        <v>0.188</v>
      </c>
      <c r="CN145" s="594">
        <v>0.3</v>
      </c>
      <c r="CO145" s="594">
        <v>0.2</v>
      </c>
      <c r="CP145" s="594">
        <v>0.23</v>
      </c>
      <c r="CQ145" s="594">
        <v>0.35</v>
      </c>
      <c r="CR145" s="594">
        <v>0.35</v>
      </c>
      <c r="CS145" s="597"/>
      <c r="CT145" s="591">
        <v>2.4E-2</v>
      </c>
      <c r="CU145" s="1233">
        <v>2.7021E-2</v>
      </c>
      <c r="CV145" s="591">
        <v>1E-3</v>
      </c>
      <c r="CW145" s="915">
        <v>1.9370999999999999E-2</v>
      </c>
      <c r="CX145" s="594">
        <v>3.3000000000000002E-2</v>
      </c>
      <c r="CY145" s="1234"/>
      <c r="CZ145" s="591">
        <v>2.1000000000000001E-2</v>
      </c>
      <c r="DA145" s="594">
        <v>1.6E-2</v>
      </c>
      <c r="DB145" s="594">
        <v>1.4999999999999999E-2</v>
      </c>
      <c r="DC145" s="594">
        <v>1.4E-2</v>
      </c>
      <c r="DD145" s="594">
        <v>2.4E-2</v>
      </c>
      <c r="DE145" s="594">
        <v>0.03</v>
      </c>
      <c r="DF145" s="594">
        <v>1.0999999999999999E-2</v>
      </c>
      <c r="DG145" s="594">
        <v>2.8000000000000001E-2</v>
      </c>
      <c r="DH145" s="594">
        <v>2.7E-2</v>
      </c>
      <c r="DI145" s="915">
        <v>3.2309000000000004E-2</v>
      </c>
      <c r="DJ145" s="1234"/>
      <c r="DK145" s="594">
        <v>2.7E-2</v>
      </c>
      <c r="DL145" s="594">
        <v>1.7000000000000001E-2</v>
      </c>
      <c r="DM145" s="594">
        <v>1.4E-2</v>
      </c>
      <c r="DN145" s="915">
        <v>2.6445E-2</v>
      </c>
      <c r="DO145" s="594">
        <v>1.7999999999999999E-2</v>
      </c>
      <c r="DP145" s="594">
        <v>8.0000000000000002E-3</v>
      </c>
      <c r="DQ145" s="1234"/>
      <c r="DR145" s="591"/>
      <c r="DS145" s="1234"/>
      <c r="DT145" s="594">
        <v>1.6E-2</v>
      </c>
      <c r="DU145" s="594">
        <v>1.4E-2</v>
      </c>
      <c r="DV145" s="594">
        <v>3.2000000000000001E-2</v>
      </c>
      <c r="DW145" s="594">
        <v>3.3000000000000002E-2</v>
      </c>
      <c r="DX145" s="594">
        <v>3.3000000000000002E-2</v>
      </c>
      <c r="DY145" s="594">
        <v>1.0999999999999999E-2</v>
      </c>
      <c r="DZ145" s="916"/>
      <c r="EA145" s="1493"/>
    </row>
    <row r="146" spans="1:131" x14ac:dyDescent="0.3">
      <c r="A146" s="935">
        <v>43435</v>
      </c>
      <c r="B146" s="589">
        <v>0.15</v>
      </c>
      <c r="C146" s="590">
        <v>7.0000000000000007E-2</v>
      </c>
      <c r="D146" s="590">
        <v>0.04</v>
      </c>
      <c r="E146" s="590">
        <v>0.05</v>
      </c>
      <c r="F146" s="591">
        <v>0.1263</v>
      </c>
      <c r="G146" s="589">
        <v>0.1111</v>
      </c>
      <c r="H146" s="589">
        <v>0.1</v>
      </c>
      <c r="I146" s="590">
        <v>0.1</v>
      </c>
      <c r="J146" s="591">
        <v>0.115</v>
      </c>
      <c r="K146" s="590">
        <v>0.15</v>
      </c>
      <c r="L146" s="589">
        <v>4.2500000000000003E-2</v>
      </c>
      <c r="M146" s="592">
        <v>0.81</v>
      </c>
      <c r="N146" s="590">
        <v>0.1</v>
      </c>
      <c r="O146" s="589">
        <v>0</v>
      </c>
      <c r="P146" s="593">
        <v>7.7499999999999999E-2</v>
      </c>
      <c r="Q146" s="1287">
        <v>0.115</v>
      </c>
      <c r="R146" s="590">
        <v>0.2</v>
      </c>
      <c r="S146" s="589">
        <v>2.2499999999999999E-2</v>
      </c>
      <c r="T146" s="594">
        <v>0.107</v>
      </c>
      <c r="U146" s="591">
        <v>6.2E-2</v>
      </c>
      <c r="V146" s="589">
        <v>0.16</v>
      </c>
      <c r="W146" s="589">
        <v>0.11</v>
      </c>
      <c r="X146" s="590">
        <v>0</v>
      </c>
      <c r="Y146" s="590">
        <v>0.1</v>
      </c>
      <c r="Z146" s="589">
        <v>0.2</v>
      </c>
      <c r="AA146" s="589">
        <v>0</v>
      </c>
      <c r="AB146" s="590">
        <v>0.2</v>
      </c>
      <c r="AC146" s="1231">
        <v>0.15</v>
      </c>
      <c r="AD146" s="590">
        <v>0.12</v>
      </c>
      <c r="AE146" s="590">
        <v>0.2</v>
      </c>
      <c r="AF146" s="591">
        <v>0.12</v>
      </c>
      <c r="AG146" s="590">
        <v>0</v>
      </c>
      <c r="AH146" s="594">
        <v>1.1599999999999999E-2</v>
      </c>
      <c r="AI146" s="594">
        <v>1.5299999999999999E-2</v>
      </c>
      <c r="AJ146" s="594">
        <v>1.2200000000000001E-2</v>
      </c>
      <c r="AK146" s="594">
        <v>1.3100000000000001E-2</v>
      </c>
      <c r="AL146" s="594">
        <v>1.32E-2</v>
      </c>
      <c r="AM146" s="596"/>
      <c r="AN146" s="594">
        <v>1.32E-2</v>
      </c>
      <c r="AO146" s="594">
        <v>1.15E-2</v>
      </c>
      <c r="AP146" s="594">
        <v>1.11E-2</v>
      </c>
      <c r="AQ146" s="594">
        <v>1.0200000000000001E-2</v>
      </c>
      <c r="AR146" s="594">
        <v>1.49E-2</v>
      </c>
      <c r="AS146" s="596"/>
      <c r="AT146" s="594">
        <v>5.7000000000000002E-3</v>
      </c>
      <c r="AU146" s="594">
        <v>7.3000000000000001E-3</v>
      </c>
      <c r="AV146" s="594">
        <v>1.7100000000000001E-2</v>
      </c>
      <c r="AW146" s="594">
        <v>7.9000000000000008E-3</v>
      </c>
      <c r="AX146" s="594">
        <v>9.4999999999999998E-3</v>
      </c>
      <c r="AY146" s="594">
        <v>2.53E-2</v>
      </c>
      <c r="AZ146" s="594">
        <v>8.5000000000000006E-3</v>
      </c>
      <c r="BA146" s="594">
        <v>1.06E-2</v>
      </c>
      <c r="BB146" s="594">
        <v>1.01E-2</v>
      </c>
      <c r="BC146" s="594">
        <v>1.14E-2</v>
      </c>
      <c r="BD146" s="594">
        <v>4.7999999999999996E-3</v>
      </c>
      <c r="BE146" s="594">
        <v>1.03E-2</v>
      </c>
      <c r="BF146" s="594">
        <v>1.3299999999999999E-2</v>
      </c>
      <c r="BG146" s="594">
        <v>1.4500000000000001E-2</v>
      </c>
      <c r="BH146" s="594">
        <v>1.1299999999999999E-2</v>
      </c>
      <c r="BI146" s="594">
        <v>9.2999999999999992E-3</v>
      </c>
      <c r="BJ146" s="594">
        <v>1.7999999999999999E-2</v>
      </c>
      <c r="BK146" s="594">
        <v>1.46E-2</v>
      </c>
      <c r="BL146" s="594">
        <v>1.55E-2</v>
      </c>
      <c r="BM146" s="594">
        <v>2.3E-3</v>
      </c>
      <c r="BN146" s="594">
        <v>0.29599999999999999</v>
      </c>
      <c r="BO146" s="594">
        <v>0.06</v>
      </c>
      <c r="BP146" s="594">
        <v>0.312</v>
      </c>
      <c r="BQ146" s="594">
        <v>0.21199999999999999</v>
      </c>
      <c r="BR146" s="594">
        <v>0.18</v>
      </c>
      <c r="BS146" s="594">
        <v>0.1111</v>
      </c>
      <c r="BT146" s="594">
        <v>0.25</v>
      </c>
      <c r="BU146" s="594">
        <v>0.27</v>
      </c>
      <c r="BV146" s="594">
        <v>0.17</v>
      </c>
      <c r="BW146" s="594">
        <v>0.2</v>
      </c>
      <c r="BX146" s="594">
        <v>0.13</v>
      </c>
      <c r="BY146" s="594">
        <v>0.32900000000000001</v>
      </c>
      <c r="BZ146" s="594">
        <v>8.6999999999999994E-2</v>
      </c>
      <c r="CA146" s="594">
        <v>0</v>
      </c>
      <c r="CB146" s="593">
        <v>0.25</v>
      </c>
      <c r="CC146" s="594">
        <v>0.3</v>
      </c>
      <c r="CD146" s="594">
        <v>0.13</v>
      </c>
      <c r="CE146" s="594">
        <v>0.3</v>
      </c>
      <c r="CF146" s="594">
        <v>0.14599999999999999</v>
      </c>
      <c r="CG146" s="594">
        <v>0.22</v>
      </c>
      <c r="CH146" s="594">
        <v>0.27</v>
      </c>
      <c r="CI146" s="594">
        <v>0.25</v>
      </c>
      <c r="CJ146" s="594">
        <v>0</v>
      </c>
      <c r="CK146" s="594">
        <v>5.2499999999999998E-2</v>
      </c>
      <c r="CL146" s="594">
        <v>0.107</v>
      </c>
      <c r="CM146" s="594">
        <v>0.188</v>
      </c>
      <c r="CN146" s="594">
        <v>0.3</v>
      </c>
      <c r="CO146" s="594">
        <v>0.2</v>
      </c>
      <c r="CP146" s="594">
        <v>0.23</v>
      </c>
      <c r="CQ146" s="594">
        <v>0.35</v>
      </c>
      <c r="CR146" s="594">
        <v>0.35</v>
      </c>
      <c r="CS146" s="597"/>
      <c r="CT146" s="591">
        <v>2.4E-2</v>
      </c>
      <c r="CU146" s="1233">
        <v>2.7021E-2</v>
      </c>
      <c r="CV146" s="591">
        <v>1E-3</v>
      </c>
      <c r="CW146" s="915">
        <v>1.9370999999999999E-2</v>
      </c>
      <c r="CX146" s="594">
        <v>3.3000000000000002E-2</v>
      </c>
      <c r="CY146" s="1234"/>
      <c r="CZ146" s="591">
        <v>2.1000000000000001E-2</v>
      </c>
      <c r="DA146" s="594">
        <v>1.6E-2</v>
      </c>
      <c r="DB146" s="594">
        <v>1.4999999999999999E-2</v>
      </c>
      <c r="DC146" s="594">
        <v>1.4E-2</v>
      </c>
      <c r="DD146" s="594">
        <v>2.4E-2</v>
      </c>
      <c r="DE146" s="594">
        <v>0.03</v>
      </c>
      <c r="DF146" s="594">
        <v>1.0999999999999999E-2</v>
      </c>
      <c r="DG146" s="594">
        <v>2.8000000000000001E-2</v>
      </c>
      <c r="DH146" s="594">
        <v>2.7E-2</v>
      </c>
      <c r="DI146" s="915">
        <v>3.2309000000000004E-2</v>
      </c>
      <c r="DJ146" s="1234"/>
      <c r="DK146" s="594">
        <v>2.7E-2</v>
      </c>
      <c r="DL146" s="594">
        <v>1.7000000000000001E-2</v>
      </c>
      <c r="DM146" s="594">
        <v>1.4E-2</v>
      </c>
      <c r="DN146" s="915">
        <v>2.6445E-2</v>
      </c>
      <c r="DO146" s="594">
        <v>1.7999999999999999E-2</v>
      </c>
      <c r="DP146" s="594">
        <v>8.0000000000000002E-3</v>
      </c>
      <c r="DQ146" s="1234"/>
      <c r="DR146" s="591"/>
      <c r="DS146" s="1234"/>
      <c r="DT146" s="594">
        <v>1.6E-2</v>
      </c>
      <c r="DU146" s="594">
        <v>1.4E-2</v>
      </c>
      <c r="DV146" s="594">
        <v>3.2000000000000001E-2</v>
      </c>
      <c r="DW146" s="594">
        <v>3.3000000000000002E-2</v>
      </c>
      <c r="DX146" s="594">
        <v>3.3000000000000002E-2</v>
      </c>
      <c r="DY146" s="594">
        <v>1.0999999999999999E-2</v>
      </c>
      <c r="DZ146" s="916"/>
      <c r="EA146" s="1493"/>
    </row>
    <row r="147" spans="1:131" x14ac:dyDescent="0.3">
      <c r="A147" s="935">
        <v>43466</v>
      </c>
      <c r="B147" s="589">
        <v>0.15</v>
      </c>
      <c r="C147" s="590">
        <v>7.0000000000000007E-2</v>
      </c>
      <c r="D147" s="590">
        <v>0.04</v>
      </c>
      <c r="E147" s="590">
        <v>0.05</v>
      </c>
      <c r="F147" s="591">
        <v>0.1263</v>
      </c>
      <c r="G147" s="589">
        <v>0.1111</v>
      </c>
      <c r="H147" s="589">
        <v>0.1</v>
      </c>
      <c r="I147" s="590">
        <v>0.1</v>
      </c>
      <c r="J147" s="591">
        <v>0.115</v>
      </c>
      <c r="K147" s="590">
        <v>0.15</v>
      </c>
      <c r="L147" s="589">
        <v>4.2500000000000003E-2</v>
      </c>
      <c r="M147" s="592">
        <v>0.85</v>
      </c>
      <c r="N147" s="590">
        <v>0.1</v>
      </c>
      <c r="O147" s="589">
        <v>0</v>
      </c>
      <c r="P147" s="593">
        <v>7.7499999999999999E-2</v>
      </c>
      <c r="Q147" s="1287">
        <v>0.115</v>
      </c>
      <c r="R147" s="590">
        <v>0.2</v>
      </c>
      <c r="S147" s="591">
        <v>2.75E-2</v>
      </c>
      <c r="T147" s="594">
        <v>0.127</v>
      </c>
      <c r="U147" s="591">
        <v>0.1275</v>
      </c>
      <c r="V147" s="589">
        <v>0.16</v>
      </c>
      <c r="W147" s="589">
        <v>0.11</v>
      </c>
      <c r="X147" s="590">
        <v>0</v>
      </c>
      <c r="Y147" s="590">
        <v>0.18</v>
      </c>
      <c r="Z147" s="589">
        <v>0.2</v>
      </c>
      <c r="AA147" s="589">
        <v>0.05</v>
      </c>
      <c r="AB147" s="590">
        <v>0.2</v>
      </c>
      <c r="AC147" s="1231">
        <v>0.15</v>
      </c>
      <c r="AD147" s="590">
        <v>0.15</v>
      </c>
      <c r="AE147" s="590">
        <v>0.2</v>
      </c>
      <c r="AF147" s="591">
        <v>0.12</v>
      </c>
      <c r="AG147" s="590">
        <v>0</v>
      </c>
      <c r="AH147" s="594">
        <v>1.1599999999999999E-2</v>
      </c>
      <c r="AI147" s="594">
        <v>1.5299999999999999E-2</v>
      </c>
      <c r="AJ147" s="594">
        <v>1.2200000000000001E-2</v>
      </c>
      <c r="AK147" s="594">
        <v>1.3100000000000001E-2</v>
      </c>
      <c r="AL147" s="594">
        <v>1.32E-2</v>
      </c>
      <c r="AM147" s="596"/>
      <c r="AN147" s="594">
        <v>1.32E-2</v>
      </c>
      <c r="AO147" s="594">
        <v>1.15E-2</v>
      </c>
      <c r="AP147" s="594">
        <v>1.11E-2</v>
      </c>
      <c r="AQ147" s="594">
        <v>1.0200000000000001E-2</v>
      </c>
      <c r="AR147" s="594">
        <v>1.49E-2</v>
      </c>
      <c r="AS147" s="596"/>
      <c r="AT147" s="594">
        <v>5.7000000000000002E-3</v>
      </c>
      <c r="AU147" s="594">
        <v>7.3000000000000001E-3</v>
      </c>
      <c r="AV147" s="594">
        <v>1.7100000000000001E-2</v>
      </c>
      <c r="AW147" s="594">
        <v>7.9000000000000008E-3</v>
      </c>
      <c r="AX147" s="594">
        <v>9.4999999999999998E-3</v>
      </c>
      <c r="AY147" s="594">
        <v>2.53E-2</v>
      </c>
      <c r="AZ147" s="594">
        <v>8.5000000000000006E-3</v>
      </c>
      <c r="BA147" s="594">
        <v>1.06E-2</v>
      </c>
      <c r="BB147" s="594">
        <v>1.01E-2</v>
      </c>
      <c r="BC147" s="594">
        <v>1.14E-2</v>
      </c>
      <c r="BD147" s="594">
        <v>4.7999999999999996E-3</v>
      </c>
      <c r="BE147" s="594">
        <v>1.03E-2</v>
      </c>
      <c r="BF147" s="594">
        <v>1.3299999999999999E-2</v>
      </c>
      <c r="BG147" s="594">
        <v>1.4500000000000001E-2</v>
      </c>
      <c r="BH147" s="594">
        <v>1.1299999999999999E-2</v>
      </c>
      <c r="BI147" s="594">
        <v>9.2999999999999992E-3</v>
      </c>
      <c r="BJ147" s="594">
        <v>1.7999999999999999E-2</v>
      </c>
      <c r="BK147" s="594">
        <v>1.46E-2</v>
      </c>
      <c r="BL147" s="594">
        <v>1.55E-2</v>
      </c>
      <c r="BM147" s="594">
        <v>2.3E-3</v>
      </c>
      <c r="BN147" s="594">
        <v>0.29599999999999999</v>
      </c>
      <c r="BO147" s="594">
        <v>0.06</v>
      </c>
      <c r="BP147" s="594">
        <v>0.312</v>
      </c>
      <c r="BQ147" s="594">
        <v>0.21199999999999999</v>
      </c>
      <c r="BR147" s="594">
        <v>0.18</v>
      </c>
      <c r="BS147" s="594">
        <v>0.1111</v>
      </c>
      <c r="BT147" s="594">
        <v>0.25</v>
      </c>
      <c r="BU147" s="594">
        <v>0.27</v>
      </c>
      <c r="BV147" s="594">
        <v>0.17</v>
      </c>
      <c r="BW147" s="594">
        <v>0.2</v>
      </c>
      <c r="BX147" s="594">
        <v>0.13</v>
      </c>
      <c r="BY147" s="594">
        <v>0.35</v>
      </c>
      <c r="BZ147" s="594">
        <v>8.6999999999999994E-2</v>
      </c>
      <c r="CA147" s="594">
        <v>0</v>
      </c>
      <c r="CB147" s="593">
        <v>0.25</v>
      </c>
      <c r="CC147" s="594">
        <v>0.3</v>
      </c>
      <c r="CD147" s="594">
        <v>0.13</v>
      </c>
      <c r="CE147" s="594">
        <v>0.3</v>
      </c>
      <c r="CF147" s="594">
        <v>0.14599999999999999</v>
      </c>
      <c r="CG147" s="594">
        <v>0.221</v>
      </c>
      <c r="CH147" s="594">
        <v>0.27</v>
      </c>
      <c r="CI147" s="594">
        <v>0.25</v>
      </c>
      <c r="CJ147" s="594">
        <v>0</v>
      </c>
      <c r="CK147" s="594">
        <v>0.16</v>
      </c>
      <c r="CL147" s="594">
        <v>0.107</v>
      </c>
      <c r="CM147" s="594">
        <v>0.20300000000000001</v>
      </c>
      <c r="CN147" s="594">
        <v>0.3</v>
      </c>
      <c r="CO147" s="594">
        <v>0.2</v>
      </c>
      <c r="CP147" s="594">
        <v>0.27</v>
      </c>
      <c r="CQ147" s="594">
        <v>0.35</v>
      </c>
      <c r="CR147" s="594">
        <v>0.35</v>
      </c>
      <c r="CS147" s="597"/>
      <c r="CT147" s="591">
        <v>2.4E-2</v>
      </c>
      <c r="CU147" s="1233">
        <v>2.7021E-2</v>
      </c>
      <c r="CV147" s="591">
        <v>1E-3</v>
      </c>
      <c r="CW147" s="915">
        <v>1.9370999999999999E-2</v>
      </c>
      <c r="CX147" s="594">
        <v>3.3000000000000002E-2</v>
      </c>
      <c r="CY147" s="1234"/>
      <c r="CZ147" s="591">
        <v>2.1000000000000001E-2</v>
      </c>
      <c r="DA147" s="594">
        <v>1.6E-2</v>
      </c>
      <c r="DB147" s="594">
        <v>1.4999999999999999E-2</v>
      </c>
      <c r="DC147" s="594">
        <v>1.4E-2</v>
      </c>
      <c r="DD147" s="594">
        <v>2.4E-2</v>
      </c>
      <c r="DE147" s="594">
        <v>0.03</v>
      </c>
      <c r="DF147" s="594">
        <v>1.0999999999999999E-2</v>
      </c>
      <c r="DG147" s="594">
        <v>2.8000000000000001E-2</v>
      </c>
      <c r="DH147" s="594">
        <v>2.7E-2</v>
      </c>
      <c r="DI147" s="915">
        <v>3.2309000000000004E-2</v>
      </c>
      <c r="DJ147" s="1234"/>
      <c r="DK147" s="594">
        <v>2.7E-2</v>
      </c>
      <c r="DL147" s="594">
        <v>1.7000000000000001E-2</v>
      </c>
      <c r="DM147" s="594">
        <v>1.4E-2</v>
      </c>
      <c r="DN147" s="915">
        <v>2.6445E-2</v>
      </c>
      <c r="DO147" s="594">
        <v>1.7999999999999999E-2</v>
      </c>
      <c r="DP147" s="594">
        <v>8.0000000000000002E-3</v>
      </c>
      <c r="DQ147" s="1234"/>
      <c r="DR147" s="591"/>
      <c r="DS147" s="1234"/>
      <c r="DT147" s="594">
        <v>1.6E-2</v>
      </c>
      <c r="DU147" s="594">
        <v>1.4E-2</v>
      </c>
      <c r="DV147" s="594">
        <v>3.2000000000000001E-2</v>
      </c>
      <c r="DW147" s="594">
        <v>3.3000000000000002E-2</v>
      </c>
      <c r="DX147" s="594">
        <v>3.3000000000000002E-2</v>
      </c>
      <c r="DY147" s="594">
        <v>1.0999999999999999E-2</v>
      </c>
      <c r="DZ147" s="916"/>
      <c r="EA147" s="1493"/>
    </row>
    <row r="148" spans="1:131" x14ac:dyDescent="0.3">
      <c r="A148" s="935">
        <v>43497</v>
      </c>
      <c r="B148" s="589">
        <v>0.15</v>
      </c>
      <c r="C148" s="590">
        <v>7.0000000000000007E-2</v>
      </c>
      <c r="D148" s="590">
        <v>0.04</v>
      </c>
      <c r="E148" s="590">
        <v>0.05</v>
      </c>
      <c r="F148" s="591">
        <v>0.1263</v>
      </c>
      <c r="G148" s="589">
        <v>0.1111</v>
      </c>
      <c r="H148" s="589">
        <v>0.1</v>
      </c>
      <c r="I148" s="590">
        <v>0.1</v>
      </c>
      <c r="J148" s="591">
        <v>0.115</v>
      </c>
      <c r="K148" s="590">
        <v>0.15</v>
      </c>
      <c r="L148" s="589">
        <v>4.2500000000000003E-2</v>
      </c>
      <c r="M148" s="592">
        <v>0.85</v>
      </c>
      <c r="N148" s="590">
        <v>0.1</v>
      </c>
      <c r="O148" s="589">
        <v>0</v>
      </c>
      <c r="P148" s="593">
        <v>0.1</v>
      </c>
      <c r="Q148" s="1287">
        <v>0.115</v>
      </c>
      <c r="R148" s="590">
        <v>0.2</v>
      </c>
      <c r="S148" s="591">
        <v>2.75E-2</v>
      </c>
      <c r="T148" s="594">
        <v>0.127</v>
      </c>
      <c r="U148" s="591">
        <v>0.1275</v>
      </c>
      <c r="V148" s="589">
        <v>0.16</v>
      </c>
      <c r="W148" s="589">
        <v>0.11</v>
      </c>
      <c r="X148" s="590">
        <v>0</v>
      </c>
      <c r="Y148" s="590">
        <v>0.18</v>
      </c>
      <c r="Z148" s="589">
        <v>0.2</v>
      </c>
      <c r="AA148" s="589">
        <v>0.05</v>
      </c>
      <c r="AB148" s="590">
        <v>0.2</v>
      </c>
      <c r="AC148" s="1231">
        <v>0.15</v>
      </c>
      <c r="AD148" s="590">
        <v>0.15</v>
      </c>
      <c r="AE148" s="590">
        <v>0.2</v>
      </c>
      <c r="AF148" s="591">
        <v>0.12</v>
      </c>
      <c r="AG148" s="590">
        <v>0</v>
      </c>
      <c r="AH148" s="594">
        <v>1.1599999999999999E-2</v>
      </c>
      <c r="AI148" s="594">
        <v>1.5299999999999999E-2</v>
      </c>
      <c r="AJ148" s="594">
        <v>1.2200000000000001E-2</v>
      </c>
      <c r="AK148" s="594">
        <v>1.3100000000000001E-2</v>
      </c>
      <c r="AL148" s="594">
        <v>1.32E-2</v>
      </c>
      <c r="AM148" s="596"/>
      <c r="AN148" s="594">
        <v>1.32E-2</v>
      </c>
      <c r="AO148" s="594">
        <v>1.15E-2</v>
      </c>
      <c r="AP148" s="594">
        <v>1.11E-2</v>
      </c>
      <c r="AQ148" s="594">
        <v>1.0200000000000001E-2</v>
      </c>
      <c r="AR148" s="594">
        <v>1.49E-2</v>
      </c>
      <c r="AS148" s="596"/>
      <c r="AT148" s="594">
        <v>5.7000000000000002E-3</v>
      </c>
      <c r="AU148" s="594">
        <v>7.3000000000000001E-3</v>
      </c>
      <c r="AV148" s="594">
        <v>1.7100000000000001E-2</v>
      </c>
      <c r="AW148" s="594">
        <v>7.9000000000000008E-3</v>
      </c>
      <c r="AX148" s="594">
        <v>9.4999999999999998E-3</v>
      </c>
      <c r="AY148" s="594">
        <v>2.53E-2</v>
      </c>
      <c r="AZ148" s="594">
        <v>8.5000000000000006E-3</v>
      </c>
      <c r="BA148" s="594">
        <v>1.06E-2</v>
      </c>
      <c r="BB148" s="594">
        <v>1.01E-2</v>
      </c>
      <c r="BC148" s="594">
        <v>1.14E-2</v>
      </c>
      <c r="BD148" s="594">
        <v>4.7999999999999996E-3</v>
      </c>
      <c r="BE148" s="594">
        <v>1.03E-2</v>
      </c>
      <c r="BF148" s="594">
        <v>1.3299999999999999E-2</v>
      </c>
      <c r="BG148" s="594">
        <v>1.4500000000000001E-2</v>
      </c>
      <c r="BH148" s="594">
        <v>1.1299999999999999E-2</v>
      </c>
      <c r="BI148" s="594">
        <v>9.2999999999999992E-3</v>
      </c>
      <c r="BJ148" s="594">
        <v>1.7999999999999999E-2</v>
      </c>
      <c r="BK148" s="594">
        <v>1.46E-2</v>
      </c>
      <c r="BL148" s="594">
        <v>1.55E-2</v>
      </c>
      <c r="BM148" s="594">
        <v>2.3E-3</v>
      </c>
      <c r="BN148" s="594">
        <v>0.29599999999999999</v>
      </c>
      <c r="BO148" s="594">
        <v>0.06</v>
      </c>
      <c r="BP148" s="594">
        <v>0.312</v>
      </c>
      <c r="BQ148" s="594">
        <v>0.21199999999999999</v>
      </c>
      <c r="BR148" s="594">
        <v>0.18</v>
      </c>
      <c r="BS148" s="594">
        <v>0.1111</v>
      </c>
      <c r="BT148" s="594">
        <v>0.25</v>
      </c>
      <c r="BU148" s="594">
        <v>0.27</v>
      </c>
      <c r="BV148" s="594">
        <v>0.17</v>
      </c>
      <c r="BW148" s="594">
        <v>0.2</v>
      </c>
      <c r="BX148" s="594">
        <v>0.13</v>
      </c>
      <c r="BY148" s="594">
        <v>0.35</v>
      </c>
      <c r="BZ148" s="594">
        <v>8.6999999999999994E-2</v>
      </c>
      <c r="CA148" s="594">
        <v>0</v>
      </c>
      <c r="CB148" s="593">
        <v>0.25</v>
      </c>
      <c r="CC148" s="594">
        <v>0.3</v>
      </c>
      <c r="CD148" s="594">
        <v>0.13</v>
      </c>
      <c r="CE148" s="594">
        <v>0.3</v>
      </c>
      <c r="CF148" s="594">
        <v>0.14599999999999999</v>
      </c>
      <c r="CG148" s="594">
        <v>0.221</v>
      </c>
      <c r="CH148" s="594">
        <v>0.27</v>
      </c>
      <c r="CI148" s="594">
        <v>0.25</v>
      </c>
      <c r="CJ148" s="594">
        <v>0</v>
      </c>
      <c r="CK148" s="594">
        <v>0.16</v>
      </c>
      <c r="CL148" s="594">
        <v>0.107</v>
      </c>
      <c r="CM148" s="594">
        <v>0.20300000000000001</v>
      </c>
      <c r="CN148" s="594">
        <v>0.3</v>
      </c>
      <c r="CO148" s="594">
        <v>0.2</v>
      </c>
      <c r="CP148" s="594">
        <v>0.27</v>
      </c>
      <c r="CQ148" s="594">
        <v>0.35</v>
      </c>
      <c r="CR148" s="594">
        <v>0.35</v>
      </c>
      <c r="CS148" s="597"/>
      <c r="CT148" s="591">
        <v>2.8000000000000001E-2</v>
      </c>
      <c r="CU148" s="1233">
        <v>2.7021E-2</v>
      </c>
      <c r="CV148" s="591">
        <v>0</v>
      </c>
      <c r="CW148" s="915">
        <v>1.9370999999999999E-2</v>
      </c>
      <c r="CX148" s="594">
        <v>3.9E-2</v>
      </c>
      <c r="CY148" s="1234"/>
      <c r="CZ148" s="591">
        <v>3.1E-2</v>
      </c>
      <c r="DA148" s="594">
        <v>0.02</v>
      </c>
      <c r="DB148" s="594">
        <v>1.7999999999999999E-2</v>
      </c>
      <c r="DC148" s="594">
        <v>1.9E-2</v>
      </c>
      <c r="DD148" s="594">
        <v>3.2000000000000001E-2</v>
      </c>
      <c r="DE148" s="594">
        <v>0.04</v>
      </c>
      <c r="DF148" s="594">
        <v>1.0999999999999999E-2</v>
      </c>
      <c r="DG148" s="594">
        <v>2.5999999999999999E-2</v>
      </c>
      <c r="DH148" s="594">
        <v>4.2000000000000003E-2</v>
      </c>
      <c r="DI148" s="915">
        <v>3.2309000000000004E-2</v>
      </c>
      <c r="DJ148" s="1234"/>
      <c r="DK148" s="594">
        <v>0.105</v>
      </c>
      <c r="DL148" s="594">
        <v>2.5000000000000001E-2</v>
      </c>
      <c r="DM148" s="594">
        <v>2.4E-2</v>
      </c>
      <c r="DN148" s="915">
        <v>2.6445E-2</v>
      </c>
      <c r="DO148" s="594">
        <v>2.7E-2</v>
      </c>
      <c r="DP148" s="594">
        <v>8.0000000000000002E-3</v>
      </c>
      <c r="DQ148" s="1234"/>
      <c r="DR148" s="591"/>
      <c r="DS148" s="1234"/>
      <c r="DT148" s="594">
        <v>2.1000000000000001E-2</v>
      </c>
      <c r="DU148" s="594">
        <v>2.1000000000000001E-2</v>
      </c>
      <c r="DV148" s="594">
        <v>3.4000000000000002E-2</v>
      </c>
      <c r="DW148" s="594">
        <v>0.04</v>
      </c>
      <c r="DX148" s="594">
        <v>4.5999999999999999E-2</v>
      </c>
      <c r="DY148" s="594">
        <v>1.0999999999999999E-2</v>
      </c>
      <c r="DZ148" s="916"/>
      <c r="EA148" s="1493"/>
    </row>
    <row r="149" spans="1:131" x14ac:dyDescent="0.3">
      <c r="A149" s="935">
        <v>43525</v>
      </c>
      <c r="B149" s="589">
        <v>0.15</v>
      </c>
      <c r="C149" s="590">
        <v>7.0000000000000007E-2</v>
      </c>
      <c r="D149" s="590">
        <v>0.04</v>
      </c>
      <c r="E149" s="590">
        <v>0.05</v>
      </c>
      <c r="F149" s="591">
        <v>0.1263</v>
      </c>
      <c r="G149" s="589">
        <v>0.1111</v>
      </c>
      <c r="H149" s="589">
        <v>0.1</v>
      </c>
      <c r="I149" s="590">
        <v>0.1</v>
      </c>
      <c r="J149" s="591">
        <v>0.115</v>
      </c>
      <c r="K149" s="590">
        <v>0.15</v>
      </c>
      <c r="L149" s="589">
        <v>4.2500000000000003E-2</v>
      </c>
      <c r="M149" s="592">
        <v>0.85</v>
      </c>
      <c r="N149" s="590">
        <v>0.1</v>
      </c>
      <c r="O149" s="589">
        <v>0</v>
      </c>
      <c r="P149" s="593">
        <v>0.1</v>
      </c>
      <c r="Q149" s="1287">
        <v>0.115</v>
      </c>
      <c r="R149" s="590">
        <v>0.2</v>
      </c>
      <c r="S149" s="591">
        <v>2.75E-2</v>
      </c>
      <c r="T149" s="594">
        <v>0.127</v>
      </c>
      <c r="U149" s="591">
        <v>0.1275</v>
      </c>
      <c r="V149" s="589">
        <v>0.16</v>
      </c>
      <c r="W149" s="589">
        <v>0.11</v>
      </c>
      <c r="X149" s="590">
        <v>0</v>
      </c>
      <c r="Y149" s="590">
        <v>0.18</v>
      </c>
      <c r="Z149" s="589">
        <v>0.2</v>
      </c>
      <c r="AA149" s="589">
        <v>0.05</v>
      </c>
      <c r="AB149" s="590">
        <v>0.2</v>
      </c>
      <c r="AC149" s="1231">
        <v>0.15</v>
      </c>
      <c r="AD149" s="590">
        <v>0.15</v>
      </c>
      <c r="AE149" s="590">
        <v>0.2</v>
      </c>
      <c r="AF149" s="591">
        <v>0.12</v>
      </c>
      <c r="AG149" s="590">
        <v>0</v>
      </c>
      <c r="AH149" s="594">
        <v>1.1599999999999999E-2</v>
      </c>
      <c r="AI149" s="594">
        <v>1.5299999999999999E-2</v>
      </c>
      <c r="AJ149" s="594">
        <v>1.2200000000000001E-2</v>
      </c>
      <c r="AK149" s="594">
        <v>1.3100000000000001E-2</v>
      </c>
      <c r="AL149" s="594">
        <v>1.32E-2</v>
      </c>
      <c r="AM149" s="596"/>
      <c r="AN149" s="594">
        <v>1.32E-2</v>
      </c>
      <c r="AO149" s="594">
        <v>1.15E-2</v>
      </c>
      <c r="AP149" s="594">
        <v>1.11E-2</v>
      </c>
      <c r="AQ149" s="594">
        <v>1.0200000000000001E-2</v>
      </c>
      <c r="AR149" s="594">
        <v>1.49E-2</v>
      </c>
      <c r="AS149" s="596"/>
      <c r="AT149" s="594">
        <v>5.7000000000000002E-3</v>
      </c>
      <c r="AU149" s="594">
        <v>7.3000000000000001E-3</v>
      </c>
      <c r="AV149" s="594">
        <v>1.7100000000000001E-2</v>
      </c>
      <c r="AW149" s="594">
        <v>7.9000000000000008E-3</v>
      </c>
      <c r="AX149" s="594">
        <v>9.4999999999999998E-3</v>
      </c>
      <c r="AY149" s="594">
        <v>2.53E-2</v>
      </c>
      <c r="AZ149" s="594">
        <v>8.5000000000000006E-3</v>
      </c>
      <c r="BA149" s="594">
        <v>1.06E-2</v>
      </c>
      <c r="BB149" s="594">
        <v>1.01E-2</v>
      </c>
      <c r="BC149" s="594">
        <v>1.14E-2</v>
      </c>
      <c r="BD149" s="594">
        <v>4.7999999999999996E-3</v>
      </c>
      <c r="BE149" s="594">
        <v>1.03E-2</v>
      </c>
      <c r="BF149" s="594">
        <v>1.3299999999999999E-2</v>
      </c>
      <c r="BG149" s="594">
        <v>1.4500000000000001E-2</v>
      </c>
      <c r="BH149" s="594">
        <v>1.1299999999999999E-2</v>
      </c>
      <c r="BI149" s="594">
        <v>9.2999999999999992E-3</v>
      </c>
      <c r="BJ149" s="594">
        <v>1.7999999999999999E-2</v>
      </c>
      <c r="BK149" s="594">
        <v>1.46E-2</v>
      </c>
      <c r="BL149" s="594">
        <v>1.55E-2</v>
      </c>
      <c r="BM149" s="594">
        <v>2.3E-3</v>
      </c>
      <c r="BN149" s="594">
        <v>0.29599999999999999</v>
      </c>
      <c r="BO149" s="594">
        <v>0.06</v>
      </c>
      <c r="BP149" s="594">
        <v>0.312</v>
      </c>
      <c r="BQ149" s="594">
        <v>0.21199999999999999</v>
      </c>
      <c r="BR149" s="594">
        <v>0.18</v>
      </c>
      <c r="BS149" s="594">
        <v>0.1111</v>
      </c>
      <c r="BT149" s="594">
        <v>0.25</v>
      </c>
      <c r="BU149" s="594">
        <v>0.27</v>
      </c>
      <c r="BV149" s="594">
        <v>0.17</v>
      </c>
      <c r="BW149" s="594">
        <v>0.2</v>
      </c>
      <c r="BX149" s="594">
        <v>0.13</v>
      </c>
      <c r="BY149" s="594">
        <v>0.35</v>
      </c>
      <c r="BZ149" s="594">
        <v>8.6999999999999994E-2</v>
      </c>
      <c r="CA149" s="594">
        <v>0</v>
      </c>
      <c r="CB149" s="593">
        <v>0.25</v>
      </c>
      <c r="CC149" s="594">
        <v>0.3</v>
      </c>
      <c r="CD149" s="594">
        <v>0.13</v>
      </c>
      <c r="CE149" s="594">
        <v>0.3</v>
      </c>
      <c r="CF149" s="594">
        <v>0.14599999999999999</v>
      </c>
      <c r="CG149" s="594">
        <v>0.221</v>
      </c>
      <c r="CH149" s="594">
        <v>0.27</v>
      </c>
      <c r="CI149" s="594">
        <v>0.25</v>
      </c>
      <c r="CJ149" s="594">
        <v>0</v>
      </c>
      <c r="CK149" s="594">
        <v>0.16</v>
      </c>
      <c r="CL149" s="594">
        <v>0.107</v>
      </c>
      <c r="CM149" s="594">
        <v>0.20300000000000001</v>
      </c>
      <c r="CN149" s="594">
        <v>0.3</v>
      </c>
      <c r="CO149" s="594">
        <v>0.2</v>
      </c>
      <c r="CP149" s="594">
        <v>0.27</v>
      </c>
      <c r="CQ149" s="594">
        <v>0.35</v>
      </c>
      <c r="CR149" s="594">
        <v>0.35</v>
      </c>
      <c r="CS149" s="597"/>
      <c r="CT149" s="591">
        <v>2.8000000000000001E-2</v>
      </c>
      <c r="CU149" s="1233">
        <v>2.7021E-2</v>
      </c>
      <c r="CV149" s="591">
        <v>0</v>
      </c>
      <c r="CW149" s="915">
        <v>1.9370999999999999E-2</v>
      </c>
      <c r="CX149" s="594">
        <v>3.9E-2</v>
      </c>
      <c r="CY149" s="1234"/>
      <c r="CZ149" s="591">
        <v>3.1E-2</v>
      </c>
      <c r="DA149" s="594">
        <v>0.02</v>
      </c>
      <c r="DB149" s="594">
        <v>1.7999999999999999E-2</v>
      </c>
      <c r="DC149" s="594">
        <v>1.9E-2</v>
      </c>
      <c r="DD149" s="594">
        <v>3.2000000000000001E-2</v>
      </c>
      <c r="DE149" s="594">
        <v>0.04</v>
      </c>
      <c r="DF149" s="594">
        <v>1.0999999999999999E-2</v>
      </c>
      <c r="DG149" s="594">
        <v>2.5999999999999999E-2</v>
      </c>
      <c r="DH149" s="594">
        <v>4.2000000000000003E-2</v>
      </c>
      <c r="DI149" s="915">
        <v>3.2309000000000004E-2</v>
      </c>
      <c r="DJ149" s="1234"/>
      <c r="DK149" s="594">
        <v>0.105</v>
      </c>
      <c r="DL149" s="594">
        <v>2.5000000000000001E-2</v>
      </c>
      <c r="DM149" s="594">
        <v>2.4E-2</v>
      </c>
      <c r="DN149" s="915">
        <v>2.6445E-2</v>
      </c>
      <c r="DO149" s="594">
        <v>2.7E-2</v>
      </c>
      <c r="DP149" s="594">
        <v>8.0000000000000002E-3</v>
      </c>
      <c r="DQ149" s="1234"/>
      <c r="DR149" s="591"/>
      <c r="DS149" s="1234"/>
      <c r="DT149" s="594">
        <v>2.1000000000000001E-2</v>
      </c>
      <c r="DU149" s="594">
        <v>2.1000000000000001E-2</v>
      </c>
      <c r="DV149" s="594">
        <v>3.4000000000000002E-2</v>
      </c>
      <c r="DW149" s="594">
        <v>0.04</v>
      </c>
      <c r="DX149" s="594">
        <v>4.5999999999999999E-2</v>
      </c>
      <c r="DY149" s="594">
        <v>1.0999999999999999E-2</v>
      </c>
      <c r="DZ149" s="916"/>
      <c r="EA149" s="1493"/>
    </row>
    <row r="150" spans="1:131" x14ac:dyDescent="0.3">
      <c r="A150" s="935">
        <v>43556</v>
      </c>
      <c r="B150" s="589">
        <v>0.17</v>
      </c>
      <c r="C150" s="590">
        <v>7.0000000000000007E-2</v>
      </c>
      <c r="D150" s="590">
        <v>0.04</v>
      </c>
      <c r="E150" s="590">
        <v>0.11125</v>
      </c>
      <c r="F150" s="591">
        <v>0.1263</v>
      </c>
      <c r="G150" s="589">
        <v>0.1111</v>
      </c>
      <c r="H150" s="589">
        <v>0.1</v>
      </c>
      <c r="I150" s="590">
        <v>0.1</v>
      </c>
      <c r="J150" s="591">
        <v>0.115</v>
      </c>
      <c r="K150" s="590">
        <v>0.15</v>
      </c>
      <c r="L150" s="591">
        <v>4.2500000000000003E-2</v>
      </c>
      <c r="M150" s="592">
        <v>0.85</v>
      </c>
      <c r="N150" s="1623">
        <v>0.1</v>
      </c>
      <c r="O150" s="589">
        <v>0</v>
      </c>
      <c r="P150" s="593">
        <v>0.1</v>
      </c>
      <c r="Q150" s="1287">
        <v>0.115</v>
      </c>
      <c r="R150" s="590">
        <v>0.2</v>
      </c>
      <c r="S150" s="591">
        <v>2.75E-2</v>
      </c>
      <c r="T150" s="594">
        <v>0.127</v>
      </c>
      <c r="U150" s="591">
        <v>0.1275</v>
      </c>
      <c r="V150" s="589">
        <v>0.16</v>
      </c>
      <c r="W150" s="591">
        <v>0.11</v>
      </c>
      <c r="X150" s="590">
        <v>0</v>
      </c>
      <c r="Y150" s="590">
        <v>0.18</v>
      </c>
      <c r="Z150" s="589">
        <v>0.2</v>
      </c>
      <c r="AA150" s="589">
        <v>0.05</v>
      </c>
      <c r="AB150" s="590">
        <v>0.2</v>
      </c>
      <c r="AC150" s="1231">
        <v>0.16250000000000001</v>
      </c>
      <c r="AD150" s="590">
        <v>0.15</v>
      </c>
      <c r="AE150" s="590">
        <v>0.2</v>
      </c>
      <c r="AF150" s="591">
        <v>0.12</v>
      </c>
      <c r="AG150" s="1623">
        <v>0</v>
      </c>
      <c r="AH150" s="594">
        <v>1.1599999999999999E-2</v>
      </c>
      <c r="AI150" s="594">
        <v>1.5299999999999999E-2</v>
      </c>
      <c r="AJ150" s="594">
        <v>1.2200000000000001E-2</v>
      </c>
      <c r="AK150" s="594">
        <v>1.3100000000000001E-2</v>
      </c>
      <c r="AL150" s="594">
        <v>1.32E-2</v>
      </c>
      <c r="AM150" s="596"/>
      <c r="AN150" s="594">
        <v>1.32E-2</v>
      </c>
      <c r="AO150" s="594">
        <v>1.15E-2</v>
      </c>
      <c r="AP150" s="594">
        <v>1.11E-2</v>
      </c>
      <c r="AQ150" s="594">
        <v>1.0200000000000001E-2</v>
      </c>
      <c r="AR150" s="594">
        <v>1.3599999999999999E-2</v>
      </c>
      <c r="AS150" s="596"/>
      <c r="AT150" s="594">
        <v>5.1000000000000004E-3</v>
      </c>
      <c r="AU150" s="594">
        <v>7.3000000000000001E-3</v>
      </c>
      <c r="AV150" s="594">
        <v>1.6799999999999999E-2</v>
      </c>
      <c r="AW150" s="594">
        <v>7.9000000000000008E-3</v>
      </c>
      <c r="AX150" s="594">
        <v>9.4999999999999998E-3</v>
      </c>
      <c r="AY150" s="594">
        <v>2.8400000000000002E-2</v>
      </c>
      <c r="AZ150" s="594">
        <v>8.5000000000000006E-3</v>
      </c>
      <c r="BA150" s="594">
        <v>1.06E-2</v>
      </c>
      <c r="BB150" s="594">
        <v>1.01E-2</v>
      </c>
      <c r="BC150" s="594">
        <v>1.2500000000000001E-2</v>
      </c>
      <c r="BD150" s="594">
        <v>4.7999999999999996E-3</v>
      </c>
      <c r="BE150" s="594">
        <v>1.03E-2</v>
      </c>
      <c r="BF150" s="594">
        <v>1.3299999999999999E-2</v>
      </c>
      <c r="BG150" s="594">
        <v>1.4500000000000001E-2</v>
      </c>
      <c r="BH150" s="594">
        <v>1.1299999999999999E-2</v>
      </c>
      <c r="BI150" s="594">
        <v>9.2999999999999992E-3</v>
      </c>
      <c r="BJ150" s="594">
        <v>1.7999999999999999E-2</v>
      </c>
      <c r="BK150" s="594">
        <v>1.46E-2</v>
      </c>
      <c r="BL150" s="594">
        <v>1.55E-2</v>
      </c>
      <c r="BM150" s="594">
        <v>1.1999999999999999E-3</v>
      </c>
      <c r="BN150" s="594">
        <v>0.29599999999999999</v>
      </c>
      <c r="BO150" s="594">
        <v>0.06</v>
      </c>
      <c r="BP150" s="594">
        <v>0.312</v>
      </c>
      <c r="BQ150" s="594">
        <v>0.245</v>
      </c>
      <c r="BR150" s="594">
        <v>0.18</v>
      </c>
      <c r="BS150" s="594">
        <v>0.1111</v>
      </c>
      <c r="BT150" s="594">
        <v>0.25</v>
      </c>
      <c r="BU150" s="594">
        <v>0.27</v>
      </c>
      <c r="BV150" s="594">
        <v>0.17</v>
      </c>
      <c r="BW150" s="594">
        <v>0.2</v>
      </c>
      <c r="BX150" s="594">
        <v>0.13</v>
      </c>
      <c r="BY150" s="594">
        <v>0.35</v>
      </c>
      <c r="BZ150" s="594">
        <v>8.6999999999999994E-2</v>
      </c>
      <c r="CA150" s="594">
        <v>0</v>
      </c>
      <c r="CB150" s="593">
        <v>0.25</v>
      </c>
      <c r="CC150" s="594">
        <v>0.3</v>
      </c>
      <c r="CD150" s="594">
        <v>0.13</v>
      </c>
      <c r="CE150" s="594">
        <v>0.3</v>
      </c>
      <c r="CF150" s="594">
        <v>0.14599999999999999</v>
      </c>
      <c r="CG150" s="594">
        <v>0.221</v>
      </c>
      <c r="CH150" s="594">
        <v>0.27</v>
      </c>
      <c r="CI150" s="594">
        <v>0.25</v>
      </c>
      <c r="CJ150" s="594">
        <v>0</v>
      </c>
      <c r="CK150" s="594">
        <v>0.16</v>
      </c>
      <c r="CL150" s="594">
        <v>0.107</v>
      </c>
      <c r="CM150" s="594">
        <v>0.20300000000000001</v>
      </c>
      <c r="CN150" s="594">
        <v>0.3</v>
      </c>
      <c r="CO150" s="594">
        <v>0.24</v>
      </c>
      <c r="CP150" s="594">
        <v>0.27</v>
      </c>
      <c r="CQ150" s="594">
        <v>0.35</v>
      </c>
      <c r="CR150" s="594">
        <v>0.35</v>
      </c>
      <c r="CS150" s="597"/>
      <c r="CT150" s="591">
        <v>2.8000000000000001E-2</v>
      </c>
      <c r="CU150" s="1233">
        <v>2.7021E-2</v>
      </c>
      <c r="CV150" s="591">
        <v>0</v>
      </c>
      <c r="CW150" s="915">
        <v>9.3519999999999992E-3</v>
      </c>
      <c r="CX150" s="594">
        <v>3.9E-2</v>
      </c>
      <c r="CY150" s="1234"/>
      <c r="CZ150" s="591">
        <v>3.1E-2</v>
      </c>
      <c r="DA150" s="594">
        <v>0.02</v>
      </c>
      <c r="DB150" s="594">
        <v>1.7999999999999999E-2</v>
      </c>
      <c r="DC150" s="594">
        <v>1.9E-2</v>
      </c>
      <c r="DD150" s="594">
        <v>3.2000000000000001E-2</v>
      </c>
      <c r="DE150" s="594">
        <v>0.04</v>
      </c>
      <c r="DF150" s="594">
        <v>1.0999999999999999E-2</v>
      </c>
      <c r="DG150" s="594">
        <v>2.5999999999999999E-2</v>
      </c>
      <c r="DH150" s="594">
        <v>4.2000000000000003E-2</v>
      </c>
      <c r="DI150" s="915">
        <v>3.9330000000000004E-2</v>
      </c>
      <c r="DJ150" s="1234"/>
      <c r="DK150" s="594">
        <v>0.105</v>
      </c>
      <c r="DL150" s="594">
        <v>2.5000000000000001E-2</v>
      </c>
      <c r="DM150" s="594">
        <v>2.4E-2</v>
      </c>
      <c r="DN150" s="915">
        <v>4.999E-3</v>
      </c>
      <c r="DO150" s="594">
        <v>2.7E-2</v>
      </c>
      <c r="DP150" s="594">
        <v>8.0000000000000002E-3</v>
      </c>
      <c r="DQ150" s="1234"/>
      <c r="DR150" s="591"/>
      <c r="DS150" s="1234"/>
      <c r="DT150" s="594">
        <v>2.1000000000000001E-2</v>
      </c>
      <c r="DU150" s="594">
        <v>2.1000000000000001E-2</v>
      </c>
      <c r="DV150" s="594">
        <v>3.4000000000000002E-2</v>
      </c>
      <c r="DW150" s="594">
        <v>0.04</v>
      </c>
      <c r="DX150" s="594">
        <v>4.5999999999999999E-2</v>
      </c>
      <c r="DY150" s="594">
        <v>1.0999999999999999E-2</v>
      </c>
      <c r="DZ150" s="916"/>
      <c r="EA150" s="1493"/>
    </row>
    <row r="151" spans="1:131" x14ac:dyDescent="0.3">
      <c r="A151" s="935">
        <v>43586</v>
      </c>
      <c r="B151" s="589">
        <v>0.17</v>
      </c>
      <c r="C151" s="590">
        <v>7.0000000000000007E-2</v>
      </c>
      <c r="D151" s="590">
        <v>0.04</v>
      </c>
      <c r="E151" s="590">
        <v>0.11125</v>
      </c>
      <c r="F151" s="591">
        <v>0.1263</v>
      </c>
      <c r="G151" s="589">
        <v>0.1111</v>
      </c>
      <c r="H151" s="589">
        <v>0.1</v>
      </c>
      <c r="I151" s="590">
        <v>0.1</v>
      </c>
      <c r="J151" s="591">
        <v>0.115</v>
      </c>
      <c r="K151" s="590">
        <v>0.15</v>
      </c>
      <c r="L151" s="591">
        <v>4.2500000000000003E-2</v>
      </c>
      <c r="M151" s="592">
        <v>0.85</v>
      </c>
      <c r="N151" s="1623">
        <v>0.1</v>
      </c>
      <c r="O151" s="589">
        <v>0</v>
      </c>
      <c r="P151" s="593">
        <v>0.1</v>
      </c>
      <c r="Q151" s="1287">
        <v>0.115</v>
      </c>
      <c r="R151" s="590">
        <v>0.2</v>
      </c>
      <c r="S151" s="591">
        <v>2.75E-2</v>
      </c>
      <c r="T151" s="594">
        <v>0.127</v>
      </c>
      <c r="U151" s="591">
        <v>0.1275</v>
      </c>
      <c r="V151" s="589">
        <v>0.16</v>
      </c>
      <c r="W151" s="591">
        <v>0.11</v>
      </c>
      <c r="X151" s="590">
        <v>0</v>
      </c>
      <c r="Y151" s="590">
        <v>0.18</v>
      </c>
      <c r="Z151" s="589">
        <v>0.2</v>
      </c>
      <c r="AA151" s="589">
        <v>0.05</v>
      </c>
      <c r="AB151" s="590">
        <v>0.2</v>
      </c>
      <c r="AC151" s="1231">
        <v>0.16250000000000001</v>
      </c>
      <c r="AD151" s="590">
        <v>0.15</v>
      </c>
      <c r="AE151" s="590">
        <v>0.2</v>
      </c>
      <c r="AF151" s="591">
        <v>0.12</v>
      </c>
      <c r="AG151" s="1623">
        <v>0</v>
      </c>
      <c r="AH151" s="594">
        <v>1.1599999999999999E-2</v>
      </c>
      <c r="AI151" s="594">
        <v>1.5299999999999999E-2</v>
      </c>
      <c r="AJ151" s="594">
        <v>1.2200000000000001E-2</v>
      </c>
      <c r="AK151" s="594">
        <v>1.3100000000000001E-2</v>
      </c>
      <c r="AL151" s="594">
        <v>1.32E-2</v>
      </c>
      <c r="AM151" s="596"/>
      <c r="AN151" s="594">
        <v>1.32E-2</v>
      </c>
      <c r="AO151" s="594">
        <v>1.15E-2</v>
      </c>
      <c r="AP151" s="594">
        <v>1.11E-2</v>
      </c>
      <c r="AQ151" s="594">
        <v>1.0200000000000001E-2</v>
      </c>
      <c r="AR151" s="594">
        <v>1.3599999999999999E-2</v>
      </c>
      <c r="AS151" s="596"/>
      <c r="AT151" s="594">
        <v>5.1000000000000004E-3</v>
      </c>
      <c r="AU151" s="594">
        <v>7.3000000000000001E-3</v>
      </c>
      <c r="AV151" s="594">
        <v>1.6799999999999999E-2</v>
      </c>
      <c r="AW151" s="594">
        <v>7.9000000000000008E-3</v>
      </c>
      <c r="AX151" s="594">
        <v>9.4999999999999998E-3</v>
      </c>
      <c r="AY151" s="594">
        <v>2.8400000000000002E-2</v>
      </c>
      <c r="AZ151" s="594">
        <v>8.5000000000000006E-3</v>
      </c>
      <c r="BA151" s="594">
        <v>1.06E-2</v>
      </c>
      <c r="BB151" s="594">
        <v>1.01E-2</v>
      </c>
      <c r="BC151" s="594">
        <v>1.2500000000000001E-2</v>
      </c>
      <c r="BD151" s="594">
        <v>4.7999999999999996E-3</v>
      </c>
      <c r="BE151" s="594">
        <v>1.03E-2</v>
      </c>
      <c r="BF151" s="594">
        <v>1.3299999999999999E-2</v>
      </c>
      <c r="BG151" s="594">
        <v>1.4500000000000001E-2</v>
      </c>
      <c r="BH151" s="594">
        <v>1.1299999999999999E-2</v>
      </c>
      <c r="BI151" s="594">
        <v>9.2999999999999992E-3</v>
      </c>
      <c r="BJ151" s="594">
        <v>1.7999999999999999E-2</v>
      </c>
      <c r="BK151" s="594">
        <v>1.46E-2</v>
      </c>
      <c r="BL151" s="594">
        <v>1.55E-2</v>
      </c>
      <c r="BM151" s="594">
        <v>1.1999999999999999E-3</v>
      </c>
      <c r="BN151" s="594">
        <v>0.29599999999999999</v>
      </c>
      <c r="BO151" s="594">
        <v>0.1</v>
      </c>
      <c r="BP151" s="594">
        <v>0.312</v>
      </c>
      <c r="BQ151" s="594">
        <v>0.245</v>
      </c>
      <c r="BR151" s="594">
        <v>0.18</v>
      </c>
      <c r="BS151" s="594">
        <v>0.1111</v>
      </c>
      <c r="BT151" s="594">
        <v>0.25</v>
      </c>
      <c r="BU151" s="594">
        <v>0.27</v>
      </c>
      <c r="BV151" s="594">
        <v>0.17</v>
      </c>
      <c r="BW151" s="594">
        <v>0.2</v>
      </c>
      <c r="BX151" s="594">
        <v>0.13</v>
      </c>
      <c r="BY151" s="594">
        <v>0.35</v>
      </c>
      <c r="BZ151" s="594">
        <v>8.6999999999999994E-2</v>
      </c>
      <c r="CA151" s="594">
        <v>0</v>
      </c>
      <c r="CB151" s="593">
        <v>0.25</v>
      </c>
      <c r="CC151" s="594">
        <v>0.3</v>
      </c>
      <c r="CD151" s="594">
        <v>0.2</v>
      </c>
      <c r="CE151" s="594">
        <v>0.3</v>
      </c>
      <c r="CF151" s="594">
        <v>0.14599999999999999</v>
      </c>
      <c r="CG151" s="594">
        <v>0.221</v>
      </c>
      <c r="CH151" s="594">
        <v>0.27</v>
      </c>
      <c r="CI151" s="594">
        <v>0.25</v>
      </c>
      <c r="CJ151" s="594">
        <v>0</v>
      </c>
      <c r="CK151" s="594">
        <v>0.16</v>
      </c>
      <c r="CL151" s="594">
        <v>0.25</v>
      </c>
      <c r="CM151" s="594">
        <v>0.20300000000000001</v>
      </c>
      <c r="CN151" s="594">
        <v>0.3</v>
      </c>
      <c r="CO151" s="594">
        <v>0.24</v>
      </c>
      <c r="CP151" s="594">
        <v>0.27</v>
      </c>
      <c r="CQ151" s="594">
        <v>0.35</v>
      </c>
      <c r="CR151" s="594">
        <v>0.35</v>
      </c>
      <c r="CS151" s="597"/>
      <c r="CT151" s="591">
        <v>2.8000000000000001E-2</v>
      </c>
      <c r="CU151" s="1233">
        <v>2.7021E-2</v>
      </c>
      <c r="CV151" s="591">
        <v>0</v>
      </c>
      <c r="CW151" s="915">
        <v>9.3519999999999992E-3</v>
      </c>
      <c r="CX151" s="594">
        <v>3.9E-2</v>
      </c>
      <c r="CY151" s="1234"/>
      <c r="CZ151" s="591">
        <v>3.1E-2</v>
      </c>
      <c r="DA151" s="594">
        <v>0.02</v>
      </c>
      <c r="DB151" s="594">
        <v>1.7999999999999999E-2</v>
      </c>
      <c r="DC151" s="594">
        <v>1.9E-2</v>
      </c>
      <c r="DD151" s="594">
        <v>3.2000000000000001E-2</v>
      </c>
      <c r="DE151" s="594">
        <v>0.04</v>
      </c>
      <c r="DF151" s="594">
        <v>1.0999999999999999E-2</v>
      </c>
      <c r="DG151" s="594">
        <v>2.5999999999999999E-2</v>
      </c>
      <c r="DH151" s="594">
        <v>4.2000000000000003E-2</v>
      </c>
      <c r="DI151" s="915">
        <v>3.9330000000000004E-2</v>
      </c>
      <c r="DJ151" s="1234"/>
      <c r="DK151" s="594">
        <v>0.105</v>
      </c>
      <c r="DL151" s="594">
        <v>2.5000000000000001E-2</v>
      </c>
      <c r="DM151" s="594">
        <v>2.4E-2</v>
      </c>
      <c r="DN151" s="915">
        <v>4.999E-3</v>
      </c>
      <c r="DO151" s="594">
        <v>2.7E-2</v>
      </c>
      <c r="DP151" s="594">
        <v>8.0000000000000002E-3</v>
      </c>
      <c r="DQ151" s="1234"/>
      <c r="DR151" s="591">
        <v>1.7000000000000001E-2</v>
      </c>
      <c r="DS151" s="1234"/>
      <c r="DT151" s="594">
        <v>2.1000000000000001E-2</v>
      </c>
      <c r="DU151" s="594">
        <v>2.1000000000000001E-2</v>
      </c>
      <c r="DV151" s="594">
        <v>3.4000000000000002E-2</v>
      </c>
      <c r="DW151" s="594">
        <v>0.04</v>
      </c>
      <c r="DX151" s="594">
        <v>4.5999999999999999E-2</v>
      </c>
      <c r="DY151" s="594">
        <v>1.0999999999999999E-2</v>
      </c>
      <c r="DZ151" s="916"/>
      <c r="EA151" s="1493"/>
    </row>
    <row r="152" spans="1:131" x14ac:dyDescent="0.3">
      <c r="A152" s="935">
        <v>43617</v>
      </c>
      <c r="B152" s="589">
        <v>0.17</v>
      </c>
      <c r="C152" s="590">
        <v>7.0000000000000007E-2</v>
      </c>
      <c r="D152" s="590">
        <v>0.04</v>
      </c>
      <c r="E152" s="590">
        <v>0.11125</v>
      </c>
      <c r="F152" s="591">
        <v>0.1263</v>
      </c>
      <c r="G152" s="589">
        <v>0.1111</v>
      </c>
      <c r="H152" s="589">
        <v>0.1</v>
      </c>
      <c r="I152" s="590">
        <v>0.1</v>
      </c>
      <c r="J152" s="591">
        <v>0.115</v>
      </c>
      <c r="K152" s="590">
        <v>0.15</v>
      </c>
      <c r="L152" s="591">
        <v>4.2500000000000003E-2</v>
      </c>
      <c r="M152" s="592">
        <v>0.85</v>
      </c>
      <c r="N152" s="1623">
        <v>0.1</v>
      </c>
      <c r="O152" s="589">
        <v>0</v>
      </c>
      <c r="P152" s="593">
        <v>0.1</v>
      </c>
      <c r="Q152" s="1287">
        <v>0.115</v>
      </c>
      <c r="R152" s="590">
        <v>0.2</v>
      </c>
      <c r="S152" s="591">
        <v>2.75E-2</v>
      </c>
      <c r="T152" s="594">
        <v>0.127</v>
      </c>
      <c r="U152" s="591">
        <v>0.1275</v>
      </c>
      <c r="V152" s="589">
        <v>0.16</v>
      </c>
      <c r="W152" s="591">
        <v>0.11</v>
      </c>
      <c r="X152" s="590">
        <v>0</v>
      </c>
      <c r="Y152" s="590">
        <v>0.18</v>
      </c>
      <c r="Z152" s="589">
        <v>0.2</v>
      </c>
      <c r="AA152" s="589">
        <v>0.05</v>
      </c>
      <c r="AB152" s="590">
        <v>0.2</v>
      </c>
      <c r="AC152" s="1231">
        <v>0.16250000000000001</v>
      </c>
      <c r="AD152" s="590">
        <v>0.15</v>
      </c>
      <c r="AE152" s="590">
        <v>0.2</v>
      </c>
      <c r="AF152" s="591">
        <v>0.12</v>
      </c>
      <c r="AG152" s="1623">
        <v>0</v>
      </c>
      <c r="AH152" s="594">
        <v>1.1599999999999999E-2</v>
      </c>
      <c r="AI152" s="594">
        <v>1.5299999999999999E-2</v>
      </c>
      <c r="AJ152" s="594">
        <v>1.2200000000000001E-2</v>
      </c>
      <c r="AK152" s="594">
        <v>1.3100000000000001E-2</v>
      </c>
      <c r="AL152" s="594">
        <v>1.32E-2</v>
      </c>
      <c r="AM152" s="596"/>
      <c r="AN152" s="594">
        <v>1.32E-2</v>
      </c>
      <c r="AO152" s="594">
        <v>1.15E-2</v>
      </c>
      <c r="AP152" s="594">
        <v>1.11E-2</v>
      </c>
      <c r="AQ152" s="594">
        <v>1.0200000000000001E-2</v>
      </c>
      <c r="AR152" s="594">
        <v>1.3599999999999999E-2</v>
      </c>
      <c r="AS152" s="596"/>
      <c r="AT152" s="594">
        <v>5.1000000000000004E-3</v>
      </c>
      <c r="AU152" s="594">
        <v>7.3000000000000001E-3</v>
      </c>
      <c r="AV152" s="594">
        <v>1.6799999999999999E-2</v>
      </c>
      <c r="AW152" s="594">
        <v>7.9000000000000008E-3</v>
      </c>
      <c r="AX152" s="594">
        <v>9.4999999999999998E-3</v>
      </c>
      <c r="AY152" s="594">
        <v>2.8400000000000002E-2</v>
      </c>
      <c r="AZ152" s="594">
        <v>8.5000000000000006E-3</v>
      </c>
      <c r="BA152" s="594">
        <v>1.06E-2</v>
      </c>
      <c r="BB152" s="594">
        <v>1.01E-2</v>
      </c>
      <c r="BC152" s="594">
        <v>1.2500000000000001E-2</v>
      </c>
      <c r="BD152" s="594">
        <v>4.7999999999999996E-3</v>
      </c>
      <c r="BE152" s="594">
        <v>1.03E-2</v>
      </c>
      <c r="BF152" s="594">
        <v>1.3299999999999999E-2</v>
      </c>
      <c r="BG152" s="594">
        <v>1.4500000000000001E-2</v>
      </c>
      <c r="BH152" s="594">
        <v>1.1299999999999999E-2</v>
      </c>
      <c r="BI152" s="594">
        <v>9.2999999999999992E-3</v>
      </c>
      <c r="BJ152" s="594">
        <v>1.7999999999999999E-2</v>
      </c>
      <c r="BK152" s="594">
        <v>1.46E-2</v>
      </c>
      <c r="BL152" s="594">
        <v>1.55E-2</v>
      </c>
      <c r="BM152" s="594">
        <v>1.1999999999999999E-3</v>
      </c>
      <c r="BN152" s="594">
        <v>0.29599999999999999</v>
      </c>
      <c r="BO152" s="594">
        <v>0.1</v>
      </c>
      <c r="BP152" s="594">
        <v>0.312</v>
      </c>
      <c r="BQ152" s="594">
        <v>0.245</v>
      </c>
      <c r="BR152" s="594">
        <v>0.18</v>
      </c>
      <c r="BS152" s="594">
        <v>0.1111</v>
      </c>
      <c r="BT152" s="594">
        <v>0.25</v>
      </c>
      <c r="BU152" s="594">
        <v>0.27</v>
      </c>
      <c r="BV152" s="594">
        <v>0.17</v>
      </c>
      <c r="BW152" s="594">
        <v>0.2</v>
      </c>
      <c r="BX152" s="594">
        <v>0.13</v>
      </c>
      <c r="BY152" s="594">
        <v>0.35</v>
      </c>
      <c r="BZ152" s="594">
        <v>8.6999999999999994E-2</v>
      </c>
      <c r="CA152" s="594">
        <v>0</v>
      </c>
      <c r="CB152" s="593">
        <v>0.25</v>
      </c>
      <c r="CC152" s="594">
        <v>0.3</v>
      </c>
      <c r="CD152" s="594">
        <v>0.2</v>
      </c>
      <c r="CE152" s="594">
        <v>0.3</v>
      </c>
      <c r="CF152" s="594">
        <v>0.14599999999999999</v>
      </c>
      <c r="CG152" s="594">
        <v>0.221</v>
      </c>
      <c r="CH152" s="594">
        <v>0.27</v>
      </c>
      <c r="CI152" s="594">
        <v>0.25</v>
      </c>
      <c r="CJ152" s="594">
        <v>0</v>
      </c>
      <c r="CK152" s="594">
        <v>0.16</v>
      </c>
      <c r="CL152" s="594">
        <v>0.25</v>
      </c>
      <c r="CM152" s="594">
        <v>0.20300000000000001</v>
      </c>
      <c r="CN152" s="594">
        <v>0.3</v>
      </c>
      <c r="CO152" s="594">
        <v>0.24</v>
      </c>
      <c r="CP152" s="594">
        <v>0.27</v>
      </c>
      <c r="CQ152" s="594">
        <v>0.35</v>
      </c>
      <c r="CR152" s="594">
        <v>0.35</v>
      </c>
      <c r="CS152" s="597"/>
      <c r="CT152" s="591">
        <v>2.8000000000000001E-2</v>
      </c>
      <c r="CU152" s="1233">
        <v>2.7021E-2</v>
      </c>
      <c r="CV152" s="591">
        <v>0</v>
      </c>
      <c r="CW152" s="915">
        <v>9.3519999999999992E-3</v>
      </c>
      <c r="CX152" s="594">
        <v>3.9E-2</v>
      </c>
      <c r="CY152" s="1234"/>
      <c r="CZ152" s="591">
        <v>3.1E-2</v>
      </c>
      <c r="DA152" s="594">
        <v>0.02</v>
      </c>
      <c r="DB152" s="594">
        <v>1.7999999999999999E-2</v>
      </c>
      <c r="DC152" s="594">
        <v>1.9E-2</v>
      </c>
      <c r="DD152" s="594">
        <v>3.2000000000000001E-2</v>
      </c>
      <c r="DE152" s="594">
        <v>0.04</v>
      </c>
      <c r="DF152" s="594">
        <v>1.0999999999999999E-2</v>
      </c>
      <c r="DG152" s="594">
        <v>2.5999999999999999E-2</v>
      </c>
      <c r="DH152" s="594">
        <v>4.2000000000000003E-2</v>
      </c>
      <c r="DI152" s="915">
        <v>3.9330000000000004E-2</v>
      </c>
      <c r="DJ152" s="1234"/>
      <c r="DK152" s="594">
        <v>0.105</v>
      </c>
      <c r="DL152" s="594">
        <v>2.5000000000000001E-2</v>
      </c>
      <c r="DM152" s="594">
        <v>2.4E-2</v>
      </c>
      <c r="DN152" s="915">
        <v>4.999E-3</v>
      </c>
      <c r="DO152" s="594">
        <v>2.7E-2</v>
      </c>
      <c r="DP152" s="594">
        <v>8.0000000000000002E-3</v>
      </c>
      <c r="DQ152" s="1234"/>
      <c r="DR152" s="591">
        <v>1.7000000000000001E-2</v>
      </c>
      <c r="DS152" s="1234"/>
      <c r="DT152" s="594">
        <v>2.1000000000000001E-2</v>
      </c>
      <c r="DU152" s="594">
        <v>2.1000000000000001E-2</v>
      </c>
      <c r="DV152" s="594">
        <v>3.4000000000000002E-2</v>
      </c>
      <c r="DW152" s="594">
        <v>0.04</v>
      </c>
      <c r="DX152" s="594">
        <v>4.5999999999999999E-2</v>
      </c>
      <c r="DY152" s="594">
        <v>1.0999999999999999E-2</v>
      </c>
      <c r="DZ152" s="916"/>
      <c r="EA152" s="1493"/>
    </row>
    <row r="153" spans="1:131" x14ac:dyDescent="0.3">
      <c r="A153" s="936"/>
      <c r="B153" s="918"/>
      <c r="C153" s="918"/>
      <c r="D153" s="918"/>
      <c r="E153" s="918"/>
      <c r="F153" s="918"/>
      <c r="G153" s="918"/>
      <c r="H153" s="918"/>
      <c r="I153" s="918"/>
      <c r="J153" s="918"/>
      <c r="K153" s="918"/>
      <c r="L153" s="918"/>
      <c r="M153" s="918"/>
      <c r="N153" s="918"/>
      <c r="O153" s="918"/>
      <c r="P153" s="918"/>
      <c r="Q153" s="918"/>
      <c r="R153" s="918"/>
      <c r="S153" s="918"/>
      <c r="T153" s="918"/>
      <c r="U153" s="918"/>
      <c r="V153" s="918"/>
      <c r="W153" s="918"/>
      <c r="X153" s="918"/>
      <c r="Y153" s="918"/>
      <c r="Z153" s="918"/>
      <c r="AA153" s="918"/>
      <c r="AB153" s="918"/>
      <c r="AC153" s="918"/>
      <c r="AD153" s="918"/>
      <c r="AE153" s="918"/>
      <c r="AF153" s="918"/>
      <c r="AG153" s="918"/>
      <c r="AH153" s="918"/>
      <c r="AI153" s="918"/>
      <c r="AJ153" s="918"/>
      <c r="AK153" s="918"/>
      <c r="AL153" s="918"/>
      <c r="AM153" s="918"/>
      <c r="AN153" s="918"/>
      <c r="AO153" s="918"/>
      <c r="AP153" s="918"/>
      <c r="AQ153" s="918"/>
      <c r="AR153" s="918"/>
      <c r="AS153" s="918"/>
      <c r="AT153" s="918"/>
      <c r="AU153" s="918"/>
      <c r="AV153" s="918"/>
      <c r="AW153" s="918"/>
      <c r="AX153" s="918"/>
      <c r="AY153" s="918"/>
      <c r="AZ153" s="918"/>
      <c r="BA153" s="918"/>
      <c r="BB153" s="918"/>
      <c r="BC153" s="918"/>
      <c r="BD153" s="918"/>
      <c r="BE153" s="918"/>
      <c r="BF153" s="918"/>
      <c r="BG153" s="918"/>
      <c r="BH153" s="918"/>
      <c r="BI153" s="918"/>
      <c r="BJ153" s="918"/>
      <c r="BK153" s="918"/>
      <c r="BL153" s="918"/>
      <c r="BM153" s="918"/>
      <c r="BN153" s="918"/>
      <c r="BO153" s="918"/>
      <c r="BP153" s="918"/>
      <c r="BQ153" s="918"/>
      <c r="BR153" s="918"/>
      <c r="BS153" s="918"/>
      <c r="BT153" s="918"/>
      <c r="BU153" s="918"/>
      <c r="BV153" s="918"/>
      <c r="BW153" s="918"/>
      <c r="BX153" s="918"/>
      <c r="BY153" s="918"/>
      <c r="BZ153" s="918"/>
      <c r="CA153" s="918"/>
      <c r="CB153" s="918"/>
      <c r="CC153" s="918"/>
      <c r="CD153" s="918"/>
      <c r="CE153" s="918"/>
      <c r="CF153" s="918"/>
      <c r="CG153" s="918"/>
      <c r="CH153" s="918"/>
      <c r="CI153" s="918"/>
      <c r="CJ153" s="918"/>
      <c r="CK153" s="918"/>
      <c r="CL153" s="918"/>
      <c r="CM153" s="918"/>
      <c r="CN153" s="918"/>
      <c r="CO153" s="918"/>
      <c r="CP153" s="918"/>
      <c r="CQ153" s="918"/>
      <c r="CR153" s="918"/>
      <c r="CS153" s="918"/>
      <c r="CT153" s="918"/>
      <c r="CU153" s="1232"/>
      <c r="CV153" s="918"/>
      <c r="CW153" s="918"/>
      <c r="CX153" s="918"/>
      <c r="CY153" s="918"/>
      <c r="CZ153" s="918"/>
      <c r="DA153" s="918"/>
      <c r="DB153" s="918"/>
      <c r="DC153" s="918"/>
      <c r="DD153" s="918"/>
      <c r="DE153" s="918"/>
      <c r="DF153" s="918"/>
      <c r="DG153" s="918"/>
      <c r="DH153" s="918"/>
      <c r="DI153" s="918"/>
      <c r="DJ153" s="918"/>
      <c r="DK153" s="918"/>
      <c r="DL153" s="918"/>
      <c r="DM153" s="918"/>
      <c r="DN153" s="918"/>
      <c r="DO153" s="918"/>
      <c r="DP153" s="918"/>
      <c r="DQ153" s="918"/>
      <c r="DR153" s="918"/>
      <c r="DS153" s="918"/>
      <c r="DT153" s="918"/>
      <c r="DU153" s="918"/>
      <c r="DV153" s="918"/>
      <c r="DW153" s="918"/>
      <c r="DX153" s="918"/>
      <c r="DY153" s="918"/>
      <c r="DZ153" s="919"/>
      <c r="EA153" s="1439"/>
    </row>
    <row r="154" spans="1:131" x14ac:dyDescent="0.3">
      <c r="A154" s="1373"/>
      <c r="B154" s="1374"/>
      <c r="C154" s="1374"/>
      <c r="D154" s="1374"/>
      <c r="E154" s="1374"/>
      <c r="F154" s="1374"/>
      <c r="G154" s="1374"/>
      <c r="H154" s="1374"/>
      <c r="I154" s="1374"/>
      <c r="J154" s="1374"/>
      <c r="K154" s="1374"/>
      <c r="L154" s="1374"/>
      <c r="M154" s="1374"/>
      <c r="N154" s="1374"/>
      <c r="O154" s="1374"/>
      <c r="P154" s="1374"/>
      <c r="Q154" s="1374"/>
      <c r="R154" s="1374"/>
      <c r="S154" s="1374"/>
      <c r="T154" s="1374"/>
      <c r="U154" s="1374"/>
      <c r="V154" s="1374"/>
      <c r="W154" s="1374"/>
      <c r="X154" s="1374"/>
      <c r="Y154" s="1374"/>
      <c r="Z154" s="1374"/>
      <c r="AA154" s="1374"/>
      <c r="AB154" s="1374"/>
      <c r="AC154" s="1374"/>
      <c r="AD154" s="1374"/>
      <c r="AE154" s="1374"/>
      <c r="AF154" s="1374"/>
      <c r="AG154" s="1374"/>
      <c r="AH154" s="1374"/>
      <c r="AI154" s="1374"/>
      <c r="AJ154" s="1374"/>
      <c r="AK154" s="1374"/>
      <c r="AL154" s="1374"/>
      <c r="AM154" s="1374"/>
      <c r="AN154" s="1374"/>
      <c r="AO154" s="1374"/>
      <c r="AP154" s="1374"/>
      <c r="AQ154" s="1374"/>
      <c r="AR154" s="1374"/>
      <c r="AS154" s="1374"/>
      <c r="AT154" s="1374"/>
      <c r="AU154" s="1374"/>
      <c r="AV154" s="1374"/>
      <c r="AW154" s="1374"/>
      <c r="AX154" s="1374"/>
      <c r="AY154" s="1374"/>
      <c r="AZ154" s="1374"/>
      <c r="BA154" s="1374"/>
      <c r="BB154" s="1374"/>
      <c r="BC154" s="1374"/>
      <c r="BD154" s="1374"/>
      <c r="BE154" s="1374"/>
      <c r="BF154" s="1374"/>
      <c r="BG154" s="1374"/>
      <c r="BH154" s="1374"/>
      <c r="BI154" s="1374"/>
      <c r="BJ154" s="1374"/>
      <c r="BK154" s="1374"/>
      <c r="BL154" s="1374"/>
      <c r="BM154" s="1374"/>
      <c r="BN154" s="1374"/>
      <c r="BO154" s="1374"/>
      <c r="BP154" s="1374"/>
      <c r="BQ154" s="1374"/>
      <c r="BR154" s="1374"/>
      <c r="BS154" s="1374"/>
      <c r="BT154" s="1374"/>
      <c r="BU154" s="1374"/>
      <c r="BV154" s="1374"/>
      <c r="BW154" s="1374"/>
      <c r="BX154" s="1374"/>
      <c r="BY154" s="1374"/>
      <c r="BZ154" s="1374"/>
      <c r="CA154" s="1374"/>
      <c r="CB154" s="1374"/>
      <c r="CC154" s="1374"/>
      <c r="CD154" s="1374"/>
      <c r="CE154" s="1374"/>
      <c r="CF154" s="1374"/>
      <c r="CG154" s="1374"/>
      <c r="CH154" s="1374"/>
      <c r="CI154" s="1374"/>
      <c r="CJ154" s="1374"/>
      <c r="CK154" s="1374"/>
      <c r="CL154" s="1374"/>
      <c r="CM154" s="1374"/>
      <c r="CN154" s="1374"/>
      <c r="CO154" s="1374"/>
      <c r="CP154" s="1374"/>
      <c r="CQ154" s="1374"/>
      <c r="CR154" s="1374"/>
      <c r="CS154" s="1374"/>
      <c r="CT154" s="1374"/>
      <c r="CU154" s="1374"/>
      <c r="CV154" s="1374"/>
      <c r="CW154" s="1374"/>
      <c r="CX154" s="1374"/>
      <c r="CY154" s="1374"/>
      <c r="CZ154" s="1374"/>
      <c r="DA154" s="1374"/>
      <c r="DB154" s="1374"/>
      <c r="DC154" s="1374"/>
      <c r="DD154" s="1374"/>
      <c r="DE154" s="1374"/>
      <c r="DF154" s="1374"/>
      <c r="DG154" s="1374"/>
      <c r="DH154" s="1374"/>
      <c r="DI154" s="1374"/>
      <c r="DJ154" s="1374"/>
      <c r="DK154" s="1374"/>
      <c r="DL154" s="1374"/>
      <c r="DM154" s="1374"/>
      <c r="DN154" s="1374"/>
      <c r="DO154" s="1374"/>
      <c r="DP154" s="1374"/>
      <c r="DQ154" s="1374"/>
      <c r="DR154" s="1374"/>
      <c r="DS154" s="1374"/>
      <c r="DT154" s="1374"/>
      <c r="DU154" s="1374"/>
      <c r="DV154" s="1374"/>
      <c r="DW154" s="1374"/>
      <c r="DX154" s="1374"/>
      <c r="DY154" s="1374"/>
      <c r="DZ154" s="1374"/>
      <c r="EA154" s="1439"/>
    </row>
    <row r="155" spans="1:131" x14ac:dyDescent="0.3">
      <c r="A155" s="1373"/>
      <c r="B155" s="1374"/>
      <c r="C155" s="1374"/>
      <c r="D155" s="1374"/>
      <c r="E155" s="1374"/>
      <c r="F155" s="1374"/>
      <c r="G155" s="1374"/>
      <c r="H155" s="1374"/>
      <c r="I155" s="1374"/>
      <c r="J155" s="1374"/>
      <c r="K155" s="1374"/>
      <c r="L155" s="1374"/>
      <c r="M155" s="1374"/>
      <c r="N155" s="1374"/>
      <c r="O155" s="1374"/>
      <c r="P155" s="1374"/>
      <c r="Q155" s="1374"/>
      <c r="R155" s="1374"/>
      <c r="S155" s="1374"/>
      <c r="T155" s="1374"/>
      <c r="U155" s="1374"/>
      <c r="V155" s="1374"/>
      <c r="W155" s="1374"/>
      <c r="X155" s="1374"/>
      <c r="Y155" s="1374"/>
      <c r="Z155" s="1374"/>
      <c r="AA155" s="1374"/>
      <c r="AB155" s="1374"/>
      <c r="AC155" s="1374"/>
      <c r="AD155" s="1374"/>
      <c r="AE155" s="1374"/>
      <c r="AF155" s="1374"/>
      <c r="AG155" s="1374"/>
      <c r="AH155" s="1374"/>
      <c r="AI155" s="1374"/>
      <c r="AJ155" s="1374"/>
      <c r="AK155" s="1374"/>
      <c r="AL155" s="1374"/>
      <c r="AM155" s="1374"/>
      <c r="AN155" s="1374"/>
      <c r="AO155" s="1374"/>
      <c r="AP155" s="1374"/>
      <c r="AQ155" s="1374"/>
      <c r="AR155" s="1374"/>
      <c r="AS155" s="1374"/>
      <c r="AT155" s="1374"/>
      <c r="AU155" s="1374"/>
      <c r="AV155" s="1374"/>
      <c r="AW155" s="1374"/>
      <c r="AX155" s="1374"/>
      <c r="AY155" s="1374"/>
      <c r="AZ155" s="1374"/>
      <c r="BA155" s="1374"/>
      <c r="BB155" s="1374"/>
      <c r="BC155" s="1374"/>
      <c r="BD155" s="1374"/>
      <c r="BE155" s="1374"/>
      <c r="BF155" s="1374"/>
      <c r="BG155" s="1374"/>
      <c r="BH155" s="1374"/>
      <c r="BI155" s="1374"/>
      <c r="BJ155" s="1374"/>
      <c r="BK155" s="1374"/>
      <c r="BL155" s="1374"/>
      <c r="BM155" s="1374"/>
      <c r="BN155" s="1374"/>
      <c r="BO155" s="1374"/>
      <c r="BP155" s="1374"/>
      <c r="BQ155" s="1374"/>
      <c r="BR155" s="1374"/>
      <c r="BS155" s="1374"/>
      <c r="BT155" s="1374"/>
      <c r="BU155" s="1374"/>
      <c r="BV155" s="1374"/>
      <c r="BW155" s="1374"/>
      <c r="BX155" s="1374"/>
      <c r="BY155" s="1374"/>
      <c r="BZ155" s="1374"/>
      <c r="CA155" s="1374"/>
      <c r="CB155" s="1374"/>
      <c r="CC155" s="1374"/>
      <c r="CD155" s="1374"/>
      <c r="CE155" s="1374"/>
      <c r="CF155" s="1374"/>
      <c r="CG155" s="1374"/>
      <c r="CH155" s="1374"/>
      <c r="CI155" s="1374"/>
      <c r="CJ155" s="1374"/>
      <c r="CK155" s="1374"/>
      <c r="CL155" s="1374"/>
      <c r="CM155" s="1374"/>
      <c r="CN155" s="1374"/>
      <c r="CO155" s="1374"/>
      <c r="CP155" s="1374"/>
      <c r="CQ155" s="1374"/>
      <c r="CR155" s="1374"/>
      <c r="CS155" s="1374"/>
      <c r="CT155" s="1374"/>
      <c r="CU155" s="1374"/>
      <c r="CV155" s="1374"/>
      <c r="CW155" s="1374"/>
      <c r="CX155" s="1374"/>
      <c r="CY155" s="1374"/>
      <c r="CZ155" s="1374"/>
      <c r="DA155" s="1374"/>
      <c r="DB155" s="1374"/>
      <c r="DC155" s="1374"/>
      <c r="DD155" s="1374"/>
      <c r="DE155" s="1374"/>
      <c r="DF155" s="1374"/>
      <c r="DG155" s="1374"/>
      <c r="DH155" s="1374"/>
      <c r="DI155" s="1374"/>
      <c r="DJ155" s="1374"/>
      <c r="DK155" s="1374"/>
      <c r="DL155" s="1374"/>
      <c r="DM155" s="1374"/>
      <c r="DN155" s="1374"/>
      <c r="DO155" s="1374"/>
      <c r="DP155" s="1374"/>
      <c r="DQ155" s="1374"/>
      <c r="DR155" s="1374"/>
      <c r="DS155" s="1374"/>
      <c r="DT155" s="1374"/>
      <c r="DU155" s="1374"/>
      <c r="DV155" s="1374"/>
      <c r="DW155" s="1374"/>
      <c r="DX155" s="1374"/>
      <c r="DY155" s="1374"/>
      <c r="DZ155" s="1374"/>
      <c r="EA155" s="1439"/>
    </row>
    <row r="156" spans="1:131" ht="23.25" customHeight="1" x14ac:dyDescent="0.3">
      <c r="A156" s="1373"/>
      <c r="B156" s="1374"/>
      <c r="C156" s="1374"/>
      <c r="D156" s="1374"/>
      <c r="E156" s="1374"/>
      <c r="F156" s="1374"/>
      <c r="G156" s="1374"/>
      <c r="H156" s="1374"/>
      <c r="I156" s="1374"/>
      <c r="J156" s="1374"/>
      <c r="K156" s="1374"/>
      <c r="L156" s="1374"/>
      <c r="M156" s="1374"/>
      <c r="N156" s="1374"/>
      <c r="O156" s="1374"/>
      <c r="P156" s="1374"/>
      <c r="Q156" s="1374"/>
      <c r="R156" s="1374"/>
      <c r="S156" s="1374"/>
      <c r="T156" s="1374"/>
      <c r="U156" s="1374"/>
      <c r="V156" s="1374"/>
      <c r="W156" s="1374"/>
      <c r="X156" s="1374"/>
      <c r="Y156" s="1374"/>
      <c r="Z156" s="1374"/>
      <c r="AA156" s="1374"/>
      <c r="AB156" s="1374"/>
      <c r="AC156" s="1374"/>
      <c r="AD156" s="1374"/>
      <c r="AE156" s="1374"/>
      <c r="AF156" s="1374"/>
      <c r="AG156" s="1374"/>
      <c r="AH156" s="1374"/>
      <c r="AI156" s="1374"/>
      <c r="AJ156" s="1374"/>
      <c r="AK156" s="1374"/>
      <c r="AL156" s="1374"/>
      <c r="AM156" s="1374"/>
      <c r="AN156" s="1374"/>
      <c r="AO156" s="1374"/>
      <c r="AP156" s="1374"/>
      <c r="AQ156" s="1374"/>
      <c r="AR156" s="1374"/>
      <c r="AS156" s="1374"/>
      <c r="AT156" s="1374"/>
      <c r="AU156" s="1374"/>
      <c r="AV156" s="1374"/>
      <c r="AW156" s="1374"/>
      <c r="AX156" s="1374"/>
      <c r="AY156" s="1374"/>
      <c r="AZ156" s="1374"/>
      <c r="BA156" s="1374"/>
      <c r="BB156" s="1374"/>
      <c r="BC156" s="1374"/>
      <c r="BD156" s="1374"/>
      <c r="BE156" s="1374"/>
      <c r="BF156" s="1374"/>
      <c r="BG156" s="1374"/>
      <c r="BH156" s="1374"/>
      <c r="BI156" s="1374"/>
      <c r="BJ156" s="1374"/>
      <c r="BK156" s="1374"/>
      <c r="BL156" s="1374"/>
      <c r="BM156" s="1374"/>
      <c r="BN156" s="1374"/>
      <c r="BO156" s="1374"/>
      <c r="BP156" s="1374"/>
      <c r="BQ156" s="1374"/>
      <c r="BR156" s="1374"/>
      <c r="BS156" s="1374"/>
      <c r="BT156" s="1374"/>
      <c r="BU156" s="1374"/>
      <c r="BV156" s="1374"/>
      <c r="BW156" s="1374"/>
      <c r="BX156" s="1374"/>
      <c r="BY156" s="1374"/>
      <c r="BZ156" s="1374"/>
      <c r="CA156" s="1374"/>
      <c r="CB156" s="1374"/>
      <c r="CC156" s="1374"/>
      <c r="CD156" s="1374"/>
      <c r="CE156" s="1374"/>
      <c r="CF156" s="1374"/>
      <c r="CG156" s="1374"/>
      <c r="CH156" s="1374"/>
      <c r="CI156" s="1374"/>
      <c r="CJ156" s="1374"/>
      <c r="CK156" s="1374"/>
      <c r="CL156" s="1374"/>
      <c r="CM156" s="1374"/>
      <c r="CN156" s="1374"/>
      <c r="CO156" s="1374"/>
      <c r="CP156" s="1374"/>
      <c r="CQ156" s="1374"/>
      <c r="CR156" s="1374"/>
      <c r="CS156" s="1374"/>
      <c r="CT156" s="1374"/>
      <c r="CU156" s="1374"/>
      <c r="CV156" s="1374"/>
      <c r="CW156" s="1374"/>
      <c r="CX156" s="1374"/>
      <c r="CY156" s="1374"/>
      <c r="CZ156" s="1374"/>
      <c r="DA156" s="1374"/>
      <c r="DB156" s="1374"/>
      <c r="DC156" s="1374"/>
      <c r="DD156" s="1374"/>
      <c r="DE156" s="1374"/>
      <c r="DF156" s="1374"/>
      <c r="DG156" s="1374"/>
      <c r="DH156" s="1374"/>
      <c r="DI156" s="1374"/>
      <c r="DJ156" s="1374"/>
      <c r="DK156" s="1374"/>
      <c r="DL156" s="1374"/>
      <c r="DM156" s="1374"/>
      <c r="DN156" s="1374"/>
      <c r="DO156" s="1374"/>
      <c r="DP156" s="1374"/>
      <c r="DQ156" s="1374"/>
      <c r="DR156" s="1374"/>
      <c r="DS156" s="1374"/>
      <c r="DT156" s="1374"/>
      <c r="DU156" s="1374"/>
      <c r="DV156" s="1374"/>
      <c r="DW156" s="1374"/>
      <c r="DX156" s="1374"/>
      <c r="DY156" s="1374"/>
      <c r="DZ156" s="1374"/>
      <c r="EA156" s="1439"/>
    </row>
    <row r="157" spans="1:131" x14ac:dyDescent="0.3">
      <c r="A157" s="1373"/>
      <c r="B157" s="1374"/>
      <c r="C157" s="1374"/>
      <c r="D157" s="1374"/>
      <c r="E157" s="1374"/>
      <c r="F157" s="1374"/>
      <c r="G157" s="1374"/>
      <c r="H157" s="1374"/>
      <c r="I157" s="1374"/>
      <c r="J157" s="1374"/>
      <c r="K157" s="1374"/>
      <c r="L157" s="1374"/>
      <c r="M157" s="1374"/>
      <c r="N157" s="1374"/>
      <c r="O157" s="1374"/>
      <c r="P157" s="1374"/>
      <c r="Q157" s="1374"/>
      <c r="R157" s="1374"/>
      <c r="S157" s="1374"/>
      <c r="T157" s="1374"/>
      <c r="U157" s="1374"/>
      <c r="V157" s="1374"/>
      <c r="W157" s="1374"/>
      <c r="X157" s="1374"/>
      <c r="Y157" s="1374"/>
      <c r="Z157" s="1374"/>
      <c r="AA157" s="1374"/>
      <c r="AB157" s="1374"/>
      <c r="AC157" s="1374"/>
      <c r="AD157" s="1374"/>
      <c r="AE157" s="1374"/>
      <c r="AF157" s="1374"/>
      <c r="AG157" s="1374"/>
      <c r="AH157" s="1374"/>
      <c r="AI157" s="1374"/>
      <c r="AJ157" s="1374"/>
      <c r="AK157" s="1374"/>
      <c r="AL157" s="1374"/>
      <c r="AM157" s="1374"/>
      <c r="AN157" s="1374"/>
      <c r="AO157" s="1374"/>
      <c r="AP157" s="1374"/>
      <c r="AQ157" s="1374"/>
      <c r="AR157" s="1374"/>
      <c r="AS157" s="1374"/>
      <c r="AT157" s="1374"/>
      <c r="AU157" s="1374"/>
      <c r="AV157" s="1374"/>
      <c r="AW157" s="1374"/>
      <c r="AX157" s="1374"/>
      <c r="AY157" s="1374"/>
      <c r="AZ157" s="1374"/>
      <c r="BA157" s="1374"/>
      <c r="BB157" s="1374"/>
      <c r="BC157" s="1374"/>
      <c r="BD157" s="1374"/>
      <c r="BE157" s="1374"/>
      <c r="BF157" s="1374"/>
      <c r="BG157" s="1374"/>
      <c r="BH157" s="1374"/>
      <c r="BI157" s="1374"/>
      <c r="BJ157" s="1374"/>
      <c r="BK157" s="1374"/>
      <c r="BL157" s="1374"/>
      <c r="BM157" s="1374"/>
      <c r="BN157" s="1374"/>
      <c r="BO157" s="1374"/>
      <c r="BP157" s="1374"/>
      <c r="BQ157" s="1374"/>
      <c r="BR157" s="1374"/>
      <c r="BS157" s="1374"/>
      <c r="BT157" s="1374"/>
      <c r="BU157" s="1374"/>
      <c r="BV157" s="1374"/>
      <c r="BW157" s="1374"/>
      <c r="BX157" s="1374"/>
      <c r="BY157" s="1374"/>
      <c r="BZ157" s="1374"/>
      <c r="CA157" s="1374"/>
      <c r="CB157" s="1374"/>
      <c r="CC157" s="1374"/>
      <c r="CD157" s="1374"/>
      <c r="CE157" s="1374"/>
      <c r="CF157" s="1374"/>
      <c r="CG157" s="1374"/>
      <c r="CH157" s="1374"/>
      <c r="CI157" s="1374"/>
      <c r="CJ157" s="1374"/>
      <c r="CK157" s="1374"/>
      <c r="CL157" s="1374"/>
      <c r="CM157" s="1374"/>
      <c r="CN157" s="1374"/>
      <c r="CO157" s="1374"/>
      <c r="CP157" s="1374"/>
      <c r="CQ157" s="1374"/>
      <c r="CR157" s="1374"/>
      <c r="CS157" s="1374"/>
      <c r="CT157" s="1374"/>
      <c r="CU157" s="1374"/>
      <c r="CV157" s="1374"/>
      <c r="CW157" s="1374"/>
      <c r="CX157" s="1374"/>
      <c r="CY157" s="1374"/>
      <c r="CZ157" s="1374"/>
      <c r="DA157" s="1374"/>
      <c r="DB157" s="1374"/>
      <c r="DC157" s="1374"/>
      <c r="DD157" s="1374"/>
      <c r="DE157" s="1374"/>
      <c r="DF157" s="1374"/>
      <c r="DG157" s="1374"/>
      <c r="DH157" s="1374"/>
      <c r="DI157" s="1374"/>
      <c r="DJ157" s="1374"/>
      <c r="DK157" s="1374"/>
      <c r="DL157" s="1374"/>
      <c r="DM157" s="1374"/>
      <c r="DN157" s="1374"/>
      <c r="DO157" s="1374"/>
      <c r="DP157" s="1374"/>
      <c r="DQ157" s="1374"/>
      <c r="DR157" s="1374"/>
      <c r="DS157" s="1374"/>
      <c r="DT157" s="1374"/>
      <c r="DU157" s="1374"/>
      <c r="DV157" s="1374"/>
      <c r="DW157" s="1374"/>
      <c r="DX157" s="1374"/>
      <c r="DY157" s="1374"/>
      <c r="DZ157" s="1374"/>
      <c r="EA157" s="1439"/>
    </row>
    <row r="158" spans="1:131" ht="17.25" customHeight="1" thickBot="1" x14ac:dyDescent="0.35">
      <c r="A158" s="928"/>
      <c r="B158" s="908"/>
      <c r="C158" s="908"/>
      <c r="D158" s="908"/>
      <c r="E158" s="909"/>
      <c r="F158" s="1374"/>
      <c r="G158" s="1374"/>
      <c r="H158" s="1374"/>
      <c r="I158" s="1374"/>
      <c r="J158" s="1374"/>
      <c r="K158" s="1374"/>
      <c r="L158" s="1374"/>
      <c r="M158" s="1374"/>
      <c r="N158" s="1374"/>
      <c r="O158" s="1374"/>
      <c r="P158" s="1374"/>
      <c r="Q158" s="1374"/>
      <c r="R158" s="1374"/>
      <c r="S158" s="1374"/>
      <c r="T158" s="1374"/>
      <c r="U158" s="1374"/>
      <c r="V158" s="1374"/>
      <c r="W158" s="1374"/>
      <c r="X158" s="1374"/>
      <c r="Y158" s="1374"/>
      <c r="Z158" s="1374"/>
      <c r="AA158" s="1374"/>
      <c r="AB158" s="1374"/>
      <c r="AC158" s="1374"/>
      <c r="AD158" s="1374"/>
      <c r="AE158" s="1374"/>
      <c r="AF158" s="1374"/>
      <c r="AG158" s="1374"/>
      <c r="AH158" s="1374"/>
      <c r="AI158" s="1374"/>
      <c r="AJ158" s="1374"/>
      <c r="AK158" s="1374"/>
      <c r="AL158" s="1374"/>
      <c r="AM158" s="1374"/>
      <c r="AN158" s="1374"/>
      <c r="AO158" s="1374"/>
      <c r="AP158" s="1374"/>
      <c r="AQ158" s="1374"/>
      <c r="AR158" s="1374"/>
      <c r="AS158" s="1374"/>
      <c r="AT158" s="1374"/>
      <c r="AU158" s="1374"/>
      <c r="AV158" s="1374"/>
      <c r="AW158" s="1374"/>
      <c r="AX158" s="1374"/>
      <c r="AY158" s="1374"/>
      <c r="AZ158" s="1374"/>
      <c r="BA158" s="1374"/>
      <c r="BB158" s="1374"/>
      <c r="BC158" s="1374"/>
      <c r="BD158" s="1374"/>
      <c r="BE158" s="1374"/>
      <c r="BF158" s="1374"/>
      <c r="BG158" s="1374"/>
      <c r="BH158" s="1374"/>
      <c r="BI158" s="1374"/>
      <c r="BJ158" s="1374"/>
      <c r="BK158" s="1374"/>
      <c r="BL158" s="1374"/>
      <c r="BM158" s="1374"/>
      <c r="BN158" s="1374"/>
      <c r="BO158" s="1374"/>
      <c r="BP158" s="1374"/>
      <c r="BQ158" s="1374"/>
      <c r="BR158" s="1374"/>
      <c r="BS158" s="1374"/>
      <c r="BT158" s="1374"/>
      <c r="BU158" s="1374"/>
      <c r="BV158" s="1374"/>
      <c r="BW158" s="1374"/>
      <c r="BX158" s="1374"/>
      <c r="BY158" s="1374"/>
      <c r="BZ158" s="1374"/>
      <c r="CA158" s="1374"/>
      <c r="CB158" s="1374"/>
      <c r="CC158" s="1374"/>
      <c r="CD158" s="1374"/>
      <c r="CE158" s="1374"/>
      <c r="CF158" s="1374"/>
      <c r="CG158" s="600"/>
      <c r="CH158" s="1374"/>
      <c r="CI158" s="1374"/>
      <c r="CJ158" s="1374"/>
      <c r="CK158" s="1374"/>
      <c r="CL158" s="1374"/>
      <c r="CM158" s="1374"/>
      <c r="CN158" s="1374"/>
      <c r="CO158" s="1374"/>
      <c r="CP158" s="1374"/>
      <c r="CQ158" s="1374"/>
      <c r="CR158" s="1374"/>
      <c r="CS158" s="1374"/>
      <c r="CT158" s="1374"/>
      <c r="CU158" s="1374"/>
      <c r="CV158" s="1374"/>
      <c r="CW158" s="1374"/>
      <c r="CX158" s="1374"/>
      <c r="CY158" s="1374"/>
      <c r="CZ158" s="1374"/>
      <c r="DA158" s="1374"/>
      <c r="DB158" s="1374"/>
      <c r="DC158" s="1374"/>
      <c r="DD158" s="1374"/>
      <c r="DE158" s="1374"/>
      <c r="DF158" s="1374"/>
      <c r="DG158" s="1374"/>
      <c r="DH158" s="1374"/>
      <c r="DI158" s="1374"/>
      <c r="DJ158" s="1374"/>
      <c r="DK158" s="1374"/>
      <c r="DL158" s="1374"/>
      <c r="DM158" s="1374"/>
      <c r="DN158" s="1374"/>
      <c r="DO158" s="1374"/>
      <c r="DP158" s="1374"/>
      <c r="DQ158" s="1374"/>
      <c r="DR158" s="1374"/>
      <c r="DS158" s="1374"/>
      <c r="DT158" s="1374"/>
      <c r="DU158" s="1374"/>
      <c r="DV158" s="1374"/>
      <c r="DW158" s="1374"/>
      <c r="DX158" s="1374"/>
      <c r="DY158" s="1374"/>
      <c r="DZ158" s="1374"/>
      <c r="EA158" s="1439"/>
    </row>
    <row r="159" spans="1:131" ht="16.5" customHeight="1" x14ac:dyDescent="0.3">
      <c r="A159" s="2655" t="s">
        <v>494</v>
      </c>
      <c r="B159" s="2656"/>
      <c r="C159" s="2656"/>
      <c r="D159" s="2657"/>
      <c r="E159" s="920"/>
      <c r="F159" s="1374"/>
      <c r="G159" s="1374"/>
      <c r="H159" s="1374"/>
      <c r="I159" s="1374"/>
      <c r="J159" s="1374"/>
      <c r="K159" s="1374"/>
      <c r="L159" s="1374"/>
      <c r="M159" s="1374"/>
      <c r="N159" s="1374"/>
      <c r="O159" s="1374"/>
      <c r="P159" s="1374"/>
      <c r="Q159" s="1374"/>
      <c r="R159" s="1374"/>
      <c r="S159" s="1374"/>
      <c r="T159" s="1374"/>
      <c r="U159" s="1374"/>
      <c r="V159" s="1374"/>
      <c r="W159" s="1374"/>
      <c r="X159" s="1374"/>
      <c r="Y159" s="1374"/>
      <c r="Z159" s="1374"/>
      <c r="AA159" s="1374"/>
      <c r="AB159" s="1374"/>
      <c r="AC159" s="1374"/>
      <c r="AD159" s="1374"/>
      <c r="AE159" s="1374"/>
      <c r="AF159" s="1374"/>
      <c r="AG159" s="1374"/>
      <c r="AH159" s="1374"/>
      <c r="AI159" s="1374"/>
      <c r="AJ159" s="1374"/>
      <c r="AK159" s="1374"/>
      <c r="AL159" s="1374"/>
      <c r="AM159" s="1374"/>
      <c r="AN159" s="1374"/>
      <c r="AO159" s="1374"/>
      <c r="AP159" s="1374"/>
      <c r="AQ159" s="1374"/>
      <c r="AR159" s="1374"/>
      <c r="AS159" s="1374"/>
      <c r="AT159" s="1374"/>
      <c r="AU159" s="1374"/>
      <c r="AV159" s="1374"/>
      <c r="AW159" s="1374"/>
      <c r="AX159" s="1374"/>
      <c r="AY159" s="1374"/>
      <c r="AZ159" s="1374"/>
      <c r="BA159" s="1374"/>
      <c r="BB159" s="1374"/>
      <c r="BC159" s="1374"/>
      <c r="BD159" s="1374"/>
      <c r="BE159" s="1374"/>
      <c r="BF159" s="1374"/>
      <c r="BG159" s="1374"/>
      <c r="BH159" s="1374"/>
      <c r="BI159" s="1374"/>
      <c r="BJ159" s="1374"/>
      <c r="BK159" s="1374"/>
      <c r="BL159" s="1374"/>
      <c r="BM159" s="1374"/>
      <c r="BN159" s="1374"/>
      <c r="BO159" s="1374"/>
      <c r="BP159" s="1374"/>
      <c r="BQ159" s="1374"/>
      <c r="BR159" s="1374"/>
      <c r="BS159" s="1374"/>
      <c r="BT159" s="1374"/>
      <c r="BU159" s="1374"/>
      <c r="BV159" s="1374"/>
      <c r="BW159" s="1374"/>
      <c r="BX159" s="1374"/>
      <c r="BY159" s="1374"/>
      <c r="BZ159" s="1374"/>
      <c r="CA159" s="1374"/>
      <c r="CB159" s="1374"/>
      <c r="CC159" s="1374"/>
      <c r="CD159" s="1374"/>
      <c r="CE159" s="1374"/>
      <c r="CF159" s="1374"/>
      <c r="CG159" s="600"/>
      <c r="CH159" s="1374"/>
      <c r="CI159" s="1374"/>
      <c r="CJ159" s="1374"/>
      <c r="CK159" s="1374"/>
      <c r="CL159" s="1374"/>
      <c r="CM159" s="1374"/>
      <c r="CN159" s="1374"/>
      <c r="CO159" s="1374"/>
      <c r="CP159" s="1374"/>
      <c r="CQ159" s="1374"/>
      <c r="CR159" s="1374"/>
      <c r="CS159" s="1374"/>
      <c r="CT159" s="1374"/>
      <c r="CU159" s="1374"/>
      <c r="CV159" s="1374"/>
      <c r="CW159" s="1374"/>
      <c r="CX159" s="1374"/>
      <c r="CY159" s="1374"/>
      <c r="CZ159" s="1374"/>
      <c r="DA159" s="1374"/>
      <c r="DB159" s="1374"/>
      <c r="DC159" s="1374"/>
      <c r="DD159" s="1374"/>
      <c r="DE159" s="1374"/>
      <c r="DF159" s="1374"/>
      <c r="DG159" s="1374"/>
      <c r="DH159" s="1374"/>
      <c r="DI159" s="1374"/>
      <c r="DJ159" s="1374"/>
      <c r="DK159" s="1374"/>
      <c r="DL159" s="1374"/>
      <c r="DM159" s="1374"/>
      <c r="DN159" s="1374"/>
      <c r="DO159" s="1374"/>
      <c r="DP159" s="1374"/>
      <c r="DQ159" s="1374"/>
      <c r="DR159" s="1374"/>
      <c r="DS159" s="1374"/>
      <c r="DT159" s="1374"/>
      <c r="DU159" s="1374"/>
      <c r="DV159" s="1374"/>
      <c r="DW159" s="1374"/>
      <c r="DX159" s="1374"/>
      <c r="DY159" s="1374"/>
      <c r="DZ159" s="1374"/>
      <c r="EA159" s="1439"/>
    </row>
    <row r="160" spans="1:131" ht="17.25" customHeight="1" thickBot="1" x14ac:dyDescent="0.35">
      <c r="A160" s="2658"/>
      <c r="B160" s="2659"/>
      <c r="C160" s="2659"/>
      <c r="D160" s="2660"/>
      <c r="E160" s="920"/>
      <c r="F160" s="1374"/>
      <c r="G160" s="1374"/>
      <c r="H160" s="1374"/>
      <c r="I160" s="1374"/>
      <c r="J160" s="1374"/>
      <c r="K160" s="1374"/>
      <c r="L160" s="1374"/>
      <c r="M160" s="1374"/>
      <c r="N160" s="1374"/>
      <c r="O160" s="1374"/>
      <c r="P160" s="1374"/>
      <c r="Q160" s="1374"/>
      <c r="R160" s="1374"/>
      <c r="S160" s="1374"/>
      <c r="T160" s="1374"/>
      <c r="U160" s="1374"/>
      <c r="V160" s="1374"/>
      <c r="W160" s="1374"/>
      <c r="X160" s="1374"/>
      <c r="Y160" s="1374"/>
      <c r="Z160" s="1374"/>
      <c r="AA160" s="1374"/>
      <c r="AB160" s="1374"/>
      <c r="AC160" s="1374"/>
      <c r="AD160" s="1374"/>
      <c r="AE160" s="1374"/>
      <c r="AF160" s="1374"/>
      <c r="AG160" s="1374"/>
      <c r="AH160" s="1374"/>
      <c r="AI160" s="1374"/>
      <c r="AJ160" s="1374"/>
      <c r="AK160" s="1374"/>
      <c r="AL160" s="1374"/>
      <c r="AM160" s="1374"/>
      <c r="AN160" s="1374"/>
      <c r="AO160" s="1374"/>
      <c r="AP160" s="1374"/>
      <c r="AQ160" s="1374"/>
      <c r="AR160" s="1374"/>
      <c r="AS160" s="1374"/>
      <c r="AT160" s="1374"/>
      <c r="AU160" s="1374"/>
      <c r="AV160" s="1374"/>
      <c r="AW160" s="1374"/>
      <c r="AX160" s="1374"/>
      <c r="AY160" s="1374"/>
      <c r="AZ160" s="1374"/>
      <c r="BA160" s="1374"/>
      <c r="BB160" s="1374"/>
      <c r="BC160" s="1374"/>
      <c r="BD160" s="1374"/>
      <c r="BE160" s="1374"/>
      <c r="BF160" s="1374"/>
      <c r="BG160" s="1374"/>
      <c r="BH160" s="1374"/>
      <c r="BI160" s="1374"/>
      <c r="BJ160" s="1374"/>
      <c r="BK160" s="1374"/>
      <c r="BL160" s="1374"/>
      <c r="BM160" s="1374"/>
      <c r="BN160" s="1374"/>
      <c r="BO160" s="1374"/>
      <c r="BP160" s="1374"/>
      <c r="BQ160" s="1374"/>
      <c r="BR160" s="1374"/>
      <c r="BS160" s="1374"/>
      <c r="BT160" s="1374"/>
      <c r="BU160" s="1374"/>
      <c r="BV160" s="1374"/>
      <c r="BW160" s="1374"/>
      <c r="BX160" s="1374"/>
      <c r="BY160" s="1374"/>
      <c r="BZ160" s="1374"/>
      <c r="CA160" s="1374"/>
      <c r="CB160" s="1374"/>
      <c r="CC160" s="1374"/>
      <c r="CD160" s="1374"/>
      <c r="CE160" s="1374"/>
      <c r="CF160" s="1374"/>
      <c r="CG160" s="1374"/>
      <c r="CH160" s="1374"/>
      <c r="CI160" s="1374"/>
      <c r="CJ160" s="1374"/>
      <c r="CK160" s="1374"/>
      <c r="CL160" s="1374"/>
      <c r="CM160" s="1374"/>
      <c r="CN160" s="1374"/>
      <c r="CO160" s="1374"/>
      <c r="CP160" s="1374"/>
      <c r="CQ160" s="1374"/>
      <c r="CR160" s="1374"/>
      <c r="CS160" s="1374"/>
      <c r="CT160" s="1374"/>
      <c r="CU160" s="1374"/>
      <c r="CV160" s="1374"/>
      <c r="CW160" s="1374"/>
      <c r="CX160" s="1374"/>
      <c r="CY160" s="1374"/>
      <c r="CZ160" s="1374"/>
      <c r="DA160" s="1374"/>
      <c r="DB160" s="1374"/>
      <c r="DC160" s="1374"/>
      <c r="DD160" s="1374"/>
      <c r="DE160" s="1374"/>
      <c r="DF160" s="1374"/>
      <c r="DG160" s="1374"/>
      <c r="DH160" s="1374"/>
      <c r="DI160" s="1374"/>
      <c r="DJ160" s="1374"/>
      <c r="DK160" s="1374"/>
      <c r="DL160" s="1374"/>
      <c r="DM160" s="1374"/>
      <c r="DN160" s="1374"/>
      <c r="DO160" s="1374"/>
      <c r="DP160" s="1374"/>
      <c r="DQ160" s="1374"/>
      <c r="DR160" s="1374"/>
      <c r="DS160" s="1374"/>
      <c r="DT160" s="1374"/>
      <c r="DU160" s="1374"/>
      <c r="DV160" s="1374"/>
      <c r="DW160" s="1374"/>
      <c r="DX160" s="1374"/>
      <c r="DY160" s="1374"/>
      <c r="DZ160" s="1374"/>
      <c r="EA160" s="1439"/>
    </row>
    <row r="161" spans="1:131" ht="15" customHeight="1" x14ac:dyDescent="0.3">
      <c r="A161" s="1373"/>
      <c r="B161" s="1374"/>
      <c r="C161" s="1374"/>
      <c r="D161" s="1374"/>
      <c r="E161" s="911"/>
      <c r="F161" s="1374"/>
      <c r="G161" s="1374"/>
      <c r="H161" s="1374"/>
      <c r="I161" s="1374"/>
      <c r="J161" s="1374"/>
      <c r="K161" s="1374"/>
      <c r="L161" s="1374"/>
      <c r="M161" s="1374"/>
      <c r="N161" s="1374"/>
      <c r="O161" s="1374"/>
      <c r="P161" s="1374"/>
      <c r="Q161" s="1374"/>
      <c r="R161" s="1374"/>
      <c r="S161" s="1374"/>
      <c r="T161" s="1374"/>
      <c r="U161" s="1374"/>
      <c r="V161" s="1374"/>
      <c r="W161" s="1374"/>
      <c r="X161" s="1374"/>
      <c r="Y161" s="1374"/>
      <c r="Z161" s="1374"/>
      <c r="AA161" s="1374"/>
      <c r="AB161" s="1374"/>
      <c r="AC161" s="1374"/>
      <c r="AD161" s="1374"/>
      <c r="AE161" s="1374"/>
      <c r="AF161" s="1374"/>
      <c r="AG161" s="1374"/>
      <c r="AH161" s="1374"/>
      <c r="AI161" s="1374"/>
      <c r="AJ161" s="1374"/>
      <c r="AK161" s="1374"/>
      <c r="AL161" s="1374"/>
      <c r="AM161" s="1374"/>
      <c r="AN161" s="1374"/>
      <c r="AO161" s="1374"/>
      <c r="AP161" s="1374"/>
      <c r="AQ161" s="1374"/>
      <c r="AR161" s="1374"/>
      <c r="AS161" s="1374"/>
      <c r="AT161" s="1374"/>
      <c r="AU161" s="1374"/>
      <c r="AV161" s="1374"/>
      <c r="AW161" s="1374"/>
      <c r="AX161" s="1374"/>
      <c r="AY161" s="1374"/>
      <c r="AZ161" s="1374"/>
      <c r="BA161" s="1374"/>
      <c r="BB161" s="1374"/>
      <c r="BC161" s="1374"/>
      <c r="BD161" s="1374"/>
      <c r="BE161" s="1374"/>
      <c r="BF161" s="1374"/>
      <c r="BG161" s="1374"/>
      <c r="BH161" s="1374"/>
      <c r="BI161" s="1374"/>
      <c r="BJ161" s="1374"/>
      <c r="BK161" s="1374"/>
      <c r="BL161" s="1374"/>
      <c r="BM161" s="1374"/>
      <c r="BN161" s="1374"/>
      <c r="BO161" s="1374"/>
      <c r="BP161" s="1374"/>
      <c r="BQ161" s="1374"/>
      <c r="BR161" s="1374"/>
      <c r="BS161" s="1374"/>
      <c r="BT161" s="1374"/>
      <c r="BU161" s="1374"/>
      <c r="BV161" s="1374"/>
      <c r="BW161" s="1374"/>
      <c r="BX161" s="1374"/>
      <c r="BY161" s="1374"/>
      <c r="BZ161" s="1374"/>
      <c r="CA161" s="1374"/>
      <c r="CB161" s="1374"/>
      <c r="CC161" s="1374"/>
      <c r="CD161" s="1374"/>
      <c r="CE161" s="1374"/>
      <c r="CF161" s="1374"/>
      <c r="CG161" s="1374"/>
      <c r="CH161" s="1374"/>
      <c r="CI161" s="1374"/>
      <c r="CJ161" s="1374"/>
      <c r="CK161" s="1374"/>
      <c r="CL161" s="1374"/>
      <c r="CM161" s="1374"/>
      <c r="CN161" s="1374"/>
      <c r="CO161" s="1374"/>
      <c r="CP161" s="1374"/>
      <c r="CQ161" s="1374"/>
      <c r="CR161" s="1374"/>
      <c r="CS161" s="1374"/>
      <c r="CT161" s="1374"/>
      <c r="CU161" s="1374"/>
      <c r="CV161" s="1374"/>
      <c r="CW161" s="1374"/>
      <c r="CX161" s="1374"/>
      <c r="CY161" s="1374"/>
      <c r="CZ161" s="1374"/>
      <c r="DA161" s="1374"/>
      <c r="DB161" s="1374"/>
      <c r="DC161" s="1374"/>
      <c r="DD161" s="1374"/>
      <c r="DE161" s="1374"/>
      <c r="DF161" s="1374"/>
      <c r="DG161" s="1374"/>
      <c r="DH161" s="1374"/>
      <c r="DI161" s="1374"/>
      <c r="DJ161" s="1374"/>
      <c r="DK161" s="1374"/>
      <c r="DL161" s="1374"/>
      <c r="DM161" s="1374"/>
      <c r="DN161" s="1374"/>
      <c r="DO161" s="1374"/>
      <c r="DP161" s="1374"/>
      <c r="DQ161" s="1374"/>
      <c r="DR161" s="1374"/>
      <c r="DS161" s="1374"/>
      <c r="DT161" s="1374"/>
      <c r="DU161" s="1374"/>
      <c r="DV161" s="1374"/>
      <c r="DW161" s="1374"/>
      <c r="DX161" s="1374"/>
      <c r="DY161" s="1374"/>
      <c r="DZ161" s="1374"/>
      <c r="EA161" s="1439"/>
    </row>
    <row r="162" spans="1:131" ht="14.5" thickBot="1" x14ac:dyDescent="0.35">
      <c r="A162" s="937" t="s">
        <v>238</v>
      </c>
      <c r="B162" s="601" t="s">
        <v>239</v>
      </c>
      <c r="C162" s="601" t="s">
        <v>240</v>
      </c>
      <c r="D162" s="601" t="s">
        <v>241</v>
      </c>
      <c r="E162" s="911"/>
      <c r="F162" s="1374"/>
      <c r="G162" s="1374"/>
      <c r="H162" s="1374"/>
      <c r="I162" s="1374"/>
      <c r="J162" s="1374"/>
      <c r="K162" s="1374"/>
      <c r="L162" s="1374"/>
      <c r="M162" s="1374"/>
      <c r="N162" s="1374"/>
      <c r="O162" s="1374"/>
      <c r="P162" s="1374"/>
      <c r="Q162" s="1374"/>
      <c r="R162" s="1374"/>
      <c r="S162" s="1374"/>
      <c r="T162" s="1374"/>
      <c r="U162" s="1374"/>
      <c r="V162" s="1374"/>
      <c r="W162" s="1374"/>
      <c r="X162" s="1374"/>
      <c r="Y162" s="1374"/>
      <c r="Z162" s="1374"/>
      <c r="AA162" s="1374"/>
      <c r="AB162" s="1374"/>
      <c r="AC162" s="1374"/>
      <c r="AD162" s="1374"/>
      <c r="AE162" s="1374"/>
      <c r="AF162" s="1374"/>
      <c r="AG162" s="1374"/>
      <c r="AH162" s="1374"/>
      <c r="AI162" s="1374"/>
      <c r="AJ162" s="1374"/>
      <c r="AK162" s="1374"/>
      <c r="AL162" s="1374"/>
      <c r="AM162" s="1374"/>
      <c r="AN162" s="1374"/>
      <c r="AO162" s="1374"/>
      <c r="AP162" s="1374"/>
      <c r="AQ162" s="1374"/>
      <c r="AR162" s="1374"/>
      <c r="AS162" s="1374"/>
      <c r="AT162" s="1374"/>
      <c r="AU162" s="1374"/>
      <c r="AV162" s="1374"/>
      <c r="AW162" s="1374"/>
      <c r="AX162" s="1374"/>
      <c r="AY162" s="1374"/>
      <c r="AZ162" s="1374"/>
      <c r="BA162" s="1374"/>
      <c r="BB162" s="1374"/>
      <c r="BC162" s="1374"/>
      <c r="BD162" s="1374"/>
      <c r="BE162" s="1374"/>
      <c r="BF162" s="1374"/>
      <c r="BG162" s="1374"/>
      <c r="BH162" s="1374"/>
      <c r="BI162" s="1374"/>
      <c r="BJ162" s="1374"/>
      <c r="BK162" s="1374"/>
      <c r="BL162" s="1374"/>
      <c r="BM162" s="1374"/>
      <c r="BN162" s="1374"/>
      <c r="BO162" s="1374"/>
      <c r="BP162" s="1374"/>
      <c r="BQ162" s="1374"/>
      <c r="BR162" s="1374"/>
      <c r="BS162" s="1374"/>
      <c r="BT162" s="1374"/>
      <c r="BU162" s="1374"/>
      <c r="BV162" s="1374"/>
      <c r="BW162" s="1374"/>
      <c r="BX162" s="1374"/>
      <c r="BY162" s="1374"/>
      <c r="BZ162" s="1374"/>
      <c r="CA162" s="1374"/>
      <c r="CB162" s="1374"/>
      <c r="CC162" s="1374"/>
      <c r="CD162" s="1374"/>
      <c r="CE162" s="1374"/>
      <c r="CF162" s="1374"/>
      <c r="CG162" s="1374"/>
      <c r="CH162" s="1374"/>
      <c r="CI162" s="1374"/>
      <c r="CJ162" s="1374"/>
      <c r="CK162" s="1374"/>
      <c r="CL162" s="1374"/>
      <c r="CM162" s="1374"/>
      <c r="CN162" s="1374"/>
      <c r="CO162" s="1374"/>
      <c r="CP162" s="1374"/>
      <c r="CQ162" s="1374"/>
      <c r="CR162" s="1374"/>
      <c r="CS162" s="1374"/>
      <c r="CT162" s="1374"/>
      <c r="CU162" s="1374"/>
      <c r="CV162" s="1374"/>
      <c r="CW162" s="1374"/>
      <c r="CX162" s="1374"/>
      <c r="CY162" s="1374"/>
      <c r="CZ162" s="1374"/>
      <c r="DA162" s="1374"/>
      <c r="DB162" s="1374"/>
      <c r="DC162" s="1374"/>
      <c r="DD162" s="1374"/>
      <c r="DE162" s="1374"/>
      <c r="DF162" s="1374"/>
      <c r="DG162" s="1374"/>
      <c r="DH162" s="1374"/>
      <c r="DI162" s="1374"/>
      <c r="DJ162" s="1374"/>
      <c r="DK162" s="1374"/>
      <c r="DL162" s="1374"/>
      <c r="DM162" s="1374"/>
      <c r="DN162" s="1374"/>
      <c r="DO162" s="1374"/>
      <c r="DP162" s="1374"/>
      <c r="DQ162" s="1374"/>
      <c r="DR162" s="1374"/>
      <c r="DS162" s="1374"/>
      <c r="DT162" s="1374"/>
      <c r="DU162" s="1374"/>
      <c r="DV162" s="1374"/>
      <c r="DW162" s="1374"/>
      <c r="DX162" s="1374"/>
      <c r="DY162" s="1374"/>
      <c r="DZ162" s="1374"/>
      <c r="EA162" s="1439"/>
    </row>
    <row r="163" spans="1:131" x14ac:dyDescent="0.3">
      <c r="A163" s="938" t="s">
        <v>210</v>
      </c>
      <c r="B163" s="602" t="s">
        <v>56</v>
      </c>
      <c r="C163" s="603" t="s">
        <v>100</v>
      </c>
      <c r="D163" s="603" t="s">
        <v>236</v>
      </c>
      <c r="E163" s="911"/>
      <c r="F163" s="1374"/>
      <c r="G163" s="1374"/>
      <c r="H163" s="1374"/>
      <c r="I163" s="1374"/>
      <c r="J163" s="1374"/>
      <c r="K163" s="1374"/>
      <c r="L163" s="1374"/>
      <c r="M163" s="1374"/>
      <c r="N163" s="1374"/>
      <c r="O163" s="1374"/>
      <c r="P163" s="1374"/>
      <c r="Q163" s="1374"/>
      <c r="R163" s="1374"/>
      <c r="S163" s="1374"/>
      <c r="T163" s="1374"/>
      <c r="U163" s="1374"/>
      <c r="V163" s="1374"/>
      <c r="W163" s="1374"/>
      <c r="X163" s="1374"/>
      <c r="Y163" s="1374"/>
      <c r="Z163" s="1374"/>
      <c r="AA163" s="1374"/>
      <c r="AB163" s="1374"/>
      <c r="AC163" s="1374"/>
      <c r="AD163" s="1374"/>
      <c r="AE163" s="605"/>
      <c r="AF163" s="605"/>
      <c r="AG163" s="1374"/>
      <c r="AH163" s="1374"/>
      <c r="AI163" s="1374"/>
      <c r="AJ163" s="1374"/>
      <c r="AK163" s="1374"/>
      <c r="AL163" s="1374"/>
      <c r="AM163" s="1374"/>
      <c r="AN163" s="1374"/>
      <c r="AO163" s="1374"/>
      <c r="AP163" s="1374"/>
      <c r="AQ163" s="1374"/>
      <c r="AR163" s="1374"/>
      <c r="AS163" s="1374"/>
      <c r="AT163" s="1374"/>
      <c r="AU163" s="1374"/>
      <c r="AV163" s="1374"/>
      <c r="AW163" s="1374"/>
      <c r="AX163" s="1374"/>
      <c r="AY163" s="1374"/>
      <c r="AZ163" s="1374"/>
      <c r="BA163" s="1374"/>
      <c r="BB163" s="1374"/>
      <c r="BC163" s="1374"/>
      <c r="BD163" s="1374"/>
      <c r="BE163" s="1374"/>
      <c r="BF163" s="1374"/>
      <c r="BG163" s="1374"/>
      <c r="BH163" s="1374"/>
      <c r="BI163" s="1374"/>
      <c r="BJ163" s="1374"/>
      <c r="BK163" s="1374"/>
      <c r="BL163" s="1374"/>
      <c r="BM163" s="1374"/>
      <c r="BN163" s="1374"/>
      <c r="BO163" s="1374"/>
      <c r="BP163" s="1374"/>
      <c r="BQ163" s="1374"/>
      <c r="BR163" s="1374"/>
      <c r="BS163" s="1374"/>
      <c r="BT163" s="1374"/>
      <c r="BU163" s="1374"/>
      <c r="BV163" s="1374"/>
      <c r="BW163" s="1374"/>
      <c r="BX163" s="1374"/>
      <c r="BY163" s="1374"/>
      <c r="BZ163" s="1374"/>
      <c r="CA163" s="1374"/>
      <c r="CB163" s="1374"/>
      <c r="CC163" s="1374"/>
      <c r="CD163" s="1374"/>
      <c r="CE163" s="1374"/>
      <c r="CF163" s="1374"/>
      <c r="CG163" s="1374"/>
      <c r="CH163" s="1374"/>
      <c r="CI163" s="1374"/>
      <c r="CJ163" s="1374"/>
      <c r="CK163" s="1374"/>
      <c r="CL163" s="1374"/>
      <c r="CM163" s="1374"/>
      <c r="CN163" s="1374"/>
      <c r="CO163" s="1374"/>
      <c r="CP163" s="1374"/>
      <c r="CQ163" s="1374"/>
      <c r="CR163" s="1374"/>
      <c r="CS163" s="1374"/>
      <c r="CT163" s="1374"/>
      <c r="CU163" s="1374"/>
      <c r="CV163" s="1374"/>
      <c r="CW163" s="1374"/>
      <c r="CX163" s="1374"/>
      <c r="CY163" s="1374"/>
      <c r="CZ163" s="1374"/>
      <c r="DA163" s="1374"/>
      <c r="DB163" s="1374"/>
      <c r="DC163" s="1374"/>
      <c r="DD163" s="1374"/>
      <c r="DE163" s="1374"/>
      <c r="DF163" s="1374"/>
      <c r="DG163" s="1374"/>
      <c r="DH163" s="1374"/>
      <c r="DI163" s="1374"/>
      <c r="DJ163" s="1374"/>
      <c r="DK163" s="1374"/>
      <c r="DL163" s="1374"/>
      <c r="DM163" s="1374"/>
      <c r="DN163" s="1374"/>
      <c r="DO163" s="1374"/>
      <c r="DP163" s="1374"/>
      <c r="DQ163" s="1374"/>
      <c r="DR163" s="1374"/>
      <c r="DS163" s="1374"/>
      <c r="DT163" s="1374"/>
      <c r="DU163" s="1374"/>
      <c r="DV163" s="1374"/>
      <c r="DW163" s="1374"/>
      <c r="DX163" s="1374"/>
      <c r="DY163" s="1374"/>
      <c r="DZ163" s="1374"/>
      <c r="EA163" s="1439"/>
    </row>
    <row r="164" spans="1:131" x14ac:dyDescent="0.3">
      <c r="A164" s="939" t="s">
        <v>219</v>
      </c>
      <c r="B164" s="606" t="s">
        <v>56</v>
      </c>
      <c r="C164" s="1398" t="s">
        <v>101</v>
      </c>
      <c r="D164" s="1398" t="s">
        <v>236</v>
      </c>
      <c r="E164" s="911"/>
      <c r="F164" s="1374"/>
      <c r="G164" s="1374"/>
      <c r="H164" s="1374"/>
      <c r="I164" s="1374"/>
      <c r="J164" s="1374"/>
      <c r="K164" s="1374"/>
      <c r="L164" s="1374"/>
      <c r="M164" s="1374"/>
      <c r="N164" s="1374"/>
      <c r="O164" s="1374"/>
      <c r="P164" s="1374"/>
      <c r="Q164" s="1374"/>
      <c r="R164" s="1374"/>
      <c r="S164" s="1374"/>
      <c r="T164" s="1374"/>
      <c r="U164" s="1374"/>
      <c r="V164" s="1374"/>
      <c r="W164" s="1374"/>
      <c r="X164" s="1374"/>
      <c r="Y164" s="1374"/>
      <c r="Z164" s="1374"/>
      <c r="AA164" s="1374"/>
      <c r="AB164" s="1374"/>
      <c r="AC164" s="1374"/>
      <c r="AD164" s="1374"/>
      <c r="AE164" s="605"/>
      <c r="AF164" s="605"/>
      <c r="AG164" s="1374"/>
      <c r="AH164" s="1374"/>
      <c r="AI164" s="1374"/>
      <c r="AJ164" s="1374"/>
      <c r="AK164" s="1374"/>
      <c r="AL164" s="1374"/>
      <c r="AM164" s="1374"/>
      <c r="AN164" s="1374"/>
      <c r="AO164" s="1374"/>
      <c r="AP164" s="1374"/>
      <c r="AQ164" s="1374"/>
      <c r="AR164" s="1374"/>
      <c r="AS164" s="1374"/>
      <c r="AT164" s="1374"/>
      <c r="AU164" s="1374"/>
      <c r="AV164" s="1374"/>
      <c r="AW164" s="1374"/>
      <c r="AX164" s="1374"/>
      <c r="AY164" s="1374"/>
      <c r="AZ164" s="1374"/>
      <c r="BA164" s="1374"/>
      <c r="BB164" s="1374"/>
      <c r="BC164" s="1374"/>
      <c r="BD164" s="1374"/>
      <c r="BE164" s="1374"/>
      <c r="BF164" s="1374"/>
      <c r="BG164" s="1374"/>
      <c r="BH164" s="1374"/>
      <c r="BI164" s="1374"/>
      <c r="BJ164" s="1374"/>
      <c r="BK164" s="1374"/>
      <c r="BL164" s="1374"/>
      <c r="BM164" s="1374"/>
      <c r="BN164" s="1374"/>
      <c r="BO164" s="1374"/>
      <c r="BP164" s="1374"/>
      <c r="BQ164" s="1374"/>
      <c r="BR164" s="1374"/>
      <c r="BS164" s="1374"/>
      <c r="BT164" s="1374"/>
      <c r="BU164" s="1374"/>
      <c r="BV164" s="1374"/>
      <c r="BW164" s="1374"/>
      <c r="BX164" s="1374"/>
      <c r="BY164" s="1374"/>
      <c r="BZ164" s="1374"/>
      <c r="CA164" s="1374"/>
      <c r="CB164" s="1374"/>
      <c r="CC164" s="1374"/>
      <c r="CD164" s="1374"/>
      <c r="CE164" s="1374"/>
      <c r="CF164" s="1374"/>
      <c r="CG164" s="1374"/>
      <c r="CH164" s="1374"/>
      <c r="CI164" s="1374"/>
      <c r="CJ164" s="1374"/>
      <c r="CK164" s="1374"/>
      <c r="CL164" s="1374"/>
      <c r="CM164" s="1374"/>
      <c r="CN164" s="1374"/>
      <c r="CO164" s="1374"/>
      <c r="CP164" s="1374"/>
      <c r="CQ164" s="1374"/>
      <c r="CR164" s="1374"/>
      <c r="CS164" s="1374"/>
      <c r="CT164" s="1374"/>
      <c r="CU164" s="1374"/>
      <c r="CV164" s="1374"/>
      <c r="CW164" s="1374"/>
      <c r="CX164" s="1374"/>
      <c r="CY164" s="1374"/>
      <c r="CZ164" s="1374"/>
      <c r="DA164" s="1374"/>
      <c r="DB164" s="1374"/>
      <c r="DC164" s="1374"/>
      <c r="DD164" s="1374"/>
      <c r="DE164" s="1374"/>
      <c r="DF164" s="1374"/>
      <c r="DG164" s="1374"/>
      <c r="DH164" s="1374"/>
      <c r="DI164" s="1374"/>
      <c r="DJ164" s="1374"/>
      <c r="DK164" s="1374"/>
      <c r="DL164" s="1374"/>
      <c r="DM164" s="1374"/>
      <c r="DN164" s="1374"/>
      <c r="DO164" s="1374"/>
      <c r="DP164" s="1374"/>
      <c r="DQ164" s="1374"/>
      <c r="DR164" s="1374"/>
      <c r="DS164" s="1374"/>
      <c r="DT164" s="1374"/>
      <c r="DU164" s="1374"/>
      <c r="DV164" s="1374"/>
      <c r="DW164" s="1374"/>
      <c r="DX164" s="1374"/>
      <c r="DY164" s="1374"/>
      <c r="DZ164" s="1374"/>
      <c r="EA164" s="1439"/>
    </row>
    <row r="165" spans="1:131" ht="48" customHeight="1" x14ac:dyDescent="0.3">
      <c r="A165" s="939" t="s">
        <v>220</v>
      </c>
      <c r="B165" s="606" t="s">
        <v>56</v>
      </c>
      <c r="C165" s="1398" t="s">
        <v>100</v>
      </c>
      <c r="D165" s="1398" t="s">
        <v>236</v>
      </c>
      <c r="E165" s="911"/>
      <c r="F165" s="1374"/>
      <c r="G165" s="1374"/>
      <c r="H165" s="1374"/>
      <c r="I165" s="1374"/>
      <c r="J165" s="1374"/>
      <c r="K165" s="1374"/>
      <c r="L165" s="1374"/>
      <c r="M165" s="1374"/>
      <c r="N165" s="1374"/>
      <c r="O165" s="1374"/>
      <c r="P165" s="1374"/>
      <c r="Q165" s="1374"/>
      <c r="R165" s="1374"/>
      <c r="S165" s="1374"/>
      <c r="T165" s="1374"/>
      <c r="U165" s="1374"/>
      <c r="V165" s="1374"/>
      <c r="W165" s="1374"/>
      <c r="X165" s="1374"/>
      <c r="Y165" s="1374"/>
      <c r="Z165" s="1374"/>
      <c r="AA165" s="1374"/>
      <c r="AB165" s="1374"/>
      <c r="AC165" s="1374"/>
      <c r="AD165" s="1374"/>
      <c r="AE165" s="605"/>
      <c r="AF165" s="605"/>
      <c r="AG165" s="1374"/>
      <c r="AH165" s="1374"/>
      <c r="AI165" s="1374"/>
      <c r="AJ165" s="1374"/>
      <c r="AK165" s="1374"/>
      <c r="AL165" s="1374"/>
      <c r="AM165" s="1374"/>
      <c r="AN165" s="1374"/>
      <c r="AO165" s="1374"/>
      <c r="AP165" s="1374"/>
      <c r="AQ165" s="1374"/>
      <c r="AR165" s="1374"/>
      <c r="AS165" s="1374"/>
      <c r="AT165" s="1374"/>
      <c r="AU165" s="1374"/>
      <c r="AV165" s="1374"/>
      <c r="AW165" s="1374"/>
      <c r="AX165" s="1374"/>
      <c r="AY165" s="1374"/>
      <c r="AZ165" s="1374"/>
      <c r="BA165" s="1374"/>
      <c r="BB165" s="1374"/>
      <c r="BC165" s="1374"/>
      <c r="BD165" s="1374"/>
      <c r="BE165" s="1374"/>
      <c r="BF165" s="1374"/>
      <c r="BG165" s="1374"/>
      <c r="BH165" s="1374"/>
      <c r="BI165" s="1374"/>
      <c r="BJ165" s="1374"/>
      <c r="BK165" s="1374"/>
      <c r="BL165" s="1374"/>
      <c r="BM165" s="1374"/>
      <c r="BN165" s="1374"/>
      <c r="BO165" s="1374"/>
      <c r="BP165" s="1374"/>
      <c r="BQ165" s="1374"/>
      <c r="BR165" s="1374"/>
      <c r="BS165" s="1374"/>
      <c r="BT165" s="1374"/>
      <c r="BU165" s="1374"/>
      <c r="BV165" s="1374"/>
      <c r="BW165" s="1374"/>
      <c r="BX165" s="1374"/>
      <c r="BY165" s="1374"/>
      <c r="BZ165" s="1374"/>
      <c r="CA165" s="1374"/>
      <c r="CB165" s="1374"/>
      <c r="CC165" s="1374"/>
      <c r="CD165" s="1374"/>
      <c r="CE165" s="1374"/>
      <c r="CF165" s="1374"/>
      <c r="CG165" s="1374"/>
      <c r="CH165" s="1374"/>
      <c r="CI165" s="1374"/>
      <c r="CJ165" s="1374"/>
      <c r="CK165" s="1374"/>
      <c r="CL165" s="1374"/>
      <c r="CM165" s="1374"/>
      <c r="CN165" s="1374"/>
      <c r="CO165" s="1374"/>
      <c r="CP165" s="1374"/>
      <c r="CQ165" s="1374"/>
      <c r="CR165" s="1374"/>
      <c r="CS165" s="1374"/>
      <c r="CT165" s="1374"/>
      <c r="CU165" s="1374"/>
      <c r="CV165" s="1374"/>
      <c r="CW165" s="1374"/>
      <c r="CX165" s="1374"/>
      <c r="CY165" s="1374"/>
      <c r="CZ165" s="1374"/>
      <c r="DA165" s="1374"/>
      <c r="DB165" s="1374"/>
      <c r="DC165" s="1374"/>
      <c r="DD165" s="1374"/>
      <c r="DE165" s="1374"/>
      <c r="DF165" s="1374"/>
      <c r="DG165" s="1374"/>
      <c r="DH165" s="1374"/>
      <c r="DI165" s="1374"/>
      <c r="DJ165" s="1374"/>
      <c r="DK165" s="1374"/>
      <c r="DL165" s="1374"/>
      <c r="DM165" s="1374"/>
      <c r="DN165" s="1374"/>
      <c r="DO165" s="1374"/>
      <c r="DP165" s="1374"/>
      <c r="DQ165" s="1374"/>
      <c r="DR165" s="1374"/>
      <c r="DS165" s="1374"/>
      <c r="DT165" s="1374"/>
      <c r="DU165" s="1374"/>
      <c r="DV165" s="1374"/>
      <c r="DW165" s="1374"/>
      <c r="DX165" s="1374"/>
      <c r="DY165" s="1374"/>
      <c r="DZ165" s="1374"/>
      <c r="EA165" s="1439"/>
    </row>
    <row r="166" spans="1:131" ht="29.25" customHeight="1" x14ac:dyDescent="0.3">
      <c r="A166" s="939" t="s">
        <v>228</v>
      </c>
      <c r="B166" s="606" t="s">
        <v>56</v>
      </c>
      <c r="C166" s="1398" t="s">
        <v>101</v>
      </c>
      <c r="D166" s="1398" t="s">
        <v>236</v>
      </c>
      <c r="E166" s="911"/>
      <c r="F166" s="1374"/>
      <c r="G166" s="1374"/>
      <c r="H166" s="1374"/>
      <c r="I166" s="1374"/>
      <c r="J166" s="1374"/>
      <c r="K166" s="1374"/>
      <c r="L166" s="1374"/>
      <c r="M166" s="1374"/>
      <c r="N166" s="1374"/>
      <c r="O166" s="1374"/>
      <c r="P166" s="1374"/>
      <c r="Q166" s="1374"/>
      <c r="R166" s="1374"/>
      <c r="S166" s="1374"/>
      <c r="T166" s="1374"/>
      <c r="U166" s="1374"/>
      <c r="V166" s="1374"/>
      <c r="W166" s="1374"/>
      <c r="X166" s="1374"/>
      <c r="Y166" s="1374"/>
      <c r="Z166" s="1374"/>
      <c r="AA166" s="1374"/>
      <c r="AB166" s="1374"/>
      <c r="AC166" s="1374"/>
      <c r="AD166" s="1374"/>
      <c r="AE166" s="605"/>
      <c r="AF166" s="605"/>
      <c r="AG166" s="1374"/>
      <c r="AH166" s="1374"/>
      <c r="AI166" s="1374"/>
      <c r="AJ166" s="1374"/>
      <c r="AK166" s="1374"/>
      <c r="AL166" s="1374"/>
      <c r="AM166" s="1374"/>
      <c r="AN166" s="1374"/>
      <c r="AO166" s="1374"/>
      <c r="AP166" s="1374"/>
      <c r="AQ166" s="1374"/>
      <c r="AR166" s="1374"/>
      <c r="AS166" s="1374"/>
      <c r="AT166" s="1374"/>
      <c r="AU166" s="1374"/>
      <c r="AV166" s="1374"/>
      <c r="AW166" s="1374"/>
      <c r="AX166" s="1374"/>
      <c r="AY166" s="1374"/>
      <c r="AZ166" s="1374"/>
      <c r="BA166" s="1374"/>
      <c r="BB166" s="1374"/>
      <c r="BC166" s="1374"/>
      <c r="BD166" s="1374"/>
      <c r="BE166" s="1374"/>
      <c r="BF166" s="1374"/>
      <c r="BG166" s="1374"/>
      <c r="BH166" s="1374"/>
      <c r="BI166" s="1374"/>
      <c r="BJ166" s="1374"/>
      <c r="BK166" s="1374"/>
      <c r="BL166" s="1374"/>
      <c r="BM166" s="1374"/>
      <c r="BN166" s="1374"/>
      <c r="BO166" s="1374"/>
      <c r="BP166" s="1374"/>
      <c r="BQ166" s="1374"/>
      <c r="BR166" s="1374"/>
      <c r="BS166" s="1374"/>
      <c r="BT166" s="1374"/>
      <c r="BU166" s="1374"/>
      <c r="BV166" s="1374"/>
      <c r="BW166" s="1374"/>
      <c r="BX166" s="1374"/>
      <c r="BY166" s="1374"/>
      <c r="BZ166" s="1374"/>
      <c r="CA166" s="1374"/>
      <c r="CB166" s="1374"/>
      <c r="CC166" s="1374"/>
      <c r="CD166" s="1374"/>
      <c r="CE166" s="1374"/>
      <c r="CF166" s="1374"/>
      <c r="CG166" s="1374"/>
      <c r="CH166" s="1374"/>
      <c r="CI166" s="1374"/>
      <c r="CJ166" s="1374"/>
      <c r="CK166" s="1374"/>
      <c r="CL166" s="1374"/>
      <c r="CM166" s="1374"/>
      <c r="CN166" s="1374"/>
      <c r="CO166" s="1374"/>
      <c r="CP166" s="1374"/>
      <c r="CQ166" s="1374"/>
      <c r="CR166" s="1374"/>
      <c r="CS166" s="1374"/>
      <c r="CT166" s="1374"/>
      <c r="CU166" s="1374"/>
      <c r="CV166" s="1374"/>
      <c r="CW166" s="1374"/>
      <c r="CX166" s="1374"/>
      <c r="CY166" s="1374"/>
      <c r="CZ166" s="1374"/>
      <c r="DA166" s="1374"/>
      <c r="DB166" s="1374"/>
      <c r="DC166" s="1374"/>
      <c r="DD166" s="1374"/>
      <c r="DE166" s="1374"/>
      <c r="DF166" s="1374"/>
      <c r="DG166" s="1374"/>
      <c r="DH166" s="1374"/>
      <c r="DI166" s="1374"/>
      <c r="DJ166" s="1374"/>
      <c r="DK166" s="1374"/>
      <c r="DL166" s="1374"/>
      <c r="DM166" s="1374"/>
      <c r="DN166" s="1374"/>
      <c r="DO166" s="1374"/>
      <c r="DP166" s="1374"/>
      <c r="DQ166" s="1374"/>
      <c r="DR166" s="1374"/>
      <c r="DS166" s="1374"/>
      <c r="DT166" s="1374"/>
      <c r="DU166" s="1374"/>
      <c r="DV166" s="1374"/>
      <c r="DW166" s="1374"/>
      <c r="DX166" s="1374"/>
      <c r="DY166" s="1374"/>
      <c r="DZ166" s="1374"/>
      <c r="EA166" s="1439"/>
    </row>
    <row r="167" spans="1:131" ht="33" customHeight="1" x14ac:dyDescent="0.3">
      <c r="A167" s="939" t="s">
        <v>214</v>
      </c>
      <c r="B167" s="606" t="s">
        <v>56</v>
      </c>
      <c r="C167" s="1398" t="s">
        <v>100</v>
      </c>
      <c r="D167" s="1398" t="s">
        <v>236</v>
      </c>
      <c r="E167" s="911"/>
      <c r="F167" s="1374"/>
      <c r="G167" s="1374"/>
      <c r="H167" s="1374"/>
      <c r="I167" s="1374"/>
      <c r="J167" s="1374"/>
      <c r="K167" s="1374"/>
      <c r="L167" s="1374"/>
      <c r="M167" s="1374"/>
      <c r="N167" s="1374"/>
      <c r="O167" s="1374"/>
      <c r="P167" s="1374"/>
      <c r="Q167" s="1374"/>
      <c r="R167" s="1374"/>
      <c r="S167" s="1374"/>
      <c r="T167" s="1374"/>
      <c r="U167" s="1374"/>
      <c r="V167" s="1374"/>
      <c r="W167" s="1374"/>
      <c r="X167" s="1374"/>
      <c r="Y167" s="1374"/>
      <c r="Z167" s="1374"/>
      <c r="AA167" s="1374"/>
      <c r="AB167" s="1374"/>
      <c r="AC167" s="1374"/>
      <c r="AD167" s="1374"/>
      <c r="AE167" s="605"/>
      <c r="AF167" s="605"/>
      <c r="AG167" s="1374"/>
      <c r="AH167" s="1374"/>
      <c r="AI167" s="1374"/>
      <c r="AJ167" s="1374"/>
      <c r="AK167" s="1374"/>
      <c r="AL167" s="1374"/>
      <c r="AM167" s="1374"/>
      <c r="AN167" s="1374"/>
      <c r="AO167" s="1374"/>
      <c r="AP167" s="1374"/>
      <c r="AQ167" s="1374"/>
      <c r="AR167" s="1374"/>
      <c r="AS167" s="1374"/>
      <c r="AT167" s="1374"/>
      <c r="AU167" s="1374"/>
      <c r="AV167" s="1374"/>
      <c r="AW167" s="1374"/>
      <c r="AX167" s="1374"/>
      <c r="AY167" s="1374"/>
      <c r="AZ167" s="1374"/>
      <c r="BA167" s="1374"/>
      <c r="BB167" s="1374"/>
      <c r="BC167" s="1374"/>
      <c r="BD167" s="1374"/>
      <c r="BE167" s="1374"/>
      <c r="BF167" s="1374"/>
      <c r="BG167" s="1374"/>
      <c r="BH167" s="1374"/>
      <c r="BI167" s="1374"/>
      <c r="BJ167" s="1374"/>
      <c r="BK167" s="1374"/>
      <c r="BL167" s="1374"/>
      <c r="BM167" s="1374"/>
      <c r="BN167" s="1374"/>
      <c r="BO167" s="1374"/>
      <c r="BP167" s="1374"/>
      <c r="BQ167" s="1374"/>
      <c r="BR167" s="1374"/>
      <c r="BS167" s="1374"/>
      <c r="BT167" s="1374"/>
      <c r="BU167" s="1374"/>
      <c r="BV167" s="1374"/>
      <c r="BW167" s="1374"/>
      <c r="BX167" s="1374"/>
      <c r="BY167" s="1374"/>
      <c r="BZ167" s="1374"/>
      <c r="CA167" s="1374"/>
      <c r="CB167" s="1374"/>
      <c r="CC167" s="1374"/>
      <c r="CD167" s="1374"/>
      <c r="CE167" s="1374"/>
      <c r="CF167" s="1374"/>
      <c r="CG167" s="1374"/>
      <c r="CH167" s="1374"/>
      <c r="CI167" s="1374"/>
      <c r="CJ167" s="1374"/>
      <c r="CK167" s="1374"/>
      <c r="CL167" s="1374"/>
      <c r="CM167" s="1374"/>
      <c r="CN167" s="1374"/>
      <c r="CO167" s="1374"/>
      <c r="CP167" s="1374"/>
      <c r="CQ167" s="1374"/>
      <c r="CR167" s="1374"/>
      <c r="CS167" s="1374"/>
      <c r="CT167" s="1374"/>
      <c r="CU167" s="1374"/>
      <c r="CV167" s="1374"/>
      <c r="CW167" s="1374"/>
      <c r="CX167" s="1374"/>
      <c r="CY167" s="1374"/>
      <c r="CZ167" s="1374"/>
      <c r="DA167" s="1374"/>
      <c r="DB167" s="1374"/>
      <c r="DC167" s="1374"/>
      <c r="DD167" s="1374"/>
      <c r="DE167" s="1374"/>
      <c r="DF167" s="1374"/>
      <c r="DG167" s="1374"/>
      <c r="DH167" s="1374"/>
      <c r="DI167" s="1374"/>
      <c r="DJ167" s="1374"/>
      <c r="DK167" s="1374"/>
      <c r="DL167" s="1374"/>
      <c r="DM167" s="1374"/>
      <c r="DN167" s="1374"/>
      <c r="DO167" s="1374"/>
      <c r="DP167" s="1374"/>
      <c r="DQ167" s="1374"/>
      <c r="DR167" s="1374"/>
      <c r="DS167" s="1374"/>
      <c r="DT167" s="1374"/>
      <c r="DU167" s="1374"/>
      <c r="DV167" s="1374"/>
      <c r="DW167" s="1374"/>
      <c r="DX167" s="1374"/>
      <c r="DY167" s="1374"/>
      <c r="DZ167" s="1374"/>
      <c r="EA167" s="1439"/>
    </row>
    <row r="168" spans="1:131" x14ac:dyDescent="0.3">
      <c r="A168" s="939" t="s">
        <v>201</v>
      </c>
      <c r="B168" s="606" t="s">
        <v>54</v>
      </c>
      <c r="C168" s="1398" t="s">
        <v>100</v>
      </c>
      <c r="D168" s="1398" t="s">
        <v>236</v>
      </c>
      <c r="E168" s="911"/>
      <c r="F168" s="1374"/>
      <c r="G168" s="1374"/>
      <c r="H168" s="1374"/>
      <c r="I168" s="1374"/>
      <c r="J168" s="1374"/>
      <c r="K168" s="1374"/>
      <c r="L168" s="1374"/>
      <c r="M168" s="1374"/>
      <c r="N168" s="1374"/>
      <c r="O168" s="1374"/>
      <c r="P168" s="1374"/>
      <c r="Q168" s="1374"/>
      <c r="R168" s="1374"/>
      <c r="S168" s="1374"/>
      <c r="T168" s="1374"/>
      <c r="U168" s="1374"/>
      <c r="V168" s="1374"/>
      <c r="W168" s="1374"/>
      <c r="X168" s="1374"/>
      <c r="Y168" s="1374"/>
      <c r="Z168" s="1374"/>
      <c r="AA168" s="1374"/>
      <c r="AB168" s="1374"/>
      <c r="AC168" s="1374"/>
      <c r="AD168" s="1374"/>
      <c r="AE168" s="605"/>
      <c r="AF168" s="605"/>
      <c r="AG168" s="1374"/>
      <c r="AH168" s="1374"/>
      <c r="AI168" s="1374"/>
      <c r="AJ168" s="1374"/>
      <c r="AK168" s="1374"/>
      <c r="AL168" s="1374"/>
      <c r="AM168" s="1374"/>
      <c r="AN168" s="1374"/>
      <c r="AO168" s="1374"/>
      <c r="AP168" s="1374"/>
      <c r="AQ168" s="1374"/>
      <c r="AR168" s="1374"/>
      <c r="AS168" s="1374"/>
      <c r="AT168" s="1374"/>
      <c r="AU168" s="1374"/>
      <c r="AV168" s="1374"/>
      <c r="AW168" s="1374"/>
      <c r="AX168" s="1374"/>
      <c r="AY168" s="1374"/>
      <c r="AZ168" s="1374"/>
      <c r="BA168" s="1374"/>
      <c r="BB168" s="1374"/>
      <c r="BC168" s="1374"/>
      <c r="BD168" s="1374"/>
      <c r="BE168" s="1374"/>
      <c r="BF168" s="1374"/>
      <c r="BG168" s="1374"/>
      <c r="BH168" s="1374"/>
      <c r="BI168" s="1374"/>
      <c r="BJ168" s="1374"/>
      <c r="BK168" s="1374"/>
      <c r="BL168" s="1374"/>
      <c r="BM168" s="1374"/>
      <c r="BN168" s="1374"/>
      <c r="BO168" s="1374"/>
      <c r="BP168" s="1374"/>
      <c r="BQ168" s="1374"/>
      <c r="BR168" s="1374"/>
      <c r="BS168" s="1374"/>
      <c r="BT168" s="1374"/>
      <c r="BU168" s="1374"/>
      <c r="BV168" s="1374"/>
      <c r="BW168" s="1374"/>
      <c r="BX168" s="1374"/>
      <c r="BY168" s="1374"/>
      <c r="BZ168" s="1374"/>
      <c r="CA168" s="1374"/>
      <c r="CB168" s="1374"/>
      <c r="CC168" s="1374"/>
      <c r="CD168" s="1374"/>
      <c r="CE168" s="1374"/>
      <c r="CF168" s="1374"/>
      <c r="CG168" s="1374"/>
      <c r="CH168" s="1374"/>
      <c r="CI168" s="1374"/>
      <c r="CJ168" s="1374"/>
      <c r="CK168" s="1374"/>
      <c r="CL168" s="1374"/>
      <c r="CM168" s="1374"/>
      <c r="CN168" s="1374"/>
      <c r="CO168" s="1374"/>
      <c r="CP168" s="1374"/>
      <c r="CQ168" s="1374"/>
      <c r="CR168" s="1374"/>
      <c r="CS168" s="1374"/>
      <c r="CT168" s="1374"/>
      <c r="CU168" s="1374"/>
      <c r="CV168" s="1374"/>
      <c r="CW168" s="1374"/>
      <c r="CX168" s="1374"/>
      <c r="CY168" s="1374"/>
      <c r="CZ168" s="1374"/>
      <c r="DA168" s="1374"/>
      <c r="DB168" s="1374"/>
      <c r="DC168" s="1374"/>
      <c r="DD168" s="1374"/>
      <c r="DE168" s="1374"/>
      <c r="DF168" s="1374"/>
      <c r="DG168" s="1374"/>
      <c r="DH168" s="1374"/>
      <c r="DI168" s="1374"/>
      <c r="DJ168" s="1374"/>
      <c r="DK168" s="1374"/>
      <c r="DL168" s="1374"/>
      <c r="DM168" s="1374"/>
      <c r="DN168" s="1374"/>
      <c r="DO168" s="1374"/>
      <c r="DP168" s="1374"/>
      <c r="DQ168" s="1374"/>
      <c r="DR168" s="1374"/>
      <c r="DS168" s="1374"/>
      <c r="DT168" s="1374"/>
      <c r="DU168" s="1374"/>
      <c r="DV168" s="1374"/>
      <c r="DW168" s="1374"/>
      <c r="DX168" s="1374"/>
      <c r="DY168" s="1374"/>
      <c r="DZ168" s="1374"/>
      <c r="EA168" s="1439"/>
    </row>
    <row r="169" spans="1:131" x14ac:dyDescent="0.3">
      <c r="A169" s="939" t="s">
        <v>203</v>
      </c>
      <c r="B169" s="606" t="s">
        <v>56</v>
      </c>
      <c r="C169" s="1398" t="s">
        <v>99</v>
      </c>
      <c r="D169" s="1398" t="s">
        <v>236</v>
      </c>
      <c r="E169" s="911"/>
      <c r="F169" s="1374"/>
      <c r="G169" s="1374"/>
      <c r="H169" s="1374"/>
      <c r="I169" s="1374"/>
      <c r="J169" s="1374"/>
      <c r="K169" s="1374"/>
      <c r="L169" s="1374"/>
      <c r="M169" s="1374"/>
      <c r="N169" s="1374"/>
      <c r="O169" s="1374"/>
      <c r="P169" s="1374"/>
      <c r="Q169" s="1374"/>
      <c r="R169" s="1374"/>
      <c r="S169" s="1374"/>
      <c r="T169" s="1374"/>
      <c r="U169" s="1374"/>
      <c r="V169" s="1374"/>
      <c r="W169" s="1374"/>
      <c r="X169" s="1374"/>
      <c r="Y169" s="1374"/>
      <c r="Z169" s="1374"/>
      <c r="AA169" s="1374"/>
      <c r="AB169" s="1374"/>
      <c r="AC169" s="1374"/>
      <c r="AD169" s="1374"/>
      <c r="AE169" s="605"/>
      <c r="AF169" s="605"/>
      <c r="AG169" s="1374"/>
      <c r="AH169" s="1374"/>
      <c r="AI169" s="1374"/>
      <c r="AJ169" s="1374"/>
      <c r="AK169" s="1374"/>
      <c r="AL169" s="1374"/>
      <c r="AM169" s="1374"/>
      <c r="AN169" s="1374"/>
      <c r="AO169" s="1374"/>
      <c r="AP169" s="1374"/>
      <c r="AQ169" s="1374"/>
      <c r="AR169" s="1374"/>
      <c r="AS169" s="1374"/>
      <c r="AT169" s="1374"/>
      <c r="AU169" s="1374"/>
      <c r="AV169" s="1374"/>
      <c r="AW169" s="1374"/>
      <c r="AX169" s="1374"/>
      <c r="AY169" s="1374"/>
      <c r="AZ169" s="1374"/>
      <c r="BA169" s="1374"/>
      <c r="BB169" s="1374"/>
      <c r="BC169" s="1374"/>
      <c r="BD169" s="1374"/>
      <c r="BE169" s="1374"/>
      <c r="BF169" s="1374"/>
      <c r="BG169" s="1374"/>
      <c r="BH169" s="1374"/>
      <c r="BI169" s="1374"/>
      <c r="BJ169" s="1374"/>
      <c r="BK169" s="1374"/>
      <c r="BL169" s="1374"/>
      <c r="BM169" s="1374"/>
      <c r="BN169" s="1374"/>
      <c r="BO169" s="1374"/>
      <c r="BP169" s="1374"/>
      <c r="BQ169" s="1374"/>
      <c r="BR169" s="1374"/>
      <c r="BS169" s="1374"/>
      <c r="BT169" s="1374"/>
      <c r="BU169" s="1374"/>
      <c r="BV169" s="1374"/>
      <c r="BW169" s="1374"/>
      <c r="BX169" s="1374"/>
      <c r="BY169" s="1374"/>
      <c r="BZ169" s="1374"/>
      <c r="CA169" s="1374"/>
      <c r="CB169" s="1374"/>
      <c r="CC169" s="1374"/>
      <c r="CD169" s="1374"/>
      <c r="CE169" s="1374"/>
      <c r="CF169" s="1374"/>
      <c r="CG169" s="1374"/>
      <c r="CH169" s="1374"/>
      <c r="CI169" s="1374"/>
      <c r="CJ169" s="1374"/>
      <c r="CK169" s="1374"/>
      <c r="CL169" s="1374"/>
      <c r="CM169" s="1374"/>
      <c r="CN169" s="1374"/>
      <c r="CO169" s="1374"/>
      <c r="CP169" s="1374"/>
      <c r="CQ169" s="1374"/>
      <c r="CR169" s="1374"/>
      <c r="CS169" s="1374"/>
      <c r="CT169" s="1374"/>
      <c r="CU169" s="1374"/>
      <c r="CV169" s="1374"/>
      <c r="CW169" s="1374"/>
      <c r="CX169" s="1374"/>
      <c r="CY169" s="1374"/>
      <c r="CZ169" s="1374"/>
      <c r="DA169" s="1374"/>
      <c r="DB169" s="1374"/>
      <c r="DC169" s="1374"/>
      <c r="DD169" s="1374"/>
      <c r="DE169" s="1374"/>
      <c r="DF169" s="1374"/>
      <c r="DG169" s="1374"/>
      <c r="DH169" s="1374"/>
      <c r="DI169" s="1374"/>
      <c r="DJ169" s="1374"/>
      <c r="DK169" s="1374"/>
      <c r="DL169" s="1374"/>
      <c r="DM169" s="1374"/>
      <c r="DN169" s="1374"/>
      <c r="DO169" s="1374"/>
      <c r="DP169" s="1374"/>
      <c r="DQ169" s="1374"/>
      <c r="DR169" s="1374"/>
      <c r="DS169" s="1374"/>
      <c r="DT169" s="1374"/>
      <c r="DU169" s="1374"/>
      <c r="DV169" s="1374"/>
      <c r="DW169" s="1374"/>
      <c r="DX169" s="1374"/>
      <c r="DY169" s="1374"/>
      <c r="DZ169" s="1374"/>
      <c r="EA169" s="1439"/>
    </row>
    <row r="170" spans="1:131" x14ac:dyDescent="0.3">
      <c r="A170" s="939" t="s">
        <v>226</v>
      </c>
      <c r="B170" s="606" t="s">
        <v>56</v>
      </c>
      <c r="C170" s="1398" t="s">
        <v>100</v>
      </c>
      <c r="D170" s="1398" t="s">
        <v>236</v>
      </c>
      <c r="E170" s="911"/>
      <c r="F170" s="1374"/>
      <c r="G170" s="1374"/>
      <c r="H170" s="605"/>
      <c r="I170" s="605"/>
      <c r="J170" s="605"/>
      <c r="K170" s="605"/>
      <c r="L170" s="605"/>
      <c r="M170" s="605"/>
      <c r="N170" s="605"/>
      <c r="O170" s="605"/>
      <c r="P170" s="605"/>
      <c r="Q170" s="605"/>
      <c r="R170" s="605"/>
      <c r="S170" s="605"/>
      <c r="T170" s="605"/>
      <c r="U170" s="605"/>
      <c r="V170" s="605"/>
      <c r="W170" s="605"/>
      <c r="X170" s="605"/>
      <c r="Y170" s="605"/>
      <c r="Z170" s="605"/>
      <c r="AA170" s="605"/>
      <c r="AB170" s="605"/>
      <c r="AC170" s="605"/>
      <c r="AD170" s="605"/>
      <c r="AE170" s="605"/>
      <c r="AF170" s="605"/>
      <c r="AG170" s="1374"/>
      <c r="AH170" s="1374"/>
      <c r="AI170" s="1374"/>
      <c r="AJ170" s="1374"/>
      <c r="AK170" s="1374"/>
      <c r="AL170" s="1374"/>
      <c r="AM170" s="1374"/>
      <c r="AN170" s="1374"/>
      <c r="AO170" s="1374"/>
      <c r="AP170" s="1374"/>
      <c r="AQ170" s="1374"/>
      <c r="AR170" s="1374"/>
      <c r="AS170" s="1374"/>
      <c r="AT170" s="1374"/>
      <c r="AU170" s="1374"/>
      <c r="AV170" s="1374"/>
      <c r="AW170" s="1374"/>
      <c r="AX170" s="1374"/>
      <c r="AY170" s="1374"/>
      <c r="AZ170" s="1374"/>
      <c r="BA170" s="1374"/>
      <c r="BB170" s="1374"/>
      <c r="BC170" s="1374"/>
      <c r="BD170" s="1374"/>
      <c r="BE170" s="1374"/>
      <c r="BF170" s="1374"/>
      <c r="BG170" s="1374"/>
      <c r="BH170" s="1374"/>
      <c r="BI170" s="1374"/>
      <c r="BJ170" s="1374"/>
      <c r="BK170" s="1374"/>
      <c r="BL170" s="1374"/>
      <c r="BM170" s="1374"/>
      <c r="BN170" s="1374"/>
      <c r="BO170" s="1374"/>
      <c r="BP170" s="1374"/>
      <c r="BQ170" s="1374"/>
      <c r="BR170" s="1374"/>
      <c r="BS170" s="1374"/>
      <c r="BT170" s="1374"/>
      <c r="BU170" s="1374"/>
      <c r="BV170" s="1374"/>
      <c r="BW170" s="1374"/>
      <c r="BX170" s="1374"/>
      <c r="BY170" s="1374"/>
      <c r="BZ170" s="1374"/>
      <c r="CA170" s="1374"/>
      <c r="CB170" s="1374"/>
      <c r="CC170" s="1374"/>
      <c r="CD170" s="1374"/>
      <c r="CE170" s="1374"/>
      <c r="CF170" s="1374"/>
      <c r="CG170" s="1374"/>
      <c r="CH170" s="1374"/>
      <c r="CI170" s="1374"/>
      <c r="CJ170" s="1374"/>
      <c r="CK170" s="1374"/>
      <c r="CL170" s="1374"/>
      <c r="CM170" s="1374"/>
      <c r="CN170" s="1374"/>
      <c r="CO170" s="1374"/>
      <c r="CP170" s="1374"/>
      <c r="CQ170" s="1374"/>
      <c r="CR170" s="1374"/>
      <c r="CS170" s="1374"/>
      <c r="CT170" s="1374"/>
      <c r="CU170" s="1374"/>
      <c r="CV170" s="1374"/>
      <c r="CW170" s="1374"/>
      <c r="CX170" s="1374"/>
      <c r="CY170" s="1374"/>
      <c r="CZ170" s="1374"/>
      <c r="DA170" s="1374"/>
      <c r="DB170" s="1374"/>
      <c r="DC170" s="1374"/>
      <c r="DD170" s="1374"/>
      <c r="DE170" s="1374"/>
      <c r="DF170" s="1374"/>
      <c r="DG170" s="1374"/>
      <c r="DH170" s="1374"/>
      <c r="DI170" s="1374"/>
      <c r="DJ170" s="1374"/>
      <c r="DK170" s="1374"/>
      <c r="DL170" s="1374"/>
      <c r="DM170" s="1374"/>
      <c r="DN170" s="1374"/>
      <c r="DO170" s="1374"/>
      <c r="DP170" s="1374"/>
      <c r="DQ170" s="1374"/>
      <c r="DR170" s="1374"/>
      <c r="DS170" s="1374"/>
      <c r="DT170" s="1374"/>
      <c r="DU170" s="1374"/>
      <c r="DV170" s="1374"/>
      <c r="DW170" s="1374"/>
      <c r="DX170" s="1374"/>
      <c r="DY170" s="1374"/>
      <c r="DZ170" s="1374"/>
      <c r="EA170" s="1439"/>
    </row>
    <row r="171" spans="1:131" x14ac:dyDescent="0.3">
      <c r="A171" s="939" t="s">
        <v>223</v>
      </c>
      <c r="B171" s="606" t="s">
        <v>56</v>
      </c>
      <c r="C171" s="1398" t="s">
        <v>100</v>
      </c>
      <c r="D171" s="1398" t="s">
        <v>236</v>
      </c>
      <c r="E171" s="911"/>
      <c r="F171" s="1374"/>
      <c r="G171" s="1374"/>
      <c r="H171" s="605"/>
      <c r="I171" s="605"/>
      <c r="J171" s="605"/>
      <c r="K171" s="605"/>
      <c r="L171" s="605"/>
      <c r="M171" s="605"/>
      <c r="N171" s="605"/>
      <c r="O171" s="605"/>
      <c r="P171" s="605"/>
      <c r="Q171" s="605"/>
      <c r="R171" s="605"/>
      <c r="S171" s="605"/>
      <c r="T171" s="605"/>
      <c r="U171" s="605"/>
      <c r="V171" s="605"/>
      <c r="W171" s="605"/>
      <c r="X171" s="605"/>
      <c r="Y171" s="605"/>
      <c r="Z171" s="605"/>
      <c r="AA171" s="605"/>
      <c r="AB171" s="605"/>
      <c r="AC171" s="605"/>
      <c r="AD171" s="605"/>
      <c r="AE171" s="605"/>
      <c r="AF171" s="605"/>
      <c r="AG171" s="1374"/>
      <c r="AH171" s="1374"/>
      <c r="AI171" s="1374"/>
      <c r="AJ171" s="1374"/>
      <c r="AK171" s="1374"/>
      <c r="AL171" s="1374"/>
      <c r="AM171" s="1374"/>
      <c r="AN171" s="1374"/>
      <c r="AO171" s="1374"/>
      <c r="AP171" s="1374"/>
      <c r="AQ171" s="1374"/>
      <c r="AR171" s="1374"/>
      <c r="AS171" s="1374"/>
      <c r="AT171" s="1374"/>
      <c r="AU171" s="1374"/>
      <c r="AV171" s="1374"/>
      <c r="AW171" s="1374"/>
      <c r="AX171" s="1374"/>
      <c r="AY171" s="1374"/>
      <c r="AZ171" s="1374"/>
      <c r="BA171" s="1374"/>
      <c r="BB171" s="1374"/>
      <c r="BC171" s="1374"/>
      <c r="BD171" s="1374"/>
      <c r="BE171" s="1374"/>
      <c r="BF171" s="1374"/>
      <c r="BG171" s="1374"/>
      <c r="BH171" s="1374"/>
      <c r="BI171" s="1374"/>
      <c r="BJ171" s="1374"/>
      <c r="BK171" s="1374"/>
      <c r="BL171" s="1374"/>
      <c r="BM171" s="1374"/>
      <c r="BN171" s="1374"/>
      <c r="BO171" s="1374"/>
      <c r="BP171" s="1374"/>
      <c r="BQ171" s="1374"/>
      <c r="BR171" s="1374"/>
      <c r="BS171" s="1374"/>
      <c r="BT171" s="1374"/>
      <c r="BU171" s="1374"/>
      <c r="BV171" s="1374"/>
      <c r="BW171" s="1374"/>
      <c r="BX171" s="1374"/>
      <c r="BY171" s="1374"/>
      <c r="BZ171" s="1374"/>
      <c r="CA171" s="1374"/>
      <c r="CB171" s="1374"/>
      <c r="CC171" s="1374"/>
      <c r="CD171" s="1374"/>
      <c r="CE171" s="1374"/>
      <c r="CF171" s="1374"/>
      <c r="CG171" s="1374"/>
      <c r="CH171" s="1374"/>
      <c r="CI171" s="1374"/>
      <c r="CJ171" s="1374"/>
      <c r="CK171" s="1374"/>
      <c r="CL171" s="1374"/>
      <c r="CM171" s="1374"/>
      <c r="CN171" s="1374"/>
      <c r="CO171" s="1374"/>
      <c r="CP171" s="1374"/>
      <c r="CQ171" s="1374"/>
      <c r="CR171" s="1374"/>
      <c r="CS171" s="1374"/>
      <c r="CT171" s="1374"/>
      <c r="CU171" s="1374"/>
      <c r="CV171" s="1374"/>
      <c r="CW171" s="1374"/>
      <c r="CX171" s="1374"/>
      <c r="CY171" s="1374"/>
      <c r="CZ171" s="1374"/>
      <c r="DA171" s="1374"/>
      <c r="DB171" s="1374"/>
      <c r="DC171" s="1374"/>
      <c r="DD171" s="1374"/>
      <c r="DE171" s="1374"/>
      <c r="DF171" s="1374"/>
      <c r="DG171" s="1374"/>
      <c r="DH171" s="1374"/>
      <c r="DI171" s="1374"/>
      <c r="DJ171" s="1374"/>
      <c r="DK171" s="1374"/>
      <c r="DL171" s="1374"/>
      <c r="DM171" s="1374"/>
      <c r="DN171" s="1374"/>
      <c r="DO171" s="1374"/>
      <c r="DP171" s="1374"/>
      <c r="DQ171" s="1374"/>
      <c r="DR171" s="1374"/>
      <c r="DS171" s="1374"/>
      <c r="DT171" s="1374"/>
      <c r="DU171" s="1374"/>
      <c r="DV171" s="1374"/>
      <c r="DW171" s="1374"/>
      <c r="DX171" s="1374"/>
      <c r="DY171" s="1374"/>
      <c r="DZ171" s="1374"/>
      <c r="EA171" s="1439"/>
    </row>
    <row r="172" spans="1:131" x14ac:dyDescent="0.3">
      <c r="A172" s="939" t="s">
        <v>216</v>
      </c>
      <c r="B172" s="606" t="s">
        <v>56</v>
      </c>
      <c r="C172" s="1398" t="s">
        <v>100</v>
      </c>
      <c r="D172" s="1398" t="s">
        <v>236</v>
      </c>
      <c r="E172" s="911"/>
      <c r="F172" s="1374"/>
      <c r="G172" s="1374"/>
      <c r="H172" s="605"/>
      <c r="I172" s="605"/>
      <c r="J172" s="605"/>
      <c r="K172" s="605"/>
      <c r="L172" s="605"/>
      <c r="M172" s="605"/>
      <c r="N172" s="605"/>
      <c r="O172" s="605"/>
      <c r="P172" s="605"/>
      <c r="Q172" s="605"/>
      <c r="R172" s="605"/>
      <c r="S172" s="605"/>
      <c r="T172" s="605"/>
      <c r="U172" s="605"/>
      <c r="V172" s="605"/>
      <c r="W172" s="605"/>
      <c r="X172" s="605"/>
      <c r="Y172" s="605"/>
      <c r="Z172" s="605"/>
      <c r="AA172" s="605"/>
      <c r="AB172" s="605"/>
      <c r="AC172" s="605"/>
      <c r="AD172" s="605"/>
      <c r="AE172" s="605"/>
      <c r="AF172" s="605"/>
      <c r="AG172" s="1374"/>
      <c r="AH172" s="1374"/>
      <c r="AI172" s="1374"/>
      <c r="AJ172" s="1374"/>
      <c r="AK172" s="1374"/>
      <c r="AL172" s="1374"/>
      <c r="AM172" s="1374"/>
      <c r="AN172" s="1374"/>
      <c r="AO172" s="1374"/>
      <c r="AP172" s="1374"/>
      <c r="AQ172" s="1374"/>
      <c r="AR172" s="1374"/>
      <c r="AS172" s="1374"/>
      <c r="AT172" s="1374"/>
      <c r="AU172" s="1374"/>
      <c r="AV172" s="1374"/>
      <c r="AW172" s="1374"/>
      <c r="AX172" s="1374"/>
      <c r="AY172" s="1374"/>
      <c r="AZ172" s="1374"/>
      <c r="BA172" s="1374"/>
      <c r="BB172" s="1374"/>
      <c r="BC172" s="1374"/>
      <c r="BD172" s="1374"/>
      <c r="BE172" s="1374"/>
      <c r="BF172" s="1374"/>
      <c r="BG172" s="1374"/>
      <c r="BH172" s="1374"/>
      <c r="BI172" s="1374"/>
      <c r="BJ172" s="1374"/>
      <c r="BK172" s="1374"/>
      <c r="BL172" s="1374"/>
      <c r="BM172" s="1374"/>
      <c r="BN172" s="1374"/>
      <c r="BO172" s="1374"/>
      <c r="BP172" s="1374"/>
      <c r="BQ172" s="1374"/>
      <c r="BR172" s="1374"/>
      <c r="BS172" s="1374"/>
      <c r="BT172" s="1374"/>
      <c r="BU172" s="1374"/>
      <c r="BV172" s="1374"/>
      <c r="BW172" s="1374"/>
      <c r="BX172" s="1374"/>
      <c r="BY172" s="1374"/>
      <c r="BZ172" s="1374"/>
      <c r="CA172" s="1374"/>
      <c r="CB172" s="1374"/>
      <c r="CC172" s="1374"/>
      <c r="CD172" s="1374"/>
      <c r="CE172" s="1374"/>
      <c r="CF172" s="1374"/>
      <c r="CG172" s="1374"/>
      <c r="CH172" s="1374"/>
      <c r="CI172" s="1374"/>
      <c r="CJ172" s="1374"/>
      <c r="CK172" s="1374"/>
      <c r="CL172" s="1374"/>
      <c r="CM172" s="1374"/>
      <c r="CN172" s="1374"/>
      <c r="CO172" s="1374"/>
      <c r="CP172" s="1374"/>
      <c r="CQ172" s="1374"/>
      <c r="CR172" s="1374"/>
      <c r="CS172" s="1374"/>
      <c r="CT172" s="1374"/>
      <c r="CU172" s="1374"/>
      <c r="CV172" s="1374"/>
      <c r="CW172" s="1374"/>
      <c r="CX172" s="1374"/>
      <c r="CY172" s="1374"/>
      <c r="CZ172" s="1374"/>
      <c r="DA172" s="1374"/>
      <c r="DB172" s="1374"/>
      <c r="DC172" s="1374"/>
      <c r="DD172" s="1374"/>
      <c r="DE172" s="1374"/>
      <c r="DF172" s="1374"/>
      <c r="DG172" s="1374"/>
      <c r="DH172" s="1374"/>
      <c r="DI172" s="1374"/>
      <c r="DJ172" s="1374"/>
      <c r="DK172" s="1374"/>
      <c r="DL172" s="1374"/>
      <c r="DM172" s="1374"/>
      <c r="DN172" s="1374"/>
      <c r="DO172" s="1374"/>
      <c r="DP172" s="1374"/>
      <c r="DQ172" s="1374"/>
      <c r="DR172" s="1374"/>
      <c r="DS172" s="1374"/>
      <c r="DT172" s="1374"/>
      <c r="DU172" s="1374"/>
      <c r="DV172" s="1374"/>
      <c r="DW172" s="1374"/>
      <c r="DX172" s="1374"/>
      <c r="DY172" s="1374"/>
      <c r="DZ172" s="1374"/>
      <c r="EA172" s="1439"/>
    </row>
    <row r="173" spans="1:131" ht="16.5" customHeight="1" x14ac:dyDescent="0.3">
      <c r="A173" s="939" t="s">
        <v>200</v>
      </c>
      <c r="B173" s="606" t="s">
        <v>57</v>
      </c>
      <c r="C173" s="1398" t="s">
        <v>99</v>
      </c>
      <c r="D173" s="1398" t="s">
        <v>236</v>
      </c>
      <c r="E173" s="911"/>
      <c r="F173" s="1374"/>
      <c r="G173" s="1374"/>
      <c r="H173" s="1374"/>
      <c r="I173" s="1374"/>
      <c r="J173" s="1374"/>
      <c r="K173" s="1374"/>
      <c r="L173" s="1374"/>
      <c r="M173" s="1374"/>
      <c r="N173" s="1374"/>
      <c r="O173" s="1374"/>
      <c r="P173" s="1374"/>
      <c r="Q173" s="1374"/>
      <c r="R173" s="1374"/>
      <c r="S173" s="1374"/>
      <c r="T173" s="1374"/>
      <c r="U173" s="1374"/>
      <c r="V173" s="1374"/>
      <c r="W173" s="1374"/>
      <c r="X173" s="1374"/>
      <c r="Y173" s="1374"/>
      <c r="Z173" s="1374"/>
      <c r="AA173" s="1374"/>
      <c r="AB173" s="1374"/>
      <c r="AC173" s="1374"/>
      <c r="AD173" s="1374"/>
      <c r="AE173" s="1374"/>
      <c r="AF173" s="1374"/>
      <c r="AG173" s="1374"/>
      <c r="AH173" s="1374"/>
      <c r="AI173" s="1374"/>
      <c r="AJ173" s="1374"/>
      <c r="AK173" s="1374"/>
      <c r="AL173" s="1374"/>
      <c r="AM173" s="1374"/>
      <c r="AN173" s="1374"/>
      <c r="AO173" s="1374"/>
      <c r="AP173" s="1374"/>
      <c r="AQ173" s="1374"/>
      <c r="AR173" s="1374"/>
      <c r="AS173" s="1374"/>
      <c r="AT173" s="1374"/>
      <c r="AU173" s="1374"/>
      <c r="AV173" s="1374"/>
      <c r="AW173" s="1374"/>
      <c r="AX173" s="1374"/>
      <c r="AY173" s="1374"/>
      <c r="AZ173" s="1374"/>
      <c r="BA173" s="1374"/>
      <c r="BB173" s="1374"/>
      <c r="BC173" s="1374"/>
      <c r="BD173" s="1374"/>
      <c r="BE173" s="1374"/>
      <c r="BF173" s="1374"/>
      <c r="BG173" s="1374"/>
      <c r="BH173" s="1374"/>
      <c r="BI173" s="1374"/>
      <c r="BJ173" s="1374"/>
      <c r="BK173" s="1374"/>
      <c r="BL173" s="1374"/>
      <c r="BM173" s="1374"/>
      <c r="BN173" s="1374"/>
      <c r="BO173" s="1374"/>
      <c r="BP173" s="1374"/>
      <c r="BQ173" s="1374"/>
      <c r="BR173" s="1374"/>
      <c r="BS173" s="1374"/>
      <c r="BT173" s="1374"/>
      <c r="BU173" s="1374"/>
      <c r="BV173" s="1374"/>
      <c r="BW173" s="1374"/>
      <c r="BX173" s="1374"/>
      <c r="BY173" s="1374"/>
      <c r="BZ173" s="1374"/>
      <c r="CA173" s="1374"/>
      <c r="CB173" s="1374"/>
      <c r="CC173" s="1374"/>
      <c r="CD173" s="1374"/>
      <c r="CE173" s="1374"/>
      <c r="CF173" s="1374"/>
      <c r="CG173" s="1374"/>
      <c r="CH173" s="1374"/>
      <c r="CI173" s="1374"/>
      <c r="CJ173" s="1374"/>
      <c r="CK173" s="1374"/>
      <c r="CL173" s="1374"/>
      <c r="CM173" s="1374"/>
      <c r="CN173" s="1374"/>
      <c r="CO173" s="1374"/>
      <c r="CP173" s="1374"/>
      <c r="CQ173" s="1374"/>
      <c r="CR173" s="1374"/>
      <c r="CS173" s="1374"/>
      <c r="CT173" s="1374"/>
      <c r="CU173" s="1374"/>
      <c r="CV173" s="1374"/>
      <c r="CW173" s="1374"/>
      <c r="CX173" s="1374"/>
      <c r="CY173" s="1374"/>
      <c r="CZ173" s="1374"/>
      <c r="DA173" s="1374"/>
      <c r="DB173" s="1374"/>
      <c r="DC173" s="1374"/>
      <c r="DD173" s="1374"/>
      <c r="DE173" s="1374"/>
      <c r="DF173" s="1374"/>
      <c r="DG173" s="1374"/>
      <c r="DH173" s="1374"/>
      <c r="DI173" s="1374"/>
      <c r="DJ173" s="1374"/>
      <c r="DK173" s="1374"/>
      <c r="DL173" s="1374"/>
      <c r="DM173" s="1374"/>
      <c r="DN173" s="1374"/>
      <c r="DO173" s="1374"/>
      <c r="DP173" s="1374"/>
      <c r="DQ173" s="1374"/>
      <c r="DR173" s="1374"/>
      <c r="DS173" s="1374"/>
      <c r="DT173" s="1374"/>
      <c r="DU173" s="1374"/>
      <c r="DV173" s="1374"/>
      <c r="DW173" s="1374"/>
      <c r="DX173" s="1374"/>
      <c r="DY173" s="1374"/>
      <c r="DZ173" s="1374"/>
      <c r="EA173" s="1439"/>
    </row>
    <row r="174" spans="1:131" ht="45.75" customHeight="1" x14ac:dyDescent="0.3">
      <c r="A174" s="939" t="s">
        <v>202</v>
      </c>
      <c r="B174" s="606" t="s">
        <v>55</v>
      </c>
      <c r="C174" s="1398" t="s">
        <v>99</v>
      </c>
      <c r="D174" s="1398" t="s">
        <v>236</v>
      </c>
      <c r="E174" s="911"/>
      <c r="F174" s="1374"/>
      <c r="G174" s="1374"/>
      <c r="H174" s="1374"/>
      <c r="I174" s="1374"/>
      <c r="J174" s="1374"/>
      <c r="K174" s="1374"/>
      <c r="L174" s="1374"/>
      <c r="M174" s="1374"/>
      <c r="N174" s="1374"/>
      <c r="O174" s="1374"/>
      <c r="P174" s="1374"/>
      <c r="Q174" s="1374"/>
      <c r="R174" s="1374"/>
      <c r="S174" s="1374"/>
      <c r="T174" s="1374"/>
      <c r="U174" s="1374"/>
      <c r="V174" s="1374"/>
      <c r="W174" s="1374"/>
      <c r="X174" s="1374"/>
      <c r="Y174" s="1374"/>
      <c r="Z174" s="1374"/>
      <c r="AA174" s="1374"/>
      <c r="AB174" s="1374"/>
      <c r="AC174" s="1374"/>
      <c r="AD174" s="1374"/>
      <c r="AE174" s="1374"/>
      <c r="AF174" s="1374"/>
      <c r="AG174" s="1374"/>
      <c r="AH174" s="1374"/>
      <c r="AI174" s="1374"/>
      <c r="AJ174" s="1374"/>
      <c r="AK174" s="1374"/>
      <c r="AL174" s="1374"/>
      <c r="AM174" s="1374"/>
      <c r="AN174" s="1374"/>
      <c r="AO174" s="1374"/>
      <c r="AP174" s="1374"/>
      <c r="AQ174" s="1374"/>
      <c r="AR174" s="1374"/>
      <c r="AS174" s="1374"/>
      <c r="AT174" s="1374"/>
      <c r="AU174" s="1374"/>
      <c r="AV174" s="1374"/>
      <c r="AW174" s="1374"/>
      <c r="AX174" s="1374"/>
      <c r="AY174" s="1374"/>
      <c r="AZ174" s="1374"/>
      <c r="BA174" s="1374"/>
      <c r="BB174" s="1374"/>
      <c r="BC174" s="1374"/>
      <c r="BD174" s="1374"/>
      <c r="BE174" s="1374"/>
      <c r="BF174" s="1374"/>
      <c r="BG174" s="1374"/>
      <c r="BH174" s="1374"/>
      <c r="BI174" s="1374"/>
      <c r="BJ174" s="1374"/>
      <c r="BK174" s="1374"/>
      <c r="BL174" s="1374"/>
      <c r="BM174" s="1374"/>
      <c r="BN174" s="1374"/>
      <c r="BO174" s="1374"/>
      <c r="BP174" s="1374"/>
      <c r="BQ174" s="1374"/>
      <c r="BR174" s="1374"/>
      <c r="BS174" s="1374"/>
      <c r="BT174" s="1374"/>
      <c r="BU174" s="1374"/>
      <c r="BV174" s="1374"/>
      <c r="BW174" s="1374"/>
      <c r="BX174" s="1374"/>
      <c r="BY174" s="1374"/>
      <c r="BZ174" s="1374"/>
      <c r="CA174" s="1374"/>
      <c r="CB174" s="1374"/>
      <c r="CC174" s="1374"/>
      <c r="CD174" s="1374"/>
      <c r="CE174" s="1374"/>
      <c r="CF174" s="1374"/>
      <c r="CG174" s="1374"/>
      <c r="CH174" s="1374"/>
      <c r="CI174" s="1374"/>
      <c r="CJ174" s="1374"/>
      <c r="CK174" s="1374"/>
      <c r="CL174" s="1374"/>
      <c r="CM174" s="1374"/>
      <c r="CN174" s="1374"/>
      <c r="CO174" s="1374"/>
      <c r="CP174" s="1374"/>
      <c r="CQ174" s="1374"/>
      <c r="CR174" s="1374"/>
      <c r="CS174" s="1374"/>
      <c r="CT174" s="1374"/>
      <c r="CU174" s="1374"/>
      <c r="CV174" s="1374"/>
      <c r="CW174" s="1374"/>
      <c r="CX174" s="1374"/>
      <c r="CY174" s="1374"/>
      <c r="CZ174" s="1374"/>
      <c r="DA174" s="1374"/>
      <c r="DB174" s="1374"/>
      <c r="DC174" s="1374"/>
      <c r="DD174" s="1374"/>
      <c r="DE174" s="1374"/>
      <c r="DF174" s="1374"/>
      <c r="DG174" s="1374"/>
      <c r="DH174" s="1374"/>
      <c r="DI174" s="1374"/>
      <c r="DJ174" s="1374"/>
      <c r="DK174" s="1374"/>
      <c r="DL174" s="1374"/>
      <c r="DM174" s="1374"/>
      <c r="DN174" s="1374"/>
      <c r="DO174" s="1374"/>
      <c r="DP174" s="1374"/>
      <c r="DQ174" s="1374"/>
      <c r="DR174" s="1374"/>
      <c r="DS174" s="1374"/>
      <c r="DT174" s="1374"/>
      <c r="DU174" s="1374"/>
      <c r="DV174" s="1374"/>
      <c r="DW174" s="1374"/>
      <c r="DX174" s="1374"/>
      <c r="DY174" s="1374"/>
      <c r="DZ174" s="1374"/>
      <c r="EA174" s="1439"/>
    </row>
    <row r="175" spans="1:131" x14ac:dyDescent="0.3">
      <c r="A175" s="939" t="s">
        <v>221</v>
      </c>
      <c r="B175" s="606" t="s">
        <v>57</v>
      </c>
      <c r="C175" s="1398" t="s">
        <v>99</v>
      </c>
      <c r="D175" s="1398" t="s">
        <v>236</v>
      </c>
      <c r="E175" s="911"/>
      <c r="F175" s="1374"/>
      <c r="G175" s="1374"/>
      <c r="H175" s="1374"/>
      <c r="I175" s="1374"/>
      <c r="J175" s="1374"/>
      <c r="K175" s="1374"/>
      <c r="L175" s="1374"/>
      <c r="M175" s="1374"/>
      <c r="N175" s="1374"/>
      <c r="O175" s="1374"/>
      <c r="P175" s="1374"/>
      <c r="Q175" s="1374"/>
      <c r="R175" s="1374"/>
      <c r="S175" s="1374"/>
      <c r="T175" s="1374"/>
      <c r="U175" s="1374"/>
      <c r="V175" s="1374"/>
      <c r="W175" s="1374"/>
      <c r="X175" s="1374"/>
      <c r="Y175" s="1374"/>
      <c r="Z175" s="1374"/>
      <c r="AA175" s="1374"/>
      <c r="AB175" s="1374"/>
      <c r="AC175" s="1374"/>
      <c r="AD175" s="1374"/>
      <c r="AE175" s="1374"/>
      <c r="AF175" s="1374"/>
      <c r="AG175" s="1374"/>
      <c r="AH175" s="1374"/>
      <c r="AI175" s="1374"/>
      <c r="AJ175" s="1374"/>
      <c r="AK175" s="1374"/>
      <c r="AL175" s="1374"/>
      <c r="AM175" s="1374"/>
      <c r="AN175" s="1374"/>
      <c r="AO175" s="1374"/>
      <c r="AP175" s="1374"/>
      <c r="AQ175" s="1374"/>
      <c r="AR175" s="1374"/>
      <c r="AS175" s="1374"/>
      <c r="AT175" s="1374"/>
      <c r="AU175" s="1374"/>
      <c r="AV175" s="1374"/>
      <c r="AW175" s="1374"/>
      <c r="AX175" s="1374"/>
      <c r="AY175" s="1374"/>
      <c r="AZ175" s="1374"/>
      <c r="BA175" s="1374"/>
      <c r="BB175" s="1374"/>
      <c r="BC175" s="1374"/>
      <c r="BD175" s="1374"/>
      <c r="BE175" s="1374"/>
      <c r="BF175" s="1374"/>
      <c r="BG175" s="1374"/>
      <c r="BH175" s="1374"/>
      <c r="BI175" s="1374"/>
      <c r="BJ175" s="1374"/>
      <c r="BK175" s="1374"/>
      <c r="BL175" s="1374"/>
      <c r="BM175" s="1374"/>
      <c r="BN175" s="1374"/>
      <c r="BO175" s="1374"/>
      <c r="BP175" s="1374"/>
      <c r="BQ175" s="1374"/>
      <c r="BR175" s="1374"/>
      <c r="BS175" s="1374"/>
      <c r="BT175" s="1374"/>
      <c r="BU175" s="1374"/>
      <c r="BV175" s="1374"/>
      <c r="BW175" s="1374"/>
      <c r="BX175" s="1374"/>
      <c r="BY175" s="1374"/>
      <c r="BZ175" s="1374"/>
      <c r="CA175" s="1374"/>
      <c r="CB175" s="1374"/>
      <c r="CC175" s="1374"/>
      <c r="CD175" s="1374"/>
      <c r="CE175" s="1374"/>
      <c r="CF175" s="1374"/>
      <c r="CG175" s="1374"/>
      <c r="CH175" s="1374"/>
      <c r="CI175" s="1374"/>
      <c r="CJ175" s="1374"/>
      <c r="CK175" s="1374"/>
      <c r="CL175" s="1374"/>
      <c r="CM175" s="1374"/>
      <c r="CN175" s="1374"/>
      <c r="CO175" s="1374"/>
      <c r="CP175" s="1374"/>
      <c r="CQ175" s="1374"/>
      <c r="CR175" s="1374"/>
      <c r="CS175" s="1374"/>
      <c r="CT175" s="1374"/>
      <c r="CU175" s="1374"/>
      <c r="CV175" s="1374"/>
      <c r="CW175" s="1374"/>
      <c r="CX175" s="1374"/>
      <c r="CY175" s="1374"/>
      <c r="CZ175" s="1374"/>
      <c r="DA175" s="1374"/>
      <c r="DB175" s="1374"/>
      <c r="DC175" s="1374"/>
      <c r="DD175" s="1374"/>
      <c r="DE175" s="1374"/>
      <c r="DF175" s="1374"/>
      <c r="DG175" s="1374"/>
      <c r="DH175" s="1374"/>
      <c r="DI175" s="1374"/>
      <c r="DJ175" s="1374"/>
      <c r="DK175" s="1374"/>
      <c r="DL175" s="1374"/>
      <c r="DM175" s="1374"/>
      <c r="DN175" s="1374"/>
      <c r="DO175" s="1374"/>
      <c r="DP175" s="1374"/>
      <c r="DQ175" s="1374"/>
      <c r="DR175" s="1374"/>
      <c r="DS175" s="1374"/>
      <c r="DT175" s="1374"/>
      <c r="DU175" s="1374"/>
      <c r="DV175" s="1374"/>
      <c r="DW175" s="1374"/>
      <c r="DX175" s="1374"/>
      <c r="DY175" s="1374"/>
      <c r="DZ175" s="1374"/>
      <c r="EA175" s="1439"/>
    </row>
    <row r="176" spans="1:131" x14ac:dyDescent="0.3">
      <c r="A176" s="939" t="s">
        <v>208</v>
      </c>
      <c r="B176" s="606" t="s">
        <v>56</v>
      </c>
      <c r="C176" s="1398" t="s">
        <v>99</v>
      </c>
      <c r="D176" s="1398" t="s">
        <v>236</v>
      </c>
      <c r="E176" s="911"/>
      <c r="F176" s="1374"/>
      <c r="G176" s="1374"/>
      <c r="H176" s="1374"/>
      <c r="I176" s="1374"/>
      <c r="J176" s="1374"/>
      <c r="K176" s="1374"/>
      <c r="L176" s="1374"/>
      <c r="M176" s="1374"/>
      <c r="N176" s="1374"/>
      <c r="O176" s="1374"/>
      <c r="P176" s="1374"/>
      <c r="Q176" s="1374"/>
      <c r="R176" s="1374"/>
      <c r="S176" s="1374"/>
      <c r="T176" s="1374"/>
      <c r="U176" s="1374"/>
      <c r="V176" s="1374"/>
      <c r="W176" s="1374"/>
      <c r="X176" s="1374"/>
      <c r="Y176" s="1374"/>
      <c r="Z176" s="1374"/>
      <c r="AA176" s="1374"/>
      <c r="AB176" s="1374"/>
      <c r="AC176" s="1374"/>
      <c r="AD176" s="1374"/>
      <c r="AE176" s="1374"/>
      <c r="AF176" s="1374"/>
      <c r="AG176" s="1374"/>
      <c r="AH176" s="1374"/>
      <c r="AI176" s="1374"/>
      <c r="AJ176" s="1374"/>
      <c r="AK176" s="1374"/>
      <c r="AL176" s="1374"/>
      <c r="AM176" s="1374"/>
      <c r="AN176" s="1374"/>
      <c r="AO176" s="1374"/>
      <c r="AP176" s="1374"/>
      <c r="AQ176" s="1374"/>
      <c r="AR176" s="1374"/>
      <c r="AS176" s="1374"/>
      <c r="AT176" s="1374"/>
      <c r="AU176" s="1374"/>
      <c r="AV176" s="1374"/>
      <c r="AW176" s="1374"/>
      <c r="AX176" s="1374"/>
      <c r="AY176" s="1374"/>
      <c r="AZ176" s="1374"/>
      <c r="BA176" s="1374"/>
      <c r="BB176" s="1374"/>
      <c r="BC176" s="1374"/>
      <c r="BD176" s="1374"/>
      <c r="BE176" s="1374"/>
      <c r="BF176" s="1374"/>
      <c r="BG176" s="1374"/>
      <c r="BH176" s="1374"/>
      <c r="BI176" s="1374"/>
      <c r="BJ176" s="1374"/>
      <c r="BK176" s="1374"/>
      <c r="BL176" s="1374"/>
      <c r="BM176" s="1374"/>
      <c r="BN176" s="1374"/>
      <c r="BO176" s="1374"/>
      <c r="BP176" s="1374"/>
      <c r="BQ176" s="1374"/>
      <c r="BR176" s="1374"/>
      <c r="BS176" s="1374"/>
      <c r="BT176" s="1374"/>
      <c r="BU176" s="1374"/>
      <c r="BV176" s="1374"/>
      <c r="BW176" s="1374"/>
      <c r="BX176" s="1374"/>
      <c r="BY176" s="1374"/>
      <c r="BZ176" s="1374"/>
      <c r="CA176" s="1374"/>
      <c r="CB176" s="1374"/>
      <c r="CC176" s="1374"/>
      <c r="CD176" s="1374"/>
      <c r="CE176" s="1374"/>
      <c r="CF176" s="1374"/>
      <c r="CG176" s="1374"/>
      <c r="CH176" s="1374"/>
      <c r="CI176" s="1374"/>
      <c r="CJ176" s="1374"/>
      <c r="CK176" s="1374"/>
      <c r="CL176" s="1374"/>
      <c r="CM176" s="1374"/>
      <c r="CN176" s="1374"/>
      <c r="CO176" s="1374"/>
      <c r="CP176" s="1374"/>
      <c r="CQ176" s="1374"/>
      <c r="CR176" s="1374"/>
      <c r="CS176" s="1374"/>
      <c r="CT176" s="1374"/>
      <c r="CU176" s="1374"/>
      <c r="CV176" s="1374"/>
      <c r="CW176" s="1374"/>
      <c r="CX176" s="1374"/>
      <c r="CY176" s="1374"/>
      <c r="CZ176" s="1374"/>
      <c r="DA176" s="1374"/>
      <c r="DB176" s="1374"/>
      <c r="DC176" s="1374"/>
      <c r="DD176" s="1374"/>
      <c r="DE176" s="1374"/>
      <c r="DF176" s="1374"/>
      <c r="DG176" s="1374"/>
      <c r="DH176" s="1374"/>
      <c r="DI176" s="1374"/>
      <c r="DJ176" s="1374"/>
      <c r="DK176" s="1374"/>
      <c r="DL176" s="1374"/>
      <c r="DM176" s="1374"/>
      <c r="DN176" s="1374"/>
      <c r="DO176" s="1374"/>
      <c r="DP176" s="1374"/>
      <c r="DQ176" s="1374"/>
      <c r="DR176" s="1374"/>
      <c r="DS176" s="1374"/>
      <c r="DT176" s="1374"/>
      <c r="DU176" s="1374"/>
      <c r="DV176" s="1374"/>
      <c r="DW176" s="1374"/>
      <c r="DX176" s="1374"/>
      <c r="DY176" s="1374"/>
      <c r="DZ176" s="1374"/>
      <c r="EA176" s="1439"/>
    </row>
    <row r="177" spans="1:131" x14ac:dyDescent="0.3">
      <c r="A177" s="939" t="s">
        <v>207</v>
      </c>
      <c r="B177" s="606" t="s">
        <v>57</v>
      </c>
      <c r="C177" s="1398" t="s">
        <v>99</v>
      </c>
      <c r="D177" s="1398" t="s">
        <v>236</v>
      </c>
      <c r="E177" s="911"/>
      <c r="F177" s="1374"/>
      <c r="G177" s="1374"/>
      <c r="H177" s="1374"/>
      <c r="I177" s="1374"/>
      <c r="J177" s="1374"/>
      <c r="K177" s="1374"/>
      <c r="L177" s="1374"/>
      <c r="M177" s="1374"/>
      <c r="N177" s="1374"/>
      <c r="O177" s="1374"/>
      <c r="P177" s="1374"/>
      <c r="Q177" s="1374"/>
      <c r="R177" s="1374"/>
      <c r="S177" s="1374"/>
      <c r="T177" s="1374"/>
      <c r="U177" s="1374"/>
      <c r="V177" s="1374"/>
      <c r="W177" s="1374"/>
      <c r="X177" s="1374"/>
      <c r="Y177" s="1374"/>
      <c r="Z177" s="1374"/>
      <c r="AA177" s="1374"/>
      <c r="AB177" s="1374"/>
      <c r="AC177" s="1374"/>
      <c r="AD177" s="1374"/>
      <c r="AE177" s="1374"/>
      <c r="AF177" s="1374"/>
      <c r="AG177" s="1374"/>
      <c r="AH177" s="1374"/>
      <c r="AI177" s="1374"/>
      <c r="AJ177" s="1374"/>
      <c r="AK177" s="1374"/>
      <c r="AL177" s="1374"/>
      <c r="AM177" s="1374"/>
      <c r="AN177" s="1374"/>
      <c r="AO177" s="1374"/>
      <c r="AP177" s="1374"/>
      <c r="AQ177" s="1374"/>
      <c r="AR177" s="1374"/>
      <c r="AS177" s="1374"/>
      <c r="AT177" s="1374"/>
      <c r="AU177" s="1374"/>
      <c r="AV177" s="1374"/>
      <c r="AW177" s="1374"/>
      <c r="AX177" s="1374"/>
      <c r="AY177" s="1374"/>
      <c r="AZ177" s="1374"/>
      <c r="BA177" s="1374"/>
      <c r="BB177" s="1374"/>
      <c r="BC177" s="1374"/>
      <c r="BD177" s="1374"/>
      <c r="BE177" s="1374"/>
      <c r="BF177" s="1374"/>
      <c r="BG177" s="1374"/>
      <c r="BH177" s="1374"/>
      <c r="BI177" s="1374"/>
      <c r="BJ177" s="1374"/>
      <c r="BK177" s="1374"/>
      <c r="BL177" s="1374"/>
      <c r="BM177" s="1374"/>
      <c r="BN177" s="1374"/>
      <c r="BO177" s="1374"/>
      <c r="BP177" s="1374"/>
      <c r="BQ177" s="1374"/>
      <c r="BR177" s="1374"/>
      <c r="BS177" s="1374"/>
      <c r="BT177" s="1374"/>
      <c r="BU177" s="1374"/>
      <c r="BV177" s="1374"/>
      <c r="BW177" s="1374"/>
      <c r="BX177" s="1374"/>
      <c r="BY177" s="1374"/>
      <c r="BZ177" s="1374"/>
      <c r="CA177" s="1374"/>
      <c r="CB177" s="1374"/>
      <c r="CC177" s="1374"/>
      <c r="CD177" s="1374"/>
      <c r="CE177" s="1374"/>
      <c r="CF177" s="1374"/>
      <c r="CG177" s="1374"/>
      <c r="CH177" s="1374"/>
      <c r="CI177" s="1374"/>
      <c r="CJ177" s="1374"/>
      <c r="CK177" s="1374"/>
      <c r="CL177" s="1374"/>
      <c r="CM177" s="1374"/>
      <c r="CN177" s="1374"/>
      <c r="CO177" s="1374"/>
      <c r="CP177" s="1374"/>
      <c r="CQ177" s="1374"/>
      <c r="CR177" s="1374"/>
      <c r="CS177" s="1374"/>
      <c r="CT177" s="1374"/>
      <c r="CU177" s="1374"/>
      <c r="CV177" s="1374"/>
      <c r="CW177" s="1374"/>
      <c r="CX177" s="1374"/>
      <c r="CY177" s="1374"/>
      <c r="CZ177" s="1374"/>
      <c r="DA177" s="1374"/>
      <c r="DB177" s="1374"/>
      <c r="DC177" s="1374"/>
      <c r="DD177" s="1374"/>
      <c r="DE177" s="1374"/>
      <c r="DF177" s="1374"/>
      <c r="DG177" s="1374"/>
      <c r="DH177" s="1374"/>
      <c r="DI177" s="1374"/>
      <c r="DJ177" s="1374"/>
      <c r="DK177" s="1374"/>
      <c r="DL177" s="1374"/>
      <c r="DM177" s="1374"/>
      <c r="DN177" s="1374"/>
      <c r="DO177" s="1374"/>
      <c r="DP177" s="1374"/>
      <c r="DQ177" s="1374"/>
      <c r="DR177" s="1374"/>
      <c r="DS177" s="1374"/>
      <c r="DT177" s="1374"/>
      <c r="DU177" s="1374"/>
      <c r="DV177" s="1374"/>
      <c r="DW177" s="1374"/>
      <c r="DX177" s="1374"/>
      <c r="DY177" s="1374"/>
      <c r="DZ177" s="1374"/>
      <c r="EA177" s="1439"/>
    </row>
    <row r="178" spans="1:131" x14ac:dyDescent="0.3">
      <c r="A178" s="940" t="s">
        <v>199</v>
      </c>
      <c r="B178" s="610" t="s">
        <v>57</v>
      </c>
      <c r="C178" s="1398" t="s">
        <v>101</v>
      </c>
      <c r="D178" s="1398" t="s">
        <v>236</v>
      </c>
      <c r="E178" s="911"/>
      <c r="F178" s="1374"/>
      <c r="G178" s="1374"/>
      <c r="H178" s="1374"/>
      <c r="I178" s="1374"/>
      <c r="J178" s="1374"/>
      <c r="K178" s="1374"/>
      <c r="L178" s="1374"/>
      <c r="M178" s="1374"/>
      <c r="N178" s="1374"/>
      <c r="O178" s="1374"/>
      <c r="P178" s="1374"/>
      <c r="Q178" s="1374"/>
      <c r="R178" s="1374"/>
      <c r="S178" s="1374"/>
      <c r="T178" s="1374"/>
      <c r="U178" s="1374"/>
      <c r="V178" s="1374"/>
      <c r="W178" s="1374"/>
      <c r="X178" s="1374"/>
      <c r="Y178" s="1374"/>
      <c r="Z178" s="1374"/>
      <c r="AA178" s="1374"/>
      <c r="AB178" s="1374"/>
      <c r="AC178" s="1374"/>
      <c r="AD178" s="1374"/>
      <c r="AE178" s="1374"/>
      <c r="AF178" s="1374"/>
      <c r="AG178" s="1374"/>
      <c r="AH178" s="1374"/>
      <c r="AI178" s="1374"/>
      <c r="AJ178" s="1374"/>
      <c r="AK178" s="1374"/>
      <c r="AL178" s="1374"/>
      <c r="AM178" s="1374"/>
      <c r="AN178" s="1374"/>
      <c r="AO178" s="1374"/>
      <c r="AP178" s="1374"/>
      <c r="AQ178" s="1374"/>
      <c r="AR178" s="1374"/>
      <c r="AS178" s="1374"/>
      <c r="AT178" s="1374"/>
      <c r="AU178" s="1374"/>
      <c r="AV178" s="1374"/>
      <c r="AW178" s="1374"/>
      <c r="AX178" s="1374"/>
      <c r="AY178" s="1374"/>
      <c r="AZ178" s="1374"/>
      <c r="BA178" s="1374"/>
      <c r="BB178" s="1374"/>
      <c r="BC178" s="1374"/>
      <c r="BD178" s="1374"/>
      <c r="BE178" s="1374"/>
      <c r="BF178" s="1374"/>
      <c r="BG178" s="1374"/>
      <c r="BH178" s="1374"/>
      <c r="BI178" s="1374"/>
      <c r="BJ178" s="1374"/>
      <c r="BK178" s="1374"/>
      <c r="BL178" s="1374"/>
      <c r="BM178" s="1374"/>
      <c r="BN178" s="1374"/>
      <c r="BO178" s="1374"/>
      <c r="BP178" s="1374"/>
      <c r="BQ178" s="1374"/>
      <c r="BR178" s="1374"/>
      <c r="BS178" s="1374"/>
      <c r="BT178" s="1374"/>
      <c r="BU178" s="1374"/>
      <c r="BV178" s="1374"/>
      <c r="BW178" s="1374"/>
      <c r="BX178" s="1374"/>
      <c r="BY178" s="1374"/>
      <c r="BZ178" s="1374"/>
      <c r="CA178" s="1374"/>
      <c r="CB178" s="1374"/>
      <c r="CC178" s="1374"/>
      <c r="CD178" s="1374"/>
      <c r="CE178" s="1374"/>
      <c r="CF178" s="1374"/>
      <c r="CG178" s="1374"/>
      <c r="CH178" s="1374"/>
      <c r="CI178" s="1374"/>
      <c r="CJ178" s="1374"/>
      <c r="CK178" s="1374"/>
      <c r="CL178" s="1374"/>
      <c r="CM178" s="1374"/>
      <c r="CN178" s="1374"/>
      <c r="CO178" s="1374"/>
      <c r="CP178" s="1374"/>
      <c r="CQ178" s="1374"/>
      <c r="CR178" s="1374"/>
      <c r="CS178" s="1374"/>
      <c r="CT178" s="1374"/>
      <c r="CU178" s="1374"/>
      <c r="CV178" s="1374"/>
      <c r="CW178" s="1374"/>
      <c r="CX178" s="1374"/>
      <c r="CY178" s="1374"/>
      <c r="CZ178" s="1374"/>
      <c r="DA178" s="1374"/>
      <c r="DB178" s="1374"/>
      <c r="DC178" s="1374"/>
      <c r="DD178" s="1374"/>
      <c r="DE178" s="1374"/>
      <c r="DF178" s="1374"/>
      <c r="DG178" s="1374"/>
      <c r="DH178" s="1374"/>
      <c r="DI178" s="1374"/>
      <c r="DJ178" s="1374"/>
      <c r="DK178" s="1374"/>
      <c r="DL178" s="1374"/>
      <c r="DM178" s="1374"/>
      <c r="DN178" s="1374"/>
      <c r="DO178" s="1374"/>
      <c r="DP178" s="1374"/>
      <c r="DQ178" s="1374"/>
      <c r="DR178" s="1374"/>
      <c r="DS178" s="1374"/>
      <c r="DT178" s="1374"/>
      <c r="DU178" s="1374"/>
      <c r="DV178" s="1374"/>
      <c r="DW178" s="1374"/>
      <c r="DX178" s="1374"/>
      <c r="DY178" s="1374"/>
      <c r="DZ178" s="1374"/>
      <c r="EA178" s="1439"/>
    </row>
    <row r="179" spans="1:131" x14ac:dyDescent="0.3">
      <c r="A179" s="939" t="s">
        <v>224</v>
      </c>
      <c r="B179" s="606" t="s">
        <v>56</v>
      </c>
      <c r="C179" s="1398" t="s">
        <v>100</v>
      </c>
      <c r="D179" s="1398" t="s">
        <v>236</v>
      </c>
      <c r="E179" s="911"/>
      <c r="F179" s="1374"/>
      <c r="G179" s="1374"/>
      <c r="H179" s="1374"/>
      <c r="I179" s="1374"/>
      <c r="J179" s="1374"/>
      <c r="K179" s="1374"/>
      <c r="L179" s="1374"/>
      <c r="M179" s="1374"/>
      <c r="N179" s="1374"/>
      <c r="O179" s="1374"/>
      <c r="P179" s="1374"/>
      <c r="Q179" s="1374"/>
      <c r="R179" s="1374"/>
      <c r="S179" s="1374"/>
      <c r="T179" s="1374"/>
      <c r="U179" s="1374"/>
      <c r="V179" s="1374"/>
      <c r="W179" s="1374"/>
      <c r="X179" s="1374"/>
      <c r="Y179" s="1374"/>
      <c r="Z179" s="1374"/>
      <c r="AA179" s="1374"/>
      <c r="AB179" s="1374"/>
      <c r="AC179" s="1374"/>
      <c r="AD179" s="1374"/>
      <c r="AE179" s="1374"/>
      <c r="AF179" s="1374"/>
      <c r="AG179" s="1374"/>
      <c r="AH179" s="1374"/>
      <c r="AI179" s="1374"/>
      <c r="AJ179" s="1374"/>
      <c r="AK179" s="1374"/>
      <c r="AL179" s="1374"/>
      <c r="AM179" s="1374"/>
      <c r="AN179" s="1374"/>
      <c r="AO179" s="1374"/>
      <c r="AP179" s="1374"/>
      <c r="AQ179" s="1374"/>
      <c r="AR179" s="1374"/>
      <c r="AS179" s="1374"/>
      <c r="AT179" s="1374"/>
      <c r="AU179" s="1374"/>
      <c r="AV179" s="1374"/>
      <c r="AW179" s="1374"/>
      <c r="AX179" s="1374"/>
      <c r="AY179" s="1374"/>
      <c r="AZ179" s="1374"/>
      <c r="BA179" s="1374"/>
      <c r="BB179" s="1374"/>
      <c r="BC179" s="1374"/>
      <c r="BD179" s="1374"/>
      <c r="BE179" s="1374"/>
      <c r="BF179" s="1374"/>
      <c r="BG179" s="1374"/>
      <c r="BH179" s="1374"/>
      <c r="BI179" s="1374"/>
      <c r="BJ179" s="1374"/>
      <c r="BK179" s="1374"/>
      <c r="BL179" s="1374"/>
      <c r="BM179" s="1374"/>
      <c r="BN179" s="1374"/>
      <c r="BO179" s="1374"/>
      <c r="BP179" s="1374"/>
      <c r="BQ179" s="1374"/>
      <c r="BR179" s="1374"/>
      <c r="BS179" s="1374"/>
      <c r="BT179" s="1374"/>
      <c r="BU179" s="1374"/>
      <c r="BV179" s="1374"/>
      <c r="BW179" s="1374"/>
      <c r="BX179" s="1374"/>
      <c r="BY179" s="1374"/>
      <c r="BZ179" s="1374"/>
      <c r="CA179" s="1374"/>
      <c r="CB179" s="1374"/>
      <c r="CC179" s="1374"/>
      <c r="CD179" s="1374"/>
      <c r="CE179" s="1374"/>
      <c r="CF179" s="1374"/>
      <c r="CG179" s="1374"/>
      <c r="CH179" s="1374"/>
      <c r="CI179" s="1374"/>
      <c r="CJ179" s="1374"/>
      <c r="CK179" s="1374"/>
      <c r="CL179" s="1374"/>
      <c r="CM179" s="1374"/>
      <c r="CN179" s="1374"/>
      <c r="CO179" s="1374"/>
      <c r="CP179" s="1374"/>
      <c r="CQ179" s="1374"/>
      <c r="CR179" s="1374"/>
      <c r="CS179" s="1374"/>
      <c r="CT179" s="1374"/>
      <c r="CU179" s="1374"/>
      <c r="CV179" s="1374"/>
      <c r="CW179" s="1374"/>
      <c r="CX179" s="1374"/>
      <c r="CY179" s="1374"/>
      <c r="CZ179" s="1374"/>
      <c r="DA179" s="1374"/>
      <c r="DB179" s="1374"/>
      <c r="DC179" s="1374"/>
      <c r="DD179" s="1374"/>
      <c r="DE179" s="1374"/>
      <c r="DF179" s="1374"/>
      <c r="DG179" s="1374"/>
      <c r="DH179" s="1374"/>
      <c r="DI179" s="1374"/>
      <c r="DJ179" s="1374"/>
      <c r="DK179" s="1374"/>
      <c r="DL179" s="1374"/>
      <c r="DM179" s="1374"/>
      <c r="DN179" s="1374"/>
      <c r="DO179" s="1374"/>
      <c r="DP179" s="1374"/>
      <c r="DQ179" s="1374"/>
      <c r="DR179" s="1374"/>
      <c r="DS179" s="1374"/>
      <c r="DT179" s="1374"/>
      <c r="DU179" s="1374"/>
      <c r="DV179" s="1374"/>
      <c r="DW179" s="1374"/>
      <c r="DX179" s="1374"/>
      <c r="DY179" s="1374"/>
      <c r="DZ179" s="1374"/>
      <c r="EA179" s="1439"/>
    </row>
    <row r="180" spans="1:131" x14ac:dyDescent="0.3">
      <c r="A180" s="939" t="s">
        <v>204</v>
      </c>
      <c r="B180" s="606" t="s">
        <v>57</v>
      </c>
      <c r="C180" s="1398" t="s">
        <v>99</v>
      </c>
      <c r="D180" s="1398" t="s">
        <v>236</v>
      </c>
      <c r="E180" s="911"/>
      <c r="F180" s="1374"/>
      <c r="G180" s="1374"/>
      <c r="H180" s="1374"/>
      <c r="I180" s="1374"/>
      <c r="J180" s="1374"/>
      <c r="K180" s="1374"/>
      <c r="L180" s="1374"/>
      <c r="M180" s="1374"/>
      <c r="N180" s="1374"/>
      <c r="O180" s="1374"/>
      <c r="P180" s="1374"/>
      <c r="Q180" s="1374"/>
      <c r="R180" s="1374"/>
      <c r="S180" s="1374"/>
      <c r="T180" s="1374"/>
      <c r="U180" s="1374"/>
      <c r="V180" s="1374"/>
      <c r="W180" s="1374"/>
      <c r="X180" s="1374"/>
      <c r="Y180" s="1374"/>
      <c r="Z180" s="1374"/>
      <c r="AA180" s="1374"/>
      <c r="AB180" s="1374"/>
      <c r="AC180" s="1374"/>
      <c r="AD180" s="1374"/>
      <c r="AE180" s="1374"/>
      <c r="AF180" s="1374"/>
      <c r="AG180" s="1374"/>
      <c r="AH180" s="1374"/>
      <c r="AI180" s="1374"/>
      <c r="AJ180" s="1374"/>
      <c r="AK180" s="1374"/>
      <c r="AL180" s="1374"/>
      <c r="AM180" s="1374"/>
      <c r="AN180" s="1374"/>
      <c r="AO180" s="1374"/>
      <c r="AP180" s="1374"/>
      <c r="AQ180" s="1374"/>
      <c r="AR180" s="1374"/>
      <c r="AS180" s="1374"/>
      <c r="AT180" s="1374"/>
      <c r="AU180" s="1374"/>
      <c r="AV180" s="1374"/>
      <c r="AW180" s="1374"/>
      <c r="AX180" s="1374"/>
      <c r="AY180" s="1374"/>
      <c r="AZ180" s="1374"/>
      <c r="BA180" s="1374"/>
      <c r="BB180" s="1374"/>
      <c r="BC180" s="1374"/>
      <c r="BD180" s="1374"/>
      <c r="BE180" s="1374"/>
      <c r="BF180" s="1374"/>
      <c r="BG180" s="1374"/>
      <c r="BH180" s="1374"/>
      <c r="BI180" s="1374"/>
      <c r="BJ180" s="1374"/>
      <c r="BK180" s="1374"/>
      <c r="BL180" s="1374"/>
      <c r="BM180" s="1374"/>
      <c r="BN180" s="1374"/>
      <c r="BO180" s="1374"/>
      <c r="BP180" s="1374"/>
      <c r="BQ180" s="1374"/>
      <c r="BR180" s="1374"/>
      <c r="BS180" s="1374"/>
      <c r="BT180" s="1374"/>
      <c r="BU180" s="1374"/>
      <c r="BV180" s="1374"/>
      <c r="BW180" s="1374"/>
      <c r="BX180" s="1374"/>
      <c r="BY180" s="1374"/>
      <c r="BZ180" s="1374"/>
      <c r="CA180" s="1374"/>
      <c r="CB180" s="1374"/>
      <c r="CC180" s="1374"/>
      <c r="CD180" s="1374"/>
      <c r="CE180" s="1374"/>
      <c r="CF180" s="1374"/>
      <c r="CG180" s="1374"/>
      <c r="CH180" s="1374"/>
      <c r="CI180" s="1374"/>
      <c r="CJ180" s="1374"/>
      <c r="CK180" s="1374"/>
      <c r="CL180" s="1374"/>
      <c r="CM180" s="1374"/>
      <c r="CN180" s="1374"/>
      <c r="CO180" s="1374"/>
      <c r="CP180" s="1374"/>
      <c r="CQ180" s="1374"/>
      <c r="CR180" s="1374"/>
      <c r="CS180" s="1374"/>
      <c r="CT180" s="1374"/>
      <c r="CU180" s="1374"/>
      <c r="CV180" s="1374"/>
      <c r="CW180" s="1374"/>
      <c r="CX180" s="1374"/>
      <c r="CY180" s="1374"/>
      <c r="CZ180" s="1374"/>
      <c r="DA180" s="1374"/>
      <c r="DB180" s="1374"/>
      <c r="DC180" s="1374"/>
      <c r="DD180" s="1374"/>
      <c r="DE180" s="1374"/>
      <c r="DF180" s="1374"/>
      <c r="DG180" s="1374"/>
      <c r="DH180" s="1374"/>
      <c r="DI180" s="1374"/>
      <c r="DJ180" s="1374"/>
      <c r="DK180" s="1374"/>
      <c r="DL180" s="1374"/>
      <c r="DM180" s="1374"/>
      <c r="DN180" s="1374"/>
      <c r="DO180" s="1374"/>
      <c r="DP180" s="1374"/>
      <c r="DQ180" s="1374"/>
      <c r="DR180" s="1374"/>
      <c r="DS180" s="1374"/>
      <c r="DT180" s="1374"/>
      <c r="DU180" s="1374"/>
      <c r="DV180" s="1374"/>
      <c r="DW180" s="1374"/>
      <c r="DX180" s="1374"/>
      <c r="DY180" s="1374"/>
      <c r="DZ180" s="1374"/>
      <c r="EA180" s="1439"/>
    </row>
    <row r="181" spans="1:131" x14ac:dyDescent="0.3">
      <c r="A181" s="939" t="s">
        <v>218</v>
      </c>
      <c r="B181" s="606" t="s">
        <v>56</v>
      </c>
      <c r="C181" s="1398" t="s">
        <v>99</v>
      </c>
      <c r="D181" s="1398" t="s">
        <v>236</v>
      </c>
      <c r="E181" s="911"/>
      <c r="F181" s="1374"/>
      <c r="G181" s="1374"/>
      <c r="H181" s="1374"/>
      <c r="I181" s="1374"/>
      <c r="J181" s="1374"/>
      <c r="K181" s="1374"/>
      <c r="L181" s="1374"/>
      <c r="M181" s="1374"/>
      <c r="N181" s="1374"/>
      <c r="O181" s="1374"/>
      <c r="P181" s="1374"/>
      <c r="Q181" s="1374"/>
      <c r="R181" s="1374"/>
      <c r="S181" s="1374"/>
      <c r="T181" s="1374"/>
      <c r="U181" s="1374"/>
      <c r="V181" s="1374"/>
      <c r="W181" s="1374"/>
      <c r="X181" s="1374"/>
      <c r="Y181" s="1374"/>
      <c r="Z181" s="1374"/>
      <c r="AA181" s="1374"/>
      <c r="AB181" s="1374"/>
      <c r="AC181" s="1374"/>
      <c r="AD181" s="1374"/>
      <c r="AE181" s="1374"/>
      <c r="AF181" s="1374"/>
      <c r="AG181" s="1374"/>
      <c r="AH181" s="1374"/>
      <c r="AI181" s="1374"/>
      <c r="AJ181" s="1374"/>
      <c r="AK181" s="1374"/>
      <c r="AL181" s="1374"/>
      <c r="AM181" s="1374"/>
      <c r="AN181" s="1374"/>
      <c r="AO181" s="1374"/>
      <c r="AP181" s="1374"/>
      <c r="AQ181" s="1374"/>
      <c r="AR181" s="1374"/>
      <c r="AS181" s="1374"/>
      <c r="AT181" s="1374"/>
      <c r="AU181" s="1374"/>
      <c r="AV181" s="1374"/>
      <c r="AW181" s="1374"/>
      <c r="AX181" s="1374"/>
      <c r="AY181" s="1374"/>
      <c r="AZ181" s="1374"/>
      <c r="BA181" s="1374"/>
      <c r="BB181" s="1374"/>
      <c r="BC181" s="1374"/>
      <c r="BD181" s="1374"/>
      <c r="BE181" s="1374"/>
      <c r="BF181" s="1374"/>
      <c r="BG181" s="1374"/>
      <c r="BH181" s="1374"/>
      <c r="BI181" s="1374"/>
      <c r="BJ181" s="1374"/>
      <c r="BK181" s="1374"/>
      <c r="BL181" s="1374"/>
      <c r="BM181" s="1374"/>
      <c r="BN181" s="1374"/>
      <c r="BO181" s="1374"/>
      <c r="BP181" s="1374"/>
      <c r="BQ181" s="1374"/>
      <c r="BR181" s="1374"/>
      <c r="BS181" s="1374"/>
      <c r="BT181" s="1374"/>
      <c r="BU181" s="1374"/>
      <c r="BV181" s="1374"/>
      <c r="BW181" s="1374"/>
      <c r="BX181" s="1374"/>
      <c r="BY181" s="1374"/>
      <c r="BZ181" s="1374"/>
      <c r="CA181" s="1374"/>
      <c r="CB181" s="1374"/>
      <c r="CC181" s="1374"/>
      <c r="CD181" s="1374"/>
      <c r="CE181" s="1374"/>
      <c r="CF181" s="1374"/>
      <c r="CG181" s="1374"/>
      <c r="CH181" s="1374"/>
      <c r="CI181" s="1374"/>
      <c r="CJ181" s="1374"/>
      <c r="CK181" s="1374"/>
      <c r="CL181" s="1374"/>
      <c r="CM181" s="1374"/>
      <c r="CN181" s="1374"/>
      <c r="CO181" s="1374"/>
      <c r="CP181" s="1374"/>
      <c r="CQ181" s="1374"/>
      <c r="CR181" s="1374"/>
      <c r="CS181" s="1374"/>
      <c r="CT181" s="1374"/>
      <c r="CU181" s="1374"/>
      <c r="CV181" s="1374"/>
      <c r="CW181" s="1374"/>
      <c r="CX181" s="1374"/>
      <c r="CY181" s="1374"/>
      <c r="CZ181" s="1374"/>
      <c r="DA181" s="1374"/>
      <c r="DB181" s="1374"/>
      <c r="DC181" s="1374"/>
      <c r="DD181" s="1374"/>
      <c r="DE181" s="1374"/>
      <c r="DF181" s="1374"/>
      <c r="DG181" s="1374"/>
      <c r="DH181" s="1374"/>
      <c r="DI181" s="1374"/>
      <c r="DJ181" s="1374"/>
      <c r="DK181" s="1374"/>
      <c r="DL181" s="1374"/>
      <c r="DM181" s="1374"/>
      <c r="DN181" s="1374"/>
      <c r="DO181" s="1374"/>
      <c r="DP181" s="1374"/>
      <c r="DQ181" s="1374"/>
      <c r="DR181" s="1374"/>
      <c r="DS181" s="1374"/>
      <c r="DT181" s="1374"/>
      <c r="DU181" s="1374"/>
      <c r="DV181" s="1374"/>
      <c r="DW181" s="1374"/>
      <c r="DX181" s="1374"/>
      <c r="DY181" s="1374"/>
      <c r="DZ181" s="1374"/>
      <c r="EA181" s="1439"/>
    </row>
    <row r="182" spans="1:131" x14ac:dyDescent="0.3">
      <c r="A182" s="939" t="s">
        <v>212</v>
      </c>
      <c r="B182" s="606" t="s">
        <v>56</v>
      </c>
      <c r="C182" s="1398" t="s">
        <v>99</v>
      </c>
      <c r="D182" s="1398" t="s">
        <v>236</v>
      </c>
      <c r="E182" s="911"/>
      <c r="F182" s="1374"/>
      <c r="G182" s="1374"/>
      <c r="H182" s="1374"/>
      <c r="I182" s="1374"/>
      <c r="J182" s="1374"/>
      <c r="K182" s="1374"/>
      <c r="L182" s="1374"/>
      <c r="M182" s="1374"/>
      <c r="N182" s="1374"/>
      <c r="O182" s="1374"/>
      <c r="P182" s="1374"/>
      <c r="Q182" s="1374"/>
      <c r="R182" s="1374"/>
      <c r="S182" s="1374"/>
      <c r="T182" s="1374"/>
      <c r="U182" s="1374"/>
      <c r="V182" s="1374"/>
      <c r="W182" s="1374"/>
      <c r="X182" s="1374"/>
      <c r="Y182" s="1374"/>
      <c r="Z182" s="1374"/>
      <c r="AA182" s="1374"/>
      <c r="AB182" s="1374"/>
      <c r="AC182" s="1374"/>
      <c r="AD182" s="1374"/>
      <c r="AE182" s="1374"/>
      <c r="AF182" s="1374"/>
      <c r="AG182" s="1374"/>
      <c r="AH182" s="1374"/>
      <c r="AI182" s="1374"/>
      <c r="AJ182" s="1374"/>
      <c r="AK182" s="1374"/>
      <c r="AL182" s="1374"/>
      <c r="AM182" s="1374"/>
      <c r="AN182" s="1374"/>
      <c r="AO182" s="1374"/>
      <c r="AP182" s="1374"/>
      <c r="AQ182" s="1374"/>
      <c r="AR182" s="1374"/>
      <c r="AS182" s="1374"/>
      <c r="AT182" s="1374"/>
      <c r="AU182" s="1374"/>
      <c r="AV182" s="1374"/>
      <c r="AW182" s="1374"/>
      <c r="AX182" s="1374"/>
      <c r="AY182" s="1374"/>
      <c r="AZ182" s="1374"/>
      <c r="BA182" s="1374"/>
      <c r="BB182" s="1374"/>
      <c r="BC182" s="1374"/>
      <c r="BD182" s="1374"/>
      <c r="BE182" s="1374"/>
      <c r="BF182" s="1374"/>
      <c r="BG182" s="1374"/>
      <c r="BH182" s="1374"/>
      <c r="BI182" s="1374"/>
      <c r="BJ182" s="1374"/>
      <c r="BK182" s="1374"/>
      <c r="BL182" s="1374"/>
      <c r="BM182" s="1374"/>
      <c r="BN182" s="1374"/>
      <c r="BO182" s="1374"/>
      <c r="BP182" s="1374"/>
      <c r="BQ182" s="1374"/>
      <c r="BR182" s="1374"/>
      <c r="BS182" s="1374"/>
      <c r="BT182" s="1374"/>
      <c r="BU182" s="1374"/>
      <c r="BV182" s="1374"/>
      <c r="BW182" s="1374"/>
      <c r="BX182" s="1374"/>
      <c r="BY182" s="1374"/>
      <c r="BZ182" s="1374"/>
      <c r="CA182" s="1374"/>
      <c r="CB182" s="1374"/>
      <c r="CC182" s="1374"/>
      <c r="CD182" s="1374"/>
      <c r="CE182" s="1374"/>
      <c r="CF182" s="1374"/>
      <c r="CG182" s="1374"/>
      <c r="CH182" s="1374"/>
      <c r="CI182" s="1374"/>
      <c r="CJ182" s="1374"/>
      <c r="CK182" s="1374"/>
      <c r="CL182" s="1374"/>
      <c r="CM182" s="1374"/>
      <c r="CN182" s="1374"/>
      <c r="CO182" s="1374"/>
      <c r="CP182" s="1374"/>
      <c r="CQ182" s="1374"/>
      <c r="CR182" s="1374"/>
      <c r="CS182" s="1374"/>
      <c r="CT182" s="1374"/>
      <c r="CU182" s="1374"/>
      <c r="CV182" s="1374"/>
      <c r="CW182" s="1374"/>
      <c r="CX182" s="1374"/>
      <c r="CY182" s="1374"/>
      <c r="CZ182" s="1374"/>
      <c r="DA182" s="1374"/>
      <c r="DB182" s="1374"/>
      <c r="DC182" s="1374"/>
      <c r="DD182" s="1374"/>
      <c r="DE182" s="1374"/>
      <c r="DF182" s="1374"/>
      <c r="DG182" s="1374"/>
      <c r="DH182" s="1374"/>
      <c r="DI182" s="1374"/>
      <c r="DJ182" s="1374"/>
      <c r="DK182" s="1374"/>
      <c r="DL182" s="1374"/>
      <c r="DM182" s="1374"/>
      <c r="DN182" s="1374"/>
      <c r="DO182" s="1374"/>
      <c r="DP182" s="1374"/>
      <c r="DQ182" s="1374"/>
      <c r="DR182" s="1374"/>
      <c r="DS182" s="1374"/>
      <c r="DT182" s="1374"/>
      <c r="DU182" s="1374"/>
      <c r="DV182" s="1374"/>
      <c r="DW182" s="1374"/>
      <c r="DX182" s="1374"/>
      <c r="DY182" s="1374"/>
      <c r="DZ182" s="1374"/>
      <c r="EA182" s="1439"/>
    </row>
    <row r="183" spans="1:131" x14ac:dyDescent="0.3">
      <c r="A183" s="939" t="s">
        <v>209</v>
      </c>
      <c r="B183" s="606" t="s">
        <v>56</v>
      </c>
      <c r="C183" s="1398" t="s">
        <v>101</v>
      </c>
      <c r="D183" s="1398" t="s">
        <v>236</v>
      </c>
      <c r="E183" s="911"/>
      <c r="F183" s="1374"/>
      <c r="G183" s="1374"/>
      <c r="H183" s="1374"/>
      <c r="I183" s="1374"/>
      <c r="J183" s="1374"/>
      <c r="K183" s="1374"/>
      <c r="L183" s="1374"/>
      <c r="M183" s="1374"/>
      <c r="N183" s="1374"/>
      <c r="O183" s="1374"/>
      <c r="P183" s="1374"/>
      <c r="Q183" s="1374"/>
      <c r="R183" s="1374"/>
      <c r="S183" s="1374"/>
      <c r="T183" s="1374"/>
      <c r="U183" s="1374"/>
      <c r="V183" s="1374"/>
      <c r="W183" s="1374"/>
      <c r="X183" s="1374"/>
      <c r="Y183" s="1374"/>
      <c r="Z183" s="1374"/>
      <c r="AA183" s="1374"/>
      <c r="AB183" s="1374"/>
      <c r="AC183" s="1374"/>
      <c r="AD183" s="1374"/>
      <c r="AE183" s="1374"/>
      <c r="AF183" s="1374"/>
      <c r="AG183" s="1374"/>
      <c r="AH183" s="1374"/>
      <c r="AI183" s="1374"/>
      <c r="AJ183" s="1374"/>
      <c r="AK183" s="1374"/>
      <c r="AL183" s="1374"/>
      <c r="AM183" s="1374"/>
      <c r="AN183" s="1374"/>
      <c r="AO183" s="1374"/>
      <c r="AP183" s="1374"/>
      <c r="AQ183" s="1374"/>
      <c r="AR183" s="1374"/>
      <c r="AS183" s="1374"/>
      <c r="AT183" s="1374"/>
      <c r="AU183" s="1374"/>
      <c r="AV183" s="1374"/>
      <c r="AW183" s="1374"/>
      <c r="AX183" s="1374"/>
      <c r="AY183" s="1374"/>
      <c r="AZ183" s="1374"/>
      <c r="BA183" s="1374"/>
      <c r="BB183" s="1374"/>
      <c r="BC183" s="1374"/>
      <c r="BD183" s="1374"/>
      <c r="BE183" s="1374"/>
      <c r="BF183" s="1374"/>
      <c r="BG183" s="1374"/>
      <c r="BH183" s="1374"/>
      <c r="BI183" s="1374"/>
      <c r="BJ183" s="1374"/>
      <c r="BK183" s="1374"/>
      <c r="BL183" s="1374"/>
      <c r="BM183" s="1374"/>
      <c r="BN183" s="1374"/>
      <c r="BO183" s="1374"/>
      <c r="BP183" s="1374"/>
      <c r="BQ183" s="1374"/>
      <c r="BR183" s="1374"/>
      <c r="BS183" s="1374"/>
      <c r="BT183" s="1374"/>
      <c r="BU183" s="1374"/>
      <c r="BV183" s="1374"/>
      <c r="BW183" s="1374"/>
      <c r="BX183" s="1374"/>
      <c r="BY183" s="1374"/>
      <c r="BZ183" s="1374"/>
      <c r="CA183" s="1374"/>
      <c r="CB183" s="1374"/>
      <c r="CC183" s="1374"/>
      <c r="CD183" s="1374"/>
      <c r="CE183" s="1374"/>
      <c r="CF183" s="1374"/>
      <c r="CG183" s="1374"/>
      <c r="CH183" s="1374"/>
      <c r="CI183" s="1374"/>
      <c r="CJ183" s="1374"/>
      <c r="CK183" s="1374"/>
      <c r="CL183" s="1374"/>
      <c r="CM183" s="1374"/>
      <c r="CN183" s="1374"/>
      <c r="CO183" s="1374"/>
      <c r="CP183" s="1374"/>
      <c r="CQ183" s="1374"/>
      <c r="CR183" s="1374"/>
      <c r="CS183" s="1374"/>
      <c r="CT183" s="1374"/>
      <c r="CU183" s="1374"/>
      <c r="CV183" s="1374"/>
      <c r="CW183" s="1374"/>
      <c r="CX183" s="1374"/>
      <c r="CY183" s="1374"/>
      <c r="CZ183" s="1374"/>
      <c r="DA183" s="1374"/>
      <c r="DB183" s="1374"/>
      <c r="DC183" s="1374"/>
      <c r="DD183" s="1374"/>
      <c r="DE183" s="1374"/>
      <c r="DF183" s="1374"/>
      <c r="DG183" s="1374"/>
      <c r="DH183" s="1374"/>
      <c r="DI183" s="1374"/>
      <c r="DJ183" s="1374"/>
      <c r="DK183" s="1374"/>
      <c r="DL183" s="1374"/>
      <c r="DM183" s="1374"/>
      <c r="DN183" s="1374"/>
      <c r="DO183" s="1374"/>
      <c r="DP183" s="1374"/>
      <c r="DQ183" s="1374"/>
      <c r="DR183" s="1374"/>
      <c r="DS183" s="1374"/>
      <c r="DT183" s="1374"/>
      <c r="DU183" s="1374"/>
      <c r="DV183" s="1374"/>
      <c r="DW183" s="1374"/>
      <c r="DX183" s="1374"/>
      <c r="DY183" s="1374"/>
      <c r="DZ183" s="1374"/>
      <c r="EA183" s="1439"/>
    </row>
    <row r="184" spans="1:131" x14ac:dyDescent="0.3">
      <c r="A184" s="939" t="s">
        <v>243</v>
      </c>
      <c r="B184" s="606" t="s">
        <v>57</v>
      </c>
      <c r="C184" s="1398" t="s">
        <v>99</v>
      </c>
      <c r="D184" s="1398" t="s">
        <v>236</v>
      </c>
      <c r="E184" s="911"/>
      <c r="F184" s="1374"/>
      <c r="G184" s="1374"/>
      <c r="H184" s="1374"/>
      <c r="I184" s="1374"/>
      <c r="J184" s="1374"/>
      <c r="K184" s="1374"/>
      <c r="L184" s="1374"/>
      <c r="M184" s="1374"/>
      <c r="N184" s="1374"/>
      <c r="O184" s="1374"/>
      <c r="P184" s="1374"/>
      <c r="Q184" s="1374"/>
      <c r="R184" s="1374"/>
      <c r="S184" s="1374"/>
      <c r="T184" s="1374"/>
      <c r="U184" s="1374"/>
      <c r="V184" s="1374"/>
      <c r="W184" s="1374"/>
      <c r="X184" s="1374"/>
      <c r="Y184" s="1374"/>
      <c r="Z184" s="1374"/>
      <c r="AA184" s="1374"/>
      <c r="AB184" s="1374"/>
      <c r="AC184" s="1374"/>
      <c r="AD184" s="1374"/>
      <c r="AE184" s="1374"/>
      <c r="AF184" s="1374"/>
      <c r="AG184" s="1374"/>
      <c r="AH184" s="1374"/>
      <c r="AI184" s="1374"/>
      <c r="AJ184" s="1374"/>
      <c r="AK184" s="1374"/>
      <c r="AL184" s="1374"/>
      <c r="AM184" s="1374"/>
      <c r="AN184" s="1374"/>
      <c r="AO184" s="1374"/>
      <c r="AP184" s="1374"/>
      <c r="AQ184" s="1374"/>
      <c r="AR184" s="1374"/>
      <c r="AS184" s="1374"/>
      <c r="AT184" s="1374"/>
      <c r="AU184" s="1374"/>
      <c r="AV184" s="1374"/>
      <c r="AW184" s="1374"/>
      <c r="AX184" s="1374"/>
      <c r="AY184" s="1374"/>
      <c r="AZ184" s="1374"/>
      <c r="BA184" s="1374"/>
      <c r="BB184" s="1374"/>
      <c r="BC184" s="1374"/>
      <c r="BD184" s="1374"/>
      <c r="BE184" s="1374"/>
      <c r="BF184" s="1374"/>
      <c r="BG184" s="1374"/>
      <c r="BH184" s="1374"/>
      <c r="BI184" s="1374"/>
      <c r="BJ184" s="1374"/>
      <c r="BK184" s="1374"/>
      <c r="BL184" s="1374"/>
      <c r="BM184" s="1374"/>
      <c r="BN184" s="1374"/>
      <c r="BO184" s="1374"/>
      <c r="BP184" s="1374"/>
      <c r="BQ184" s="1374"/>
      <c r="BR184" s="1374"/>
      <c r="BS184" s="1374"/>
      <c r="BT184" s="1374"/>
      <c r="BU184" s="1374"/>
      <c r="BV184" s="1374"/>
      <c r="BW184" s="1374"/>
      <c r="BX184" s="1374"/>
      <c r="BY184" s="1374"/>
      <c r="BZ184" s="1374"/>
      <c r="CA184" s="1374"/>
      <c r="CB184" s="1374"/>
      <c r="CC184" s="1374"/>
      <c r="CD184" s="1374"/>
      <c r="CE184" s="1374"/>
      <c r="CF184" s="1374"/>
      <c r="CG184" s="1374"/>
      <c r="CH184" s="1374"/>
      <c r="CI184" s="1374"/>
      <c r="CJ184" s="1374"/>
      <c r="CK184" s="1374"/>
      <c r="CL184" s="1374"/>
      <c r="CM184" s="1374"/>
      <c r="CN184" s="1374"/>
      <c r="CO184" s="1374"/>
      <c r="CP184" s="1374"/>
      <c r="CQ184" s="1374"/>
      <c r="CR184" s="1374"/>
      <c r="CS184" s="1374"/>
      <c r="CT184" s="1374"/>
      <c r="CU184" s="1374"/>
      <c r="CV184" s="1374"/>
      <c r="CW184" s="1374"/>
      <c r="CX184" s="1374"/>
      <c r="CY184" s="1374"/>
      <c r="CZ184" s="1374"/>
      <c r="DA184" s="1374"/>
      <c r="DB184" s="1374"/>
      <c r="DC184" s="1374"/>
      <c r="DD184" s="1374"/>
      <c r="DE184" s="1374"/>
      <c r="DF184" s="1374"/>
      <c r="DG184" s="1374"/>
      <c r="DH184" s="1374"/>
      <c r="DI184" s="1374"/>
      <c r="DJ184" s="1374"/>
      <c r="DK184" s="1374"/>
      <c r="DL184" s="1374"/>
      <c r="DM184" s="1374"/>
      <c r="DN184" s="1374"/>
      <c r="DO184" s="1374"/>
      <c r="DP184" s="1374"/>
      <c r="DQ184" s="1374"/>
      <c r="DR184" s="1374"/>
      <c r="DS184" s="1374"/>
      <c r="DT184" s="1374"/>
      <c r="DU184" s="1374"/>
      <c r="DV184" s="1374"/>
      <c r="DW184" s="1374"/>
      <c r="DX184" s="1374"/>
      <c r="DY184" s="1374"/>
      <c r="DZ184" s="1374"/>
      <c r="EA184" s="1439"/>
    </row>
    <row r="185" spans="1:131" x14ac:dyDescent="0.3">
      <c r="A185" s="939" t="s">
        <v>229</v>
      </c>
      <c r="B185" s="606" t="s">
        <v>56</v>
      </c>
      <c r="C185" s="1398" t="s">
        <v>100</v>
      </c>
      <c r="D185" s="1398" t="s">
        <v>236</v>
      </c>
      <c r="E185" s="911"/>
      <c r="F185" s="1374"/>
      <c r="G185" s="1374"/>
      <c r="H185" s="1374"/>
      <c r="I185" s="1374"/>
      <c r="J185" s="1374"/>
      <c r="K185" s="1374"/>
      <c r="L185" s="1374"/>
      <c r="M185" s="1374"/>
      <c r="N185" s="1374"/>
      <c r="O185" s="1374"/>
      <c r="P185" s="1374"/>
      <c r="Q185" s="1374"/>
      <c r="R185" s="1374"/>
      <c r="S185" s="1374"/>
      <c r="T185" s="1374"/>
      <c r="U185" s="1374"/>
      <c r="V185" s="1374"/>
      <c r="W185" s="1374"/>
      <c r="X185" s="1374"/>
      <c r="Y185" s="1374"/>
      <c r="Z185" s="1374"/>
      <c r="AA185" s="1374"/>
      <c r="AB185" s="1374"/>
      <c r="AC185" s="1374"/>
      <c r="AD185" s="1374"/>
      <c r="AE185" s="1374"/>
      <c r="AF185" s="1374"/>
      <c r="AG185" s="1374"/>
      <c r="AH185" s="1374"/>
      <c r="AI185" s="1374"/>
      <c r="AJ185" s="1374"/>
      <c r="AK185" s="1374"/>
      <c r="AL185" s="1374"/>
      <c r="AM185" s="1374"/>
      <c r="AN185" s="1374"/>
      <c r="AO185" s="1374"/>
      <c r="AP185" s="1374"/>
      <c r="AQ185" s="1374"/>
      <c r="AR185" s="1374"/>
      <c r="AS185" s="1374"/>
      <c r="AT185" s="1374"/>
      <c r="AU185" s="1374"/>
      <c r="AV185" s="1374"/>
      <c r="AW185" s="1374"/>
      <c r="AX185" s="1374"/>
      <c r="AY185" s="1374"/>
      <c r="AZ185" s="1374"/>
      <c r="BA185" s="1374"/>
      <c r="BB185" s="1374"/>
      <c r="BC185" s="1374"/>
      <c r="BD185" s="1374"/>
      <c r="BE185" s="1374"/>
      <c r="BF185" s="1374"/>
      <c r="BG185" s="1374"/>
      <c r="BH185" s="1374"/>
      <c r="BI185" s="1374"/>
      <c r="BJ185" s="1374"/>
      <c r="BK185" s="1374"/>
      <c r="BL185" s="1374"/>
      <c r="BM185" s="1374"/>
      <c r="BN185" s="1374"/>
      <c r="BO185" s="1374"/>
      <c r="BP185" s="1374"/>
      <c r="BQ185" s="1374"/>
      <c r="BR185" s="1374"/>
      <c r="BS185" s="1374"/>
      <c r="BT185" s="1374"/>
      <c r="BU185" s="1374"/>
      <c r="BV185" s="1374"/>
      <c r="BW185" s="1374"/>
      <c r="BX185" s="1374"/>
      <c r="BY185" s="1374"/>
      <c r="BZ185" s="1374"/>
      <c r="CA185" s="1374"/>
      <c r="CB185" s="1374"/>
      <c r="CC185" s="1374"/>
      <c r="CD185" s="1374"/>
      <c r="CE185" s="1374"/>
      <c r="CF185" s="1374"/>
      <c r="CG185" s="1374"/>
      <c r="CH185" s="1374"/>
      <c r="CI185" s="1374"/>
      <c r="CJ185" s="1374"/>
      <c r="CK185" s="1374"/>
      <c r="CL185" s="1374"/>
      <c r="CM185" s="1374"/>
      <c r="CN185" s="1374"/>
      <c r="CO185" s="1374"/>
      <c r="CP185" s="1374"/>
      <c r="CQ185" s="1374"/>
      <c r="CR185" s="1374"/>
      <c r="CS185" s="1374"/>
      <c r="CT185" s="1374"/>
      <c r="CU185" s="1374"/>
      <c r="CV185" s="1374"/>
      <c r="CW185" s="1374"/>
      <c r="CX185" s="1374"/>
      <c r="CY185" s="1374"/>
      <c r="CZ185" s="1374"/>
      <c r="DA185" s="1374"/>
      <c r="DB185" s="1374"/>
      <c r="DC185" s="1374"/>
      <c r="DD185" s="1374"/>
      <c r="DE185" s="1374"/>
      <c r="DF185" s="1374"/>
      <c r="DG185" s="1374"/>
      <c r="DH185" s="1374"/>
      <c r="DI185" s="1374"/>
      <c r="DJ185" s="1374"/>
      <c r="DK185" s="1374"/>
      <c r="DL185" s="1374"/>
      <c r="DM185" s="1374"/>
      <c r="DN185" s="1374"/>
      <c r="DO185" s="1374"/>
      <c r="DP185" s="1374"/>
      <c r="DQ185" s="1374"/>
      <c r="DR185" s="1374"/>
      <c r="DS185" s="1374"/>
      <c r="DT185" s="1374"/>
      <c r="DU185" s="1374"/>
      <c r="DV185" s="1374"/>
      <c r="DW185" s="1374"/>
      <c r="DX185" s="1374"/>
      <c r="DY185" s="1374"/>
      <c r="DZ185" s="1374"/>
      <c r="EA185" s="1439"/>
    </row>
    <row r="186" spans="1:131" x14ac:dyDescent="0.3">
      <c r="A186" s="939" t="s">
        <v>215</v>
      </c>
      <c r="B186" s="606" t="s">
        <v>56</v>
      </c>
      <c r="C186" s="1398" t="s">
        <v>100</v>
      </c>
      <c r="D186" s="1398" t="s">
        <v>236</v>
      </c>
      <c r="E186" s="911"/>
      <c r="F186" s="1374"/>
      <c r="G186" s="1374"/>
      <c r="H186" s="1374"/>
      <c r="I186" s="1374"/>
      <c r="J186" s="1374"/>
      <c r="K186" s="1374"/>
      <c r="L186" s="1374"/>
      <c r="M186" s="1374"/>
      <c r="N186" s="1374"/>
      <c r="O186" s="1374"/>
      <c r="P186" s="1374"/>
      <c r="Q186" s="1374"/>
      <c r="R186" s="1374"/>
      <c r="S186" s="1374"/>
      <c r="T186" s="1374"/>
      <c r="U186" s="1374"/>
      <c r="V186" s="1374"/>
      <c r="W186" s="1374"/>
      <c r="X186" s="1374"/>
      <c r="Y186" s="1374"/>
      <c r="Z186" s="1374"/>
      <c r="AA186" s="1374"/>
      <c r="AB186" s="1374"/>
      <c r="AC186" s="1374"/>
      <c r="AD186" s="1374"/>
      <c r="AE186" s="1374"/>
      <c r="AF186" s="1374"/>
      <c r="AG186" s="1374"/>
      <c r="AH186" s="1374"/>
      <c r="AI186" s="1374"/>
      <c r="AJ186" s="1374"/>
      <c r="AK186" s="1374"/>
      <c r="AL186" s="1374"/>
      <c r="AM186" s="1374"/>
      <c r="AN186" s="1374"/>
      <c r="AO186" s="1374"/>
      <c r="AP186" s="1374"/>
      <c r="AQ186" s="1374"/>
      <c r="AR186" s="1374"/>
      <c r="AS186" s="1374"/>
      <c r="AT186" s="1374"/>
      <c r="AU186" s="1374"/>
      <c r="AV186" s="1374"/>
      <c r="AW186" s="1374"/>
      <c r="AX186" s="1374"/>
      <c r="AY186" s="1374"/>
      <c r="AZ186" s="1374"/>
      <c r="BA186" s="1374"/>
      <c r="BB186" s="1374"/>
      <c r="BC186" s="1374"/>
      <c r="BD186" s="1374"/>
      <c r="BE186" s="1374"/>
      <c r="BF186" s="1374"/>
      <c r="BG186" s="1374"/>
      <c r="BH186" s="1374"/>
      <c r="BI186" s="1374"/>
      <c r="BJ186" s="1374"/>
      <c r="BK186" s="1374"/>
      <c r="BL186" s="1374"/>
      <c r="BM186" s="1374"/>
      <c r="BN186" s="1374"/>
      <c r="BO186" s="1374"/>
      <c r="BP186" s="1374"/>
      <c r="BQ186" s="1374"/>
      <c r="BR186" s="1374"/>
      <c r="BS186" s="1374"/>
      <c r="BT186" s="1374"/>
      <c r="BU186" s="1374"/>
      <c r="BV186" s="1374"/>
      <c r="BW186" s="1374"/>
      <c r="BX186" s="1374"/>
      <c r="BY186" s="1374"/>
      <c r="BZ186" s="1374"/>
      <c r="CA186" s="1374"/>
      <c r="CB186" s="1374"/>
      <c r="CC186" s="1374"/>
      <c r="CD186" s="1374"/>
      <c r="CE186" s="1374"/>
      <c r="CF186" s="1374"/>
      <c r="CG186" s="1374"/>
      <c r="CH186" s="1374"/>
      <c r="CI186" s="1374"/>
      <c r="CJ186" s="1374"/>
      <c r="CK186" s="1374"/>
      <c r="CL186" s="1374"/>
      <c r="CM186" s="1374"/>
      <c r="CN186" s="1374"/>
      <c r="CO186" s="1374"/>
      <c r="CP186" s="1374"/>
      <c r="CQ186" s="1374"/>
      <c r="CR186" s="1374"/>
      <c r="CS186" s="1374"/>
      <c r="CT186" s="1374"/>
      <c r="CU186" s="1374"/>
      <c r="CV186" s="1374"/>
      <c r="CW186" s="1374"/>
      <c r="CX186" s="1374"/>
      <c r="CY186" s="1374"/>
      <c r="CZ186" s="1374"/>
      <c r="DA186" s="1374"/>
      <c r="DB186" s="1374"/>
      <c r="DC186" s="1374"/>
      <c r="DD186" s="1374"/>
      <c r="DE186" s="1374"/>
      <c r="DF186" s="1374"/>
      <c r="DG186" s="1374"/>
      <c r="DH186" s="1374"/>
      <c r="DI186" s="1374"/>
      <c r="DJ186" s="1374"/>
      <c r="DK186" s="1374"/>
      <c r="DL186" s="1374"/>
      <c r="DM186" s="1374"/>
      <c r="DN186" s="1374"/>
      <c r="DO186" s="1374"/>
      <c r="DP186" s="1374"/>
      <c r="DQ186" s="1374"/>
      <c r="DR186" s="1374"/>
      <c r="DS186" s="1374"/>
      <c r="DT186" s="1374"/>
      <c r="DU186" s="1374"/>
      <c r="DV186" s="1374"/>
      <c r="DW186" s="1374"/>
      <c r="DX186" s="1374"/>
      <c r="DY186" s="1374"/>
      <c r="DZ186" s="1374"/>
      <c r="EA186" s="1439"/>
    </row>
    <row r="187" spans="1:131" x14ac:dyDescent="0.3">
      <c r="A187" s="939" t="s">
        <v>211</v>
      </c>
      <c r="B187" s="606" t="s">
        <v>56</v>
      </c>
      <c r="C187" s="1398" t="s">
        <v>99</v>
      </c>
      <c r="D187" s="1398" t="s">
        <v>236</v>
      </c>
      <c r="E187" s="911"/>
      <c r="F187" s="1374"/>
      <c r="G187" s="1374"/>
      <c r="H187" s="1374"/>
      <c r="I187" s="1374"/>
      <c r="J187" s="1374"/>
      <c r="K187" s="1374"/>
      <c r="L187" s="1374"/>
      <c r="M187" s="1374"/>
      <c r="N187" s="1374"/>
      <c r="O187" s="1374"/>
      <c r="P187" s="1374"/>
      <c r="Q187" s="1374"/>
      <c r="R187" s="1374"/>
      <c r="S187" s="1374"/>
      <c r="T187" s="1374"/>
      <c r="U187" s="1374"/>
      <c r="V187" s="1374"/>
      <c r="W187" s="1374"/>
      <c r="X187" s="1374"/>
      <c r="Y187" s="1374"/>
      <c r="Z187" s="1374"/>
      <c r="AA187" s="1374"/>
      <c r="AB187" s="1374"/>
      <c r="AC187" s="1374"/>
      <c r="AD187" s="1374"/>
      <c r="AE187" s="1374"/>
      <c r="AF187" s="1374"/>
      <c r="AG187" s="1374"/>
      <c r="AH187" s="1374"/>
      <c r="AI187" s="1374"/>
      <c r="AJ187" s="1374"/>
      <c r="AK187" s="1374"/>
      <c r="AL187" s="1374"/>
      <c r="AM187" s="1374"/>
      <c r="AN187" s="1374"/>
      <c r="AO187" s="1374"/>
      <c r="AP187" s="1374"/>
      <c r="AQ187" s="1374"/>
      <c r="AR187" s="1374"/>
      <c r="AS187" s="1374"/>
      <c r="AT187" s="1374"/>
      <c r="AU187" s="1374"/>
      <c r="AV187" s="1374"/>
      <c r="AW187" s="1374"/>
      <c r="AX187" s="1374"/>
      <c r="AY187" s="1374"/>
      <c r="AZ187" s="1374"/>
      <c r="BA187" s="1374"/>
      <c r="BB187" s="1374"/>
      <c r="BC187" s="1374"/>
      <c r="BD187" s="1374"/>
      <c r="BE187" s="1374"/>
      <c r="BF187" s="1374"/>
      <c r="BG187" s="1374"/>
      <c r="BH187" s="1374"/>
      <c r="BI187" s="1374"/>
      <c r="BJ187" s="1374"/>
      <c r="BK187" s="1374"/>
      <c r="BL187" s="1374"/>
      <c r="BM187" s="1374"/>
      <c r="BN187" s="1374"/>
      <c r="BO187" s="1374"/>
      <c r="BP187" s="1374"/>
      <c r="BQ187" s="1374"/>
      <c r="BR187" s="1374"/>
      <c r="BS187" s="1374"/>
      <c r="BT187" s="1374"/>
      <c r="BU187" s="1374"/>
      <c r="BV187" s="1374"/>
      <c r="BW187" s="1374"/>
      <c r="BX187" s="1374"/>
      <c r="BY187" s="1374"/>
      <c r="BZ187" s="1374"/>
      <c r="CA187" s="1374"/>
      <c r="CB187" s="1374"/>
      <c r="CC187" s="1374"/>
      <c r="CD187" s="1374"/>
      <c r="CE187" s="1374"/>
      <c r="CF187" s="1374"/>
      <c r="CG187" s="1374"/>
      <c r="CH187" s="1374"/>
      <c r="CI187" s="1374"/>
      <c r="CJ187" s="1374"/>
      <c r="CK187" s="1374"/>
      <c r="CL187" s="1374"/>
      <c r="CM187" s="1374"/>
      <c r="CN187" s="1374"/>
      <c r="CO187" s="1374"/>
      <c r="CP187" s="1374"/>
      <c r="CQ187" s="1374"/>
      <c r="CR187" s="1374"/>
      <c r="CS187" s="1374"/>
      <c r="CT187" s="1374"/>
      <c r="CU187" s="1374"/>
      <c r="CV187" s="1374"/>
      <c r="CW187" s="1374"/>
      <c r="CX187" s="1374"/>
      <c r="CY187" s="1374"/>
      <c r="CZ187" s="1374"/>
      <c r="DA187" s="1374"/>
      <c r="DB187" s="1374"/>
      <c r="DC187" s="1374"/>
      <c r="DD187" s="1374"/>
      <c r="DE187" s="1374"/>
      <c r="DF187" s="1374"/>
      <c r="DG187" s="1374"/>
      <c r="DH187" s="1374"/>
      <c r="DI187" s="1374"/>
      <c r="DJ187" s="1374"/>
      <c r="DK187" s="1374"/>
      <c r="DL187" s="1374"/>
      <c r="DM187" s="1374"/>
      <c r="DN187" s="1374"/>
      <c r="DO187" s="1374"/>
      <c r="DP187" s="1374"/>
      <c r="DQ187" s="1374"/>
      <c r="DR187" s="1374"/>
      <c r="DS187" s="1374"/>
      <c r="DT187" s="1374"/>
      <c r="DU187" s="1374"/>
      <c r="DV187" s="1374"/>
      <c r="DW187" s="1374"/>
      <c r="DX187" s="1374"/>
      <c r="DY187" s="1374"/>
      <c r="DZ187" s="1374"/>
      <c r="EA187" s="1439"/>
    </row>
    <row r="188" spans="1:131" x14ac:dyDescent="0.3">
      <c r="A188" s="939" t="s">
        <v>206</v>
      </c>
      <c r="B188" s="606" t="s">
        <v>56</v>
      </c>
      <c r="C188" s="1398" t="s">
        <v>99</v>
      </c>
      <c r="D188" s="1398" t="s">
        <v>236</v>
      </c>
      <c r="E188" s="911"/>
      <c r="F188" s="1374"/>
      <c r="G188" s="1374"/>
      <c r="H188" s="1374"/>
      <c r="I188" s="1374"/>
      <c r="J188" s="1374"/>
      <c r="K188" s="1374"/>
      <c r="L188" s="1374"/>
      <c r="M188" s="1374"/>
      <c r="N188" s="1374"/>
      <c r="O188" s="1374"/>
      <c r="P188" s="1374"/>
      <c r="Q188" s="1374"/>
      <c r="R188" s="1374"/>
      <c r="S188" s="1374"/>
      <c r="T188" s="1374"/>
      <c r="U188" s="1374"/>
      <c r="V188" s="1374"/>
      <c r="W188" s="1374"/>
      <c r="X188" s="1374"/>
      <c r="Y188" s="1374"/>
      <c r="Z188" s="1374"/>
      <c r="AA188" s="1374"/>
      <c r="AB188" s="1374"/>
      <c r="AC188" s="1374"/>
      <c r="AD188" s="1374"/>
      <c r="AE188" s="1374"/>
      <c r="AF188" s="1374"/>
      <c r="AG188" s="1374"/>
      <c r="AH188" s="1374"/>
      <c r="AI188" s="1374"/>
      <c r="AJ188" s="1374"/>
      <c r="AK188" s="1374"/>
      <c r="AL188" s="1374"/>
      <c r="AM188" s="1374"/>
      <c r="AN188" s="1374"/>
      <c r="AO188" s="1374"/>
      <c r="AP188" s="1374"/>
      <c r="AQ188" s="1374"/>
      <c r="AR188" s="1374"/>
      <c r="AS188" s="1374"/>
      <c r="AT188" s="1374"/>
      <c r="AU188" s="1374"/>
      <c r="AV188" s="1374"/>
      <c r="AW188" s="1374"/>
      <c r="AX188" s="1374"/>
      <c r="AY188" s="1374"/>
      <c r="AZ188" s="1374"/>
      <c r="BA188" s="1374"/>
      <c r="BB188" s="1374"/>
      <c r="BC188" s="1374"/>
      <c r="BD188" s="1374"/>
      <c r="BE188" s="1374"/>
      <c r="BF188" s="1374"/>
      <c r="BG188" s="1374"/>
      <c r="BH188" s="1374"/>
      <c r="BI188" s="1374"/>
      <c r="BJ188" s="1374"/>
      <c r="BK188" s="1374"/>
      <c r="BL188" s="1374"/>
      <c r="BM188" s="1374"/>
      <c r="BN188" s="1374"/>
      <c r="BO188" s="1374"/>
      <c r="BP188" s="1374"/>
      <c r="BQ188" s="1374"/>
      <c r="BR188" s="1374"/>
      <c r="BS188" s="1374"/>
      <c r="BT188" s="1374"/>
      <c r="BU188" s="1374"/>
      <c r="BV188" s="1374"/>
      <c r="BW188" s="1374"/>
      <c r="BX188" s="1374"/>
      <c r="BY188" s="1374"/>
      <c r="BZ188" s="1374"/>
      <c r="CA188" s="1374"/>
      <c r="CB188" s="1374"/>
      <c r="CC188" s="1374"/>
      <c r="CD188" s="1374"/>
      <c r="CE188" s="1374"/>
      <c r="CF188" s="1374"/>
      <c r="CG188" s="1374"/>
      <c r="CH188" s="1374"/>
      <c r="CI188" s="1374"/>
      <c r="CJ188" s="1374"/>
      <c r="CK188" s="1374"/>
      <c r="CL188" s="1374"/>
      <c r="CM188" s="1374"/>
      <c r="CN188" s="1374"/>
      <c r="CO188" s="1374"/>
      <c r="CP188" s="1374"/>
      <c r="CQ188" s="1374"/>
      <c r="CR188" s="1374"/>
      <c r="CS188" s="1374"/>
      <c r="CT188" s="1374"/>
      <c r="CU188" s="1374"/>
      <c r="CV188" s="1374"/>
      <c r="CW188" s="1374"/>
      <c r="CX188" s="1374"/>
      <c r="CY188" s="1374"/>
      <c r="CZ188" s="1374"/>
      <c r="DA188" s="1374"/>
      <c r="DB188" s="1374"/>
      <c r="DC188" s="1374"/>
      <c r="DD188" s="1374"/>
      <c r="DE188" s="1374"/>
      <c r="DF188" s="1374"/>
      <c r="DG188" s="1374"/>
      <c r="DH188" s="1374"/>
      <c r="DI188" s="1374"/>
      <c r="DJ188" s="1374"/>
      <c r="DK188" s="1374"/>
      <c r="DL188" s="1374"/>
      <c r="DM188" s="1374"/>
      <c r="DN188" s="1374"/>
      <c r="DO188" s="1374"/>
      <c r="DP188" s="1374"/>
      <c r="DQ188" s="1374"/>
      <c r="DR188" s="1374"/>
      <c r="DS188" s="1374"/>
      <c r="DT188" s="1374"/>
      <c r="DU188" s="1374"/>
      <c r="DV188" s="1374"/>
      <c r="DW188" s="1374"/>
      <c r="DX188" s="1374"/>
      <c r="DY188" s="1374"/>
      <c r="DZ188" s="1374"/>
      <c r="EA188" s="1439"/>
    </row>
    <row r="189" spans="1:131" x14ac:dyDescent="0.3">
      <c r="A189" s="939" t="s">
        <v>217</v>
      </c>
      <c r="B189" s="606" t="s">
        <v>56</v>
      </c>
      <c r="C189" s="1398" t="s">
        <v>99</v>
      </c>
      <c r="D189" s="1398" t="s">
        <v>236</v>
      </c>
      <c r="E189" s="911"/>
      <c r="F189" s="1374"/>
      <c r="G189" s="1374"/>
      <c r="H189" s="1374"/>
      <c r="I189" s="1374"/>
      <c r="J189" s="1374"/>
      <c r="K189" s="1374"/>
      <c r="L189" s="1374"/>
      <c r="M189" s="1374"/>
      <c r="N189" s="1374"/>
      <c r="O189" s="1374"/>
      <c r="P189" s="1374"/>
      <c r="Q189" s="1374"/>
      <c r="R189" s="1374"/>
      <c r="S189" s="1374"/>
      <c r="T189" s="1374"/>
      <c r="U189" s="1374"/>
      <c r="V189" s="1374"/>
      <c r="W189" s="1374"/>
      <c r="X189" s="1374"/>
      <c r="Y189" s="1374"/>
      <c r="Z189" s="1374"/>
      <c r="AA189" s="1374"/>
      <c r="AB189" s="1374"/>
      <c r="AC189" s="1374"/>
      <c r="AD189" s="1374"/>
      <c r="AE189" s="1374"/>
      <c r="AF189" s="1374"/>
      <c r="AG189" s="1374"/>
      <c r="AH189" s="1374"/>
      <c r="AI189" s="1374"/>
      <c r="AJ189" s="1374"/>
      <c r="AK189" s="1374"/>
      <c r="AL189" s="1374"/>
      <c r="AM189" s="1374"/>
      <c r="AN189" s="1374"/>
      <c r="AO189" s="1374"/>
      <c r="AP189" s="1374"/>
      <c r="AQ189" s="1374"/>
      <c r="AR189" s="1374"/>
      <c r="AS189" s="1374"/>
      <c r="AT189" s="1374"/>
      <c r="AU189" s="1374"/>
      <c r="AV189" s="1374"/>
      <c r="AW189" s="1374"/>
      <c r="AX189" s="1374"/>
      <c r="AY189" s="1374"/>
      <c r="AZ189" s="1374"/>
      <c r="BA189" s="1374"/>
      <c r="BB189" s="1374"/>
      <c r="BC189" s="1374"/>
      <c r="BD189" s="1374"/>
      <c r="BE189" s="1374"/>
      <c r="BF189" s="1374"/>
      <c r="BG189" s="1374"/>
      <c r="BH189" s="1374"/>
      <c r="BI189" s="1374"/>
      <c r="BJ189" s="1374"/>
      <c r="BK189" s="1374"/>
      <c r="BL189" s="1374"/>
      <c r="BM189" s="1374"/>
      <c r="BN189" s="1374"/>
      <c r="BO189" s="1374"/>
      <c r="BP189" s="1374"/>
      <c r="BQ189" s="1374"/>
      <c r="BR189" s="1374"/>
      <c r="BS189" s="1374"/>
      <c r="BT189" s="1374"/>
      <c r="BU189" s="1374"/>
      <c r="BV189" s="1374"/>
      <c r="BW189" s="1374"/>
      <c r="BX189" s="1374"/>
      <c r="BY189" s="1374"/>
      <c r="BZ189" s="1374"/>
      <c r="CA189" s="1374"/>
      <c r="CB189" s="1374"/>
      <c r="CC189" s="1374"/>
      <c r="CD189" s="1374"/>
      <c r="CE189" s="1374"/>
      <c r="CF189" s="1374"/>
      <c r="CG189" s="1374"/>
      <c r="CH189" s="1374"/>
      <c r="CI189" s="1374"/>
      <c r="CJ189" s="1374"/>
      <c r="CK189" s="1374"/>
      <c r="CL189" s="1374"/>
      <c r="CM189" s="1374"/>
      <c r="CN189" s="1374"/>
      <c r="CO189" s="1374"/>
      <c r="CP189" s="1374"/>
      <c r="CQ189" s="1374"/>
      <c r="CR189" s="1374"/>
      <c r="CS189" s="1374"/>
      <c r="CT189" s="1374"/>
      <c r="CU189" s="1374"/>
      <c r="CV189" s="1374"/>
      <c r="CW189" s="1374"/>
      <c r="CX189" s="1374"/>
      <c r="CY189" s="1374"/>
      <c r="CZ189" s="1374"/>
      <c r="DA189" s="1374"/>
      <c r="DB189" s="1374"/>
      <c r="DC189" s="1374"/>
      <c r="DD189" s="1374"/>
      <c r="DE189" s="1374"/>
      <c r="DF189" s="1374"/>
      <c r="DG189" s="1374"/>
      <c r="DH189" s="1374"/>
      <c r="DI189" s="1374"/>
      <c r="DJ189" s="1374"/>
      <c r="DK189" s="1374"/>
      <c r="DL189" s="1374"/>
      <c r="DM189" s="1374"/>
      <c r="DN189" s="1374"/>
      <c r="DO189" s="1374"/>
      <c r="DP189" s="1374"/>
      <c r="DQ189" s="1374"/>
      <c r="DR189" s="1374"/>
      <c r="DS189" s="1374"/>
      <c r="DT189" s="1374"/>
      <c r="DU189" s="1374"/>
      <c r="DV189" s="1374"/>
      <c r="DW189" s="1374"/>
      <c r="DX189" s="1374"/>
      <c r="DY189" s="1374"/>
      <c r="DZ189" s="1374"/>
      <c r="EA189" s="1439"/>
    </row>
    <row r="190" spans="1:131" x14ac:dyDescent="0.3">
      <c r="A190" s="939" t="s">
        <v>227</v>
      </c>
      <c r="B190" s="606" t="s">
        <v>56</v>
      </c>
      <c r="C190" s="1398" t="s">
        <v>100</v>
      </c>
      <c r="D190" s="1398" t="s">
        <v>236</v>
      </c>
      <c r="E190" s="911"/>
      <c r="F190" s="1374"/>
      <c r="G190" s="1374"/>
      <c r="H190" s="1374"/>
      <c r="I190" s="1374"/>
      <c r="J190" s="1374"/>
      <c r="K190" s="1374"/>
      <c r="L190" s="1374"/>
      <c r="M190" s="1374"/>
      <c r="N190" s="1374"/>
      <c r="O190" s="1374"/>
      <c r="P190" s="1374"/>
      <c r="Q190" s="1374"/>
      <c r="R190" s="1374"/>
      <c r="S190" s="1374"/>
      <c r="T190" s="1374"/>
      <c r="U190" s="1374"/>
      <c r="V190" s="1374"/>
      <c r="W190" s="1374"/>
      <c r="X190" s="1374"/>
      <c r="Y190" s="1374"/>
      <c r="Z190" s="1374"/>
      <c r="AA190" s="1374"/>
      <c r="AB190" s="1374"/>
      <c r="AC190" s="1374"/>
      <c r="AD190" s="1374"/>
      <c r="AE190" s="1374"/>
      <c r="AF190" s="1374"/>
      <c r="AG190" s="1374"/>
      <c r="AH190" s="1374"/>
      <c r="AI190" s="1374"/>
      <c r="AJ190" s="1374"/>
      <c r="AK190" s="1374"/>
      <c r="AL190" s="1374"/>
      <c r="AM190" s="1374"/>
      <c r="AN190" s="1374"/>
      <c r="AO190" s="1374"/>
      <c r="AP190" s="1374"/>
      <c r="AQ190" s="1374"/>
      <c r="AR190" s="1374"/>
      <c r="AS190" s="1374"/>
      <c r="AT190" s="1374"/>
      <c r="AU190" s="1374"/>
      <c r="AV190" s="1374"/>
      <c r="AW190" s="1374"/>
      <c r="AX190" s="1374"/>
      <c r="AY190" s="1374"/>
      <c r="AZ190" s="1374"/>
      <c r="BA190" s="1374"/>
      <c r="BB190" s="1374"/>
      <c r="BC190" s="1374"/>
      <c r="BD190" s="1374"/>
      <c r="BE190" s="1374"/>
      <c r="BF190" s="1374"/>
      <c r="BG190" s="1374"/>
      <c r="BH190" s="1374"/>
      <c r="BI190" s="1374"/>
      <c r="BJ190" s="1374"/>
      <c r="BK190" s="1374"/>
      <c r="BL190" s="1374"/>
      <c r="BM190" s="1374"/>
      <c r="BN190" s="1374"/>
      <c r="BO190" s="1374"/>
      <c r="BP190" s="1374"/>
      <c r="BQ190" s="1374"/>
      <c r="BR190" s="1374"/>
      <c r="BS190" s="1374"/>
      <c r="BT190" s="1374"/>
      <c r="BU190" s="1374"/>
      <c r="BV190" s="1374"/>
      <c r="BW190" s="1374"/>
      <c r="BX190" s="1374"/>
      <c r="BY190" s="1374"/>
      <c r="BZ190" s="1374"/>
      <c r="CA190" s="1374"/>
      <c r="CB190" s="1374"/>
      <c r="CC190" s="1374"/>
      <c r="CD190" s="1374"/>
      <c r="CE190" s="1374"/>
      <c r="CF190" s="1374"/>
      <c r="CG190" s="1374"/>
      <c r="CH190" s="1374"/>
      <c r="CI190" s="1374"/>
      <c r="CJ190" s="1374"/>
      <c r="CK190" s="1374"/>
      <c r="CL190" s="1374"/>
      <c r="CM190" s="1374"/>
      <c r="CN190" s="1374"/>
      <c r="CO190" s="1374"/>
      <c r="CP190" s="1374"/>
      <c r="CQ190" s="1374"/>
      <c r="CR190" s="1374"/>
      <c r="CS190" s="1374"/>
      <c r="CT190" s="1374"/>
      <c r="CU190" s="1374"/>
      <c r="CV190" s="1374"/>
      <c r="CW190" s="1374"/>
      <c r="CX190" s="1374"/>
      <c r="CY190" s="1374"/>
      <c r="CZ190" s="1374"/>
      <c r="DA190" s="1374"/>
      <c r="DB190" s="1374"/>
      <c r="DC190" s="1374"/>
      <c r="DD190" s="1374"/>
      <c r="DE190" s="1374"/>
      <c r="DF190" s="1374"/>
      <c r="DG190" s="1374"/>
      <c r="DH190" s="1374"/>
      <c r="DI190" s="1374"/>
      <c r="DJ190" s="1374"/>
      <c r="DK190" s="1374"/>
      <c r="DL190" s="1374"/>
      <c r="DM190" s="1374"/>
      <c r="DN190" s="1374"/>
      <c r="DO190" s="1374"/>
      <c r="DP190" s="1374"/>
      <c r="DQ190" s="1374"/>
      <c r="DR190" s="1374"/>
      <c r="DS190" s="1374"/>
      <c r="DT190" s="1374"/>
      <c r="DU190" s="1374"/>
      <c r="DV190" s="1374"/>
      <c r="DW190" s="1374"/>
      <c r="DX190" s="1374"/>
      <c r="DY190" s="1374"/>
      <c r="DZ190" s="1374"/>
      <c r="EA190" s="1439"/>
    </row>
    <row r="191" spans="1:131" x14ac:dyDescent="0.3">
      <c r="A191" s="939" t="s">
        <v>225</v>
      </c>
      <c r="B191" s="606" t="s">
        <v>56</v>
      </c>
      <c r="C191" s="1398" t="s">
        <v>99</v>
      </c>
      <c r="D191" s="1398" t="s">
        <v>236</v>
      </c>
      <c r="E191" s="911"/>
      <c r="F191" s="1374"/>
      <c r="G191" s="1374"/>
      <c r="H191" s="1374"/>
      <c r="I191" s="1374"/>
      <c r="J191" s="1374"/>
      <c r="K191" s="1374"/>
      <c r="L191" s="1374"/>
      <c r="M191" s="1374"/>
      <c r="N191" s="1374"/>
      <c r="O191" s="1374"/>
      <c r="P191" s="1374"/>
      <c r="Q191" s="1374"/>
      <c r="R191" s="1374"/>
      <c r="S191" s="1374"/>
      <c r="T191" s="1374"/>
      <c r="U191" s="1374"/>
      <c r="V191" s="1374"/>
      <c r="W191" s="1374"/>
      <c r="X191" s="1374"/>
      <c r="Y191" s="1374"/>
      <c r="Z191" s="1374"/>
      <c r="AA191" s="1374"/>
      <c r="AB191" s="1374"/>
      <c r="AC191" s="1374"/>
      <c r="AD191" s="1374"/>
      <c r="AE191" s="1374"/>
      <c r="AF191" s="1374"/>
      <c r="AG191" s="1374"/>
      <c r="AH191" s="1374"/>
      <c r="AI191" s="1374"/>
      <c r="AJ191" s="1374"/>
      <c r="AK191" s="1374"/>
      <c r="AL191" s="1374"/>
      <c r="AM191" s="1374"/>
      <c r="AN191" s="1374"/>
      <c r="AO191" s="1374"/>
      <c r="AP191" s="1374"/>
      <c r="AQ191" s="1374"/>
      <c r="AR191" s="1374"/>
      <c r="AS191" s="1374"/>
      <c r="AT191" s="1374"/>
      <c r="AU191" s="1374"/>
      <c r="AV191" s="1374"/>
      <c r="AW191" s="1374"/>
      <c r="AX191" s="1374"/>
      <c r="AY191" s="1374"/>
      <c r="AZ191" s="1374"/>
      <c r="BA191" s="1374"/>
      <c r="BB191" s="1374"/>
      <c r="BC191" s="1374"/>
      <c r="BD191" s="1374"/>
      <c r="BE191" s="1374"/>
      <c r="BF191" s="1374"/>
      <c r="BG191" s="1374"/>
      <c r="BH191" s="1374"/>
      <c r="BI191" s="1374"/>
      <c r="BJ191" s="1374"/>
      <c r="BK191" s="1374"/>
      <c r="BL191" s="1374"/>
      <c r="BM191" s="1374"/>
      <c r="BN191" s="1374"/>
      <c r="BO191" s="1374"/>
      <c r="BP191" s="1374"/>
      <c r="BQ191" s="1374"/>
      <c r="BR191" s="1374"/>
      <c r="BS191" s="1374"/>
      <c r="BT191" s="1374"/>
      <c r="BU191" s="1374"/>
      <c r="BV191" s="1374"/>
      <c r="BW191" s="1374"/>
      <c r="BX191" s="1374"/>
      <c r="BY191" s="1374"/>
      <c r="BZ191" s="1374"/>
      <c r="CA191" s="1374"/>
      <c r="CB191" s="1374"/>
      <c r="CC191" s="1374"/>
      <c r="CD191" s="1374"/>
      <c r="CE191" s="1374"/>
      <c r="CF191" s="1374"/>
      <c r="CG191" s="1374"/>
      <c r="CH191" s="1374"/>
      <c r="CI191" s="1374"/>
      <c r="CJ191" s="1374"/>
      <c r="CK191" s="1374"/>
      <c r="CL191" s="1374"/>
      <c r="CM191" s="1374"/>
      <c r="CN191" s="1374"/>
      <c r="CO191" s="1374"/>
      <c r="CP191" s="1374"/>
      <c r="CQ191" s="1374"/>
      <c r="CR191" s="1374"/>
      <c r="CS191" s="1374"/>
      <c r="CT191" s="1374"/>
      <c r="CU191" s="1374"/>
      <c r="CV191" s="1374"/>
      <c r="CW191" s="1374"/>
      <c r="CX191" s="1374"/>
      <c r="CY191" s="1374"/>
      <c r="CZ191" s="1374"/>
      <c r="DA191" s="1374"/>
      <c r="DB191" s="1374"/>
      <c r="DC191" s="1374"/>
      <c r="DD191" s="1374"/>
      <c r="DE191" s="1374"/>
      <c r="DF191" s="1374"/>
      <c r="DG191" s="1374"/>
      <c r="DH191" s="1374"/>
      <c r="DI191" s="1374"/>
      <c r="DJ191" s="1374"/>
      <c r="DK191" s="1374"/>
      <c r="DL191" s="1374"/>
      <c r="DM191" s="1374"/>
      <c r="DN191" s="1374"/>
      <c r="DO191" s="1374"/>
      <c r="DP191" s="1374"/>
      <c r="DQ191" s="1374"/>
      <c r="DR191" s="1374"/>
      <c r="DS191" s="1374"/>
      <c r="DT191" s="1374"/>
      <c r="DU191" s="1374"/>
      <c r="DV191" s="1374"/>
      <c r="DW191" s="1374"/>
      <c r="DX191" s="1374"/>
      <c r="DY191" s="1374"/>
      <c r="DZ191" s="1374"/>
      <c r="EA191" s="1439"/>
    </row>
    <row r="192" spans="1:131" x14ac:dyDescent="0.3">
      <c r="A192" s="939" t="s">
        <v>222</v>
      </c>
      <c r="B192" s="606" t="s">
        <v>56</v>
      </c>
      <c r="C192" s="1398" t="s">
        <v>100</v>
      </c>
      <c r="D192" s="1398" t="s">
        <v>236</v>
      </c>
      <c r="E192" s="911"/>
      <c r="F192" s="1374"/>
      <c r="G192" s="1374"/>
      <c r="H192" s="1374"/>
      <c r="I192" s="1374"/>
      <c r="J192" s="1374"/>
      <c r="K192" s="1374"/>
      <c r="L192" s="1374"/>
      <c r="M192" s="1374"/>
      <c r="N192" s="1374"/>
      <c r="O192" s="1374"/>
      <c r="P192" s="1374"/>
      <c r="Q192" s="1374"/>
      <c r="R192" s="1374"/>
      <c r="S192" s="1374"/>
      <c r="T192" s="1374"/>
      <c r="U192" s="1374"/>
      <c r="V192" s="1374"/>
      <c r="W192" s="1374"/>
      <c r="X192" s="1374"/>
      <c r="Y192" s="1374"/>
      <c r="Z192" s="1374"/>
      <c r="AA192" s="1374"/>
      <c r="AB192" s="1374"/>
      <c r="AC192" s="1374"/>
      <c r="AD192" s="1374"/>
      <c r="AE192" s="1374"/>
      <c r="AF192" s="1374"/>
      <c r="AG192" s="1374"/>
      <c r="AH192" s="1374"/>
      <c r="AI192" s="1374"/>
      <c r="AJ192" s="1374"/>
      <c r="AK192" s="1374"/>
      <c r="AL192" s="1374"/>
      <c r="AM192" s="1374"/>
      <c r="AN192" s="1374"/>
      <c r="AO192" s="1374"/>
      <c r="AP192" s="1374"/>
      <c r="AQ192" s="1374"/>
      <c r="AR192" s="1374"/>
      <c r="AS192" s="1374"/>
      <c r="AT192" s="1374"/>
      <c r="AU192" s="1374"/>
      <c r="AV192" s="1374"/>
      <c r="AW192" s="1374"/>
      <c r="AX192" s="1374"/>
      <c r="AY192" s="1374"/>
      <c r="AZ192" s="1374"/>
      <c r="BA192" s="1374"/>
      <c r="BB192" s="1374"/>
      <c r="BC192" s="1374"/>
      <c r="BD192" s="1374"/>
      <c r="BE192" s="1374"/>
      <c r="BF192" s="1374"/>
      <c r="BG192" s="1374"/>
      <c r="BH192" s="1374"/>
      <c r="BI192" s="1374"/>
      <c r="BJ192" s="1374"/>
      <c r="BK192" s="1374"/>
      <c r="BL192" s="1374"/>
      <c r="BM192" s="1374"/>
      <c r="BN192" s="1374"/>
      <c r="BO192" s="1374"/>
      <c r="BP192" s="1374"/>
      <c r="BQ192" s="1374"/>
      <c r="BR192" s="1374"/>
      <c r="BS192" s="1374"/>
      <c r="BT192" s="1374"/>
      <c r="BU192" s="1374"/>
      <c r="BV192" s="1374"/>
      <c r="BW192" s="1374"/>
      <c r="BX192" s="1374"/>
      <c r="BY192" s="1374"/>
      <c r="BZ192" s="1374"/>
      <c r="CA192" s="1374"/>
      <c r="CB192" s="1374"/>
      <c r="CC192" s="1374"/>
      <c r="CD192" s="1374"/>
      <c r="CE192" s="1374"/>
      <c r="CF192" s="1374"/>
      <c r="CG192" s="1374"/>
      <c r="CH192" s="1374"/>
      <c r="CI192" s="1374"/>
      <c r="CJ192" s="1374"/>
      <c r="CK192" s="1374"/>
      <c r="CL192" s="1374"/>
      <c r="CM192" s="1374"/>
      <c r="CN192" s="1374"/>
      <c r="CO192" s="1374"/>
      <c r="CP192" s="1374"/>
      <c r="CQ192" s="1374"/>
      <c r="CR192" s="1374"/>
      <c r="CS192" s="1374"/>
      <c r="CT192" s="1374"/>
      <c r="CU192" s="1374"/>
      <c r="CV192" s="1374"/>
      <c r="CW192" s="1374"/>
      <c r="CX192" s="1374"/>
      <c r="CY192" s="1374"/>
      <c r="CZ192" s="1374"/>
      <c r="DA192" s="1374"/>
      <c r="DB192" s="1374"/>
      <c r="DC192" s="1374"/>
      <c r="DD192" s="1374"/>
      <c r="DE192" s="1374"/>
      <c r="DF192" s="1374"/>
      <c r="DG192" s="1374"/>
      <c r="DH192" s="1374"/>
      <c r="DI192" s="1374"/>
      <c r="DJ192" s="1374"/>
      <c r="DK192" s="1374"/>
      <c r="DL192" s="1374"/>
      <c r="DM192" s="1374"/>
      <c r="DN192" s="1374"/>
      <c r="DO192" s="1374"/>
      <c r="DP192" s="1374"/>
      <c r="DQ192" s="1374"/>
      <c r="DR192" s="1374"/>
      <c r="DS192" s="1374"/>
      <c r="DT192" s="1374"/>
      <c r="DU192" s="1374"/>
      <c r="DV192" s="1374"/>
      <c r="DW192" s="1374"/>
      <c r="DX192" s="1374"/>
      <c r="DY192" s="1374"/>
      <c r="DZ192" s="1374"/>
      <c r="EA192" s="1439"/>
    </row>
    <row r="193" spans="1:131" x14ac:dyDescent="0.3">
      <c r="A193" s="939" t="s">
        <v>213</v>
      </c>
      <c r="B193" s="606" t="s">
        <v>56</v>
      </c>
      <c r="C193" s="1398" t="s">
        <v>99</v>
      </c>
      <c r="D193" s="1398" t="s">
        <v>236</v>
      </c>
      <c r="E193" s="911"/>
      <c r="F193" s="1374"/>
      <c r="G193" s="1374"/>
      <c r="H193" s="1374"/>
      <c r="I193" s="1374"/>
      <c r="J193" s="1374"/>
      <c r="K193" s="1374"/>
      <c r="L193" s="1374"/>
      <c r="M193" s="1374"/>
      <c r="N193" s="1374"/>
      <c r="O193" s="1374"/>
      <c r="P193" s="1374"/>
      <c r="Q193" s="1374"/>
      <c r="R193" s="1374"/>
      <c r="S193" s="1374"/>
      <c r="T193" s="1374"/>
      <c r="U193" s="1374"/>
      <c r="V193" s="1374"/>
      <c r="W193" s="1374"/>
      <c r="X193" s="1374"/>
      <c r="Y193" s="1374"/>
      <c r="Z193" s="1374"/>
      <c r="AA193" s="1374"/>
      <c r="AB193" s="1374"/>
      <c r="AC193" s="1374"/>
      <c r="AD193" s="1374"/>
      <c r="AE193" s="1374"/>
      <c r="AF193" s="1374"/>
      <c r="AG193" s="1374"/>
      <c r="AH193" s="1374"/>
      <c r="AI193" s="1374"/>
      <c r="AJ193" s="1374"/>
      <c r="AK193" s="1374"/>
      <c r="AL193" s="1374"/>
      <c r="AM193" s="1374"/>
      <c r="AN193" s="1374"/>
      <c r="AO193" s="1374"/>
      <c r="AP193" s="1374"/>
      <c r="AQ193" s="1374"/>
      <c r="AR193" s="1374"/>
      <c r="AS193" s="1374"/>
      <c r="AT193" s="1374"/>
      <c r="AU193" s="1374"/>
      <c r="AV193" s="1374"/>
      <c r="AW193" s="1374"/>
      <c r="AX193" s="1374"/>
      <c r="AY193" s="1374"/>
      <c r="AZ193" s="1374"/>
      <c r="BA193" s="1374"/>
      <c r="BB193" s="1374"/>
      <c r="BC193" s="1374"/>
      <c r="BD193" s="1374"/>
      <c r="BE193" s="1374"/>
      <c r="BF193" s="1374"/>
      <c r="BG193" s="1374"/>
      <c r="BH193" s="1374"/>
      <c r="BI193" s="1374"/>
      <c r="BJ193" s="1374"/>
      <c r="BK193" s="1374"/>
      <c r="BL193" s="1374"/>
      <c r="BM193" s="1374"/>
      <c r="BN193" s="1374"/>
      <c r="BO193" s="1374"/>
      <c r="BP193" s="1374"/>
      <c r="BQ193" s="1374"/>
      <c r="BR193" s="1374"/>
      <c r="BS193" s="1374"/>
      <c r="BT193" s="1374"/>
      <c r="BU193" s="1374"/>
      <c r="BV193" s="1374"/>
      <c r="BW193" s="1374"/>
      <c r="BX193" s="1374"/>
      <c r="BY193" s="1374"/>
      <c r="BZ193" s="1374"/>
      <c r="CA193" s="1374"/>
      <c r="CB193" s="1374"/>
      <c r="CC193" s="1374"/>
      <c r="CD193" s="1374"/>
      <c r="CE193" s="1374"/>
      <c r="CF193" s="1374"/>
      <c r="CG193" s="1374"/>
      <c r="CH193" s="1374"/>
      <c r="CI193" s="1374"/>
      <c r="CJ193" s="1374"/>
      <c r="CK193" s="1374"/>
      <c r="CL193" s="1374"/>
      <c r="CM193" s="1374"/>
      <c r="CN193" s="1374"/>
      <c r="CO193" s="1374"/>
      <c r="CP193" s="1374"/>
      <c r="CQ193" s="1374"/>
      <c r="CR193" s="1374"/>
      <c r="CS193" s="1374"/>
      <c r="CT193" s="1374"/>
      <c r="CU193" s="1374"/>
      <c r="CV193" s="1374"/>
      <c r="CW193" s="1374"/>
      <c r="CX193" s="1374"/>
      <c r="CY193" s="1374"/>
      <c r="CZ193" s="1374"/>
      <c r="DA193" s="1374"/>
      <c r="DB193" s="1374"/>
      <c r="DC193" s="1374"/>
      <c r="DD193" s="1374"/>
      <c r="DE193" s="1374"/>
      <c r="DF193" s="1374"/>
      <c r="DG193" s="1374"/>
      <c r="DH193" s="1374"/>
      <c r="DI193" s="1374"/>
      <c r="DJ193" s="1374"/>
      <c r="DK193" s="1374"/>
      <c r="DL193" s="1374"/>
      <c r="DM193" s="1374"/>
      <c r="DN193" s="1374"/>
      <c r="DO193" s="1374"/>
      <c r="DP193" s="1374"/>
      <c r="DQ193" s="1374"/>
      <c r="DR193" s="1374"/>
      <c r="DS193" s="1374"/>
      <c r="DT193" s="1374"/>
      <c r="DU193" s="1374"/>
      <c r="DV193" s="1374"/>
      <c r="DW193" s="1374"/>
      <c r="DX193" s="1374"/>
      <c r="DY193" s="1374"/>
      <c r="DZ193" s="1374"/>
      <c r="EA193" s="1439"/>
    </row>
    <row r="194" spans="1:131" x14ac:dyDescent="0.3">
      <c r="A194" s="939" t="s">
        <v>205</v>
      </c>
      <c r="B194" s="606" t="s">
        <v>57</v>
      </c>
      <c r="C194" s="1398" t="s">
        <v>99</v>
      </c>
      <c r="D194" s="1398" t="s">
        <v>236</v>
      </c>
      <c r="E194" s="911"/>
      <c r="F194" s="1374"/>
      <c r="G194" s="1374"/>
      <c r="H194" s="1374"/>
      <c r="I194" s="1374"/>
      <c r="J194" s="1374"/>
      <c r="K194" s="1374"/>
      <c r="L194" s="1374"/>
      <c r="M194" s="1374"/>
      <c r="N194" s="1374"/>
      <c r="O194" s="1374"/>
      <c r="P194" s="1374"/>
      <c r="Q194" s="1374"/>
      <c r="R194" s="1374"/>
      <c r="S194" s="1374"/>
      <c r="T194" s="1374"/>
      <c r="U194" s="1374"/>
      <c r="V194" s="1374"/>
      <c r="W194" s="1374"/>
      <c r="X194" s="1374"/>
      <c r="Y194" s="1374"/>
      <c r="Z194" s="1374"/>
      <c r="AA194" s="1374"/>
      <c r="AB194" s="1374"/>
      <c r="AC194" s="1374"/>
      <c r="AD194" s="1374"/>
      <c r="AE194" s="1374"/>
      <c r="AF194" s="1374"/>
      <c r="AG194" s="1374"/>
      <c r="AH194" s="1374"/>
      <c r="AI194" s="1374"/>
      <c r="AJ194" s="1374"/>
      <c r="AK194" s="1374"/>
      <c r="AL194" s="1374"/>
      <c r="AM194" s="1374"/>
      <c r="AN194" s="1374"/>
      <c r="AO194" s="1374"/>
      <c r="AP194" s="1374"/>
      <c r="AQ194" s="1374"/>
      <c r="AR194" s="1374"/>
      <c r="AS194" s="1374"/>
      <c r="AT194" s="1374"/>
      <c r="AU194" s="1374"/>
      <c r="AV194" s="1374"/>
      <c r="AW194" s="1374"/>
      <c r="AX194" s="1374"/>
      <c r="AY194" s="1374"/>
      <c r="AZ194" s="1374"/>
      <c r="BA194" s="1374"/>
      <c r="BB194" s="1374"/>
      <c r="BC194" s="1374"/>
      <c r="BD194" s="1374"/>
      <c r="BE194" s="1374"/>
      <c r="BF194" s="1374"/>
      <c r="BG194" s="1374"/>
      <c r="BH194" s="1374"/>
      <c r="BI194" s="1374"/>
      <c r="BJ194" s="1374"/>
      <c r="BK194" s="1374"/>
      <c r="BL194" s="1374"/>
      <c r="BM194" s="1374"/>
      <c r="BN194" s="1374"/>
      <c r="BO194" s="1374"/>
      <c r="BP194" s="1374"/>
      <c r="BQ194" s="1374"/>
      <c r="BR194" s="1374"/>
      <c r="BS194" s="1374"/>
      <c r="BT194" s="1374"/>
      <c r="BU194" s="1374"/>
      <c r="BV194" s="1374"/>
      <c r="BW194" s="1374"/>
      <c r="BX194" s="1374"/>
      <c r="BY194" s="1374"/>
      <c r="BZ194" s="1374"/>
      <c r="CA194" s="1374"/>
      <c r="CB194" s="1374"/>
      <c r="CC194" s="1374"/>
      <c r="CD194" s="1374"/>
      <c r="CE194" s="1374"/>
      <c r="CF194" s="1374"/>
      <c r="CG194" s="1374"/>
      <c r="CH194" s="1374"/>
      <c r="CI194" s="1374"/>
      <c r="CJ194" s="1374"/>
      <c r="CK194" s="1374"/>
      <c r="CL194" s="1374"/>
      <c r="CM194" s="1374"/>
      <c r="CN194" s="1374"/>
      <c r="CO194" s="1374"/>
      <c r="CP194" s="1374"/>
      <c r="CQ194" s="1374"/>
      <c r="CR194" s="1374"/>
      <c r="CS194" s="1374"/>
      <c r="CT194" s="1374"/>
      <c r="CU194" s="1374"/>
      <c r="CV194" s="1374"/>
      <c r="CW194" s="1374"/>
      <c r="CX194" s="1374"/>
      <c r="CY194" s="1374"/>
      <c r="CZ194" s="1374"/>
      <c r="DA194" s="1374"/>
      <c r="DB194" s="1374"/>
      <c r="DC194" s="1374"/>
      <c r="DD194" s="1374"/>
      <c r="DE194" s="1374"/>
      <c r="DF194" s="1374"/>
      <c r="DG194" s="1374"/>
      <c r="DH194" s="1374"/>
      <c r="DI194" s="1374"/>
      <c r="DJ194" s="1374"/>
      <c r="DK194" s="1374"/>
      <c r="DL194" s="1374"/>
      <c r="DM194" s="1374"/>
      <c r="DN194" s="1374"/>
      <c r="DO194" s="1374"/>
      <c r="DP194" s="1374"/>
      <c r="DQ194" s="1374"/>
      <c r="DR194" s="1374"/>
      <c r="DS194" s="1374"/>
      <c r="DT194" s="1374"/>
      <c r="DU194" s="1374"/>
      <c r="DV194" s="1374"/>
      <c r="DW194" s="1374"/>
      <c r="DX194" s="1374"/>
      <c r="DY194" s="1374"/>
      <c r="DZ194" s="1374"/>
      <c r="EA194" s="1439"/>
    </row>
    <row r="195" spans="1:131" x14ac:dyDescent="0.3">
      <c r="A195" s="941"/>
      <c r="B195" s="922"/>
      <c r="C195" s="923"/>
      <c r="D195" s="923"/>
      <c r="E195" s="919"/>
      <c r="F195" s="1374"/>
      <c r="G195" s="1374"/>
      <c r="H195" s="1374"/>
      <c r="I195" s="1374"/>
      <c r="J195" s="1374"/>
      <c r="K195" s="1374"/>
      <c r="L195" s="1374"/>
      <c r="M195" s="1374"/>
      <c r="N195" s="1374"/>
      <c r="O195" s="1374"/>
      <c r="P195" s="1374"/>
      <c r="Q195" s="1374"/>
      <c r="R195" s="1374"/>
      <c r="S195" s="1374"/>
      <c r="T195" s="1374"/>
      <c r="U195" s="1374"/>
      <c r="V195" s="1374"/>
      <c r="W195" s="1374"/>
      <c r="X195" s="1374"/>
      <c r="Y195" s="1374"/>
      <c r="Z195" s="1374"/>
      <c r="AA195" s="1374"/>
      <c r="AB195" s="1374"/>
      <c r="AC195" s="1374"/>
      <c r="AD195" s="1374"/>
      <c r="AE195" s="1374"/>
      <c r="AF195" s="1374"/>
      <c r="AG195" s="1374"/>
      <c r="AH195" s="1374"/>
      <c r="AI195" s="1374"/>
      <c r="AJ195" s="1374"/>
      <c r="AK195" s="1374"/>
      <c r="AL195" s="1374"/>
      <c r="AM195" s="1374"/>
      <c r="AN195" s="1374"/>
      <c r="AO195" s="1374"/>
      <c r="AP195" s="1374"/>
      <c r="AQ195" s="1374"/>
      <c r="AR195" s="1374"/>
      <c r="AS195" s="1374"/>
      <c r="AT195" s="1374"/>
      <c r="AU195" s="1374"/>
      <c r="AV195" s="1374"/>
      <c r="AW195" s="1374"/>
      <c r="AX195" s="1374"/>
      <c r="AY195" s="1374"/>
      <c r="AZ195" s="1374"/>
      <c r="BA195" s="1374"/>
      <c r="BB195" s="1374"/>
      <c r="BC195" s="1374"/>
      <c r="BD195" s="1374"/>
      <c r="BE195" s="1374"/>
      <c r="BF195" s="1374"/>
      <c r="BG195" s="1374"/>
      <c r="BH195" s="1374"/>
      <c r="BI195" s="1374"/>
      <c r="BJ195" s="1374"/>
      <c r="BK195" s="1374"/>
      <c r="BL195" s="1374"/>
      <c r="BM195" s="1374"/>
      <c r="BN195" s="1374"/>
      <c r="BO195" s="1374"/>
      <c r="BP195" s="1374"/>
      <c r="BQ195" s="1374"/>
      <c r="BR195" s="1374"/>
      <c r="BS195" s="1374"/>
      <c r="BT195" s="1374"/>
      <c r="BU195" s="1374"/>
      <c r="BV195" s="1374"/>
      <c r="BW195" s="1374"/>
      <c r="BX195" s="1374"/>
      <c r="BY195" s="1374"/>
      <c r="BZ195" s="1374"/>
      <c r="CA195" s="1374"/>
      <c r="CB195" s="1374"/>
      <c r="CC195" s="1374"/>
      <c r="CD195" s="1374"/>
      <c r="CE195" s="1374"/>
      <c r="CF195" s="1374"/>
      <c r="CG195" s="1374"/>
      <c r="CH195" s="1374"/>
      <c r="CI195" s="1374"/>
      <c r="CJ195" s="1374"/>
      <c r="CK195" s="1374"/>
      <c r="CL195" s="1374"/>
      <c r="CM195" s="1374"/>
      <c r="CN195" s="1374"/>
      <c r="CO195" s="1374"/>
      <c r="CP195" s="1374"/>
      <c r="CQ195" s="1374"/>
      <c r="CR195" s="1374"/>
      <c r="CS195" s="1374"/>
      <c r="CT195" s="1374"/>
      <c r="CU195" s="1374"/>
      <c r="CV195" s="1374"/>
      <c r="CW195" s="1374"/>
      <c r="CX195" s="1374"/>
      <c r="CY195" s="1374"/>
      <c r="CZ195" s="1374"/>
      <c r="DA195" s="1374"/>
      <c r="DB195" s="1374"/>
      <c r="DC195" s="1374"/>
      <c r="DD195" s="1374"/>
      <c r="DE195" s="1374"/>
      <c r="DF195" s="1374"/>
      <c r="DG195" s="1374"/>
      <c r="DH195" s="1374"/>
      <c r="DI195" s="1374"/>
      <c r="DJ195" s="1374"/>
      <c r="DK195" s="1374"/>
      <c r="DL195" s="1374"/>
      <c r="DM195" s="1374"/>
      <c r="DN195" s="1374"/>
      <c r="DO195" s="1374"/>
      <c r="DP195" s="1374"/>
      <c r="DQ195" s="1374"/>
      <c r="DR195" s="1374"/>
      <c r="DS195" s="1374"/>
      <c r="DT195" s="1374"/>
      <c r="DU195" s="1374"/>
      <c r="DV195" s="1374"/>
      <c r="DW195" s="1374"/>
      <c r="DX195" s="1374"/>
      <c r="DY195" s="1374"/>
      <c r="DZ195" s="1374"/>
      <c r="EA195" s="1439"/>
    </row>
    <row r="196" spans="1:131" x14ac:dyDescent="0.3">
      <c r="A196" s="942"/>
      <c r="B196" s="700"/>
      <c r="C196" s="696"/>
      <c r="D196" s="696"/>
      <c r="E196" s="1374"/>
      <c r="F196" s="1374"/>
      <c r="G196" s="1374"/>
      <c r="H196" s="1374"/>
      <c r="I196" s="1374"/>
      <c r="J196" s="1374"/>
      <c r="K196" s="1374"/>
      <c r="L196" s="1374"/>
      <c r="M196" s="1374"/>
      <c r="N196" s="1374"/>
      <c r="O196" s="1374"/>
      <c r="P196" s="1374"/>
      <c r="Q196" s="1374"/>
      <c r="R196" s="1374"/>
      <c r="S196" s="1374"/>
      <c r="T196" s="1374"/>
      <c r="U196" s="1374"/>
      <c r="V196" s="1374"/>
      <c r="W196" s="1374"/>
      <c r="X196" s="1374"/>
      <c r="Y196" s="1374"/>
      <c r="Z196" s="1374"/>
      <c r="AA196" s="1374"/>
      <c r="AB196" s="1374"/>
      <c r="AC196" s="1374"/>
      <c r="AD196" s="1374"/>
      <c r="AE196" s="1374"/>
      <c r="AF196" s="1374"/>
      <c r="AG196" s="1374"/>
      <c r="AH196" s="1374"/>
      <c r="AI196" s="1374"/>
      <c r="AJ196" s="1374"/>
      <c r="AK196" s="1374"/>
      <c r="AL196" s="1374"/>
      <c r="AM196" s="1374"/>
      <c r="AN196" s="1374"/>
      <c r="AO196" s="1374"/>
      <c r="AP196" s="1374"/>
      <c r="AQ196" s="1374"/>
      <c r="AR196" s="1374"/>
      <c r="AS196" s="1374"/>
      <c r="AT196" s="1374"/>
      <c r="AU196" s="1374"/>
      <c r="AV196" s="1374"/>
      <c r="AW196" s="1374"/>
      <c r="AX196" s="1374"/>
      <c r="AY196" s="1374"/>
      <c r="AZ196" s="1374"/>
      <c r="BA196" s="1374"/>
      <c r="BB196" s="1374"/>
      <c r="BC196" s="1374"/>
      <c r="BD196" s="1374"/>
      <c r="BE196" s="1374"/>
      <c r="BF196" s="1374"/>
      <c r="BG196" s="1374"/>
      <c r="BH196" s="1374"/>
      <c r="BI196" s="1374"/>
      <c r="BJ196" s="1374"/>
      <c r="BK196" s="1374"/>
      <c r="BL196" s="1374"/>
      <c r="BM196" s="1374"/>
      <c r="BN196" s="1374"/>
      <c r="BO196" s="1374"/>
      <c r="BP196" s="1374"/>
      <c r="BQ196" s="1374"/>
      <c r="BR196" s="1374"/>
      <c r="BS196" s="1374"/>
      <c r="BT196" s="1374"/>
      <c r="BU196" s="1374"/>
      <c r="BV196" s="1374"/>
      <c r="BW196" s="1374"/>
      <c r="BX196" s="1374"/>
      <c r="BY196" s="1374"/>
      <c r="BZ196" s="1374"/>
      <c r="CA196" s="1374"/>
      <c r="CB196" s="1374"/>
      <c r="CC196" s="1374"/>
      <c r="CD196" s="1374"/>
      <c r="CE196" s="1374"/>
      <c r="CF196" s="1374"/>
      <c r="CG196" s="1374"/>
      <c r="CH196" s="1374"/>
      <c r="CI196" s="1374"/>
      <c r="CJ196" s="1374"/>
      <c r="CK196" s="1374"/>
      <c r="CL196" s="1374"/>
      <c r="CM196" s="1374"/>
      <c r="CN196" s="1374"/>
      <c r="CO196" s="1374"/>
      <c r="CP196" s="1374"/>
      <c r="CQ196" s="1374"/>
      <c r="CR196" s="1374"/>
      <c r="CS196" s="1374"/>
      <c r="CT196" s="1374"/>
      <c r="CU196" s="1374"/>
      <c r="CV196" s="1374"/>
      <c r="CW196" s="1374"/>
      <c r="CX196" s="1374"/>
      <c r="CY196" s="1374"/>
      <c r="CZ196" s="1374"/>
      <c r="DA196" s="1374"/>
      <c r="DB196" s="1374"/>
      <c r="DC196" s="1374"/>
      <c r="DD196" s="1374"/>
      <c r="DE196" s="1374"/>
      <c r="DF196" s="1374"/>
      <c r="DG196" s="1374"/>
      <c r="DH196" s="1374"/>
      <c r="DI196" s="1374"/>
      <c r="DJ196" s="1374"/>
      <c r="DK196" s="1374"/>
      <c r="DL196" s="1374"/>
      <c r="DM196" s="1374"/>
      <c r="DN196" s="1374"/>
      <c r="DO196" s="1374"/>
      <c r="DP196" s="1374"/>
      <c r="DQ196" s="1374"/>
      <c r="DR196" s="1374"/>
      <c r="DS196" s="1374"/>
      <c r="DT196" s="1374"/>
      <c r="DU196" s="1374"/>
      <c r="DV196" s="1374"/>
      <c r="DW196" s="1374"/>
      <c r="DX196" s="1374"/>
      <c r="DY196" s="1374"/>
      <c r="DZ196" s="1374"/>
      <c r="EA196" s="1439"/>
    </row>
    <row r="197" spans="1:131" x14ac:dyDescent="0.3">
      <c r="A197" s="942"/>
      <c r="B197" s="700"/>
      <c r="C197" s="696"/>
      <c r="D197" s="696"/>
      <c r="E197" s="1374"/>
      <c r="F197" s="1374"/>
      <c r="G197" s="1374"/>
      <c r="H197" s="1374"/>
      <c r="I197" s="1374"/>
      <c r="J197" s="1374"/>
      <c r="K197" s="1374"/>
      <c r="L197" s="1374"/>
      <c r="M197" s="1374"/>
      <c r="N197" s="1374"/>
      <c r="O197" s="1374"/>
      <c r="P197" s="1374"/>
      <c r="Q197" s="1374"/>
      <c r="R197" s="1374"/>
      <c r="S197" s="1374"/>
      <c r="T197" s="1374"/>
      <c r="U197" s="1374"/>
      <c r="V197" s="1374"/>
      <c r="W197" s="1374"/>
      <c r="X197" s="1374"/>
      <c r="Y197" s="1374"/>
      <c r="Z197" s="1374"/>
      <c r="AA197" s="1374"/>
      <c r="AB197" s="1374"/>
      <c r="AC197" s="1374"/>
      <c r="AD197" s="1374"/>
      <c r="AE197" s="1374"/>
      <c r="AF197" s="1374"/>
      <c r="AG197" s="1374"/>
      <c r="AH197" s="1374"/>
      <c r="AI197" s="1374"/>
      <c r="AJ197" s="1374"/>
      <c r="AK197" s="1374"/>
      <c r="AL197" s="1374"/>
      <c r="AM197" s="1374"/>
      <c r="AN197" s="1374"/>
      <c r="AO197" s="1374"/>
      <c r="AP197" s="1374"/>
      <c r="AQ197" s="1374"/>
      <c r="AR197" s="1374"/>
      <c r="AS197" s="1374"/>
      <c r="AT197" s="1374"/>
      <c r="AU197" s="1374"/>
      <c r="AV197" s="1374"/>
      <c r="AW197" s="1374"/>
      <c r="AX197" s="1374"/>
      <c r="AY197" s="1374"/>
      <c r="AZ197" s="1374"/>
      <c r="BA197" s="1374"/>
      <c r="BB197" s="1374"/>
      <c r="BC197" s="1374"/>
      <c r="BD197" s="1374"/>
      <c r="BE197" s="1374"/>
      <c r="BF197" s="1374"/>
      <c r="BG197" s="1374"/>
      <c r="BH197" s="1374"/>
      <c r="BI197" s="1374"/>
      <c r="BJ197" s="1374"/>
      <c r="BK197" s="1374"/>
      <c r="BL197" s="1374"/>
      <c r="BM197" s="1374"/>
      <c r="BN197" s="1374"/>
      <c r="BO197" s="1374"/>
      <c r="BP197" s="1374"/>
      <c r="BQ197" s="1374"/>
      <c r="BR197" s="1374"/>
      <c r="BS197" s="1374"/>
      <c r="BT197" s="1374"/>
      <c r="BU197" s="1374"/>
      <c r="BV197" s="1374"/>
      <c r="BW197" s="1374"/>
      <c r="BX197" s="1374"/>
      <c r="BY197" s="1374"/>
      <c r="BZ197" s="1374"/>
      <c r="CA197" s="1374"/>
      <c r="CB197" s="1374"/>
      <c r="CC197" s="1374"/>
      <c r="CD197" s="1374"/>
      <c r="CE197" s="1374"/>
      <c r="CF197" s="1374"/>
      <c r="CG197" s="1374"/>
      <c r="CH197" s="1374"/>
      <c r="CI197" s="1374"/>
      <c r="CJ197" s="1374"/>
      <c r="CK197" s="1374"/>
      <c r="CL197" s="1374"/>
      <c r="CM197" s="1374"/>
      <c r="CN197" s="1374"/>
      <c r="CO197" s="1374"/>
      <c r="CP197" s="1374"/>
      <c r="CQ197" s="1374"/>
      <c r="CR197" s="1374"/>
      <c r="CS197" s="1374"/>
      <c r="CT197" s="1374"/>
      <c r="CU197" s="1374"/>
      <c r="CV197" s="1374"/>
      <c r="CW197" s="1374"/>
      <c r="CX197" s="1374"/>
      <c r="CY197" s="1374"/>
      <c r="CZ197" s="1374"/>
      <c r="DA197" s="1374"/>
      <c r="DB197" s="1374"/>
      <c r="DC197" s="1374"/>
      <c r="DD197" s="1374"/>
      <c r="DE197" s="1374"/>
      <c r="DF197" s="1374"/>
      <c r="DG197" s="1374"/>
      <c r="DH197" s="1374"/>
      <c r="DI197" s="1374"/>
      <c r="DJ197" s="1374"/>
      <c r="DK197" s="1374"/>
      <c r="DL197" s="1374"/>
      <c r="DM197" s="1374"/>
      <c r="DN197" s="1374"/>
      <c r="DO197" s="1374"/>
      <c r="DP197" s="1374"/>
      <c r="DQ197" s="1374"/>
      <c r="DR197" s="1374"/>
      <c r="DS197" s="1374"/>
      <c r="DT197" s="1374"/>
      <c r="DU197" s="1374"/>
      <c r="DV197" s="1374"/>
      <c r="DW197" s="1374"/>
      <c r="DX197" s="1374"/>
      <c r="DY197" s="1374"/>
      <c r="DZ197" s="1374"/>
      <c r="EA197" s="1439"/>
    </row>
    <row r="198" spans="1:131" ht="14.5" thickBot="1" x14ac:dyDescent="0.35">
      <c r="A198" s="943"/>
      <c r="B198" s="924"/>
      <c r="C198" s="925"/>
      <c r="D198" s="925"/>
      <c r="E198" s="908"/>
      <c r="F198" s="908"/>
      <c r="G198" s="908"/>
      <c r="H198" s="908"/>
      <c r="I198" s="908"/>
      <c r="J198" s="908"/>
      <c r="K198" s="908"/>
      <c r="L198" s="908"/>
      <c r="M198" s="908"/>
      <c r="N198" s="908"/>
      <c r="O198" s="908"/>
      <c r="P198" s="908"/>
      <c r="Q198" s="908"/>
      <c r="R198" s="908"/>
      <c r="S198" s="908"/>
      <c r="T198" s="908"/>
      <c r="U198" s="908"/>
      <c r="V198" s="908"/>
      <c r="W198" s="908"/>
      <c r="X198" s="908"/>
      <c r="Y198" s="909"/>
      <c r="Z198" s="1374"/>
      <c r="AA198" s="1374"/>
      <c r="AB198" s="1374"/>
      <c r="AC198" s="1374"/>
      <c r="AD198" s="1374"/>
      <c r="AE198" s="1374"/>
      <c r="AF198" s="1374"/>
      <c r="AG198" s="1374"/>
      <c r="AH198" s="1374"/>
      <c r="AI198" s="1374"/>
      <c r="AJ198" s="1374"/>
      <c r="AK198" s="1374"/>
      <c r="AL198" s="1374"/>
      <c r="AM198" s="1374"/>
      <c r="AN198" s="1374"/>
      <c r="AO198" s="1374"/>
      <c r="AP198" s="1374"/>
      <c r="AQ198" s="1374"/>
      <c r="AR198" s="1374"/>
      <c r="AS198" s="1374"/>
      <c r="AT198" s="1374"/>
      <c r="AU198" s="1374"/>
      <c r="AV198" s="1374"/>
      <c r="AW198" s="1374"/>
      <c r="AX198" s="1374"/>
      <c r="AY198" s="1374"/>
      <c r="AZ198" s="1374"/>
      <c r="BA198" s="1374"/>
      <c r="BB198" s="1374"/>
      <c r="BC198" s="1374"/>
      <c r="BD198" s="1374"/>
      <c r="BE198" s="1374"/>
      <c r="BF198" s="1374"/>
      <c r="BG198" s="1374"/>
      <c r="BH198" s="1374"/>
      <c r="BI198" s="1374"/>
      <c r="BJ198" s="1374"/>
      <c r="BK198" s="1374"/>
      <c r="BL198" s="1374"/>
      <c r="BM198" s="1374"/>
      <c r="BN198" s="1374"/>
      <c r="BO198" s="1374"/>
      <c r="BP198" s="1374"/>
      <c r="BQ198" s="1374"/>
      <c r="BR198" s="1374"/>
      <c r="BS198" s="1374"/>
      <c r="BT198" s="1374"/>
      <c r="BU198" s="1374"/>
      <c r="BV198" s="1374"/>
      <c r="BW198" s="1374"/>
      <c r="BX198" s="1374"/>
      <c r="BY198" s="1374"/>
      <c r="BZ198" s="1374"/>
      <c r="CA198" s="1374"/>
      <c r="CB198" s="1374"/>
      <c r="CC198" s="1374"/>
      <c r="CD198" s="1374"/>
      <c r="CE198" s="1374"/>
      <c r="CF198" s="1374"/>
      <c r="CG198" s="1374"/>
      <c r="CH198" s="1374"/>
      <c r="CI198" s="1374"/>
      <c r="CJ198" s="1374"/>
      <c r="CK198" s="1374"/>
      <c r="CL198" s="1374"/>
      <c r="CM198" s="1374"/>
      <c r="CN198" s="1374"/>
      <c r="CO198" s="1374"/>
      <c r="CP198" s="1374"/>
      <c r="CQ198" s="1374"/>
      <c r="CR198" s="1374"/>
      <c r="CS198" s="1374"/>
      <c r="CT198" s="1374"/>
      <c r="CU198" s="1374"/>
      <c r="CV198" s="1374"/>
      <c r="CW198" s="1374"/>
      <c r="CX198" s="1374"/>
      <c r="CY198" s="1374"/>
      <c r="CZ198" s="1374"/>
      <c r="DA198" s="1374"/>
      <c r="DB198" s="1374"/>
      <c r="DC198" s="1374"/>
      <c r="DD198" s="1374"/>
      <c r="DE198" s="1374"/>
      <c r="DF198" s="1374"/>
      <c r="DG198" s="1374"/>
      <c r="DH198" s="1374"/>
      <c r="DI198" s="1374"/>
      <c r="DJ198" s="1374"/>
      <c r="DK198" s="1374"/>
      <c r="DL198" s="1374"/>
      <c r="DM198" s="1374"/>
      <c r="DN198" s="1374"/>
      <c r="DO198" s="1374"/>
      <c r="DP198" s="1374"/>
      <c r="DQ198" s="1374"/>
      <c r="DR198" s="1374"/>
      <c r="DS198" s="1374"/>
      <c r="DT198" s="1374"/>
      <c r="DU198" s="1374"/>
      <c r="DV198" s="1374"/>
      <c r="DW198" s="1374"/>
      <c r="DX198" s="1374"/>
      <c r="DY198" s="1374"/>
      <c r="DZ198" s="1374"/>
      <c r="EA198" s="1439"/>
    </row>
    <row r="199" spans="1:131" x14ac:dyDescent="0.3">
      <c r="A199" s="2655" t="s">
        <v>495</v>
      </c>
      <c r="B199" s="2656"/>
      <c r="C199" s="2656"/>
      <c r="D199" s="2656"/>
      <c r="E199" s="2656"/>
      <c r="F199" s="2656"/>
      <c r="G199" s="2656"/>
      <c r="H199" s="2656"/>
      <c r="I199" s="2656"/>
      <c r="J199" s="2656"/>
      <c r="K199" s="2656"/>
      <c r="L199" s="2656"/>
      <c r="M199" s="2656"/>
      <c r="N199" s="2656"/>
      <c r="O199" s="2656"/>
      <c r="P199" s="2656"/>
      <c r="Q199" s="2656"/>
      <c r="R199" s="2656"/>
      <c r="S199" s="2656"/>
      <c r="T199" s="2656"/>
      <c r="U199" s="2656"/>
      <c r="V199" s="2656"/>
      <c r="W199" s="2656"/>
      <c r="X199" s="2657"/>
      <c r="Y199" s="911"/>
      <c r="Z199" s="1374"/>
      <c r="AA199" s="1374"/>
      <c r="AB199" s="1374"/>
      <c r="AC199" s="1374"/>
      <c r="AD199" s="1374"/>
      <c r="AE199" s="1374"/>
      <c r="AF199" s="1374"/>
      <c r="AG199" s="1374"/>
      <c r="AH199" s="1374"/>
      <c r="AI199" s="1374"/>
      <c r="AJ199" s="1374"/>
      <c r="AK199" s="1374"/>
      <c r="AL199" s="1374"/>
      <c r="AM199" s="1374"/>
      <c r="AN199" s="1374"/>
      <c r="AO199" s="1374"/>
      <c r="AP199" s="1374"/>
      <c r="AQ199" s="1374"/>
      <c r="AR199" s="1374"/>
      <c r="AS199" s="1374"/>
      <c r="AT199" s="1374"/>
      <c r="AU199" s="1374"/>
      <c r="AV199" s="1374"/>
      <c r="AW199" s="1374"/>
      <c r="AX199" s="1374"/>
      <c r="AY199" s="1374"/>
      <c r="AZ199" s="1374"/>
      <c r="BA199" s="1374"/>
      <c r="BB199" s="1374"/>
      <c r="BC199" s="1374"/>
      <c r="BD199" s="1374"/>
      <c r="BE199" s="1374"/>
      <c r="BF199" s="1374"/>
      <c r="BG199" s="1374"/>
      <c r="BH199" s="1374"/>
      <c r="BI199" s="1374"/>
      <c r="BJ199" s="1374"/>
      <c r="BK199" s="1374"/>
      <c r="BL199" s="1374"/>
      <c r="BM199" s="1374"/>
      <c r="BN199" s="1374"/>
      <c r="BO199" s="1374"/>
      <c r="BP199" s="1374"/>
      <c r="BQ199" s="1374"/>
      <c r="BR199" s="1374"/>
      <c r="BS199" s="1374"/>
      <c r="BT199" s="1374"/>
      <c r="BU199" s="1374"/>
      <c r="BV199" s="1374"/>
      <c r="BW199" s="1374"/>
      <c r="BX199" s="1374"/>
      <c r="BY199" s="1374"/>
      <c r="BZ199" s="1374"/>
      <c r="CA199" s="1374"/>
      <c r="CB199" s="1374"/>
      <c r="CC199" s="1374"/>
      <c r="CD199" s="1374"/>
      <c r="CE199" s="1374"/>
      <c r="CF199" s="1374"/>
      <c r="CG199" s="1374"/>
      <c r="CH199" s="1374"/>
      <c r="CI199" s="1374"/>
      <c r="CJ199" s="1374"/>
      <c r="CK199" s="1374"/>
      <c r="CL199" s="1374"/>
      <c r="CM199" s="1374"/>
      <c r="CN199" s="1374"/>
      <c r="CO199" s="1374"/>
      <c r="CP199" s="1374"/>
      <c r="CQ199" s="1374"/>
      <c r="CR199" s="1374"/>
      <c r="CS199" s="1374"/>
      <c r="CT199" s="1374"/>
      <c r="CU199" s="1374"/>
      <c r="CV199" s="1374"/>
      <c r="CW199" s="1374"/>
      <c r="CX199" s="1374"/>
      <c r="CY199" s="1374"/>
      <c r="CZ199" s="1374"/>
      <c r="DA199" s="1374"/>
      <c r="DB199" s="1374"/>
      <c r="DC199" s="1374"/>
      <c r="DD199" s="1374"/>
      <c r="DE199" s="1374"/>
      <c r="DF199" s="1374"/>
      <c r="DG199" s="1374"/>
      <c r="DH199" s="1374"/>
      <c r="DI199" s="1374"/>
      <c r="DJ199" s="1374"/>
      <c r="DK199" s="1374"/>
      <c r="DL199" s="1374"/>
      <c r="DM199" s="1374"/>
      <c r="DN199" s="1374"/>
      <c r="DO199" s="1374"/>
      <c r="DP199" s="1374"/>
      <c r="DQ199" s="1374"/>
      <c r="DR199" s="1374"/>
      <c r="DS199" s="1374"/>
      <c r="DT199" s="1374"/>
      <c r="DU199" s="1374"/>
      <c r="DV199" s="1374"/>
      <c r="DW199" s="1374"/>
      <c r="DX199" s="1374"/>
      <c r="DY199" s="1374"/>
      <c r="DZ199" s="1374"/>
      <c r="EA199" s="1439"/>
    </row>
    <row r="200" spans="1:131" ht="14.5" thickBot="1" x14ac:dyDescent="0.35">
      <c r="A200" s="2658"/>
      <c r="B200" s="2659"/>
      <c r="C200" s="2659"/>
      <c r="D200" s="2659"/>
      <c r="E200" s="2659"/>
      <c r="F200" s="2659"/>
      <c r="G200" s="2659"/>
      <c r="H200" s="2659"/>
      <c r="I200" s="2659"/>
      <c r="J200" s="2659"/>
      <c r="K200" s="2659"/>
      <c r="L200" s="2659"/>
      <c r="M200" s="2659"/>
      <c r="N200" s="2659"/>
      <c r="O200" s="2659"/>
      <c r="P200" s="2659"/>
      <c r="Q200" s="2659"/>
      <c r="R200" s="2659"/>
      <c r="S200" s="2659"/>
      <c r="T200" s="2659"/>
      <c r="U200" s="2659"/>
      <c r="V200" s="2659"/>
      <c r="W200" s="2659"/>
      <c r="X200" s="2660"/>
      <c r="Y200" s="911"/>
      <c r="Z200" s="1374"/>
      <c r="AA200" s="1374"/>
      <c r="AB200" s="1374"/>
      <c r="AC200" s="1374"/>
      <c r="AD200" s="1374"/>
      <c r="AE200" s="1374"/>
      <c r="AF200" s="1374"/>
      <c r="AG200" s="1374"/>
      <c r="AH200" s="1374"/>
      <c r="AI200" s="1374"/>
      <c r="AJ200" s="1374"/>
      <c r="AK200" s="1374"/>
      <c r="AL200" s="1374"/>
      <c r="AM200" s="1374"/>
      <c r="AN200" s="1374"/>
      <c r="AO200" s="1374"/>
      <c r="AP200" s="1374"/>
      <c r="AQ200" s="1374"/>
      <c r="AR200" s="1374"/>
      <c r="AS200" s="1374"/>
      <c r="AT200" s="1374"/>
      <c r="AU200" s="1374"/>
      <c r="AV200" s="1374"/>
      <c r="AW200" s="1374"/>
      <c r="AX200" s="1374"/>
      <c r="AY200" s="1374"/>
      <c r="AZ200" s="1374"/>
      <c r="BA200" s="1374"/>
      <c r="BB200" s="1374"/>
      <c r="BC200" s="1374"/>
      <c r="BD200" s="1374"/>
      <c r="BE200" s="1374"/>
      <c r="BF200" s="1374"/>
      <c r="BG200" s="1374"/>
      <c r="BH200" s="1374"/>
      <c r="BI200" s="1374"/>
      <c r="BJ200" s="1374"/>
      <c r="BK200" s="1374"/>
      <c r="BL200" s="1374"/>
      <c r="BM200" s="1374"/>
      <c r="BN200" s="1374"/>
      <c r="BO200" s="1374"/>
      <c r="BP200" s="1374"/>
      <c r="BQ200" s="1374"/>
      <c r="BR200" s="1374"/>
      <c r="BS200" s="1374"/>
      <c r="BT200" s="1374"/>
      <c r="BU200" s="1374"/>
      <c r="BV200" s="1374"/>
      <c r="BW200" s="1374"/>
      <c r="BX200" s="1374"/>
      <c r="BY200" s="1374"/>
      <c r="BZ200" s="1374"/>
      <c r="CA200" s="1374"/>
      <c r="CB200" s="1374"/>
      <c r="CC200" s="1374"/>
      <c r="CD200" s="1374"/>
      <c r="CE200" s="1374"/>
      <c r="CF200" s="1374"/>
      <c r="CG200" s="1374"/>
      <c r="CH200" s="1374"/>
      <c r="CI200" s="1374"/>
      <c r="CJ200" s="1374"/>
      <c r="CK200" s="1374"/>
      <c r="CL200" s="1374"/>
      <c r="CM200" s="1374"/>
      <c r="CN200" s="1374"/>
      <c r="CO200" s="1374"/>
      <c r="CP200" s="1374"/>
      <c r="CQ200" s="1374"/>
      <c r="CR200" s="1374"/>
      <c r="CS200" s="1374"/>
      <c r="CT200" s="1374"/>
      <c r="CU200" s="1374"/>
      <c r="CV200" s="1374"/>
      <c r="CW200" s="1374"/>
      <c r="CX200" s="1374"/>
      <c r="CY200" s="1374"/>
      <c r="CZ200" s="1374"/>
      <c r="DA200" s="1374"/>
      <c r="DB200" s="1374"/>
      <c r="DC200" s="1374"/>
      <c r="DD200" s="1374"/>
      <c r="DE200" s="1374"/>
      <c r="DF200" s="1374"/>
      <c r="DG200" s="1374"/>
      <c r="DH200" s="1374"/>
      <c r="DI200" s="1374"/>
      <c r="DJ200" s="1374"/>
      <c r="DK200" s="1374"/>
      <c r="DL200" s="1374"/>
      <c r="DM200" s="1374"/>
      <c r="DN200" s="1374"/>
      <c r="DO200" s="1374"/>
      <c r="DP200" s="1374"/>
      <c r="DQ200" s="1374"/>
      <c r="DR200" s="1374"/>
      <c r="DS200" s="1374"/>
      <c r="DT200" s="1374"/>
      <c r="DU200" s="1374"/>
      <c r="DV200" s="1374"/>
      <c r="DW200" s="1374"/>
      <c r="DX200" s="1374"/>
      <c r="DY200" s="1374"/>
      <c r="DZ200" s="1374"/>
      <c r="EA200" s="1439"/>
    </row>
    <row r="201" spans="1:131" x14ac:dyDescent="0.3">
      <c r="A201" s="1373"/>
      <c r="B201" s="1374"/>
      <c r="C201" s="1374"/>
      <c r="D201" s="1374"/>
      <c r="E201" s="1374"/>
      <c r="F201" s="1374"/>
      <c r="G201" s="1374"/>
      <c r="H201" s="1374"/>
      <c r="I201" s="1374"/>
      <c r="J201" s="1374"/>
      <c r="K201" s="1374"/>
      <c r="L201" s="1374"/>
      <c r="M201" s="1374"/>
      <c r="N201" s="1374"/>
      <c r="O201" s="1374"/>
      <c r="P201" s="1374"/>
      <c r="Q201" s="1374"/>
      <c r="R201" s="1374"/>
      <c r="S201" s="1374"/>
      <c r="T201" s="1374"/>
      <c r="U201" s="1374"/>
      <c r="V201" s="1374"/>
      <c r="W201" s="1374"/>
      <c r="X201" s="1374"/>
      <c r="Y201" s="911"/>
      <c r="Z201" s="1374"/>
      <c r="AA201" s="1374"/>
      <c r="AB201" s="1374"/>
      <c r="AC201" s="1374"/>
      <c r="AD201" s="1374"/>
      <c r="AE201" s="1374"/>
      <c r="AF201" s="1374"/>
      <c r="AG201" s="1374"/>
      <c r="AH201" s="1374"/>
      <c r="AI201" s="1374"/>
      <c r="AJ201" s="1374"/>
      <c r="AK201" s="1374"/>
      <c r="AL201" s="1374"/>
      <c r="AM201" s="1374"/>
      <c r="AN201" s="1374"/>
      <c r="AO201" s="1374"/>
      <c r="AP201" s="1374"/>
      <c r="AQ201" s="1374"/>
      <c r="AR201" s="1374"/>
      <c r="AS201" s="1374"/>
      <c r="AT201" s="1374"/>
      <c r="AU201" s="1374"/>
      <c r="AV201" s="1374"/>
      <c r="AW201" s="1374"/>
      <c r="AX201" s="1374"/>
      <c r="AY201" s="1374"/>
      <c r="AZ201" s="1374"/>
      <c r="BA201" s="1374"/>
      <c r="BB201" s="1374"/>
      <c r="BC201" s="1374"/>
      <c r="BD201" s="1374"/>
      <c r="BE201" s="1374"/>
      <c r="BF201" s="1374"/>
      <c r="BG201" s="1374"/>
      <c r="BH201" s="1374"/>
      <c r="BI201" s="1374"/>
      <c r="BJ201" s="1374"/>
      <c r="BK201" s="1374"/>
      <c r="BL201" s="1374"/>
      <c r="BM201" s="1374"/>
      <c r="BN201" s="1374"/>
      <c r="BO201" s="1374"/>
      <c r="BP201" s="1374"/>
      <c r="BQ201" s="1374"/>
      <c r="BR201" s="1374"/>
      <c r="BS201" s="1374"/>
      <c r="BT201" s="1374"/>
      <c r="BU201" s="1374"/>
      <c r="BV201" s="1374"/>
      <c r="BW201" s="1374"/>
      <c r="BX201" s="1374"/>
      <c r="BY201" s="1374"/>
      <c r="BZ201" s="1374"/>
      <c r="CA201" s="1374"/>
      <c r="CB201" s="1374"/>
      <c r="CC201" s="1374"/>
      <c r="CD201" s="1374"/>
      <c r="CE201" s="1374"/>
      <c r="CF201" s="1374"/>
      <c r="CG201" s="1374"/>
      <c r="CH201" s="1374"/>
      <c r="CI201" s="1374"/>
      <c r="CJ201" s="1374"/>
      <c r="CK201" s="1374"/>
      <c r="CL201" s="1374"/>
      <c r="CM201" s="1374"/>
      <c r="CN201" s="1374"/>
      <c r="CO201" s="1374"/>
      <c r="CP201" s="1374"/>
      <c r="CQ201" s="1374"/>
      <c r="CR201" s="1374"/>
      <c r="CS201" s="1374"/>
      <c r="CT201" s="1374"/>
      <c r="CU201" s="1374"/>
      <c r="CV201" s="1374"/>
      <c r="CW201" s="1374"/>
      <c r="CX201" s="1374"/>
      <c r="CY201" s="1374"/>
      <c r="CZ201" s="1374"/>
      <c r="DA201" s="1374"/>
      <c r="DB201" s="1374"/>
      <c r="DC201" s="1374"/>
      <c r="DD201" s="1374"/>
      <c r="DE201" s="1374"/>
      <c r="DF201" s="1374"/>
      <c r="DG201" s="1374"/>
      <c r="DH201" s="1374"/>
      <c r="DI201" s="1374"/>
      <c r="DJ201" s="1374"/>
      <c r="DK201" s="1374"/>
      <c r="DL201" s="1374"/>
      <c r="DM201" s="1374"/>
      <c r="DN201" s="1374"/>
      <c r="DO201" s="1374"/>
      <c r="DP201" s="1374"/>
      <c r="DQ201" s="1374"/>
      <c r="DR201" s="1374"/>
      <c r="DS201" s="1374"/>
      <c r="DT201" s="1374"/>
      <c r="DU201" s="1374"/>
      <c r="DV201" s="1374"/>
      <c r="DW201" s="1374"/>
      <c r="DX201" s="1374"/>
      <c r="DY201" s="1374"/>
      <c r="DZ201" s="1374"/>
      <c r="EA201" s="1439"/>
    </row>
    <row r="202" spans="1:131" ht="14.5" thickBot="1" x14ac:dyDescent="0.35">
      <c r="A202" s="944" t="s">
        <v>313</v>
      </c>
      <c r="B202" s="2796" t="s">
        <v>314</v>
      </c>
      <c r="C202" s="2796"/>
      <c r="D202" s="2796"/>
      <c r="E202" s="2796"/>
      <c r="F202" s="2796"/>
      <c r="G202" s="2796"/>
      <c r="H202" s="2796"/>
      <c r="I202" s="2796"/>
      <c r="J202" s="2796"/>
      <c r="K202" s="2796"/>
      <c r="L202" s="2796"/>
      <c r="M202" s="2796"/>
      <c r="N202" s="2796"/>
      <c r="O202" s="2796"/>
      <c r="P202" s="2796"/>
      <c r="Q202" s="2796"/>
      <c r="R202" s="2796"/>
      <c r="S202" s="2796"/>
      <c r="T202" s="2796"/>
      <c r="U202" s="2796"/>
      <c r="V202" s="2796"/>
      <c r="W202" s="2796"/>
      <c r="X202" s="2796"/>
      <c r="Y202" s="911"/>
      <c r="Z202" s="1374"/>
      <c r="AA202" s="1374"/>
      <c r="AB202" s="1374"/>
      <c r="AC202" s="1374"/>
      <c r="AD202" s="1374"/>
      <c r="AE202" s="1374"/>
      <c r="AF202" s="1374"/>
      <c r="AG202" s="1374"/>
      <c r="AH202" s="1374"/>
      <c r="AI202" s="1374"/>
      <c r="AJ202" s="1374"/>
      <c r="AK202" s="1374"/>
      <c r="AL202" s="1374"/>
      <c r="AM202" s="1374"/>
      <c r="AN202" s="1374"/>
      <c r="AO202" s="1374"/>
      <c r="AP202" s="1374"/>
      <c r="AQ202" s="1374"/>
      <c r="AR202" s="1374"/>
      <c r="AS202" s="1374"/>
      <c r="AT202" s="1374"/>
      <c r="AU202" s="1374"/>
      <c r="AV202" s="1374"/>
      <c r="AW202" s="1374"/>
      <c r="AX202" s="1374"/>
      <c r="AY202" s="1374"/>
      <c r="AZ202" s="1374"/>
      <c r="BA202" s="1374"/>
      <c r="BB202" s="1374"/>
      <c r="BC202" s="1374"/>
      <c r="BD202" s="1374"/>
      <c r="BE202" s="1374"/>
      <c r="BF202" s="1374"/>
      <c r="BG202" s="1374"/>
      <c r="BH202" s="1374"/>
      <c r="BI202" s="1374"/>
      <c r="BJ202" s="1374"/>
      <c r="BK202" s="1374"/>
      <c r="BL202" s="1374"/>
      <c r="BM202" s="1374"/>
      <c r="BN202" s="1374"/>
      <c r="BO202" s="1374"/>
      <c r="BP202" s="1374"/>
      <c r="BQ202" s="1374"/>
      <c r="BR202" s="1374"/>
      <c r="BS202" s="1374"/>
      <c r="BT202" s="1374"/>
      <c r="BU202" s="1374"/>
      <c r="BV202" s="1374"/>
      <c r="BW202" s="1374"/>
      <c r="BX202" s="1374"/>
      <c r="BY202" s="1374"/>
      <c r="BZ202" s="1374"/>
      <c r="CA202" s="1374"/>
      <c r="CB202" s="1374"/>
      <c r="CC202" s="1374"/>
      <c r="CD202" s="1374"/>
      <c r="CE202" s="1374"/>
      <c r="CF202" s="1374"/>
      <c r="CG202" s="1374"/>
      <c r="CH202" s="1374"/>
      <c r="CI202" s="1374"/>
      <c r="CJ202" s="1374"/>
      <c r="CK202" s="1374"/>
      <c r="CL202" s="1374"/>
      <c r="CM202" s="1374"/>
      <c r="CN202" s="1374"/>
      <c r="CO202" s="1374"/>
      <c r="CP202" s="1374"/>
      <c r="CQ202" s="1374"/>
      <c r="CR202" s="1374"/>
      <c r="CS202" s="1374"/>
      <c r="CT202" s="1374"/>
      <c r="CU202" s="1374"/>
      <c r="CV202" s="1374"/>
      <c r="CW202" s="1374"/>
      <c r="CX202" s="1374"/>
      <c r="CY202" s="1374"/>
      <c r="CZ202" s="1374"/>
      <c r="DA202" s="1374"/>
      <c r="DB202" s="1374"/>
      <c r="DC202" s="1374"/>
      <c r="DD202" s="1374"/>
      <c r="DE202" s="1374"/>
      <c r="DF202" s="1374"/>
      <c r="DG202" s="1374"/>
      <c r="DH202" s="1374"/>
      <c r="DI202" s="1374"/>
      <c r="DJ202" s="1374"/>
      <c r="DK202" s="1374"/>
      <c r="DL202" s="1374"/>
      <c r="DM202" s="1374"/>
      <c r="DN202" s="1374"/>
      <c r="DO202" s="1374"/>
      <c r="DP202" s="1374"/>
      <c r="DQ202" s="1374"/>
      <c r="DR202" s="1374"/>
      <c r="DS202" s="1374"/>
      <c r="DT202" s="1374"/>
      <c r="DU202" s="1374"/>
      <c r="DV202" s="1374"/>
      <c r="DW202" s="1374"/>
      <c r="DX202" s="1374"/>
      <c r="DY202" s="1374"/>
      <c r="DZ202" s="1374"/>
      <c r="EA202" s="1439"/>
    </row>
    <row r="203" spans="1:131" x14ac:dyDescent="0.3">
      <c r="A203" s="130" t="s">
        <v>54</v>
      </c>
      <c r="B203" s="604" t="s">
        <v>201</v>
      </c>
      <c r="C203" s="604"/>
      <c r="D203" s="604"/>
      <c r="E203" s="604"/>
      <c r="F203" s="604"/>
      <c r="G203" s="604"/>
      <c r="H203" s="604"/>
      <c r="I203" s="604"/>
      <c r="J203" s="604"/>
      <c r="K203" s="604"/>
      <c r="L203" s="604"/>
      <c r="M203" s="604"/>
      <c r="N203" s="604"/>
      <c r="O203" s="604"/>
      <c r="P203" s="604"/>
      <c r="Q203" s="604"/>
      <c r="R203" s="604"/>
      <c r="S203" s="604"/>
      <c r="T203" s="604"/>
      <c r="U203" s="604"/>
      <c r="V203" s="604"/>
      <c r="W203" s="604"/>
      <c r="X203" s="604"/>
      <c r="Y203" s="911"/>
      <c r="Z203" s="1374"/>
      <c r="AA203" s="1374"/>
      <c r="AB203" s="1374"/>
      <c r="AC203" s="1374"/>
      <c r="AD203" s="1374"/>
      <c r="AE203" s="1374"/>
      <c r="AF203" s="1374"/>
      <c r="AG203" s="1374"/>
      <c r="AH203" s="1374"/>
      <c r="AI203" s="1374"/>
      <c r="AJ203" s="1374"/>
      <c r="AK203" s="1374"/>
      <c r="AL203" s="1374"/>
      <c r="AM203" s="1374"/>
      <c r="AN203" s="1374"/>
      <c r="AO203" s="1374"/>
      <c r="AP203" s="1374"/>
      <c r="AQ203" s="1374"/>
      <c r="AR203" s="1374"/>
      <c r="AS203" s="1374"/>
      <c r="AT203" s="1374"/>
      <c r="AU203" s="1374"/>
      <c r="AV203" s="1374"/>
      <c r="AW203" s="1374"/>
      <c r="AX203" s="1374"/>
      <c r="AY203" s="1374"/>
      <c r="AZ203" s="1374"/>
      <c r="BA203" s="1374"/>
      <c r="BB203" s="1374"/>
      <c r="BC203" s="1374"/>
      <c r="BD203" s="1374"/>
      <c r="BE203" s="1374"/>
      <c r="BF203" s="1374"/>
      <c r="BG203" s="1374"/>
      <c r="BH203" s="1374"/>
      <c r="BI203" s="1374"/>
      <c r="BJ203" s="1374"/>
      <c r="BK203" s="1374"/>
      <c r="BL203" s="1374"/>
      <c r="BM203" s="1374"/>
      <c r="BN203" s="1374"/>
      <c r="BO203" s="1374"/>
      <c r="BP203" s="1374"/>
      <c r="BQ203" s="1374"/>
      <c r="BR203" s="1374"/>
      <c r="BS203" s="1374"/>
      <c r="BT203" s="1374"/>
      <c r="BU203" s="1374"/>
      <c r="BV203" s="1374"/>
      <c r="BW203" s="1374"/>
      <c r="BX203" s="1374"/>
      <c r="BY203" s="1374"/>
      <c r="BZ203" s="1374"/>
      <c r="CA203" s="1374"/>
      <c r="CB203" s="1374"/>
      <c r="CC203" s="1374"/>
      <c r="CD203" s="1374"/>
      <c r="CE203" s="1374"/>
      <c r="CF203" s="1374"/>
      <c r="CG203" s="1374"/>
      <c r="CH203" s="1374"/>
      <c r="CI203" s="1374"/>
      <c r="CJ203" s="1374"/>
      <c r="CK203" s="1374"/>
      <c r="CL203" s="1374"/>
      <c r="CM203" s="1374"/>
      <c r="CN203" s="1374"/>
      <c r="CO203" s="1374"/>
      <c r="CP203" s="1374"/>
      <c r="CQ203" s="1374"/>
      <c r="CR203" s="1374"/>
      <c r="CS203" s="1374"/>
      <c r="CT203" s="1374"/>
      <c r="CU203" s="1374"/>
      <c r="CV203" s="1374"/>
      <c r="CW203" s="1374"/>
      <c r="CX203" s="1374"/>
      <c r="CY203" s="1374"/>
      <c r="CZ203" s="1374"/>
      <c r="DA203" s="1374"/>
      <c r="DB203" s="1374"/>
      <c r="DC203" s="1374"/>
      <c r="DD203" s="1374"/>
      <c r="DE203" s="1374"/>
      <c r="DF203" s="1374"/>
      <c r="DG203" s="1374"/>
      <c r="DH203" s="1374"/>
      <c r="DI203" s="1374"/>
      <c r="DJ203" s="1374"/>
      <c r="DK203" s="1374"/>
      <c r="DL203" s="1374"/>
      <c r="DM203" s="1374"/>
      <c r="DN203" s="1374"/>
      <c r="DO203" s="1374"/>
      <c r="DP203" s="1374"/>
      <c r="DQ203" s="1374"/>
      <c r="DR203" s="1374"/>
      <c r="DS203" s="1374"/>
      <c r="DT203" s="1374"/>
      <c r="DU203" s="1374"/>
      <c r="DV203" s="1374"/>
      <c r="DW203" s="1374"/>
      <c r="DX203" s="1374"/>
      <c r="DY203" s="1374"/>
      <c r="DZ203" s="1374"/>
      <c r="EA203" s="1439"/>
    </row>
    <row r="204" spans="1:131" x14ac:dyDescent="0.3">
      <c r="A204" s="1405" t="s">
        <v>55</v>
      </c>
      <c r="B204" s="608" t="s">
        <v>202</v>
      </c>
      <c r="C204" s="608"/>
      <c r="D204" s="608"/>
      <c r="E204" s="608"/>
      <c r="F204" s="608"/>
      <c r="G204" s="608"/>
      <c r="H204" s="608"/>
      <c r="I204" s="608"/>
      <c r="J204" s="608"/>
      <c r="K204" s="608"/>
      <c r="L204" s="608"/>
      <c r="M204" s="608"/>
      <c r="N204" s="608"/>
      <c r="O204" s="608"/>
      <c r="P204" s="608"/>
      <c r="Q204" s="608"/>
      <c r="R204" s="608"/>
      <c r="S204" s="608"/>
      <c r="T204" s="608"/>
      <c r="U204" s="608"/>
      <c r="V204" s="608"/>
      <c r="W204" s="608"/>
      <c r="X204" s="608"/>
      <c r="Y204" s="911"/>
      <c r="Z204" s="1374"/>
      <c r="AA204" s="1374"/>
      <c r="AB204" s="1374"/>
      <c r="AC204" s="1374"/>
      <c r="AD204" s="1374"/>
      <c r="AE204" s="1374"/>
      <c r="AF204" s="1374"/>
      <c r="AG204" s="1374"/>
      <c r="AH204" s="1374"/>
      <c r="AI204" s="1374"/>
      <c r="AJ204" s="1374"/>
      <c r="AK204" s="1374"/>
      <c r="AL204" s="1374"/>
      <c r="AM204" s="1374"/>
      <c r="AN204" s="1374"/>
      <c r="AO204" s="1374"/>
      <c r="AP204" s="1374"/>
      <c r="AQ204" s="1374"/>
      <c r="AR204" s="1374"/>
      <c r="AS204" s="1374"/>
      <c r="AT204" s="1374"/>
      <c r="AU204" s="1374"/>
      <c r="AV204" s="1374"/>
      <c r="AW204" s="1374"/>
      <c r="AX204" s="1374"/>
      <c r="AY204" s="1374"/>
      <c r="AZ204" s="1374"/>
      <c r="BA204" s="1374"/>
      <c r="BB204" s="1374"/>
      <c r="BC204" s="1374"/>
      <c r="BD204" s="1374"/>
      <c r="BE204" s="1374"/>
      <c r="BF204" s="1374"/>
      <c r="BG204" s="1374"/>
      <c r="BH204" s="1374"/>
      <c r="BI204" s="1374"/>
      <c r="BJ204" s="1374"/>
      <c r="BK204" s="1374"/>
      <c r="BL204" s="1374"/>
      <c r="BM204" s="1374"/>
      <c r="BN204" s="1374"/>
      <c r="BO204" s="1374"/>
      <c r="BP204" s="1374"/>
      <c r="BQ204" s="1374"/>
      <c r="BR204" s="1374"/>
      <c r="BS204" s="1374"/>
      <c r="BT204" s="1374"/>
      <c r="BU204" s="1374"/>
      <c r="BV204" s="1374"/>
      <c r="BW204" s="1374"/>
      <c r="BX204" s="1374"/>
      <c r="BY204" s="1374"/>
      <c r="BZ204" s="1374"/>
      <c r="CA204" s="1374"/>
      <c r="CB204" s="1374"/>
      <c r="CC204" s="1374"/>
      <c r="CD204" s="1374"/>
      <c r="CE204" s="1374"/>
      <c r="CF204" s="1374"/>
      <c r="CG204" s="1374"/>
      <c r="CH204" s="1374"/>
      <c r="CI204" s="1374"/>
      <c r="CJ204" s="1374"/>
      <c r="CK204" s="1374"/>
      <c r="CL204" s="1374"/>
      <c r="CM204" s="1374"/>
      <c r="CN204" s="1374"/>
      <c r="CO204" s="1374"/>
      <c r="CP204" s="1374"/>
      <c r="CQ204" s="1374"/>
      <c r="CR204" s="1374"/>
      <c r="CS204" s="1374"/>
      <c r="CT204" s="1374"/>
      <c r="CU204" s="1374"/>
      <c r="CV204" s="1374"/>
      <c r="CW204" s="1374"/>
      <c r="CX204" s="1374"/>
      <c r="CY204" s="1374"/>
      <c r="CZ204" s="1374"/>
      <c r="DA204" s="1374"/>
      <c r="DB204" s="1374"/>
      <c r="DC204" s="1374"/>
      <c r="DD204" s="1374"/>
      <c r="DE204" s="1374"/>
      <c r="DF204" s="1374"/>
      <c r="DG204" s="1374"/>
      <c r="DH204" s="1374"/>
      <c r="DI204" s="1374"/>
      <c r="DJ204" s="1374"/>
      <c r="DK204" s="1374"/>
      <c r="DL204" s="1374"/>
      <c r="DM204" s="1374"/>
      <c r="DN204" s="1374"/>
      <c r="DO204" s="1374"/>
      <c r="DP204" s="1374"/>
      <c r="DQ204" s="1374"/>
      <c r="DR204" s="1374"/>
      <c r="DS204" s="1374"/>
      <c r="DT204" s="1374"/>
      <c r="DU204" s="1374"/>
      <c r="DV204" s="1374"/>
      <c r="DW204" s="1374"/>
      <c r="DX204" s="1374"/>
      <c r="DY204" s="1374"/>
      <c r="DZ204" s="1374"/>
      <c r="EA204" s="1439"/>
    </row>
    <row r="205" spans="1:131" x14ac:dyDescent="0.3">
      <c r="A205" s="1405" t="s">
        <v>56</v>
      </c>
      <c r="B205" s="608" t="s">
        <v>210</v>
      </c>
      <c r="C205" s="608" t="s">
        <v>219</v>
      </c>
      <c r="D205" s="608" t="s">
        <v>220</v>
      </c>
      <c r="E205" s="608" t="s">
        <v>228</v>
      </c>
      <c r="F205" s="608" t="s">
        <v>214</v>
      </c>
      <c r="G205" s="608" t="s">
        <v>203</v>
      </c>
      <c r="H205" s="608" t="s">
        <v>226</v>
      </c>
      <c r="I205" s="608" t="s">
        <v>223</v>
      </c>
      <c r="J205" s="608" t="s">
        <v>216</v>
      </c>
      <c r="K205" s="608" t="s">
        <v>208</v>
      </c>
      <c r="L205" s="608" t="s">
        <v>224</v>
      </c>
      <c r="M205" s="608" t="s">
        <v>218</v>
      </c>
      <c r="N205" s="608" t="s">
        <v>212</v>
      </c>
      <c r="O205" s="608" t="s">
        <v>209</v>
      </c>
      <c r="P205" s="608" t="s">
        <v>229</v>
      </c>
      <c r="Q205" s="609" t="s">
        <v>215</v>
      </c>
      <c r="R205" s="609" t="s">
        <v>211</v>
      </c>
      <c r="S205" s="609" t="s">
        <v>206</v>
      </c>
      <c r="T205" s="609" t="s">
        <v>217</v>
      </c>
      <c r="U205" s="609" t="s">
        <v>227</v>
      </c>
      <c r="V205" s="609" t="s">
        <v>225</v>
      </c>
      <c r="W205" s="609" t="s">
        <v>222</v>
      </c>
      <c r="X205" s="609" t="s">
        <v>213</v>
      </c>
      <c r="Y205" s="911"/>
      <c r="Z205" s="1374"/>
      <c r="AA205" s="1374"/>
      <c r="AB205" s="1374"/>
      <c r="AC205" s="1374"/>
      <c r="AD205" s="1374"/>
      <c r="AE205" s="1374"/>
      <c r="AF205" s="1374"/>
      <c r="AG205" s="1374"/>
      <c r="AH205" s="1374"/>
      <c r="AI205" s="1374"/>
      <c r="AJ205" s="1374"/>
      <c r="AK205" s="1374"/>
      <c r="AL205" s="1374"/>
      <c r="AM205" s="1374"/>
      <c r="AN205" s="1374"/>
      <c r="AO205" s="1374"/>
      <c r="AP205" s="1374"/>
      <c r="AQ205" s="1374"/>
      <c r="AR205" s="1374"/>
      <c r="AS205" s="1374"/>
      <c r="AT205" s="1374"/>
      <c r="AU205" s="1374"/>
      <c r="AV205" s="1374"/>
      <c r="AW205" s="1374"/>
      <c r="AX205" s="1374"/>
      <c r="AY205" s="1374"/>
      <c r="AZ205" s="1374"/>
      <c r="BA205" s="1374"/>
      <c r="BB205" s="1374"/>
      <c r="BC205" s="1374"/>
      <c r="BD205" s="1374"/>
      <c r="BE205" s="1374"/>
      <c r="BF205" s="1374"/>
      <c r="BG205" s="1374"/>
      <c r="BH205" s="1374"/>
      <c r="BI205" s="1374"/>
      <c r="BJ205" s="1374"/>
      <c r="BK205" s="1374"/>
      <c r="BL205" s="1374"/>
      <c r="BM205" s="1374"/>
      <c r="BN205" s="1374"/>
      <c r="BO205" s="1374"/>
      <c r="BP205" s="1374"/>
      <c r="BQ205" s="1374"/>
      <c r="BR205" s="1374"/>
      <c r="BS205" s="1374"/>
      <c r="BT205" s="1374"/>
      <c r="BU205" s="1374"/>
      <c r="BV205" s="1374"/>
      <c r="BW205" s="1374"/>
      <c r="BX205" s="1374"/>
      <c r="BY205" s="1374"/>
      <c r="BZ205" s="1374"/>
      <c r="CA205" s="1374"/>
      <c r="CB205" s="1374"/>
      <c r="CC205" s="1374"/>
      <c r="CD205" s="1374"/>
      <c r="CE205" s="1374"/>
      <c r="CF205" s="1374"/>
      <c r="CG205" s="1374"/>
      <c r="CH205" s="1374"/>
      <c r="CI205" s="1374"/>
      <c r="CJ205" s="1374"/>
      <c r="CK205" s="1374"/>
      <c r="CL205" s="1374"/>
      <c r="CM205" s="1374"/>
      <c r="CN205" s="1374"/>
      <c r="CO205" s="1374"/>
      <c r="CP205" s="1374"/>
      <c r="CQ205" s="1374"/>
      <c r="CR205" s="1374"/>
      <c r="CS205" s="1374"/>
      <c r="CT205" s="1374"/>
      <c r="CU205" s="1374"/>
      <c r="CV205" s="1374"/>
      <c r="CW205" s="1374"/>
      <c r="CX205" s="1374"/>
      <c r="CY205" s="1374"/>
      <c r="CZ205" s="1374"/>
      <c r="DA205" s="1374"/>
      <c r="DB205" s="1374"/>
      <c r="DC205" s="1374"/>
      <c r="DD205" s="1374"/>
      <c r="DE205" s="1374"/>
      <c r="DF205" s="1374"/>
      <c r="DG205" s="1374"/>
      <c r="DH205" s="1374"/>
      <c r="DI205" s="1374"/>
      <c r="DJ205" s="1374"/>
      <c r="DK205" s="1374"/>
      <c r="DL205" s="1374"/>
      <c r="DM205" s="1374"/>
      <c r="DN205" s="1374"/>
      <c r="DO205" s="1374"/>
      <c r="DP205" s="1374"/>
      <c r="DQ205" s="1374"/>
      <c r="DR205" s="1374"/>
      <c r="DS205" s="1374"/>
      <c r="DT205" s="1374"/>
      <c r="DU205" s="1374"/>
      <c r="DV205" s="1374"/>
      <c r="DW205" s="1374"/>
      <c r="DX205" s="1374"/>
      <c r="DY205" s="1374"/>
      <c r="DZ205" s="1374"/>
      <c r="EA205" s="1439"/>
    </row>
    <row r="206" spans="1:131" x14ac:dyDescent="0.3">
      <c r="A206" s="1405" t="s">
        <v>57</v>
      </c>
      <c r="B206" s="608" t="s">
        <v>200</v>
      </c>
      <c r="C206" s="608" t="s">
        <v>221</v>
      </c>
      <c r="D206" s="608" t="s">
        <v>207</v>
      </c>
      <c r="E206" s="608" t="s">
        <v>199</v>
      </c>
      <c r="F206" s="608" t="s">
        <v>204</v>
      </c>
      <c r="G206" s="608" t="s">
        <v>243</v>
      </c>
      <c r="H206" s="608" t="s">
        <v>205</v>
      </c>
      <c r="I206" s="608"/>
      <c r="J206" s="608"/>
      <c r="K206" s="608"/>
      <c r="L206" s="608"/>
      <c r="M206" s="608"/>
      <c r="N206" s="608"/>
      <c r="O206" s="608"/>
      <c r="P206" s="608"/>
      <c r="Q206" s="608"/>
      <c r="R206" s="608"/>
      <c r="S206" s="608"/>
      <c r="T206" s="608"/>
      <c r="U206" s="608"/>
      <c r="V206" s="608"/>
      <c r="W206" s="608"/>
      <c r="X206" s="608"/>
      <c r="Y206" s="911"/>
      <c r="Z206" s="1374"/>
      <c r="AA206" s="1374"/>
      <c r="AB206" s="1374"/>
      <c r="AC206" s="1374"/>
      <c r="AD206" s="1374"/>
      <c r="AE206" s="1374"/>
      <c r="AF206" s="1374"/>
      <c r="AG206" s="1374"/>
      <c r="AH206" s="1374"/>
      <c r="AI206" s="1374"/>
      <c r="AJ206" s="1374"/>
      <c r="AK206" s="1374"/>
      <c r="AL206" s="1374"/>
      <c r="AM206" s="1374"/>
      <c r="AN206" s="1374"/>
      <c r="AO206" s="1374"/>
      <c r="AP206" s="1374"/>
      <c r="AQ206" s="1374"/>
      <c r="AR206" s="1374"/>
      <c r="AS206" s="1374"/>
      <c r="AT206" s="1374"/>
      <c r="AU206" s="1374"/>
      <c r="AV206" s="1374"/>
      <c r="AW206" s="1374"/>
      <c r="AX206" s="1374"/>
      <c r="AY206" s="1374"/>
      <c r="AZ206" s="1374"/>
      <c r="BA206" s="1374"/>
      <c r="BB206" s="1374"/>
      <c r="BC206" s="1374"/>
      <c r="BD206" s="1374"/>
      <c r="BE206" s="1374"/>
      <c r="BF206" s="1374"/>
      <c r="BG206" s="1374"/>
      <c r="BH206" s="1374"/>
      <c r="BI206" s="1374"/>
      <c r="BJ206" s="1374"/>
      <c r="BK206" s="1374"/>
      <c r="BL206" s="1374"/>
      <c r="BM206" s="1374"/>
      <c r="BN206" s="1374"/>
      <c r="BO206" s="1374"/>
      <c r="BP206" s="1374"/>
      <c r="BQ206" s="1374"/>
      <c r="BR206" s="1374"/>
      <c r="BS206" s="1374"/>
      <c r="BT206" s="1374"/>
      <c r="BU206" s="1374"/>
      <c r="BV206" s="1374"/>
      <c r="BW206" s="1374"/>
      <c r="BX206" s="1374"/>
      <c r="BY206" s="1374"/>
      <c r="BZ206" s="1374"/>
      <c r="CA206" s="1374"/>
      <c r="CB206" s="1374"/>
      <c r="CC206" s="1374"/>
      <c r="CD206" s="1374"/>
      <c r="CE206" s="1374"/>
      <c r="CF206" s="1374"/>
      <c r="CG206" s="1374"/>
      <c r="CH206" s="1374"/>
      <c r="CI206" s="1374"/>
      <c r="CJ206" s="1374"/>
      <c r="CK206" s="1374"/>
      <c r="CL206" s="1374"/>
      <c r="CM206" s="1374"/>
      <c r="CN206" s="1374"/>
      <c r="CO206" s="1374"/>
      <c r="CP206" s="1374"/>
      <c r="CQ206" s="1374"/>
      <c r="CR206" s="1374"/>
      <c r="CS206" s="1374"/>
      <c r="CT206" s="1374"/>
      <c r="CU206" s="1374"/>
      <c r="CV206" s="1374"/>
      <c r="CW206" s="1374"/>
      <c r="CX206" s="1374"/>
      <c r="CY206" s="1374"/>
      <c r="CZ206" s="1374"/>
      <c r="DA206" s="1374"/>
      <c r="DB206" s="1374"/>
      <c r="DC206" s="1374"/>
      <c r="DD206" s="1374"/>
      <c r="DE206" s="1374"/>
      <c r="DF206" s="1374"/>
      <c r="DG206" s="1374"/>
      <c r="DH206" s="1374"/>
      <c r="DI206" s="1374"/>
      <c r="DJ206" s="1374"/>
      <c r="DK206" s="1374"/>
      <c r="DL206" s="1374"/>
      <c r="DM206" s="1374"/>
      <c r="DN206" s="1374"/>
      <c r="DO206" s="1374"/>
      <c r="DP206" s="1374"/>
      <c r="DQ206" s="1374"/>
      <c r="DR206" s="1374"/>
      <c r="DS206" s="1374"/>
      <c r="DT206" s="1374"/>
      <c r="DU206" s="1374"/>
      <c r="DV206" s="1374"/>
      <c r="DW206" s="1374"/>
      <c r="DX206" s="1374"/>
      <c r="DY206" s="1374"/>
      <c r="DZ206" s="1374"/>
      <c r="EA206" s="1439"/>
    </row>
    <row r="207" spans="1:131" x14ac:dyDescent="0.3">
      <c r="A207" s="1405" t="s">
        <v>99</v>
      </c>
      <c r="B207" s="608" t="s">
        <v>203</v>
      </c>
      <c r="C207" s="609" t="s">
        <v>200</v>
      </c>
      <c r="D207" s="609" t="s">
        <v>202</v>
      </c>
      <c r="E207" s="609" t="s">
        <v>221</v>
      </c>
      <c r="F207" s="609" t="s">
        <v>208</v>
      </c>
      <c r="G207" s="609" t="s">
        <v>207</v>
      </c>
      <c r="H207" s="609" t="s">
        <v>204</v>
      </c>
      <c r="I207" s="609" t="s">
        <v>218</v>
      </c>
      <c r="J207" s="609" t="s">
        <v>212</v>
      </c>
      <c r="K207" s="608" t="s">
        <v>243</v>
      </c>
      <c r="L207" s="609" t="s">
        <v>211</v>
      </c>
      <c r="M207" s="609" t="s">
        <v>206</v>
      </c>
      <c r="N207" s="609" t="s">
        <v>217</v>
      </c>
      <c r="O207" s="608" t="s">
        <v>225</v>
      </c>
      <c r="P207" s="608" t="s">
        <v>213</v>
      </c>
      <c r="Q207" s="608" t="s">
        <v>205</v>
      </c>
      <c r="R207" s="608"/>
      <c r="S207" s="608"/>
      <c r="T207" s="608"/>
      <c r="U207" s="608"/>
      <c r="V207" s="608"/>
      <c r="W207" s="608"/>
      <c r="X207" s="608"/>
      <c r="Y207" s="911"/>
      <c r="Z207" s="1374"/>
      <c r="AA207" s="1374"/>
      <c r="AB207" s="1374"/>
      <c r="AC207" s="1374"/>
      <c r="AD207" s="1374"/>
      <c r="AE207" s="1374"/>
      <c r="AF207" s="1374"/>
      <c r="AG207" s="1374"/>
      <c r="AH207" s="1374"/>
      <c r="AI207" s="1374"/>
      <c r="AJ207" s="1374"/>
      <c r="AK207" s="1374"/>
      <c r="AL207" s="1374"/>
      <c r="AM207" s="1374"/>
      <c r="AN207" s="1374"/>
      <c r="AO207" s="1374"/>
      <c r="AP207" s="1374"/>
      <c r="AQ207" s="1374"/>
      <c r="AR207" s="1374"/>
      <c r="AS207" s="1374"/>
      <c r="AT207" s="1374"/>
      <c r="AU207" s="1374"/>
      <c r="AV207" s="1374"/>
      <c r="AW207" s="1374"/>
      <c r="AX207" s="1374"/>
      <c r="AY207" s="1374"/>
      <c r="AZ207" s="1374"/>
      <c r="BA207" s="1374"/>
      <c r="BB207" s="1374"/>
      <c r="BC207" s="1374"/>
      <c r="BD207" s="1374"/>
      <c r="BE207" s="1374"/>
      <c r="BF207" s="1374"/>
      <c r="BG207" s="1374"/>
      <c r="BH207" s="1374"/>
      <c r="BI207" s="1374"/>
      <c r="BJ207" s="1374"/>
      <c r="BK207" s="1374"/>
      <c r="BL207" s="1374"/>
      <c r="BM207" s="1374"/>
      <c r="BN207" s="1374"/>
      <c r="BO207" s="1374"/>
      <c r="BP207" s="1374"/>
      <c r="BQ207" s="1374"/>
      <c r="BR207" s="1374"/>
      <c r="BS207" s="1374"/>
      <c r="BT207" s="1374"/>
      <c r="BU207" s="1374"/>
      <c r="BV207" s="1374"/>
      <c r="BW207" s="1374"/>
      <c r="BX207" s="1374"/>
      <c r="BY207" s="1374"/>
      <c r="BZ207" s="1374"/>
      <c r="CA207" s="1374"/>
      <c r="CB207" s="1374"/>
      <c r="CC207" s="1374"/>
      <c r="CD207" s="1374"/>
      <c r="CE207" s="1374"/>
      <c r="CF207" s="1374"/>
      <c r="CG207" s="1374"/>
      <c r="CH207" s="1374"/>
      <c r="CI207" s="1374"/>
      <c r="CJ207" s="1374"/>
      <c r="CK207" s="1374"/>
      <c r="CL207" s="1374"/>
      <c r="CM207" s="1374"/>
      <c r="CN207" s="1374"/>
      <c r="CO207" s="1374"/>
      <c r="CP207" s="1374"/>
      <c r="CQ207" s="1374"/>
      <c r="CR207" s="1374"/>
      <c r="CS207" s="1374"/>
      <c r="CT207" s="1374"/>
      <c r="CU207" s="1374"/>
      <c r="CV207" s="1374"/>
      <c r="CW207" s="1374"/>
      <c r="CX207" s="1374"/>
      <c r="CY207" s="1374"/>
      <c r="CZ207" s="1374"/>
      <c r="DA207" s="1374"/>
      <c r="DB207" s="1374"/>
      <c r="DC207" s="1374"/>
      <c r="DD207" s="1374"/>
      <c r="DE207" s="1374"/>
      <c r="DF207" s="1374"/>
      <c r="DG207" s="1374"/>
      <c r="DH207" s="1374"/>
      <c r="DI207" s="1374"/>
      <c r="DJ207" s="1374"/>
      <c r="DK207" s="1374"/>
      <c r="DL207" s="1374"/>
      <c r="DM207" s="1374"/>
      <c r="DN207" s="1374"/>
      <c r="DO207" s="1374"/>
      <c r="DP207" s="1374"/>
      <c r="DQ207" s="1374"/>
      <c r="DR207" s="1374"/>
      <c r="DS207" s="1374"/>
      <c r="DT207" s="1374"/>
      <c r="DU207" s="1374"/>
      <c r="DV207" s="1374"/>
      <c r="DW207" s="1374"/>
      <c r="DX207" s="1374"/>
      <c r="DY207" s="1374"/>
      <c r="DZ207" s="1374"/>
      <c r="EA207" s="1439"/>
    </row>
    <row r="208" spans="1:131" x14ac:dyDescent="0.3">
      <c r="A208" s="1405" t="s">
        <v>100</v>
      </c>
      <c r="B208" s="608" t="s">
        <v>210</v>
      </c>
      <c r="C208" s="608" t="s">
        <v>220</v>
      </c>
      <c r="D208" s="608" t="s">
        <v>214</v>
      </c>
      <c r="E208" s="608" t="s">
        <v>201</v>
      </c>
      <c r="F208" s="608" t="s">
        <v>226</v>
      </c>
      <c r="G208" s="608" t="s">
        <v>223</v>
      </c>
      <c r="H208" s="608" t="s">
        <v>216</v>
      </c>
      <c r="I208" s="608" t="s">
        <v>224</v>
      </c>
      <c r="J208" s="608" t="s">
        <v>229</v>
      </c>
      <c r="K208" s="608" t="s">
        <v>215</v>
      </c>
      <c r="L208" s="608" t="s">
        <v>227</v>
      </c>
      <c r="M208" s="608" t="s">
        <v>222</v>
      </c>
      <c r="N208" s="608"/>
      <c r="O208" s="608"/>
      <c r="P208" s="608"/>
      <c r="Q208" s="608"/>
      <c r="R208" s="608"/>
      <c r="S208" s="608"/>
      <c r="T208" s="608"/>
      <c r="U208" s="608"/>
      <c r="V208" s="608"/>
      <c r="W208" s="608"/>
      <c r="X208" s="608"/>
      <c r="Y208" s="911"/>
      <c r="Z208" s="1374"/>
      <c r="AA208" s="1374"/>
      <c r="AB208" s="1374"/>
      <c r="AC208" s="1374"/>
      <c r="AD208" s="1374"/>
      <c r="AE208" s="1374"/>
      <c r="AF208" s="1374"/>
      <c r="AG208" s="1374"/>
      <c r="AH208" s="1374"/>
      <c r="AI208" s="1374"/>
      <c r="AJ208" s="1374"/>
      <c r="AK208" s="1374"/>
      <c r="AL208" s="1374"/>
      <c r="AM208" s="1374"/>
      <c r="AN208" s="1374"/>
      <c r="AO208" s="1374"/>
      <c r="AP208" s="1374"/>
      <c r="AQ208" s="1374"/>
      <c r="AR208" s="1374"/>
      <c r="AS208" s="1374"/>
      <c r="AT208" s="1374"/>
      <c r="AU208" s="1374"/>
      <c r="AV208" s="1374"/>
      <c r="AW208" s="1374"/>
      <c r="AX208" s="1374"/>
      <c r="AY208" s="1374"/>
      <c r="AZ208" s="1374"/>
      <c r="BA208" s="1374"/>
      <c r="BB208" s="1374"/>
      <c r="BC208" s="1374"/>
      <c r="BD208" s="1374"/>
      <c r="BE208" s="1374"/>
      <c r="BF208" s="1374"/>
      <c r="BG208" s="1374"/>
      <c r="BH208" s="1374"/>
      <c r="BI208" s="1374"/>
      <c r="BJ208" s="1374"/>
      <c r="BK208" s="1374"/>
      <c r="BL208" s="1374"/>
      <c r="BM208" s="1374"/>
      <c r="BN208" s="1374"/>
      <c r="BO208" s="1374"/>
      <c r="BP208" s="1374"/>
      <c r="BQ208" s="1374"/>
      <c r="BR208" s="1374"/>
      <c r="BS208" s="1374"/>
      <c r="BT208" s="1374"/>
      <c r="BU208" s="1374"/>
      <c r="BV208" s="1374"/>
      <c r="BW208" s="1374"/>
      <c r="BX208" s="1374"/>
      <c r="BY208" s="1374"/>
      <c r="BZ208" s="1374"/>
      <c r="CA208" s="1374"/>
      <c r="CB208" s="1374"/>
      <c r="CC208" s="1374"/>
      <c r="CD208" s="1374"/>
      <c r="CE208" s="1374"/>
      <c r="CF208" s="1374"/>
      <c r="CG208" s="1374"/>
      <c r="CH208" s="1374"/>
      <c r="CI208" s="1374"/>
      <c r="CJ208" s="1374"/>
      <c r="CK208" s="1374"/>
      <c r="CL208" s="1374"/>
      <c r="CM208" s="1374"/>
      <c r="CN208" s="1374"/>
      <c r="CO208" s="1374"/>
      <c r="CP208" s="1374"/>
      <c r="CQ208" s="1374"/>
      <c r="CR208" s="1374"/>
      <c r="CS208" s="1374"/>
      <c r="CT208" s="1374"/>
      <c r="CU208" s="1374"/>
      <c r="CV208" s="1374"/>
      <c r="CW208" s="1374"/>
      <c r="CX208" s="1374"/>
      <c r="CY208" s="1374"/>
      <c r="CZ208" s="1374"/>
      <c r="DA208" s="1374"/>
      <c r="DB208" s="1374"/>
      <c r="DC208" s="1374"/>
      <c r="DD208" s="1374"/>
      <c r="DE208" s="1374"/>
      <c r="DF208" s="1374"/>
      <c r="DG208" s="1374"/>
      <c r="DH208" s="1374"/>
      <c r="DI208" s="1374"/>
      <c r="DJ208" s="1374"/>
      <c r="DK208" s="1374"/>
      <c r="DL208" s="1374"/>
      <c r="DM208" s="1374"/>
      <c r="DN208" s="1374"/>
      <c r="DO208" s="1374"/>
      <c r="DP208" s="1374"/>
      <c r="DQ208" s="1374"/>
      <c r="DR208" s="1374"/>
      <c r="DS208" s="1374"/>
      <c r="DT208" s="1374"/>
      <c r="DU208" s="1374"/>
      <c r="DV208" s="1374"/>
      <c r="DW208" s="1374"/>
      <c r="DX208" s="1374"/>
      <c r="DY208" s="1374"/>
      <c r="DZ208" s="1374"/>
      <c r="EA208" s="1439"/>
    </row>
    <row r="209" spans="1:131" x14ac:dyDescent="0.3">
      <c r="A209" s="1405" t="s">
        <v>101</v>
      </c>
      <c r="B209" s="608" t="s">
        <v>219</v>
      </c>
      <c r="C209" s="608" t="s">
        <v>228</v>
      </c>
      <c r="D209" s="608" t="s">
        <v>199</v>
      </c>
      <c r="E209" s="608" t="s">
        <v>209</v>
      </c>
      <c r="F209" s="608"/>
      <c r="G209" s="608"/>
      <c r="H209" s="608"/>
      <c r="I209" s="608"/>
      <c r="J209" s="608"/>
      <c r="K209" s="608"/>
      <c r="L209" s="608"/>
      <c r="M209" s="608"/>
      <c r="N209" s="608"/>
      <c r="O209" s="608"/>
      <c r="P209" s="608"/>
      <c r="Q209" s="608"/>
      <c r="R209" s="608"/>
      <c r="S209" s="608"/>
      <c r="T209" s="608"/>
      <c r="U209" s="608"/>
      <c r="V209" s="608"/>
      <c r="W209" s="608"/>
      <c r="X209" s="608"/>
      <c r="Y209" s="911"/>
      <c r="Z209" s="1374"/>
      <c r="AA209" s="1374"/>
      <c r="AB209" s="1374"/>
      <c r="AC209" s="1374"/>
      <c r="AD209" s="1374"/>
      <c r="AE209" s="1374"/>
      <c r="AF209" s="1374"/>
      <c r="AG209" s="1374"/>
      <c r="AH209" s="1374"/>
      <c r="AI209" s="1374"/>
      <c r="AJ209" s="1374"/>
      <c r="AK209" s="1374"/>
      <c r="AL209" s="1374"/>
      <c r="AM209" s="1374"/>
      <c r="AN209" s="1374"/>
      <c r="AO209" s="1374"/>
      <c r="AP209" s="1374"/>
      <c r="AQ209" s="1374"/>
      <c r="AR209" s="1374"/>
      <c r="AS209" s="1374"/>
      <c r="AT209" s="1374"/>
      <c r="AU209" s="1374"/>
      <c r="AV209" s="1374"/>
      <c r="AW209" s="1374"/>
      <c r="AX209" s="1374"/>
      <c r="AY209" s="1374"/>
      <c r="AZ209" s="1374"/>
      <c r="BA209" s="1374"/>
      <c r="BB209" s="1374"/>
      <c r="BC209" s="1374"/>
      <c r="BD209" s="1374"/>
      <c r="BE209" s="1374"/>
      <c r="BF209" s="1374"/>
      <c r="BG209" s="1374"/>
      <c r="BH209" s="1374"/>
      <c r="BI209" s="1374"/>
      <c r="BJ209" s="1374"/>
      <c r="BK209" s="1374"/>
      <c r="BL209" s="1374"/>
      <c r="BM209" s="1374"/>
      <c r="BN209" s="1374"/>
      <c r="BO209" s="1374"/>
      <c r="BP209" s="1374"/>
      <c r="BQ209" s="1374"/>
      <c r="BR209" s="1374"/>
      <c r="BS209" s="1374"/>
      <c r="BT209" s="1374"/>
      <c r="BU209" s="1374"/>
      <c r="BV209" s="1374"/>
      <c r="BW209" s="1374"/>
      <c r="BX209" s="1374"/>
      <c r="BY209" s="1374"/>
      <c r="BZ209" s="1374"/>
      <c r="CA209" s="1374"/>
      <c r="CB209" s="1374"/>
      <c r="CC209" s="1374"/>
      <c r="CD209" s="1374"/>
      <c r="CE209" s="1374"/>
      <c r="CF209" s="1374"/>
      <c r="CG209" s="1374"/>
      <c r="CH209" s="1374"/>
      <c r="CI209" s="1374"/>
      <c r="CJ209" s="1374"/>
      <c r="CK209" s="1374"/>
      <c r="CL209" s="1374"/>
      <c r="CM209" s="1374"/>
      <c r="CN209" s="1374"/>
      <c r="CO209" s="1374"/>
      <c r="CP209" s="1374"/>
      <c r="CQ209" s="1374"/>
      <c r="CR209" s="1374"/>
      <c r="CS209" s="1374"/>
      <c r="CT209" s="1374"/>
      <c r="CU209" s="1374"/>
      <c r="CV209" s="1374"/>
      <c r="CW209" s="1374"/>
      <c r="CX209" s="1374"/>
      <c r="CY209" s="1374"/>
      <c r="CZ209" s="1374"/>
      <c r="DA209" s="1374"/>
      <c r="DB209" s="1374"/>
      <c r="DC209" s="1374"/>
      <c r="DD209" s="1374"/>
      <c r="DE209" s="1374"/>
      <c r="DF209" s="1374"/>
      <c r="DG209" s="1374"/>
      <c r="DH209" s="1374"/>
      <c r="DI209" s="1374"/>
      <c r="DJ209" s="1374"/>
      <c r="DK209" s="1374"/>
      <c r="DL209" s="1374"/>
      <c r="DM209" s="1374"/>
      <c r="DN209" s="1374"/>
      <c r="DO209" s="1374"/>
      <c r="DP209" s="1374"/>
      <c r="DQ209" s="1374"/>
      <c r="DR209" s="1374"/>
      <c r="DS209" s="1374"/>
      <c r="DT209" s="1374"/>
      <c r="DU209" s="1374"/>
      <c r="DV209" s="1374"/>
      <c r="DW209" s="1374"/>
      <c r="DX209" s="1374"/>
      <c r="DY209" s="1374"/>
      <c r="DZ209" s="1374"/>
      <c r="EA209" s="1439"/>
    </row>
    <row r="210" spans="1:131" x14ac:dyDescent="0.3">
      <c r="A210" s="941"/>
      <c r="B210" s="922"/>
      <c r="C210" s="923"/>
      <c r="D210" s="923"/>
      <c r="E210" s="918"/>
      <c r="F210" s="918"/>
      <c r="G210" s="918"/>
      <c r="H210" s="918"/>
      <c r="I210" s="918"/>
      <c r="J210" s="918"/>
      <c r="K210" s="918"/>
      <c r="L210" s="918"/>
      <c r="M210" s="918"/>
      <c r="N210" s="918"/>
      <c r="O210" s="918"/>
      <c r="P210" s="918"/>
      <c r="Q210" s="918"/>
      <c r="R210" s="918"/>
      <c r="S210" s="918"/>
      <c r="T210" s="918"/>
      <c r="U210" s="918"/>
      <c r="V210" s="918"/>
      <c r="W210" s="918"/>
      <c r="X210" s="918"/>
      <c r="Y210" s="919"/>
      <c r="Z210" s="1374"/>
      <c r="AA210" s="1374"/>
      <c r="AB210" s="1374"/>
      <c r="AC210" s="1374"/>
      <c r="AD210" s="1374"/>
      <c r="AE210" s="1374"/>
      <c r="AF210" s="1374"/>
      <c r="AG210" s="1374"/>
      <c r="AH210" s="1374"/>
      <c r="AI210" s="1374"/>
      <c r="AJ210" s="1374"/>
      <c r="AK210" s="1374"/>
      <c r="AL210" s="1374"/>
      <c r="AM210" s="1374"/>
      <c r="AN210" s="1374"/>
      <c r="AO210" s="1374"/>
      <c r="AP210" s="1374"/>
      <c r="AQ210" s="1374"/>
      <c r="AR210" s="1374"/>
      <c r="AS210" s="1374"/>
      <c r="AT210" s="1374"/>
      <c r="AU210" s="1374"/>
      <c r="AV210" s="1374"/>
      <c r="AW210" s="1374"/>
      <c r="AX210" s="1374"/>
      <c r="AY210" s="1374"/>
      <c r="AZ210" s="1374"/>
      <c r="BA210" s="1374"/>
      <c r="BB210" s="1374"/>
      <c r="BC210" s="1374"/>
      <c r="BD210" s="1374"/>
      <c r="BE210" s="1374"/>
      <c r="BF210" s="1374"/>
      <c r="BG210" s="1374"/>
      <c r="BH210" s="1374"/>
      <c r="BI210" s="1374"/>
      <c r="BJ210" s="1374"/>
      <c r="BK210" s="1374"/>
      <c r="BL210" s="1374"/>
      <c r="BM210" s="1374"/>
      <c r="BN210" s="1374"/>
      <c r="BO210" s="1374"/>
      <c r="BP210" s="1374"/>
      <c r="BQ210" s="1374"/>
      <c r="BR210" s="1374"/>
      <c r="BS210" s="1374"/>
      <c r="BT210" s="1374"/>
      <c r="BU210" s="1374"/>
      <c r="BV210" s="1374"/>
      <c r="BW210" s="1374"/>
      <c r="BX210" s="1374"/>
      <c r="BY210" s="1374"/>
      <c r="BZ210" s="1374"/>
      <c r="CA210" s="1374"/>
      <c r="CB210" s="1374"/>
      <c r="CC210" s="1374"/>
      <c r="CD210" s="1374"/>
      <c r="CE210" s="1374"/>
      <c r="CF210" s="1374"/>
      <c r="CG210" s="1374"/>
      <c r="CH210" s="1374"/>
      <c r="CI210" s="1374"/>
      <c r="CJ210" s="1374"/>
      <c r="CK210" s="1374"/>
      <c r="CL210" s="1374"/>
      <c r="CM210" s="1374"/>
      <c r="CN210" s="1374"/>
      <c r="CO210" s="1374"/>
      <c r="CP210" s="1374"/>
      <c r="CQ210" s="1374"/>
      <c r="CR210" s="1374"/>
      <c r="CS210" s="1374"/>
      <c r="CT210" s="1374"/>
      <c r="CU210" s="1374"/>
      <c r="CV210" s="1374"/>
      <c r="CW210" s="1374"/>
      <c r="CX210" s="1374"/>
      <c r="CY210" s="1374"/>
      <c r="CZ210" s="1374"/>
      <c r="DA210" s="1374"/>
      <c r="DB210" s="1374"/>
      <c r="DC210" s="1374"/>
      <c r="DD210" s="1374"/>
      <c r="DE210" s="1374"/>
      <c r="DF210" s="1374"/>
      <c r="DG210" s="1374"/>
      <c r="DH210" s="1374"/>
      <c r="DI210" s="1374"/>
      <c r="DJ210" s="1374"/>
      <c r="DK210" s="1374"/>
      <c r="DL210" s="1374"/>
      <c r="DM210" s="1374"/>
      <c r="DN210" s="1374"/>
      <c r="DO210" s="1374"/>
      <c r="DP210" s="1374"/>
      <c r="DQ210" s="1374"/>
      <c r="DR210" s="1374"/>
      <c r="DS210" s="1374"/>
      <c r="DT210" s="1374"/>
      <c r="DU210" s="1374"/>
      <c r="DV210" s="1374"/>
      <c r="DW210" s="1374"/>
      <c r="DX210" s="1374"/>
      <c r="DY210" s="1374"/>
      <c r="DZ210" s="1374"/>
      <c r="EA210" s="1439"/>
    </row>
    <row r="211" spans="1:131" x14ac:dyDescent="0.3">
      <c r="A211" s="942"/>
      <c r="B211" s="700"/>
      <c r="C211" s="696"/>
      <c r="D211" s="696"/>
      <c r="E211" s="1374"/>
      <c r="F211" s="1374"/>
      <c r="G211" s="1374"/>
      <c r="H211" s="1374"/>
      <c r="I211" s="1374"/>
      <c r="J211" s="1374"/>
      <c r="K211" s="1374"/>
      <c r="L211" s="1374"/>
      <c r="M211" s="1374"/>
      <c r="N211" s="1374"/>
      <c r="O211" s="1374"/>
      <c r="P211" s="1374"/>
      <c r="Q211" s="1374"/>
      <c r="R211" s="1374"/>
      <c r="S211" s="1374"/>
      <c r="T211" s="1374"/>
      <c r="U211" s="1374"/>
      <c r="V211" s="1374"/>
      <c r="W211" s="1374"/>
      <c r="X211" s="1374"/>
      <c r="Y211" s="1374"/>
      <c r="Z211" s="1374"/>
      <c r="AA211" s="1374"/>
      <c r="AB211" s="1374"/>
      <c r="AC211" s="1374"/>
      <c r="AD211" s="1374"/>
      <c r="AE211" s="1374"/>
      <c r="AF211" s="1374"/>
      <c r="AG211" s="1374"/>
      <c r="AH211" s="1374"/>
      <c r="AI211" s="1374"/>
      <c r="AJ211" s="1374"/>
      <c r="AK211" s="1374"/>
      <c r="AL211" s="1374"/>
      <c r="AM211" s="1374"/>
      <c r="AN211" s="1374"/>
      <c r="AO211" s="1374"/>
      <c r="AP211" s="1374"/>
      <c r="AQ211" s="1374"/>
      <c r="AR211" s="1374"/>
      <c r="AS211" s="1374"/>
      <c r="AT211" s="1374"/>
      <c r="AU211" s="1374"/>
      <c r="AV211" s="1374"/>
      <c r="AW211" s="1374"/>
      <c r="AX211" s="1374"/>
      <c r="AY211" s="1374"/>
      <c r="AZ211" s="1374"/>
      <c r="BA211" s="1374"/>
      <c r="BB211" s="1374"/>
      <c r="BC211" s="1374"/>
      <c r="BD211" s="1374"/>
      <c r="BE211" s="1374"/>
      <c r="BF211" s="1374"/>
      <c r="BG211" s="1374"/>
      <c r="BH211" s="1374"/>
      <c r="BI211" s="1374"/>
      <c r="BJ211" s="1374"/>
      <c r="BK211" s="1374"/>
      <c r="BL211" s="1374"/>
      <c r="BM211" s="1374"/>
      <c r="BN211" s="1374"/>
      <c r="BO211" s="1374"/>
      <c r="BP211" s="1374"/>
      <c r="BQ211" s="1374"/>
      <c r="BR211" s="1374"/>
      <c r="BS211" s="1374"/>
      <c r="BT211" s="1374"/>
      <c r="BU211" s="1374"/>
      <c r="BV211" s="1374"/>
      <c r="BW211" s="1374"/>
      <c r="BX211" s="1374"/>
      <c r="BY211" s="1374"/>
      <c r="BZ211" s="1374"/>
      <c r="CA211" s="1374"/>
      <c r="CB211" s="1374"/>
      <c r="CC211" s="1374"/>
      <c r="CD211" s="1374"/>
      <c r="CE211" s="1374"/>
      <c r="CF211" s="1374"/>
      <c r="CG211" s="1374"/>
      <c r="CH211" s="1374"/>
      <c r="CI211" s="1374"/>
      <c r="CJ211" s="1374"/>
      <c r="CK211" s="1374"/>
      <c r="CL211" s="1374"/>
      <c r="CM211" s="1374"/>
      <c r="CN211" s="1374"/>
      <c r="CO211" s="1374"/>
      <c r="CP211" s="1374"/>
      <c r="CQ211" s="1374"/>
      <c r="CR211" s="1374"/>
      <c r="CS211" s="1374"/>
      <c r="CT211" s="1374"/>
      <c r="CU211" s="1374"/>
      <c r="CV211" s="1374"/>
      <c r="CW211" s="1374"/>
      <c r="CX211" s="1374"/>
      <c r="CY211" s="1374"/>
      <c r="CZ211" s="1374"/>
      <c r="DA211" s="1374"/>
      <c r="DB211" s="1374"/>
      <c r="DC211" s="1374"/>
      <c r="DD211" s="1374"/>
      <c r="DE211" s="1374"/>
      <c r="DF211" s="1374"/>
      <c r="DG211" s="1374"/>
      <c r="DH211" s="1374"/>
      <c r="DI211" s="1374"/>
      <c r="DJ211" s="1374"/>
      <c r="DK211" s="1374"/>
      <c r="DL211" s="1374"/>
      <c r="DM211" s="1374"/>
      <c r="DN211" s="1374"/>
      <c r="DO211" s="1374"/>
      <c r="DP211" s="1374"/>
      <c r="DQ211" s="1374"/>
      <c r="DR211" s="1374"/>
      <c r="DS211" s="1374"/>
      <c r="DT211" s="1374"/>
      <c r="DU211" s="1374"/>
      <c r="DV211" s="1374"/>
      <c r="DW211" s="1374"/>
      <c r="DX211" s="1374"/>
      <c r="DY211" s="1374"/>
      <c r="DZ211" s="1374"/>
      <c r="EA211" s="1439"/>
    </row>
    <row r="212" spans="1:131" ht="14.5" thickBot="1" x14ac:dyDescent="0.35">
      <c r="A212" s="945"/>
      <c r="B212" s="946"/>
      <c r="C212" s="947"/>
      <c r="D212" s="947"/>
      <c r="E212" s="1378"/>
      <c r="F212" s="1378"/>
      <c r="G212" s="1378"/>
      <c r="H212" s="1378"/>
      <c r="I212" s="1378"/>
      <c r="J212" s="1378"/>
      <c r="K212" s="1378"/>
      <c r="L212" s="1378"/>
      <c r="M212" s="1378"/>
      <c r="N212" s="1378"/>
      <c r="O212" s="1378"/>
      <c r="P212" s="1378"/>
      <c r="Q212" s="1378"/>
      <c r="R212" s="1378"/>
      <c r="S212" s="1378"/>
      <c r="T212" s="1378"/>
      <c r="U212" s="1378"/>
      <c r="V212" s="1378"/>
      <c r="W212" s="1378"/>
      <c r="X212" s="1378"/>
      <c r="Y212" s="1378"/>
      <c r="Z212" s="1378"/>
      <c r="AA212" s="1378"/>
      <c r="AB212" s="1378"/>
      <c r="AC212" s="1378"/>
      <c r="AD212" s="1378"/>
      <c r="AE212" s="1378"/>
      <c r="AF212" s="1378"/>
      <c r="AG212" s="1378"/>
      <c r="AH212" s="1378"/>
      <c r="AI212" s="1378"/>
      <c r="AJ212" s="1378"/>
      <c r="AK212" s="1378"/>
      <c r="AL212" s="1378"/>
      <c r="AM212" s="1378"/>
      <c r="AN212" s="1378"/>
      <c r="AO212" s="1378"/>
      <c r="AP212" s="1378"/>
      <c r="AQ212" s="1378"/>
      <c r="AR212" s="1378"/>
      <c r="AS212" s="1378"/>
      <c r="AT212" s="1378"/>
      <c r="AU212" s="1378"/>
      <c r="AV212" s="1378"/>
      <c r="AW212" s="1378"/>
      <c r="AX212" s="1378"/>
      <c r="AY212" s="1378"/>
      <c r="AZ212" s="1378"/>
      <c r="BA212" s="1378"/>
      <c r="BB212" s="1378"/>
      <c r="BC212" s="1378"/>
      <c r="BD212" s="1378"/>
      <c r="BE212" s="1378"/>
      <c r="BF212" s="1378"/>
      <c r="BG212" s="1378"/>
      <c r="BH212" s="1378"/>
      <c r="BI212" s="1378"/>
      <c r="BJ212" s="1378"/>
      <c r="BK212" s="1378"/>
      <c r="BL212" s="1378"/>
      <c r="BM212" s="1378"/>
      <c r="BN212" s="1378"/>
      <c r="BO212" s="1378"/>
      <c r="BP212" s="1378"/>
      <c r="BQ212" s="1378"/>
      <c r="BR212" s="1378"/>
      <c r="BS212" s="1378"/>
      <c r="BT212" s="1378"/>
      <c r="BU212" s="1378"/>
      <c r="BV212" s="1378"/>
      <c r="BW212" s="1378"/>
      <c r="BX212" s="1378"/>
      <c r="BY212" s="1378"/>
      <c r="BZ212" s="1378"/>
      <c r="CA212" s="1378"/>
      <c r="CB212" s="1378"/>
      <c r="CC212" s="1378"/>
      <c r="CD212" s="1378"/>
      <c r="CE212" s="1378"/>
      <c r="CF212" s="1378"/>
      <c r="CG212" s="1378"/>
      <c r="CH212" s="1378"/>
      <c r="CI212" s="1378"/>
      <c r="CJ212" s="1378"/>
      <c r="CK212" s="1378"/>
      <c r="CL212" s="1378"/>
      <c r="CM212" s="1378"/>
      <c r="CN212" s="1378"/>
      <c r="CO212" s="1378"/>
      <c r="CP212" s="1378"/>
      <c r="CQ212" s="1378"/>
      <c r="CR212" s="1378"/>
      <c r="CS212" s="1378"/>
      <c r="CT212" s="1378"/>
      <c r="CU212" s="1378"/>
      <c r="CV212" s="1378"/>
      <c r="CW212" s="1378"/>
      <c r="CX212" s="1378"/>
      <c r="CY212" s="1378"/>
      <c r="CZ212" s="1378"/>
      <c r="DA212" s="1378"/>
      <c r="DB212" s="1378"/>
      <c r="DC212" s="1378"/>
      <c r="DD212" s="1378"/>
      <c r="DE212" s="1378"/>
      <c r="DF212" s="1378"/>
      <c r="DG212" s="1378"/>
      <c r="DH212" s="1378"/>
      <c r="DI212" s="1378"/>
      <c r="DJ212" s="1378"/>
      <c r="DK212" s="1378"/>
      <c r="DL212" s="1378"/>
      <c r="DM212" s="1378"/>
      <c r="DN212" s="1378"/>
      <c r="DO212" s="1378"/>
      <c r="DP212" s="1378"/>
      <c r="DQ212" s="1378"/>
      <c r="DR212" s="1378"/>
      <c r="DS212" s="1378"/>
      <c r="DT212" s="1378"/>
      <c r="DU212" s="1378"/>
      <c r="DV212" s="1378"/>
      <c r="DW212" s="1378"/>
      <c r="DX212" s="1378"/>
      <c r="DY212" s="1378"/>
      <c r="DZ212" s="1378"/>
      <c r="EA212" s="1440"/>
    </row>
    <row r="213" spans="1:131" x14ac:dyDescent="0.3">
      <c r="A213" s="906"/>
      <c r="B213" s="700"/>
      <c r="C213" s="696"/>
      <c r="D213" s="696"/>
    </row>
    <row r="214" spans="1:131" ht="14.5" thickBot="1" x14ac:dyDescent="0.35">
      <c r="A214" s="906"/>
      <c r="B214" s="700"/>
      <c r="C214" s="696"/>
      <c r="D214" s="696"/>
    </row>
    <row r="215" spans="1:131" x14ac:dyDescent="0.3">
      <c r="A215" s="1376"/>
      <c r="B215" s="1377"/>
      <c r="C215" s="1377"/>
      <c r="D215" s="1377"/>
      <c r="E215" s="1377"/>
      <c r="F215" s="1377"/>
      <c r="G215" s="645"/>
    </row>
    <row r="216" spans="1:131" ht="15" customHeight="1" x14ac:dyDescent="0.3">
      <c r="A216" s="2593" t="s">
        <v>529</v>
      </c>
      <c r="B216" s="2594"/>
      <c r="C216" s="2594"/>
      <c r="D216" s="2594"/>
      <c r="E216" s="2594"/>
      <c r="F216" s="2594"/>
      <c r="G216" s="1439"/>
      <c r="R216" s="611"/>
      <c r="S216" s="611"/>
      <c r="T216" s="611"/>
      <c r="U216" s="611"/>
    </row>
    <row r="217" spans="1:131" ht="14.25" customHeight="1" x14ac:dyDescent="0.3">
      <c r="A217" s="2593"/>
      <c r="B217" s="2594"/>
      <c r="C217" s="2594"/>
      <c r="D217" s="2594"/>
      <c r="E217" s="2594"/>
      <c r="F217" s="2594"/>
      <c r="G217" s="1439"/>
      <c r="R217" s="1374"/>
      <c r="S217" s="1374"/>
      <c r="T217" s="1374"/>
      <c r="U217" s="1374"/>
    </row>
    <row r="218" spans="1:131" ht="15" customHeight="1" x14ac:dyDescent="0.3">
      <c r="A218" s="2727"/>
      <c r="B218" s="2728"/>
      <c r="C218" s="2728"/>
      <c r="D218" s="2728"/>
      <c r="E218" s="2728"/>
      <c r="F218" s="2728"/>
      <c r="G218" s="1439"/>
      <c r="R218" s="1374"/>
      <c r="S218" s="1374"/>
      <c r="T218" s="1374"/>
      <c r="U218" s="1374"/>
    </row>
    <row r="219" spans="1:131" ht="18" x14ac:dyDescent="0.4">
      <c r="A219" s="948" t="s">
        <v>254</v>
      </c>
      <c r="B219" s="614" t="s">
        <v>255</v>
      </c>
      <c r="C219" s="613" t="s">
        <v>258</v>
      </c>
      <c r="D219" s="615" t="s">
        <v>263</v>
      </c>
      <c r="E219" s="1191" t="s">
        <v>554</v>
      </c>
      <c r="F219" s="613" t="s">
        <v>554</v>
      </c>
      <c r="G219" s="1439"/>
      <c r="R219" s="1374"/>
      <c r="S219" s="1374"/>
      <c r="T219" s="1374"/>
      <c r="U219" s="1374"/>
    </row>
    <row r="220" spans="1:131" x14ac:dyDescent="0.3">
      <c r="A220" s="949" t="s">
        <v>251</v>
      </c>
      <c r="B220" s="616" t="s">
        <v>256</v>
      </c>
      <c r="C220" s="1400" t="s">
        <v>259</v>
      </c>
      <c r="D220" s="1400" t="s">
        <v>339</v>
      </c>
      <c r="E220" s="1188" t="s">
        <v>555</v>
      </c>
      <c r="F220" s="1400" t="s">
        <v>568</v>
      </c>
      <c r="G220" s="1439"/>
      <c r="R220" s="1374"/>
      <c r="S220" s="1374"/>
      <c r="T220" s="1374"/>
      <c r="U220" s="1374"/>
      <c r="CH220" s="564"/>
      <c r="CI220" s="564"/>
      <c r="CJ220" s="564"/>
      <c r="CK220" s="564"/>
      <c r="CL220" s="564"/>
      <c r="CM220" s="564"/>
      <c r="CN220" s="564"/>
      <c r="CP220" s="564"/>
    </row>
    <row r="221" spans="1:131" x14ac:dyDescent="0.3">
      <c r="A221" s="949" t="s">
        <v>252</v>
      </c>
      <c r="B221" s="616" t="s">
        <v>257</v>
      </c>
      <c r="C221" s="1400" t="s">
        <v>260</v>
      </c>
      <c r="D221" s="1400" t="s">
        <v>340</v>
      </c>
      <c r="E221" s="1188" t="s">
        <v>601</v>
      </c>
      <c r="F221" s="1400" t="s">
        <v>556</v>
      </c>
      <c r="G221" s="1439"/>
      <c r="CH221" s="564"/>
      <c r="CI221" s="564"/>
      <c r="CJ221" s="564"/>
      <c r="CK221" s="564"/>
      <c r="CL221" s="564"/>
      <c r="CM221" s="564"/>
      <c r="CN221" s="564"/>
      <c r="CP221" s="564"/>
    </row>
    <row r="222" spans="1:131" ht="17.25" customHeight="1" x14ac:dyDescent="0.3">
      <c r="A222" s="950"/>
      <c r="B222" s="617"/>
      <c r="C222" s="1400" t="s">
        <v>261</v>
      </c>
      <c r="D222" s="1400" t="s">
        <v>317</v>
      </c>
      <c r="E222" s="1188" t="s">
        <v>556</v>
      </c>
      <c r="F222" s="1076"/>
      <c r="G222" s="1439"/>
      <c r="CH222" s="564"/>
      <c r="CI222" s="564"/>
      <c r="CJ222" s="564"/>
      <c r="CK222" s="564"/>
      <c r="CL222" s="564"/>
      <c r="CM222" s="564"/>
      <c r="CN222" s="564"/>
      <c r="CP222" s="564"/>
    </row>
    <row r="223" spans="1:131" ht="16.5" customHeight="1" thickBot="1" x14ac:dyDescent="0.35">
      <c r="A223" s="951"/>
      <c r="B223" s="952"/>
      <c r="C223" s="1378"/>
      <c r="D223" s="1378"/>
      <c r="E223" s="1378"/>
      <c r="F223" s="1378"/>
      <c r="G223" s="1440"/>
      <c r="CH223" s="564"/>
      <c r="CI223" s="564"/>
      <c r="CJ223" s="564"/>
      <c r="CK223" s="564"/>
      <c r="CL223" s="564"/>
      <c r="CM223" s="564"/>
      <c r="CN223" s="564"/>
      <c r="CP223" s="564"/>
    </row>
    <row r="224" spans="1:131" x14ac:dyDescent="0.3">
      <c r="A224" s="206"/>
      <c r="B224" s="1374"/>
      <c r="CH224" s="564"/>
      <c r="CI224" s="564"/>
      <c r="CJ224" s="564"/>
      <c r="CK224" s="564"/>
      <c r="CL224" s="564"/>
      <c r="CM224" s="564"/>
      <c r="CN224" s="564"/>
      <c r="CP224" s="564"/>
    </row>
    <row r="225" spans="1:94" x14ac:dyDescent="0.3">
      <c r="A225" s="206"/>
      <c r="B225" s="1374"/>
      <c r="CH225" s="564"/>
      <c r="CI225" s="564"/>
      <c r="CJ225" s="564"/>
      <c r="CK225" s="564"/>
      <c r="CL225" s="564"/>
      <c r="CM225" s="564"/>
      <c r="CN225" s="564"/>
      <c r="CP225" s="564"/>
    </row>
    <row r="226" spans="1:94" ht="14.5" thickBot="1" x14ac:dyDescent="0.35">
      <c r="A226" s="206"/>
      <c r="B226" s="1374"/>
      <c r="CH226" s="564"/>
      <c r="CI226" s="564"/>
      <c r="CJ226" s="564"/>
      <c r="CK226" s="564"/>
      <c r="CL226" s="564"/>
      <c r="CM226" s="564"/>
      <c r="CN226" s="564"/>
      <c r="CP226" s="564"/>
    </row>
    <row r="227" spans="1:94" x14ac:dyDescent="0.3">
      <c r="A227" s="962"/>
      <c r="B227" s="1377"/>
      <c r="C227" s="1377"/>
      <c r="D227" s="1377"/>
      <c r="E227" s="1377"/>
      <c r="F227" s="1377"/>
      <c r="G227" s="1377"/>
      <c r="H227" s="1377"/>
      <c r="I227" s="1377"/>
      <c r="J227" s="1377"/>
      <c r="K227" s="1377"/>
      <c r="L227" s="1377"/>
      <c r="M227" s="1377"/>
      <c r="N227" s="1377"/>
      <c r="O227" s="1377"/>
      <c r="P227" s="1377"/>
      <c r="Q227" s="1377"/>
      <c r="R227" s="1377"/>
      <c r="S227" s="1377"/>
      <c r="T227" s="1377"/>
      <c r="U227" s="1377"/>
      <c r="V227" s="1377"/>
      <c r="W227" s="1377"/>
      <c r="X227" s="1377"/>
      <c r="Y227" s="1377"/>
      <c r="Z227" s="1377"/>
      <c r="AA227" s="1377"/>
      <c r="AB227" s="1377"/>
      <c r="AC227" s="1377"/>
      <c r="AD227" s="1377"/>
      <c r="AE227" s="1377"/>
      <c r="AF227" s="1377"/>
      <c r="AG227" s="1377"/>
      <c r="AH227" s="1377"/>
      <c r="AI227" s="1377"/>
      <c r="AJ227" s="1377"/>
      <c r="AK227" s="1377"/>
      <c r="AL227" s="1377"/>
      <c r="AM227" s="1377"/>
      <c r="AN227" s="1377"/>
      <c r="AO227" s="1377"/>
      <c r="AP227" s="1541"/>
      <c r="AQ227" s="1541"/>
      <c r="AR227" s="1541"/>
      <c r="AS227" s="645"/>
      <c r="CH227" s="564"/>
      <c r="CI227" s="564"/>
      <c r="CJ227" s="564"/>
      <c r="CK227" s="564"/>
      <c r="CL227" s="564"/>
      <c r="CM227" s="564"/>
      <c r="CN227" s="564"/>
      <c r="CP227" s="564"/>
    </row>
    <row r="228" spans="1:94" x14ac:dyDescent="0.3">
      <c r="A228" s="2593" t="s">
        <v>528</v>
      </c>
      <c r="B228" s="2594"/>
      <c r="C228" s="2594"/>
      <c r="D228" s="2594"/>
      <c r="E228" s="1374"/>
      <c r="F228" s="1374"/>
      <c r="G228" s="1374"/>
      <c r="H228" s="1374"/>
      <c r="I228" s="1374"/>
      <c r="J228" s="1374"/>
      <c r="K228" s="1374"/>
      <c r="L228" s="1374"/>
      <c r="M228" s="1374"/>
      <c r="N228" s="1374"/>
      <c r="O228" s="1374"/>
      <c r="P228" s="1374"/>
      <c r="Q228" s="1374"/>
      <c r="R228" s="1374"/>
      <c r="S228" s="1374"/>
      <c r="T228" s="1374"/>
      <c r="U228" s="1374"/>
      <c r="V228" s="1374"/>
      <c r="W228" s="1374"/>
      <c r="X228" s="1374"/>
      <c r="Y228" s="1374"/>
      <c r="Z228" s="1374"/>
      <c r="AA228" s="1374"/>
      <c r="AB228" s="1374"/>
      <c r="AC228" s="1374"/>
      <c r="AD228" s="1374"/>
      <c r="AE228" s="1374"/>
      <c r="AF228" s="1374"/>
      <c r="AG228" s="1374"/>
      <c r="AH228" s="1374"/>
      <c r="AI228" s="1374"/>
      <c r="AJ228" s="1374"/>
      <c r="AK228" s="1374"/>
      <c r="AL228" s="1374"/>
      <c r="AM228" s="1374"/>
      <c r="AN228" s="1374"/>
      <c r="AO228" s="1374"/>
      <c r="AP228" s="1540"/>
      <c r="AQ228" s="1540"/>
      <c r="AR228" s="1540"/>
      <c r="AS228" s="1493"/>
      <c r="CH228" s="564"/>
      <c r="CI228" s="564"/>
      <c r="CJ228" s="564"/>
      <c r="CK228" s="564"/>
      <c r="CL228" s="564"/>
      <c r="CM228" s="564"/>
      <c r="CN228" s="564"/>
      <c r="CP228" s="564"/>
    </row>
    <row r="229" spans="1:94" x14ac:dyDescent="0.3">
      <c r="A229" s="2593"/>
      <c r="B229" s="2594"/>
      <c r="C229" s="2594"/>
      <c r="D229" s="2594"/>
      <c r="E229" s="1374"/>
      <c r="F229" s="1374"/>
      <c r="G229" s="1374"/>
      <c r="H229" s="1374"/>
      <c r="I229" s="1374"/>
      <c r="J229" s="1374"/>
      <c r="K229" s="1374"/>
      <c r="L229" s="1374"/>
      <c r="M229" s="1374"/>
      <c r="N229" s="1374"/>
      <c r="O229" s="1374"/>
      <c r="P229" s="1374"/>
      <c r="Q229" s="1374"/>
      <c r="R229" s="1374"/>
      <c r="S229" s="1374"/>
      <c r="T229" s="1374"/>
      <c r="U229" s="1374"/>
      <c r="V229" s="1374"/>
      <c r="W229" s="1374"/>
      <c r="X229" s="1374"/>
      <c r="Y229" s="1374"/>
      <c r="Z229" s="1374"/>
      <c r="AA229" s="1374"/>
      <c r="AB229" s="1374"/>
      <c r="AC229" s="1374"/>
      <c r="AD229" s="1374"/>
      <c r="AE229" s="1374"/>
      <c r="AF229" s="1374"/>
      <c r="AG229" s="1374"/>
      <c r="AH229" s="1374"/>
      <c r="AI229" s="1374"/>
      <c r="AJ229" s="1374"/>
      <c r="AK229" s="1374"/>
      <c r="AL229" s="1374"/>
      <c r="AM229" s="1374"/>
      <c r="AN229" s="1374"/>
      <c r="AO229" s="1374"/>
      <c r="AP229" s="1540"/>
      <c r="AQ229" s="1540"/>
      <c r="AR229" s="1540"/>
      <c r="AS229" s="1493"/>
      <c r="CH229" s="564"/>
      <c r="CI229" s="564"/>
      <c r="CJ229" s="564"/>
      <c r="CK229" s="564"/>
      <c r="CL229" s="564"/>
      <c r="CM229" s="564"/>
      <c r="CN229" s="564"/>
      <c r="CP229" s="564"/>
    </row>
    <row r="230" spans="1:94" ht="14.5" thickBot="1" x14ac:dyDescent="0.35">
      <c r="A230" s="2809"/>
      <c r="B230" s="2810"/>
      <c r="C230" s="2810"/>
      <c r="D230" s="2810"/>
      <c r="E230" s="1374"/>
      <c r="F230" s="1374"/>
      <c r="G230" s="1374"/>
      <c r="H230" s="1374"/>
      <c r="I230" s="1374"/>
      <c r="J230" s="1374"/>
      <c r="K230" s="1374"/>
      <c r="L230" s="1374"/>
      <c r="M230" s="1374"/>
      <c r="N230" s="1374"/>
      <c r="O230" s="1374"/>
      <c r="P230" s="1374"/>
      <c r="Q230" s="1374"/>
      <c r="R230" s="1374"/>
      <c r="S230" s="1374"/>
      <c r="T230" s="1374"/>
      <c r="U230" s="1374"/>
      <c r="V230" s="1374"/>
      <c r="W230" s="1374"/>
      <c r="X230" s="1374"/>
      <c r="Y230" s="1374"/>
      <c r="Z230" s="1374"/>
      <c r="AA230" s="1374"/>
      <c r="AB230" s="1374"/>
      <c r="AC230" s="1374"/>
      <c r="AD230" s="1374"/>
      <c r="AE230" s="1374"/>
      <c r="AF230" s="1374"/>
      <c r="AG230" s="1374"/>
      <c r="AH230" s="1374"/>
      <c r="AI230" s="1374"/>
      <c r="AJ230" s="1374"/>
      <c r="AK230" s="1374"/>
      <c r="AL230" s="1374"/>
      <c r="AM230" s="1374"/>
      <c r="AN230" s="1374"/>
      <c r="AO230" s="1374"/>
      <c r="AP230" s="1540"/>
      <c r="AQ230" s="1540"/>
      <c r="AR230" s="1540"/>
      <c r="AS230" s="1493"/>
      <c r="CH230" s="564"/>
      <c r="CI230" s="564"/>
      <c r="CJ230" s="564"/>
      <c r="CK230" s="564"/>
      <c r="CL230" s="564"/>
      <c r="CM230" s="564"/>
      <c r="CN230" s="564"/>
      <c r="CP230" s="564"/>
    </row>
    <row r="231" spans="1:94" x14ac:dyDescent="0.3">
      <c r="A231" s="963"/>
      <c r="B231" s="1374"/>
      <c r="C231" s="1374"/>
      <c r="D231" s="1374"/>
      <c r="E231" s="1374"/>
      <c r="F231" s="1374"/>
      <c r="G231" s="1374"/>
      <c r="H231" s="1374"/>
      <c r="I231" s="1374"/>
      <c r="J231" s="1374"/>
      <c r="K231" s="1374"/>
      <c r="L231" s="1374"/>
      <c r="M231" s="1374"/>
      <c r="N231" s="1374"/>
      <c r="O231" s="1374"/>
      <c r="P231" s="1374"/>
      <c r="Q231" s="1374"/>
      <c r="R231" s="1374"/>
      <c r="S231" s="1374"/>
      <c r="T231" s="1374"/>
      <c r="U231" s="1374"/>
      <c r="V231" s="1374"/>
      <c r="W231" s="1374"/>
      <c r="X231" s="1374"/>
      <c r="Y231" s="1374"/>
      <c r="Z231" s="1374"/>
      <c r="AA231" s="1374"/>
      <c r="AB231" s="1374"/>
      <c r="AC231" s="1374"/>
      <c r="AD231" s="1374"/>
      <c r="AE231" s="1374"/>
      <c r="AF231" s="1374"/>
      <c r="AG231" s="1374"/>
      <c r="AH231" s="1374"/>
      <c r="AI231" s="1374"/>
      <c r="AJ231" s="1374"/>
      <c r="AK231" s="1374"/>
      <c r="AL231" s="1374"/>
      <c r="AM231" s="1374"/>
      <c r="AN231" s="1374"/>
      <c r="AO231" s="1374"/>
      <c r="AP231" s="1540"/>
      <c r="AQ231" s="1540"/>
      <c r="AR231" s="1540"/>
      <c r="AS231" s="1493"/>
      <c r="CH231" s="564"/>
      <c r="CI231" s="564"/>
      <c r="CJ231" s="564"/>
      <c r="CK231" s="564"/>
      <c r="CL231" s="564"/>
      <c r="CM231" s="564"/>
      <c r="CN231" s="564"/>
      <c r="CP231" s="564"/>
    </row>
    <row r="232" spans="1:94" ht="14.5" thickBot="1" x14ac:dyDescent="0.35">
      <c r="A232" s="964"/>
      <c r="B232" s="908"/>
      <c r="C232" s="908"/>
      <c r="D232" s="908"/>
      <c r="E232" s="908"/>
      <c r="F232" s="908"/>
      <c r="G232" s="908"/>
      <c r="H232" s="908"/>
      <c r="I232" s="908"/>
      <c r="J232" s="908"/>
      <c r="K232" s="908"/>
      <c r="L232" s="908"/>
      <c r="M232" s="908"/>
      <c r="N232" s="908"/>
      <c r="O232" s="908"/>
      <c r="P232" s="908"/>
      <c r="Q232" s="908"/>
      <c r="R232" s="909"/>
      <c r="S232" s="1374"/>
      <c r="T232" s="1374"/>
      <c r="U232" s="1374"/>
      <c r="V232" s="1374"/>
      <c r="W232" s="1374"/>
      <c r="X232" s="1374"/>
      <c r="Y232" s="1374"/>
      <c r="Z232" s="1374"/>
      <c r="AA232" s="1374"/>
      <c r="AB232" s="1374"/>
      <c r="AC232" s="1374"/>
      <c r="AD232" s="1374"/>
      <c r="AE232" s="1374"/>
      <c r="AF232" s="1374"/>
      <c r="AG232" s="1374"/>
      <c r="AH232" s="1374"/>
      <c r="AI232" s="1374"/>
      <c r="AJ232" s="1374"/>
      <c r="AK232" s="1374"/>
      <c r="AL232" s="1374"/>
      <c r="AM232" s="1374"/>
      <c r="AN232" s="1374"/>
      <c r="AO232" s="1374"/>
      <c r="AP232" s="1540"/>
      <c r="AQ232" s="1540"/>
      <c r="AR232" s="1540"/>
      <c r="AS232" s="1493"/>
      <c r="CH232" s="564"/>
      <c r="CI232" s="564"/>
      <c r="CJ232" s="564"/>
      <c r="CK232" s="564"/>
      <c r="CL232" s="564"/>
      <c r="CM232" s="564"/>
      <c r="CN232" s="564"/>
      <c r="CP232" s="564"/>
    </row>
    <row r="233" spans="1:94" ht="15" customHeight="1" x14ac:dyDescent="0.3">
      <c r="A233" s="2698" t="s">
        <v>497</v>
      </c>
      <c r="B233" s="2699"/>
      <c r="C233" s="2699"/>
      <c r="D233" s="2699"/>
      <c r="E233" s="2699"/>
      <c r="F233" s="2699"/>
      <c r="G233" s="2699"/>
      <c r="H233" s="2699"/>
      <c r="I233" s="2699"/>
      <c r="J233" s="2699"/>
      <c r="K233" s="2699"/>
      <c r="L233" s="2699"/>
      <c r="M233" s="2699"/>
      <c r="N233" s="2699"/>
      <c r="O233" s="2699"/>
      <c r="P233" s="2699"/>
      <c r="Q233" s="2700"/>
      <c r="R233" s="911"/>
      <c r="S233" s="1374"/>
      <c r="T233" s="1374"/>
      <c r="U233" s="1374"/>
      <c r="V233" s="1374"/>
      <c r="W233" s="1374"/>
      <c r="X233" s="1374"/>
      <c r="Y233" s="1374"/>
      <c r="Z233" s="1374"/>
      <c r="AA233" s="1374"/>
      <c r="AB233" s="1374"/>
      <c r="AC233" s="1374"/>
      <c r="AD233" s="1374"/>
      <c r="AE233" s="1374"/>
      <c r="AF233" s="1374"/>
      <c r="AG233" s="1374"/>
      <c r="AH233" s="1374"/>
      <c r="AI233" s="1374"/>
      <c r="AJ233" s="1374"/>
      <c r="AK233" s="1374"/>
      <c r="AL233" s="1374"/>
      <c r="AM233" s="1374"/>
      <c r="AN233" s="1374"/>
      <c r="AO233" s="1374"/>
      <c r="AP233" s="1540"/>
      <c r="AQ233" s="1540"/>
      <c r="AR233" s="1540"/>
      <c r="AS233" s="1493"/>
      <c r="CH233" s="564"/>
      <c r="CI233" s="564"/>
      <c r="CJ233" s="564"/>
      <c r="CK233" s="564"/>
      <c r="CL233" s="564"/>
      <c r="CM233" s="564"/>
      <c r="CN233" s="564"/>
      <c r="CP233" s="564"/>
    </row>
    <row r="234" spans="1:94" ht="15" customHeight="1" thickBot="1" x14ac:dyDescent="0.35">
      <c r="A234" s="2701"/>
      <c r="B234" s="2702"/>
      <c r="C234" s="2702"/>
      <c r="D234" s="2702"/>
      <c r="E234" s="2702"/>
      <c r="F234" s="2702"/>
      <c r="G234" s="2702"/>
      <c r="H234" s="2702"/>
      <c r="I234" s="2702"/>
      <c r="J234" s="2702"/>
      <c r="K234" s="2702"/>
      <c r="L234" s="2702"/>
      <c r="M234" s="2702"/>
      <c r="N234" s="2702"/>
      <c r="O234" s="2702"/>
      <c r="P234" s="2702"/>
      <c r="Q234" s="2703"/>
      <c r="R234" s="911"/>
      <c r="S234" s="1374"/>
      <c r="T234" s="1374"/>
      <c r="U234" s="1374"/>
      <c r="V234" s="1374"/>
      <c r="W234" s="1374"/>
      <c r="X234" s="1374"/>
      <c r="Y234" s="1374"/>
      <c r="Z234" s="1374"/>
      <c r="AA234" s="1374"/>
      <c r="AB234" s="1374"/>
      <c r="AC234" s="1374"/>
      <c r="AD234" s="1374"/>
      <c r="AE234" s="1374"/>
      <c r="AF234" s="1374"/>
      <c r="AG234" s="1374"/>
      <c r="AH234" s="1374"/>
      <c r="AI234" s="1374"/>
      <c r="AJ234" s="1374"/>
      <c r="AK234" s="1374"/>
      <c r="AL234" s="1374"/>
      <c r="AM234" s="1374"/>
      <c r="AN234" s="1374"/>
      <c r="AO234" s="1374"/>
      <c r="AP234" s="1540"/>
      <c r="AQ234" s="1540"/>
      <c r="AR234" s="1540"/>
      <c r="AS234" s="1493"/>
      <c r="CH234" s="564"/>
      <c r="CI234" s="564"/>
      <c r="CJ234" s="564"/>
      <c r="CK234" s="564"/>
      <c r="CL234" s="564"/>
      <c r="CM234" s="564"/>
      <c r="CN234" s="564"/>
      <c r="CP234" s="564"/>
    </row>
    <row r="235" spans="1:94" x14ac:dyDescent="0.3">
      <c r="A235" s="963"/>
      <c r="B235" s="1374"/>
      <c r="C235" s="1374"/>
      <c r="D235" s="1374"/>
      <c r="E235" s="1374"/>
      <c r="F235" s="1374"/>
      <c r="G235" s="1374"/>
      <c r="H235" s="1374"/>
      <c r="I235" s="1374"/>
      <c r="J235" s="1374"/>
      <c r="K235" s="1374"/>
      <c r="L235" s="1374"/>
      <c r="M235" s="1374"/>
      <c r="N235" s="1374"/>
      <c r="O235" s="1374"/>
      <c r="P235" s="1374"/>
      <c r="Q235" s="1374"/>
      <c r="R235" s="911"/>
      <c r="S235" s="1374"/>
      <c r="T235" s="1374"/>
      <c r="U235" s="1374"/>
      <c r="V235" s="1374"/>
      <c r="W235" s="1374"/>
      <c r="X235" s="1374"/>
      <c r="Y235" s="1374"/>
      <c r="Z235" s="1374"/>
      <c r="AA235" s="1374"/>
      <c r="AB235" s="1374"/>
      <c r="AC235" s="1374"/>
      <c r="AD235" s="1374"/>
      <c r="AE235" s="1374"/>
      <c r="AF235" s="1374"/>
      <c r="AG235" s="1374"/>
      <c r="AH235" s="1374"/>
      <c r="AI235" s="1374"/>
      <c r="AJ235" s="1374"/>
      <c r="AK235" s="1374"/>
      <c r="AL235" s="1374"/>
      <c r="AM235" s="1374"/>
      <c r="AN235" s="1374"/>
      <c r="AO235" s="1374"/>
      <c r="AP235" s="1540"/>
      <c r="AQ235" s="1540"/>
      <c r="AR235" s="1540"/>
      <c r="AS235" s="1493"/>
      <c r="CH235" s="564"/>
      <c r="CI235" s="564"/>
      <c r="CJ235" s="564"/>
      <c r="CK235" s="564"/>
      <c r="CL235" s="564"/>
      <c r="CM235" s="564"/>
      <c r="CN235" s="564"/>
      <c r="CP235" s="564"/>
    </row>
    <row r="236" spans="1:94" ht="15.5" x14ac:dyDescent="0.3">
      <c r="A236" s="2719" t="s">
        <v>475</v>
      </c>
      <c r="B236" s="2720"/>
      <c r="C236" s="2720"/>
      <c r="D236" s="2720"/>
      <c r="E236" s="2721"/>
      <c r="F236" s="1374"/>
      <c r="G236" s="2722" t="s">
        <v>328</v>
      </c>
      <c r="H236" s="2723"/>
      <c r="I236" s="2723"/>
      <c r="J236" s="2723"/>
      <c r="K236" s="2724"/>
      <c r="L236" s="1374"/>
      <c r="M236" s="2784" t="s">
        <v>330</v>
      </c>
      <c r="N236" s="2785"/>
      <c r="O236" s="2785"/>
      <c r="P236" s="2785"/>
      <c r="Q236" s="2786"/>
      <c r="R236" s="911"/>
      <c r="S236" s="1374"/>
      <c r="T236" s="1374"/>
      <c r="U236" s="1374"/>
      <c r="V236" s="1374"/>
      <c r="W236" s="1374"/>
      <c r="X236" s="1374"/>
      <c r="Y236" s="1374"/>
      <c r="Z236" s="1374"/>
      <c r="AA236" s="1374"/>
      <c r="AB236" s="1374"/>
      <c r="AC236" s="1374"/>
      <c r="AD236" s="1374"/>
      <c r="AE236" s="1374"/>
      <c r="AF236" s="1374"/>
      <c r="AG236" s="1374"/>
      <c r="AH236" s="1374"/>
      <c r="AI236" s="1374"/>
      <c r="AJ236" s="1374"/>
      <c r="AK236" s="1374"/>
      <c r="AL236" s="1374"/>
      <c r="AM236" s="1374"/>
      <c r="AN236" s="1374"/>
      <c r="AO236" s="1374"/>
      <c r="AP236" s="1540"/>
      <c r="AQ236" s="1540"/>
      <c r="AR236" s="1540"/>
      <c r="AS236" s="1493"/>
      <c r="CH236" s="564"/>
      <c r="CI236" s="564"/>
      <c r="CJ236" s="564"/>
      <c r="CK236" s="564"/>
      <c r="CL236" s="564"/>
      <c r="CM236" s="564"/>
      <c r="CN236" s="564"/>
      <c r="CP236" s="564"/>
    </row>
    <row r="237" spans="1:94" x14ac:dyDescent="0.3">
      <c r="A237" s="1072"/>
      <c r="B237" s="1394" t="s">
        <v>54</v>
      </c>
      <c r="C237" s="1394" t="s">
        <v>55</v>
      </c>
      <c r="D237" s="1394" t="s">
        <v>56</v>
      </c>
      <c r="E237" s="1394" t="s">
        <v>57</v>
      </c>
      <c r="F237" s="1374"/>
      <c r="G237" s="1076"/>
      <c r="H237" s="1394" t="s">
        <v>54</v>
      </c>
      <c r="I237" s="1394" t="s">
        <v>55</v>
      </c>
      <c r="J237" s="1394" t="s">
        <v>56</v>
      </c>
      <c r="K237" s="1394" t="s">
        <v>57</v>
      </c>
      <c r="L237" s="1374"/>
      <c r="M237" s="1076"/>
      <c r="N237" s="1394" t="s">
        <v>54</v>
      </c>
      <c r="O237" s="1394" t="s">
        <v>55</v>
      </c>
      <c r="P237" s="1394" t="s">
        <v>56</v>
      </c>
      <c r="Q237" s="1394" t="s">
        <v>57</v>
      </c>
      <c r="R237" s="911"/>
      <c r="S237" s="1374"/>
      <c r="T237" s="1374"/>
      <c r="U237" s="1374"/>
      <c r="V237" s="1374"/>
      <c r="W237" s="1374"/>
      <c r="X237" s="1374"/>
      <c r="Y237" s="1374"/>
      <c r="Z237" s="1374"/>
      <c r="AA237" s="1374"/>
      <c r="AB237" s="1374"/>
      <c r="AC237" s="1374"/>
      <c r="AD237" s="1374"/>
      <c r="AE237" s="1374"/>
      <c r="AF237" s="1374"/>
      <c r="AG237" s="1374"/>
      <c r="AH237" s="1374"/>
      <c r="AI237" s="1374"/>
      <c r="AJ237" s="1374"/>
      <c r="AK237" s="1374"/>
      <c r="AL237" s="1374"/>
      <c r="AM237" s="1374"/>
      <c r="AN237" s="1374"/>
      <c r="AO237" s="1374"/>
      <c r="AP237" s="1540"/>
      <c r="AQ237" s="1540"/>
      <c r="AR237" s="1540"/>
      <c r="AS237" s="1493"/>
      <c r="CH237" s="564"/>
      <c r="CI237" s="564"/>
      <c r="CJ237" s="564"/>
      <c r="CK237" s="564"/>
      <c r="CL237" s="564"/>
      <c r="CM237" s="564"/>
      <c r="CN237" s="564"/>
      <c r="CP237" s="564"/>
    </row>
    <row r="238" spans="1:94" x14ac:dyDescent="0.3">
      <c r="A238" s="1397">
        <v>2012</v>
      </c>
      <c r="B238" s="633">
        <f>AVERAGE(AH$280:AH$291)</f>
        <v>536.91083814393539</v>
      </c>
      <c r="C238" s="633">
        <f>AVERAGE(AI$280:AI$291)</f>
        <v>482.73280309733735</v>
      </c>
      <c r="D238" s="633">
        <f>AVERAGE(AJ$280:AJ$291)</f>
        <v>627.56822850862056</v>
      </c>
      <c r="E238" s="633">
        <f>AVERAGE(AK$280:AK$291)</f>
        <v>607.37457203838562</v>
      </c>
      <c r="F238" s="1374"/>
      <c r="G238" s="1076"/>
      <c r="H238" s="1076" t="s">
        <v>327</v>
      </c>
      <c r="I238" s="1076" t="s">
        <v>327</v>
      </c>
      <c r="J238" s="1076" t="s">
        <v>327</v>
      </c>
      <c r="K238" s="1076" t="s">
        <v>327</v>
      </c>
      <c r="L238" s="1374"/>
      <c r="M238" s="1076"/>
      <c r="N238" s="1076" t="s">
        <v>327</v>
      </c>
      <c r="O238" s="1076" t="s">
        <v>327</v>
      </c>
      <c r="P238" s="1076" t="s">
        <v>327</v>
      </c>
      <c r="Q238" s="1076" t="s">
        <v>327</v>
      </c>
      <c r="R238" s="911"/>
      <c r="S238" s="1374"/>
      <c r="T238" s="1374"/>
      <c r="U238" s="1374"/>
      <c r="V238" s="1374"/>
      <c r="W238" s="1374"/>
      <c r="X238" s="1374"/>
      <c r="Y238" s="1374"/>
      <c r="Z238" s="1374"/>
      <c r="AA238" s="1374"/>
      <c r="AB238" s="1374"/>
      <c r="AC238" s="1374"/>
      <c r="AD238" s="1374"/>
      <c r="AE238" s="1374"/>
      <c r="AF238" s="1374"/>
      <c r="AG238" s="1374"/>
      <c r="AH238" s="1374"/>
      <c r="AI238" s="1374"/>
      <c r="AJ238" s="1374"/>
      <c r="AK238" s="1374"/>
      <c r="AL238" s="1374"/>
      <c r="AM238" s="1374"/>
      <c r="AN238" s="1374"/>
      <c r="AO238" s="1374"/>
      <c r="AP238" s="1540"/>
      <c r="AQ238" s="1540"/>
      <c r="AR238" s="1540"/>
      <c r="AS238" s="1493"/>
      <c r="CH238" s="564"/>
      <c r="CI238" s="564"/>
      <c r="CJ238" s="564"/>
      <c r="CK238" s="564"/>
      <c r="CL238" s="564"/>
      <c r="CM238" s="564"/>
      <c r="CN238" s="564"/>
      <c r="CP238" s="564"/>
    </row>
    <row r="239" spans="1:94" x14ac:dyDescent="0.3">
      <c r="A239" s="1397">
        <v>2013</v>
      </c>
      <c r="B239" s="633">
        <f>AVERAGE(AH$292:AH$303)</f>
        <v>534.30726762741699</v>
      </c>
      <c r="C239" s="633">
        <f>AVERAGE(AI$292:AI$303)</f>
        <v>480.05637576425306</v>
      </c>
      <c r="D239" s="633">
        <f>AVERAGE(AJ$292:AJ$303)</f>
        <v>630.34503172154837</v>
      </c>
      <c r="E239" s="633">
        <f>AVERAGE(AK$292:AK$303)</f>
        <v>585.56788995239401</v>
      </c>
      <c r="F239" s="1374"/>
      <c r="G239" s="1400" t="s">
        <v>333</v>
      </c>
      <c r="H239" s="635">
        <f t="shared" ref="H239:K244" si="7">(B239-B238)/B238</f>
        <v>-4.8491673692391286E-3</v>
      </c>
      <c r="I239" s="635">
        <f t="shared" si="7"/>
        <v>-5.5443245536902558E-3</v>
      </c>
      <c r="J239" s="635">
        <f t="shared" si="7"/>
        <v>4.4247033020245689E-3</v>
      </c>
      <c r="K239" s="635">
        <f t="shared" si="7"/>
        <v>-3.5903185760324266E-2</v>
      </c>
      <c r="L239" s="1374"/>
      <c r="M239" s="1400" t="s">
        <v>333</v>
      </c>
      <c r="N239" s="633">
        <f t="shared" ref="N239:N240" si="8">B239-B238</f>
        <v>-2.6035705165184027</v>
      </c>
      <c r="O239" s="633">
        <f t="shared" ref="O239:O240" si="9">C239-C238</f>
        <v>-2.6764273330842911</v>
      </c>
      <c r="P239" s="633">
        <f t="shared" ref="P239:P240" si="10">D239-D238</f>
        <v>2.7768032129278026</v>
      </c>
      <c r="Q239" s="633">
        <f t="shared" ref="Q239:Q240" si="11">E239-E238</f>
        <v>-21.806682085991611</v>
      </c>
      <c r="R239" s="911"/>
      <c r="S239" s="1374"/>
      <c r="T239" s="1374"/>
      <c r="U239" s="1374"/>
      <c r="V239" s="1374"/>
      <c r="W239" s="1374"/>
      <c r="X239" s="1374"/>
      <c r="Y239" s="1374"/>
      <c r="Z239" s="1374"/>
      <c r="AA239" s="1374"/>
      <c r="AB239" s="1374"/>
      <c r="AC239" s="1374"/>
      <c r="AD239" s="1374"/>
      <c r="AE239" s="1374"/>
      <c r="AF239" s="1374"/>
      <c r="AG239" s="1374"/>
      <c r="AH239" s="1374"/>
      <c r="AI239" s="1374"/>
      <c r="AJ239" s="1374"/>
      <c r="AK239" s="1374"/>
      <c r="AL239" s="1374"/>
      <c r="AM239" s="1374"/>
      <c r="AN239" s="1374"/>
      <c r="AO239" s="1374"/>
      <c r="AP239" s="1540"/>
      <c r="AQ239" s="1540"/>
      <c r="AR239" s="1540"/>
      <c r="AS239" s="1493"/>
      <c r="CH239" s="564"/>
      <c r="CI239" s="564"/>
      <c r="CJ239" s="564"/>
      <c r="CK239" s="564"/>
      <c r="CL239" s="564"/>
      <c r="CM239" s="564"/>
      <c r="CN239" s="564"/>
      <c r="CP239" s="564"/>
    </row>
    <row r="240" spans="1:94" x14ac:dyDescent="0.3">
      <c r="A240" s="1397">
        <v>2014</v>
      </c>
      <c r="B240" s="633">
        <f>AVERAGE(AH$304:AH$315)</f>
        <v>532.96697003892609</v>
      </c>
      <c r="C240" s="633">
        <f>AVERAGE(AI$304:AI$315)</f>
        <v>482.48405194000316</v>
      </c>
      <c r="D240" s="633">
        <f>AVERAGE(AJ$304:AJ$315)</f>
        <v>636.21657000968037</v>
      </c>
      <c r="E240" s="633">
        <f>AVERAGE(AK$304:AK$315)</f>
        <v>599.65337291108096</v>
      </c>
      <c r="F240" s="1374"/>
      <c r="G240" s="1400" t="s">
        <v>331</v>
      </c>
      <c r="H240" s="1071">
        <f t="shared" si="7"/>
        <v>-2.5084771810094755E-3</v>
      </c>
      <c r="I240" s="1071">
        <f t="shared" si="7"/>
        <v>5.0570647497082321E-3</v>
      </c>
      <c r="J240" s="1071">
        <f t="shared" si="7"/>
        <v>9.3148006133975877E-3</v>
      </c>
      <c r="K240" s="1071">
        <f t="shared" si="7"/>
        <v>2.4054397791231495E-2</v>
      </c>
      <c r="L240" s="1374"/>
      <c r="M240" s="1400" t="s">
        <v>331</v>
      </c>
      <c r="N240" s="633">
        <f t="shared" si="8"/>
        <v>-1.3402975884908983</v>
      </c>
      <c r="O240" s="633">
        <f t="shared" si="9"/>
        <v>2.4276761757500935</v>
      </c>
      <c r="P240" s="633">
        <f t="shared" si="10"/>
        <v>5.8715382881320011</v>
      </c>
      <c r="Q240" s="633">
        <f t="shared" si="11"/>
        <v>14.085482958686953</v>
      </c>
      <c r="R240" s="911"/>
      <c r="S240" s="1374"/>
      <c r="T240" s="1374"/>
      <c r="U240" s="1374"/>
      <c r="V240" s="1374"/>
      <c r="W240" s="1374"/>
      <c r="X240" s="1374"/>
      <c r="Y240" s="1374"/>
      <c r="Z240" s="1374"/>
      <c r="AA240" s="1374"/>
      <c r="AB240" s="1374"/>
      <c r="AC240" s="1374"/>
      <c r="AD240" s="1374"/>
      <c r="AE240" s="1374"/>
      <c r="AF240" s="1374"/>
      <c r="AG240" s="1374"/>
      <c r="AH240" s="1374"/>
      <c r="AI240" s="1374"/>
      <c r="AJ240" s="1374"/>
      <c r="AK240" s="1374"/>
      <c r="AL240" s="1374"/>
      <c r="AM240" s="1374"/>
      <c r="AN240" s="1374"/>
      <c r="AO240" s="1374"/>
      <c r="AP240" s="1540"/>
      <c r="AQ240" s="1540"/>
      <c r="AR240" s="1540"/>
      <c r="AS240" s="1493"/>
      <c r="CH240" s="564"/>
      <c r="CI240" s="564"/>
      <c r="CJ240" s="564"/>
      <c r="CK240" s="564"/>
      <c r="CL240" s="564"/>
      <c r="CM240" s="564"/>
      <c r="CN240" s="564"/>
      <c r="CP240" s="564"/>
    </row>
    <row r="241" spans="1:94" x14ac:dyDescent="0.3">
      <c r="A241" s="1397">
        <v>2015</v>
      </c>
      <c r="B241" s="633">
        <f>AVERAGE(AH$316:AH$327)</f>
        <v>514.61662518052992</v>
      </c>
      <c r="C241" s="633">
        <f>AVERAGE(AI$316:AI$327)</f>
        <v>470.67989036252112</v>
      </c>
      <c r="D241" s="633">
        <f>AVERAGE(AJ$316:AJ$327)</f>
        <v>619.21704721446292</v>
      </c>
      <c r="E241" s="633">
        <f>AVERAGE(AK$316:AK$327)</f>
        <v>594.6266353283703</v>
      </c>
      <c r="F241" s="1374"/>
      <c r="G241" s="1400" t="s">
        <v>332</v>
      </c>
      <c r="H241" s="1071">
        <f>(B241-B240)/B240</f>
        <v>-3.4430548026373797E-2</v>
      </c>
      <c r="I241" s="1071">
        <f>(C241-C240)/C240</f>
        <v>-2.4465392234249185E-2</v>
      </c>
      <c r="J241" s="1071">
        <f t="shared" si="7"/>
        <v>-2.6719710860342395E-2</v>
      </c>
      <c r="K241" s="1071">
        <f t="shared" si="7"/>
        <v>-8.3827387784176626E-3</v>
      </c>
      <c r="L241" s="1374"/>
      <c r="M241" s="1400" t="s">
        <v>332</v>
      </c>
      <c r="N241" s="633">
        <f>B241-B240</f>
        <v>-18.35034485839617</v>
      </c>
      <c r="O241" s="633">
        <f>C241-C240</f>
        <v>-11.804161577482034</v>
      </c>
      <c r="P241" s="633">
        <f>D241-D240</f>
        <v>-16.999522795217445</v>
      </c>
      <c r="Q241" s="633">
        <f>E241-E240</f>
        <v>-5.0267375827106662</v>
      </c>
      <c r="R241" s="911"/>
      <c r="S241" s="1374"/>
      <c r="T241" s="1374"/>
      <c r="U241" s="1374"/>
      <c r="V241" s="1374"/>
      <c r="W241" s="1374"/>
      <c r="X241" s="1374"/>
      <c r="Y241" s="1374"/>
      <c r="Z241" s="1374"/>
      <c r="AA241" s="1374"/>
      <c r="AB241" s="1374"/>
      <c r="AC241" s="1374"/>
      <c r="AD241" s="1374"/>
      <c r="AE241" s="1374"/>
      <c r="AF241" s="1374"/>
      <c r="AG241" s="1374"/>
      <c r="AH241" s="1374"/>
      <c r="AI241" s="1374"/>
      <c r="AJ241" s="1374"/>
      <c r="AK241" s="1374"/>
      <c r="AL241" s="1374"/>
      <c r="AM241" s="1374"/>
      <c r="AN241" s="1374"/>
      <c r="AO241" s="1374"/>
      <c r="AP241" s="1540"/>
      <c r="AQ241" s="1540"/>
      <c r="AR241" s="1540"/>
      <c r="AS241" s="1493"/>
      <c r="CH241" s="564"/>
      <c r="CI241" s="564"/>
      <c r="CJ241" s="564"/>
      <c r="CK241" s="564"/>
      <c r="CL241" s="564"/>
      <c r="CM241" s="564"/>
      <c r="CN241" s="564"/>
      <c r="CP241" s="564"/>
    </row>
    <row r="242" spans="1:94" x14ac:dyDescent="0.3">
      <c r="A242" s="1397">
        <v>2016</v>
      </c>
      <c r="B242" s="633">
        <f>AVERAGE(AH$328:AH$339)</f>
        <v>501.88984528027657</v>
      </c>
      <c r="C242" s="633">
        <f>AVERAGE(AI$328:AI$339)</f>
        <v>465.10015973204622</v>
      </c>
      <c r="D242" s="633">
        <f t="shared" ref="D242" si="12">AVERAGE(AJ$328:AJ$339)</f>
        <v>619.5649300056225</v>
      </c>
      <c r="E242" s="633">
        <f>AVERAGE(AK$328:AK$339)</f>
        <v>565.41752611418451</v>
      </c>
      <c r="F242" s="1374"/>
      <c r="G242" s="1400" t="s">
        <v>574</v>
      </c>
      <c r="H242" s="1071">
        <f t="shared" ref="H242" si="13">(B242-B241)/B241</f>
        <v>-2.473060386610855E-2</v>
      </c>
      <c r="I242" s="1071">
        <f t="shared" ref="I242:I244" si="14">(C242-C241)/C241</f>
        <v>-1.1854618700997294E-2</v>
      </c>
      <c r="J242" s="1071">
        <f t="shared" si="7"/>
        <v>5.6181074588388974E-4</v>
      </c>
      <c r="K242" s="1071">
        <f t="shared" si="7"/>
        <v>-4.9121763941932503E-2</v>
      </c>
      <c r="L242" s="1374"/>
      <c r="M242" s="1400" t="s">
        <v>574</v>
      </c>
      <c r="N242" s="633">
        <f t="shared" ref="N242" si="15">B242-B241</f>
        <v>-12.726779900253348</v>
      </c>
      <c r="O242" s="633">
        <f t="shared" ref="O242:O243" si="16">C242-C241</f>
        <v>-5.5797306304748986</v>
      </c>
      <c r="P242" s="633">
        <f t="shared" ref="P242:P243" si="17">D242-D241</f>
        <v>0.34788279115957721</v>
      </c>
      <c r="Q242" s="633">
        <f t="shared" ref="Q242:Q243" si="18">E242-E241</f>
        <v>-29.209109214185787</v>
      </c>
      <c r="R242" s="911"/>
      <c r="S242" s="1374"/>
      <c r="T242" s="1374"/>
      <c r="U242" s="1374"/>
      <c r="V242" s="1374"/>
      <c r="W242" s="1374"/>
      <c r="X242" s="1374"/>
      <c r="Y242" s="1374"/>
      <c r="Z242" s="1374"/>
      <c r="AA242" s="1374"/>
      <c r="AB242" s="1374"/>
      <c r="AC242" s="1374"/>
      <c r="AD242" s="1374"/>
      <c r="AE242" s="1374"/>
      <c r="AF242" s="1374"/>
      <c r="AG242" s="1374"/>
      <c r="AH242" s="1374"/>
      <c r="AI242" s="1374"/>
      <c r="AJ242" s="1374"/>
      <c r="AK242" s="1374"/>
      <c r="AL242" s="1374"/>
      <c r="AM242" s="1374"/>
      <c r="AN242" s="1374"/>
      <c r="AO242" s="1374"/>
      <c r="AP242" s="1540"/>
      <c r="AQ242" s="1540"/>
      <c r="AR242" s="1540"/>
      <c r="AS242" s="1493"/>
      <c r="CH242" s="564"/>
      <c r="CI242" s="564"/>
      <c r="CJ242" s="564"/>
      <c r="CK242" s="564"/>
      <c r="CL242" s="564"/>
      <c r="CM242" s="564"/>
      <c r="CN242" s="564"/>
      <c r="CP242" s="564"/>
    </row>
    <row r="243" spans="1:94" x14ac:dyDescent="0.3">
      <c r="A243" s="1397">
        <v>2017</v>
      </c>
      <c r="B243" s="633">
        <f>AVERAGE(AH$340:AH$351)</f>
        <v>496.41119006759192</v>
      </c>
      <c r="C243" s="633">
        <f t="shared" ref="C243:E243" si="19">AVERAGE(AI$340:AI$351)</f>
        <v>461.47353583951576</v>
      </c>
      <c r="D243" s="633">
        <f t="shared" si="19"/>
        <v>626.86554952567974</v>
      </c>
      <c r="E243" s="633">
        <f t="shared" si="19"/>
        <v>573.1819690528165</v>
      </c>
      <c r="F243" s="1374"/>
      <c r="G243" s="1400" t="s">
        <v>575</v>
      </c>
      <c r="H243" s="1071">
        <f>(B243-B242)/B242</f>
        <v>-1.0916051129954909E-2</v>
      </c>
      <c r="I243" s="1071">
        <f t="shared" si="14"/>
        <v>-7.79751160399479E-3</v>
      </c>
      <c r="J243" s="1071">
        <f t="shared" si="7"/>
        <v>1.1783461533226205E-2</v>
      </c>
      <c r="K243" s="1071">
        <f t="shared" si="7"/>
        <v>1.3732228981285555E-2</v>
      </c>
      <c r="L243" s="1374"/>
      <c r="M243" s="1400" t="s">
        <v>575</v>
      </c>
      <c r="N243" s="633">
        <f>B243-B242</f>
        <v>-5.4786552126846573</v>
      </c>
      <c r="O243" s="633">
        <f t="shared" si="16"/>
        <v>-3.6266238925304606</v>
      </c>
      <c r="P243" s="633">
        <f t="shared" si="17"/>
        <v>7.3006195200572392</v>
      </c>
      <c r="Q243" s="633">
        <f t="shared" si="18"/>
        <v>7.7644429386319871</v>
      </c>
      <c r="R243" s="911"/>
      <c r="S243" s="1374"/>
      <c r="T243" s="1374"/>
      <c r="U243" s="1374"/>
      <c r="V243" s="1374"/>
      <c r="W243" s="1374"/>
      <c r="X243" s="1374"/>
      <c r="Y243" s="1374"/>
      <c r="Z243" s="1374"/>
      <c r="AA243" s="1374"/>
      <c r="AB243" s="1374"/>
      <c r="AC243" s="1374"/>
      <c r="AD243" s="1374"/>
      <c r="AE243" s="1374"/>
      <c r="AF243" s="1374"/>
      <c r="AG243" s="1374"/>
      <c r="AH243" s="1374"/>
      <c r="AI243" s="1374"/>
      <c r="AJ243" s="1374"/>
      <c r="AK243" s="1374"/>
      <c r="AL243" s="1374"/>
      <c r="AM243" s="1374"/>
      <c r="AN243" s="1374"/>
      <c r="AO243" s="1374"/>
      <c r="AP243" s="1540"/>
      <c r="AQ243" s="1540"/>
      <c r="AR243" s="1540"/>
      <c r="AS243" s="1493"/>
      <c r="CH243" s="564"/>
      <c r="CI243" s="564"/>
      <c r="CJ243" s="564"/>
      <c r="CK243" s="564"/>
      <c r="CL243" s="564"/>
      <c r="CM243" s="564"/>
      <c r="CN243" s="564"/>
      <c r="CP243" s="564"/>
    </row>
    <row r="244" spans="1:94" x14ac:dyDescent="0.3">
      <c r="A244" s="1547">
        <v>2018</v>
      </c>
      <c r="B244" s="633">
        <f>AVERAGE(AH$352:AH$363)</f>
        <v>490.84341369603021</v>
      </c>
      <c r="C244" s="633">
        <f t="shared" ref="C244:D244" si="20">AVERAGE(AI$352:AI$363)</f>
        <v>461.18575155593652</v>
      </c>
      <c r="D244" s="633">
        <f t="shared" si="20"/>
        <v>629.47448263478111</v>
      </c>
      <c r="E244" s="633">
        <f>AVERAGE(AK$352:AK$363)</f>
        <v>591.57182306896232</v>
      </c>
      <c r="F244" s="1540"/>
      <c r="G244" s="1545" t="s">
        <v>659</v>
      </c>
      <c r="H244" s="1071">
        <f>(B244-B243)/B243</f>
        <v>-1.1216057339085348E-2</v>
      </c>
      <c r="I244" s="1071">
        <f t="shared" si="14"/>
        <v>-6.2362034055908112E-4</v>
      </c>
      <c r="J244" s="1071">
        <f t="shared" si="7"/>
        <v>4.16187029431659E-3</v>
      </c>
      <c r="K244" s="1071">
        <f>(E244-E243)/E243</f>
        <v>3.2083797134329017E-2</v>
      </c>
      <c r="L244" s="1540"/>
      <c r="M244" s="1545" t="s">
        <v>659</v>
      </c>
      <c r="N244" s="633">
        <f>B244-B243</f>
        <v>-5.5677763715617061</v>
      </c>
      <c r="O244" s="633">
        <f t="shared" ref="O244" si="21">C244-C243</f>
        <v>-0.28778428357924213</v>
      </c>
      <c r="P244" s="633">
        <f t="shared" ref="P244" si="22">D244-D243</f>
        <v>2.6089331091013719</v>
      </c>
      <c r="Q244" s="633">
        <f>E244-E243</f>
        <v>18.389854016145819</v>
      </c>
      <c r="R244" s="911"/>
      <c r="S244" s="1540"/>
      <c r="T244" s="1540"/>
      <c r="U244" s="1540"/>
      <c r="V244" s="1540"/>
      <c r="W244" s="1540"/>
      <c r="X244" s="1540"/>
      <c r="Y244" s="1540"/>
      <c r="Z244" s="1540"/>
      <c r="AA244" s="1540"/>
      <c r="AB244" s="1540"/>
      <c r="AC244" s="1540"/>
      <c r="AD244" s="1540"/>
      <c r="AE244" s="1540"/>
      <c r="AF244" s="1540"/>
      <c r="AG244" s="1540"/>
      <c r="AH244" s="1540"/>
      <c r="AI244" s="1540"/>
      <c r="AJ244" s="1540"/>
      <c r="AK244" s="1540"/>
      <c r="AL244" s="1540"/>
      <c r="AM244" s="1540"/>
      <c r="AN244" s="1540"/>
      <c r="AO244" s="1540"/>
      <c r="AP244" s="1540"/>
      <c r="AQ244" s="1540"/>
      <c r="AR244" s="1540"/>
      <c r="AS244" s="1493"/>
      <c r="CH244" s="564"/>
      <c r="CI244" s="564"/>
      <c r="CJ244" s="564"/>
      <c r="CK244" s="564"/>
      <c r="CL244" s="564"/>
      <c r="CM244" s="564"/>
      <c r="CN244" s="564"/>
      <c r="CP244" s="564"/>
    </row>
    <row r="245" spans="1:94" x14ac:dyDescent="0.3">
      <c r="A245" s="698"/>
      <c r="B245" s="1374"/>
      <c r="C245" s="1374"/>
      <c r="D245" s="1374"/>
      <c r="E245" s="1374"/>
      <c r="F245" s="1374"/>
      <c r="G245" s="1374"/>
      <c r="H245" s="1374"/>
      <c r="I245" s="1374"/>
      <c r="J245" s="1374"/>
      <c r="K245" s="1374"/>
      <c r="L245" s="1374"/>
      <c r="M245" s="1374"/>
      <c r="N245" s="1104"/>
      <c r="O245" s="1104"/>
      <c r="P245" s="1104"/>
      <c r="Q245" s="1104"/>
      <c r="R245" s="911"/>
      <c r="S245" s="1374"/>
      <c r="T245" s="1374"/>
      <c r="U245" s="1374"/>
      <c r="V245" s="1374"/>
      <c r="W245" s="1374"/>
      <c r="X245" s="1374"/>
      <c r="Y245" s="1374"/>
      <c r="Z245" s="1374"/>
      <c r="AA245" s="1374"/>
      <c r="AB245" s="1374"/>
      <c r="AC245" s="1374"/>
      <c r="AD245" s="1374"/>
      <c r="AE245" s="1374"/>
      <c r="AF245" s="1374"/>
      <c r="AG245" s="1374"/>
      <c r="AH245" s="1374"/>
      <c r="AI245" s="1374"/>
      <c r="AJ245" s="1374"/>
      <c r="AK245" s="1374"/>
      <c r="AL245" s="1374"/>
      <c r="AM245" s="1374"/>
      <c r="AN245" s="1374"/>
      <c r="AO245" s="1374"/>
      <c r="AP245" s="1540"/>
      <c r="AQ245" s="1540"/>
      <c r="AR245" s="1540"/>
      <c r="AS245" s="1493"/>
      <c r="CH245" s="564"/>
      <c r="CI245" s="564"/>
      <c r="CJ245" s="564"/>
      <c r="CK245" s="564"/>
      <c r="CL245" s="564"/>
      <c r="CM245" s="564"/>
      <c r="CN245" s="564"/>
      <c r="CP245" s="564"/>
    </row>
    <row r="246" spans="1:94" ht="15.5" x14ac:dyDescent="0.3">
      <c r="A246" s="2719" t="s">
        <v>476</v>
      </c>
      <c r="B246" s="2720"/>
      <c r="C246" s="2720"/>
      <c r="D246" s="2721"/>
      <c r="E246" s="851"/>
      <c r="F246" s="1374"/>
      <c r="G246" s="2767" t="s">
        <v>329</v>
      </c>
      <c r="H246" s="2720"/>
      <c r="I246" s="2720"/>
      <c r="J246" s="2721"/>
      <c r="K246" s="1374"/>
      <c r="L246" s="1374"/>
      <c r="M246" s="2781" t="s">
        <v>334</v>
      </c>
      <c r="N246" s="2782"/>
      <c r="O246" s="2782"/>
      <c r="P246" s="2783"/>
      <c r="Q246" s="1374"/>
      <c r="R246" s="911"/>
      <c r="S246" s="1374"/>
      <c r="T246" s="1374"/>
      <c r="U246" s="1374"/>
      <c r="V246" s="1374"/>
      <c r="W246" s="1374"/>
      <c r="X246" s="1374"/>
      <c r="Y246" s="1374"/>
      <c r="Z246" s="1374"/>
      <c r="AA246" s="1374"/>
      <c r="AB246" s="1374"/>
      <c r="AC246" s="1374"/>
      <c r="AD246" s="1374"/>
      <c r="AE246" s="1374"/>
      <c r="AF246" s="1374"/>
      <c r="AG246" s="1374"/>
      <c r="AH246" s="1374"/>
      <c r="AI246" s="1374"/>
      <c r="AJ246" s="1374"/>
      <c r="AK246" s="1374"/>
      <c r="AL246" s="1374"/>
      <c r="AM246" s="1374"/>
      <c r="AN246" s="1374"/>
      <c r="AO246" s="1374"/>
      <c r="AP246" s="1540"/>
      <c r="AQ246" s="1540"/>
      <c r="AR246" s="1540"/>
      <c r="AS246" s="1493"/>
      <c r="CH246" s="564"/>
      <c r="CI246" s="564"/>
      <c r="CJ246" s="564"/>
      <c r="CK246" s="564"/>
      <c r="CL246" s="564"/>
      <c r="CM246" s="564"/>
      <c r="CN246" s="564"/>
      <c r="CP246" s="564"/>
    </row>
    <row r="247" spans="1:94" x14ac:dyDescent="0.3">
      <c r="A247" s="1397"/>
      <c r="B247" s="1406" t="s">
        <v>99</v>
      </c>
      <c r="C247" s="1406" t="s">
        <v>100</v>
      </c>
      <c r="D247" s="1406" t="s">
        <v>101</v>
      </c>
      <c r="E247" s="1374"/>
      <c r="F247" s="1374"/>
      <c r="G247" s="1076"/>
      <c r="H247" s="1406" t="s">
        <v>99</v>
      </c>
      <c r="I247" s="1406" t="s">
        <v>100</v>
      </c>
      <c r="J247" s="1406" t="s">
        <v>101</v>
      </c>
      <c r="K247" s="696"/>
      <c r="L247" s="1374"/>
      <c r="M247" s="1076"/>
      <c r="N247" s="1406" t="s">
        <v>99</v>
      </c>
      <c r="O247" s="1406" t="s">
        <v>100</v>
      </c>
      <c r="P247" s="1406" t="s">
        <v>101</v>
      </c>
      <c r="Q247" s="1374"/>
      <c r="R247" s="911"/>
      <c r="S247" s="1374"/>
      <c r="T247" s="1374"/>
      <c r="U247" s="1374"/>
      <c r="V247" s="1374"/>
      <c r="W247" s="1374"/>
      <c r="X247" s="1374"/>
      <c r="Y247" s="1374"/>
      <c r="Z247" s="1374"/>
      <c r="AA247" s="1374"/>
      <c r="AB247" s="1374"/>
      <c r="AC247" s="1374"/>
      <c r="AD247" s="1374"/>
      <c r="AE247" s="1374"/>
      <c r="AF247" s="1374"/>
      <c r="AG247" s="1374"/>
      <c r="AH247" s="1374"/>
      <c r="AI247" s="1374"/>
      <c r="AJ247" s="1374"/>
      <c r="AK247" s="1374"/>
      <c r="AL247" s="1374"/>
      <c r="AM247" s="1374"/>
      <c r="AN247" s="1374"/>
      <c r="AO247" s="1374"/>
      <c r="AP247" s="1540"/>
      <c r="AQ247" s="1540"/>
      <c r="AR247" s="1540"/>
      <c r="AS247" s="1493"/>
      <c r="CH247" s="564"/>
      <c r="CI247" s="564"/>
      <c r="CJ247" s="564"/>
      <c r="CK247" s="564"/>
      <c r="CL247" s="564"/>
      <c r="CM247" s="564"/>
      <c r="CN247" s="564"/>
      <c r="CP247" s="564"/>
    </row>
    <row r="248" spans="1:94" x14ac:dyDescent="0.3">
      <c r="A248" s="1397">
        <v>2012</v>
      </c>
      <c r="B248" s="633">
        <f>AVERAGE(AL$280:AL$291)</f>
        <v>10.810846811090828</v>
      </c>
      <c r="C248" s="633">
        <f>AVERAGE(AM$280:AM$291)</f>
        <v>10.484830241592265</v>
      </c>
      <c r="D248" s="633">
        <f>AVERAGE(AN$280:AN$291)</f>
        <v>10.668605117732554</v>
      </c>
      <c r="E248" s="1374"/>
      <c r="F248" s="1374"/>
      <c r="G248" s="1076"/>
      <c r="H248" s="1076" t="s">
        <v>327</v>
      </c>
      <c r="I248" s="1076" t="s">
        <v>327</v>
      </c>
      <c r="J248" s="1076" t="s">
        <v>327</v>
      </c>
      <c r="K248" s="1374"/>
      <c r="L248" s="1374"/>
      <c r="M248" s="1076"/>
      <c r="N248" s="1076" t="s">
        <v>327</v>
      </c>
      <c r="O248" s="1076" t="s">
        <v>327</v>
      </c>
      <c r="P248" s="1076" t="s">
        <v>327</v>
      </c>
      <c r="Q248" s="1374"/>
      <c r="R248" s="911"/>
      <c r="S248" s="1374"/>
      <c r="T248" s="1374"/>
      <c r="U248" s="1374"/>
      <c r="V248" s="1374"/>
      <c r="W248" s="1374"/>
      <c r="X248" s="1374"/>
      <c r="Y248" s="1374"/>
      <c r="Z248" s="1374"/>
      <c r="AA248" s="1374"/>
      <c r="AB248" s="1374"/>
      <c r="AC248" s="1374"/>
      <c r="AD248" s="1374"/>
      <c r="AE248" s="1374"/>
      <c r="AF248" s="1374"/>
      <c r="AG248" s="1374"/>
      <c r="AH248" s="1374"/>
      <c r="AI248" s="1374"/>
      <c r="AJ248" s="1374"/>
      <c r="AK248" s="1374"/>
      <c r="AL248" s="1374"/>
      <c r="AM248" s="1374"/>
      <c r="AN248" s="1374"/>
      <c r="AO248" s="1374"/>
      <c r="AP248" s="1540"/>
      <c r="AQ248" s="1540"/>
      <c r="AR248" s="1540"/>
      <c r="AS248" s="1493"/>
      <c r="CH248" s="564"/>
      <c r="CI248" s="564"/>
      <c r="CJ248" s="564"/>
      <c r="CK248" s="564"/>
      <c r="CL248" s="564"/>
      <c r="CM248" s="564"/>
      <c r="CN248" s="564"/>
      <c r="CP248" s="564"/>
    </row>
    <row r="249" spans="1:94" x14ac:dyDescent="0.3">
      <c r="A249" s="1397">
        <v>2013</v>
      </c>
      <c r="B249" s="633">
        <f>AVERAGE(AL$292:AL$303)</f>
        <v>11.026644383096924</v>
      </c>
      <c r="C249" s="633">
        <f>AVERAGE(AM$292:AM$303)</f>
        <v>10.728521031114374</v>
      </c>
      <c r="D249" s="633">
        <f>AVERAGE(AN$292:AN$303)</f>
        <v>11.26267470405042</v>
      </c>
      <c r="E249" s="1374"/>
      <c r="F249" s="1374"/>
      <c r="G249" s="1400" t="s">
        <v>333</v>
      </c>
      <c r="H249" s="637">
        <f t="shared" ref="H249:J253" si="23">(B249-B248)/B248</f>
        <v>1.9961208939221091E-2</v>
      </c>
      <c r="I249" s="637">
        <f t="shared" si="23"/>
        <v>2.3242225568461013E-2</v>
      </c>
      <c r="J249" s="637">
        <f t="shared" si="23"/>
        <v>5.5683904293209671E-2</v>
      </c>
      <c r="K249" s="589"/>
      <c r="L249" s="1374"/>
      <c r="M249" s="1400" t="s">
        <v>333</v>
      </c>
      <c r="N249" s="954">
        <f>B249-B248</f>
        <v>0.21579757200609606</v>
      </c>
      <c r="O249" s="954">
        <f>C249-C248</f>
        <v>0.24369078952210899</v>
      </c>
      <c r="P249" s="954">
        <f>D249-D248</f>
        <v>0.59406958631786644</v>
      </c>
      <c r="Q249" s="1374"/>
      <c r="R249" s="911"/>
      <c r="S249" s="1374"/>
      <c r="T249" s="1374"/>
      <c r="U249" s="1374"/>
      <c r="V249" s="1374"/>
      <c r="W249" s="1374"/>
      <c r="X249" s="1374"/>
      <c r="Y249" s="1374"/>
      <c r="Z249" s="1374"/>
      <c r="AA249" s="1374"/>
      <c r="AB249" s="1374"/>
      <c r="AC249" s="1374"/>
      <c r="AD249" s="1374"/>
      <c r="AE249" s="1374"/>
      <c r="AF249" s="1374"/>
      <c r="AG249" s="1374"/>
      <c r="AH249" s="1374"/>
      <c r="AI249" s="1374"/>
      <c r="AJ249" s="1374"/>
      <c r="AK249" s="1374"/>
      <c r="AL249" s="1374"/>
      <c r="AM249" s="1374"/>
      <c r="AN249" s="1374"/>
      <c r="AO249" s="1374"/>
      <c r="AP249" s="1540"/>
      <c r="AQ249" s="1540"/>
      <c r="AR249" s="1540"/>
      <c r="AS249" s="1493"/>
      <c r="CH249" s="564"/>
      <c r="CI249" s="564"/>
      <c r="CJ249" s="564"/>
      <c r="CK249" s="564"/>
      <c r="CL249" s="564"/>
      <c r="CM249" s="564"/>
      <c r="CN249" s="564"/>
      <c r="CP249" s="564"/>
    </row>
    <row r="250" spans="1:94" x14ac:dyDescent="0.3">
      <c r="A250" s="1397">
        <v>2014</v>
      </c>
      <c r="B250" s="633">
        <f>AVERAGE(AL$304:AL$315)</f>
        <v>11.780417022370289</v>
      </c>
      <c r="C250" s="633">
        <f>AVERAGE(AM$304:AM$315)</f>
        <v>11.781924485627963</v>
      </c>
      <c r="D250" s="633">
        <f>AVERAGE(AN$304:AN$315)</f>
        <v>11.669029873310835</v>
      </c>
      <c r="E250" s="1374"/>
      <c r="F250" s="1374"/>
      <c r="G250" s="1400" t="s">
        <v>331</v>
      </c>
      <c r="H250" s="1071">
        <f t="shared" si="23"/>
        <v>6.8359204585290281E-2</v>
      </c>
      <c r="I250" s="1071">
        <f t="shared" si="23"/>
        <v>9.8187201335445548E-2</v>
      </c>
      <c r="J250" s="1071">
        <f t="shared" si="23"/>
        <v>3.6079810519101349E-2</v>
      </c>
      <c r="K250" s="589"/>
      <c r="L250" s="1374"/>
      <c r="M250" s="1400" t="s">
        <v>331</v>
      </c>
      <c r="N250" s="636">
        <f t="shared" ref="N250" si="24">B250-B249</f>
        <v>0.75377263927336458</v>
      </c>
      <c r="O250" s="636">
        <f t="shared" ref="O250:O253" si="25">C250-C249</f>
        <v>1.0534034545135889</v>
      </c>
      <c r="P250" s="636">
        <f t="shared" ref="P250:P253" si="26">D250-D249</f>
        <v>0.40635516926041504</v>
      </c>
      <c r="Q250" s="1374"/>
      <c r="R250" s="911"/>
      <c r="S250" s="1374"/>
      <c r="T250" s="1374"/>
      <c r="U250" s="1374"/>
      <c r="V250" s="1374"/>
      <c r="W250" s="1374"/>
      <c r="X250" s="1374"/>
      <c r="Y250" s="1374"/>
      <c r="Z250" s="1374"/>
      <c r="AA250" s="1374"/>
      <c r="AB250" s="1374"/>
      <c r="AC250" s="1374"/>
      <c r="AD250" s="1374"/>
      <c r="AE250" s="1374"/>
      <c r="AF250" s="1374"/>
      <c r="AG250" s="1374"/>
      <c r="AH250" s="1374"/>
      <c r="AI250" s="1374"/>
      <c r="AJ250" s="1374"/>
      <c r="AK250" s="1374"/>
      <c r="AL250" s="1374"/>
      <c r="AM250" s="1374"/>
      <c r="AN250" s="1374"/>
      <c r="AO250" s="1374"/>
      <c r="AP250" s="1540"/>
      <c r="AQ250" s="1540"/>
      <c r="AR250" s="1540"/>
      <c r="AS250" s="1493"/>
      <c r="CH250" s="564"/>
      <c r="CI250" s="564"/>
      <c r="CJ250" s="564"/>
      <c r="CK250" s="564"/>
      <c r="CL250" s="564"/>
      <c r="CM250" s="564"/>
      <c r="CN250" s="564"/>
      <c r="CP250" s="564"/>
    </row>
    <row r="251" spans="1:94" x14ac:dyDescent="0.3">
      <c r="A251" s="1397">
        <v>2015</v>
      </c>
      <c r="B251" s="633">
        <f>AVERAGE(AL$316:AL$327)</f>
        <v>10.507363405323394</v>
      </c>
      <c r="C251" s="633">
        <f>AVERAGE(AM$316:AM$327)</f>
        <v>10.135173012817599</v>
      </c>
      <c r="D251" s="633">
        <f>AVERAGE(AN$316:AN$327)</f>
        <v>10.171379666612767</v>
      </c>
      <c r="E251" s="1374"/>
      <c r="F251" s="1374"/>
      <c r="G251" s="1400" t="s">
        <v>332</v>
      </c>
      <c r="H251" s="1071">
        <f>(B251-B250)/B250</f>
        <v>-0.10806524205632481</v>
      </c>
      <c r="I251" s="1071">
        <f t="shared" si="23"/>
        <v>-0.13976931144136368</v>
      </c>
      <c r="J251" s="1071">
        <f t="shared" si="23"/>
        <v>-0.12834402027913763</v>
      </c>
      <c r="K251" s="589"/>
      <c r="L251" s="1374"/>
      <c r="M251" s="1400" t="s">
        <v>332</v>
      </c>
      <c r="N251" s="633">
        <f>B251-B250</f>
        <v>-1.2730536170468945</v>
      </c>
      <c r="O251" s="636">
        <f t="shared" si="25"/>
        <v>-1.6467514728103634</v>
      </c>
      <c r="P251" s="636">
        <f t="shared" si="26"/>
        <v>-1.4976502066980686</v>
      </c>
      <c r="Q251" s="1374"/>
      <c r="R251" s="911"/>
      <c r="S251" s="1374"/>
      <c r="T251" s="1374"/>
      <c r="U251" s="1374"/>
      <c r="V251" s="1374"/>
      <c r="W251" s="1374"/>
      <c r="X251" s="1374"/>
      <c r="Y251" s="1374"/>
      <c r="Z251" s="1374"/>
      <c r="AA251" s="1374"/>
      <c r="AB251" s="1374"/>
      <c r="AC251" s="1374"/>
      <c r="AD251" s="1374"/>
      <c r="AE251" s="1374"/>
      <c r="AF251" s="1374"/>
      <c r="AG251" s="1374"/>
      <c r="AH251" s="1374"/>
      <c r="AI251" s="1374"/>
      <c r="AJ251" s="1374"/>
      <c r="AK251" s="1374"/>
      <c r="AL251" s="1374"/>
      <c r="AM251" s="1374"/>
      <c r="AN251" s="1374"/>
      <c r="AO251" s="1374"/>
      <c r="AP251" s="1540"/>
      <c r="AQ251" s="1540"/>
      <c r="AR251" s="1540"/>
      <c r="AS251" s="1493"/>
      <c r="CH251" s="564"/>
      <c r="CI251" s="564"/>
      <c r="CJ251" s="564"/>
      <c r="CK251" s="564"/>
      <c r="CL251" s="564"/>
      <c r="CM251" s="564"/>
      <c r="CN251" s="564"/>
      <c r="CP251" s="564"/>
    </row>
    <row r="252" spans="1:94" x14ac:dyDescent="0.3">
      <c r="A252" s="1397">
        <v>2016</v>
      </c>
      <c r="B252" s="633">
        <f>AVERAGE(AL$328:AL$339)</f>
        <v>9.991347784247246</v>
      </c>
      <c r="C252" s="633">
        <f t="shared" ref="C252:D252" si="27">AVERAGE(AM$328:AM$339)</f>
        <v>9.8942244968982411</v>
      </c>
      <c r="D252" s="633">
        <f t="shared" si="27"/>
        <v>10.33094100780224</v>
      </c>
      <c r="E252" s="1374"/>
      <c r="F252" s="1374"/>
      <c r="G252" s="1400" t="s">
        <v>574</v>
      </c>
      <c r="H252" s="1071">
        <f t="shared" ref="H252" si="28">(B252-B251)/B251</f>
        <v>-4.9109905232240923E-2</v>
      </c>
      <c r="I252" s="1071">
        <f t="shared" si="23"/>
        <v>-2.3773498056188988E-2</v>
      </c>
      <c r="J252" s="1071">
        <f t="shared" si="23"/>
        <v>1.5687285935577475E-2</v>
      </c>
      <c r="K252" s="589"/>
      <c r="L252" s="1374"/>
      <c r="M252" s="1400" t="s">
        <v>574</v>
      </c>
      <c r="N252" s="633">
        <f t="shared" ref="N252" si="29">B252-B251</f>
        <v>-0.51601562107614818</v>
      </c>
      <c r="O252" s="636">
        <f t="shared" si="25"/>
        <v>-0.24094851591935829</v>
      </c>
      <c r="P252" s="636">
        <f t="shared" si="26"/>
        <v>0.15956134118947318</v>
      </c>
      <c r="Q252" s="1374"/>
      <c r="R252" s="911"/>
      <c r="S252" s="1374"/>
      <c r="T252" s="1374"/>
      <c r="U252" s="1374"/>
      <c r="V252" s="1374"/>
      <c r="W252" s="1374"/>
      <c r="X252" s="1374"/>
      <c r="Y252" s="1374"/>
      <c r="Z252" s="1374"/>
      <c r="AA252" s="1374"/>
      <c r="AB252" s="1374"/>
      <c r="AC252" s="1374"/>
      <c r="AD252" s="1374"/>
      <c r="AE252" s="1374"/>
      <c r="AF252" s="1374"/>
      <c r="AG252" s="1374"/>
      <c r="AH252" s="1374"/>
      <c r="AI252" s="1374"/>
      <c r="AJ252" s="1374"/>
      <c r="AK252" s="1374"/>
      <c r="AL252" s="1374"/>
      <c r="AM252" s="1374"/>
      <c r="AN252" s="1374"/>
      <c r="AO252" s="1374"/>
      <c r="AP252" s="1540"/>
      <c r="AQ252" s="1540"/>
      <c r="AR252" s="1540"/>
      <c r="AS252" s="1493"/>
      <c r="CH252" s="564"/>
      <c r="CI252" s="564"/>
      <c r="CJ252" s="564"/>
      <c r="CK252" s="564"/>
      <c r="CL252" s="564"/>
      <c r="CM252" s="564"/>
      <c r="CN252" s="564"/>
      <c r="CP252" s="564"/>
    </row>
    <row r="253" spans="1:94" x14ac:dyDescent="0.3">
      <c r="A253" s="1397">
        <v>2017</v>
      </c>
      <c r="B253" s="633">
        <f>AVERAGE(AL$340:AL$351)</f>
        <v>11.016462858343118</v>
      </c>
      <c r="C253" s="633">
        <f t="shared" ref="C253" si="30">AVERAGE(AM$340:AM$351)</f>
        <v>10.982959800192548</v>
      </c>
      <c r="D253" s="633">
        <f>AVERAGE(AN$340:AN$351)</f>
        <v>11.268683336057755</v>
      </c>
      <c r="E253" s="1374"/>
      <c r="F253" s="1374"/>
      <c r="G253" s="1400" t="s">
        <v>575</v>
      </c>
      <c r="H253" s="1071">
        <f>(B253-B252)/B252</f>
        <v>0.10260027938494035</v>
      </c>
      <c r="I253" s="1071">
        <f t="shared" si="23"/>
        <v>0.11003745706756668</v>
      </c>
      <c r="J253" s="1071">
        <f t="shared" si="23"/>
        <v>9.0770272286648801E-2</v>
      </c>
      <c r="K253" s="589"/>
      <c r="L253" s="1374"/>
      <c r="M253" s="1400" t="s">
        <v>575</v>
      </c>
      <c r="N253" s="633">
        <f>B253-B252</f>
        <v>1.0251150740958721</v>
      </c>
      <c r="O253" s="636">
        <f t="shared" si="25"/>
        <v>1.0887353032943068</v>
      </c>
      <c r="P253" s="636">
        <f t="shared" si="26"/>
        <v>0.93774232825551529</v>
      </c>
      <c r="Q253" s="1374"/>
      <c r="R253" s="911"/>
      <c r="S253" s="1374"/>
      <c r="T253" s="1374"/>
      <c r="U253" s="1374"/>
      <c r="V253" s="1374"/>
      <c r="W253" s="1374"/>
      <c r="X253" s="1374"/>
      <c r="Y253" s="1374"/>
      <c r="Z253" s="1374"/>
      <c r="AA253" s="1374"/>
      <c r="AB253" s="1374"/>
      <c r="AC253" s="1374"/>
      <c r="AD253" s="1374"/>
      <c r="AE253" s="1374"/>
      <c r="AF253" s="1374"/>
      <c r="AG253" s="1374"/>
      <c r="AH253" s="1374"/>
      <c r="AI253" s="1374"/>
      <c r="AJ253" s="1374"/>
      <c r="AK253" s="1374"/>
      <c r="AL253" s="1374"/>
      <c r="AM253" s="1374"/>
      <c r="AN253" s="1374"/>
      <c r="AO253" s="1374"/>
      <c r="AP253" s="1540"/>
      <c r="AQ253" s="1540"/>
      <c r="AR253" s="1540"/>
      <c r="AS253" s="1493"/>
      <c r="CH253" s="564"/>
      <c r="CI253" s="564"/>
      <c r="CJ253" s="564"/>
      <c r="CK253" s="564"/>
      <c r="CL253" s="564"/>
      <c r="CM253" s="564"/>
      <c r="CN253" s="564"/>
      <c r="CP253" s="564"/>
    </row>
    <row r="254" spans="1:94" x14ac:dyDescent="0.3">
      <c r="A254" s="1547">
        <v>2018</v>
      </c>
      <c r="B254" s="633">
        <f>AVERAGE(AL$352:AL$363)</f>
        <v>11.592772702855953</v>
      </c>
      <c r="C254" s="633">
        <f t="shared" ref="C254" si="31">AVERAGE(AM$352:AM$363)</f>
        <v>11.383377109793985</v>
      </c>
      <c r="D254" s="633">
        <f>AVERAGE(AN$352:AN$363)</f>
        <v>11.86651102591715</v>
      </c>
      <c r="E254" s="1540"/>
      <c r="F254" s="1540"/>
      <c r="G254" s="1545" t="s">
        <v>659</v>
      </c>
      <c r="H254" s="1071">
        <f>(B254-B253)/B253</f>
        <v>5.2313510418307917E-2</v>
      </c>
      <c r="I254" s="1071">
        <f t="shared" ref="I254" si="32">(C254-C253)/C253</f>
        <v>3.6458051097885018E-2</v>
      </c>
      <c r="J254" s="1071">
        <f t="shared" ref="J254" si="33">(D254-D253)/D253</f>
        <v>5.3052133246699211E-2</v>
      </c>
      <c r="K254" s="589"/>
      <c r="L254" s="1540"/>
      <c r="M254" s="1545" t="s">
        <v>659</v>
      </c>
      <c r="N254" s="633">
        <f>B254-B253</f>
        <v>0.57630984451283496</v>
      </c>
      <c r="O254" s="636">
        <f t="shared" ref="O254" si="34">C254-C253</f>
        <v>0.40041730960143695</v>
      </c>
      <c r="P254" s="633">
        <f>D254-D253</f>
        <v>0.59782768985939505</v>
      </c>
      <c r="Q254" s="1540"/>
      <c r="R254" s="911"/>
      <c r="S254" s="1540"/>
      <c r="T254" s="1540"/>
      <c r="U254" s="1540"/>
      <c r="V254" s="1540"/>
      <c r="W254" s="1540"/>
      <c r="X254" s="1540"/>
      <c r="Y254" s="1540"/>
      <c r="Z254" s="1540"/>
      <c r="AA254" s="1540"/>
      <c r="AB254" s="1540"/>
      <c r="AC254" s="1540"/>
      <c r="AD254" s="1540"/>
      <c r="AE254" s="1540"/>
      <c r="AF254" s="1540"/>
      <c r="AG254" s="1540"/>
      <c r="AH254" s="1540"/>
      <c r="AI254" s="1540"/>
      <c r="AJ254" s="1540"/>
      <c r="AK254" s="1540"/>
      <c r="AL254" s="1540"/>
      <c r="AM254" s="1540"/>
      <c r="AN254" s="1540"/>
      <c r="AO254" s="1540"/>
      <c r="AP254" s="1540"/>
      <c r="AQ254" s="1540"/>
      <c r="AR254" s="1540"/>
      <c r="AS254" s="1493"/>
      <c r="CH254" s="564"/>
      <c r="CI254" s="564"/>
      <c r="CJ254" s="564"/>
      <c r="CK254" s="564"/>
      <c r="CL254" s="564"/>
      <c r="CM254" s="564"/>
      <c r="CN254" s="564"/>
      <c r="CP254" s="564"/>
    </row>
    <row r="255" spans="1:94" x14ac:dyDescent="0.3">
      <c r="A255" s="1373"/>
      <c r="B255" s="1374"/>
      <c r="C255" s="1374"/>
      <c r="D255" s="1374"/>
      <c r="E255" s="1374"/>
      <c r="F255" s="1374"/>
      <c r="G255" s="1374"/>
      <c r="H255" s="1374"/>
      <c r="I255" s="1374"/>
      <c r="J255" s="1374"/>
      <c r="K255" s="1374"/>
      <c r="L255" s="1374"/>
      <c r="M255" s="1374"/>
      <c r="N255" s="1374"/>
      <c r="O255" s="1374"/>
      <c r="P255" s="1374"/>
      <c r="Q255" s="1374"/>
      <c r="R255" s="911"/>
      <c r="S255" s="1374"/>
      <c r="T255" s="1374"/>
      <c r="U255" s="1374"/>
      <c r="V255" s="1374"/>
      <c r="W255" s="1374"/>
      <c r="X255" s="1374"/>
      <c r="Y255" s="1374"/>
      <c r="Z255" s="1374"/>
      <c r="AA255" s="1374"/>
      <c r="AB255" s="1374"/>
      <c r="AC255" s="1374"/>
      <c r="AD255" s="1374"/>
      <c r="AE255" s="1374"/>
      <c r="AF255" s="1374"/>
      <c r="AG255" s="1374"/>
      <c r="AH255" s="1374"/>
      <c r="AI255" s="1374"/>
      <c r="AJ255" s="1374"/>
      <c r="AK255" s="1374"/>
      <c r="AL255" s="1374"/>
      <c r="AM255" s="1374"/>
      <c r="AN255" s="1374"/>
      <c r="AO255" s="1374"/>
      <c r="AP255" s="1540"/>
      <c r="AQ255" s="1540"/>
      <c r="AR255" s="1540"/>
      <c r="AS255" s="1493"/>
      <c r="CH255" s="564"/>
      <c r="CI255" s="564"/>
      <c r="CJ255" s="564"/>
      <c r="CK255" s="564"/>
      <c r="CL255" s="564"/>
      <c r="CM255" s="564"/>
      <c r="CN255" s="564"/>
      <c r="CP255" s="564"/>
    </row>
    <row r="256" spans="1:94" x14ac:dyDescent="0.3">
      <c r="A256" s="1380"/>
      <c r="B256" s="1381"/>
      <c r="C256" s="1381"/>
      <c r="D256" s="1381"/>
      <c r="E256" s="1381"/>
      <c r="F256" s="1381"/>
      <c r="G256" s="1381"/>
      <c r="H256" s="1381"/>
      <c r="I256" s="1381"/>
      <c r="J256" s="1381"/>
      <c r="K256" s="1381"/>
      <c r="L256" s="1381"/>
      <c r="M256" s="1381"/>
      <c r="N256" s="1381"/>
      <c r="O256" s="1381"/>
      <c r="P256" s="1381"/>
      <c r="Q256" s="1381"/>
      <c r="R256" s="911"/>
      <c r="S256" s="1374"/>
      <c r="T256" s="1374"/>
      <c r="U256" s="1374"/>
      <c r="V256" s="1374"/>
      <c r="W256" s="1374"/>
      <c r="X256" s="1374"/>
      <c r="Y256" s="1374"/>
      <c r="Z256" s="1374"/>
      <c r="AA256" s="1374"/>
      <c r="AB256" s="1374"/>
      <c r="AC256" s="1374"/>
      <c r="AD256" s="1374"/>
      <c r="AE256" s="1374"/>
      <c r="AF256" s="1374"/>
      <c r="AG256" s="1374"/>
      <c r="AH256" s="1374"/>
      <c r="AI256" s="1374"/>
      <c r="AJ256" s="1374"/>
      <c r="AK256" s="1374"/>
      <c r="AL256" s="1374"/>
      <c r="AM256" s="1374"/>
      <c r="AN256" s="1374"/>
      <c r="AO256" s="1374"/>
      <c r="AP256" s="1540"/>
      <c r="AQ256" s="1540"/>
      <c r="AR256" s="1540"/>
      <c r="AS256" s="1493"/>
      <c r="CH256" s="564"/>
      <c r="CI256" s="564"/>
      <c r="CJ256" s="564"/>
      <c r="CK256" s="564"/>
      <c r="CL256" s="564"/>
      <c r="CM256" s="564"/>
      <c r="CN256" s="564"/>
      <c r="CP256" s="564"/>
    </row>
    <row r="257" spans="1:94" ht="15.5" x14ac:dyDescent="0.35">
      <c r="A257" s="2771" t="s">
        <v>589</v>
      </c>
      <c r="B257" s="2723"/>
      <c r="C257" s="2723"/>
      <c r="D257" s="2724"/>
      <c r="E257" s="1374"/>
      <c r="F257" s="1374"/>
      <c r="G257" s="2768" t="s">
        <v>335</v>
      </c>
      <c r="H257" s="2769"/>
      <c r="I257" s="2769"/>
      <c r="J257" s="2770"/>
      <c r="K257" s="1374"/>
      <c r="L257" s="1374"/>
      <c r="M257" s="1076"/>
      <c r="N257" s="2763" t="s">
        <v>525</v>
      </c>
      <c r="O257" s="2763"/>
      <c r="P257" s="1374"/>
      <c r="Q257" s="1374"/>
      <c r="R257" s="911"/>
      <c r="S257" s="1374"/>
      <c r="T257" s="1374"/>
      <c r="U257" s="1374"/>
      <c r="V257" s="1374"/>
      <c r="W257" s="1374"/>
      <c r="X257" s="1374"/>
      <c r="Y257" s="1374"/>
      <c r="Z257" s="1374"/>
      <c r="AA257" s="1374"/>
      <c r="AB257" s="1374"/>
      <c r="AC257" s="1374"/>
      <c r="AD257" s="1374"/>
      <c r="AE257" s="1374"/>
      <c r="AF257" s="1374"/>
      <c r="AG257" s="1374"/>
      <c r="AH257" s="1374"/>
      <c r="AI257" s="1374"/>
      <c r="AJ257" s="1374"/>
      <c r="AK257" s="1374"/>
      <c r="AL257" s="1374"/>
      <c r="AM257" s="1374"/>
      <c r="AN257" s="1374"/>
      <c r="AO257" s="1374"/>
      <c r="AP257" s="1540"/>
      <c r="AQ257" s="1540"/>
      <c r="AR257" s="1540"/>
      <c r="AS257" s="1493"/>
      <c r="CH257" s="564"/>
      <c r="CI257" s="564"/>
      <c r="CJ257" s="564"/>
      <c r="CK257" s="564"/>
      <c r="CL257" s="564"/>
      <c r="CM257" s="564"/>
      <c r="CN257" s="564"/>
      <c r="CP257" s="564"/>
    </row>
    <row r="258" spans="1:94" x14ac:dyDescent="0.3">
      <c r="A258" s="1072"/>
      <c r="B258" s="1406" t="s">
        <v>315</v>
      </c>
      <c r="C258" s="1406" t="s">
        <v>316</v>
      </c>
      <c r="D258" s="1406" t="s">
        <v>317</v>
      </c>
      <c r="E258" s="1374"/>
      <c r="F258" s="1374"/>
      <c r="G258" s="1076"/>
      <c r="H258" s="1406" t="s">
        <v>315</v>
      </c>
      <c r="I258" s="1406" t="s">
        <v>316</v>
      </c>
      <c r="J258" s="1406" t="s">
        <v>317</v>
      </c>
      <c r="K258" s="1374"/>
      <c r="L258" s="1374"/>
      <c r="M258" s="1076"/>
      <c r="N258" s="1406" t="s">
        <v>259</v>
      </c>
      <c r="O258" s="1406" t="s">
        <v>260</v>
      </c>
      <c r="P258" s="1374"/>
      <c r="Q258" s="1374"/>
      <c r="R258" s="911"/>
      <c r="S258" s="1374"/>
      <c r="T258" s="1374"/>
      <c r="U258" s="1374"/>
      <c r="V258" s="1374"/>
      <c r="W258" s="1374"/>
      <c r="X258" s="1374"/>
      <c r="Y258" s="1374"/>
      <c r="Z258" s="1374"/>
      <c r="AA258" s="1374"/>
      <c r="AB258" s="1374"/>
      <c r="AC258" s="1374"/>
      <c r="AD258" s="1374"/>
      <c r="AE258" s="1374"/>
      <c r="AF258" s="1374"/>
      <c r="AG258" s="1374"/>
      <c r="AH258" s="1374"/>
      <c r="AI258" s="1374"/>
      <c r="AJ258" s="1374"/>
      <c r="AK258" s="1374"/>
      <c r="AL258" s="1374"/>
      <c r="AM258" s="1374"/>
      <c r="AN258" s="1374"/>
      <c r="AO258" s="1374"/>
      <c r="AP258" s="1540"/>
      <c r="AQ258" s="1540"/>
      <c r="AR258" s="1540"/>
      <c r="AS258" s="1493"/>
      <c r="CH258" s="564"/>
      <c r="CI258" s="564"/>
      <c r="CJ258" s="564"/>
      <c r="CK258" s="564"/>
      <c r="CL258" s="564"/>
      <c r="CM258" s="564"/>
      <c r="CN258" s="564"/>
      <c r="CP258" s="564"/>
    </row>
    <row r="259" spans="1:94" x14ac:dyDescent="0.3">
      <c r="A259" s="1072" t="s">
        <v>318</v>
      </c>
      <c r="B259" s="1076">
        <f>B269*277777777.77778/12</f>
        <v>611.34673880086393</v>
      </c>
      <c r="C259" s="1076">
        <f t="shared" ref="C259:D259" si="35">C269*277777777.77778/12</f>
        <v>463.95572441881205</v>
      </c>
      <c r="D259" s="1076">
        <f t="shared" si="35"/>
        <v>343.35810865950378</v>
      </c>
      <c r="E259" s="1374"/>
      <c r="F259" s="1374"/>
      <c r="G259" s="1076" t="s">
        <v>318</v>
      </c>
      <c r="H259" s="1076">
        <v>684.7033055806761</v>
      </c>
      <c r="I259" s="1076">
        <v>513.14630789690921</v>
      </c>
      <c r="J259" s="1076">
        <v>382.07228382097293</v>
      </c>
      <c r="K259" s="1374"/>
      <c r="L259" s="1374"/>
      <c r="M259" s="664">
        <v>2012</v>
      </c>
      <c r="N259" s="1091">
        <f>AVERAGE(ENMAX!AK7:AK18)</f>
        <v>556.65819437563584</v>
      </c>
      <c r="O259" s="1091">
        <f>AVERAGE('ATCO-N'!AS7:AS18)</f>
        <v>10.665626783838036</v>
      </c>
      <c r="P259" s="1374"/>
      <c r="Q259" s="1374"/>
      <c r="R259" s="911"/>
      <c r="S259" s="1374"/>
      <c r="T259" s="1374"/>
      <c r="U259" s="1374"/>
      <c r="V259" s="1374"/>
      <c r="W259" s="1374"/>
      <c r="X259" s="1374"/>
      <c r="Y259" s="1374"/>
      <c r="Z259" s="1374"/>
      <c r="AA259" s="1374"/>
      <c r="AB259" s="1374"/>
      <c r="AC259" s="1374"/>
      <c r="AD259" s="1374"/>
      <c r="AE259" s="1374"/>
      <c r="AF259" s="1374"/>
      <c r="AG259" s="1374"/>
      <c r="AH259" s="1374"/>
      <c r="AI259" s="1374"/>
      <c r="AJ259" s="1374"/>
      <c r="AK259" s="1374"/>
      <c r="AL259" s="1374"/>
      <c r="AM259" s="1374"/>
      <c r="AN259" s="1374"/>
      <c r="AO259" s="1374"/>
      <c r="AP259" s="1540"/>
      <c r="AQ259" s="1540"/>
      <c r="AR259" s="1540"/>
      <c r="AS259" s="1493"/>
      <c r="CH259" s="564"/>
      <c r="CI259" s="564"/>
      <c r="CJ259" s="564"/>
      <c r="CK259" s="564"/>
      <c r="CL259" s="564"/>
      <c r="CM259" s="564"/>
      <c r="CN259" s="564"/>
      <c r="CP259" s="564"/>
    </row>
    <row r="260" spans="1:94" x14ac:dyDescent="0.3">
      <c r="A260" s="1072" t="s">
        <v>319</v>
      </c>
      <c r="B260" s="1076">
        <f>B270*1000000/12</f>
        <v>10.198990303636064</v>
      </c>
      <c r="C260" s="1076">
        <f t="shared" ref="C260:D260" si="36">C270*1000000/12</f>
        <v>6.5138385456227121</v>
      </c>
      <c r="D260" s="1076">
        <f t="shared" si="36"/>
        <v>5.3831082856545551</v>
      </c>
      <c r="E260" s="1374"/>
      <c r="F260" s="1374"/>
      <c r="G260" s="1076" t="s">
        <v>319</v>
      </c>
      <c r="H260" s="1076">
        <v>11.259219438046536</v>
      </c>
      <c r="I260" s="1076">
        <v>6.9864731080509763</v>
      </c>
      <c r="J260" s="1076">
        <v>5.6581203708187831</v>
      </c>
      <c r="K260" s="1374"/>
      <c r="L260" s="1374"/>
      <c r="M260" s="1276">
        <v>2013</v>
      </c>
      <c r="N260" s="1277">
        <f>AVERAGE(ENMAX!AK19:AK30)</f>
        <v>553.0167168708989</v>
      </c>
      <c r="O260" s="1277">
        <f>AVERAGE('ATCO-N'!AS19:AS30)</f>
        <v>10.927412392747273</v>
      </c>
      <c r="P260" s="1374"/>
      <c r="Q260" s="1374"/>
      <c r="R260" s="911"/>
      <c r="S260" s="1374"/>
      <c r="T260" s="1374"/>
      <c r="U260" s="1374"/>
      <c r="V260" s="1374"/>
      <c r="W260" s="1374"/>
      <c r="X260" s="1374"/>
      <c r="Y260" s="1374"/>
      <c r="Z260" s="1374"/>
      <c r="AA260" s="1374"/>
      <c r="AB260" s="1374"/>
      <c r="AC260" s="1374"/>
      <c r="AD260" s="1374"/>
      <c r="AE260" s="1374"/>
      <c r="AF260" s="1374"/>
      <c r="AG260" s="1374"/>
      <c r="AH260" s="1374"/>
      <c r="AI260" s="1374"/>
      <c r="AJ260" s="1374"/>
      <c r="AK260" s="1374"/>
      <c r="AL260" s="1374"/>
      <c r="AM260" s="1374"/>
      <c r="AN260" s="1374"/>
      <c r="AO260" s="1374"/>
      <c r="AP260" s="1540"/>
      <c r="AQ260" s="1540"/>
      <c r="AR260" s="1540"/>
      <c r="AS260" s="1493"/>
      <c r="CH260" s="564"/>
      <c r="CI260" s="564"/>
      <c r="CJ260" s="564"/>
      <c r="CK260" s="564"/>
      <c r="CL260" s="564"/>
      <c r="CM260" s="564"/>
      <c r="CN260" s="564"/>
      <c r="CP260" s="564"/>
    </row>
    <row r="261" spans="1:94" x14ac:dyDescent="0.3">
      <c r="A261" s="1373"/>
      <c r="B261" s="1374"/>
      <c r="C261" s="1374"/>
      <c r="D261" s="1374"/>
      <c r="E261" s="1374"/>
      <c r="F261" s="1374"/>
      <c r="G261" s="1374"/>
      <c r="H261" s="1374"/>
      <c r="I261" s="1374"/>
      <c r="J261" s="1374"/>
      <c r="K261" s="1374"/>
      <c r="L261" s="1374"/>
      <c r="M261" s="1276">
        <v>2014</v>
      </c>
      <c r="N261" s="1277">
        <f>AVERAGE(ENMAX!AK31:AK42)</f>
        <v>556.77762073662313</v>
      </c>
      <c r="O261" s="1277">
        <f>AVERAGE('ATCO-N'!AS31:AS42)</f>
        <v>11.771618381086734</v>
      </c>
      <c r="P261" s="1374"/>
      <c r="Q261" s="1374"/>
      <c r="R261" s="911"/>
      <c r="S261" s="1374"/>
      <c r="T261" s="1374"/>
      <c r="U261" s="1374"/>
      <c r="V261" s="1374"/>
      <c r="W261" s="1374"/>
      <c r="X261" s="1374"/>
      <c r="Y261" s="1374"/>
      <c r="Z261" s="1374"/>
      <c r="AA261" s="1374"/>
      <c r="AB261" s="1374"/>
      <c r="AC261" s="1374"/>
      <c r="AD261" s="1374"/>
      <c r="AE261" s="1374"/>
      <c r="AF261" s="1374"/>
      <c r="AG261" s="1374"/>
      <c r="AH261" s="1374"/>
      <c r="AI261" s="1374"/>
      <c r="AJ261" s="1374"/>
      <c r="AK261" s="1374"/>
      <c r="AL261" s="1374"/>
      <c r="AM261" s="1374"/>
      <c r="AN261" s="1374"/>
      <c r="AO261" s="1374"/>
      <c r="AP261" s="1540"/>
      <c r="AQ261" s="1540"/>
      <c r="AR261" s="1540"/>
      <c r="AS261" s="1493"/>
      <c r="CH261" s="564"/>
      <c r="CI261" s="564"/>
      <c r="CJ261" s="564"/>
      <c r="CK261" s="564"/>
      <c r="CL261" s="564"/>
      <c r="CM261" s="564"/>
      <c r="CN261" s="564"/>
      <c r="CP261" s="564"/>
    </row>
    <row r="262" spans="1:94" ht="15.5" x14ac:dyDescent="0.3">
      <c r="A262" s="2719" t="s">
        <v>590</v>
      </c>
      <c r="B262" s="2720"/>
      <c r="C262" s="2720"/>
      <c r="D262" s="2721"/>
      <c r="E262" s="957"/>
      <c r="F262" s="957"/>
      <c r="G262" s="2767" t="s">
        <v>591</v>
      </c>
      <c r="H262" s="2720"/>
      <c r="I262" s="2720"/>
      <c r="J262" s="2721"/>
      <c r="K262" s="1374"/>
      <c r="L262" s="1374"/>
      <c r="M262" s="1093">
        <v>2015</v>
      </c>
      <c r="N262" s="1092">
        <f>AVERAGE(ENMAX!AK43:AK54)</f>
        <v>542.52790364896998</v>
      </c>
      <c r="O262" s="1092">
        <f>AVERAGE('ATCO-N'!AS43:AS54)</f>
        <v>10.329277357746172</v>
      </c>
      <c r="P262" s="1374"/>
      <c r="Q262" s="1374"/>
      <c r="R262" s="911"/>
      <c r="S262" s="1374"/>
      <c r="T262" s="1374"/>
      <c r="U262" s="1374"/>
      <c r="V262" s="1374"/>
      <c r="W262" s="1374"/>
      <c r="X262" s="1374"/>
      <c r="Y262" s="1374"/>
      <c r="Z262" s="1374"/>
      <c r="AA262" s="1374"/>
      <c r="AB262" s="1374"/>
      <c r="AC262" s="1374"/>
      <c r="AD262" s="1374"/>
      <c r="AE262" s="1374"/>
      <c r="AF262" s="1374"/>
      <c r="AG262" s="1374"/>
      <c r="AH262" s="1374"/>
      <c r="AI262" s="1374"/>
      <c r="AJ262" s="1374"/>
      <c r="AK262" s="1374"/>
      <c r="AL262" s="1374"/>
      <c r="AM262" s="1374"/>
      <c r="AN262" s="1374"/>
      <c r="AO262" s="1374"/>
      <c r="AP262" s="1540"/>
      <c r="AQ262" s="1540"/>
      <c r="AR262" s="1540"/>
      <c r="AS262" s="1493"/>
      <c r="CH262" s="564"/>
      <c r="CI262" s="564"/>
      <c r="CJ262" s="564"/>
      <c r="CK262" s="564"/>
      <c r="CL262" s="564"/>
      <c r="CM262" s="564"/>
      <c r="CN262" s="564"/>
      <c r="CP262" s="564"/>
    </row>
    <row r="263" spans="1:94" x14ac:dyDescent="0.3">
      <c r="A263" s="1072"/>
      <c r="B263" s="1406" t="s">
        <v>315</v>
      </c>
      <c r="C263" s="1406" t="s">
        <v>316</v>
      </c>
      <c r="D263" s="1406" t="s">
        <v>317</v>
      </c>
      <c r="E263" s="1374"/>
      <c r="F263" s="1374"/>
      <c r="G263" s="1076"/>
      <c r="H263" s="1406" t="s">
        <v>315</v>
      </c>
      <c r="I263" s="1406" t="s">
        <v>316</v>
      </c>
      <c r="J263" s="1406" t="s">
        <v>317</v>
      </c>
      <c r="K263" s="1374"/>
      <c r="L263" s="1374"/>
      <c r="M263" s="664">
        <v>2016</v>
      </c>
      <c r="N263" s="1220">
        <f>AVERAGE(ENMAX!AK55:AK66)</f>
        <v>534.08979890592957</v>
      </c>
      <c r="O263" s="1091">
        <f>AVERAGE('ATCO-N'!AS55:AS66)</f>
        <v>9.9843097344385416</v>
      </c>
      <c r="P263" s="1374"/>
      <c r="Q263" s="1374"/>
      <c r="R263" s="911"/>
      <c r="S263" s="1374"/>
      <c r="T263" s="1374"/>
      <c r="U263" s="1374"/>
      <c r="V263" s="1374"/>
      <c r="W263" s="1374"/>
      <c r="X263" s="1374"/>
      <c r="Y263" s="1374"/>
      <c r="Z263" s="1374"/>
      <c r="AA263" s="1374"/>
      <c r="AB263" s="1374"/>
      <c r="AC263" s="1374"/>
      <c r="AD263" s="1374"/>
      <c r="AE263" s="1374"/>
      <c r="AF263" s="1374"/>
      <c r="AG263" s="1374"/>
      <c r="AH263" s="1374"/>
      <c r="AI263" s="1374"/>
      <c r="AJ263" s="1374"/>
      <c r="AK263" s="1374"/>
      <c r="AL263" s="1374"/>
      <c r="AM263" s="1374"/>
      <c r="AN263" s="1374"/>
      <c r="AO263" s="1374"/>
      <c r="AP263" s="1540"/>
      <c r="AQ263" s="1540"/>
      <c r="AR263" s="1540"/>
      <c r="AS263" s="1493"/>
      <c r="CH263" s="564"/>
      <c r="CI263" s="564"/>
      <c r="CJ263" s="564"/>
      <c r="CK263" s="564"/>
      <c r="CL263" s="564"/>
      <c r="CM263" s="564"/>
      <c r="CN263" s="564"/>
      <c r="CP263" s="564"/>
    </row>
    <row r="264" spans="1:94" x14ac:dyDescent="0.3">
      <c r="A264" s="1072" t="s">
        <v>318</v>
      </c>
      <c r="B264" s="638">
        <f>B259-H259</f>
        <v>-73.356566779812169</v>
      </c>
      <c r="C264" s="638">
        <f t="shared" ref="C264:D264" si="37">C259-I259</f>
        <v>-49.190583478097153</v>
      </c>
      <c r="D264" s="638">
        <f t="shared" si="37"/>
        <v>-38.714175161469143</v>
      </c>
      <c r="E264" s="1374"/>
      <c r="F264" s="1374"/>
      <c r="G264" s="1076" t="s">
        <v>318</v>
      </c>
      <c r="H264" s="639">
        <f>B264/H259</f>
        <v>-0.10713628250648022</v>
      </c>
      <c r="I264" s="639">
        <f t="shared" ref="I264:J265" si="38">C264/I259</f>
        <v>-9.5860737417562236E-2</v>
      </c>
      <c r="J264" s="639">
        <f t="shared" si="38"/>
        <v>-0.10132683474001844</v>
      </c>
      <c r="K264" s="1374"/>
      <c r="L264" s="1374"/>
      <c r="M264" s="664">
        <v>2017</v>
      </c>
      <c r="N264" s="1220">
        <f>AVERAGE(ENMAX!AK67:AK78)</f>
        <v>535.20709709901791</v>
      </c>
      <c r="O264" s="1091">
        <f>AVERAGE('ATCO-N'!AS67:AS78)</f>
        <v>11.028923011606111</v>
      </c>
      <c r="P264" s="1374"/>
      <c r="Q264" s="1374"/>
      <c r="R264" s="911"/>
      <c r="S264" s="1374"/>
      <c r="T264" s="1374"/>
      <c r="U264" s="1374"/>
      <c r="V264" s="1374"/>
      <c r="W264" s="1374"/>
      <c r="X264" s="1374"/>
      <c r="Y264" s="1374"/>
      <c r="Z264" s="1374"/>
      <c r="AA264" s="1374"/>
      <c r="AB264" s="1374"/>
      <c r="AC264" s="1374"/>
      <c r="AD264" s="1374"/>
      <c r="AE264" s="1374"/>
      <c r="AF264" s="1374"/>
      <c r="AG264" s="1374"/>
      <c r="AH264" s="1374"/>
      <c r="AI264" s="1374"/>
      <c r="AJ264" s="1374"/>
      <c r="AK264" s="1374"/>
      <c r="AL264" s="1374"/>
      <c r="AM264" s="1374"/>
      <c r="AN264" s="1374"/>
      <c r="AO264" s="1374"/>
      <c r="AP264" s="1540"/>
      <c r="AQ264" s="1540"/>
      <c r="AR264" s="1540"/>
      <c r="AS264" s="1493"/>
      <c r="CH264" s="564"/>
      <c r="CI264" s="564"/>
      <c r="CJ264" s="564"/>
      <c r="CK264" s="564"/>
      <c r="CL264" s="564"/>
      <c r="CM264" s="564"/>
      <c r="CN264" s="564"/>
      <c r="CP264" s="564"/>
    </row>
    <row r="265" spans="1:94" x14ac:dyDescent="0.3">
      <c r="A265" s="1072" t="s">
        <v>319</v>
      </c>
      <c r="B265" s="640">
        <f>B260-H260</f>
        <v>-1.0602291344104717</v>
      </c>
      <c r="C265" s="640">
        <f t="shared" ref="C265" si="39">C260-I260</f>
        <v>-0.47263456242826418</v>
      </c>
      <c r="D265" s="640">
        <f t="shared" ref="D265" si="40">D260-J260</f>
        <v>-0.27501208516422793</v>
      </c>
      <c r="E265" s="1374"/>
      <c r="F265" s="1374"/>
      <c r="G265" s="1076" t="s">
        <v>319</v>
      </c>
      <c r="H265" s="641">
        <f>B265/H260</f>
        <v>-9.4165420635448638E-2</v>
      </c>
      <c r="I265" s="641">
        <f t="shared" si="38"/>
        <v>-6.7649950857696137E-2</v>
      </c>
      <c r="J265" s="641">
        <f t="shared" si="38"/>
        <v>-4.8604848808550725E-2</v>
      </c>
      <c r="K265" s="1374"/>
      <c r="L265" s="1374"/>
      <c r="M265" s="1276">
        <v>2018</v>
      </c>
      <c r="N265" s="1220">
        <f>AVERAGE(ENMAX!AK79:AK90)</f>
        <v>536.94066076062234</v>
      </c>
      <c r="O265" s="1091">
        <f>AVERAGE('ATCO-N'!AS79:AS90)</f>
        <v>11.542603993792513</v>
      </c>
      <c r="P265" s="1374"/>
      <c r="Q265" s="1374"/>
      <c r="R265" s="911"/>
      <c r="S265" s="1374"/>
      <c r="T265" s="1374"/>
      <c r="U265" s="1374"/>
      <c r="V265" s="1374"/>
      <c r="W265" s="1374"/>
      <c r="X265" s="1374"/>
      <c r="Y265" s="1374"/>
      <c r="Z265" s="1374"/>
      <c r="AA265" s="1374"/>
      <c r="AB265" s="1374"/>
      <c r="AC265" s="1374"/>
      <c r="AD265" s="1374"/>
      <c r="AE265" s="1374"/>
      <c r="AF265" s="1374"/>
      <c r="AG265" s="1374"/>
      <c r="AH265" s="1374"/>
      <c r="AI265" s="1374"/>
      <c r="AJ265" s="1374"/>
      <c r="AK265" s="1374"/>
      <c r="AL265" s="1374"/>
      <c r="AM265" s="1374"/>
      <c r="AN265" s="1374"/>
      <c r="AO265" s="1374"/>
      <c r="AP265" s="1540"/>
      <c r="AQ265" s="1540"/>
      <c r="AR265" s="1540"/>
      <c r="AS265" s="1493"/>
      <c r="CH265" s="564"/>
      <c r="CI265" s="564"/>
      <c r="CJ265" s="564"/>
      <c r="CK265" s="564"/>
      <c r="CL265" s="564"/>
      <c r="CM265" s="564"/>
      <c r="CN265" s="564"/>
      <c r="CP265" s="564"/>
    </row>
    <row r="266" spans="1:94" x14ac:dyDescent="0.3">
      <c r="A266" s="963"/>
      <c r="B266" s="1374"/>
      <c r="C266" s="1374"/>
      <c r="D266" s="1374"/>
      <c r="E266" s="1374"/>
      <c r="F266" s="1374"/>
      <c r="G266" s="1374"/>
      <c r="H266" s="1374"/>
      <c r="I266" s="1374"/>
      <c r="J266" s="1374"/>
      <c r="K266" s="1374"/>
      <c r="L266" s="1374"/>
      <c r="M266" s="1374"/>
      <c r="N266" s="1374"/>
      <c r="O266" s="1374"/>
      <c r="P266" s="1374"/>
      <c r="Q266" s="1374"/>
      <c r="R266" s="911"/>
      <c r="S266" s="1374"/>
      <c r="T266" s="1374"/>
      <c r="U266" s="1374"/>
      <c r="V266" s="1374"/>
      <c r="W266" s="1374"/>
      <c r="X266" s="1374"/>
      <c r="Y266" s="1374"/>
      <c r="Z266" s="1374"/>
      <c r="AA266" s="1374"/>
      <c r="AB266" s="1374"/>
      <c r="AC266" s="1374"/>
      <c r="AD266" s="1374"/>
      <c r="AE266" s="1374"/>
      <c r="AF266" s="1374"/>
      <c r="AG266" s="1374"/>
      <c r="AH266" s="1374"/>
      <c r="AI266" s="1374"/>
      <c r="AJ266" s="1374"/>
      <c r="AK266" s="1374"/>
      <c r="AL266" s="1374"/>
      <c r="AM266" s="1374"/>
      <c r="AN266" s="1374"/>
      <c r="AO266" s="1374"/>
      <c r="AP266" s="1540"/>
      <c r="AQ266" s="1540"/>
      <c r="AR266" s="1540"/>
      <c r="AS266" s="1493"/>
      <c r="CH266" s="564"/>
      <c r="CI266" s="564"/>
      <c r="CJ266" s="564"/>
      <c r="CK266" s="564"/>
      <c r="CL266" s="564"/>
      <c r="CM266" s="564"/>
      <c r="CN266" s="564"/>
      <c r="CP266" s="564"/>
    </row>
    <row r="267" spans="1:94" ht="15.5" x14ac:dyDescent="0.3">
      <c r="A267" s="2771" t="s">
        <v>588</v>
      </c>
      <c r="B267" s="2723"/>
      <c r="C267" s="2723"/>
      <c r="D267" s="2724"/>
      <c r="E267" s="1374"/>
      <c r="F267" s="1374"/>
      <c r="G267" s="1374"/>
      <c r="H267" s="1374"/>
      <c r="I267" s="1374"/>
      <c r="J267" s="1374"/>
      <c r="K267" s="1374"/>
      <c r="L267" s="1374"/>
      <c r="M267" s="1374"/>
      <c r="N267" s="1374"/>
      <c r="O267" s="1374"/>
      <c r="P267" s="1374"/>
      <c r="Q267" s="1374"/>
      <c r="R267" s="911"/>
      <c r="S267" s="1374"/>
      <c r="T267" s="1374"/>
      <c r="U267" s="1374"/>
      <c r="V267" s="1374"/>
      <c r="W267" s="1374"/>
      <c r="X267" s="1374"/>
      <c r="Y267" s="1374"/>
      <c r="Z267" s="1374"/>
      <c r="AA267" s="1374"/>
      <c r="AB267" s="1374"/>
      <c r="AC267" s="1374"/>
      <c r="AD267" s="1374"/>
      <c r="AE267" s="1374"/>
      <c r="AF267" s="1374"/>
      <c r="AG267" s="1374"/>
      <c r="AH267" s="1374"/>
      <c r="AI267" s="1374"/>
      <c r="AJ267" s="1374"/>
      <c r="AK267" s="1374"/>
      <c r="AL267" s="1374"/>
      <c r="AM267" s="1374"/>
      <c r="AN267" s="1374"/>
      <c r="AO267" s="1374"/>
      <c r="AP267" s="1540"/>
      <c r="AQ267" s="1540"/>
      <c r="AR267" s="1540"/>
      <c r="AS267" s="1493"/>
      <c r="CH267" s="564"/>
      <c r="CI267" s="564"/>
      <c r="CJ267" s="564"/>
      <c r="CK267" s="564"/>
      <c r="CL267" s="564"/>
      <c r="CM267" s="564"/>
      <c r="CN267" s="564"/>
      <c r="CP267" s="564"/>
    </row>
    <row r="268" spans="1:94" x14ac:dyDescent="0.3">
      <c r="A268" s="1072"/>
      <c r="B268" s="1406" t="s">
        <v>315</v>
      </c>
      <c r="C268" s="1406" t="s">
        <v>316</v>
      </c>
      <c r="D268" s="1406" t="s">
        <v>317</v>
      </c>
      <c r="E268" s="1374"/>
      <c r="F268" s="1374"/>
      <c r="G268" s="1374"/>
      <c r="H268" s="1374"/>
      <c r="I268" s="1374"/>
      <c r="J268" s="1374"/>
      <c r="K268" s="1374"/>
      <c r="L268" s="1374"/>
      <c r="M268" s="1374"/>
      <c r="N268" s="1374"/>
      <c r="O268" s="1374"/>
      <c r="P268" s="1374"/>
      <c r="Q268" s="1374"/>
      <c r="R268" s="911"/>
      <c r="S268" s="1374"/>
      <c r="T268" s="1374"/>
      <c r="U268" s="1374"/>
      <c r="V268" s="1374"/>
      <c r="W268" s="1374"/>
      <c r="X268" s="1374"/>
      <c r="Y268" s="1374"/>
      <c r="Z268" s="1374"/>
      <c r="AA268" s="1374"/>
      <c r="AB268" s="1374"/>
      <c r="AC268" s="1374"/>
      <c r="AD268" s="1374"/>
      <c r="AE268" s="1374"/>
      <c r="AF268" s="1374"/>
      <c r="AG268" s="1374"/>
      <c r="AH268" s="1374"/>
      <c r="AI268" s="1374"/>
      <c r="AJ268" s="1374"/>
      <c r="AK268" s="1374"/>
      <c r="AL268" s="1374"/>
      <c r="AM268" s="1374"/>
      <c r="AN268" s="1374"/>
      <c r="AO268" s="1374"/>
      <c r="AP268" s="1540"/>
      <c r="AQ268" s="1540"/>
      <c r="AR268" s="1540"/>
      <c r="AS268" s="1493"/>
      <c r="CH268" s="564"/>
      <c r="CI268" s="564"/>
      <c r="CJ268" s="564"/>
      <c r="CK268" s="564"/>
      <c r="CL268" s="564"/>
      <c r="CM268" s="564"/>
      <c r="CN268" s="564"/>
      <c r="CP268" s="564"/>
    </row>
    <row r="269" spans="1:94" x14ac:dyDescent="0.3">
      <c r="A269" s="1072" t="s">
        <v>318</v>
      </c>
      <c r="B269" s="1273">
        <f>26.289553/(995.43259*1000)</f>
        <v>2.6410179116197111E-5</v>
      </c>
      <c r="C269" s="1273">
        <f>3.366408/(167.960232*1000)</f>
        <v>2.004288729489252E-5</v>
      </c>
      <c r="D269" s="1273">
        <f>4.441682/(299.444546*1000)</f>
        <v>1.4833070294090444E-5</v>
      </c>
      <c r="E269" s="1374"/>
      <c r="F269" s="1374"/>
      <c r="G269" s="1374"/>
      <c r="H269" s="1374"/>
      <c r="I269" s="1374"/>
      <c r="J269" s="1374"/>
      <c r="K269" s="1374"/>
      <c r="L269" s="1374"/>
      <c r="M269" s="1374"/>
      <c r="N269" s="1374"/>
      <c r="O269" s="1374"/>
      <c r="P269" s="1374"/>
      <c r="Q269" s="1374"/>
      <c r="R269" s="911"/>
      <c r="S269" s="1374"/>
      <c r="T269" s="1374"/>
      <c r="U269" s="1374"/>
      <c r="V269" s="1374"/>
      <c r="W269" s="1374"/>
      <c r="X269" s="1374"/>
      <c r="Y269" s="1374"/>
      <c r="Z269" s="1374"/>
      <c r="AA269" s="1374"/>
      <c r="AB269" s="1374"/>
      <c r="AC269" s="1374"/>
      <c r="AD269" s="1374"/>
      <c r="AE269" s="1374"/>
      <c r="AF269" s="1374"/>
      <c r="AG269" s="1374"/>
      <c r="AH269" s="1374"/>
      <c r="AI269" s="1374"/>
      <c r="AJ269" s="1374"/>
      <c r="AK269" s="1374"/>
      <c r="AL269" s="1374"/>
      <c r="AM269" s="1374"/>
      <c r="AN269" s="1374"/>
      <c r="AO269" s="1374"/>
      <c r="AP269" s="1540"/>
      <c r="AQ269" s="1540"/>
      <c r="AR269" s="1540"/>
      <c r="AS269" s="1493"/>
      <c r="CH269" s="564"/>
      <c r="CI269" s="564"/>
      <c r="CJ269" s="564"/>
      <c r="CK269" s="564"/>
      <c r="CL269" s="564"/>
      <c r="CM269" s="564"/>
      <c r="CN269" s="564"/>
      <c r="CP269" s="564"/>
    </row>
    <row r="270" spans="1:94" x14ac:dyDescent="0.3">
      <c r="A270" s="1072" t="s">
        <v>319</v>
      </c>
      <c r="B270" s="1273">
        <f>121.828888/(995.43259*1000)</f>
        <v>1.2238788364363277E-4</v>
      </c>
      <c r="C270" s="1273">
        <f>13.12879/(167.960232*1000)</f>
        <v>7.8166062547472555E-5</v>
      </c>
      <c r="D270" s="1273">
        <f>19.343309/(299.444546*1000)</f>
        <v>6.4597299427854668E-5</v>
      </c>
      <c r="E270" s="1374"/>
      <c r="F270" s="1374"/>
      <c r="G270" s="1374"/>
      <c r="H270" s="1374"/>
      <c r="I270" s="1374"/>
      <c r="J270" s="1374"/>
      <c r="K270" s="1374"/>
      <c r="L270" s="1374"/>
      <c r="M270" s="1374"/>
      <c r="N270" s="1374"/>
      <c r="O270" s="1374"/>
      <c r="P270" s="1374"/>
      <c r="Q270" s="1374"/>
      <c r="R270" s="911"/>
      <c r="S270" s="1374"/>
      <c r="T270" s="1374"/>
      <c r="U270" s="1374"/>
      <c r="V270" s="1374"/>
      <c r="W270" s="1374"/>
      <c r="X270" s="1374"/>
      <c r="Y270" s="1374"/>
      <c r="Z270" s="1374"/>
      <c r="AA270" s="1374"/>
      <c r="AB270" s="1374"/>
      <c r="AC270" s="1374"/>
      <c r="AD270" s="1374"/>
      <c r="AE270" s="1374"/>
      <c r="AF270" s="1374"/>
      <c r="AG270" s="1374"/>
      <c r="AH270" s="1374"/>
      <c r="AI270" s="1374"/>
      <c r="AJ270" s="1374"/>
      <c r="AK270" s="1374"/>
      <c r="AL270" s="1374"/>
      <c r="AM270" s="1374"/>
      <c r="AN270" s="1374"/>
      <c r="AO270" s="1374"/>
      <c r="AP270" s="1540"/>
      <c r="AQ270" s="1540"/>
      <c r="AR270" s="1540"/>
      <c r="AS270" s="1493"/>
      <c r="CH270" s="564"/>
      <c r="CI270" s="564"/>
      <c r="CJ270" s="564"/>
      <c r="CK270" s="564"/>
      <c r="CL270" s="564"/>
      <c r="CM270" s="564"/>
      <c r="CN270" s="564"/>
      <c r="CP270" s="564"/>
    </row>
    <row r="271" spans="1:94" x14ac:dyDescent="0.3">
      <c r="A271" s="963"/>
      <c r="B271" s="1374"/>
      <c r="C271" s="1374"/>
      <c r="D271" s="1374"/>
      <c r="E271" s="1374"/>
      <c r="F271" s="1374"/>
      <c r="G271" s="1374"/>
      <c r="H271" s="1374"/>
      <c r="I271" s="1374"/>
      <c r="J271" s="1374"/>
      <c r="K271" s="1374"/>
      <c r="L271" s="1374"/>
      <c r="M271" s="1374"/>
      <c r="N271" s="1374"/>
      <c r="O271" s="1374"/>
      <c r="P271" s="1374"/>
      <c r="Q271" s="1374"/>
      <c r="R271" s="911"/>
      <c r="S271" s="1374"/>
      <c r="T271" s="1374"/>
      <c r="U271" s="1374"/>
      <c r="V271" s="1374"/>
      <c r="W271" s="1374"/>
      <c r="X271" s="1374"/>
      <c r="Y271" s="1374"/>
      <c r="Z271" s="1374"/>
      <c r="AA271" s="1374"/>
      <c r="AB271" s="1374"/>
      <c r="AC271" s="1374"/>
      <c r="AD271" s="1374"/>
      <c r="AE271" s="1374"/>
      <c r="AF271" s="1374"/>
      <c r="AG271" s="1374"/>
      <c r="AH271" s="1374"/>
      <c r="AI271" s="1374"/>
      <c r="AJ271" s="1374"/>
      <c r="AK271" s="1374"/>
      <c r="AL271" s="1374"/>
      <c r="AM271" s="1374"/>
      <c r="AN271" s="1374"/>
      <c r="AO271" s="1374"/>
      <c r="AP271" s="1540"/>
      <c r="AQ271" s="1540"/>
      <c r="AR271" s="1540"/>
      <c r="AS271" s="1493"/>
      <c r="CH271" s="564"/>
      <c r="CI271" s="564"/>
      <c r="CJ271" s="564"/>
      <c r="CK271" s="564"/>
      <c r="CL271" s="564"/>
      <c r="CM271" s="564"/>
      <c r="CN271" s="564"/>
      <c r="CP271" s="564"/>
    </row>
    <row r="272" spans="1:94" x14ac:dyDescent="0.3">
      <c r="A272" s="965"/>
      <c r="B272" s="918"/>
      <c r="C272" s="918"/>
      <c r="D272" s="918"/>
      <c r="E272" s="918"/>
      <c r="F272" s="918"/>
      <c r="G272" s="918"/>
      <c r="H272" s="918"/>
      <c r="I272" s="918"/>
      <c r="J272" s="918"/>
      <c r="K272" s="918"/>
      <c r="L272" s="918"/>
      <c r="M272" s="918"/>
      <c r="N272" s="918"/>
      <c r="O272" s="918"/>
      <c r="P272" s="918"/>
      <c r="Q272" s="918"/>
      <c r="R272" s="919"/>
      <c r="S272" s="1374"/>
      <c r="T272" s="1374"/>
      <c r="U272" s="1374"/>
      <c r="V272" s="1374"/>
      <c r="W272" s="1374"/>
      <c r="X272" s="1374"/>
      <c r="Y272" s="1374"/>
      <c r="Z272" s="1374"/>
      <c r="AA272" s="1374"/>
      <c r="AB272" s="1374"/>
      <c r="AC272" s="1374"/>
      <c r="AD272" s="1374"/>
      <c r="AE272" s="1374"/>
      <c r="AF272" s="1374"/>
      <c r="AG272" s="1374"/>
      <c r="AH272" s="1374"/>
      <c r="AI272" s="1374"/>
      <c r="AJ272" s="1374"/>
      <c r="AK272" s="1374"/>
      <c r="AL272" s="1374"/>
      <c r="AM272" s="1374"/>
      <c r="AN272" s="1374"/>
      <c r="AO272" s="1374"/>
      <c r="AP272" s="1540"/>
      <c r="AQ272" s="1540"/>
      <c r="AR272" s="1540"/>
      <c r="AS272" s="1493"/>
      <c r="CH272" s="564"/>
      <c r="CI272" s="564"/>
      <c r="CJ272" s="564"/>
      <c r="CK272" s="564"/>
      <c r="CL272" s="564"/>
      <c r="CM272" s="564"/>
      <c r="CN272" s="564"/>
      <c r="CP272" s="564"/>
    </row>
    <row r="273" spans="1:94" x14ac:dyDescent="0.3">
      <c r="A273" s="963"/>
      <c r="B273" s="1374"/>
      <c r="C273" s="1374"/>
      <c r="D273" s="1374"/>
      <c r="E273" s="1374"/>
      <c r="F273" s="1374"/>
      <c r="G273" s="1374"/>
      <c r="H273" s="1374"/>
      <c r="I273" s="1374"/>
      <c r="J273" s="1374"/>
      <c r="K273" s="1374"/>
      <c r="L273" s="1374"/>
      <c r="M273" s="1374"/>
      <c r="N273" s="1374"/>
      <c r="O273" s="1374"/>
      <c r="P273" s="1374"/>
      <c r="Q273" s="1374"/>
      <c r="R273" s="1374"/>
      <c r="S273" s="1374"/>
      <c r="T273" s="1374"/>
      <c r="U273" s="1374"/>
      <c r="V273" s="1374"/>
      <c r="W273" s="1374"/>
      <c r="X273" s="1374"/>
      <c r="Y273" s="1374"/>
      <c r="Z273" s="1374"/>
      <c r="AA273" s="1374"/>
      <c r="AB273" s="1374"/>
      <c r="AC273" s="1374"/>
      <c r="AD273" s="1374"/>
      <c r="AE273" s="1374"/>
      <c r="AF273" s="1374"/>
      <c r="AG273" s="1374"/>
      <c r="AH273" s="1374"/>
      <c r="AI273" s="1374"/>
      <c r="AJ273" s="1374"/>
      <c r="AK273" s="1374"/>
      <c r="AL273" s="1374"/>
      <c r="AM273" s="1374"/>
      <c r="AN273" s="1374"/>
      <c r="AO273" s="1374"/>
      <c r="AP273" s="1540"/>
      <c r="AQ273" s="1540"/>
      <c r="AR273" s="1540"/>
      <c r="AS273" s="1493"/>
      <c r="CH273" s="564"/>
      <c r="CI273" s="564"/>
      <c r="CJ273" s="564"/>
      <c r="CK273" s="564"/>
      <c r="CL273" s="564"/>
      <c r="CM273" s="564"/>
      <c r="CN273" s="564"/>
      <c r="CP273" s="564"/>
    </row>
    <row r="274" spans="1:94" ht="14.5" thickBot="1" x14ac:dyDescent="0.35">
      <c r="A274" s="964"/>
      <c r="B274" s="908"/>
      <c r="C274" s="908"/>
      <c r="D274" s="908"/>
      <c r="E274" s="908"/>
      <c r="F274" s="908"/>
      <c r="G274" s="908"/>
      <c r="H274" s="908"/>
      <c r="I274" s="908"/>
      <c r="J274" s="908"/>
      <c r="K274" s="908"/>
      <c r="L274" s="908"/>
      <c r="M274" s="908"/>
      <c r="N274" s="908"/>
      <c r="O274" s="908"/>
      <c r="P274" s="908"/>
      <c r="Q274" s="908"/>
      <c r="R274" s="908"/>
      <c r="S274" s="908"/>
      <c r="T274" s="908"/>
      <c r="U274" s="908"/>
      <c r="V274" s="908"/>
      <c r="W274" s="908"/>
      <c r="X274" s="908"/>
      <c r="Y274" s="908"/>
      <c r="Z274" s="908"/>
      <c r="AA274" s="908"/>
      <c r="AB274" s="908"/>
      <c r="AC274" s="908"/>
      <c r="AD274" s="908"/>
      <c r="AE274" s="908"/>
      <c r="AF274" s="908"/>
      <c r="AG274" s="908"/>
      <c r="AH274" s="908"/>
      <c r="AI274" s="908"/>
      <c r="AJ274" s="908"/>
      <c r="AK274" s="908"/>
      <c r="AL274" s="908"/>
      <c r="AM274" s="908"/>
      <c r="AN274" s="908"/>
      <c r="AO274" s="908"/>
      <c r="AP274" s="908"/>
      <c r="AQ274" s="908"/>
      <c r="AR274" s="909"/>
      <c r="AS274" s="1493"/>
      <c r="CH274" s="564"/>
      <c r="CI274" s="564"/>
      <c r="CJ274" s="564"/>
      <c r="CK274" s="564"/>
      <c r="CL274" s="564"/>
      <c r="CM274" s="564"/>
      <c r="CN274" s="564"/>
      <c r="CP274" s="564"/>
    </row>
    <row r="275" spans="1:94" ht="16.5" customHeight="1" x14ac:dyDescent="0.3">
      <c r="A275" s="2661" t="s">
        <v>498</v>
      </c>
      <c r="B275" s="2679"/>
      <c r="C275" s="2679"/>
      <c r="D275" s="2679"/>
      <c r="E275" s="2679"/>
      <c r="F275" s="2679"/>
      <c r="G275" s="2679"/>
      <c r="H275" s="2680"/>
      <c r="I275" s="1374"/>
      <c r="J275" s="2661" t="s">
        <v>499</v>
      </c>
      <c r="K275" s="2679"/>
      <c r="L275" s="2679"/>
      <c r="M275" s="2679"/>
      <c r="N275" s="2679"/>
      <c r="O275" s="2679"/>
      <c r="P275" s="2679"/>
      <c r="Q275" s="2679"/>
      <c r="R275" s="2679"/>
      <c r="S275" s="2679"/>
      <c r="T275" s="2679"/>
      <c r="U275" s="2679"/>
      <c r="V275" s="2679"/>
      <c r="W275" s="2679"/>
      <c r="X275" s="2679"/>
      <c r="Y275" s="2679"/>
      <c r="Z275" s="2679"/>
      <c r="AA275" s="2679"/>
      <c r="AB275" s="2679"/>
      <c r="AC275" s="2679"/>
      <c r="AD275" s="2679"/>
      <c r="AE275" s="2680"/>
      <c r="AF275" s="1374"/>
      <c r="AG275" s="1374"/>
      <c r="AH275" s="1374"/>
      <c r="AI275" s="1374"/>
      <c r="AJ275" s="1374"/>
      <c r="AK275" s="1374"/>
      <c r="AL275" s="1374"/>
      <c r="AM275" s="1374"/>
      <c r="AN275" s="1374"/>
      <c r="AO275" s="1540"/>
      <c r="AP275" s="1540"/>
      <c r="AQ275" s="1540"/>
      <c r="AR275" s="911"/>
      <c r="AS275" s="1493"/>
      <c r="CH275" s="564"/>
      <c r="CI275" s="564"/>
      <c r="CJ275" s="564"/>
      <c r="CK275" s="564"/>
      <c r="CL275" s="564"/>
      <c r="CM275" s="564"/>
      <c r="CN275" s="564"/>
      <c r="CP275" s="564"/>
    </row>
    <row r="276" spans="1:94" ht="17.25" customHeight="1" thickBot="1" x14ac:dyDescent="0.35">
      <c r="A276" s="2676"/>
      <c r="B276" s="2677"/>
      <c r="C276" s="2677"/>
      <c r="D276" s="2677"/>
      <c r="E276" s="2677"/>
      <c r="F276" s="2677"/>
      <c r="G276" s="2677"/>
      <c r="H276" s="2678"/>
      <c r="I276" s="1374"/>
      <c r="J276" s="2676"/>
      <c r="K276" s="2677"/>
      <c r="L276" s="2677"/>
      <c r="M276" s="2677"/>
      <c r="N276" s="2677"/>
      <c r="O276" s="2677"/>
      <c r="P276" s="2677"/>
      <c r="Q276" s="2677"/>
      <c r="R276" s="2677"/>
      <c r="S276" s="2677"/>
      <c r="T276" s="2677"/>
      <c r="U276" s="2677"/>
      <c r="V276" s="2677"/>
      <c r="W276" s="2677"/>
      <c r="X276" s="2677"/>
      <c r="Y276" s="2677"/>
      <c r="Z276" s="2677"/>
      <c r="AA276" s="2677"/>
      <c r="AB276" s="2677"/>
      <c r="AC276" s="2677"/>
      <c r="AD276" s="2677"/>
      <c r="AE276" s="2678"/>
      <c r="AF276" s="1374"/>
      <c r="AG276" s="1374"/>
      <c r="AH276" s="1374"/>
      <c r="AI276" s="1374"/>
      <c r="AJ276" s="1374"/>
      <c r="AK276" s="1374"/>
      <c r="AL276" s="1374"/>
      <c r="AM276" s="1374"/>
      <c r="AN276" s="1374"/>
      <c r="AO276" s="1540"/>
      <c r="AP276" s="1540"/>
      <c r="AQ276" s="1540"/>
      <c r="AR276" s="911"/>
      <c r="AS276" s="1493"/>
      <c r="CH276" s="564"/>
      <c r="CI276" s="564"/>
      <c r="CJ276" s="564"/>
      <c r="CK276" s="564"/>
      <c r="CL276" s="564"/>
      <c r="CM276" s="564"/>
      <c r="CN276" s="564"/>
      <c r="CP276" s="564"/>
    </row>
    <row r="277" spans="1:94" ht="35.25" customHeight="1" thickBot="1" x14ac:dyDescent="0.35">
      <c r="A277" s="966" t="s">
        <v>266</v>
      </c>
      <c r="B277" s="618" t="str">
        <f>$D$220</f>
        <v>Detached Home</v>
      </c>
      <c r="C277" s="618" t="str">
        <f>$D$221</f>
        <v>Attached Home</v>
      </c>
      <c r="D277" s="618" t="str">
        <f>$D$222</f>
        <v>Apartment</v>
      </c>
      <c r="E277" s="1402" t="s">
        <v>266</v>
      </c>
      <c r="F277" s="618" t="str">
        <f>$D$220</f>
        <v>Detached Home</v>
      </c>
      <c r="G277" s="618" t="str">
        <f>$D$221</f>
        <v>Attached Home</v>
      </c>
      <c r="H277" s="618" t="str">
        <f>$D$222</f>
        <v>Apartment</v>
      </c>
      <c r="I277" s="1374"/>
      <c r="J277" s="1402" t="s">
        <v>474</v>
      </c>
      <c r="K277" s="2757" t="s">
        <v>54</v>
      </c>
      <c r="L277" s="2758"/>
      <c r="M277" s="2759"/>
      <c r="N277" s="2725" t="s">
        <v>55</v>
      </c>
      <c r="O277" s="2725"/>
      <c r="P277" s="2725"/>
      <c r="Q277" s="2725" t="s">
        <v>56</v>
      </c>
      <c r="R277" s="2725"/>
      <c r="S277" s="2725"/>
      <c r="T277" s="2725" t="s">
        <v>57</v>
      </c>
      <c r="U277" s="2725"/>
      <c r="V277" s="2726"/>
      <c r="W277" s="2735" t="s">
        <v>99</v>
      </c>
      <c r="X277" s="2725"/>
      <c r="Y277" s="2725"/>
      <c r="Z277" s="2725" t="s">
        <v>100</v>
      </c>
      <c r="AA277" s="2725"/>
      <c r="AB277" s="2725"/>
      <c r="AC277" s="2725" t="s">
        <v>101</v>
      </c>
      <c r="AD277" s="2725"/>
      <c r="AE277" s="2725"/>
      <c r="AF277" s="1374"/>
      <c r="AG277" s="1374"/>
      <c r="AH277" s="1374"/>
      <c r="AI277" s="1374"/>
      <c r="AJ277" s="1374"/>
      <c r="AK277" s="1374"/>
      <c r="AL277" s="1374"/>
      <c r="AM277" s="1374"/>
      <c r="AN277" s="1374"/>
      <c r="AO277" s="1540"/>
      <c r="AP277" s="1540"/>
      <c r="AQ277" s="1540"/>
      <c r="AR277" s="911"/>
      <c r="AS277" s="1493"/>
      <c r="BJ277" s="715"/>
      <c r="BK277" s="589"/>
      <c r="BL277" s="589"/>
      <c r="BM277" s="589"/>
      <c r="BN277" s="589"/>
      <c r="BO277" s="589"/>
      <c r="BP277" s="589"/>
      <c r="BQ277" s="589"/>
      <c r="BR277" s="589"/>
      <c r="BS277" s="589"/>
      <c r="BT277" s="589"/>
      <c r="BU277" s="589"/>
      <c r="BV277" s="715"/>
      <c r="BW277" s="589"/>
      <c r="BX277" s="589"/>
      <c r="BY277" s="589"/>
      <c r="BZ277" s="589"/>
      <c r="CA277" s="589"/>
      <c r="CB277" s="589"/>
      <c r="CC277" s="589"/>
      <c r="CD277" s="589"/>
      <c r="CE277" s="589"/>
      <c r="CF277" s="589"/>
      <c r="CG277" s="1374"/>
      <c r="CH277" s="564"/>
      <c r="CI277" s="564"/>
      <c r="CJ277" s="564"/>
      <c r="CK277" s="564"/>
      <c r="CL277" s="564"/>
      <c r="CM277" s="564"/>
      <c r="CN277" s="564"/>
      <c r="CP277" s="564"/>
    </row>
    <row r="278" spans="1:94" ht="33.75" customHeight="1" thickBot="1" x14ac:dyDescent="0.35">
      <c r="A278" s="967" t="s">
        <v>233</v>
      </c>
      <c r="B278" s="620" t="s">
        <v>259</v>
      </c>
      <c r="C278" s="620" t="s">
        <v>259</v>
      </c>
      <c r="D278" s="620" t="s">
        <v>259</v>
      </c>
      <c r="E278" s="619" t="s">
        <v>233</v>
      </c>
      <c r="F278" s="620" t="s">
        <v>260</v>
      </c>
      <c r="G278" s="620" t="s">
        <v>260</v>
      </c>
      <c r="H278" s="620" t="s">
        <v>260</v>
      </c>
      <c r="I278" s="1374"/>
      <c r="J278" s="1406" t="s">
        <v>233</v>
      </c>
      <c r="K278" s="1398" t="s">
        <v>341</v>
      </c>
      <c r="L278" s="1398" t="s">
        <v>342</v>
      </c>
      <c r="M278" s="1398" t="s">
        <v>343</v>
      </c>
      <c r="N278" s="1398" t="s">
        <v>344</v>
      </c>
      <c r="O278" s="1398" t="s">
        <v>345</v>
      </c>
      <c r="P278" s="1398" t="s">
        <v>346</v>
      </c>
      <c r="Q278" s="1398" t="s">
        <v>347</v>
      </c>
      <c r="R278" s="1398" t="s">
        <v>348</v>
      </c>
      <c r="S278" s="1398" t="s">
        <v>349</v>
      </c>
      <c r="T278" s="1398" t="s">
        <v>350</v>
      </c>
      <c r="U278" s="1398" t="s">
        <v>351</v>
      </c>
      <c r="V278" s="616" t="s">
        <v>352</v>
      </c>
      <c r="W278" s="621" t="s">
        <v>353</v>
      </c>
      <c r="X278" s="1398" t="s">
        <v>354</v>
      </c>
      <c r="Y278" s="1398" t="s">
        <v>355</v>
      </c>
      <c r="Z278" s="1398" t="s">
        <v>356</v>
      </c>
      <c r="AA278" s="1398" t="s">
        <v>357</v>
      </c>
      <c r="AB278" s="1398" t="s">
        <v>358</v>
      </c>
      <c r="AC278" s="1398" t="s">
        <v>359</v>
      </c>
      <c r="AD278" s="1398" t="s">
        <v>360</v>
      </c>
      <c r="AE278" s="1398" t="s">
        <v>361</v>
      </c>
      <c r="AF278" s="1374"/>
      <c r="AG278" s="2736" t="s">
        <v>500</v>
      </c>
      <c r="AH278" s="2737"/>
      <c r="AI278" s="2737"/>
      <c r="AJ278" s="2737"/>
      <c r="AK278" s="2737"/>
      <c r="AL278" s="2737"/>
      <c r="AM278" s="2737"/>
      <c r="AN278" s="2737"/>
      <c r="AO278" s="2737"/>
      <c r="AP278" s="2737"/>
      <c r="AQ278" s="2738"/>
      <c r="AR278" s="911"/>
      <c r="AS278" s="1493"/>
      <c r="BJ278" s="715"/>
      <c r="BK278" s="589"/>
      <c r="BL278" s="589"/>
      <c r="BM278" s="589"/>
      <c r="BN278" s="589"/>
      <c r="BO278" s="589"/>
      <c r="BP278" s="589"/>
      <c r="BQ278" s="589"/>
      <c r="BR278" s="589"/>
      <c r="BS278" s="589"/>
      <c r="BT278" s="589"/>
      <c r="BU278" s="589"/>
      <c r="BV278" s="715"/>
      <c r="BW278" s="589"/>
      <c r="BX278" s="589"/>
      <c r="BY278" s="589"/>
      <c r="BZ278" s="589"/>
      <c r="CA278" s="589"/>
      <c r="CB278" s="589"/>
      <c r="CC278" s="589"/>
      <c r="CD278" s="589"/>
      <c r="CE278" s="589"/>
      <c r="CF278" s="589"/>
      <c r="CG278" s="1374"/>
      <c r="CH278" s="564"/>
      <c r="CI278" s="564"/>
      <c r="CJ278" s="564"/>
      <c r="CK278" s="564"/>
      <c r="CL278" s="564"/>
      <c r="CM278" s="564"/>
      <c r="CN278" s="564"/>
      <c r="CP278" s="564"/>
    </row>
    <row r="279" spans="1:94" ht="45" customHeight="1" thickBot="1" x14ac:dyDescent="0.35">
      <c r="A279" s="968" t="s">
        <v>267</v>
      </c>
      <c r="B279" s="623">
        <f>COLUMN(B$277)</f>
        <v>2</v>
      </c>
      <c r="C279" s="623">
        <f>COLUMN(C$277)</f>
        <v>3</v>
      </c>
      <c r="D279" s="623">
        <f>COLUMN(D$277)</f>
        <v>4</v>
      </c>
      <c r="E279" s="622" t="s">
        <v>267</v>
      </c>
      <c r="F279" s="623">
        <f>COLUMN(F$277)-COLUMN($D$279)</f>
        <v>2</v>
      </c>
      <c r="G279" s="623">
        <f>COLUMN(G$277)-COLUMN($D$279)</f>
        <v>3</v>
      </c>
      <c r="H279" s="623">
        <f>COLUMN(H$277)-COLUMN($D$279)</f>
        <v>4</v>
      </c>
      <c r="I279" s="1374"/>
      <c r="J279" s="624" t="s">
        <v>267</v>
      </c>
      <c r="K279" s="625">
        <v>2</v>
      </c>
      <c r="L279" s="625">
        <v>3</v>
      </c>
      <c r="M279" s="625">
        <v>4</v>
      </c>
      <c r="N279" s="625">
        <v>5</v>
      </c>
      <c r="O279" s="625">
        <v>6</v>
      </c>
      <c r="P279" s="625">
        <v>7</v>
      </c>
      <c r="Q279" s="625">
        <v>8</v>
      </c>
      <c r="R279" s="625">
        <v>9</v>
      </c>
      <c r="S279" s="625">
        <v>10</v>
      </c>
      <c r="T279" s="625">
        <v>11</v>
      </c>
      <c r="U279" s="625">
        <v>12</v>
      </c>
      <c r="V279" s="626">
        <v>13</v>
      </c>
      <c r="W279" s="627">
        <v>14</v>
      </c>
      <c r="X279" s="819">
        <v>15</v>
      </c>
      <c r="Y279" s="625">
        <v>16</v>
      </c>
      <c r="Z279" s="625">
        <v>17</v>
      </c>
      <c r="AA279" s="625">
        <v>18</v>
      </c>
      <c r="AB279" s="625">
        <v>19</v>
      </c>
      <c r="AC279" s="625">
        <v>20</v>
      </c>
      <c r="AD279" s="625">
        <v>21</v>
      </c>
      <c r="AE279" s="625">
        <v>22</v>
      </c>
      <c r="AF279" s="1374"/>
      <c r="AG279" s="628"/>
      <c r="AH279" s="629" t="s">
        <v>320</v>
      </c>
      <c r="AI279" s="629" t="s">
        <v>321</v>
      </c>
      <c r="AJ279" s="629" t="s">
        <v>322</v>
      </c>
      <c r="AK279" s="629" t="s">
        <v>323</v>
      </c>
      <c r="AL279" s="629" t="s">
        <v>324</v>
      </c>
      <c r="AM279" s="629" t="s">
        <v>325</v>
      </c>
      <c r="AN279" s="629" t="s">
        <v>326</v>
      </c>
      <c r="AO279" s="1570"/>
      <c r="AP279" s="661" t="s">
        <v>31</v>
      </c>
      <c r="AQ279" s="661" t="s">
        <v>524</v>
      </c>
      <c r="AR279" s="911"/>
      <c r="AS279" s="1493"/>
      <c r="BJ279" s="715"/>
      <c r="BK279" s="589"/>
      <c r="BL279" s="589"/>
      <c r="BM279" s="589"/>
      <c r="BN279" s="589"/>
      <c r="BO279" s="589"/>
      <c r="BP279" s="589"/>
      <c r="BQ279" s="589"/>
      <c r="BR279" s="589"/>
      <c r="BS279" s="589"/>
      <c r="BT279" s="589"/>
      <c r="BU279" s="589"/>
      <c r="BV279" s="715"/>
      <c r="BW279" s="589"/>
      <c r="BX279" s="589"/>
      <c r="BY279" s="589"/>
      <c r="BZ279" s="589"/>
      <c r="CA279" s="589"/>
      <c r="CB279" s="589"/>
      <c r="CC279" s="589"/>
      <c r="CD279" s="589"/>
      <c r="CE279" s="589"/>
      <c r="CF279" s="589"/>
      <c r="CG279" s="1374"/>
      <c r="CH279" s="564"/>
      <c r="CI279" s="564"/>
      <c r="CJ279" s="564"/>
      <c r="CK279" s="564"/>
      <c r="CL279" s="564"/>
      <c r="CM279" s="564"/>
      <c r="CN279" s="564"/>
      <c r="CP279" s="564"/>
    </row>
    <row r="280" spans="1:94" x14ac:dyDescent="0.3">
      <c r="A280" s="969">
        <v>40909</v>
      </c>
      <c r="B280" s="631">
        <f>VLOOKUP($A280, $J$277:$AE$369, HLOOKUP("Detached_" &amp;'Personalized Bill Menu'!$B$22, $J$278:$AE$279, 2, FALSE), FALSE)</f>
        <v>706.749077999924</v>
      </c>
      <c r="C280" s="631">
        <f>VLOOKUP($A280, $J$277:$AE$369, HLOOKUP("Attached_" &amp;'Personalized Bill Menu'!$B$22, $J$278:$AE$279, 2, FALSE), FALSE)</f>
        <v>536.35729064155578</v>
      </c>
      <c r="D280" s="631">
        <f>VLOOKUP($A280, $J$277:$AE$369, HLOOKUP("Apartment_" &amp;'Personalized Bill Menu'!$B$22, $J$278:$AE$279, 2, FALSE), FALSE)</f>
        <v>396.94008541680813</v>
      </c>
      <c r="E280" s="630">
        <v>40909</v>
      </c>
      <c r="F280" s="631">
        <f>VLOOKUP($A280, $J$277:$AE$369, HLOOKUP("Detached_" &amp;'Personalized Bill Menu'!$B$23, $J$278:$AE$279, 2, FALSE), FALSE)</f>
        <v>16.955826922722459</v>
      </c>
      <c r="G280" s="631">
        <f>VLOOKUP($A280, $J$277:$AE$369, HLOOKUP("Attached_" &amp;'Personalized Bill Menu'!$B$23, $J$278:$AE$279, 2, FALSE), FALSE)</f>
        <v>10.829260122226119</v>
      </c>
      <c r="H280" s="631">
        <f>VLOOKUP($A280, $J$277:$AE$369, HLOOKUP("Apartment_" &amp;'Personalized Bill Menu'!$B$23, $J$278:$AE$279, 2, FALSE), FALSE)</f>
        <v>8.9494204505019663</v>
      </c>
      <c r="I280" s="1374"/>
      <c r="J280" s="630">
        <v>40909</v>
      </c>
      <c r="K280" s="1279">
        <f>(B$259/$N$262)*$AH280</f>
        <v>706.749077999924</v>
      </c>
      <c r="L280" s="1279">
        <f>(C$259/$N$262)*$AH280</f>
        <v>536.35729064155578</v>
      </c>
      <c r="M280" s="1279">
        <f>(D$259/$N$262)*$AH280</f>
        <v>396.94008541680813</v>
      </c>
      <c r="N280" s="1279">
        <f>(B$259/$N$262)*$AI280</f>
        <v>646.05511703009233</v>
      </c>
      <c r="O280" s="1279">
        <f>(C$259/$N$262)*$AI280</f>
        <v>490.29617860415641</v>
      </c>
      <c r="P280" s="1279">
        <f>(D$259/$N$262)*$AI280</f>
        <v>362.85179750587292</v>
      </c>
      <c r="Q280" s="1279">
        <f>(B$259/$N$262)*$AJ280</f>
        <v>859.92465649969733</v>
      </c>
      <c r="R280" s="1279">
        <f>(C$259/$N$262)*$AJ280</f>
        <v>652.6034108474604</v>
      </c>
      <c r="S280" s="1279">
        <f>(D$259/$N$262)*$AJ280</f>
        <v>482.96994963047689</v>
      </c>
      <c r="T280" s="1279">
        <f>(B$259/$N$262)*$AK280</f>
        <v>881.25647294504017</v>
      </c>
      <c r="U280" s="1279">
        <f>(C$259/$N$262)*$AK280</f>
        <v>668.79228979933123</v>
      </c>
      <c r="V280" s="1279">
        <f>(D$259/$N$262)*$AK280</f>
        <v>494.95079729691128</v>
      </c>
      <c r="W280" s="1280">
        <f>(B$260/$O$262)*$AL280</f>
        <v>17.929421891020944</v>
      </c>
      <c r="X280" s="1281">
        <f>(C$260/$O$262)*$AL280</f>
        <v>11.451070737151994</v>
      </c>
      <c r="Y280" s="1282">
        <f>(D$260/$O$262)*$AL280</f>
        <v>9.4632916264408902</v>
      </c>
      <c r="Z280" s="1279">
        <f>(B$260/$O$262)*$AM280</f>
        <v>16.955826922722459</v>
      </c>
      <c r="AA280" s="1279">
        <f>(C$260/$O$262)*$AM280</f>
        <v>10.829260122226119</v>
      </c>
      <c r="AB280" s="1279">
        <f>(D$260/$O$262)*$AM280</f>
        <v>8.9494204505019663</v>
      </c>
      <c r="AC280" s="1279">
        <f>(B$260/$O$262)*$AN280</f>
        <v>19.02941620866882</v>
      </c>
      <c r="AD280" s="1279">
        <f>(C$260/$O$262)*$AN280</f>
        <v>12.153609436860949</v>
      </c>
      <c r="AE280" s="1279">
        <f>(D$260/$O$262)*$AN280</f>
        <v>10.043877385346081</v>
      </c>
      <c r="AF280" s="1374"/>
      <c r="AG280" s="632">
        <v>40909</v>
      </c>
      <c r="AH280" s="1513">
        <v>627.19087443768547</v>
      </c>
      <c r="AI280" s="1513">
        <v>573.3291862675602</v>
      </c>
      <c r="AJ280" s="1513">
        <v>763.1235951334761</v>
      </c>
      <c r="AK280" s="1513">
        <v>782.05410530486711</v>
      </c>
      <c r="AL280" s="1284">
        <v>18.158461383219066</v>
      </c>
      <c r="AM280" s="1284">
        <v>17.172429220988668</v>
      </c>
      <c r="AN280" s="1284">
        <v>19.272507583937479</v>
      </c>
      <c r="AO280" s="1570"/>
      <c r="AP280" s="1513">
        <v>672.08273643058499</v>
      </c>
      <c r="AQ280" s="1513">
        <v>17.846708158240407</v>
      </c>
      <c r="AR280" s="911"/>
      <c r="AS280" s="1493"/>
      <c r="BJ280" s="715"/>
      <c r="BK280" s="589"/>
      <c r="BL280" s="589"/>
      <c r="BM280" s="589"/>
      <c r="BN280" s="589"/>
      <c r="BO280" s="589"/>
      <c r="BP280" s="589"/>
      <c r="BQ280" s="589"/>
      <c r="BR280" s="589"/>
      <c r="BS280" s="589"/>
      <c r="BT280" s="589"/>
      <c r="BU280" s="589"/>
      <c r="BV280" s="715"/>
      <c r="BW280" s="589"/>
      <c r="BX280" s="589"/>
      <c r="BY280" s="589"/>
      <c r="BZ280" s="589"/>
      <c r="CA280" s="589"/>
      <c r="CB280" s="589"/>
      <c r="CC280" s="589"/>
      <c r="CD280" s="589"/>
      <c r="CE280" s="589"/>
      <c r="CF280" s="589"/>
      <c r="CG280" s="1374"/>
      <c r="CH280" s="564"/>
      <c r="CI280" s="564"/>
      <c r="CJ280" s="564"/>
      <c r="CK280" s="564"/>
      <c r="CL280" s="564"/>
      <c r="CM280" s="564"/>
      <c r="CN280" s="564"/>
      <c r="CP280" s="564"/>
    </row>
    <row r="281" spans="1:94" x14ac:dyDescent="0.3">
      <c r="A281" s="970">
        <v>40940</v>
      </c>
      <c r="B281" s="631">
        <f>VLOOKUP($A281, $J$277:$AE$369, HLOOKUP("Detached_" &amp;'Personalized Bill Menu'!$B$22, $J$278:$AE$279, 2, FALSE), FALSE)</f>
        <v>631.50245411531682</v>
      </c>
      <c r="C281" s="631">
        <f>VLOOKUP($A281, $J$277:$AE$369, HLOOKUP("Attached_" &amp;'Personalized Bill Menu'!$B$22, $J$278:$AE$279, 2, FALSE), FALSE)</f>
        <v>479.25205121077101</v>
      </c>
      <c r="D281" s="631">
        <f>VLOOKUP($A281, $J$277:$AE$369, HLOOKUP("Apartment_" &amp;'Personalized Bill Menu'!$B$22, $J$278:$AE$279, 2, FALSE), FALSE)</f>
        <v>354.67840833530568</v>
      </c>
      <c r="E281" s="634">
        <v>40940</v>
      </c>
      <c r="F281" s="631">
        <f>VLOOKUP($A281, $J$277:$AE$369, HLOOKUP("Detached_" &amp;'Personalized Bill Menu'!$B$23, $J$278:$AE$279, 2, FALSE), FALSE)</f>
        <v>15.590669862509053</v>
      </c>
      <c r="G281" s="631">
        <f>VLOOKUP($A281, $J$277:$AE$369, HLOOKUP("Attached_" &amp;'Personalized Bill Menu'!$B$23, $J$278:$AE$279, 2, FALSE), FALSE)</f>
        <v>9.9573686491577682</v>
      </c>
      <c r="H281" s="631">
        <f>VLOOKUP($A281, $J$277:$AE$369, HLOOKUP("Apartment_" &amp;'Personalized Bill Menu'!$B$23, $J$278:$AE$279, 2, FALSE), FALSE)</f>
        <v>8.2288796848700319</v>
      </c>
      <c r="I281" s="1374"/>
      <c r="J281" s="634">
        <v>40940</v>
      </c>
      <c r="K281" s="1279">
        <f>(B$259/$N$262)*$AH281</f>
        <v>631.50245411531682</v>
      </c>
      <c r="L281" s="1279">
        <f t="shared" ref="L281:L344" si="41">(C$259/$N$262)*$AH281</f>
        <v>479.25205121077101</v>
      </c>
      <c r="M281" s="1279">
        <f t="shared" ref="M281:M344" si="42">(D$259/$N$262)*$AH281</f>
        <v>354.67840833530568</v>
      </c>
      <c r="N281" s="1279">
        <f t="shared" ref="N281:N344" si="43">(B$259/$N$262)*$AI281</f>
        <v>557.67940075288527</v>
      </c>
      <c r="O281" s="1279">
        <f t="shared" ref="O281:O344" si="44">(C$259/$N$262)*$AI281</f>
        <v>423.22717035713788</v>
      </c>
      <c r="P281" s="1279">
        <f t="shared" ref="P281:P344" si="45">(D$259/$N$262)*$AI281</f>
        <v>313.21626849022709</v>
      </c>
      <c r="Q281" s="1279">
        <f t="shared" ref="Q281:Q344" si="46">(B$259/$N$262)*$AJ281</f>
        <v>734.73838862104537</v>
      </c>
      <c r="R281" s="1279">
        <f t="shared" ref="R281:R344" si="47">(C$259/$N$262)*$AJ281</f>
        <v>557.59859293536829</v>
      </c>
      <c r="S281" s="1279">
        <f t="shared" ref="S281:S344" si="48">(D$259/$N$262)*$AJ281</f>
        <v>412.66006255515356</v>
      </c>
      <c r="T281" s="1279">
        <f t="shared" ref="T281:T344" si="49">(B$259/$N$262)*$AK281</f>
        <v>766.9569089326983</v>
      </c>
      <c r="U281" s="1279">
        <f t="shared" ref="U281:U344" si="50">(C$259/$N$262)*$AK281</f>
        <v>582.04947486894173</v>
      </c>
      <c r="V281" s="1279">
        <f t="shared" ref="V281:V344" si="51">(D$259/$N$262)*$AK281</f>
        <v>430.75534219910099</v>
      </c>
      <c r="W281" s="1280">
        <f t="shared" ref="W281:W344" si="52">(B$260/$O$262)*$AL281</f>
        <v>16.176854924347989</v>
      </c>
      <c r="X281" s="1283">
        <f t="shared" ref="X281:X344" si="53">(C$260/$O$262)*$AL281</f>
        <v>10.33175030234097</v>
      </c>
      <c r="Y281" s="1282">
        <f t="shared" ref="Y281:Y344" si="54">(D$260/$O$262)*$AL281</f>
        <v>8.5382728276586022</v>
      </c>
      <c r="Z281" s="1279">
        <f t="shared" ref="Z281:Z344" si="55">(B$260/$O$262)*$AM281</f>
        <v>15.590669862509053</v>
      </c>
      <c r="AA281" s="1279">
        <f t="shared" ref="AA281:AA344" si="56">(C$260/$O$262)*$AM281</f>
        <v>9.9573686491577682</v>
      </c>
      <c r="AB281" s="1279">
        <f t="shared" ref="AB281:AB344" si="57">(D$260/$O$262)*$AM281</f>
        <v>8.2288796848700319</v>
      </c>
      <c r="AC281" s="1279">
        <f t="shared" ref="AC281:AC344" si="58">(B$260/$O$262)*$AN281</f>
        <v>18.256586862460324</v>
      </c>
      <c r="AD281" s="1279">
        <f t="shared" ref="AD281:AD344" si="59">(C$260/$O$262)*$AN281</f>
        <v>11.660022774392351</v>
      </c>
      <c r="AE281" s="1279">
        <f t="shared" ref="AE281:AE344" si="60">(D$260/$O$262)*$AN281</f>
        <v>9.6359719032231315</v>
      </c>
      <c r="AF281" s="1374"/>
      <c r="AG281" s="632">
        <v>40940</v>
      </c>
      <c r="AH281" s="1513">
        <v>560.41470549491476</v>
      </c>
      <c r="AI281" s="1513">
        <v>494.90185682863267</v>
      </c>
      <c r="AJ281" s="1513">
        <v>652.02944975362107</v>
      </c>
      <c r="AK281" s="1513">
        <v>680.62115585748961</v>
      </c>
      <c r="AL281" s="1284">
        <v>16.383506240812963</v>
      </c>
      <c r="AM281" s="1284">
        <v>15.789832954885497</v>
      </c>
      <c r="AN281" s="1284">
        <v>18.489805725269445</v>
      </c>
      <c r="AO281" s="1570"/>
      <c r="AP281" s="1513">
        <v>583.35082458599743</v>
      </c>
      <c r="AQ281" s="1513">
        <v>16.317492615781951</v>
      </c>
      <c r="AR281" s="911"/>
      <c r="AS281" s="1493"/>
      <c r="BJ281" s="715"/>
      <c r="BK281" s="589"/>
      <c r="BL281" s="589"/>
      <c r="BM281" s="589"/>
      <c r="BN281" s="589"/>
      <c r="BO281" s="589"/>
      <c r="BP281" s="589"/>
      <c r="BQ281" s="589"/>
      <c r="BR281" s="589"/>
      <c r="BS281" s="589"/>
      <c r="BT281" s="589"/>
      <c r="BU281" s="589"/>
      <c r="BV281" s="715"/>
      <c r="BW281" s="589"/>
      <c r="BX281" s="589"/>
      <c r="BY281" s="589"/>
      <c r="BZ281" s="589"/>
      <c r="CA281" s="589"/>
      <c r="CB281" s="589"/>
      <c r="CC281" s="589"/>
      <c r="CD281" s="589"/>
      <c r="CE281" s="589"/>
      <c r="CF281" s="589"/>
      <c r="CG281" s="1374"/>
      <c r="CH281" s="564"/>
      <c r="CI281" s="564"/>
      <c r="CJ281" s="564"/>
      <c r="CK281" s="564"/>
      <c r="CL281" s="564"/>
      <c r="CM281" s="564"/>
      <c r="CN281" s="564"/>
      <c r="CP281" s="564"/>
    </row>
    <row r="282" spans="1:94" x14ac:dyDescent="0.3">
      <c r="A282" s="970">
        <v>40969</v>
      </c>
      <c r="B282" s="631">
        <f>VLOOKUP($A282, $J$277:$AE$369, HLOOKUP("Detached_" &amp;'Personalized Bill Menu'!$B$22, $J$278:$AE$279, 2, FALSE), FALSE)</f>
        <v>610.5311897530521</v>
      </c>
      <c r="C282" s="631">
        <f>VLOOKUP($A282, $J$277:$AE$369, HLOOKUP("Attached_" &amp;'Personalized Bill Menu'!$B$22, $J$278:$AE$279, 2, FALSE), FALSE)</f>
        <v>463.33679799741856</v>
      </c>
      <c r="D282" s="631">
        <f>VLOOKUP($A282, $J$277:$AE$369, HLOOKUP("Apartment_" &amp;'Personalized Bill Menu'!$B$22, $J$278:$AE$279, 2, FALSE), FALSE)</f>
        <v>342.90006192300689</v>
      </c>
      <c r="E282" s="634">
        <v>40969</v>
      </c>
      <c r="F282" s="631">
        <f>VLOOKUP($A282, $J$277:$AE$369, HLOOKUP("Detached_" &amp;'Personalized Bill Menu'!$B$23, $J$278:$AE$279, 2, FALSE), FALSE)</f>
        <v>12.508593180345372</v>
      </c>
      <c r="G282" s="631">
        <f>VLOOKUP($A282, $J$277:$AE$369, HLOOKUP("Attached_" &amp;'Personalized Bill Menu'!$B$23, $J$278:$AE$279, 2, FALSE), FALSE)</f>
        <v>7.988923803623857</v>
      </c>
      <c r="H282" s="631">
        <f>VLOOKUP($A282, $J$277:$AE$369, HLOOKUP("Apartment_" &amp;'Personalized Bill Menu'!$B$23, $J$278:$AE$279, 2, FALSE), FALSE)</f>
        <v>6.6021350728212225</v>
      </c>
      <c r="I282" s="1374"/>
      <c r="J282" s="634">
        <v>40969</v>
      </c>
      <c r="K282" s="1279">
        <f t="shared" ref="K282:K345" si="61">(B$259/$N$262)*$AH282</f>
        <v>610.5311897530521</v>
      </c>
      <c r="L282" s="1279">
        <f t="shared" si="41"/>
        <v>463.33679799741856</v>
      </c>
      <c r="M282" s="1279">
        <f t="shared" si="42"/>
        <v>342.90006192300689</v>
      </c>
      <c r="N282" s="1279">
        <f t="shared" si="43"/>
        <v>550.47629073179291</v>
      </c>
      <c r="O282" s="1279">
        <f t="shared" si="44"/>
        <v>417.7606749694969</v>
      </c>
      <c r="P282" s="1279">
        <f t="shared" si="45"/>
        <v>309.17069815127388</v>
      </c>
      <c r="Q282" s="1279">
        <f t="shared" si="46"/>
        <v>706.98883513364342</v>
      </c>
      <c r="R282" s="1279">
        <f t="shared" si="47"/>
        <v>536.53924416743473</v>
      </c>
      <c r="S282" s="1279">
        <f t="shared" si="48"/>
        <v>397.07474313352878</v>
      </c>
      <c r="T282" s="1279">
        <f t="shared" si="49"/>
        <v>758.25229265991311</v>
      </c>
      <c r="U282" s="1279">
        <f t="shared" si="50"/>
        <v>575.44347488184883</v>
      </c>
      <c r="V282" s="1279">
        <f t="shared" si="51"/>
        <v>425.8664626315209</v>
      </c>
      <c r="W282" s="1280">
        <f t="shared" si="52"/>
        <v>12.864536152378685</v>
      </c>
      <c r="X282" s="1283">
        <f t="shared" si="53"/>
        <v>8.2162556259168458</v>
      </c>
      <c r="Y282" s="1282">
        <f t="shared" si="54"/>
        <v>6.7900046074446578</v>
      </c>
      <c r="Z282" s="1279">
        <f t="shared" si="55"/>
        <v>12.508593180345372</v>
      </c>
      <c r="AA282" s="1279">
        <f t="shared" si="56"/>
        <v>7.988923803623857</v>
      </c>
      <c r="AB282" s="1279">
        <f t="shared" si="57"/>
        <v>6.6021350728212225</v>
      </c>
      <c r="AC282" s="1279">
        <f t="shared" si="58"/>
        <v>17.20986615020054</v>
      </c>
      <c r="AD282" s="1279">
        <f t="shared" si="59"/>
        <v>10.991508586317412</v>
      </c>
      <c r="AE282" s="1279">
        <f t="shared" si="60"/>
        <v>9.0835043774011819</v>
      </c>
      <c r="AF282" s="1374"/>
      <c r="AG282" s="632">
        <v>40969</v>
      </c>
      <c r="AH282" s="1513">
        <v>541.80416033416941</v>
      </c>
      <c r="AI282" s="1513">
        <v>488.50959539748271</v>
      </c>
      <c r="AJ282" s="1513">
        <v>627.4036422941017</v>
      </c>
      <c r="AK282" s="1513">
        <v>672.89641158584129</v>
      </c>
      <c r="AL282" s="1284">
        <v>13.028874235648443</v>
      </c>
      <c r="AM282" s="1284">
        <v>12.668384268287475</v>
      </c>
      <c r="AN282" s="1284">
        <v>17.429713673885264</v>
      </c>
      <c r="AO282" s="1570"/>
      <c r="AP282" s="1513">
        <v>568.16792301245562</v>
      </c>
      <c r="AQ282" s="1513">
        <v>13.251533626668136</v>
      </c>
      <c r="AR282" s="911"/>
      <c r="AS282" s="1493"/>
      <c r="BJ282" s="715"/>
      <c r="BK282" s="589"/>
      <c r="BL282" s="589"/>
      <c r="BM282" s="589"/>
      <c r="BN282" s="589"/>
      <c r="BO282" s="589"/>
      <c r="BP282" s="589"/>
      <c r="BQ282" s="589"/>
      <c r="BR282" s="589"/>
      <c r="BS282" s="589"/>
      <c r="BT282" s="589"/>
      <c r="BU282" s="589"/>
      <c r="BV282" s="715"/>
      <c r="BW282" s="589"/>
      <c r="BX282" s="589"/>
      <c r="BY282" s="589"/>
      <c r="BZ282" s="589"/>
      <c r="CA282" s="589"/>
      <c r="CB282" s="589"/>
      <c r="CC282" s="589"/>
      <c r="CD282" s="589"/>
      <c r="CE282" s="589"/>
      <c r="CF282" s="589"/>
      <c r="CG282" s="1374"/>
      <c r="CH282" s="564"/>
      <c r="CI282" s="564"/>
      <c r="CJ282" s="564"/>
      <c r="CK282" s="564"/>
      <c r="CL282" s="564"/>
      <c r="CM282" s="564"/>
      <c r="CN282" s="564"/>
      <c r="CP282" s="564"/>
    </row>
    <row r="283" spans="1:94" x14ac:dyDescent="0.3">
      <c r="A283" s="970">
        <v>41000</v>
      </c>
      <c r="B283" s="631">
        <f>VLOOKUP($A283, $J$277:$AE$369, HLOOKUP("Detached_" &amp;'Personalized Bill Menu'!$B$22, $J$278:$AE$279, 2, FALSE), FALSE)</f>
        <v>553.50674210245211</v>
      </c>
      <c r="C283" s="631">
        <f>VLOOKUP($A283, $J$277:$AE$369, HLOOKUP("Attached_" &amp;'Personalized Bill Menu'!$B$22, $J$278:$AE$279, 2, FALSE), FALSE)</f>
        <v>420.06050773502034</v>
      </c>
      <c r="D283" s="631">
        <f>VLOOKUP($A283, $J$277:$AE$369, HLOOKUP("Apartment_" &amp;'Personalized Bill Menu'!$B$22, $J$278:$AE$279, 2, FALSE), FALSE)</f>
        <v>310.87272743346989</v>
      </c>
      <c r="E283" s="634">
        <v>41000</v>
      </c>
      <c r="F283" s="631">
        <f>VLOOKUP($A283, $J$277:$AE$369, HLOOKUP("Detached_" &amp;'Personalized Bill Menu'!$B$23, $J$278:$AE$279, 2, FALSE), FALSE)</f>
        <v>9.733329308349191</v>
      </c>
      <c r="G283" s="631">
        <f>VLOOKUP($A283, $J$277:$AE$369, HLOOKUP("Attached_" &amp;'Personalized Bill Menu'!$B$23, $J$278:$AE$279, 2, FALSE), FALSE)</f>
        <v>6.2164325818959618</v>
      </c>
      <c r="H283" s="631">
        <f>VLOOKUP($A283, $J$277:$AE$369, HLOOKUP("Apartment_" &amp;'Personalized Bill Menu'!$B$23, $J$278:$AE$279, 2, FALSE), FALSE)</f>
        <v>5.1373287047933749</v>
      </c>
      <c r="I283" s="1374"/>
      <c r="J283" s="634">
        <v>41000</v>
      </c>
      <c r="K283" s="1279">
        <f t="shared" si="61"/>
        <v>553.50674210245211</v>
      </c>
      <c r="L283" s="1279">
        <f t="shared" si="41"/>
        <v>420.06050773502034</v>
      </c>
      <c r="M283" s="1279">
        <f t="shared" si="42"/>
        <v>310.87272743346989</v>
      </c>
      <c r="N283" s="1279">
        <f t="shared" si="43"/>
        <v>496.92898383233967</v>
      </c>
      <c r="O283" s="1279">
        <f t="shared" si="44"/>
        <v>377.12321346615732</v>
      </c>
      <c r="P283" s="1279">
        <f t="shared" si="45"/>
        <v>279.09627253665519</v>
      </c>
      <c r="Q283" s="1279">
        <f t="shared" si="46"/>
        <v>635.57352097977287</v>
      </c>
      <c r="R283" s="1279">
        <f t="shared" si="47"/>
        <v>482.34161504808026</v>
      </c>
      <c r="S283" s="1279">
        <f t="shared" si="48"/>
        <v>356.96489116098945</v>
      </c>
      <c r="T283" s="1279">
        <f t="shared" si="49"/>
        <v>629.20397884750048</v>
      </c>
      <c r="U283" s="1279">
        <f t="shared" si="50"/>
        <v>477.50772071834024</v>
      </c>
      <c r="V283" s="1279">
        <f t="shared" si="51"/>
        <v>353.38748769948768</v>
      </c>
      <c r="W283" s="1280">
        <f t="shared" si="52"/>
        <v>9.2958533196786082</v>
      </c>
      <c r="X283" s="1283">
        <f t="shared" si="53"/>
        <v>5.9370276728854181</v>
      </c>
      <c r="Y283" s="1282">
        <f t="shared" si="54"/>
        <v>4.9064253948306273</v>
      </c>
      <c r="Z283" s="1279">
        <f t="shared" si="55"/>
        <v>9.733329308349191</v>
      </c>
      <c r="AA283" s="1279">
        <f t="shared" si="56"/>
        <v>6.2164325818959618</v>
      </c>
      <c r="AB283" s="1279">
        <f t="shared" si="57"/>
        <v>5.1373287047933749</v>
      </c>
      <c r="AC283" s="1279">
        <f t="shared" si="58"/>
        <v>11.844626004757876</v>
      </c>
      <c r="AD283" s="1279">
        <f t="shared" si="59"/>
        <v>7.5648646710420593</v>
      </c>
      <c r="AE283" s="1279">
        <f t="shared" si="60"/>
        <v>6.2516879111023362</v>
      </c>
      <c r="AF283" s="1374"/>
      <c r="AG283" s="632">
        <v>41000</v>
      </c>
      <c r="AH283" s="1513">
        <v>491.19891117343451</v>
      </c>
      <c r="AI283" s="1513">
        <v>440.99006791101766</v>
      </c>
      <c r="AJ283" s="1513">
        <v>564.02749547383951</v>
      </c>
      <c r="AK283" s="1513">
        <v>558.37496783133724</v>
      </c>
      <c r="AL283" s="1284">
        <v>9.4146032457402899</v>
      </c>
      <c r="AM283" s="1284">
        <v>9.8576677736790668</v>
      </c>
      <c r="AN283" s="1284">
        <v>11.995935240599163</v>
      </c>
      <c r="AO283" s="1570"/>
      <c r="AP283" s="1513">
        <v>506.34972670588797</v>
      </c>
      <c r="AQ283" s="1513">
        <v>9.8128754259218063</v>
      </c>
      <c r="AR283" s="911"/>
      <c r="AS283" s="1493"/>
    </row>
    <row r="284" spans="1:94" x14ac:dyDescent="0.3">
      <c r="A284" s="970">
        <v>41030</v>
      </c>
      <c r="B284" s="631">
        <f>VLOOKUP($A284, $J$277:$AE$369, HLOOKUP("Detached_" &amp;'Personalized Bill Menu'!$B$22, $J$278:$AE$279, 2, FALSE), FALSE)</f>
        <v>541.91428860302665</v>
      </c>
      <c r="C284" s="631">
        <f>VLOOKUP($A284, $J$277:$AE$369, HLOOKUP("Attached_" &amp;'Personalized Bill Menu'!$B$22, $J$278:$AE$279, 2, FALSE), FALSE)</f>
        <v>411.26290594905703</v>
      </c>
      <c r="D284" s="631">
        <f>VLOOKUP($A284, $J$277:$AE$369, HLOOKUP("Apartment_" &amp;'Personalized Bill Menu'!$B$22, $J$278:$AE$279, 2, FALSE), FALSE)</f>
        <v>304.36191670093319</v>
      </c>
      <c r="E284" s="634">
        <v>41030</v>
      </c>
      <c r="F284" s="631">
        <f>VLOOKUP($A284, $J$277:$AE$369, HLOOKUP("Detached_" &amp;'Personalized Bill Menu'!$B$23, $J$278:$AE$279, 2, FALSE), FALSE)</f>
        <v>6.8593521950446235</v>
      </c>
      <c r="G284" s="631">
        <f>VLOOKUP($A284, $J$277:$AE$369, HLOOKUP("Attached_" &amp;'Personalized Bill Menu'!$B$23, $J$278:$AE$279, 2, FALSE), FALSE)</f>
        <v>4.3808956961312342</v>
      </c>
      <c r="H284" s="631">
        <f>VLOOKUP($A284, $J$277:$AE$369, HLOOKUP("Apartment_" &amp;'Personalized Bill Menu'!$B$23, $J$278:$AE$279, 2, FALSE), FALSE)</f>
        <v>3.6204207020574763</v>
      </c>
      <c r="I284" s="1374"/>
      <c r="J284" s="634">
        <v>41030</v>
      </c>
      <c r="K284" s="1279">
        <f t="shared" si="61"/>
        <v>541.91428860302665</v>
      </c>
      <c r="L284" s="1279">
        <f t="shared" si="41"/>
        <v>411.26290594905703</v>
      </c>
      <c r="M284" s="1279">
        <f t="shared" si="42"/>
        <v>304.36191670093319</v>
      </c>
      <c r="N284" s="1279">
        <f t="shared" si="43"/>
        <v>474.5382283645485</v>
      </c>
      <c r="O284" s="1279">
        <f t="shared" si="44"/>
        <v>360.1306975762061</v>
      </c>
      <c r="P284" s="1279">
        <f t="shared" si="45"/>
        <v>266.52068006034943</v>
      </c>
      <c r="Q284" s="1279">
        <f t="shared" si="46"/>
        <v>603.80554295193861</v>
      </c>
      <c r="R284" s="1279">
        <f t="shared" si="47"/>
        <v>458.2326531059021</v>
      </c>
      <c r="S284" s="1279">
        <f t="shared" si="48"/>
        <v>339.12265506274986</v>
      </c>
      <c r="T284" s="1279">
        <f t="shared" si="49"/>
        <v>614.17466214171714</v>
      </c>
      <c r="U284" s="1279">
        <f t="shared" si="50"/>
        <v>466.10185711067845</v>
      </c>
      <c r="V284" s="1279">
        <f t="shared" si="51"/>
        <v>344.94638965966743</v>
      </c>
      <c r="W284" s="1280">
        <f t="shared" si="52"/>
        <v>5.0565779945447593</v>
      </c>
      <c r="X284" s="1283">
        <f t="shared" si="53"/>
        <v>3.2295091640660294</v>
      </c>
      <c r="Y284" s="1282">
        <f t="shared" si="54"/>
        <v>2.6689021255161003</v>
      </c>
      <c r="Z284" s="1279">
        <f t="shared" si="55"/>
        <v>6.8593521950446235</v>
      </c>
      <c r="AA284" s="1279">
        <f t="shared" si="56"/>
        <v>4.3808956961312342</v>
      </c>
      <c r="AB284" s="1279">
        <f t="shared" si="57"/>
        <v>3.6204207020574763</v>
      </c>
      <c r="AC284" s="1279">
        <f t="shared" si="58"/>
        <v>7.5820425606017796</v>
      </c>
      <c r="AD284" s="1279">
        <f t="shared" si="59"/>
        <v>4.8424598529319418</v>
      </c>
      <c r="AE284" s="1279">
        <f t="shared" si="60"/>
        <v>4.0018624309908297</v>
      </c>
      <c r="AF284" s="1374"/>
      <c r="AG284" s="632">
        <v>41030</v>
      </c>
      <c r="AH284" s="1513">
        <v>480.91141130465695</v>
      </c>
      <c r="AI284" s="1513">
        <v>421.11982267361839</v>
      </c>
      <c r="AJ284" s="1513">
        <v>535.83561445323676</v>
      </c>
      <c r="AK284" s="1513">
        <v>545.03748982064474</v>
      </c>
      <c r="AL284" s="1284">
        <v>5.1211732761534066</v>
      </c>
      <c r="AM284" s="1284">
        <v>6.9469770249532719</v>
      </c>
      <c r="AN284" s="1284">
        <v>7.6788994023036574</v>
      </c>
      <c r="AO284" s="1570"/>
      <c r="AP284" s="1513">
        <v>487.31009480207774</v>
      </c>
      <c r="AQ284" s="1513">
        <v>6.0815659574468084</v>
      </c>
      <c r="AR284" s="911"/>
      <c r="AS284" s="1493"/>
    </row>
    <row r="285" spans="1:94" ht="36" customHeight="1" x14ac:dyDescent="0.3">
      <c r="A285" s="970">
        <v>41061</v>
      </c>
      <c r="B285" s="631">
        <f>VLOOKUP($A285, $J$277:$AE$369, HLOOKUP("Detached_" &amp;'Personalized Bill Menu'!$B$22, $J$278:$AE$279, 2, FALSE), FALSE)</f>
        <v>515.57253474242975</v>
      </c>
      <c r="C285" s="631">
        <f>VLOOKUP($A285, $J$277:$AE$369, HLOOKUP("Attached_" &amp;'Personalized Bill Menu'!$B$22, $J$278:$AE$279, 2, FALSE), FALSE)</f>
        <v>391.27194710493671</v>
      </c>
      <c r="D285" s="631">
        <f>VLOOKUP($A285, $J$277:$AE$369, HLOOKUP("Apartment_" &amp;'Personalized Bill Menu'!$B$22, $J$278:$AE$279, 2, FALSE), FALSE)</f>
        <v>289.56727691584251</v>
      </c>
      <c r="E285" s="634">
        <v>41061</v>
      </c>
      <c r="F285" s="631">
        <f>VLOOKUP($A285, $J$277:$AE$369, HLOOKUP("Detached_" &amp;'Personalized Bill Menu'!$B$23, $J$278:$AE$279, 2, FALSE), FALSE)</f>
        <v>3.7578718591467029</v>
      </c>
      <c r="G285" s="631">
        <f>VLOOKUP($A285, $J$277:$AE$369, HLOOKUP("Attached_" &amp;'Personalized Bill Menu'!$B$23, $J$278:$AE$279, 2, FALSE), FALSE)</f>
        <v>2.4000582250670353</v>
      </c>
      <c r="H285" s="631">
        <f>VLOOKUP($A285, $J$277:$AE$369, HLOOKUP("Apartment_" &amp;'Personalized Bill Menu'!$B$23, $J$278:$AE$279, 2, FALSE), FALSE)</f>
        <v>1.9834346870776813</v>
      </c>
      <c r="I285" s="1374"/>
      <c r="J285" s="634">
        <v>41061</v>
      </c>
      <c r="K285" s="1279">
        <f t="shared" si="61"/>
        <v>515.57253474242975</v>
      </c>
      <c r="L285" s="1279">
        <f t="shared" si="41"/>
        <v>391.27194710493671</v>
      </c>
      <c r="M285" s="1279">
        <f t="shared" si="42"/>
        <v>289.56727691584251</v>
      </c>
      <c r="N285" s="1279">
        <f t="shared" si="43"/>
        <v>465.63536625203562</v>
      </c>
      <c r="O285" s="1279">
        <f t="shared" si="44"/>
        <v>353.374247302318</v>
      </c>
      <c r="P285" s="1279">
        <f t="shared" si="45"/>
        <v>261.52045726926247</v>
      </c>
      <c r="Q285" s="1279">
        <f t="shared" si="46"/>
        <v>586.81815650836188</v>
      </c>
      <c r="R285" s="1279">
        <f t="shared" si="47"/>
        <v>445.34079537084489</v>
      </c>
      <c r="S285" s="1279">
        <f t="shared" si="48"/>
        <v>329.58182248748273</v>
      </c>
      <c r="T285" s="1279">
        <f t="shared" si="49"/>
        <v>543.57567101276732</v>
      </c>
      <c r="U285" s="1279">
        <f t="shared" si="50"/>
        <v>412.523741789876</v>
      </c>
      <c r="V285" s="1279">
        <f t="shared" si="51"/>
        <v>305.29501912180757</v>
      </c>
      <c r="W285" s="1280">
        <f t="shared" si="52"/>
        <v>2.5837913594190716</v>
      </c>
      <c r="X285" s="1283">
        <f t="shared" si="53"/>
        <v>1.6502025445431214</v>
      </c>
      <c r="Y285" s="1282">
        <f t="shared" si="54"/>
        <v>1.3637456514036281</v>
      </c>
      <c r="Z285" s="1279">
        <f t="shared" si="55"/>
        <v>3.7578718591467029</v>
      </c>
      <c r="AA285" s="1279">
        <f t="shared" si="56"/>
        <v>2.4000582250670353</v>
      </c>
      <c r="AB285" s="1279">
        <f t="shared" si="57"/>
        <v>1.9834346870776813</v>
      </c>
      <c r="AC285" s="1279">
        <f t="shared" si="58"/>
        <v>4.339384043410357</v>
      </c>
      <c r="AD285" s="1279">
        <f t="shared" si="59"/>
        <v>2.7714554288917532</v>
      </c>
      <c r="AE285" s="1279">
        <f t="shared" si="60"/>
        <v>2.2903614478770074</v>
      </c>
      <c r="AF285" s="1374"/>
      <c r="AG285" s="632">
        <v>41061</v>
      </c>
      <c r="AH285" s="1513">
        <v>457.53492854389447</v>
      </c>
      <c r="AI285" s="1513">
        <v>413.21914894490686</v>
      </c>
      <c r="AJ285" s="1513">
        <v>520.76048511863735</v>
      </c>
      <c r="AK285" s="1513">
        <v>482.3857731662805</v>
      </c>
      <c r="AL285" s="1284">
        <v>2.6167980154342114</v>
      </c>
      <c r="AM285" s="1284">
        <v>3.8058768125465456</v>
      </c>
      <c r="AN285" s="1284">
        <v>4.3948175272000984</v>
      </c>
      <c r="AO285" s="1570"/>
      <c r="AP285" s="1513">
        <v>466.44653969695224</v>
      </c>
      <c r="AQ285" s="1513">
        <v>3.2517214370748424</v>
      </c>
      <c r="AR285" s="911"/>
      <c r="AS285" s="1493"/>
    </row>
    <row r="286" spans="1:94" x14ac:dyDescent="0.3">
      <c r="A286" s="970">
        <v>41091</v>
      </c>
      <c r="B286" s="631">
        <f>VLOOKUP($A286, $J$277:$AE$369, HLOOKUP("Detached_" &amp;'Personalized Bill Menu'!$B$22, $J$278:$AE$279, 2, FALSE), FALSE)</f>
        <v>564.82318192701314</v>
      </c>
      <c r="C286" s="631">
        <f>VLOOKUP($A286, $J$277:$AE$369, HLOOKUP("Attached_" &amp;'Personalized Bill Menu'!$B$22, $J$278:$AE$279, 2, FALSE), FALSE)</f>
        <v>428.64864062822016</v>
      </c>
      <c r="D286" s="631">
        <f>VLOOKUP($A286, $J$277:$AE$369, HLOOKUP("Apartment_" &amp;'Personalized Bill Menu'!$B$22, $J$278:$AE$279, 2, FALSE), FALSE)</f>
        <v>317.22851724686097</v>
      </c>
      <c r="E286" s="634">
        <v>41091</v>
      </c>
      <c r="F286" s="631">
        <f>VLOOKUP($A286, $J$277:$AE$369, HLOOKUP("Detached_" &amp;'Personalized Bill Menu'!$B$23, $J$278:$AE$279, 2, FALSE), FALSE)</f>
        <v>2.6288830750628787</v>
      </c>
      <c r="G286" s="631">
        <f>VLOOKUP($A286, $J$277:$AE$369, HLOOKUP("Attached_" &amp;'Personalized Bill Menu'!$B$23, $J$278:$AE$279, 2, FALSE), FALSE)</f>
        <v>1.6790014890174754</v>
      </c>
      <c r="H286" s="631">
        <f>VLOOKUP($A286, $J$277:$AE$369, HLOOKUP("Apartment_" &amp;'Personalized Bill Menu'!$B$23, $J$278:$AE$279, 2, FALSE), FALSE)</f>
        <v>1.3875454179364015</v>
      </c>
      <c r="I286" s="1374"/>
      <c r="J286" s="634">
        <v>41091</v>
      </c>
      <c r="K286" s="1279">
        <f t="shared" si="61"/>
        <v>564.82318192701314</v>
      </c>
      <c r="L286" s="1279">
        <f t="shared" si="41"/>
        <v>428.64864062822016</v>
      </c>
      <c r="M286" s="1279">
        <f t="shared" si="42"/>
        <v>317.22851724686097</v>
      </c>
      <c r="N286" s="1279">
        <f t="shared" si="43"/>
        <v>532.81231659394746</v>
      </c>
      <c r="O286" s="1279">
        <f t="shared" si="44"/>
        <v>404.35534964901819</v>
      </c>
      <c r="P286" s="1279">
        <f t="shared" si="45"/>
        <v>299.24986539558193</v>
      </c>
      <c r="Q286" s="1279">
        <f t="shared" si="46"/>
        <v>671.75972282095006</v>
      </c>
      <c r="R286" s="1279">
        <f t="shared" si="47"/>
        <v>509.80360089611042</v>
      </c>
      <c r="S286" s="1279">
        <f t="shared" si="48"/>
        <v>377.28858806682155</v>
      </c>
      <c r="T286" s="1279">
        <f t="shared" si="49"/>
        <v>585.9536502057806</v>
      </c>
      <c r="U286" s="1279">
        <f t="shared" si="50"/>
        <v>444.68471491368001</v>
      </c>
      <c r="V286" s="1279">
        <f t="shared" si="51"/>
        <v>329.09627929220744</v>
      </c>
      <c r="W286" s="1280">
        <f t="shared" si="52"/>
        <v>2.5990269762705567</v>
      </c>
      <c r="X286" s="1283">
        <f t="shared" si="53"/>
        <v>1.6599331497656953</v>
      </c>
      <c r="Y286" s="1282">
        <f t="shared" si="54"/>
        <v>1.3717871312823813</v>
      </c>
      <c r="Z286" s="1279">
        <f t="shared" si="55"/>
        <v>2.6288830750628787</v>
      </c>
      <c r="AA286" s="1279">
        <f t="shared" si="56"/>
        <v>1.6790014890174754</v>
      </c>
      <c r="AB286" s="1279">
        <f t="shared" si="57"/>
        <v>1.3875454179364015</v>
      </c>
      <c r="AC286" s="1279">
        <f t="shared" si="58"/>
        <v>2.5182750981496453</v>
      </c>
      <c r="AD286" s="1279">
        <f t="shared" si="59"/>
        <v>1.6083589565685619</v>
      </c>
      <c r="AE286" s="1279">
        <f t="shared" si="60"/>
        <v>1.329165647071354</v>
      </c>
      <c r="AF286" s="1374"/>
      <c r="AG286" s="632">
        <v>41091</v>
      </c>
      <c r="AH286" s="1513">
        <v>501.24146801577774</v>
      </c>
      <c r="AI286" s="1513">
        <v>472.83404132826155</v>
      </c>
      <c r="AJ286" s="1513">
        <v>596.14024422983994</v>
      </c>
      <c r="AK286" s="1513">
        <v>519.99329562982007</v>
      </c>
      <c r="AL286" s="1284">
        <v>2.6322282597515567</v>
      </c>
      <c r="AM286" s="1284">
        <v>2.6624657554315183</v>
      </c>
      <c r="AN286" s="1284">
        <v>2.5504448163481017</v>
      </c>
      <c r="AO286" s="1570"/>
      <c r="AP286" s="1513">
        <v>525.04940993829064</v>
      </c>
      <c r="AQ286" s="1513">
        <v>2.6376208810888251</v>
      </c>
      <c r="AR286" s="911"/>
      <c r="AS286" s="1493"/>
    </row>
    <row r="287" spans="1:94" x14ac:dyDescent="0.3">
      <c r="A287" s="970">
        <v>41122</v>
      </c>
      <c r="B287" s="631">
        <f>VLOOKUP($A287, $J$277:$AE$369, HLOOKUP("Detached_" &amp;'Personalized Bill Menu'!$B$22, $J$278:$AE$279, 2, FALSE), FALSE)</f>
        <v>546.71745545533315</v>
      </c>
      <c r="C287" s="631">
        <f>VLOOKUP($A287, $J$277:$AE$369, HLOOKUP("Attached_" &amp;'Personalized Bill Menu'!$B$22, $J$278:$AE$279, 2, FALSE), FALSE)</f>
        <v>414.90806607674062</v>
      </c>
      <c r="D287" s="631">
        <f>VLOOKUP($A287, $J$277:$AE$369, HLOOKUP("Apartment_" &amp;'Personalized Bill Menu'!$B$22, $J$278:$AE$279, 2, FALSE), FALSE)</f>
        <v>307.05957775203962</v>
      </c>
      <c r="E287" s="634">
        <v>41122</v>
      </c>
      <c r="F287" s="631">
        <f>VLOOKUP($A287, $J$277:$AE$369, HLOOKUP("Detached_" &amp;'Personalized Bill Menu'!$B$23, $J$278:$AE$279, 2, FALSE), FALSE)</f>
        <v>3.0892805662191671</v>
      </c>
      <c r="G287" s="631">
        <f>VLOOKUP($A287, $J$277:$AE$369, HLOOKUP("Attached_" &amp;'Personalized Bill Menu'!$B$23, $J$278:$AE$279, 2, FALSE), FALSE)</f>
        <v>1.9730457850624139</v>
      </c>
      <c r="H287" s="631">
        <f>VLOOKUP($A287, $J$277:$AE$369, HLOOKUP("Apartment_" &amp;'Personalized Bill Menu'!$B$23, $J$278:$AE$279, 2, FALSE), FALSE)</f>
        <v>1.6305468794099374</v>
      </c>
      <c r="I287" s="1374"/>
      <c r="J287" s="634">
        <v>41122</v>
      </c>
      <c r="K287" s="1279">
        <f t="shared" si="61"/>
        <v>546.71745545533315</v>
      </c>
      <c r="L287" s="1279">
        <f t="shared" si="41"/>
        <v>414.90806607674062</v>
      </c>
      <c r="M287" s="1279">
        <f t="shared" si="42"/>
        <v>307.05957775203962</v>
      </c>
      <c r="N287" s="1279">
        <f t="shared" si="43"/>
        <v>525.39893531916493</v>
      </c>
      <c r="O287" s="1279">
        <f t="shared" si="44"/>
        <v>398.72927779578322</v>
      </c>
      <c r="P287" s="1279">
        <f t="shared" si="45"/>
        <v>295.08619785353551</v>
      </c>
      <c r="Q287" s="1279">
        <f t="shared" si="46"/>
        <v>651.92605317076288</v>
      </c>
      <c r="R287" s="1279">
        <f t="shared" si="47"/>
        <v>494.75167702638419</v>
      </c>
      <c r="S287" s="1279">
        <f t="shared" si="48"/>
        <v>366.14916281655627</v>
      </c>
      <c r="T287" s="1279">
        <f t="shared" si="49"/>
        <v>569.0306266258799</v>
      </c>
      <c r="U287" s="1279">
        <f t="shared" si="50"/>
        <v>431.84170264903622</v>
      </c>
      <c r="V287" s="1279">
        <f t="shared" si="51"/>
        <v>319.59159561532658</v>
      </c>
      <c r="W287" s="1280">
        <f t="shared" si="52"/>
        <v>2.7087161510216626</v>
      </c>
      <c r="X287" s="1283">
        <f t="shared" si="53"/>
        <v>1.7299888663866407</v>
      </c>
      <c r="Y287" s="1282">
        <f t="shared" si="54"/>
        <v>1.4296819510508418</v>
      </c>
      <c r="Z287" s="1279">
        <f t="shared" si="55"/>
        <v>3.0892805662191671</v>
      </c>
      <c r="AA287" s="1279">
        <f t="shared" si="56"/>
        <v>1.9730457850624139</v>
      </c>
      <c r="AB287" s="1279">
        <f t="shared" si="57"/>
        <v>1.6305468794099374</v>
      </c>
      <c r="AC287" s="1279">
        <f t="shared" si="58"/>
        <v>2.1574061958541746</v>
      </c>
      <c r="AD287" s="1279">
        <f t="shared" si="59"/>
        <v>1.3778810665316663</v>
      </c>
      <c r="AE287" s="1279">
        <f t="shared" si="60"/>
        <v>1.1386961672357614</v>
      </c>
      <c r="AF287" s="1374"/>
      <c r="AG287" s="632">
        <v>41122</v>
      </c>
      <c r="AH287" s="1513">
        <v>485.17388933532317</v>
      </c>
      <c r="AI287" s="1513">
        <v>466.25517871774497</v>
      </c>
      <c r="AJ287" s="1513">
        <v>578.53923561386489</v>
      </c>
      <c r="AK287" s="1513">
        <v>504.97528388052331</v>
      </c>
      <c r="AL287" s="1284">
        <v>2.7433186594298982</v>
      </c>
      <c r="AM287" s="1284">
        <v>3.1287445967074405</v>
      </c>
      <c r="AN287" s="1284">
        <v>2.1849659924034981</v>
      </c>
      <c r="AO287" s="1570"/>
      <c r="AP287" s="1513">
        <v>510.98777443754619</v>
      </c>
      <c r="AQ287" s="1513">
        <v>2.8528753773539699</v>
      </c>
      <c r="AR287" s="911"/>
      <c r="AS287" s="1493"/>
    </row>
    <row r="288" spans="1:94" x14ac:dyDescent="0.3">
      <c r="A288" s="970">
        <v>41153</v>
      </c>
      <c r="B288" s="631">
        <f>VLOOKUP($A288, $J$277:$AE$369, HLOOKUP("Detached_" &amp;'Personalized Bill Menu'!$B$22, $J$278:$AE$279, 2, FALSE), FALSE)</f>
        <v>539.75497456034395</v>
      </c>
      <c r="C288" s="631">
        <f>VLOOKUP($A288, $J$277:$AE$369, HLOOKUP("Attached_" &amp;'Personalized Bill Menu'!$B$22, $J$278:$AE$279, 2, FALSE), FALSE)</f>
        <v>409.62418597668</v>
      </c>
      <c r="D288" s="631">
        <f>VLOOKUP($A288, $J$277:$AE$369, HLOOKUP("Apartment_" &amp;'Personalized Bill Menu'!$B$22, $J$278:$AE$279, 2, FALSE), FALSE)</f>
        <v>303.14915487750108</v>
      </c>
      <c r="E288" s="634">
        <v>41153</v>
      </c>
      <c r="F288" s="631">
        <f>VLOOKUP($A288, $J$277:$AE$369, HLOOKUP("Detached_" &amp;'Personalized Bill Menu'!$B$23, $J$278:$AE$279, 2, FALSE), FALSE)</f>
        <v>3.2815686387127947</v>
      </c>
      <c r="G288" s="631">
        <f>VLOOKUP($A288, $J$277:$AE$369, HLOOKUP("Attached_" &amp;'Personalized Bill Menu'!$B$23, $J$278:$AE$279, 2, FALSE), FALSE)</f>
        <v>2.0958553398500035</v>
      </c>
      <c r="H288" s="631">
        <f>VLOOKUP($A288, $J$277:$AE$369, HLOOKUP("Apartment_" &amp;'Personalized Bill Menu'!$B$23, $J$278:$AE$279, 2, FALSE), FALSE)</f>
        <v>1.7320380550515067</v>
      </c>
      <c r="I288" s="1374"/>
      <c r="J288" s="634">
        <v>41153</v>
      </c>
      <c r="K288" s="1279">
        <f t="shared" si="61"/>
        <v>539.75497456034395</v>
      </c>
      <c r="L288" s="1279">
        <f t="shared" si="41"/>
        <v>409.62418597668</v>
      </c>
      <c r="M288" s="1279">
        <f t="shared" si="42"/>
        <v>303.14915487750108</v>
      </c>
      <c r="N288" s="1279">
        <f t="shared" si="43"/>
        <v>468.25403842988777</v>
      </c>
      <c r="O288" s="1279">
        <f t="shared" si="44"/>
        <v>355.36157768323056</v>
      </c>
      <c r="P288" s="1279">
        <f t="shared" si="45"/>
        <v>262.99121399228062</v>
      </c>
      <c r="Q288" s="1279">
        <f t="shared" si="46"/>
        <v>595.38817045773692</v>
      </c>
      <c r="R288" s="1279">
        <f t="shared" si="47"/>
        <v>451.84464462333398</v>
      </c>
      <c r="S288" s="1279">
        <f t="shared" si="48"/>
        <v>334.39510371413127</v>
      </c>
      <c r="T288" s="1279">
        <f t="shared" si="49"/>
        <v>564.42908639881182</v>
      </c>
      <c r="U288" s="1279">
        <f>(C$259/$N$262)*$AK288</f>
        <v>428.3495585121766</v>
      </c>
      <c r="V288" s="1279">
        <f t="shared" si="51"/>
        <v>317.00717657943579</v>
      </c>
      <c r="W288" s="1280">
        <f t="shared" si="52"/>
        <v>3.0759075453157898</v>
      </c>
      <c r="X288" s="1283">
        <f t="shared" si="53"/>
        <v>1.9645047730172531</v>
      </c>
      <c r="Y288" s="1282">
        <f t="shared" si="54"/>
        <v>1.6234884925024082</v>
      </c>
      <c r="Z288" s="1279">
        <f t="shared" si="55"/>
        <v>3.2815686387127947</v>
      </c>
      <c r="AA288" s="1279">
        <f t="shared" si="56"/>
        <v>2.0958553398500035</v>
      </c>
      <c r="AB288" s="1279">
        <f t="shared" si="57"/>
        <v>1.7320380550515067</v>
      </c>
      <c r="AC288" s="1279">
        <f t="shared" si="58"/>
        <v>2.8880849218944875</v>
      </c>
      <c r="AD288" s="1279">
        <f t="shared" si="59"/>
        <v>1.8445471882212869</v>
      </c>
      <c r="AE288" s="1279">
        <f t="shared" si="60"/>
        <v>1.5243542164346948</v>
      </c>
      <c r="AF288" s="1374"/>
      <c r="AG288" s="632">
        <v>41153</v>
      </c>
      <c r="AH288" s="1513">
        <v>478.99516959345681</v>
      </c>
      <c r="AI288" s="1513">
        <v>415.54303919707485</v>
      </c>
      <c r="AJ288" s="1513">
        <v>528.36577914754912</v>
      </c>
      <c r="AK288" s="1513">
        <v>500.89173551998999</v>
      </c>
      <c r="AL288" s="1284">
        <v>3.1152007420797259</v>
      </c>
      <c r="AM288" s="1284">
        <v>3.3234890541725073</v>
      </c>
      <c r="AN288" s="1284">
        <v>2.9249787775891343</v>
      </c>
      <c r="AO288" s="1570"/>
      <c r="AP288" s="1513">
        <v>477.09322011784911</v>
      </c>
      <c r="AQ288" s="1513">
        <v>3.1838910976324981</v>
      </c>
      <c r="AR288" s="911"/>
      <c r="AS288" s="1493"/>
    </row>
    <row r="289" spans="1:45" x14ac:dyDescent="0.3">
      <c r="A289" s="970">
        <v>41183</v>
      </c>
      <c r="B289" s="631">
        <f>VLOOKUP($A289, $J$277:$AE$369, HLOOKUP("Detached_" &amp;'Personalized Bill Menu'!$B$22, $J$278:$AE$279, 2, FALSE), FALSE)</f>
        <v>629.88348353718152</v>
      </c>
      <c r="C289" s="631">
        <f>VLOOKUP($A289, $J$277:$AE$369, HLOOKUP("Attached_" &amp;'Personalized Bill Menu'!$B$22, $J$278:$AE$279, 2, FALSE), FALSE)</f>
        <v>478.02340203393095</v>
      </c>
      <c r="D289" s="631">
        <f>VLOOKUP($A289, $J$277:$AE$369, HLOOKUP("Apartment_" &amp;'Personalized Bill Menu'!$B$22, $J$278:$AE$279, 2, FALSE), FALSE)</f>
        <v>353.76912618754403</v>
      </c>
      <c r="E289" s="634">
        <v>41183</v>
      </c>
      <c r="F289" s="631">
        <f>VLOOKUP($A289, $J$277:$AE$369, HLOOKUP("Detached_" &amp;'Personalized Bill Menu'!$B$23, $J$278:$AE$279, 2, FALSE), FALSE)</f>
        <v>12.414546391241233</v>
      </c>
      <c r="G289" s="631">
        <f>VLOOKUP($A289, $J$277:$AE$369, HLOOKUP("Attached_" &amp;'Personalized Bill Menu'!$B$23, $J$278:$AE$279, 2, FALSE), FALSE)</f>
        <v>7.9288584852226638</v>
      </c>
      <c r="H289" s="631">
        <f>VLOOKUP($A289, $J$277:$AE$369, HLOOKUP("Apartment_" &amp;'Personalized Bill Menu'!$B$23, $J$278:$AE$279, 2, FALSE), FALSE)</f>
        <v>6.552496428740425</v>
      </c>
      <c r="I289" s="1374"/>
      <c r="J289" s="634">
        <v>41183</v>
      </c>
      <c r="K289" s="1279">
        <f t="shared" si="61"/>
        <v>629.88348353718152</v>
      </c>
      <c r="L289" s="1279">
        <f t="shared" si="41"/>
        <v>478.02340203393095</v>
      </c>
      <c r="M289" s="1279">
        <f t="shared" si="42"/>
        <v>353.76912618754403</v>
      </c>
      <c r="N289" s="1279">
        <f t="shared" si="43"/>
        <v>546.27304979172663</v>
      </c>
      <c r="O289" s="1279">
        <f t="shared" si="44"/>
        <v>414.570803213445</v>
      </c>
      <c r="P289" s="1279">
        <f t="shared" si="45"/>
        <v>306.80998079102068</v>
      </c>
      <c r="Q289" s="1279">
        <f t="shared" si="46"/>
        <v>717.9326537106067</v>
      </c>
      <c r="R289" s="1279">
        <f t="shared" si="47"/>
        <v>544.84459194068415</v>
      </c>
      <c r="S289" s="1279">
        <f t="shared" si="48"/>
        <v>403.22125314103994</v>
      </c>
      <c r="T289" s="1279">
        <f t="shared" si="49"/>
        <v>650.12777713927949</v>
      </c>
      <c r="U289" s="1279">
        <f t="shared" si="50"/>
        <v>493.38695156710008</v>
      </c>
      <c r="V289" s="1279">
        <f t="shared" si="51"/>
        <v>365.13917516498401</v>
      </c>
      <c r="W289" s="1280">
        <f t="shared" si="52"/>
        <v>12.706777976032429</v>
      </c>
      <c r="X289" s="1283">
        <f t="shared" si="53"/>
        <v>8.1154994471797171</v>
      </c>
      <c r="Y289" s="1282">
        <f t="shared" si="54"/>
        <v>6.7067385859134356</v>
      </c>
      <c r="Z289" s="1279">
        <f t="shared" si="55"/>
        <v>12.414546391241233</v>
      </c>
      <c r="AA289" s="1279">
        <f t="shared" si="56"/>
        <v>7.9288584852226638</v>
      </c>
      <c r="AB289" s="1279">
        <f t="shared" si="57"/>
        <v>6.552496428740425</v>
      </c>
      <c r="AC289" s="1279">
        <f t="shared" si="58"/>
        <v>5.6120101474676245</v>
      </c>
      <c r="AD289" s="1279">
        <f t="shared" si="59"/>
        <v>3.5842497079311717</v>
      </c>
      <c r="AE289" s="1279">
        <f t="shared" si="60"/>
        <v>2.9620636381270171</v>
      </c>
      <c r="AF289" s="1374"/>
      <c r="AG289" s="632">
        <v>41183</v>
      </c>
      <c r="AH289" s="1513">
        <v>558.97798119742697</v>
      </c>
      <c r="AI289" s="1513">
        <v>484.77951007762215</v>
      </c>
      <c r="AJ289" s="1513">
        <v>637.11552357790538</v>
      </c>
      <c r="AK289" s="1513">
        <v>576.94339014087438</v>
      </c>
      <c r="AL289" s="1284">
        <v>12.869100776666746</v>
      </c>
      <c r="AM289" s="1284">
        <v>12.573136077992032</v>
      </c>
      <c r="AN289" s="1284">
        <v>5.6837007999716196</v>
      </c>
      <c r="AO289" s="1570"/>
      <c r="AP289" s="1513">
        <v>561.42480335661935</v>
      </c>
      <c r="AQ289" s="1513">
        <v>12.137511372775048</v>
      </c>
      <c r="AR289" s="911"/>
      <c r="AS289" s="1493"/>
    </row>
    <row r="290" spans="1:45" x14ac:dyDescent="0.3">
      <c r="A290" s="970">
        <v>41214</v>
      </c>
      <c r="B290" s="631">
        <f>VLOOKUP($A290, $J$277:$AE$369, HLOOKUP("Detached_" &amp;'Personalized Bill Menu'!$B$22, $J$278:$AE$279, 2, FALSE), FALSE)</f>
        <v>657.98042355140103</v>
      </c>
      <c r="C290" s="631">
        <f>VLOOKUP($A290, $J$277:$AE$369, HLOOKUP("Attached_" &amp;'Personalized Bill Menu'!$B$22, $J$278:$AE$279, 2, FALSE), FALSE)</f>
        <v>499.34638509885792</v>
      </c>
      <c r="D290" s="631">
        <f>VLOOKUP($A290, $J$277:$AE$369, HLOOKUP("Apartment_" &amp;'Personalized Bill Menu'!$B$22, $J$278:$AE$279, 2, FALSE), FALSE)</f>
        <v>369.54955253172443</v>
      </c>
      <c r="E290" s="634">
        <v>41214</v>
      </c>
      <c r="F290" s="631">
        <f>VLOOKUP($A290, $J$277:$AE$369, HLOOKUP("Detached_" &amp;'Personalized Bill Menu'!$B$23, $J$278:$AE$279, 2, FALSE), FALSE)</f>
        <v>16.022770401470297</v>
      </c>
      <c r="G290" s="631">
        <f>VLOOKUP($A290, $J$277:$AE$369, HLOOKUP("Attached_" &amp;'Personalized Bill Menu'!$B$23, $J$278:$AE$279, 2, FALSE), FALSE)</f>
        <v>10.233340393661402</v>
      </c>
      <c r="H290" s="631">
        <f>VLOOKUP($A290, $J$277:$AE$369, HLOOKUP("Apartment_" &amp;'Personalized Bill Menu'!$B$23, $J$278:$AE$279, 2, FALSE), FALSE)</f>
        <v>8.4569457896773681</v>
      </c>
      <c r="I290" s="1374"/>
      <c r="J290" s="634">
        <v>41214</v>
      </c>
      <c r="K290" s="1279">
        <f t="shared" si="61"/>
        <v>657.98042355140103</v>
      </c>
      <c r="L290" s="1279">
        <f t="shared" si="41"/>
        <v>499.34638509885792</v>
      </c>
      <c r="M290" s="1279">
        <f t="shared" si="42"/>
        <v>369.54955253172443</v>
      </c>
      <c r="N290" s="1279">
        <f t="shared" si="43"/>
        <v>595.9010014585167</v>
      </c>
      <c r="O290" s="1279">
        <f t="shared" si="44"/>
        <v>452.2338359993081</v>
      </c>
      <c r="P290" s="1279">
        <f t="shared" si="45"/>
        <v>334.68313122996472</v>
      </c>
      <c r="Q290" s="1279">
        <f t="shared" si="46"/>
        <v>785.30768666533663</v>
      </c>
      <c r="R290" s="1279">
        <f t="shared" si="47"/>
        <v>595.97602070002711</v>
      </c>
      <c r="S290" s="1279">
        <f t="shared" si="48"/>
        <v>441.06191281575076</v>
      </c>
      <c r="T290" s="1279">
        <f t="shared" si="49"/>
        <v>719.01518907625973</v>
      </c>
      <c r="U290" s="1279">
        <f t="shared" si="50"/>
        <v>545.66613632442557</v>
      </c>
      <c r="V290" s="1279">
        <f t="shared" si="51"/>
        <v>403.82925065229966</v>
      </c>
      <c r="W290" s="1280">
        <f t="shared" si="52"/>
        <v>18.745223163807729</v>
      </c>
      <c r="X290" s="1283">
        <f t="shared" si="53"/>
        <v>11.97210248814328</v>
      </c>
      <c r="Y290" s="1282">
        <f t="shared" si="54"/>
        <v>9.8938780335502727</v>
      </c>
      <c r="Z290" s="1279">
        <f t="shared" si="55"/>
        <v>16.022770401470297</v>
      </c>
      <c r="AA290" s="1279">
        <f t="shared" si="56"/>
        <v>10.233340393661402</v>
      </c>
      <c r="AB290" s="1279">
        <f t="shared" si="57"/>
        <v>8.4569457896773681</v>
      </c>
      <c r="AC290" s="1279">
        <f t="shared" si="58"/>
        <v>15.111248285435805</v>
      </c>
      <c r="AD290" s="1279">
        <f t="shared" si="59"/>
        <v>9.6511741479991962</v>
      </c>
      <c r="AE290" s="1279">
        <f t="shared" si="60"/>
        <v>7.9758371593815527</v>
      </c>
      <c r="AF290" s="1374"/>
      <c r="AG290" s="632">
        <v>41214</v>
      </c>
      <c r="AH290" s="1513">
        <v>583.9120701479377</v>
      </c>
      <c r="AI290" s="1513">
        <v>528.82088115451324</v>
      </c>
      <c r="AJ290" s="1513">
        <v>696.90620056574221</v>
      </c>
      <c r="AK290" s="1513">
        <v>638.07619876479782</v>
      </c>
      <c r="AL290" s="1284">
        <v>18.984684113562565</v>
      </c>
      <c r="AM290" s="1284">
        <v>16.227453364404965</v>
      </c>
      <c r="AN290" s="1284">
        <v>15.304287004409186</v>
      </c>
      <c r="AO290" s="1570"/>
      <c r="AP290" s="1513">
        <v>607.35645018924583</v>
      </c>
      <c r="AQ290" s="1513">
        <v>17.55422683228494</v>
      </c>
      <c r="AR290" s="911"/>
      <c r="AS290" s="1493"/>
    </row>
    <row r="291" spans="1:45" x14ac:dyDescent="0.3">
      <c r="A291" s="970">
        <v>41244</v>
      </c>
      <c r="B291" s="631">
        <f>VLOOKUP($A291, $J$277:$AE$369, HLOOKUP("Detached_" &amp;'Personalized Bill Menu'!$B$22, $J$278:$AE$279, 2, FALSE), FALSE)</f>
        <v>761.27007914030821</v>
      </c>
      <c r="C291" s="631">
        <f>VLOOKUP($A291, $J$277:$AE$369, HLOOKUP("Attached_" &amp;'Personalized Bill Menu'!$B$22, $J$278:$AE$279, 2, FALSE), FALSE)</f>
        <v>577.73369616510831</v>
      </c>
      <c r="D291" s="631">
        <f>VLOOKUP($A291, $J$277:$AE$369, HLOOKUP("Apartment_" &amp;'Personalized Bill Menu'!$B$22, $J$278:$AE$279, 2, FALSE), FALSE)</f>
        <v>427.56137877727338</v>
      </c>
      <c r="E291" s="634">
        <v>41244</v>
      </c>
      <c r="F291" s="631">
        <f>VLOOKUP($A291, $J$277:$AE$369, HLOOKUP("Detached_" &amp;'Personalized Bill Menu'!$B$23, $J$278:$AE$279, 2, FALSE), FALSE)</f>
        <v>21.388281285725743</v>
      </c>
      <c r="G291" s="631">
        <f>VLOOKUP($A291, $J$277:$AE$369, HLOOKUP("Attached_" &amp;'Personalized Bill Menu'!$B$23, $J$278:$AE$279, 2, FALSE), FALSE)</f>
        <v>13.660157223005891</v>
      </c>
      <c r="H291" s="631">
        <f>VLOOKUP($A291, $J$277:$AE$369, HLOOKUP("Apartment_" &amp;'Personalized Bill Menu'!$B$23, $J$278:$AE$279, 2, FALSE), FALSE)</f>
        <v>11.288905154077195</v>
      </c>
      <c r="I291" s="1374"/>
      <c r="J291" s="634">
        <v>41244</v>
      </c>
      <c r="K291" s="1279">
        <f t="shared" si="61"/>
        <v>761.27007914030821</v>
      </c>
      <c r="L291" s="1279">
        <f t="shared" si="41"/>
        <v>577.73369616510831</v>
      </c>
      <c r="M291" s="1279">
        <f t="shared" si="42"/>
        <v>427.56137877727338</v>
      </c>
      <c r="N291" s="1279">
        <f t="shared" si="43"/>
        <v>667.64792536346306</v>
      </c>
      <c r="O291" s="1279">
        <f t="shared" si="44"/>
        <v>506.68312629965862</v>
      </c>
      <c r="P291" s="1279">
        <f t="shared" si="45"/>
        <v>374.9792292225053</v>
      </c>
      <c r="Q291" s="1279">
        <f t="shared" si="46"/>
        <v>935.92819877436898</v>
      </c>
      <c r="R291" s="1279">
        <f t="shared" si="47"/>
        <v>710.28308144422658</v>
      </c>
      <c r="S291" s="1279">
        <f t="shared" si="48"/>
        <v>525.65674399866339</v>
      </c>
      <c r="T291" s="1279">
        <f t="shared" si="49"/>
        <v>931.05297925566788</v>
      </c>
      <c r="U291" s="1279">
        <f t="shared" si="50"/>
        <v>706.5832399959246</v>
      </c>
      <c r="V291" s="1279">
        <f t="shared" si="51"/>
        <v>522.91861513168931</v>
      </c>
      <c r="W291" s="1280">
        <f t="shared" si="52"/>
        <v>24.351139033712322</v>
      </c>
      <c r="X291" s="1283">
        <f t="shared" si="53"/>
        <v>15.552459934299906</v>
      </c>
      <c r="Y291" s="1282">
        <f t="shared" si="54"/>
        <v>12.852725063457459</v>
      </c>
      <c r="Z291" s="1279">
        <f t="shared" si="55"/>
        <v>21.388281285725743</v>
      </c>
      <c r="AA291" s="1279">
        <f t="shared" si="56"/>
        <v>13.660157223005891</v>
      </c>
      <c r="AB291" s="1279">
        <f t="shared" si="57"/>
        <v>11.288905154077195</v>
      </c>
      <c r="AC291" s="1279">
        <f t="shared" si="58"/>
        <v>19.859509463056124</v>
      </c>
      <c r="AD291" s="1279">
        <f t="shared" si="59"/>
        <v>12.683769116977686</v>
      </c>
      <c r="AE291" s="1279">
        <f t="shared" si="60"/>
        <v>10.482007214135621</v>
      </c>
      <c r="AF291" s="1374"/>
      <c r="AG291" s="632">
        <v>41244</v>
      </c>
      <c r="AH291" s="1513">
        <v>675.57448814854672</v>
      </c>
      <c r="AI291" s="1513">
        <v>592.49130866961252</v>
      </c>
      <c r="AJ291" s="1513">
        <v>830.57147674163298</v>
      </c>
      <c r="AK291" s="1513">
        <v>826.24505695816049</v>
      </c>
      <c r="AL291" s="1284">
        <v>24.662212784591066</v>
      </c>
      <c r="AM291" s="1284">
        <v>21.661505995058203</v>
      </c>
      <c r="AN291" s="1284">
        <v>20.113204868873986</v>
      </c>
      <c r="AO291" s="1570"/>
      <c r="AP291" s="1513">
        <v>714.27882923412301</v>
      </c>
      <c r="AQ291" s="1513">
        <v>23.059498623787203</v>
      </c>
      <c r="AR291" s="911"/>
      <c r="AS291" s="1493"/>
    </row>
    <row r="292" spans="1:45" x14ac:dyDescent="0.3">
      <c r="A292" s="970">
        <v>41275</v>
      </c>
      <c r="B292" s="631">
        <f>VLOOKUP($A292, $J$277:$AE$369, HLOOKUP("Detached_" &amp;'Personalized Bill Menu'!$B$22, $J$278:$AE$279, 2, FALSE), FALSE)</f>
        <v>695.70470034835296</v>
      </c>
      <c r="C292" s="631">
        <f>VLOOKUP($A292, $J$277:$AE$369, HLOOKUP("Attached_" &amp;'Personalized Bill Menu'!$B$22, $J$278:$AE$279, 2, FALSE), FALSE)</f>
        <v>527.97562781606939</v>
      </c>
      <c r="D292" s="631">
        <f>VLOOKUP($A292, $J$277:$AE$369, HLOOKUP("Apartment_" &amp;'Personalized Bill Menu'!$B$22, $J$278:$AE$279, 2, FALSE), FALSE)</f>
        <v>390.73709719247745</v>
      </c>
      <c r="E292" s="634">
        <v>41275</v>
      </c>
      <c r="F292" s="631">
        <f>VLOOKUP($A292, $J$277:$AE$369, HLOOKUP("Detached_" &amp;'Personalized Bill Menu'!$B$23, $J$278:$AE$279, 2, FALSE), FALSE)</f>
        <v>17.728016094174261</v>
      </c>
      <c r="G292" s="631">
        <f>VLOOKUP($A292, $J$277:$AE$369, HLOOKUP("Attached_" &amp;'Personalized Bill Menu'!$B$23, $J$278:$AE$279, 2, FALSE), FALSE)</f>
        <v>11.322437921181569</v>
      </c>
      <c r="H292" s="631">
        <f>VLOOKUP($A292, $J$277:$AE$369, HLOOKUP("Apartment_" &amp;'Personalized Bill Menu'!$B$23, $J$278:$AE$279, 2, FALSE), FALSE)</f>
        <v>9.3569880432913202</v>
      </c>
      <c r="I292" s="901"/>
      <c r="J292" s="634">
        <v>41275</v>
      </c>
      <c r="K292" s="1279">
        <f t="shared" si="61"/>
        <v>695.70470034835296</v>
      </c>
      <c r="L292" s="1279">
        <f t="shared" si="41"/>
        <v>527.97562781606939</v>
      </c>
      <c r="M292" s="1279">
        <f t="shared" si="42"/>
        <v>390.73709719247745</v>
      </c>
      <c r="N292" s="1279">
        <f t="shared" si="43"/>
        <v>643.46592587731914</v>
      </c>
      <c r="O292" s="1279">
        <f t="shared" si="44"/>
        <v>488.33122159906964</v>
      </c>
      <c r="P292" s="1279">
        <f t="shared" si="45"/>
        <v>361.3975985697374</v>
      </c>
      <c r="Q292" s="1279">
        <f t="shared" si="46"/>
        <v>855.20240496673148</v>
      </c>
      <c r="R292" s="1279">
        <f t="shared" si="47"/>
        <v>649.01965797562468</v>
      </c>
      <c r="S292" s="1279">
        <f t="shared" si="48"/>
        <v>480.31773403486585</v>
      </c>
      <c r="T292" s="1279">
        <f t="shared" si="49"/>
        <v>857.03506620502674</v>
      </c>
      <c r="U292" s="1279">
        <f t="shared" si="50"/>
        <v>650.41047863182928</v>
      </c>
      <c r="V292" s="1279">
        <f t="shared" si="51"/>
        <v>481.34703386858854</v>
      </c>
      <c r="W292" s="1280">
        <f t="shared" si="52"/>
        <v>19.987099486742657</v>
      </c>
      <c r="X292" s="1283">
        <f t="shared" si="53"/>
        <v>12.765257655507815</v>
      </c>
      <c r="Y292" s="1282">
        <f t="shared" si="54"/>
        <v>10.549350244497065</v>
      </c>
      <c r="Z292" s="1279">
        <f t="shared" si="55"/>
        <v>17.728016094174261</v>
      </c>
      <c r="AA292" s="1279">
        <f t="shared" si="56"/>
        <v>11.322437921181569</v>
      </c>
      <c r="AB292" s="1279">
        <f t="shared" si="57"/>
        <v>9.3569880432913202</v>
      </c>
      <c r="AC292" s="1279">
        <f t="shared" si="58"/>
        <v>23.724379599252234</v>
      </c>
      <c r="AD292" s="1279">
        <f t="shared" si="59"/>
        <v>15.152164449994631</v>
      </c>
      <c r="AE292" s="1279">
        <f t="shared" si="60"/>
        <v>12.521916443750133</v>
      </c>
      <c r="AF292" s="1374"/>
      <c r="AG292" s="632">
        <v>41275</v>
      </c>
      <c r="AH292" s="1513">
        <v>617.38975393744818</v>
      </c>
      <c r="AI292" s="1513">
        <v>571.03145838400951</v>
      </c>
      <c r="AJ292" s="1513">
        <v>758.93292384649374</v>
      </c>
      <c r="AK292" s="1513">
        <v>760.55928380984494</v>
      </c>
      <c r="AL292" s="1284">
        <v>20.242424791974585</v>
      </c>
      <c r="AM292" s="1284">
        <v>17.954482726984285</v>
      </c>
      <c r="AN292" s="1284">
        <v>24.027446808510639</v>
      </c>
      <c r="AO292" s="1570"/>
      <c r="AP292" s="1513">
        <v>663.94521568698838</v>
      </c>
      <c r="AQ292" s="1513">
        <v>19.649007000163369</v>
      </c>
      <c r="AR292" s="911"/>
      <c r="AS292" s="1493"/>
    </row>
    <row r="293" spans="1:45" x14ac:dyDescent="0.3">
      <c r="A293" s="970">
        <v>41306</v>
      </c>
      <c r="B293" s="631">
        <f>VLOOKUP($A293, $J$277:$AE$369, HLOOKUP("Detached_" &amp;'Personalized Bill Menu'!$B$22, $J$278:$AE$279, 2, FALSE), FALSE)</f>
        <v>588.63103674874526</v>
      </c>
      <c r="C293" s="631">
        <f>VLOOKUP($A293, $J$277:$AE$369, HLOOKUP("Attached_" &amp;'Personalized Bill Menu'!$B$22, $J$278:$AE$279, 2, FALSE), FALSE)</f>
        <v>446.71660407616554</v>
      </c>
      <c r="D293" s="631">
        <f>VLOOKUP($A293, $J$277:$AE$369, HLOOKUP("Apartment_" &amp;'Personalized Bill Menu'!$B$22, $J$278:$AE$279, 2, FALSE), FALSE)</f>
        <v>330.60001247862459</v>
      </c>
      <c r="E293" s="634">
        <v>41306</v>
      </c>
      <c r="F293" s="631">
        <f>VLOOKUP($A293, $J$277:$AE$369, HLOOKUP("Detached_" &amp;'Personalized Bill Menu'!$B$23, $J$278:$AE$279, 2, FALSE), FALSE)</f>
        <v>12.907658869082555</v>
      </c>
      <c r="G293" s="631">
        <f>VLOOKUP($A293, $J$277:$AE$369, HLOOKUP("Attached_" &amp;'Personalized Bill Menu'!$B$23, $J$278:$AE$279, 2, FALSE), FALSE)</f>
        <v>8.2437970202995317</v>
      </c>
      <c r="H293" s="631">
        <f>VLOOKUP($A293, $J$277:$AE$369, HLOOKUP("Apartment_" &amp;'Personalized Bill Menu'!$B$23, $J$278:$AE$279, 2, FALSE), FALSE)</f>
        <v>6.8127651206599493</v>
      </c>
      <c r="I293" s="1374"/>
      <c r="J293" s="634">
        <v>41306</v>
      </c>
      <c r="K293" s="1279">
        <f t="shared" si="61"/>
        <v>588.63103674874526</v>
      </c>
      <c r="L293" s="1279">
        <f t="shared" si="41"/>
        <v>446.71660407616554</v>
      </c>
      <c r="M293" s="1279">
        <f t="shared" si="42"/>
        <v>330.60001247862459</v>
      </c>
      <c r="N293" s="1279">
        <f t="shared" si="43"/>
        <v>531.13648820858134</v>
      </c>
      <c r="O293" s="1279">
        <f t="shared" si="44"/>
        <v>403.08355064660725</v>
      </c>
      <c r="P293" s="1279">
        <f t="shared" si="45"/>
        <v>298.30864950561767</v>
      </c>
      <c r="Q293" s="1279">
        <f t="shared" si="46"/>
        <v>691.86473642653857</v>
      </c>
      <c r="R293" s="1279">
        <f t="shared" si="47"/>
        <v>525.06144977271879</v>
      </c>
      <c r="S293" s="1279">
        <f t="shared" si="48"/>
        <v>388.5804115248626</v>
      </c>
      <c r="T293" s="1279">
        <f t="shared" si="49"/>
        <v>731.27293914090023</v>
      </c>
      <c r="U293" s="1279">
        <f t="shared" si="50"/>
        <v>554.96863677145507</v>
      </c>
      <c r="V293" s="1279">
        <f t="shared" si="51"/>
        <v>410.713719991044</v>
      </c>
      <c r="W293" s="1280">
        <f t="shared" si="52"/>
        <v>14.315155218830654</v>
      </c>
      <c r="X293" s="1283">
        <f t="shared" si="53"/>
        <v>9.1427295325251645</v>
      </c>
      <c r="Y293" s="1282">
        <f t="shared" si="54"/>
        <v>7.5556529004097097</v>
      </c>
      <c r="Z293" s="1279">
        <f t="shared" si="55"/>
        <v>12.907658869082555</v>
      </c>
      <c r="AA293" s="1279">
        <f t="shared" si="56"/>
        <v>8.2437970202995317</v>
      </c>
      <c r="AB293" s="1279">
        <f t="shared" si="57"/>
        <v>6.8127651206599493</v>
      </c>
      <c r="AC293" s="1279">
        <f t="shared" si="58"/>
        <v>19.812543406894441</v>
      </c>
      <c r="AD293" s="1279">
        <f t="shared" si="59"/>
        <v>12.653773078364651</v>
      </c>
      <c r="AE293" s="1279">
        <f t="shared" si="60"/>
        <v>10.457218155754191</v>
      </c>
      <c r="AF293" s="1374"/>
      <c r="AG293" s="632">
        <v>41306</v>
      </c>
      <c r="AH293" s="1513">
        <v>522.36929081589358</v>
      </c>
      <c r="AI293" s="1513">
        <v>471.34685966344819</v>
      </c>
      <c r="AJ293" s="1513">
        <v>613.98205181953733</v>
      </c>
      <c r="AK293" s="1513">
        <v>648.95410327291142</v>
      </c>
      <c r="AL293" s="1284">
        <v>14.498024242828594</v>
      </c>
      <c r="AM293" s="1284">
        <v>13.072547823718724</v>
      </c>
      <c r="AN293" s="1284">
        <v>20.065638844586214</v>
      </c>
      <c r="AO293" s="1570"/>
      <c r="AP293" s="1513">
        <v>549.528043350958</v>
      </c>
      <c r="AQ293" s="1513">
        <v>14.409232709924963</v>
      </c>
      <c r="AR293" s="911"/>
      <c r="AS293" s="1493"/>
    </row>
    <row r="294" spans="1:45" x14ac:dyDescent="0.3">
      <c r="A294" s="970">
        <v>41334</v>
      </c>
      <c r="B294" s="631">
        <f>VLOOKUP($A294, $J$277:$AE$369, HLOOKUP("Detached_" &amp;'Personalized Bill Menu'!$B$22, $J$278:$AE$279, 2, FALSE), FALSE)</f>
        <v>635.48405455189265</v>
      </c>
      <c r="C294" s="631">
        <f>VLOOKUP($A294, $J$277:$AE$369, HLOOKUP("Attached_" &amp;'Personalized Bill Menu'!$B$22, $J$278:$AE$279, 2, FALSE), FALSE)</f>
        <v>482.27371829044034</v>
      </c>
      <c r="D294" s="631">
        <f>VLOOKUP($A294, $J$277:$AE$369, HLOOKUP("Apartment_" &amp;'Personalized Bill Menu'!$B$22, $J$278:$AE$279, 2, FALSE), FALSE)</f>
        <v>356.91464304234285</v>
      </c>
      <c r="E294" s="634">
        <v>41334</v>
      </c>
      <c r="F294" s="631">
        <f>VLOOKUP($A294, $J$277:$AE$369, HLOOKUP("Detached_" &amp;'Personalized Bill Menu'!$B$23, $J$278:$AE$279, 2, FALSE), FALSE)</f>
        <v>15.132218796418558</v>
      </c>
      <c r="G294" s="631">
        <f>VLOOKUP($A294, $J$277:$AE$369, HLOOKUP("Attached_" &amp;'Personalized Bill Menu'!$B$23, $J$278:$AE$279, 2, FALSE), FALSE)</f>
        <v>9.6645674858389405</v>
      </c>
      <c r="H294" s="631">
        <f>VLOOKUP($A294, $J$277:$AE$369, HLOOKUP("Apartment_" &amp;'Personalized Bill Menu'!$B$23, $J$278:$AE$279, 2, FALSE), FALSE)</f>
        <v>7.9869055620434732</v>
      </c>
      <c r="I294" s="1374"/>
      <c r="J294" s="634">
        <v>41334</v>
      </c>
      <c r="K294" s="1279">
        <f t="shared" si="61"/>
        <v>635.48405455189265</v>
      </c>
      <c r="L294" s="1279">
        <f t="shared" si="41"/>
        <v>482.27371829044034</v>
      </c>
      <c r="M294" s="1279">
        <f t="shared" si="42"/>
        <v>356.91464304234285</v>
      </c>
      <c r="N294" s="1279">
        <f t="shared" si="43"/>
        <v>568.32118776947777</v>
      </c>
      <c r="O294" s="1279">
        <f t="shared" si="44"/>
        <v>431.30330406495528</v>
      </c>
      <c r="P294" s="1279">
        <f t="shared" si="45"/>
        <v>319.19314483693267</v>
      </c>
      <c r="Q294" s="1279">
        <f t="shared" si="46"/>
        <v>743.06660682799713</v>
      </c>
      <c r="R294" s="1279">
        <f t="shared" si="47"/>
        <v>563.91894154621264</v>
      </c>
      <c r="S294" s="1279">
        <f t="shared" si="48"/>
        <v>417.33754109646634</v>
      </c>
      <c r="T294" s="1279">
        <f t="shared" si="49"/>
        <v>674.10123903761769</v>
      </c>
      <c r="U294" s="1279">
        <f t="shared" si="50"/>
        <v>511.58059549441856</v>
      </c>
      <c r="V294" s="1279">
        <f t="shared" si="51"/>
        <v>378.60368231452713</v>
      </c>
      <c r="W294" s="1280">
        <f t="shared" si="52"/>
        <v>16.378364595307449</v>
      </c>
      <c r="X294" s="1283">
        <f t="shared" si="53"/>
        <v>10.460449460094214</v>
      </c>
      <c r="Y294" s="1282">
        <f t="shared" si="54"/>
        <v>8.6446312363919304</v>
      </c>
      <c r="Z294" s="1279">
        <f t="shared" si="55"/>
        <v>15.132218796418558</v>
      </c>
      <c r="AA294" s="1279">
        <f t="shared" si="56"/>
        <v>9.6645674858389405</v>
      </c>
      <c r="AB294" s="1279">
        <f t="shared" si="57"/>
        <v>7.9869055620434732</v>
      </c>
      <c r="AC294" s="1279">
        <f t="shared" si="58"/>
        <v>16.222696952455433</v>
      </c>
      <c r="AD294" s="1279">
        <f t="shared" si="59"/>
        <v>10.361028452511317</v>
      </c>
      <c r="AE294" s="1279">
        <f t="shared" si="60"/>
        <v>8.5624686150835991</v>
      </c>
      <c r="AF294" s="1374"/>
      <c r="AG294" s="632">
        <v>41334</v>
      </c>
      <c r="AH294" s="1513">
        <v>563.94810021336912</v>
      </c>
      <c r="AI294" s="1513">
        <v>504.34570601398246</v>
      </c>
      <c r="AJ294" s="1513">
        <v>659.42016680203653</v>
      </c>
      <c r="AK294" s="1513">
        <v>598.21817775555155</v>
      </c>
      <c r="AL294" s="1284">
        <v>16.587590098100911</v>
      </c>
      <c r="AM294" s="1284">
        <v>15.325525403292387</v>
      </c>
      <c r="AN294" s="1284">
        <v>16.429933878144332</v>
      </c>
      <c r="AO294" s="1570"/>
      <c r="AP294" s="1513">
        <v>578.69697125062407</v>
      </c>
      <c r="AQ294" s="1513">
        <v>16.064872239178541</v>
      </c>
      <c r="AR294" s="911"/>
      <c r="AS294" s="1493"/>
    </row>
    <row r="295" spans="1:45" x14ac:dyDescent="0.3">
      <c r="A295" s="970">
        <v>41365</v>
      </c>
      <c r="B295" s="631">
        <f>VLOOKUP($A295, $J$277:$AE$369, HLOOKUP("Detached_" &amp;'Personalized Bill Menu'!$B$22, $J$278:$AE$279, 2, FALSE), FALSE)</f>
        <v>582.137273709135</v>
      </c>
      <c r="C295" s="631">
        <f>VLOOKUP($A295, $J$277:$AE$369, HLOOKUP("Attached_" &amp;'Personalized Bill Menu'!$B$22, $J$278:$AE$279, 2, FALSE), FALSE)</f>
        <v>441.78843754802466</v>
      </c>
      <c r="D295" s="631">
        <f>VLOOKUP($A295, $J$277:$AE$369, HLOOKUP("Apartment_" &amp;'Personalized Bill Menu'!$B$22, $J$278:$AE$279, 2, FALSE), FALSE)</f>
        <v>326.95284131723582</v>
      </c>
      <c r="E295" s="634">
        <v>41365</v>
      </c>
      <c r="F295" s="631">
        <f>VLOOKUP($A295, $J$277:$AE$369, HLOOKUP("Detached_" &amp;'Personalized Bill Menu'!$B$23, $J$278:$AE$279, 2, FALSE), FALSE)</f>
        <v>11.951872910186294</v>
      </c>
      <c r="G295" s="631">
        <f>VLOOKUP($A295, $J$277:$AE$369, HLOOKUP("Attached_" &amp;'Personalized Bill Menu'!$B$23, $J$278:$AE$279, 2, FALSE), FALSE)</f>
        <v>7.633360571683256</v>
      </c>
      <c r="H295" s="631">
        <f>VLOOKUP($A295, $J$277:$AE$369, HLOOKUP("Apartment_" &amp;'Personalized Bill Menu'!$B$23, $J$278:$AE$279, 2, FALSE), FALSE)</f>
        <v>6.3082936816771653</v>
      </c>
      <c r="I295" s="1374"/>
      <c r="J295" s="634">
        <v>41365</v>
      </c>
      <c r="K295" s="1279">
        <f t="shared" si="61"/>
        <v>582.137273709135</v>
      </c>
      <c r="L295" s="1279">
        <f t="shared" si="41"/>
        <v>441.78843754802466</v>
      </c>
      <c r="M295" s="1279">
        <f>(D$259/$N$262)*$AH295</f>
        <v>326.95284131723582</v>
      </c>
      <c r="N295" s="1279">
        <f t="shared" si="43"/>
        <v>511.96493595609468</v>
      </c>
      <c r="O295" s="1279">
        <f t="shared" si="44"/>
        <v>388.53411274336054</v>
      </c>
      <c r="P295" s="1279">
        <f t="shared" si="45"/>
        <v>287.54109730702015</v>
      </c>
      <c r="Q295" s="1279">
        <f t="shared" si="46"/>
        <v>663.45779420738552</v>
      </c>
      <c r="R295" s="1279">
        <f t="shared" si="47"/>
        <v>503.50320365912739</v>
      </c>
      <c r="S295" s="1279">
        <f t="shared" si="48"/>
        <v>372.62587486977247</v>
      </c>
      <c r="T295" s="1279">
        <f t="shared" si="49"/>
        <v>614.57162555083846</v>
      </c>
      <c r="U295" s="1279">
        <f t="shared" si="50"/>
        <v>466.40311568352683</v>
      </c>
      <c r="V295" s="1279">
        <f t="shared" si="51"/>
        <v>345.1693410499542</v>
      </c>
      <c r="W295" s="1280">
        <f t="shared" si="52"/>
        <v>11.752998194263311</v>
      </c>
      <c r="X295" s="1283">
        <f t="shared" si="53"/>
        <v>7.5063442934280404</v>
      </c>
      <c r="Y295" s="1282">
        <f t="shared" si="54"/>
        <v>6.2033260231913507</v>
      </c>
      <c r="Z295" s="1279">
        <f t="shared" si="55"/>
        <v>11.951872910186294</v>
      </c>
      <c r="AA295" s="1279">
        <f t="shared" si="56"/>
        <v>7.633360571683256</v>
      </c>
      <c r="AB295" s="1279">
        <f t="shared" si="57"/>
        <v>6.3082936816771653</v>
      </c>
      <c r="AC295" s="1279">
        <f t="shared" si="58"/>
        <v>15.616538639385974</v>
      </c>
      <c r="AD295" s="1279">
        <f t="shared" si="59"/>
        <v>9.9738903862054951</v>
      </c>
      <c r="AE295" s="1279">
        <f t="shared" si="60"/>
        <v>8.2425334312704237</v>
      </c>
      <c r="AF295" s="1374"/>
      <c r="AG295" s="632">
        <v>41365</v>
      </c>
      <c r="AH295" s="1513">
        <v>516.60652571865387</v>
      </c>
      <c r="AI295" s="1513">
        <v>454.33343439575202</v>
      </c>
      <c r="AJ295" s="1513">
        <v>588.77285737537659</v>
      </c>
      <c r="AK295" s="1513">
        <v>545.3897673621891</v>
      </c>
      <c r="AL295" s="1284">
        <v>11.903136930167989</v>
      </c>
      <c r="AM295" s="1284">
        <v>12.104552172172788</v>
      </c>
      <c r="AN295" s="1284">
        <v>15.816032192585734</v>
      </c>
      <c r="AO295" s="1570"/>
      <c r="AP295" s="1513">
        <v>522.8281415740812</v>
      </c>
      <c r="AQ295" s="1513">
        <v>12.325330349994104</v>
      </c>
      <c r="AR295" s="911"/>
      <c r="AS295" s="1493"/>
    </row>
    <row r="296" spans="1:45" x14ac:dyDescent="0.3">
      <c r="A296" s="970">
        <v>41395</v>
      </c>
      <c r="B296" s="631">
        <f>VLOOKUP($A296, $J$277:$AE$369, HLOOKUP("Detached_" &amp;'Personalized Bill Menu'!$B$22, $J$278:$AE$279, 2, FALSE), FALSE)</f>
        <v>524.18966004109279</v>
      </c>
      <c r="C296" s="631">
        <f>VLOOKUP($A296, $J$277:$AE$369, HLOOKUP("Attached_" &amp;'Personalized Bill Menu'!$B$22, $J$278:$AE$279, 2, FALSE), FALSE)</f>
        <v>397.81154952138331</v>
      </c>
      <c r="D296" s="631">
        <f>VLOOKUP($A296, $J$277:$AE$369, HLOOKUP("Apartment_" &amp;'Personalized Bill Menu'!$B$22, $J$278:$AE$279, 2, FALSE), FALSE)</f>
        <v>294.40701786291027</v>
      </c>
      <c r="E296" s="634">
        <v>41395</v>
      </c>
      <c r="F296" s="631">
        <f>VLOOKUP($A296, $J$277:$AE$369, HLOOKUP("Detached_" &amp;'Personalized Bill Menu'!$B$23, $J$278:$AE$279, 2, FALSE), FALSE)</f>
        <v>5.0917294193510614</v>
      </c>
      <c r="G296" s="631">
        <f>VLOOKUP($A296, $J$277:$AE$369, HLOOKUP("Attached_" &amp;'Personalized Bill Menu'!$B$23, $J$278:$AE$279, 2, FALSE), FALSE)</f>
        <v>3.2519594948360488</v>
      </c>
      <c r="H296" s="631">
        <f>VLOOKUP($A296, $J$277:$AE$369, HLOOKUP("Apartment_" &amp;'Personalized Bill Menu'!$B$23, $J$278:$AE$279, 2, FALSE), FALSE)</f>
        <v>2.6874553274011839</v>
      </c>
      <c r="I296" s="1374"/>
      <c r="J296" s="634">
        <v>41395</v>
      </c>
      <c r="K296" s="1279">
        <f t="shared" si="61"/>
        <v>524.18966004109279</v>
      </c>
      <c r="L296" s="1279">
        <f t="shared" si="41"/>
        <v>397.81154952138331</v>
      </c>
      <c r="M296" s="1279">
        <f t="shared" si="42"/>
        <v>294.40701786291027</v>
      </c>
      <c r="N296" s="1279">
        <f t="shared" si="43"/>
        <v>479.11546409976137</v>
      </c>
      <c r="O296" s="1279">
        <f t="shared" si="44"/>
        <v>363.60439684796762</v>
      </c>
      <c r="P296" s="1279">
        <f t="shared" si="45"/>
        <v>269.09144866870753</v>
      </c>
      <c r="Q296" s="1279">
        <f t="shared" si="46"/>
        <v>604.92779738647141</v>
      </c>
      <c r="R296" s="1279">
        <f t="shared" si="47"/>
        <v>459.08434059535728</v>
      </c>
      <c r="S296" s="1279">
        <f t="shared" si="48"/>
        <v>339.75296047802328</v>
      </c>
      <c r="T296" s="1279">
        <f t="shared" si="49"/>
        <v>613.43039189014598</v>
      </c>
      <c r="U296" s="1279">
        <f t="shared" si="50"/>
        <v>465.53702471391392</v>
      </c>
      <c r="V296" s="1279">
        <f t="shared" si="51"/>
        <v>344.52837610092621</v>
      </c>
      <c r="W296" s="1280">
        <f t="shared" si="52"/>
        <v>3.5576759263379536</v>
      </c>
      <c r="X296" s="1283">
        <f t="shared" si="53"/>
        <v>2.2721981188228302</v>
      </c>
      <c r="Y296" s="1282">
        <f t="shared" si="54"/>
        <v>1.8777696798001553</v>
      </c>
      <c r="Z296" s="1279">
        <f t="shared" si="55"/>
        <v>5.0917294193510614</v>
      </c>
      <c r="AA296" s="1279">
        <f t="shared" si="56"/>
        <v>3.2519594948360488</v>
      </c>
      <c r="AB296" s="1279">
        <f t="shared" si="57"/>
        <v>2.6874553274011839</v>
      </c>
      <c r="AC296" s="1279">
        <f t="shared" si="58"/>
        <v>8.7222403156507049</v>
      </c>
      <c r="AD296" s="1279">
        <f t="shared" si="59"/>
        <v>5.5706754767689732</v>
      </c>
      <c r="AE296" s="1279">
        <f t="shared" si="60"/>
        <v>4.6036678842522551</v>
      </c>
      <c r="AF296" s="1374"/>
      <c r="AG296" s="632">
        <v>41395</v>
      </c>
      <c r="AH296" s="1513">
        <v>465.18203063351069</v>
      </c>
      <c r="AI296" s="1513">
        <v>425.18180248036936</v>
      </c>
      <c r="AJ296" s="1513">
        <v>536.83153756378135</v>
      </c>
      <c r="AK296" s="1513">
        <v>544.37700150246837</v>
      </c>
      <c r="AL296" s="1284">
        <v>3.6031234757640735</v>
      </c>
      <c r="AM296" s="1284">
        <v>5.1567737430167595</v>
      </c>
      <c r="AN296" s="1284">
        <v>8.8336626194410517</v>
      </c>
      <c r="AO296" s="1570"/>
      <c r="AP296" s="1513">
        <v>484.40845953707566</v>
      </c>
      <c r="AQ296" s="1513">
        <v>4.6848623516035648</v>
      </c>
      <c r="AR296" s="911"/>
      <c r="AS296" s="1493"/>
    </row>
    <row r="297" spans="1:45" x14ac:dyDescent="0.3">
      <c r="A297" s="970">
        <v>41426</v>
      </c>
      <c r="B297" s="631">
        <f>VLOOKUP($A297, $J$277:$AE$369, HLOOKUP("Detached_" &amp;'Personalized Bill Menu'!$B$22, $J$278:$AE$279, 2, FALSE), FALSE)</f>
        <v>529.52087601301878</v>
      </c>
      <c r="C297" s="631">
        <f>VLOOKUP($A297, $J$277:$AE$369, HLOOKUP("Attached_" &amp;'Personalized Bill Menu'!$B$22, $J$278:$AE$279, 2, FALSE), FALSE)</f>
        <v>401.8574501720347</v>
      </c>
      <c r="D297" s="631">
        <f>VLOOKUP($A297, $J$277:$AE$369, HLOOKUP("Apartment_" &amp;'Personalized Bill Menu'!$B$22, $J$278:$AE$279, 2, FALSE), FALSE)</f>
        <v>297.40125356712997</v>
      </c>
      <c r="E297" s="634">
        <v>41426</v>
      </c>
      <c r="F297" s="631">
        <f>VLOOKUP($A297, $J$277:$AE$369, HLOOKUP("Detached_" &amp;'Personalized Bill Menu'!$B$23, $J$278:$AE$279, 2, FALSE), FALSE)</f>
        <v>3.6507685773041474</v>
      </c>
      <c r="G297" s="631">
        <f>VLOOKUP($A297, $J$277:$AE$369, HLOOKUP("Attached_" &amp;'Personalized Bill Menu'!$B$23, $J$278:$AE$279, 2, FALSE), FALSE)</f>
        <v>2.3316540531971977</v>
      </c>
      <c r="H297" s="631">
        <f>VLOOKUP($A297, $J$277:$AE$369, HLOOKUP("Apartment_" &amp;'Personalized Bill Menu'!$B$23, $J$278:$AE$279, 2, FALSE), FALSE)</f>
        <v>1.9269047221749882</v>
      </c>
      <c r="I297" s="1374"/>
      <c r="J297" s="634">
        <v>41426</v>
      </c>
      <c r="K297" s="1279">
        <f t="shared" si="61"/>
        <v>529.52087601301878</v>
      </c>
      <c r="L297" s="1279">
        <f t="shared" si="41"/>
        <v>401.8574501720347</v>
      </c>
      <c r="M297" s="1279">
        <f t="shared" si="42"/>
        <v>297.40125356712997</v>
      </c>
      <c r="N297" s="1279">
        <f t="shared" si="43"/>
        <v>468.88810516457113</v>
      </c>
      <c r="O297" s="1279">
        <f t="shared" si="44"/>
        <v>355.84277578661278</v>
      </c>
      <c r="P297" s="1279">
        <f t="shared" si="45"/>
        <v>263.34733260871718</v>
      </c>
      <c r="Q297" s="1279">
        <f t="shared" si="46"/>
        <v>609.12075502658934</v>
      </c>
      <c r="R297" s="1279">
        <f t="shared" si="47"/>
        <v>462.26640827628421</v>
      </c>
      <c r="S297" s="1279">
        <f t="shared" si="48"/>
        <v>342.10790230338444</v>
      </c>
      <c r="T297" s="1279">
        <f t="shared" si="49"/>
        <v>493.82383121563601</v>
      </c>
      <c r="U297" s="1279">
        <f t="shared" si="50"/>
        <v>374.76668935262478</v>
      </c>
      <c r="V297" s="1279">
        <f t="shared" si="51"/>
        <v>277.35228788457096</v>
      </c>
      <c r="W297" s="1280">
        <f t="shared" si="52"/>
        <v>2.7897580218700697</v>
      </c>
      <c r="X297" s="1283">
        <f t="shared" si="53"/>
        <v>1.7817482706438967</v>
      </c>
      <c r="Y297" s="1282">
        <f t="shared" si="54"/>
        <v>1.4724564957323361</v>
      </c>
      <c r="Z297" s="1279">
        <f t="shared" si="55"/>
        <v>3.6507685773041474</v>
      </c>
      <c r="AA297" s="1279">
        <f t="shared" si="56"/>
        <v>2.3316540531971977</v>
      </c>
      <c r="AB297" s="1279">
        <f t="shared" si="57"/>
        <v>1.9269047221749882</v>
      </c>
      <c r="AC297" s="1279">
        <f t="shared" si="58"/>
        <v>3.5919909660048792</v>
      </c>
      <c r="AD297" s="1279">
        <f t="shared" si="59"/>
        <v>2.2941142714440659</v>
      </c>
      <c r="AE297" s="1279">
        <f t="shared" si="60"/>
        <v>1.8958814309494565</v>
      </c>
      <c r="AF297" s="1374"/>
      <c r="AG297" s="632">
        <v>41426</v>
      </c>
      <c r="AH297" s="1513">
        <v>469.91311569797364</v>
      </c>
      <c r="AI297" s="1513">
        <v>416.10572952403402</v>
      </c>
      <c r="AJ297" s="1513">
        <v>540.55249716690946</v>
      </c>
      <c r="AK297" s="1513">
        <v>438.23445995119653</v>
      </c>
      <c r="AL297" s="1284">
        <v>2.8253958000744386</v>
      </c>
      <c r="AM297" s="1284">
        <v>3.6974053392790198</v>
      </c>
      <c r="AN297" s="1284">
        <v>3.6378768730817836</v>
      </c>
      <c r="AO297" s="1570"/>
      <c r="AP297" s="1513">
        <v>470.95388128869058</v>
      </c>
      <c r="AQ297" s="1513">
        <v>3.2449834042177264</v>
      </c>
      <c r="AR297" s="911"/>
      <c r="AS297" s="1493"/>
    </row>
    <row r="298" spans="1:45" ht="38.25" customHeight="1" x14ac:dyDescent="0.3">
      <c r="A298" s="1036">
        <v>41456</v>
      </c>
      <c r="B298" s="631">
        <f>VLOOKUP($A298, $J$277:$AE$369, HLOOKUP("Detached_" &amp;'Personalized Bill Menu'!$B$22, $J$278:$AE$279, 2, FALSE), FALSE)</f>
        <v>542.78935903304478</v>
      </c>
      <c r="C298" s="631">
        <f>VLOOKUP($A298, $J$277:$AE$369, HLOOKUP("Attached_" &amp;'Personalized Bill Menu'!$B$22, $J$278:$AE$279, 2, FALSE), FALSE)</f>
        <v>411.92700360347965</v>
      </c>
      <c r="D298" s="631">
        <f>VLOOKUP($A298, $J$277:$AE$369, HLOOKUP("Apartment_" &amp;'Personalized Bill Menu'!$B$22, $J$278:$AE$279, 2, FALSE), FALSE)</f>
        <v>304.8533931556604</v>
      </c>
      <c r="E298" s="722">
        <v>41456</v>
      </c>
      <c r="F298" s="631">
        <f>VLOOKUP($A298, $J$277:$AE$369, HLOOKUP("Detached_" &amp;'Personalized Bill Menu'!$B$23, $J$278:$AE$279, 2, FALSE), FALSE)</f>
        <v>3.0114309199989338</v>
      </c>
      <c r="G298" s="631">
        <f>VLOOKUP($A298, $J$277:$AE$369, HLOOKUP("Attached_" &amp;'Personalized Bill Menu'!$B$23, $J$278:$AE$279, 2, FALSE), FALSE)</f>
        <v>1.9233251743729756</v>
      </c>
      <c r="H298" s="631">
        <f>VLOOKUP($A298, $J$277:$AE$369, HLOOKUP("Apartment_" &amp;'Personalized Bill Menu'!$B$23, $J$278:$AE$279, 2, FALSE), FALSE)</f>
        <v>1.5894572163033838</v>
      </c>
      <c r="I298" s="1374"/>
      <c r="J298" s="634">
        <v>41456</v>
      </c>
      <c r="K298" s="1279">
        <f t="shared" si="61"/>
        <v>542.78935903304478</v>
      </c>
      <c r="L298" s="1279">
        <f t="shared" si="41"/>
        <v>411.92700360347965</v>
      </c>
      <c r="M298" s="1279">
        <f t="shared" si="42"/>
        <v>304.8533931556604</v>
      </c>
      <c r="N298" s="1279">
        <f t="shared" si="43"/>
        <v>505.4431043584915</v>
      </c>
      <c r="O298" s="1279">
        <f t="shared" si="44"/>
        <v>383.58464477148823</v>
      </c>
      <c r="P298" s="1279">
        <f t="shared" si="45"/>
        <v>283.87816165982724</v>
      </c>
      <c r="Q298" s="1279">
        <f t="shared" si="46"/>
        <v>646.39614127700622</v>
      </c>
      <c r="R298" s="1279">
        <f t="shared" si="47"/>
        <v>490.55498451818096</v>
      </c>
      <c r="S298" s="1279">
        <f t="shared" si="48"/>
        <v>363.04333110374091</v>
      </c>
      <c r="T298" s="1279">
        <f t="shared" si="49"/>
        <v>571.41991929675805</v>
      </c>
      <c r="U298" s="1279">
        <f t="shared" si="50"/>
        <v>433.65495516452387</v>
      </c>
      <c r="V298" s="1279">
        <f t="shared" si="51"/>
        <v>320.93352313442301</v>
      </c>
      <c r="W298" s="1280">
        <f t="shared" si="52"/>
        <v>2.5931986449077837</v>
      </c>
      <c r="X298" s="1283">
        <f t="shared" si="53"/>
        <v>1.6562107411392299</v>
      </c>
      <c r="Y298" s="1282">
        <f t="shared" si="54"/>
        <v>1.368710891584487</v>
      </c>
      <c r="Z298" s="1279">
        <f t="shared" si="55"/>
        <v>3.0114309199989338</v>
      </c>
      <c r="AA298" s="1279">
        <f t="shared" si="56"/>
        <v>1.9233251743729756</v>
      </c>
      <c r="AB298" s="1279">
        <f t="shared" si="57"/>
        <v>1.5894572163033838</v>
      </c>
      <c r="AC298" s="1279">
        <f t="shared" si="58"/>
        <v>2.655521511521961</v>
      </c>
      <c r="AD298" s="1279">
        <f t="shared" si="59"/>
        <v>1.6960147882791121</v>
      </c>
      <c r="AE298" s="1279">
        <f t="shared" si="60"/>
        <v>1.4016053967922146</v>
      </c>
      <c r="AF298" s="1374"/>
      <c r="AG298" s="632">
        <v>41456</v>
      </c>
      <c r="AH298" s="1513">
        <v>481.68797572515945</v>
      </c>
      <c r="AI298" s="1513">
        <v>448.54576039664067</v>
      </c>
      <c r="AJ298" s="1513">
        <v>573.63182167563411</v>
      </c>
      <c r="AK298" s="1513">
        <v>507.09561570150913</v>
      </c>
      <c r="AL298" s="1284">
        <v>2.6263254743398017</v>
      </c>
      <c r="AM298" s="1284">
        <v>3.0499004597810115</v>
      </c>
      <c r="AN298" s="1284">
        <v>2.6894444847342083</v>
      </c>
      <c r="AO298" s="1570"/>
      <c r="AP298" s="1513">
        <v>503.85754984348307</v>
      </c>
      <c r="AQ298" s="1513">
        <v>2.8011489062021355</v>
      </c>
      <c r="AR298" s="911"/>
      <c r="AS298" s="1493"/>
    </row>
    <row r="299" spans="1:45" x14ac:dyDescent="0.3">
      <c r="A299" s="970">
        <v>41487</v>
      </c>
      <c r="B299" s="631">
        <f>VLOOKUP($A299, $J$277:$AE$369, HLOOKUP("Detached_" &amp;'Personalized Bill Menu'!$B$22, $J$278:$AE$279, 2, FALSE), FALSE)</f>
        <v>552.5367918507244</v>
      </c>
      <c r="C299" s="631">
        <f>VLOOKUP($A299, $J$277:$AE$369, HLOOKUP("Attached_" &amp;'Personalized Bill Menu'!$B$22, $J$278:$AE$279, 2, FALSE), FALSE)</f>
        <v>419.32440505690153</v>
      </c>
      <c r="D299" s="631">
        <f>VLOOKUP($A299, $J$277:$AE$369, HLOOKUP("Apartment_" &amp;'Personalized Bill Menu'!$B$22, $J$278:$AE$279, 2, FALSE), FALSE)</f>
        <v>310.32796246984179</v>
      </c>
      <c r="E299" s="634">
        <v>41487</v>
      </c>
      <c r="F299" s="631">
        <f>VLOOKUP($A299, $J$277:$AE$369, HLOOKUP("Detached_" &amp;'Personalized Bill Menu'!$B$23, $J$278:$AE$279, 2, FALSE), FALSE)</f>
        <v>2.6293565011386297</v>
      </c>
      <c r="G299" s="631">
        <f>VLOOKUP($A299, $J$277:$AE$369, HLOOKUP("Attached_" &amp;'Personalized Bill Menu'!$B$23, $J$278:$AE$279, 2, FALSE), FALSE)</f>
        <v>1.6793038543427596</v>
      </c>
      <c r="H299" s="631">
        <f>VLOOKUP($A299, $J$277:$AE$369, HLOOKUP("Apartment_" &amp;'Personalized Bill Menu'!$B$23, $J$278:$AE$279, 2, FALSE), FALSE)</f>
        <v>1.3877952959885564</v>
      </c>
      <c r="I299" s="1374"/>
      <c r="J299" s="634">
        <v>41487</v>
      </c>
      <c r="K299" s="1279">
        <f t="shared" si="61"/>
        <v>552.5367918507244</v>
      </c>
      <c r="L299" s="1279">
        <f t="shared" si="41"/>
        <v>419.32440505690153</v>
      </c>
      <c r="M299" s="1279">
        <f t="shared" si="42"/>
        <v>310.32796246984179</v>
      </c>
      <c r="N299" s="1279">
        <f t="shared" si="43"/>
        <v>512.51403375083999</v>
      </c>
      <c r="O299" s="1279">
        <f t="shared" si="44"/>
        <v>388.95082726716339</v>
      </c>
      <c r="P299" s="1279">
        <f t="shared" si="45"/>
        <v>287.84949378369498</v>
      </c>
      <c r="Q299" s="1279">
        <f t="shared" si="46"/>
        <v>644.91102201440174</v>
      </c>
      <c r="R299" s="1279">
        <f t="shared" si="47"/>
        <v>489.42791613031079</v>
      </c>
      <c r="S299" s="1279">
        <f t="shared" si="48"/>
        <v>362.2092254992163</v>
      </c>
      <c r="T299" s="1279">
        <f t="shared" si="49"/>
        <v>535.21165011865264</v>
      </c>
      <c r="U299" s="1279">
        <f t="shared" si="50"/>
        <v>406.17622224541162</v>
      </c>
      <c r="V299" s="1279">
        <f t="shared" si="51"/>
        <v>300.59743228160482</v>
      </c>
      <c r="W299" s="1280">
        <f t="shared" si="52"/>
        <v>2.4329779822637572</v>
      </c>
      <c r="X299" s="1283">
        <f t="shared" si="53"/>
        <v>1.5538818343489373</v>
      </c>
      <c r="Y299" s="1282">
        <f t="shared" si="54"/>
        <v>1.2841451501792192</v>
      </c>
      <c r="Z299" s="1279">
        <f t="shared" si="55"/>
        <v>2.6293565011386297</v>
      </c>
      <c r="AA299" s="1279">
        <f t="shared" si="56"/>
        <v>1.6793038543427596</v>
      </c>
      <c r="AB299" s="1279">
        <f t="shared" si="57"/>
        <v>1.3877952959885564</v>
      </c>
      <c r="AC299" s="1279">
        <f t="shared" si="58"/>
        <v>2.4670666746942729</v>
      </c>
      <c r="AD299" s="1279">
        <f t="shared" si="59"/>
        <v>1.5756534246841696</v>
      </c>
      <c r="AE299" s="1279">
        <f t="shared" si="60"/>
        <v>1.3021374334549878</v>
      </c>
      <c r="AF299" s="1374"/>
      <c r="AG299" s="632">
        <v>41487</v>
      </c>
      <c r="AH299" s="1513">
        <v>490.33814748023843</v>
      </c>
      <c r="AI299" s="1513">
        <v>454.82072067140263</v>
      </c>
      <c r="AJ299" s="1513">
        <v>572.31388115338666</v>
      </c>
      <c r="AK299" s="1513">
        <v>474.96328371183307</v>
      </c>
      <c r="AL299" s="1284">
        <v>2.4640580720164547</v>
      </c>
      <c r="AM299" s="1284">
        <v>2.6629452292911098</v>
      </c>
      <c r="AN299" s="1284">
        <v>2.4985822306238186</v>
      </c>
      <c r="AO299" s="1570"/>
      <c r="AP299" s="1513">
        <v>503.25925664322148</v>
      </c>
      <c r="AQ299" s="1513">
        <v>2.5466651697971794</v>
      </c>
      <c r="AR299" s="911"/>
      <c r="AS299" s="1493"/>
    </row>
    <row r="300" spans="1:45" x14ac:dyDescent="0.3">
      <c r="A300" s="970">
        <v>41518</v>
      </c>
      <c r="B300" s="631">
        <f>VLOOKUP($A300, $J$277:$AE$369, HLOOKUP("Detached_" &amp;'Personalized Bill Menu'!$B$22, $J$278:$AE$279, 2, FALSE), FALSE)</f>
        <v>548.43636134944279</v>
      </c>
      <c r="C300" s="631">
        <f>VLOOKUP($A300, $J$277:$AE$369, HLOOKUP("Attached_" &amp;'Personalized Bill Menu'!$B$22, $J$278:$AE$279, 2, FALSE), FALSE)</f>
        <v>416.21255693061136</v>
      </c>
      <c r="D300" s="631">
        <f>VLOOKUP($A300, $J$277:$AE$369, HLOOKUP("Apartment_" &amp;'Personalized Bill Menu'!$B$22, $J$278:$AE$279, 2, FALSE), FALSE)</f>
        <v>308.0249877874686</v>
      </c>
      <c r="E300" s="634">
        <v>41518</v>
      </c>
      <c r="F300" s="631">
        <f>VLOOKUP($A300, $J$277:$AE$369, HLOOKUP("Detached_" &amp;'Personalized Bill Menu'!$B$23, $J$278:$AE$279, 2, FALSE), FALSE)</f>
        <v>4.5340172280842532</v>
      </c>
      <c r="G300" s="631">
        <f>VLOOKUP($A300, $J$277:$AE$369, HLOOKUP("Attached_" &amp;'Personalized Bill Menu'!$B$23, $J$278:$AE$279, 2, FALSE), FALSE)</f>
        <v>2.8957627478362711</v>
      </c>
      <c r="H300" s="631">
        <f>VLOOKUP($A300, $J$277:$AE$369, HLOOKUP("Apartment_" &amp;'Personalized Bill Menu'!$B$23, $J$278:$AE$279, 2, FALSE), FALSE)</f>
        <v>2.393090392398884</v>
      </c>
      <c r="I300" s="1374"/>
      <c r="J300" s="634">
        <v>41518</v>
      </c>
      <c r="K300" s="1279">
        <f t="shared" si="61"/>
        <v>548.43636134944279</v>
      </c>
      <c r="L300" s="1279">
        <f t="shared" si="41"/>
        <v>416.21255693061136</v>
      </c>
      <c r="M300" s="1279">
        <f t="shared" si="42"/>
        <v>308.0249877874686</v>
      </c>
      <c r="N300" s="1279">
        <f t="shared" si="43"/>
        <v>479.48229577941839</v>
      </c>
      <c r="O300" s="1279">
        <f t="shared" si="44"/>
        <v>363.88278822044617</v>
      </c>
      <c r="P300" s="1279">
        <f t="shared" si="45"/>
        <v>269.29747680908906</v>
      </c>
      <c r="Q300" s="1279">
        <f t="shared" si="46"/>
        <v>625.38735085128417</v>
      </c>
      <c r="R300" s="1279">
        <f t="shared" si="47"/>
        <v>474.61125248773357</v>
      </c>
      <c r="S300" s="1279">
        <f t="shared" si="48"/>
        <v>351.24390847175152</v>
      </c>
      <c r="T300" s="1279">
        <f t="shared" si="49"/>
        <v>549.0357943672268</v>
      </c>
      <c r="U300" s="1279">
        <f t="shared" si="50"/>
        <v>416.66747124086351</v>
      </c>
      <c r="V300" s="1279">
        <f t="shared" si="51"/>
        <v>308.36165464801007</v>
      </c>
      <c r="W300" s="1280">
        <f t="shared" si="52"/>
        <v>4.2392934624310294</v>
      </c>
      <c r="X300" s="1283">
        <f t="shared" si="53"/>
        <v>2.707530092654844</v>
      </c>
      <c r="Y300" s="1282">
        <f t="shared" si="54"/>
        <v>2.237532842324387</v>
      </c>
      <c r="Z300" s="1279">
        <f t="shared" si="55"/>
        <v>4.5340172280842532</v>
      </c>
      <c r="AA300" s="1279">
        <f t="shared" si="56"/>
        <v>2.8957627478362711</v>
      </c>
      <c r="AB300" s="1279">
        <f t="shared" si="57"/>
        <v>2.393090392398884</v>
      </c>
      <c r="AC300" s="1279">
        <f t="shared" si="58"/>
        <v>2.3427887207191733</v>
      </c>
      <c r="AD300" s="1279">
        <f t="shared" si="59"/>
        <v>1.4962802217617663</v>
      </c>
      <c r="AE300" s="1279">
        <f t="shared" si="60"/>
        <v>1.236542539857624</v>
      </c>
      <c r="AF300" s="1374"/>
      <c r="AG300" s="632">
        <v>41518</v>
      </c>
      <c r="AH300" s="1513">
        <v>486.69929930664375</v>
      </c>
      <c r="AI300" s="1513">
        <v>425.50734019820641</v>
      </c>
      <c r="AJ300" s="1513">
        <v>554.98797473171476</v>
      </c>
      <c r="AK300" s="1513">
        <v>487.23125460774537</v>
      </c>
      <c r="AL300" s="1284">
        <v>4.2934483385790605</v>
      </c>
      <c r="AM300" s="1284">
        <v>4.5919370544930471</v>
      </c>
      <c r="AN300" s="1284">
        <v>2.3727166872862235</v>
      </c>
      <c r="AO300" s="1570"/>
      <c r="AP300" s="1513">
        <v>488.30890756761858</v>
      </c>
      <c r="AQ300" s="1513">
        <v>4.2479511386056892</v>
      </c>
      <c r="AR300" s="911"/>
      <c r="AS300" s="1493"/>
    </row>
    <row r="301" spans="1:45" x14ac:dyDescent="0.3">
      <c r="A301" s="970">
        <v>41548</v>
      </c>
      <c r="B301" s="631">
        <f>VLOOKUP($A301, $J$277:$AE$369, HLOOKUP("Detached_" &amp;'Personalized Bill Menu'!$B$22, $J$278:$AE$279, 2, FALSE), FALSE)</f>
        <v>603.77371963474275</v>
      </c>
      <c r="C301" s="631">
        <f>VLOOKUP($A301, $J$277:$AE$369, HLOOKUP("Attached_" &amp;'Personalized Bill Menu'!$B$22, $J$278:$AE$279, 2, FALSE), FALSE)</f>
        <v>458.20850214664131</v>
      </c>
      <c r="D301" s="631">
        <f>VLOOKUP($A301, $J$277:$AE$369, HLOOKUP("Apartment_" &amp;'Personalized Bill Menu'!$B$22, $J$278:$AE$279, 2, FALSE), FALSE)</f>
        <v>339.10478174584125</v>
      </c>
      <c r="E301" s="634">
        <v>41548</v>
      </c>
      <c r="F301" s="631">
        <f>VLOOKUP($A301, $J$277:$AE$369, HLOOKUP("Detached_" &amp;'Personalized Bill Menu'!$B$23, $J$278:$AE$279, 2, FALSE), FALSE)</f>
        <v>10.594286816954245</v>
      </c>
      <c r="G301" s="631">
        <f>VLOOKUP($A301, $J$277:$AE$369, HLOOKUP("Attached_" &amp;'Personalized Bill Menu'!$B$23, $J$278:$AE$279, 2, FALSE), FALSE)</f>
        <v>6.766304484773987</v>
      </c>
      <c r="H301" s="631">
        <f>VLOOKUP($A301, $J$277:$AE$369, HLOOKUP("Apartment_" &amp;'Personalized Bill Menu'!$B$23, $J$278:$AE$279, 2, FALSE), FALSE)</f>
        <v>5.5917489326973149</v>
      </c>
      <c r="I301" s="1374"/>
      <c r="J301" s="634">
        <v>41548</v>
      </c>
      <c r="K301" s="1279">
        <f t="shared" si="61"/>
        <v>603.77371963474275</v>
      </c>
      <c r="L301" s="1279">
        <f t="shared" si="41"/>
        <v>458.20850214664131</v>
      </c>
      <c r="M301" s="1279">
        <f t="shared" si="42"/>
        <v>339.10478174584125</v>
      </c>
      <c r="N301" s="1279">
        <f t="shared" si="43"/>
        <v>522.4167153013085</v>
      </c>
      <c r="O301" s="1279">
        <f t="shared" si="44"/>
        <v>396.46604817346645</v>
      </c>
      <c r="P301" s="1279">
        <f t="shared" si="45"/>
        <v>293.41125733296258</v>
      </c>
      <c r="Q301" s="1279">
        <f t="shared" si="46"/>
        <v>681.01074819404118</v>
      </c>
      <c r="R301" s="1279">
        <f t="shared" si="47"/>
        <v>516.82427493619457</v>
      </c>
      <c r="S301" s="1279">
        <f t="shared" si="48"/>
        <v>382.48435402689864</v>
      </c>
      <c r="T301" s="1279">
        <f t="shared" si="49"/>
        <v>632.65554656536801</v>
      </c>
      <c r="U301" s="1279">
        <f t="shared" si="50"/>
        <v>480.12714190649422</v>
      </c>
      <c r="V301" s="1279">
        <f t="shared" si="51"/>
        <v>355.32603368051599</v>
      </c>
      <c r="W301" s="1280">
        <f t="shared" si="52"/>
        <v>9.8840100555865149</v>
      </c>
      <c r="X301" s="1283">
        <f t="shared" si="53"/>
        <v>6.3126685846979047</v>
      </c>
      <c r="Y301" s="1282">
        <f t="shared" si="54"/>
        <v>5.2168592028910812</v>
      </c>
      <c r="Z301" s="1279">
        <f t="shared" si="55"/>
        <v>10.594286816954245</v>
      </c>
      <c r="AA301" s="1279">
        <f t="shared" si="56"/>
        <v>6.766304484773987</v>
      </c>
      <c r="AB301" s="1279">
        <f t="shared" si="57"/>
        <v>5.5917489326973149</v>
      </c>
      <c r="AC301" s="1279">
        <f t="shared" si="58"/>
        <v>5.7681502683022625</v>
      </c>
      <c r="AD301" s="1279">
        <f t="shared" si="59"/>
        <v>3.6839724753161205</v>
      </c>
      <c r="AE301" s="1279">
        <f t="shared" si="60"/>
        <v>3.0444756370764021</v>
      </c>
      <c r="AF301" s="1374"/>
      <c r="AG301" s="632">
        <v>41548</v>
      </c>
      <c r="AH301" s="1513">
        <v>535.80737346253602</v>
      </c>
      <c r="AI301" s="1513">
        <v>463.6086649280727</v>
      </c>
      <c r="AJ301" s="1513">
        <v>604.34988874697774</v>
      </c>
      <c r="AK301" s="1513">
        <v>561.43799520913944</v>
      </c>
      <c r="AL301" s="1284">
        <v>10.010273392897263</v>
      </c>
      <c r="AM301" s="1284">
        <v>10.729623588407634</v>
      </c>
      <c r="AN301" s="1284">
        <v>5.8418355335832386</v>
      </c>
      <c r="AO301" s="1570"/>
      <c r="AP301" s="1513">
        <v>536.24747166657312</v>
      </c>
      <c r="AQ301" s="1513">
        <v>9.9374776852068845</v>
      </c>
      <c r="AR301" s="911"/>
      <c r="AS301" s="1493"/>
    </row>
    <row r="302" spans="1:45" x14ac:dyDescent="0.3">
      <c r="A302" s="970">
        <v>41579</v>
      </c>
      <c r="B302" s="631">
        <f>VLOOKUP($A302, $J$277:$AE$369, HLOOKUP("Detached_" &amp;'Personalized Bill Menu'!$B$22, $J$278:$AE$279, 2, FALSE), FALSE)</f>
        <v>654.080202180794</v>
      </c>
      <c r="C302" s="631">
        <f>VLOOKUP($A302, $J$277:$AE$369, HLOOKUP("Attached_" &amp;'Personalized Bill Menu'!$B$22, $J$278:$AE$279, 2, FALSE), FALSE)</f>
        <v>496.38647721590587</v>
      </c>
      <c r="D302" s="631">
        <f>VLOOKUP($A302, $J$277:$AE$369, HLOOKUP("Apartment_" &amp;'Personalized Bill Menu'!$B$22, $J$278:$AE$279, 2, FALSE), FALSE)</f>
        <v>367.35902373984482</v>
      </c>
      <c r="E302" s="634">
        <v>41579</v>
      </c>
      <c r="F302" s="631">
        <f>VLOOKUP($A302, $J$277:$AE$369, HLOOKUP("Detached_" &amp;'Personalized Bill Menu'!$B$23, $J$278:$AE$279, 2, FALSE), FALSE)</f>
        <v>16.963833197620971</v>
      </c>
      <c r="G302" s="631">
        <f>VLOOKUP($A302, $J$277:$AE$369, HLOOKUP("Attached_" &amp;'Personalized Bill Menu'!$B$23, $J$278:$AE$279, 2, FALSE), FALSE)</f>
        <v>10.834373528601473</v>
      </c>
      <c r="H302" s="631">
        <f>VLOOKUP($A302, $J$277:$AE$369, HLOOKUP("Apartment_" &amp;'Personalized Bill Menu'!$B$23, $J$278:$AE$279, 2, FALSE), FALSE)</f>
        <v>8.9536462261386038</v>
      </c>
      <c r="I302" s="1374"/>
      <c r="J302" s="634">
        <v>41579</v>
      </c>
      <c r="K302" s="1279">
        <f t="shared" si="61"/>
        <v>654.080202180794</v>
      </c>
      <c r="L302" s="1279">
        <f t="shared" si="41"/>
        <v>496.38647721590587</v>
      </c>
      <c r="M302" s="1279">
        <f t="shared" si="42"/>
        <v>367.35902373984482</v>
      </c>
      <c r="N302" s="1279">
        <f t="shared" si="43"/>
        <v>586.27477936017556</v>
      </c>
      <c r="O302" s="1279">
        <f t="shared" si="44"/>
        <v>444.92842228954913</v>
      </c>
      <c r="P302" s="1279">
        <f t="shared" si="45"/>
        <v>329.27663896715183</v>
      </c>
      <c r="Q302" s="1279">
        <f t="shared" si="46"/>
        <v>792.62144237285895</v>
      </c>
      <c r="R302" s="1279">
        <f t="shared" si="47"/>
        <v>601.52648594690402</v>
      </c>
      <c r="S302" s="1279">
        <f t="shared" si="48"/>
        <v>445.1696264380696</v>
      </c>
      <c r="T302" s="1279">
        <f t="shared" si="49"/>
        <v>704.54869689285124</v>
      </c>
      <c r="U302" s="1279">
        <f t="shared" si="50"/>
        <v>534.68740455934358</v>
      </c>
      <c r="V302" s="1279">
        <f t="shared" si="51"/>
        <v>395.70425859823945</v>
      </c>
      <c r="W302" s="1280">
        <f t="shared" si="52"/>
        <v>18.017189942771509</v>
      </c>
      <c r="X302" s="1283">
        <f t="shared" si="53"/>
        <v>11.507125983950614</v>
      </c>
      <c r="Y302" s="1282">
        <f t="shared" si="54"/>
        <v>9.5096163029557594</v>
      </c>
      <c r="Z302" s="1279">
        <f t="shared" si="55"/>
        <v>16.963833197620971</v>
      </c>
      <c r="AA302" s="1279">
        <f t="shared" si="56"/>
        <v>10.834373528601473</v>
      </c>
      <c r="AB302" s="1279">
        <f t="shared" si="57"/>
        <v>8.9536462261386038</v>
      </c>
      <c r="AC302" s="1279">
        <f t="shared" si="58"/>
        <v>12.636688690851479</v>
      </c>
      <c r="AD302" s="1279">
        <f t="shared" si="59"/>
        <v>8.0707351838698429</v>
      </c>
      <c r="AE302" s="1279">
        <f t="shared" si="60"/>
        <v>6.6697449031506757</v>
      </c>
      <c r="AF302" s="1374"/>
      <c r="AG302" s="632">
        <v>41579</v>
      </c>
      <c r="AH302" s="1513">
        <v>580.45089371619167</v>
      </c>
      <c r="AI302" s="1513">
        <v>520.27827552073461</v>
      </c>
      <c r="AJ302" s="1513">
        <v>703.39665238296413</v>
      </c>
      <c r="AK302" s="1513">
        <v>625.23818855014724</v>
      </c>
      <c r="AL302" s="1284">
        <v>18.247350628398308</v>
      </c>
      <c r="AM302" s="1284">
        <v>17.180537772087067</v>
      </c>
      <c r="AN302" s="1284">
        <v>12.798116135551625</v>
      </c>
      <c r="AO302" s="1570"/>
      <c r="AP302" s="1513">
        <v>604.45600582601537</v>
      </c>
      <c r="AQ302" s="1513">
        <v>17.344183079197038</v>
      </c>
      <c r="AR302" s="911"/>
      <c r="AS302" s="1493"/>
    </row>
    <row r="303" spans="1:45" x14ac:dyDescent="0.3">
      <c r="A303" s="970">
        <v>41609</v>
      </c>
      <c r="B303" s="631">
        <f>VLOOKUP($A303, $J$277:$AE$369, HLOOKUP("Detached_" &amp;'Personalized Bill Menu'!$B$22, $J$278:$AE$279, 2, FALSE), FALSE)</f>
        <v>767.71589655293087</v>
      </c>
      <c r="C303" s="631">
        <f>VLOOKUP($A303, $J$277:$AE$369, HLOOKUP("Attached_" &amp;'Personalized Bill Menu'!$B$22, $J$278:$AE$279, 2, FALSE), FALSE)</f>
        <v>582.62547638955277</v>
      </c>
      <c r="D303" s="631">
        <f>VLOOKUP($A303, $J$277:$AE$369, HLOOKUP("Apartment_" &amp;'Personalized Bill Menu'!$B$22, $J$278:$AE$279, 2, FALSE), FALSE)</f>
        <v>431.1816216527057</v>
      </c>
      <c r="E303" s="634">
        <v>41609</v>
      </c>
      <c r="F303" s="631">
        <f>VLOOKUP($A303, $J$277:$AE$369, HLOOKUP("Detached_" &amp;'Personalized Bill Menu'!$B$23, $J$278:$AE$279, 2, FALSE), FALSE)</f>
        <v>22.923188669247907</v>
      </c>
      <c r="G303" s="631">
        <f>VLOOKUP($A303, $J$277:$AE$369, HLOOKUP("Attached_" &amp;'Personalized Bill Menu'!$B$23, $J$278:$AE$279, 2, FALSE), FALSE)</f>
        <v>14.640463957407151</v>
      </c>
      <c r="H303" s="631">
        <f>VLOOKUP($A303, $J$277:$AE$369, HLOOKUP("Apartment_" &amp;'Personalized Bill Menu'!$B$23, $J$278:$AE$279, 2, FALSE), FALSE)</f>
        <v>12.099041491887499</v>
      </c>
      <c r="I303" s="1374"/>
      <c r="J303" s="634">
        <v>41609</v>
      </c>
      <c r="K303" s="1279">
        <f t="shared" si="61"/>
        <v>767.71589655293087</v>
      </c>
      <c r="L303" s="1279">
        <f t="shared" si="41"/>
        <v>582.62547638955277</v>
      </c>
      <c r="M303" s="1279">
        <f t="shared" si="42"/>
        <v>431.1816216527057</v>
      </c>
      <c r="N303" s="1279">
        <f t="shared" si="43"/>
        <v>682.38648171214675</v>
      </c>
      <c r="O303" s="1279">
        <f t="shared" si="44"/>
        <v>517.86832964441442</v>
      </c>
      <c r="P303" s="1279">
        <f t="shared" si="45"/>
        <v>383.25702398457724</v>
      </c>
      <c r="Q303" s="1279">
        <f t="shared" si="46"/>
        <v>965.67322420607456</v>
      </c>
      <c r="R303" s="1279">
        <f t="shared" si="47"/>
        <v>732.8568091606644</v>
      </c>
      <c r="S303" s="1279">
        <f t="shared" si="48"/>
        <v>542.36280461214119</v>
      </c>
      <c r="T303" s="1279">
        <f t="shared" si="49"/>
        <v>941.04867851826066</v>
      </c>
      <c r="U303" s="1279">
        <f t="shared" si="50"/>
        <v>714.16905275669149</v>
      </c>
      <c r="V303" s="1279">
        <f t="shared" si="51"/>
        <v>528.53262135059049</v>
      </c>
      <c r="W303" s="1280">
        <f t="shared" si="52"/>
        <v>24.703012590580187</v>
      </c>
      <c r="X303" s="1283">
        <f t="shared" si="53"/>
        <v>15.777192723495139</v>
      </c>
      <c r="Y303" s="1282">
        <f t="shared" si="54"/>
        <v>13.038446728356273</v>
      </c>
      <c r="Z303" s="1279">
        <f t="shared" si="55"/>
        <v>22.923188669247907</v>
      </c>
      <c r="AA303" s="1279">
        <f t="shared" si="56"/>
        <v>14.640463957407151</v>
      </c>
      <c r="AB303" s="1279">
        <f t="shared" si="57"/>
        <v>12.099041491887499</v>
      </c>
      <c r="AC303" s="1279">
        <f t="shared" si="58"/>
        <v>19.886766558749144</v>
      </c>
      <c r="AD303" s="1279">
        <f t="shared" si="59"/>
        <v>12.70117753832932</v>
      </c>
      <c r="AE303" s="1279">
        <f t="shared" si="60"/>
        <v>10.496393726260813</v>
      </c>
      <c r="AF303" s="1374"/>
      <c r="AG303" s="632">
        <v>41609</v>
      </c>
      <c r="AH303" s="1513">
        <v>681.29470482138527</v>
      </c>
      <c r="AI303" s="1513">
        <v>605.57075699438417</v>
      </c>
      <c r="AJ303" s="1513">
        <v>856.9681273937681</v>
      </c>
      <c r="AK303" s="1513">
        <v>835.11554799419173</v>
      </c>
      <c r="AL303" s="1284">
        <v>25.018581352021616</v>
      </c>
      <c r="AM303" s="1284">
        <v>23.216021060848647</v>
      </c>
      <c r="AN303" s="1284">
        <v>20.140810160476182</v>
      </c>
      <c r="AO303" s="1570"/>
      <c r="AP303" s="1513">
        <v>729.71069821545666</v>
      </c>
      <c r="AQ303" s="1513">
        <v>23.873234678876095</v>
      </c>
      <c r="AR303" s="911"/>
      <c r="AS303" s="1493"/>
    </row>
    <row r="304" spans="1:45" x14ac:dyDescent="0.3">
      <c r="A304" s="970">
        <v>41640</v>
      </c>
      <c r="B304" s="631">
        <f>VLOOKUP($A304, $J$277:$AE$369, HLOOKUP("Detached_" &amp;'Personalized Bill Menu'!$B$22, $J$278:$AE$279, 2, FALSE), FALSE)</f>
        <v>679.80526265539095</v>
      </c>
      <c r="C304" s="631">
        <f>VLOOKUP($A304, $J$277:$AE$369, HLOOKUP("Attached_" &amp;'Personalized Bill Menu'!$B$22, $J$278:$AE$279, 2, FALSE), FALSE)</f>
        <v>515.90942272408017</v>
      </c>
      <c r="D304" s="631">
        <f>VLOOKUP($A304, $J$277:$AE$369, HLOOKUP("Apartment_" &amp;'Personalized Bill Menu'!$B$22, $J$278:$AE$279, 2, FALSE), FALSE)</f>
        <v>381.80730251374388</v>
      </c>
      <c r="E304" s="634">
        <v>41640</v>
      </c>
      <c r="F304" s="631">
        <f>VLOOKUP($A304, $J$277:$AE$369, HLOOKUP("Detached_" &amp;'Personalized Bill Menu'!$B$23, $J$278:$AE$279, 2, FALSE), FALSE)</f>
        <v>17.678761695170117</v>
      </c>
      <c r="G304" s="631">
        <f>VLOOKUP($A304, $J$277:$AE$369, HLOOKUP("Attached_" &amp;'Personalized Bill Menu'!$B$23, $J$278:$AE$279, 2, FALSE), FALSE)</f>
        <v>11.290980375559599</v>
      </c>
      <c r="H304" s="631">
        <f>VLOOKUP($A304, $J$277:$AE$369, HLOOKUP("Apartment_" &amp;'Personalized Bill Menu'!$B$23, $J$278:$AE$279, 2, FALSE), FALSE)</f>
        <v>9.3309911793380707</v>
      </c>
      <c r="I304" s="1374"/>
      <c r="J304" s="634">
        <v>41640</v>
      </c>
      <c r="K304" s="1279">
        <f t="shared" si="61"/>
        <v>679.80526265539095</v>
      </c>
      <c r="L304" s="1279">
        <f t="shared" si="41"/>
        <v>515.90942272408017</v>
      </c>
      <c r="M304" s="1279">
        <f t="shared" si="42"/>
        <v>381.80730251374388</v>
      </c>
      <c r="N304" s="1279">
        <f t="shared" si="43"/>
        <v>638.63217810626213</v>
      </c>
      <c r="O304" s="1279">
        <f t="shared" si="44"/>
        <v>484.66285337782517</v>
      </c>
      <c r="P304" s="1279">
        <f t="shared" si="45"/>
        <v>358.68276198508062</v>
      </c>
      <c r="Q304" s="1279">
        <f t="shared" si="46"/>
        <v>841.73614748609509</v>
      </c>
      <c r="R304" s="1279">
        <f t="shared" si="47"/>
        <v>638.8000119906086</v>
      </c>
      <c r="S304" s="1279">
        <f t="shared" si="48"/>
        <v>472.75451596921857</v>
      </c>
      <c r="T304" s="1279">
        <f t="shared" si="49"/>
        <v>864.12722053522555</v>
      </c>
      <c r="U304" s="1279">
        <f t="shared" si="50"/>
        <v>655.79276889547157</v>
      </c>
      <c r="V304" s="1279">
        <f t="shared" si="51"/>
        <v>485.33028681259674</v>
      </c>
      <c r="W304" s="1280">
        <f t="shared" si="52"/>
        <v>19.589778160482833</v>
      </c>
      <c r="X304" s="1283">
        <f t="shared" si="53"/>
        <v>12.511498519266015</v>
      </c>
      <c r="Y304" s="1282">
        <f t="shared" si="54"/>
        <v>10.339640885062337</v>
      </c>
      <c r="Z304" s="1279">
        <f t="shared" si="55"/>
        <v>17.678761695170117</v>
      </c>
      <c r="AA304" s="1279">
        <f t="shared" si="56"/>
        <v>11.290980375559599</v>
      </c>
      <c r="AB304" s="1279">
        <f t="shared" si="57"/>
        <v>9.3309911793380707</v>
      </c>
      <c r="AC304" s="1279">
        <f t="shared" si="58"/>
        <v>20.430361336930126</v>
      </c>
      <c r="AD304" s="1279">
        <f t="shared" si="59"/>
        <v>13.048357848722608</v>
      </c>
      <c r="AE304" s="1279">
        <f t="shared" si="60"/>
        <v>10.783307378234905</v>
      </c>
      <c r="AF304" s="1374"/>
      <c r="AG304" s="632">
        <v>41640</v>
      </c>
      <c r="AH304" s="1513">
        <v>603.280103794095</v>
      </c>
      <c r="AI304" s="1513">
        <v>566.74184190524454</v>
      </c>
      <c r="AJ304" s="1513">
        <v>746.98255267857508</v>
      </c>
      <c r="AK304" s="1513">
        <v>766.853079747425</v>
      </c>
      <c r="AL304" s="1284">
        <v>19.840027882388139</v>
      </c>
      <c r="AM304" s="1284">
        <v>17.904599127406637</v>
      </c>
      <c r="AN304" s="1284">
        <v>20.691349092947963</v>
      </c>
      <c r="AO304" s="1570"/>
      <c r="AP304" s="1513">
        <v>655.9684214757076</v>
      </c>
      <c r="AQ304" s="1513">
        <v>19.146506328872562</v>
      </c>
      <c r="AR304" s="911"/>
      <c r="AS304" s="1493"/>
    </row>
    <row r="305" spans="1:45" x14ac:dyDescent="0.3">
      <c r="A305" s="970">
        <v>41671</v>
      </c>
      <c r="B305" s="631">
        <f>VLOOKUP($A305, $J$277:$AE$369, HLOOKUP("Detached_" &amp;'Personalized Bill Menu'!$B$22, $J$278:$AE$279, 2, FALSE), FALSE)</f>
        <v>651.69079712842574</v>
      </c>
      <c r="C305" s="631">
        <f>VLOOKUP($A305, $J$277:$AE$369, HLOOKUP("Attached_" &amp;'Personalized Bill Menu'!$B$22, $J$278:$AE$279, 2, FALSE), FALSE)</f>
        <v>494.57313941324423</v>
      </c>
      <c r="D305" s="631">
        <f>VLOOKUP($A305, $J$277:$AE$369, HLOOKUP("Apartment_" &amp;'Personalized Bill Menu'!$B$22, $J$278:$AE$279, 2, FALSE), FALSE)</f>
        <v>366.01703310256443</v>
      </c>
      <c r="E305" s="634">
        <v>41671</v>
      </c>
      <c r="F305" s="631">
        <f>VLOOKUP($A305, $J$277:$AE$369, HLOOKUP("Detached_" &amp;'Personalized Bill Menu'!$B$23, $J$278:$AE$279, 2, FALSE), FALSE)</f>
        <v>23.856327590100207</v>
      </c>
      <c r="G305" s="631">
        <f>VLOOKUP($A305, $J$277:$AE$369, HLOOKUP("Attached_" &amp;'Personalized Bill Menu'!$B$23, $J$278:$AE$279, 2, FALSE), FALSE)</f>
        <v>15.236436312523669</v>
      </c>
      <c r="H305" s="631">
        <f>VLOOKUP($A305, $J$277:$AE$369, HLOOKUP("Apartment_" &amp;'Personalized Bill Menu'!$B$23, $J$278:$AE$279, 2, FALSE), FALSE)</f>
        <v>12.591559643877108</v>
      </c>
      <c r="I305" s="1374"/>
      <c r="J305" s="634">
        <v>41671</v>
      </c>
      <c r="K305" s="1279">
        <f t="shared" si="61"/>
        <v>651.69079712842574</v>
      </c>
      <c r="L305" s="1279">
        <f t="shared" si="41"/>
        <v>494.57313941324423</v>
      </c>
      <c r="M305" s="1279">
        <f t="shared" si="42"/>
        <v>366.01703310256443</v>
      </c>
      <c r="N305" s="1279">
        <f t="shared" si="43"/>
        <v>587.32732608160268</v>
      </c>
      <c r="O305" s="1279">
        <f t="shared" si="44"/>
        <v>445.72720806140461</v>
      </c>
      <c r="P305" s="1279">
        <f t="shared" si="45"/>
        <v>329.86779359120999</v>
      </c>
      <c r="Q305" s="1279">
        <f t="shared" si="46"/>
        <v>807.68848955756266</v>
      </c>
      <c r="R305" s="1279">
        <f t="shared" si="47"/>
        <v>612.96098350412205</v>
      </c>
      <c r="S305" s="1279">
        <f t="shared" si="48"/>
        <v>453.63191550592467</v>
      </c>
      <c r="T305" s="1279">
        <f t="shared" si="49"/>
        <v>731.37184038750581</v>
      </c>
      <c r="U305" s="1279">
        <f t="shared" si="50"/>
        <v>555.04369368531843</v>
      </c>
      <c r="V305" s="1279">
        <f t="shared" si="51"/>
        <v>410.76926710174774</v>
      </c>
      <c r="W305" s="1280">
        <f t="shared" si="52"/>
        <v>24.274902201652335</v>
      </c>
      <c r="X305" s="1283">
        <f t="shared" si="53"/>
        <v>15.503769387443374</v>
      </c>
      <c r="Y305" s="1282">
        <f t="shared" si="54"/>
        <v>12.812486656505758</v>
      </c>
      <c r="Z305" s="1279">
        <f t="shared" si="55"/>
        <v>23.856327590100207</v>
      </c>
      <c r="AA305" s="1279">
        <f t="shared" si="56"/>
        <v>15.236436312523669</v>
      </c>
      <c r="AB305" s="1279">
        <f t="shared" si="57"/>
        <v>12.591559643877108</v>
      </c>
      <c r="AC305" s="1279">
        <f t="shared" si="58"/>
        <v>25.682146719020633</v>
      </c>
      <c r="AD305" s="1279">
        <f t="shared" si="59"/>
        <v>16.402541060663012</v>
      </c>
      <c r="AE305" s="1279">
        <f t="shared" si="60"/>
        <v>13.555241517120395</v>
      </c>
      <c r="AF305" s="1374"/>
      <c r="AG305" s="632">
        <v>41671</v>
      </c>
      <c r="AH305" s="1513">
        <v>578.33046216441414</v>
      </c>
      <c r="AI305" s="1513">
        <v>521.21233786216226</v>
      </c>
      <c r="AJ305" s="1513">
        <v>716.76761358140129</v>
      </c>
      <c r="AK305" s="1513">
        <v>649.04187128177398</v>
      </c>
      <c r="AL305" s="1284">
        <v>24.585002064727671</v>
      </c>
      <c r="AM305" s="1284">
        <v>24.161080369646605</v>
      </c>
      <c r="AN305" s="1284">
        <v>26.010223434423711</v>
      </c>
      <c r="AO305" s="1570"/>
      <c r="AP305" s="1513">
        <v>611.81416366048006</v>
      </c>
      <c r="AQ305" s="1513">
        <v>24.542492751227204</v>
      </c>
      <c r="AR305" s="911"/>
      <c r="AS305" s="1493"/>
    </row>
    <row r="306" spans="1:45" x14ac:dyDescent="0.3">
      <c r="A306" s="970">
        <v>41699</v>
      </c>
      <c r="B306" s="631">
        <f>VLOOKUP($A306, $J$277:$AE$369, HLOOKUP("Detached_" &amp;'Personalized Bill Menu'!$B$22, $J$278:$AE$279, 2, FALSE), FALSE)</f>
        <v>672.47295275973647</v>
      </c>
      <c r="C306" s="631">
        <f>VLOOKUP($A306, $J$277:$AE$369, HLOOKUP("Attached_" &amp;'Personalized Bill Menu'!$B$22, $J$278:$AE$279, 2, FALSE), FALSE)</f>
        <v>510.34487656166141</v>
      </c>
      <c r="D306" s="631">
        <f>VLOOKUP($A306, $J$277:$AE$369, HLOOKUP("Apartment_" &amp;'Personalized Bill Menu'!$B$22, $J$278:$AE$279, 2, FALSE), FALSE)</f>
        <v>377.68916807695035</v>
      </c>
      <c r="E306" s="634">
        <v>41699</v>
      </c>
      <c r="F306" s="631">
        <f>VLOOKUP($A306, $J$277:$AE$369, HLOOKUP("Detached_" &amp;'Personalized Bill Menu'!$B$23, $J$278:$AE$279, 2, FALSE), FALSE)</f>
        <v>20.574128672770144</v>
      </c>
      <c r="G306" s="631">
        <f>VLOOKUP($A306, $J$277:$AE$369, HLOOKUP("Attached_" &amp;'Personalized Bill Menu'!$B$23, $J$278:$AE$279, 2, FALSE), FALSE)</f>
        <v>13.140178429575826</v>
      </c>
      <c r="H306" s="631">
        <f>VLOOKUP($A306, $J$277:$AE$369, HLOOKUP("Apartment_" &amp;'Personalized Bill Menu'!$B$23, $J$278:$AE$279, 2, FALSE), FALSE)</f>
        <v>10.859188922753187</v>
      </c>
      <c r="I306" s="1374"/>
      <c r="J306" s="634">
        <v>41699</v>
      </c>
      <c r="K306" s="1279">
        <f t="shared" si="61"/>
        <v>672.47295275973647</v>
      </c>
      <c r="L306" s="1279">
        <f t="shared" si="41"/>
        <v>510.34487656166141</v>
      </c>
      <c r="M306" s="1279">
        <f t="shared" si="42"/>
        <v>377.68916807695035</v>
      </c>
      <c r="N306" s="1279">
        <f t="shared" si="43"/>
        <v>588.77646846108735</v>
      </c>
      <c r="O306" s="1279">
        <f t="shared" si="44"/>
        <v>446.82697331700831</v>
      </c>
      <c r="P306" s="1279">
        <f t="shared" si="45"/>
        <v>330.6816930610496</v>
      </c>
      <c r="Q306" s="1279">
        <f t="shared" si="46"/>
        <v>787.06834316291747</v>
      </c>
      <c r="R306" s="1279">
        <f t="shared" si="47"/>
        <v>597.31219640677921</v>
      </c>
      <c r="S306" s="1279">
        <f t="shared" si="48"/>
        <v>442.05077175068874</v>
      </c>
      <c r="T306" s="1279">
        <f t="shared" si="49"/>
        <v>753.64986313354518</v>
      </c>
      <c r="U306" s="1279">
        <f t="shared" si="50"/>
        <v>571.95065584893644</v>
      </c>
      <c r="V306" s="1279">
        <f t="shared" si="51"/>
        <v>423.28154412764212</v>
      </c>
      <c r="W306" s="1280">
        <f t="shared" si="52"/>
        <v>19.519543370436985</v>
      </c>
      <c r="X306" s="1283">
        <f t="shared" si="53"/>
        <v>12.466641325659188</v>
      </c>
      <c r="Y306" s="1282">
        <f t="shared" si="54"/>
        <v>10.302570403673387</v>
      </c>
      <c r="Z306" s="1279">
        <f t="shared" si="55"/>
        <v>20.574128672770144</v>
      </c>
      <c r="AA306" s="1279">
        <f t="shared" si="56"/>
        <v>13.140178429575826</v>
      </c>
      <c r="AB306" s="1279">
        <f t="shared" si="57"/>
        <v>10.859188922753187</v>
      </c>
      <c r="AC306" s="1279">
        <f t="shared" si="58"/>
        <v>18.806637138917647</v>
      </c>
      <c r="AD306" s="1279">
        <f t="shared" si="59"/>
        <v>12.011326049143067</v>
      </c>
      <c r="AE306" s="1279">
        <f t="shared" si="60"/>
        <v>9.9262928185855444</v>
      </c>
      <c r="AF306" s="1374"/>
      <c r="AG306" s="632">
        <v>41699</v>
      </c>
      <c r="AH306" s="1513">
        <v>596.77318641951854</v>
      </c>
      <c r="AI306" s="1513">
        <v>522.49835139152663</v>
      </c>
      <c r="AJ306" s="1513">
        <v>698.46866130701005</v>
      </c>
      <c r="AK306" s="1513">
        <v>668.81207403375072</v>
      </c>
      <c r="AL306" s="1284">
        <v>19.768895877655474</v>
      </c>
      <c r="AM306" s="1284">
        <v>20.836952985359389</v>
      </c>
      <c r="AN306" s="1284">
        <v>19.046882621813516</v>
      </c>
      <c r="AO306" s="1570"/>
      <c r="AP306" s="1513">
        <v>613.30378147298279</v>
      </c>
      <c r="AQ306" s="1513">
        <v>20.128310686777613</v>
      </c>
      <c r="AR306" s="911"/>
      <c r="AS306" s="1493"/>
    </row>
    <row r="307" spans="1:45" x14ac:dyDescent="0.3">
      <c r="A307" s="970">
        <v>41730</v>
      </c>
      <c r="B307" s="631">
        <f>VLOOKUP($A307, $J$277:$AE$369, HLOOKUP("Detached_" &amp;'Personalized Bill Menu'!$B$22, $J$278:$AE$279, 2, FALSE), FALSE)</f>
        <v>549.22593994361023</v>
      </c>
      <c r="C307" s="631">
        <f>VLOOKUP($A307, $J$277:$AE$369, HLOOKUP("Attached_" &amp;'Personalized Bill Menu'!$B$22, $J$278:$AE$279, 2, FALSE), FALSE)</f>
        <v>416.81177417573986</v>
      </c>
      <c r="D307" s="631">
        <f>VLOOKUP($A307, $J$277:$AE$369, HLOOKUP("Apartment_" &amp;'Personalized Bill Menu'!$B$22, $J$278:$AE$279, 2, FALSE), FALSE)</f>
        <v>308.46844842203933</v>
      </c>
      <c r="E307" s="634">
        <v>41730</v>
      </c>
      <c r="F307" s="631">
        <f>VLOOKUP($A307, $J$277:$AE$369, HLOOKUP("Detached_" &amp;'Personalized Bill Menu'!$B$23, $J$278:$AE$279, 2, FALSE), FALSE)</f>
        <v>11.107498159818526</v>
      </c>
      <c r="G307" s="631">
        <f>VLOOKUP($A307, $J$277:$AE$369, HLOOKUP("Attached_" &amp;'Personalized Bill Menu'!$B$23, $J$278:$AE$279, 2, FALSE), FALSE)</f>
        <v>7.0940796593428201</v>
      </c>
      <c r="H307" s="631">
        <f>VLOOKUP($A307, $J$277:$AE$369, HLOOKUP("Apartment_" &amp;'Personalized Bill Menu'!$B$23, $J$278:$AE$279, 2, FALSE), FALSE)</f>
        <v>5.8626259656012172</v>
      </c>
      <c r="I307" s="1374"/>
      <c r="J307" s="634">
        <v>41730</v>
      </c>
      <c r="K307" s="1279">
        <f t="shared" si="61"/>
        <v>549.22593994361023</v>
      </c>
      <c r="L307" s="1279">
        <f t="shared" si="41"/>
        <v>416.81177417573986</v>
      </c>
      <c r="M307" s="1279">
        <f t="shared" si="42"/>
        <v>308.46844842203933</v>
      </c>
      <c r="N307" s="1279">
        <f t="shared" si="43"/>
        <v>503.79048654093782</v>
      </c>
      <c r="O307" s="1279">
        <f t="shared" si="44"/>
        <v>382.33046044683721</v>
      </c>
      <c r="P307" s="1279">
        <f t="shared" si="45"/>
        <v>282.94998180352303</v>
      </c>
      <c r="Q307" s="1279">
        <f t="shared" si="46"/>
        <v>645.8597012972707</v>
      </c>
      <c r="R307" s="1279">
        <f t="shared" si="47"/>
        <v>490.14787610717747</v>
      </c>
      <c r="S307" s="1279">
        <f t="shared" si="48"/>
        <v>362.74204378974855</v>
      </c>
      <c r="T307" s="1279">
        <f t="shared" si="49"/>
        <v>624.20417469404197</v>
      </c>
      <c r="U307" s="1279">
        <f t="shared" si="50"/>
        <v>473.7133310361117</v>
      </c>
      <c r="V307" s="1279">
        <f t="shared" si="51"/>
        <v>350.57938684796966</v>
      </c>
      <c r="W307" s="1280">
        <f t="shared" si="52"/>
        <v>10.895873620143991</v>
      </c>
      <c r="X307" s="1283">
        <f t="shared" si="53"/>
        <v>6.9589203893864404</v>
      </c>
      <c r="Y307" s="1282">
        <f t="shared" si="54"/>
        <v>5.7509288486264429</v>
      </c>
      <c r="Z307" s="1279">
        <f t="shared" si="55"/>
        <v>11.107498159818526</v>
      </c>
      <c r="AA307" s="1279">
        <f t="shared" si="56"/>
        <v>7.0940796593428201</v>
      </c>
      <c r="AB307" s="1279">
        <f t="shared" si="57"/>
        <v>5.8626259656012172</v>
      </c>
      <c r="AC307" s="1279">
        <f t="shared" si="58"/>
        <v>10.523135669054513</v>
      </c>
      <c r="AD307" s="1279">
        <f t="shared" si="59"/>
        <v>6.7208620364573788</v>
      </c>
      <c r="AE307" s="1279">
        <f t="shared" si="60"/>
        <v>5.5541947903371307</v>
      </c>
      <c r="AF307" s="1374"/>
      <c r="AG307" s="632">
        <v>41730</v>
      </c>
      <c r="AH307" s="1513">
        <v>487.39999564191822</v>
      </c>
      <c r="AI307" s="1513">
        <v>447.07917650376021</v>
      </c>
      <c r="AJ307" s="1513">
        <v>573.15576833443163</v>
      </c>
      <c r="AK307" s="1513">
        <v>553.93798781022542</v>
      </c>
      <c r="AL307" s="1284">
        <v>11.035063013766464</v>
      </c>
      <c r="AM307" s="1284">
        <v>11.249390952211932</v>
      </c>
      <c r="AN307" s="1284">
        <v>10.657563519802967</v>
      </c>
      <c r="AO307" s="1570"/>
      <c r="AP307" s="1513">
        <v>509.04239495359315</v>
      </c>
      <c r="AQ307" s="1513">
        <v>11.086628204984903</v>
      </c>
      <c r="AR307" s="911"/>
      <c r="AS307" s="1493"/>
    </row>
    <row r="308" spans="1:45" x14ac:dyDescent="0.3">
      <c r="A308" s="970">
        <v>41760</v>
      </c>
      <c r="B308" s="631">
        <f>VLOOKUP($A308, $J$277:$AE$369, HLOOKUP("Detached_" &amp;'Personalized Bill Menu'!$B$22, $J$278:$AE$279, 2, FALSE), FALSE)</f>
        <v>544.89601415275456</v>
      </c>
      <c r="C308" s="631">
        <f>VLOOKUP($A308, $J$277:$AE$369, HLOOKUP("Attached_" &amp;'Personalized Bill Menu'!$B$22, $J$278:$AE$279, 2, FALSE), FALSE)</f>
        <v>413.52576031572227</v>
      </c>
      <c r="D308" s="631">
        <f>VLOOKUP($A308, $J$277:$AE$369, HLOOKUP("Apartment_" &amp;'Personalized Bill Menu'!$B$22, $J$278:$AE$279, 2, FALSE), FALSE)</f>
        <v>306.03657950735374</v>
      </c>
      <c r="E308" s="634">
        <v>41760</v>
      </c>
      <c r="F308" s="631">
        <f>VLOOKUP($A308, $J$277:$AE$369, HLOOKUP("Detached_" &amp;'Personalized Bill Menu'!$B$23, $J$278:$AE$279, 2, FALSE), FALSE)</f>
        <v>7.6720066184584503</v>
      </c>
      <c r="G308" s="631">
        <f>VLOOKUP($A308, $J$277:$AE$369, HLOOKUP("Attached_" &amp;'Personalized Bill Menu'!$B$23, $J$278:$AE$279, 2, FALSE), FALSE)</f>
        <v>4.8999176335887675</v>
      </c>
      <c r="H308" s="631">
        <f>VLOOKUP($A308, $J$277:$AE$369, HLOOKUP("Apartment_" &amp;'Personalized Bill Menu'!$B$23, $J$278:$AE$279, 2, FALSE), FALSE)</f>
        <v>4.049346177012894</v>
      </c>
      <c r="I308" s="1374"/>
      <c r="J308" s="634">
        <v>41760</v>
      </c>
      <c r="K308" s="1279">
        <f t="shared" si="61"/>
        <v>544.89601415275456</v>
      </c>
      <c r="L308" s="1279">
        <f t="shared" si="41"/>
        <v>413.52576031572227</v>
      </c>
      <c r="M308" s="1279">
        <f t="shared" si="42"/>
        <v>306.03657950735374</v>
      </c>
      <c r="N308" s="1279">
        <f t="shared" si="43"/>
        <v>481.65981030010096</v>
      </c>
      <c r="O308" s="1279">
        <f t="shared" si="44"/>
        <v>365.53532067503551</v>
      </c>
      <c r="P308" s="1279">
        <f t="shared" si="45"/>
        <v>270.52046078846985</v>
      </c>
      <c r="Q308" s="1279">
        <f t="shared" si="46"/>
        <v>618.28368008702626</v>
      </c>
      <c r="R308" s="1279">
        <f t="shared" si="47"/>
        <v>469.22022231404105</v>
      </c>
      <c r="S308" s="1279">
        <f t="shared" si="48"/>
        <v>347.25418741273415</v>
      </c>
      <c r="T308" s="1279">
        <f t="shared" si="49"/>
        <v>603.30787377178171</v>
      </c>
      <c r="U308" s="1279">
        <f t="shared" si="50"/>
        <v>457.85496815177362</v>
      </c>
      <c r="V308" s="1279">
        <f t="shared" si="51"/>
        <v>338.84314306474363</v>
      </c>
      <c r="W308" s="1280">
        <f t="shared" si="52"/>
        <v>6.6756160898537651</v>
      </c>
      <c r="X308" s="1283">
        <f t="shared" si="53"/>
        <v>4.2635480677304001</v>
      </c>
      <c r="Y308" s="1282">
        <f t="shared" si="54"/>
        <v>3.5234433228482627</v>
      </c>
      <c r="Z308" s="1279">
        <f t="shared" si="55"/>
        <v>7.6720066184584503</v>
      </c>
      <c r="AA308" s="1279">
        <f t="shared" si="56"/>
        <v>4.8999176335887675</v>
      </c>
      <c r="AB308" s="1279">
        <f t="shared" si="57"/>
        <v>4.049346177012894</v>
      </c>
      <c r="AC308" s="1279">
        <f t="shared" si="58"/>
        <v>6.3124183953447304</v>
      </c>
      <c r="AD308" s="1279">
        <f t="shared" si="59"/>
        <v>4.0315828366887727</v>
      </c>
      <c r="AE308" s="1279">
        <f t="shared" si="60"/>
        <v>3.331744687940728</v>
      </c>
      <c r="AF308" s="1374"/>
      <c r="AG308" s="632">
        <v>41760</v>
      </c>
      <c r="AH308" s="1513">
        <v>483.55748628809999</v>
      </c>
      <c r="AI308" s="1513">
        <v>427.43973357350814</v>
      </c>
      <c r="AJ308" s="1513">
        <v>548.68395875625595</v>
      </c>
      <c r="AK308" s="1513">
        <v>535.39396751233573</v>
      </c>
      <c r="AL308" s="1284">
        <v>6.7608937819412853</v>
      </c>
      <c r="AM308" s="1284">
        <v>7.7700127064803048</v>
      </c>
      <c r="AN308" s="1284">
        <v>6.3930564166150035</v>
      </c>
      <c r="AO308" s="1570"/>
      <c r="AP308" s="1513">
        <v>492.03298077902224</v>
      </c>
      <c r="AQ308" s="1513">
        <v>7.1272528085922717</v>
      </c>
      <c r="AR308" s="911"/>
      <c r="AS308" s="1493"/>
    </row>
    <row r="309" spans="1:45" x14ac:dyDescent="0.3">
      <c r="A309" s="970">
        <v>41791</v>
      </c>
      <c r="B309" s="631">
        <f>VLOOKUP($A309, $J$277:$AE$369, HLOOKUP("Detached_" &amp;'Personalized Bill Menu'!$B$22, $J$278:$AE$279, 2, FALSE), FALSE)</f>
        <v>508.11715523587856</v>
      </c>
      <c r="C309" s="631">
        <f>VLOOKUP($A309, $J$277:$AE$369, HLOOKUP("Attached_" &amp;'Personalized Bill Menu'!$B$22, $J$278:$AE$279, 2, FALSE), FALSE)</f>
        <v>385.61400247180791</v>
      </c>
      <c r="D309" s="631">
        <f>VLOOKUP($A309, $J$277:$AE$369, HLOOKUP("Apartment_" &amp;'Personalized Bill Menu'!$B$22, $J$278:$AE$279, 2, FALSE), FALSE)</f>
        <v>285.38002139579288</v>
      </c>
      <c r="E309" s="634">
        <v>41791</v>
      </c>
      <c r="F309" s="631">
        <f>VLOOKUP($A309, $J$277:$AE$369, HLOOKUP("Detached_" &amp;'Personalized Bill Menu'!$B$23, $J$278:$AE$279, 2, FALSE), FALSE)</f>
        <v>4.5897978449022441</v>
      </c>
      <c r="G309" s="631">
        <f>VLOOKUP($A309, $J$277:$AE$369, HLOOKUP("Attached_" &amp;'Personalized Bill Menu'!$B$23, $J$278:$AE$279, 2, FALSE), FALSE)</f>
        <v>2.9313884246052839</v>
      </c>
      <c r="H309" s="631">
        <f>VLOOKUP($A309, $J$277:$AE$369, HLOOKUP("Apartment_" &amp;'Personalized Bill Menu'!$B$23, $J$278:$AE$279, 2, FALSE), FALSE)</f>
        <v>2.4225318460754108</v>
      </c>
      <c r="I309" s="1374"/>
      <c r="J309" s="634">
        <v>41791</v>
      </c>
      <c r="K309" s="1279">
        <f t="shared" si="61"/>
        <v>508.11715523587856</v>
      </c>
      <c r="L309" s="1279">
        <f t="shared" si="41"/>
        <v>385.61400247180791</v>
      </c>
      <c r="M309" s="1279">
        <f t="shared" si="42"/>
        <v>285.38002139579288</v>
      </c>
      <c r="N309" s="1279">
        <f t="shared" si="43"/>
        <v>463.20919844014577</v>
      </c>
      <c r="O309" s="1279">
        <f t="shared" si="44"/>
        <v>351.53300995976696</v>
      </c>
      <c r="P309" s="1279">
        <f t="shared" si="45"/>
        <v>260.15781911596986</v>
      </c>
      <c r="Q309" s="1279">
        <f t="shared" si="46"/>
        <v>593.93617431908228</v>
      </c>
      <c r="R309" s="1279">
        <f t="shared" si="47"/>
        <v>450.74271362802972</v>
      </c>
      <c r="S309" s="1279">
        <f t="shared" si="48"/>
        <v>333.57960145280038</v>
      </c>
      <c r="T309" s="1279">
        <f t="shared" si="49"/>
        <v>535.87105815571431</v>
      </c>
      <c r="U309" s="1279">
        <f t="shared" si="50"/>
        <v>406.67665205734227</v>
      </c>
      <c r="V309" s="1279">
        <f t="shared" si="51"/>
        <v>300.96778364208564</v>
      </c>
      <c r="W309" s="1280">
        <f t="shared" si="52"/>
        <v>3.3957383343880139</v>
      </c>
      <c r="X309" s="1283">
        <f t="shared" si="53"/>
        <v>2.1687726524751683</v>
      </c>
      <c r="Y309" s="1282">
        <f t="shared" si="54"/>
        <v>1.7922977294371978</v>
      </c>
      <c r="Z309" s="1279">
        <f t="shared" si="55"/>
        <v>4.5897978449022441</v>
      </c>
      <c r="AA309" s="1279">
        <f t="shared" si="56"/>
        <v>2.9313884246052839</v>
      </c>
      <c r="AB309" s="1279">
        <f t="shared" si="57"/>
        <v>2.4225318460754108</v>
      </c>
      <c r="AC309" s="1279">
        <f t="shared" si="58"/>
        <v>3.2789549470616799</v>
      </c>
      <c r="AD309" s="1279">
        <f t="shared" si="59"/>
        <v>2.0941860407413126</v>
      </c>
      <c r="AE309" s="1279">
        <f t="shared" si="60"/>
        <v>1.7306585277880828</v>
      </c>
      <c r="AF309" s="1374"/>
      <c r="AG309" s="632">
        <v>41791</v>
      </c>
      <c r="AH309" s="1513">
        <v>450.91879541046126</v>
      </c>
      <c r="AI309" s="1513">
        <v>411.06609298935041</v>
      </c>
      <c r="AJ309" s="1513">
        <v>527.07723310450342</v>
      </c>
      <c r="AK309" s="1513">
        <v>475.54846269012955</v>
      </c>
      <c r="AL309" s="1284">
        <v>3.4391172112125608</v>
      </c>
      <c r="AM309" s="1284">
        <v>4.648430241087584</v>
      </c>
      <c r="AN309" s="1284">
        <v>3.3208419739039474</v>
      </c>
      <c r="AO309" s="1570"/>
      <c r="AP309" s="1513">
        <v>464.49515867832861</v>
      </c>
      <c r="AQ309" s="1513">
        <v>3.9060212169169208</v>
      </c>
      <c r="AR309" s="911"/>
      <c r="AS309" s="1493"/>
    </row>
    <row r="310" spans="1:45" x14ac:dyDescent="0.3">
      <c r="A310" s="970">
        <v>41821</v>
      </c>
      <c r="B310" s="631">
        <f>VLOOKUP($A310, $J$277:$AE$369, HLOOKUP("Detached_" &amp;'Personalized Bill Menu'!$B$22, $J$278:$AE$279, 2, FALSE), FALSE)</f>
        <v>550.27564308737453</v>
      </c>
      <c r="C310" s="631">
        <f>VLOOKUP($A310, $J$277:$AE$369, HLOOKUP("Attached_" &amp;'Personalized Bill Menu'!$B$22, $J$278:$AE$279, 2, FALSE), FALSE)</f>
        <v>417.60840193471847</v>
      </c>
      <c r="D310" s="631">
        <f>VLOOKUP($A310, $J$277:$AE$369, HLOOKUP("Apartment_" &amp;'Personalized Bill Menu'!$B$22, $J$278:$AE$279, 2, FALSE), FALSE)</f>
        <v>309.05800597296985</v>
      </c>
      <c r="E310" s="634">
        <v>41821</v>
      </c>
      <c r="F310" s="631">
        <f>VLOOKUP($A310, $J$277:$AE$369, HLOOKUP("Detached_" &amp;'Personalized Bill Menu'!$B$23, $J$278:$AE$279, 2, FALSE), FALSE)</f>
        <v>2.7320829657733774</v>
      </c>
      <c r="G310" s="631">
        <f>VLOOKUP($A310, $J$277:$AE$369, HLOOKUP("Attached_" &amp;'Personalized Bill Menu'!$B$23, $J$278:$AE$279, 2, FALSE), FALSE)</f>
        <v>1.7449126631632572</v>
      </c>
      <c r="H310" s="631">
        <f>VLOOKUP($A310, $J$277:$AE$369, HLOOKUP("Apartment_" &amp;'Personalized Bill Menu'!$B$23, $J$278:$AE$279, 2, FALSE), FALSE)</f>
        <v>1.4420151419211642</v>
      </c>
      <c r="I310" s="1374"/>
      <c r="J310" s="634">
        <v>41821</v>
      </c>
      <c r="K310" s="1279">
        <f t="shared" si="61"/>
        <v>550.27564308737453</v>
      </c>
      <c r="L310" s="1279">
        <f t="shared" si="41"/>
        <v>417.60840193471847</v>
      </c>
      <c r="M310" s="1279">
        <f t="shared" si="42"/>
        <v>309.05800597296985</v>
      </c>
      <c r="N310" s="1279">
        <f t="shared" si="43"/>
        <v>531.27837842151041</v>
      </c>
      <c r="O310" s="1279">
        <f t="shared" si="44"/>
        <v>403.19123221640933</v>
      </c>
      <c r="P310" s="1279">
        <f t="shared" si="45"/>
        <v>298.38834103262934</v>
      </c>
      <c r="Q310" s="1279">
        <f t="shared" si="46"/>
        <v>679.1626587506687</v>
      </c>
      <c r="R310" s="1279">
        <f t="shared" si="47"/>
        <v>515.42174569694077</v>
      </c>
      <c r="S310" s="1279">
        <f t="shared" si="48"/>
        <v>381.44638906260576</v>
      </c>
      <c r="T310" s="1279">
        <f t="shared" si="49"/>
        <v>580.01514777373916</v>
      </c>
      <c r="U310" s="1279">
        <f t="shared" si="50"/>
        <v>440.17793991521529</v>
      </c>
      <c r="V310" s="1279">
        <f t="shared" si="51"/>
        <v>325.76096590305752</v>
      </c>
      <c r="W310" s="1280">
        <f t="shared" si="52"/>
        <v>2.579392807202586</v>
      </c>
      <c r="X310" s="1283">
        <f t="shared" si="53"/>
        <v>1.647393299890495</v>
      </c>
      <c r="Y310" s="1282">
        <f t="shared" si="54"/>
        <v>1.3614240605229107</v>
      </c>
      <c r="Z310" s="1279">
        <f t="shared" si="55"/>
        <v>2.7320829657733774</v>
      </c>
      <c r="AA310" s="1279">
        <f t="shared" si="56"/>
        <v>1.7449126631632572</v>
      </c>
      <c r="AB310" s="1279">
        <f t="shared" si="57"/>
        <v>1.4420151419211642</v>
      </c>
      <c r="AC310" s="1279">
        <f t="shared" si="58"/>
        <v>2.1521169159270928</v>
      </c>
      <c r="AD310" s="1279">
        <f t="shared" si="59"/>
        <v>1.3745029364970363</v>
      </c>
      <c r="AE310" s="1279">
        <f t="shared" si="60"/>
        <v>1.1359044431775014</v>
      </c>
      <c r="AF310" s="1374"/>
      <c r="AG310" s="632">
        <v>41821</v>
      </c>
      <c r="AH310" s="1513">
        <v>488.33153450504716</v>
      </c>
      <c r="AI310" s="1513">
        <v>471.47277740355048</v>
      </c>
      <c r="AJ310" s="1513">
        <v>602.70983731980346</v>
      </c>
      <c r="AK310" s="1513">
        <v>514.72328587792504</v>
      </c>
      <c r="AL310" s="1284">
        <v>2.6123432738898047</v>
      </c>
      <c r="AM310" s="1284">
        <v>2.7669839736768869</v>
      </c>
      <c r="AN310" s="1284">
        <v>2.179609144542773</v>
      </c>
      <c r="AO310" s="1570"/>
      <c r="AP310" s="1513">
        <v>522.65731259745132</v>
      </c>
      <c r="AQ310" s="1513">
        <v>2.6354727480723614</v>
      </c>
      <c r="AR310" s="911"/>
      <c r="AS310" s="1493"/>
    </row>
    <row r="311" spans="1:45" x14ac:dyDescent="0.3">
      <c r="A311" s="970">
        <v>41852</v>
      </c>
      <c r="B311" s="631">
        <f>VLOOKUP($A311, $J$277:$AE$369, HLOOKUP("Detached_" &amp;'Personalized Bill Menu'!$B$22, $J$278:$AE$279, 2, FALSE), FALSE)</f>
        <v>548.4852192164833</v>
      </c>
      <c r="C311" s="631">
        <f>VLOOKUP($A311, $J$277:$AE$369, HLOOKUP("Attached_" &amp;'Personalized Bill Menu'!$B$22, $J$278:$AE$279, 2, FALSE), FALSE)</f>
        <v>416.24963554027363</v>
      </c>
      <c r="D311" s="631">
        <f>VLOOKUP($A311, $J$277:$AE$369, HLOOKUP("Apartment_" &amp;'Personalized Bill Menu'!$B$22, $J$278:$AE$279, 2, FALSE), FALSE)</f>
        <v>308.05242842590735</v>
      </c>
      <c r="E311" s="634">
        <v>41852</v>
      </c>
      <c r="F311" s="631">
        <f>VLOOKUP($A311, $J$277:$AE$369, HLOOKUP("Detached_" &amp;'Personalized Bill Menu'!$B$23, $J$278:$AE$279, 2, FALSE), FALSE)</f>
        <v>3.3502929773367698</v>
      </c>
      <c r="G311" s="631">
        <f>VLOOKUP($A311, $J$277:$AE$369, HLOOKUP("Attached_" &amp;'Personalized Bill Menu'!$B$23, $J$278:$AE$279, 2, FALSE), FALSE)</f>
        <v>2.1397478461299317</v>
      </c>
      <c r="H311" s="631">
        <f>VLOOKUP($A311, $J$277:$AE$369, HLOOKUP("Apartment_" &amp;'Personalized Bill Menu'!$B$23, $J$278:$AE$279, 2, FALSE), FALSE)</f>
        <v>1.7683113081539199</v>
      </c>
      <c r="I311" s="1374"/>
      <c r="J311" s="634">
        <v>41852</v>
      </c>
      <c r="K311" s="1279">
        <f t="shared" si="61"/>
        <v>548.4852192164833</v>
      </c>
      <c r="L311" s="1279">
        <f t="shared" si="41"/>
        <v>416.24963554027363</v>
      </c>
      <c r="M311" s="1279">
        <f t="shared" si="42"/>
        <v>308.05242842590735</v>
      </c>
      <c r="N311" s="1279">
        <f t="shared" si="43"/>
        <v>518.00040679701488</v>
      </c>
      <c r="O311" s="1279">
        <f t="shared" si="44"/>
        <v>393.11447781032763</v>
      </c>
      <c r="P311" s="1279">
        <f t="shared" si="45"/>
        <v>290.9308722436997</v>
      </c>
      <c r="Q311" s="1279">
        <f t="shared" si="46"/>
        <v>652.92069827259797</v>
      </c>
      <c r="R311" s="1279">
        <f t="shared" si="47"/>
        <v>495.50652081546974</v>
      </c>
      <c r="S311" s="1279">
        <f t="shared" si="48"/>
        <v>366.70779744937272</v>
      </c>
      <c r="T311" s="1279">
        <f t="shared" si="49"/>
        <v>530.14564437862271</v>
      </c>
      <c r="U311" s="1279">
        <f t="shared" si="50"/>
        <v>402.3315916718754</v>
      </c>
      <c r="V311" s="1279">
        <f t="shared" si="51"/>
        <v>297.75214982738459</v>
      </c>
      <c r="W311" s="1280">
        <f t="shared" si="52"/>
        <v>2.697764210813121</v>
      </c>
      <c r="X311" s="1283">
        <f t="shared" si="53"/>
        <v>1.7229941376776312</v>
      </c>
      <c r="Y311" s="1282">
        <f t="shared" si="54"/>
        <v>1.4239014298104624</v>
      </c>
      <c r="Z311" s="1279">
        <f t="shared" si="55"/>
        <v>3.3502929773367698</v>
      </c>
      <c r="AA311" s="1279">
        <f t="shared" si="56"/>
        <v>2.1397478461299317</v>
      </c>
      <c r="AB311" s="1279">
        <f t="shared" si="57"/>
        <v>1.7683113081539199</v>
      </c>
      <c r="AC311" s="1279">
        <f t="shared" si="58"/>
        <v>2.4019854411424948</v>
      </c>
      <c r="AD311" s="1279">
        <f t="shared" si="59"/>
        <v>1.5340876779695058</v>
      </c>
      <c r="AE311" s="1279">
        <f t="shared" si="60"/>
        <v>1.2677870402157378</v>
      </c>
      <c r="AF311" s="1374"/>
      <c r="AG311" s="632">
        <v>41852</v>
      </c>
      <c r="AH311" s="1513">
        <v>486.74265728093212</v>
      </c>
      <c r="AI311" s="1513">
        <v>459.68949689684842</v>
      </c>
      <c r="AJ311" s="1513">
        <v>579.42191427676539</v>
      </c>
      <c r="AK311" s="1513">
        <v>470.46755436615427</v>
      </c>
      <c r="AL311" s="1284">
        <v>2.7322268136048122</v>
      </c>
      <c r="AM311" s="1284">
        <v>3.393091312213838</v>
      </c>
      <c r="AN311" s="1284">
        <v>2.4326696165191741</v>
      </c>
      <c r="AO311" s="1570"/>
      <c r="AP311" s="1513">
        <v>505.4999402366127</v>
      </c>
      <c r="AQ311" s="1513">
        <v>2.965956936091811</v>
      </c>
      <c r="AR311" s="911"/>
      <c r="AS311" s="1493"/>
    </row>
    <row r="312" spans="1:45" x14ac:dyDescent="0.3">
      <c r="A312" s="970">
        <v>41883</v>
      </c>
      <c r="B312" s="631">
        <f>VLOOKUP($A312, $J$277:$AE$369, HLOOKUP("Detached_" &amp;'Personalized Bill Menu'!$B$22, $J$278:$AE$279, 2, FALSE), FALSE)</f>
        <v>539.49057792869712</v>
      </c>
      <c r="C312" s="631">
        <f>VLOOKUP($A312, $J$277:$AE$369, HLOOKUP("Attached_" &amp;'Personalized Bill Menu'!$B$22, $J$278:$AE$279, 2, FALSE), FALSE)</f>
        <v>409.4235333470279</v>
      </c>
      <c r="D312" s="631">
        <f>VLOOKUP($A312, $J$277:$AE$369, HLOOKUP("Apartment_" &amp;'Personalized Bill Menu'!$B$22, $J$278:$AE$279, 2, FALSE), FALSE)</f>
        <v>303.00065857971055</v>
      </c>
      <c r="E312" s="634">
        <v>41883</v>
      </c>
      <c r="F312" s="631">
        <f>VLOOKUP($A312, $J$277:$AE$369, HLOOKUP("Detached_" &amp;'Personalized Bill Menu'!$B$23, $J$278:$AE$279, 2, FALSE), FALSE)</f>
        <v>6.0677895827545711</v>
      </c>
      <c r="G312" s="631">
        <f>VLOOKUP($A312, $J$277:$AE$369, HLOOKUP("Attached_" &amp;'Personalized Bill Menu'!$B$23, $J$278:$AE$279, 2, FALSE), FALSE)</f>
        <v>3.8753445678621419</v>
      </c>
      <c r="H312" s="631">
        <f>VLOOKUP($A312, $J$277:$AE$369, HLOOKUP("Apartment_" &amp;'Personalized Bill Menu'!$B$23, $J$278:$AE$279, 2, FALSE), FALSE)</f>
        <v>3.2026276529441908</v>
      </c>
      <c r="I312" s="1374"/>
      <c r="J312" s="634">
        <v>41883</v>
      </c>
      <c r="K312" s="1279">
        <f t="shared" si="61"/>
        <v>539.49057792869712</v>
      </c>
      <c r="L312" s="1279">
        <f t="shared" si="41"/>
        <v>409.4235333470279</v>
      </c>
      <c r="M312" s="1279">
        <f t="shared" si="42"/>
        <v>303.00065857971055</v>
      </c>
      <c r="N312" s="1279">
        <f t="shared" si="43"/>
        <v>476.16181763691054</v>
      </c>
      <c r="O312" s="1279">
        <f t="shared" si="44"/>
        <v>361.36285191548473</v>
      </c>
      <c r="P312" s="1279">
        <f t="shared" si="45"/>
        <v>267.43255626155656</v>
      </c>
      <c r="Q312" s="1279">
        <f t="shared" si="46"/>
        <v>620.00578687844916</v>
      </c>
      <c r="R312" s="1279">
        <f t="shared" si="47"/>
        <v>470.52714235340915</v>
      </c>
      <c r="S312" s="1279">
        <f t="shared" si="48"/>
        <v>348.22139520707435</v>
      </c>
      <c r="T312" s="1279">
        <f t="shared" si="49"/>
        <v>564.59943077701405</v>
      </c>
      <c r="U312" s="1279">
        <f t="shared" si="50"/>
        <v>428.4788341660298</v>
      </c>
      <c r="V312" s="1279">
        <f t="shared" si="51"/>
        <v>317.102849165561</v>
      </c>
      <c r="W312" s="1280">
        <f t="shared" si="52"/>
        <v>5.4730342908115253</v>
      </c>
      <c r="X312" s="1283">
        <f t="shared" si="53"/>
        <v>3.4954893243003822</v>
      </c>
      <c r="Y312" s="1282">
        <f t="shared" si="54"/>
        <v>2.8887110744713116</v>
      </c>
      <c r="Z312" s="1279">
        <f t="shared" si="55"/>
        <v>6.0677895827545711</v>
      </c>
      <c r="AA312" s="1279">
        <f t="shared" si="56"/>
        <v>3.8753445678621419</v>
      </c>
      <c r="AB312" s="1279">
        <f t="shared" si="57"/>
        <v>3.2026276529441908</v>
      </c>
      <c r="AC312" s="1279">
        <f t="shared" si="58"/>
        <v>4.5302651595948795</v>
      </c>
      <c r="AD312" s="1279">
        <f t="shared" si="59"/>
        <v>2.8933663960774907</v>
      </c>
      <c r="AE312" s="1279">
        <f t="shared" si="60"/>
        <v>2.3911100207765785</v>
      </c>
      <c r="AF312" s="1374"/>
      <c r="AG312" s="632">
        <v>41883</v>
      </c>
      <c r="AH312" s="1513">
        <v>478.7605358885636</v>
      </c>
      <c r="AI312" s="1513">
        <v>422.56064574245369</v>
      </c>
      <c r="AJ312" s="1513">
        <v>550.21220930232562</v>
      </c>
      <c r="AK312" s="1513">
        <v>501.04290436172738</v>
      </c>
      <c r="AL312" s="1284">
        <v>5.5429495955196018</v>
      </c>
      <c r="AM312" s="1284">
        <v>6.1453025919997364</v>
      </c>
      <c r="AN312" s="1284">
        <v>4.5881370551854506</v>
      </c>
      <c r="AO312" s="1570"/>
      <c r="AP312" s="1513">
        <v>485.30515957339674</v>
      </c>
      <c r="AQ312" s="1513">
        <v>5.6954044717614627</v>
      </c>
      <c r="AR312" s="911"/>
      <c r="AS312" s="1493"/>
    </row>
    <row r="313" spans="1:45" x14ac:dyDescent="0.3">
      <c r="A313" s="970">
        <v>41913</v>
      </c>
      <c r="B313" s="631">
        <f>VLOOKUP($A313, $J$277:$AE$369, HLOOKUP("Detached_" &amp;'Personalized Bill Menu'!$B$22, $J$278:$AE$279, 2, FALSE), FALSE)</f>
        <v>577.81210120705612</v>
      </c>
      <c r="C313" s="631">
        <f>VLOOKUP($A313, $J$277:$AE$369, HLOOKUP("Attached_" &amp;'Personalized Bill Menu'!$B$22, $J$278:$AE$279, 2, FALSE), FALSE)</f>
        <v>438.50603099528121</v>
      </c>
      <c r="D313" s="631">
        <f>VLOOKUP($A313, $J$277:$AE$369, HLOOKUP("Apartment_" &amp;'Personalized Bill Menu'!$B$22, $J$278:$AE$279, 2, FALSE), FALSE)</f>
        <v>324.52364204997082</v>
      </c>
      <c r="E313" s="634">
        <v>41913</v>
      </c>
      <c r="F313" s="631">
        <f>VLOOKUP($A313, $J$277:$AE$369, HLOOKUP("Detached_" &amp;'Personalized Bill Menu'!$B$23, $J$278:$AE$279, 2, FALSE), FALSE)</f>
        <v>8.4870216904286888</v>
      </c>
      <c r="G313" s="631">
        <f>VLOOKUP($A313, $J$277:$AE$369, HLOOKUP("Attached_" &amp;'Personalized Bill Menu'!$B$23, $J$278:$AE$279, 2, FALSE), FALSE)</f>
        <v>5.4204472578958454</v>
      </c>
      <c r="H313" s="631">
        <f>VLOOKUP($A313, $J$277:$AE$369, HLOOKUP("Apartment_" &amp;'Personalized Bill Menu'!$B$23, $J$278:$AE$279, 2, FALSE), FALSE)</f>
        <v>4.4795176210716452</v>
      </c>
      <c r="I313" s="1374"/>
      <c r="J313" s="634">
        <v>41913</v>
      </c>
      <c r="K313" s="1279">
        <f t="shared" si="61"/>
        <v>577.81210120705612</v>
      </c>
      <c r="L313" s="1279">
        <f t="shared" si="41"/>
        <v>438.50603099528121</v>
      </c>
      <c r="M313" s="1279">
        <f t="shared" si="42"/>
        <v>324.52364204997082</v>
      </c>
      <c r="N313" s="1279">
        <f t="shared" si="43"/>
        <v>508.87143958873895</v>
      </c>
      <c r="O313" s="1279">
        <f t="shared" si="44"/>
        <v>386.18643464677223</v>
      </c>
      <c r="P313" s="1279">
        <f t="shared" si="45"/>
        <v>285.80365929610718</v>
      </c>
      <c r="Q313" s="1279">
        <f t="shared" si="46"/>
        <v>665.76276832348867</v>
      </c>
      <c r="R313" s="1279">
        <f t="shared" si="47"/>
        <v>505.25246617731932</v>
      </c>
      <c r="S313" s="1279">
        <f t="shared" si="48"/>
        <v>373.92044553284109</v>
      </c>
      <c r="T313" s="1279">
        <f t="shared" si="49"/>
        <v>651.27747613967369</v>
      </c>
      <c r="U313" s="1279">
        <f t="shared" si="50"/>
        <v>494.25946694787689</v>
      </c>
      <c r="V313" s="1279">
        <f t="shared" si="51"/>
        <v>365.78489460576714</v>
      </c>
      <c r="W313" s="1280">
        <f t="shared" si="52"/>
        <v>8.567880682561519</v>
      </c>
      <c r="X313" s="1283">
        <f t="shared" si="53"/>
        <v>5.472089862117878</v>
      </c>
      <c r="Y313" s="1282">
        <f t="shared" si="54"/>
        <v>4.5221956409109954</v>
      </c>
      <c r="Z313" s="1279">
        <f t="shared" si="55"/>
        <v>8.4870216904286888</v>
      </c>
      <c r="AA313" s="1279">
        <f t="shared" si="56"/>
        <v>5.4204472578958454</v>
      </c>
      <c r="AB313" s="1279">
        <f t="shared" si="57"/>
        <v>4.4795176210716452</v>
      </c>
      <c r="AC313" s="1279">
        <f t="shared" si="58"/>
        <v>7.8242811365042311</v>
      </c>
      <c r="AD313" s="1279">
        <f t="shared" si="59"/>
        <v>4.9971715377138759</v>
      </c>
      <c r="AE313" s="1279">
        <f t="shared" si="60"/>
        <v>4.1297178800327563</v>
      </c>
      <c r="AF313" s="1374"/>
      <c r="AG313" s="632">
        <v>41913</v>
      </c>
      <c r="AH313" s="1513">
        <v>512.76823457952776</v>
      </c>
      <c r="AI313" s="1513">
        <v>451.58817055019824</v>
      </c>
      <c r="AJ313" s="1513">
        <v>590.81836231685611</v>
      </c>
      <c r="AK313" s="1513">
        <v>577.9636684034765</v>
      </c>
      <c r="AL313" s="1284">
        <v>8.6773311184247497</v>
      </c>
      <c r="AM313" s="1284">
        <v>8.59543919268088</v>
      </c>
      <c r="AN313" s="1284">
        <v>7.9242324561403512</v>
      </c>
      <c r="AO313" s="1570"/>
      <c r="AP313" s="1513">
        <v>524.29412952604048</v>
      </c>
      <c r="AQ313" s="1513">
        <v>8.5784139376618072</v>
      </c>
      <c r="AR313" s="911"/>
      <c r="AS313" s="1493"/>
    </row>
    <row r="314" spans="1:45" x14ac:dyDescent="0.3">
      <c r="A314" s="970">
        <v>41944</v>
      </c>
      <c r="B314" s="631">
        <f>VLOOKUP($A314, $J$277:$AE$369, HLOOKUP("Detached_" &amp;'Personalized Bill Menu'!$B$22, $J$278:$AE$279, 2, FALSE), FALSE)</f>
        <v>681.40742022456311</v>
      </c>
      <c r="C314" s="631">
        <f>VLOOKUP($A314, $J$277:$AE$369, HLOOKUP("Attached_" &amp;'Personalized Bill Menu'!$B$22, $J$278:$AE$279, 2, FALSE), FALSE)</f>
        <v>517.12531237959115</v>
      </c>
      <c r="D314" s="631">
        <f>VLOOKUP($A314, $J$277:$AE$369, HLOOKUP("Apartment_" &amp;'Personalized Bill Menu'!$B$22, $J$278:$AE$279, 2, FALSE), FALSE)</f>
        <v>382.70714176667667</v>
      </c>
      <c r="E314" s="634">
        <v>41944</v>
      </c>
      <c r="F314" s="631">
        <f>VLOOKUP($A314, $J$277:$AE$369, HLOOKUP("Detached_" &amp;'Personalized Bill Menu'!$B$23, $J$278:$AE$279, 2, FALSE), FALSE)</f>
        <v>16.328982044219593</v>
      </c>
      <c r="G314" s="631">
        <f>VLOOKUP($A314, $J$277:$AE$369, HLOOKUP("Attached_" &amp;'Personalized Bill Menu'!$B$23, $J$278:$AE$279, 2, FALSE), FALSE)</f>
        <v>10.428910066960112</v>
      </c>
      <c r="H314" s="631">
        <f>VLOOKUP($A314, $J$277:$AE$369, HLOOKUP("Apartment_" &amp;'Personalized Bill Menu'!$B$23, $J$278:$AE$279, 2, FALSE), FALSE)</f>
        <v>8.6185667327485618</v>
      </c>
      <c r="I314" s="1374"/>
      <c r="J314" s="634">
        <v>41944</v>
      </c>
      <c r="K314" s="1279">
        <f t="shared" si="61"/>
        <v>681.40742022456311</v>
      </c>
      <c r="L314" s="1279">
        <f t="shared" si="41"/>
        <v>517.12531237959115</v>
      </c>
      <c r="M314" s="1279">
        <f t="shared" si="42"/>
        <v>382.70714176667667</v>
      </c>
      <c r="N314" s="1279">
        <f t="shared" si="43"/>
        <v>591.52847996879871</v>
      </c>
      <c r="O314" s="1279">
        <f t="shared" si="44"/>
        <v>448.91549593704144</v>
      </c>
      <c r="P314" s="1279">
        <f t="shared" si="45"/>
        <v>332.22733877456136</v>
      </c>
      <c r="Q314" s="1279">
        <f t="shared" si="46"/>
        <v>812.49398695317586</v>
      </c>
      <c r="R314" s="1279">
        <f t="shared" si="47"/>
        <v>616.60791229897848</v>
      </c>
      <c r="S314" s="1279">
        <f t="shared" si="48"/>
        <v>456.33088548842977</v>
      </c>
      <c r="T314" s="1279">
        <f t="shared" si="49"/>
        <v>700.86257451637744</v>
      </c>
      <c r="U314" s="1279">
        <f t="shared" si="50"/>
        <v>531.88997804353721</v>
      </c>
      <c r="V314" s="1279">
        <f t="shared" si="51"/>
        <v>393.6339768298995</v>
      </c>
      <c r="W314" s="1280">
        <f t="shared" si="52"/>
        <v>16.89065971292866</v>
      </c>
      <c r="X314" s="1283">
        <f t="shared" si="53"/>
        <v>10.787639464648457</v>
      </c>
      <c r="Y314" s="1282">
        <f t="shared" si="54"/>
        <v>8.9150246783176428</v>
      </c>
      <c r="Z314" s="1279">
        <f t="shared" si="55"/>
        <v>16.328982044219593</v>
      </c>
      <c r="AA314" s="1279">
        <f t="shared" si="56"/>
        <v>10.428910066960112</v>
      </c>
      <c r="AB314" s="1279">
        <f t="shared" si="57"/>
        <v>8.6185667327485618</v>
      </c>
      <c r="AC314" s="1279">
        <f t="shared" si="58"/>
        <v>17.151024568960036</v>
      </c>
      <c r="AD314" s="1279">
        <f t="shared" si="59"/>
        <v>10.953927948572012</v>
      </c>
      <c r="AE314" s="1279">
        <f t="shared" si="60"/>
        <v>9.0524473223313429</v>
      </c>
      <c r="AF314" s="1374"/>
      <c r="AG314" s="632">
        <v>41944</v>
      </c>
      <c r="AH314" s="1513">
        <v>604.70190771018895</v>
      </c>
      <c r="AI314" s="1513">
        <v>524.94057106709897</v>
      </c>
      <c r="AJ314" s="1513">
        <v>721.03215980789525</v>
      </c>
      <c r="AK314" s="1513">
        <v>621.96701015239466</v>
      </c>
      <c r="AL314" s="1284">
        <v>17.106429532338058</v>
      </c>
      <c r="AM314" s="1284">
        <v>16.537576709360096</v>
      </c>
      <c r="AN314" s="1284">
        <v>17.370120420562447</v>
      </c>
      <c r="AO314" s="1570"/>
      <c r="AP314" s="1513">
        <v>616.45033272241665</v>
      </c>
      <c r="AQ314" s="1513">
        <v>16.907322665594272</v>
      </c>
      <c r="AR314" s="911"/>
      <c r="AS314" s="1493"/>
    </row>
    <row r="315" spans="1:45" x14ac:dyDescent="0.3">
      <c r="A315" s="970">
        <v>41974</v>
      </c>
      <c r="B315" s="631">
        <f>VLOOKUP($A315, $J$277:$AE$369, HLOOKUP("Detached_" &amp;'Personalized Bill Menu'!$B$22, $J$278:$AE$279, 2, FALSE), FALSE)</f>
        <v>703.19710101169528</v>
      </c>
      <c r="C315" s="631">
        <f>VLOOKUP($A315, $J$277:$AE$369, HLOOKUP("Attached_" &amp;'Personalized Bill Menu'!$B$22, $J$278:$AE$279, 2, FALSE), FALSE)</f>
        <v>533.66166808875539</v>
      </c>
      <c r="D315" s="631">
        <f>VLOOKUP($A315, $J$277:$AE$369, HLOOKUP("Apartment_" &amp;'Personalized Bill Menu'!$B$22, $J$278:$AE$279, 2, FALSE), FALSE)</f>
        <v>394.94514535534233</v>
      </c>
      <c r="E315" s="634">
        <v>41974</v>
      </c>
      <c r="F315" s="631">
        <f>VLOOKUP($A315, $J$277:$AE$369, HLOOKUP("Detached_" &amp;'Personalized Bill Menu'!$B$23, $J$278:$AE$279, 2, FALSE), FALSE)</f>
        <v>17.155085931907376</v>
      </c>
      <c r="G315" s="631">
        <f>VLOOKUP($A315, $J$277:$AE$369, HLOOKUP("Attached_" &amp;'Personalized Bill Menu'!$B$23, $J$278:$AE$279, 2, FALSE), FALSE)</f>
        <v>10.95652183892062</v>
      </c>
      <c r="H315" s="631">
        <f>VLOOKUP($A315, $J$277:$AE$369, HLOOKUP("Apartment_" &amp;'Personalized Bill Menu'!$B$23, $J$278:$AE$279, 2, FALSE), FALSE)</f>
        <v>9.054590942031135</v>
      </c>
      <c r="I315" s="1374"/>
      <c r="J315" s="634">
        <v>41974</v>
      </c>
      <c r="K315" s="1279">
        <f t="shared" si="61"/>
        <v>703.19710101169528</v>
      </c>
      <c r="L315" s="1279">
        <f t="shared" si="41"/>
        <v>533.66166808875539</v>
      </c>
      <c r="M315" s="1279">
        <f t="shared" si="42"/>
        <v>394.94514535534233</v>
      </c>
      <c r="N315" s="1279">
        <f t="shared" si="43"/>
        <v>635.00100524112713</v>
      </c>
      <c r="O315" s="1279">
        <f t="shared" si="44"/>
        <v>481.90712846721533</v>
      </c>
      <c r="P315" s="1279">
        <f t="shared" si="45"/>
        <v>356.64334217949863</v>
      </c>
      <c r="Q315" s="1279">
        <f t="shared" si="46"/>
        <v>878.11759599072172</v>
      </c>
      <c r="R315" s="1279">
        <f t="shared" si="47"/>
        <v>666.41017202757564</v>
      </c>
      <c r="S315" s="1279">
        <f t="shared" si="48"/>
        <v>493.18787163468619</v>
      </c>
      <c r="T315" s="1279">
        <f t="shared" si="49"/>
        <v>969.18953379045718</v>
      </c>
      <c r="U315" s="1279">
        <f t="shared" si="50"/>
        <v>735.52536344739053</v>
      </c>
      <c r="V315" s="1279">
        <f t="shared" si="51"/>
        <v>544.33771235553263</v>
      </c>
      <c r="W315" s="1280">
        <f t="shared" si="52"/>
        <v>19.021730903674392</v>
      </c>
      <c r="X315" s="1283">
        <f t="shared" si="53"/>
        <v>12.148701025889155</v>
      </c>
      <c r="Y315" s="1282">
        <f t="shared" si="54"/>
        <v>10.03982102018035</v>
      </c>
      <c r="Z315" s="1279">
        <f t="shared" si="55"/>
        <v>17.155085931907376</v>
      </c>
      <c r="AA315" s="1279">
        <f t="shared" si="56"/>
        <v>10.95652183892062</v>
      </c>
      <c r="AB315" s="1279">
        <f t="shared" si="57"/>
        <v>9.054590942031135</v>
      </c>
      <c r="AC315" s="1279">
        <f t="shared" si="58"/>
        <v>19.168800783041576</v>
      </c>
      <c r="AD315" s="1279">
        <f t="shared" si="59"/>
        <v>12.242630858215842</v>
      </c>
      <c r="AE315" s="1279">
        <f t="shared" si="60"/>
        <v>10.117445673466808</v>
      </c>
      <c r="AF315" s="1374"/>
      <c r="AG315" s="632">
        <v>41974</v>
      </c>
      <c r="AH315" s="1513">
        <v>624.03874078434671</v>
      </c>
      <c r="AI315" s="1513">
        <v>563.51942739433571</v>
      </c>
      <c r="AJ315" s="1513">
        <v>779.26856933034196</v>
      </c>
      <c r="AK315" s="1513">
        <v>860.08860869565217</v>
      </c>
      <c r="AL315" s="1284">
        <v>19.264724102974856</v>
      </c>
      <c r="AM315" s="1284">
        <v>17.374233665411655</v>
      </c>
      <c r="AN315" s="1284">
        <v>19.413672727272726</v>
      </c>
      <c r="AO315" s="1570"/>
      <c r="AP315" s="1513">
        <v>680.46767316344483</v>
      </c>
      <c r="AQ315" s="1513">
        <v>18.539637816487613</v>
      </c>
      <c r="AR315" s="911"/>
      <c r="AS315" s="1493"/>
    </row>
    <row r="316" spans="1:45" x14ac:dyDescent="0.3">
      <c r="A316" s="970">
        <v>42005</v>
      </c>
      <c r="B316" s="631">
        <f>VLOOKUP($A316, $J$277:$AE$369, HLOOKUP("Detached_" &amp;'Personalized Bill Menu'!$B$22, $J$278:$AE$279, 2, FALSE), FALSE)</f>
        <v>672.43278272761768</v>
      </c>
      <c r="C316" s="631">
        <f>VLOOKUP($A316, $J$277:$AE$369, HLOOKUP("Attached_" &amp;'Personalized Bill Menu'!$B$22, $J$278:$AE$279, 2, FALSE), FALSE)</f>
        <v>510.31439121649021</v>
      </c>
      <c r="D316" s="631">
        <f>VLOOKUP($A316, $J$277:$AE$369, HLOOKUP("Apartment_" &amp;'Personalized Bill Menu'!$B$22, $J$278:$AE$279, 2, FALSE), FALSE)</f>
        <v>377.66660689296469</v>
      </c>
      <c r="E316" s="634">
        <v>42005</v>
      </c>
      <c r="F316" s="631">
        <f>VLOOKUP($A316, $J$277:$AE$369, HLOOKUP("Detached_" &amp;'Personalized Bill Menu'!$B$23, $J$278:$AE$279, 2, FALSE), FALSE)</f>
        <v>17.023240041667705</v>
      </c>
      <c r="G316" s="631">
        <f>VLOOKUP($A316, $J$277:$AE$369, HLOOKUP("Attached_" &amp;'Personalized Bill Menu'!$B$23, $J$278:$AE$279, 2, FALSE), FALSE)</f>
        <v>10.872315185481709</v>
      </c>
      <c r="H316" s="631">
        <f>VLOOKUP($A316, $J$277:$AE$369, HLOOKUP("Apartment_" &amp;'Personalized Bill Menu'!$B$23, $J$278:$AE$279, 2, FALSE), FALSE)</f>
        <v>8.9850016314181396</v>
      </c>
      <c r="I316" s="1374"/>
      <c r="J316" s="634">
        <v>42005</v>
      </c>
      <c r="K316" s="1279">
        <f t="shared" si="61"/>
        <v>672.43278272761768</v>
      </c>
      <c r="L316" s="1279">
        <f t="shared" si="41"/>
        <v>510.31439121649021</v>
      </c>
      <c r="M316" s="1279">
        <f t="shared" si="42"/>
        <v>377.66660689296469</v>
      </c>
      <c r="N316" s="1279">
        <f t="shared" si="43"/>
        <v>639.91533836220447</v>
      </c>
      <c r="O316" s="1279">
        <f t="shared" si="44"/>
        <v>485.63665352806214</v>
      </c>
      <c r="P316" s="1279">
        <f t="shared" si="45"/>
        <v>359.40343889496586</v>
      </c>
      <c r="Q316" s="1279">
        <f t="shared" si="46"/>
        <v>853.0021017669759</v>
      </c>
      <c r="R316" s="1279">
        <f t="shared" si="47"/>
        <v>647.34983101787236</v>
      </c>
      <c r="S316" s="1279">
        <f t="shared" si="48"/>
        <v>479.08195097233181</v>
      </c>
      <c r="T316" s="1279">
        <f t="shared" si="49"/>
        <v>853.56270106255579</v>
      </c>
      <c r="U316" s="1279">
        <f t="shared" si="50"/>
        <v>647.77527411878691</v>
      </c>
      <c r="V316" s="1279">
        <f t="shared" si="51"/>
        <v>479.39680717688719</v>
      </c>
      <c r="W316" s="1280">
        <f t="shared" si="52"/>
        <v>19.243910195955831</v>
      </c>
      <c r="X316" s="1283">
        <f t="shared" si="53"/>
        <v>12.290601350824854</v>
      </c>
      <c r="Y316" s="1282">
        <f t="shared" si="54"/>
        <v>10.157089019616988</v>
      </c>
      <c r="Z316" s="1279">
        <f t="shared" si="55"/>
        <v>17.023240041667705</v>
      </c>
      <c r="AA316" s="1279">
        <f t="shared" si="56"/>
        <v>10.872315185481709</v>
      </c>
      <c r="AB316" s="1279">
        <f t="shared" si="57"/>
        <v>8.9850016314181396</v>
      </c>
      <c r="AC316" s="1279">
        <f t="shared" si="58"/>
        <v>22.58457801411431</v>
      </c>
      <c r="AD316" s="1279">
        <f t="shared" si="59"/>
        <v>14.42420184991388</v>
      </c>
      <c r="AE316" s="1279">
        <f t="shared" si="60"/>
        <v>11.920320092122001</v>
      </c>
      <c r="AF316" s="1374"/>
      <c r="AG316" s="632">
        <v>42005</v>
      </c>
      <c r="AH316" s="1513">
        <v>596.73753829721454</v>
      </c>
      <c r="AI316" s="1513">
        <v>567.88055779185834</v>
      </c>
      <c r="AJ316" s="1513">
        <v>756.98030709630552</v>
      </c>
      <c r="AK316" s="1513">
        <v>757.47780015763203</v>
      </c>
      <c r="AL316" s="1284">
        <v>19.489741625768708</v>
      </c>
      <c r="AM316" s="1284">
        <v>17.240703509168739</v>
      </c>
      <c r="AN316" s="1284">
        <v>22.873084822158813</v>
      </c>
      <c r="AO316" s="1570"/>
      <c r="AP316" s="1513">
        <v>657.08300980223214</v>
      </c>
      <c r="AQ316" s="1513">
        <v>18.915629602958987</v>
      </c>
      <c r="AR316" s="911"/>
      <c r="AS316" s="1493"/>
    </row>
    <row r="317" spans="1:45" x14ac:dyDescent="0.3">
      <c r="A317" s="970">
        <v>42036</v>
      </c>
      <c r="B317" s="631">
        <f>VLOOKUP($A317, $J$277:$AE$369, HLOOKUP("Detached_" &amp;'Personalized Bill Menu'!$B$22, $J$278:$AE$279, 2, FALSE), FALSE)</f>
        <v>589.22827055193079</v>
      </c>
      <c r="C317" s="631">
        <f>VLOOKUP($A317, $J$277:$AE$369, HLOOKUP("Attached_" &amp;'Personalized Bill Menu'!$B$22, $J$278:$AE$279, 2, FALSE), FALSE)</f>
        <v>447.1698493856079</v>
      </c>
      <c r="D317" s="631">
        <f>VLOOKUP($A317, $J$277:$AE$369, HLOOKUP("Apartment_" &amp;'Personalized Bill Menu'!$B$22, $J$278:$AE$279, 2, FALSE), FALSE)</f>
        <v>330.93544416750791</v>
      </c>
      <c r="E317" s="634">
        <v>42036</v>
      </c>
      <c r="F317" s="631">
        <f>VLOOKUP($A317, $J$277:$AE$369, HLOOKUP("Detached_" &amp;'Personalized Bill Menu'!$B$23, $J$278:$AE$279, 2, FALSE), FALSE)</f>
        <v>16.070433558291903</v>
      </c>
      <c r="G317" s="631">
        <f>VLOOKUP($A317, $J$277:$AE$369, HLOOKUP("Attached_" &amp;'Personalized Bill Menu'!$B$23, $J$278:$AE$279, 2, FALSE), FALSE)</f>
        <v>10.263781652929977</v>
      </c>
      <c r="H317" s="631">
        <f>VLOOKUP($A317, $J$277:$AE$369, HLOOKUP("Apartment_" &amp;'Personalized Bill Menu'!$B$23, $J$278:$AE$279, 2, FALSE), FALSE)</f>
        <v>8.4821027833373552</v>
      </c>
      <c r="I317" s="1374"/>
      <c r="J317" s="634">
        <v>42036</v>
      </c>
      <c r="K317" s="1279">
        <f t="shared" si="61"/>
        <v>589.22827055193079</v>
      </c>
      <c r="L317" s="1279">
        <f t="shared" si="41"/>
        <v>447.1698493856079</v>
      </c>
      <c r="M317" s="1279">
        <f t="shared" si="42"/>
        <v>330.93544416750791</v>
      </c>
      <c r="N317" s="1279">
        <f t="shared" si="43"/>
        <v>553.84738775303197</v>
      </c>
      <c r="O317" s="1279">
        <f t="shared" si="44"/>
        <v>420.31902632938619</v>
      </c>
      <c r="P317" s="1279">
        <f t="shared" si="45"/>
        <v>311.06404839567153</v>
      </c>
      <c r="Q317" s="1279">
        <f t="shared" si="46"/>
        <v>737.44064646498703</v>
      </c>
      <c r="R317" s="1279">
        <f t="shared" si="47"/>
        <v>559.64935711873738</v>
      </c>
      <c r="S317" s="1279">
        <f t="shared" si="48"/>
        <v>414.17776451300813</v>
      </c>
      <c r="T317" s="1279">
        <f t="shared" si="49"/>
        <v>715.97819239297553</v>
      </c>
      <c r="U317" s="1279">
        <f t="shared" si="50"/>
        <v>543.36133627099866</v>
      </c>
      <c r="V317" s="1279">
        <f t="shared" si="51"/>
        <v>402.12354524652125</v>
      </c>
      <c r="W317" s="1280">
        <f t="shared" si="52"/>
        <v>18.196218677288119</v>
      </c>
      <c r="X317" s="1283">
        <f t="shared" si="53"/>
        <v>11.621467133118349</v>
      </c>
      <c r="Y317" s="1282">
        <f t="shared" si="54"/>
        <v>9.6041090944434639</v>
      </c>
      <c r="Z317" s="1279">
        <f t="shared" si="55"/>
        <v>16.070433558291903</v>
      </c>
      <c r="AA317" s="1279">
        <f t="shared" si="56"/>
        <v>10.263781652929977</v>
      </c>
      <c r="AB317" s="1279">
        <f t="shared" si="57"/>
        <v>8.4821027833373552</v>
      </c>
      <c r="AC317" s="1279">
        <f t="shared" si="58"/>
        <v>18.900741411070008</v>
      </c>
      <c r="AD317" s="1279">
        <f t="shared" si="59"/>
        <v>12.071428080521141</v>
      </c>
      <c r="AE317" s="1279">
        <f t="shared" si="60"/>
        <v>9.9759618026768671</v>
      </c>
      <c r="AF317" s="1374"/>
      <c r="AG317" s="632">
        <v>42036</v>
      </c>
      <c r="AH317" s="1513">
        <v>522.89929446630333</v>
      </c>
      <c r="AI317" s="1513">
        <v>491.50121060347442</v>
      </c>
      <c r="AJ317" s="1513">
        <v>654.42751649732895</v>
      </c>
      <c r="AK317" s="1513">
        <v>635.38107447706079</v>
      </c>
      <c r="AL317" s="1284">
        <v>18.428666366405146</v>
      </c>
      <c r="AM317" s="1284">
        <v>16.27572539446863</v>
      </c>
      <c r="AN317" s="1284">
        <v>19.142189029474675</v>
      </c>
      <c r="AO317" s="1570"/>
      <c r="AP317" s="1513">
        <v>567.16869330123086</v>
      </c>
      <c r="AQ317" s="1513">
        <v>17.653089811795009</v>
      </c>
      <c r="AR317" s="911"/>
      <c r="AS317" s="1493"/>
    </row>
    <row r="318" spans="1:45" x14ac:dyDescent="0.3">
      <c r="A318" s="970">
        <v>42064</v>
      </c>
      <c r="B318" s="631">
        <f>VLOOKUP($A318, $J$277:$AE$369, HLOOKUP("Detached_" &amp;'Personalized Bill Menu'!$B$22, $J$278:$AE$279, 2, FALSE), FALSE)</f>
        <v>591.76623672893038</v>
      </c>
      <c r="C318" s="631">
        <f>VLOOKUP($A318, $J$277:$AE$369, HLOOKUP("Attached_" &amp;'Personalized Bill Menu'!$B$22, $J$278:$AE$279, 2, FALSE), FALSE)</f>
        <v>449.0959313640771</v>
      </c>
      <c r="D318" s="631">
        <f>VLOOKUP($A318, $J$277:$AE$369, HLOOKUP("Apartment_" &amp;'Personalized Bill Menu'!$B$22, $J$278:$AE$279, 2, FALSE), FALSE)</f>
        <v>332.36087299712051</v>
      </c>
      <c r="E318" s="634">
        <v>42064</v>
      </c>
      <c r="F318" s="631">
        <f>VLOOKUP($A318, $J$277:$AE$369, HLOOKUP("Detached_" &amp;'Personalized Bill Menu'!$B$23, $J$278:$AE$279, 2, FALSE), FALSE)</f>
        <v>12.142155132331677</v>
      </c>
      <c r="G318" s="631">
        <f>VLOOKUP($A318, $J$277:$AE$369, HLOOKUP("Attached_" &amp;'Personalized Bill Menu'!$B$23, $J$278:$AE$279, 2, FALSE), FALSE)</f>
        <v>7.7548890403117099</v>
      </c>
      <c r="H318" s="631">
        <f>VLOOKUP($A318, $J$277:$AE$369, HLOOKUP("Apartment_" &amp;'Personalized Bill Menu'!$B$23, $J$278:$AE$279, 2, FALSE), FALSE)</f>
        <v>6.4087261535345403</v>
      </c>
      <c r="I318" s="1374"/>
      <c r="J318" s="634">
        <v>42064</v>
      </c>
      <c r="K318" s="1279">
        <f t="shared" si="61"/>
        <v>591.76623672893038</v>
      </c>
      <c r="L318" s="1279">
        <f t="shared" si="41"/>
        <v>449.0959313640771</v>
      </c>
      <c r="M318" s="1279">
        <f t="shared" si="42"/>
        <v>332.36087299712051</v>
      </c>
      <c r="N318" s="1279">
        <f t="shared" si="43"/>
        <v>543.60182357131134</v>
      </c>
      <c r="O318" s="1279">
        <f t="shared" si="44"/>
        <v>412.54358916694468</v>
      </c>
      <c r="P318" s="1279">
        <f t="shared" si="45"/>
        <v>305.3097075015246</v>
      </c>
      <c r="Q318" s="1279">
        <f t="shared" si="46"/>
        <v>702.08982515174523</v>
      </c>
      <c r="R318" s="1279">
        <f t="shared" si="47"/>
        <v>532.82134795432194</v>
      </c>
      <c r="S318" s="1279">
        <f t="shared" si="48"/>
        <v>394.32325253919271</v>
      </c>
      <c r="T318" s="1279">
        <f t="shared" si="49"/>
        <v>757.78115187967319</v>
      </c>
      <c r="U318" s="1279">
        <f t="shared" si="50"/>
        <v>575.08592253368681</v>
      </c>
      <c r="V318" s="1279">
        <f t="shared" si="51"/>
        <v>425.60185010159591</v>
      </c>
      <c r="W318" s="1280">
        <f t="shared" si="52"/>
        <v>13.34496911183669</v>
      </c>
      <c r="X318" s="1283">
        <f t="shared" si="53"/>
        <v>8.5230960715626711</v>
      </c>
      <c r="Y318" s="1282">
        <f t="shared" si="54"/>
        <v>7.0435809486083425</v>
      </c>
      <c r="Z318" s="1279">
        <f t="shared" si="55"/>
        <v>12.142155132331677</v>
      </c>
      <c r="AA318" s="1279">
        <f t="shared" si="56"/>
        <v>7.7548890403117099</v>
      </c>
      <c r="AB318" s="1279">
        <f t="shared" si="57"/>
        <v>6.4087261535345403</v>
      </c>
      <c r="AC318" s="1279">
        <f t="shared" si="58"/>
        <v>17.227046907756637</v>
      </c>
      <c r="AD318" s="1279">
        <f t="shared" si="59"/>
        <v>11.002481503976918</v>
      </c>
      <c r="AE318" s="1279">
        <f t="shared" si="60"/>
        <v>9.0925725180308543</v>
      </c>
      <c r="AF318" s="1374"/>
      <c r="AG318" s="632">
        <v>42064</v>
      </c>
      <c r="AH318" s="1513">
        <v>525.1515637304534</v>
      </c>
      <c r="AI318" s="1513">
        <v>482.40898175129684</v>
      </c>
      <c r="AJ318" s="1513">
        <v>623.05611012169186</v>
      </c>
      <c r="AK318" s="1513">
        <v>672.47830676315357</v>
      </c>
      <c r="AL318" s="1284">
        <v>13.515444488418989</v>
      </c>
      <c r="AM318" s="1284">
        <v>12.297265155544016</v>
      </c>
      <c r="AN318" s="1284">
        <v>17.44711390711716</v>
      </c>
      <c r="AO318" s="1570"/>
      <c r="AP318" s="1513">
        <v>559.20686936723871</v>
      </c>
      <c r="AQ318" s="1513">
        <v>13.395570539927183</v>
      </c>
      <c r="AR318" s="911"/>
      <c r="AS318" s="1493"/>
    </row>
    <row r="319" spans="1:45" x14ac:dyDescent="0.3">
      <c r="A319" s="970">
        <v>42095</v>
      </c>
      <c r="B319" s="631">
        <f>VLOOKUP($A319, $J$277:$AE$369, HLOOKUP("Detached_" &amp;'Personalized Bill Menu'!$B$22, $J$278:$AE$279, 2, FALSE), FALSE)</f>
        <v>534.43170590601471</v>
      </c>
      <c r="C319" s="631">
        <f>VLOOKUP($A319, $J$277:$AE$369, HLOOKUP("Attached_" &amp;'Personalized Bill Menu'!$B$22, $J$278:$AE$279, 2, FALSE), FALSE)</f>
        <v>405.58431660624774</v>
      </c>
      <c r="D319" s="631">
        <f>VLOOKUP($A319, $J$277:$AE$369, HLOOKUP("Apartment_" &amp;'Personalized Bill Menu'!$B$22, $J$278:$AE$279, 2, FALSE), FALSE)</f>
        <v>300.15938272197758</v>
      </c>
      <c r="E319" s="634">
        <v>42095</v>
      </c>
      <c r="F319" s="631">
        <f>VLOOKUP($A319, $J$277:$AE$369, HLOOKUP("Detached_" &amp;'Personalized Bill Menu'!$B$23, $J$278:$AE$279, 2, FALSE), FALSE)</f>
        <v>9.7936096292748651</v>
      </c>
      <c r="G319" s="631">
        <f>VLOOKUP($A319, $J$277:$AE$369, HLOOKUP("Attached_" &amp;'Personalized Bill Menu'!$B$23, $J$278:$AE$279, 2, FALSE), FALSE)</f>
        <v>6.2549321064859766</v>
      </c>
      <c r="H319" s="631">
        <f>VLOOKUP($A319, $J$277:$AE$369, HLOOKUP("Apartment_" &amp;'Personalized Bill Menu'!$B$23, $J$278:$AE$279, 2, FALSE), FALSE)</f>
        <v>5.1691451381241551</v>
      </c>
      <c r="I319" s="1374"/>
      <c r="J319" s="634">
        <v>42095</v>
      </c>
      <c r="K319" s="1279">
        <f t="shared" si="61"/>
        <v>534.43170590601471</v>
      </c>
      <c r="L319" s="1279">
        <f t="shared" si="41"/>
        <v>405.58431660624774</v>
      </c>
      <c r="M319" s="1279">
        <f t="shared" si="42"/>
        <v>300.15938272197758</v>
      </c>
      <c r="N319" s="1279">
        <f t="shared" si="43"/>
        <v>482.55898895486843</v>
      </c>
      <c r="O319" s="1279">
        <f t="shared" si="44"/>
        <v>366.21771424594561</v>
      </c>
      <c r="P319" s="1279">
        <f t="shared" si="45"/>
        <v>271.02547743884662</v>
      </c>
      <c r="Q319" s="1279">
        <f t="shared" si="46"/>
        <v>624.07656897838569</v>
      </c>
      <c r="R319" s="1279">
        <f t="shared" si="47"/>
        <v>473.61649008074255</v>
      </c>
      <c r="S319" s="1279">
        <f t="shared" si="48"/>
        <v>350.50771809699569</v>
      </c>
      <c r="T319" s="1279">
        <f t="shared" si="49"/>
        <v>614.96350701495874</v>
      </c>
      <c r="U319" s="1279">
        <f t="shared" si="50"/>
        <v>466.70051752937434</v>
      </c>
      <c r="V319" s="1279">
        <f t="shared" si="51"/>
        <v>345.38943820562559</v>
      </c>
      <c r="W319" s="1280">
        <f t="shared" si="52"/>
        <v>9.3043824526413541</v>
      </c>
      <c r="X319" s="1283">
        <f t="shared" si="53"/>
        <v>5.9424750155536108</v>
      </c>
      <c r="Y319" s="1282">
        <f t="shared" si="54"/>
        <v>4.9109271391165148</v>
      </c>
      <c r="Z319" s="1279">
        <f t="shared" si="55"/>
        <v>9.7936096292748651</v>
      </c>
      <c r="AA319" s="1279">
        <f t="shared" si="56"/>
        <v>6.2549321064859766</v>
      </c>
      <c r="AB319" s="1279">
        <f t="shared" si="57"/>
        <v>5.1691451381241551</v>
      </c>
      <c r="AC319" s="1279">
        <f t="shared" si="58"/>
        <v>12.685679838353044</v>
      </c>
      <c r="AD319" s="1279">
        <f t="shared" si="59"/>
        <v>8.1020245973793568</v>
      </c>
      <c r="AE319" s="1279">
        <f t="shared" si="60"/>
        <v>6.6956028208648819</v>
      </c>
      <c r="AF319" s="1374"/>
      <c r="AG319" s="632">
        <v>42095</v>
      </c>
      <c r="AH319" s="1513">
        <v>474.27113722312265</v>
      </c>
      <c r="AI319" s="1513">
        <v>428.23769237432509</v>
      </c>
      <c r="AJ319" s="1513">
        <v>553.82474657245518</v>
      </c>
      <c r="AK319" s="1513">
        <v>545.73753502939724</v>
      </c>
      <c r="AL319" s="1284">
        <v>9.4232413341559536</v>
      </c>
      <c r="AM319" s="1284">
        <v>9.9187181458745624</v>
      </c>
      <c r="AN319" s="1284">
        <v>12.847733120719022</v>
      </c>
      <c r="AO319" s="1570"/>
      <c r="AP319" s="1513">
        <v>492.41607298078463</v>
      </c>
      <c r="AQ319" s="1513">
        <v>9.9256518173290829</v>
      </c>
      <c r="AR319" s="911"/>
      <c r="AS319" s="1493"/>
    </row>
    <row r="320" spans="1:45" x14ac:dyDescent="0.3">
      <c r="A320" s="970">
        <v>42125</v>
      </c>
      <c r="B320" s="631">
        <f>VLOOKUP($A320, $J$277:$AE$369, HLOOKUP("Detached_" &amp;'Personalized Bill Menu'!$B$22, $J$278:$AE$279, 2, FALSE), FALSE)</f>
        <v>527.54718087523224</v>
      </c>
      <c r="C320" s="631">
        <f>VLOOKUP($A320, $J$277:$AE$369, HLOOKUP("Attached_" &amp;'Personalized Bill Menu'!$B$22, $J$278:$AE$279, 2, FALSE), FALSE)</f>
        <v>400.35959780885742</v>
      </c>
      <c r="D320" s="631">
        <f>VLOOKUP($A320, $J$277:$AE$369, HLOOKUP("Apartment_" &amp;'Personalized Bill Menu'!$B$22, $J$278:$AE$279, 2, FALSE), FALSE)</f>
        <v>296.29274314813262</v>
      </c>
      <c r="E320" s="634">
        <v>42125</v>
      </c>
      <c r="F320" s="631">
        <f>VLOOKUP($A320, $J$277:$AE$369, HLOOKUP("Detached_" &amp;'Personalized Bill Menu'!$B$23, $J$278:$AE$279, 2, FALSE), FALSE)</f>
        <v>6.5541395721350089</v>
      </c>
      <c r="G320" s="631">
        <f>VLOOKUP($A320, $J$277:$AE$369, HLOOKUP("Attached_" &amp;'Personalized Bill Menu'!$B$23, $J$278:$AE$279, 2, FALSE), FALSE)</f>
        <v>4.1859640716732258</v>
      </c>
      <c r="H320" s="631">
        <f>VLOOKUP($A320, $J$277:$AE$369, HLOOKUP("Apartment_" &amp;'Personalized Bill Menu'!$B$23, $J$278:$AE$279, 2, FALSE), FALSE)</f>
        <v>3.4593270496117672</v>
      </c>
      <c r="I320" s="1374"/>
      <c r="J320" s="634">
        <v>42125</v>
      </c>
      <c r="K320" s="1279">
        <f t="shared" si="61"/>
        <v>527.54718087523224</v>
      </c>
      <c r="L320" s="1279">
        <f t="shared" si="41"/>
        <v>400.35959780885742</v>
      </c>
      <c r="M320" s="1279">
        <f t="shared" si="42"/>
        <v>296.29274314813262</v>
      </c>
      <c r="N320" s="1279">
        <f t="shared" si="43"/>
        <v>474.94455350977023</v>
      </c>
      <c r="O320" s="1279">
        <f t="shared" si="44"/>
        <v>360.43906084231384</v>
      </c>
      <c r="P320" s="1279">
        <f t="shared" si="45"/>
        <v>266.74888939640931</v>
      </c>
      <c r="Q320" s="1279">
        <f t="shared" si="46"/>
        <v>615.35437292281392</v>
      </c>
      <c r="R320" s="1279">
        <f t="shared" si="47"/>
        <v>466.99714866179067</v>
      </c>
      <c r="S320" s="1279">
        <f t="shared" si="48"/>
        <v>345.60896498207302</v>
      </c>
      <c r="T320" s="1279">
        <f t="shared" si="49"/>
        <v>572.77241353785314</v>
      </c>
      <c r="U320" s="1279">
        <f t="shared" si="50"/>
        <v>434.68137340735342</v>
      </c>
      <c r="V320" s="1279">
        <f t="shared" si="51"/>
        <v>321.69314093414528</v>
      </c>
      <c r="W320" s="1280">
        <f t="shared" si="52"/>
        <v>5.7522207383062485</v>
      </c>
      <c r="X320" s="1283">
        <f t="shared" si="53"/>
        <v>3.6737986852239097</v>
      </c>
      <c r="Y320" s="1282">
        <f t="shared" si="54"/>
        <v>3.0360679043150958</v>
      </c>
      <c r="Z320" s="1279">
        <f t="shared" si="55"/>
        <v>6.5541395721350089</v>
      </c>
      <c r="AA320" s="1279">
        <f t="shared" si="56"/>
        <v>4.1859640716732258</v>
      </c>
      <c r="AB320" s="1279">
        <f t="shared" si="57"/>
        <v>3.4593270496117672</v>
      </c>
      <c r="AC320" s="1279">
        <f t="shared" si="58"/>
        <v>7.5585758066909436</v>
      </c>
      <c r="AD320" s="1279">
        <f t="shared" si="59"/>
        <v>4.8274722275284203</v>
      </c>
      <c r="AE320" s="1279">
        <f t="shared" si="60"/>
        <v>3.989476491436617</v>
      </c>
      <c r="AF320" s="1374"/>
      <c r="AG320" s="632">
        <v>42125</v>
      </c>
      <c r="AH320" s="1513">
        <v>468.16159791340874</v>
      </c>
      <c r="AI320" s="1513">
        <v>421.48040810778525</v>
      </c>
      <c r="AJ320" s="1513">
        <v>546.08440146073281</v>
      </c>
      <c r="AK320" s="1513">
        <v>508.29586069955707</v>
      </c>
      <c r="AL320" s="1284">
        <v>5.8257025117243293</v>
      </c>
      <c r="AM320" s="1284">
        <v>6.6378654618219048</v>
      </c>
      <c r="AN320" s="1284">
        <v>7.6551328722242449</v>
      </c>
      <c r="AO320" s="1570"/>
      <c r="AP320" s="1513">
        <v>481.77695362669192</v>
      </c>
      <c r="AQ320" s="1513">
        <v>6.3069608641640134</v>
      </c>
      <c r="AR320" s="911"/>
      <c r="AS320" s="1493"/>
    </row>
    <row r="321" spans="1:45" x14ac:dyDescent="0.3">
      <c r="A321" s="970">
        <v>42156</v>
      </c>
      <c r="B321" s="631">
        <f>VLOOKUP($A321, $J$277:$AE$369, HLOOKUP("Detached_" &amp;'Personalized Bill Menu'!$B$22, $J$278:$AE$279, 2, FALSE), FALSE)</f>
        <v>534.45054632951371</v>
      </c>
      <c r="C321" s="631">
        <f>VLOOKUP($A321, $J$277:$AE$369, HLOOKUP("Attached_" &amp;'Personalized Bill Menu'!$B$22, $J$278:$AE$279, 2, FALSE), FALSE)</f>
        <v>405.59861474800272</v>
      </c>
      <c r="D321" s="631">
        <f>VLOOKUP($A321, $J$277:$AE$369, HLOOKUP("Apartment_" &amp;'Personalized Bill Menu'!$B$22, $J$278:$AE$279, 2, FALSE), FALSE)</f>
        <v>300.16996429830471</v>
      </c>
      <c r="E321" s="634">
        <v>42156</v>
      </c>
      <c r="F321" s="631">
        <f>VLOOKUP($A321, $J$277:$AE$369, HLOOKUP("Detached_" &amp;'Personalized Bill Menu'!$B$23, $J$278:$AE$279, 2, FALSE), FALSE)</f>
        <v>3.4828054769975751</v>
      </c>
      <c r="G321" s="631">
        <f>VLOOKUP($A321, $J$277:$AE$369, HLOOKUP("Attached_" &amp;'Personalized Bill Menu'!$B$23, $J$278:$AE$279, 2, FALSE), FALSE)</f>
        <v>2.2243802462371898</v>
      </c>
      <c r="H321" s="631">
        <f>VLOOKUP($A321, $J$277:$AE$369, HLOOKUP("Apartment_" &amp;'Personalized Bill Menu'!$B$23, $J$278:$AE$279, 2, FALSE), FALSE)</f>
        <v>1.8382524605268726</v>
      </c>
      <c r="I321" s="1374"/>
      <c r="J321" s="634">
        <v>42156</v>
      </c>
      <c r="K321" s="1279">
        <f t="shared" si="61"/>
        <v>534.45054632951371</v>
      </c>
      <c r="L321" s="1279">
        <f t="shared" si="41"/>
        <v>405.59861474800272</v>
      </c>
      <c r="M321" s="1279">
        <f t="shared" si="42"/>
        <v>300.16996429830471</v>
      </c>
      <c r="N321" s="1279">
        <f t="shared" si="43"/>
        <v>483.17091840445016</v>
      </c>
      <c r="O321" s="1279">
        <f t="shared" si="44"/>
        <v>366.68211219404094</v>
      </c>
      <c r="P321" s="1279">
        <f t="shared" si="45"/>
        <v>271.36916282245323</v>
      </c>
      <c r="Q321" s="1279">
        <f t="shared" si="46"/>
        <v>627.46387006656573</v>
      </c>
      <c r="R321" s="1279">
        <f t="shared" si="47"/>
        <v>476.18713883119432</v>
      </c>
      <c r="S321" s="1279">
        <f t="shared" si="48"/>
        <v>352.41016922870381</v>
      </c>
      <c r="T321" s="1279">
        <f t="shared" si="49"/>
        <v>524.64780078809144</v>
      </c>
      <c r="U321" s="1279">
        <f t="shared" si="50"/>
        <v>398.15923604470794</v>
      </c>
      <c r="V321" s="1279">
        <f t="shared" si="51"/>
        <v>294.66432902596296</v>
      </c>
      <c r="W321" s="1280">
        <f t="shared" si="52"/>
        <v>2.9957399450361408</v>
      </c>
      <c r="X321" s="1283">
        <f t="shared" si="53"/>
        <v>1.9133037433794973</v>
      </c>
      <c r="Y321" s="1282">
        <f t="shared" si="54"/>
        <v>1.5811753947879639</v>
      </c>
      <c r="Z321" s="1279">
        <f t="shared" si="55"/>
        <v>3.4828054769975751</v>
      </c>
      <c r="AA321" s="1279">
        <f t="shared" si="56"/>
        <v>2.2243802462371898</v>
      </c>
      <c r="AB321" s="1279">
        <f t="shared" si="57"/>
        <v>1.8382524605268726</v>
      </c>
      <c r="AC321" s="1279">
        <f t="shared" si="58"/>
        <v>4.0138235585562185</v>
      </c>
      <c r="AD321" s="1279">
        <f t="shared" si="59"/>
        <v>2.5635281368716334</v>
      </c>
      <c r="AE321" s="1279">
        <f t="shared" si="60"/>
        <v>2.1185280318892281</v>
      </c>
      <c r="AF321" s="1374"/>
      <c r="AG321" s="632">
        <v>42156</v>
      </c>
      <c r="AH321" s="1513">
        <v>474.28785679454757</v>
      </c>
      <c r="AI321" s="1513">
        <v>428.78073739344768</v>
      </c>
      <c r="AJ321" s="1513">
        <v>556.83074176595665</v>
      </c>
      <c r="AK321" s="1513">
        <v>465.58859882676364</v>
      </c>
      <c r="AL321" s="1284">
        <v>3.0340090403778222</v>
      </c>
      <c r="AM321" s="1284">
        <v>3.5272965934833698</v>
      </c>
      <c r="AN321" s="1284">
        <v>4.0650981682571024</v>
      </c>
      <c r="AO321" s="1570"/>
      <c r="AP321" s="1513">
        <v>484.9944390307773</v>
      </c>
      <c r="AQ321" s="1513">
        <v>3.3189542225144737</v>
      </c>
      <c r="AR321" s="911"/>
      <c r="AS321" s="1493"/>
    </row>
    <row r="322" spans="1:45" x14ac:dyDescent="0.3">
      <c r="A322" s="970">
        <v>42186</v>
      </c>
      <c r="B322" s="631">
        <f>VLOOKUP($A322, $J$277:$AE$369, HLOOKUP("Detached_" &amp;'Personalized Bill Menu'!$B$22, $J$278:$AE$279, 2, FALSE), FALSE)</f>
        <v>545.29132412881165</v>
      </c>
      <c r="C322" s="631">
        <f>VLOOKUP($A322, $J$277:$AE$369, HLOOKUP("Attached_" &amp;'Personalized Bill Menu'!$B$22, $J$278:$AE$279, 2, FALSE), FALSE)</f>
        <v>413.82576408554911</v>
      </c>
      <c r="D322" s="631">
        <f>VLOOKUP($A322, $J$277:$AE$369, HLOOKUP("Apartment_" &amp;'Personalized Bill Menu'!$B$22, $J$278:$AE$279, 2, FALSE), FALSE)</f>
        <v>306.25860225990732</v>
      </c>
      <c r="E322" s="634">
        <v>42186</v>
      </c>
      <c r="F322" s="631">
        <f>VLOOKUP($A322, $J$277:$AE$369, HLOOKUP("Detached_" &amp;'Personalized Bill Menu'!$B$23, $J$278:$AE$279, 2, FALSE), FALSE)</f>
        <v>2.6677858527249043</v>
      </c>
      <c r="G322" s="631">
        <f>VLOOKUP($A322, $J$277:$AE$369, HLOOKUP("Attached_" &amp;'Personalized Bill Menu'!$B$23, $J$278:$AE$279, 2, FALSE), FALSE)</f>
        <v>1.7038477144890645</v>
      </c>
      <c r="H322" s="631">
        <f>VLOOKUP($A322, $J$277:$AE$369, HLOOKUP("Apartment_" &amp;'Personalized Bill Menu'!$B$23, $J$278:$AE$279, 2, FALSE), FALSE)</f>
        <v>1.4080786137266521</v>
      </c>
      <c r="I322" s="1374"/>
      <c r="J322" s="634">
        <v>42186</v>
      </c>
      <c r="K322" s="1279">
        <f t="shared" si="61"/>
        <v>545.29132412881165</v>
      </c>
      <c r="L322" s="1279">
        <f t="shared" si="41"/>
        <v>413.82576408554911</v>
      </c>
      <c r="M322" s="1279">
        <f t="shared" si="42"/>
        <v>306.25860225990732</v>
      </c>
      <c r="N322" s="1279">
        <f t="shared" si="43"/>
        <v>528.53057338073643</v>
      </c>
      <c r="O322" s="1279">
        <f t="shared" si="44"/>
        <v>401.10590191636629</v>
      </c>
      <c r="P322" s="1279">
        <f t="shared" si="45"/>
        <v>296.84505784833391</v>
      </c>
      <c r="Q322" s="1279">
        <f t="shared" si="46"/>
        <v>673.2780910081799</v>
      </c>
      <c r="R322" s="1279">
        <f t="shared" si="47"/>
        <v>510.95590214764326</v>
      </c>
      <c r="S322" s="1279">
        <f t="shared" si="48"/>
        <v>378.14136766950435</v>
      </c>
      <c r="T322" s="1279">
        <f t="shared" si="49"/>
        <v>567.99782330803487</v>
      </c>
      <c r="U322" s="1279">
        <f t="shared" si="50"/>
        <v>431.0579002974398</v>
      </c>
      <c r="V322" s="1279">
        <f t="shared" si="51"/>
        <v>319.01152971928849</v>
      </c>
      <c r="W322" s="1280">
        <f t="shared" si="52"/>
        <v>2.392996091652563</v>
      </c>
      <c r="X322" s="1283">
        <f t="shared" si="53"/>
        <v>1.5283464065824044</v>
      </c>
      <c r="Y322" s="1282">
        <f t="shared" si="54"/>
        <v>1.263042389982602</v>
      </c>
      <c r="Z322" s="1279">
        <f t="shared" si="55"/>
        <v>2.6677858527249043</v>
      </c>
      <c r="AA322" s="1279">
        <f t="shared" si="56"/>
        <v>1.7038477144890645</v>
      </c>
      <c r="AB322" s="1279">
        <f t="shared" si="57"/>
        <v>1.4080786137266521</v>
      </c>
      <c r="AC322" s="1279">
        <f t="shared" si="58"/>
        <v>2.5993788615463349</v>
      </c>
      <c r="AD322" s="1279">
        <f t="shared" si="59"/>
        <v>1.6601578900394638</v>
      </c>
      <c r="AE322" s="1279">
        <f t="shared" si="60"/>
        <v>1.3719728591326141</v>
      </c>
      <c r="AF322" s="1374"/>
      <c r="AG322" s="632">
        <v>42186</v>
      </c>
      <c r="AH322" s="1513">
        <v>483.9082965222766</v>
      </c>
      <c r="AI322" s="1513">
        <v>469.03429067614724</v>
      </c>
      <c r="AJ322" s="1513">
        <v>597.48769087067899</v>
      </c>
      <c r="AK322" s="1513">
        <v>504.05874244282597</v>
      </c>
      <c r="AL322" s="1284">
        <v>2.4235654325379308</v>
      </c>
      <c r="AM322" s="1284">
        <v>2.7018654968269518</v>
      </c>
      <c r="AN322" s="1284">
        <v>2.6325846401876007</v>
      </c>
      <c r="AO322" s="1570"/>
      <c r="AP322" s="1513">
        <v>518.09941730132016</v>
      </c>
      <c r="AQ322" s="1513">
        <v>2.5505895982456868</v>
      </c>
      <c r="AR322" s="911"/>
      <c r="AS322" s="1493"/>
    </row>
    <row r="323" spans="1:45" x14ac:dyDescent="0.3">
      <c r="A323" s="970">
        <v>42217</v>
      </c>
      <c r="B323" s="631">
        <f>VLOOKUP($A323, $J$277:$AE$369, HLOOKUP("Detached_" &amp;'Personalized Bill Menu'!$B$22, $J$278:$AE$279, 2, FALSE), FALSE)</f>
        <v>548.24925977459793</v>
      </c>
      <c r="C323" s="631">
        <f>VLOOKUP($A323, $J$277:$AE$369, HLOOKUP("Attached_" &amp;'Personalized Bill Menu'!$B$22, $J$278:$AE$279, 2, FALSE), FALSE)</f>
        <v>416.0705641118268</v>
      </c>
      <c r="D323" s="631">
        <f>VLOOKUP($A323, $J$277:$AE$369, HLOOKUP("Apartment_" &amp;'Personalized Bill Menu'!$B$22, $J$278:$AE$279, 2, FALSE), FALSE)</f>
        <v>307.91990365306725</v>
      </c>
      <c r="E323" s="634">
        <v>42217</v>
      </c>
      <c r="F323" s="631">
        <f>VLOOKUP($A323, $J$277:$AE$369, HLOOKUP("Detached_" &amp;'Personalized Bill Menu'!$B$23, $J$278:$AE$279, 2, FALSE), FALSE)</f>
        <v>3.1336200677179931</v>
      </c>
      <c r="G323" s="631">
        <f>VLOOKUP($A323, $J$277:$AE$369, HLOOKUP("Attached_" &amp;'Personalized Bill Menu'!$B$23, $J$278:$AE$279, 2, FALSE), FALSE)</f>
        <v>2.0013643092847362</v>
      </c>
      <c r="H323" s="631">
        <f>VLOOKUP($A323, $J$277:$AE$369, HLOOKUP("Apartment_" &amp;'Personalized Bill Menu'!$B$23, $J$278:$AE$279, 2, FALSE), FALSE)</f>
        <v>1.6539496213279317</v>
      </c>
      <c r="I323" s="1374"/>
      <c r="J323" s="634">
        <v>42217</v>
      </c>
      <c r="K323" s="1279">
        <f t="shared" si="61"/>
        <v>548.24925977459793</v>
      </c>
      <c r="L323" s="1279">
        <f t="shared" si="41"/>
        <v>416.0705641118268</v>
      </c>
      <c r="M323" s="1279">
        <f t="shared" si="42"/>
        <v>307.91990365306725</v>
      </c>
      <c r="N323" s="1279">
        <f t="shared" si="43"/>
        <v>506.92604311733879</v>
      </c>
      <c r="O323" s="1279">
        <f t="shared" si="44"/>
        <v>384.71005835834933</v>
      </c>
      <c r="P323" s="1279">
        <f t="shared" si="45"/>
        <v>284.71104260149127</v>
      </c>
      <c r="Q323" s="1279">
        <f t="shared" si="46"/>
        <v>657.68997891324409</v>
      </c>
      <c r="R323" s="1279">
        <f t="shared" si="47"/>
        <v>499.1259644374768</v>
      </c>
      <c r="S323" s="1279">
        <f t="shared" si="48"/>
        <v>369.38642657504806</v>
      </c>
      <c r="T323" s="1279">
        <f t="shared" si="49"/>
        <v>553.40859295109271</v>
      </c>
      <c r="U323" s="1279">
        <f t="shared" si="50"/>
        <v>419.9860215920022</v>
      </c>
      <c r="V323" s="1279">
        <f t="shared" si="51"/>
        <v>310.81760273117186</v>
      </c>
      <c r="W323" s="1280">
        <f t="shared" si="52"/>
        <v>2.8338291298523459</v>
      </c>
      <c r="X323" s="1283">
        <f t="shared" si="53"/>
        <v>1.8098953786787877</v>
      </c>
      <c r="Y323" s="1282">
        <f t="shared" si="54"/>
        <v>1.4957175774153717</v>
      </c>
      <c r="Z323" s="1279">
        <f t="shared" si="55"/>
        <v>3.1336200677179931</v>
      </c>
      <c r="AA323" s="1279">
        <f t="shared" si="56"/>
        <v>2.0013643092847362</v>
      </c>
      <c r="AB323" s="1279">
        <f t="shared" si="57"/>
        <v>1.6539496213279317</v>
      </c>
      <c r="AC323" s="1279">
        <f t="shared" si="58"/>
        <v>2.208361416124315</v>
      </c>
      <c r="AD323" s="1279">
        <f t="shared" si="59"/>
        <v>1.4104248839111186</v>
      </c>
      <c r="AE323" s="1279">
        <f t="shared" si="60"/>
        <v>1.1655907381949824</v>
      </c>
      <c r="AF323" s="1374"/>
      <c r="AG323" s="632">
        <v>42217</v>
      </c>
      <c r="AH323" s="1513">
        <v>486.53325961308269</v>
      </c>
      <c r="AI323" s="1513">
        <v>449.86176587277242</v>
      </c>
      <c r="AJ323" s="1513">
        <v>583.65432064071945</v>
      </c>
      <c r="AK323" s="1513">
        <v>491.11181059703108</v>
      </c>
      <c r="AL323" s="1284">
        <v>2.870029894652391</v>
      </c>
      <c r="AM323" s="1284">
        <v>3.1736505133963009</v>
      </c>
      <c r="AN323" s="1284">
        <v>2.2365721403971568</v>
      </c>
      <c r="AO323" s="1570"/>
      <c r="AP323" s="1513">
        <v>506.42799050230519</v>
      </c>
      <c r="AQ323" s="1513">
        <v>2.9302752811694925</v>
      </c>
      <c r="AR323" s="911"/>
      <c r="AS323" s="1493"/>
    </row>
    <row r="324" spans="1:45" x14ac:dyDescent="0.3">
      <c r="A324" s="970">
        <v>42248</v>
      </c>
      <c r="B324" s="631">
        <f>VLOOKUP($A324, $J$277:$AE$369, HLOOKUP("Detached_" &amp;'Personalized Bill Menu'!$B$22, $J$278:$AE$279, 2, FALSE), FALSE)</f>
        <v>519.19357702298203</v>
      </c>
      <c r="C324" s="631">
        <f>VLOOKUP($A324, $J$277:$AE$369, HLOOKUP("Attached_" &amp;'Personalized Bill Menu'!$B$22, $J$278:$AE$279, 2, FALSE), FALSE)</f>
        <v>394.01998383728284</v>
      </c>
      <c r="D324" s="631">
        <f>VLOOKUP($A324, $J$277:$AE$369, HLOOKUP("Apartment_" &amp;'Personalized Bill Menu'!$B$22, $J$278:$AE$279, 2, FALSE), FALSE)</f>
        <v>291.60100695792181</v>
      </c>
      <c r="E324" s="634">
        <v>42248</v>
      </c>
      <c r="F324" s="631">
        <f>VLOOKUP($A324, $J$277:$AE$369, HLOOKUP("Detached_" &amp;'Personalized Bill Menu'!$B$23, $J$278:$AE$279, 2, FALSE), FALSE)</f>
        <v>6.2236099217630061</v>
      </c>
      <c r="G324" s="631">
        <f>VLOOKUP($A324, $J$277:$AE$369, HLOOKUP("Attached_" &amp;'Personalized Bill Menu'!$B$23, $J$278:$AE$279, 2, FALSE), FALSE)</f>
        <v>3.9748630986389859</v>
      </c>
      <c r="H324" s="631">
        <f>VLOOKUP($A324, $J$277:$AE$369, HLOOKUP("Apartment_" &amp;'Personalized Bill Menu'!$B$23, $J$278:$AE$279, 2, FALSE), FALSE)</f>
        <v>3.2848708684996328</v>
      </c>
      <c r="I324" s="1374"/>
      <c r="J324" s="634">
        <v>42248</v>
      </c>
      <c r="K324" s="1279">
        <f t="shared" si="61"/>
        <v>519.19357702298203</v>
      </c>
      <c r="L324" s="1279">
        <f t="shared" si="41"/>
        <v>394.01998383728284</v>
      </c>
      <c r="M324" s="1279">
        <f t="shared" si="42"/>
        <v>291.60100695792181</v>
      </c>
      <c r="N324" s="1279">
        <f t="shared" si="43"/>
        <v>469.42926116614876</v>
      </c>
      <c r="O324" s="1279">
        <f t="shared" si="44"/>
        <v>356.25346322272804</v>
      </c>
      <c r="P324" s="1279">
        <f t="shared" si="45"/>
        <v>263.65126863944812</v>
      </c>
      <c r="Q324" s="1279">
        <f t="shared" si="46"/>
        <v>614.19125011211361</v>
      </c>
      <c r="R324" s="1279">
        <f t="shared" si="47"/>
        <v>466.11444584851489</v>
      </c>
      <c r="S324" s="1279">
        <f t="shared" si="48"/>
        <v>344.95570616334749</v>
      </c>
      <c r="T324" s="1279">
        <f t="shared" si="49"/>
        <v>607.9846427465385</v>
      </c>
      <c r="U324" s="1279">
        <f t="shared" si="50"/>
        <v>461.40420396168201</v>
      </c>
      <c r="V324" s="1279">
        <f t="shared" si="51"/>
        <v>341.46981373769057</v>
      </c>
      <c r="W324" s="1280">
        <f t="shared" si="52"/>
        <v>6.4069077853975358</v>
      </c>
      <c r="X324" s="1283">
        <f t="shared" si="53"/>
        <v>4.0919308331820048</v>
      </c>
      <c r="Y324" s="1282">
        <f t="shared" si="54"/>
        <v>3.3816169403261784</v>
      </c>
      <c r="Z324" s="1279">
        <f t="shared" si="55"/>
        <v>6.2236099217630061</v>
      </c>
      <c r="AA324" s="1279">
        <f t="shared" si="56"/>
        <v>3.9748630986389859</v>
      </c>
      <c r="AB324" s="1279">
        <f t="shared" si="57"/>
        <v>3.2848708684996328</v>
      </c>
      <c r="AC324" s="1279">
        <f t="shared" si="58"/>
        <v>2.9728384185822905</v>
      </c>
      <c r="AD324" s="1279">
        <f t="shared" si="59"/>
        <v>1.8986771145341395</v>
      </c>
      <c r="AE324" s="1279">
        <f t="shared" si="60"/>
        <v>1.5690877867858357</v>
      </c>
      <c r="AF324" s="1374"/>
      <c r="AG324" s="632">
        <v>42248</v>
      </c>
      <c r="AH324" s="1513">
        <v>460.74835286238459</v>
      </c>
      <c r="AI324" s="1513">
        <v>416.5859680081042</v>
      </c>
      <c r="AJ324" s="1513">
        <v>545.05221049589136</v>
      </c>
      <c r="AK324" s="1513">
        <v>539.54427617792567</v>
      </c>
      <c r="AL324" s="1284">
        <v>6.4887528618672095</v>
      </c>
      <c r="AM324" s="1284">
        <v>6.3031134587305679</v>
      </c>
      <c r="AN324" s="1284">
        <v>3.0108149582564532</v>
      </c>
      <c r="AO324" s="1570"/>
      <c r="AP324" s="1513">
        <v>481.77548643325929</v>
      </c>
      <c r="AQ324" s="1513">
        <v>6.1007525590495604</v>
      </c>
      <c r="AR324" s="911"/>
      <c r="AS324" s="1493"/>
    </row>
    <row r="325" spans="1:45" x14ac:dyDescent="0.3">
      <c r="A325" s="970">
        <v>42278</v>
      </c>
      <c r="B325" s="631">
        <f>VLOOKUP($A325, $J$277:$AE$369, HLOOKUP("Detached_" &amp;'Personalized Bill Menu'!$B$22, $J$278:$AE$279, 2, FALSE), FALSE)</f>
        <v>571.6210749094887</v>
      </c>
      <c r="C325" s="631">
        <f>VLOOKUP($A325, $J$277:$AE$369, HLOOKUP("Attached_" &amp;'Personalized Bill Menu'!$B$22, $J$278:$AE$279, 2, FALSE), FALSE)</f>
        <v>433.80761370034668</v>
      </c>
      <c r="D325" s="631">
        <f>VLOOKUP($A325, $J$277:$AE$369, HLOOKUP("Apartment_" &amp;'Personalized Bill Menu'!$B$22, $J$278:$AE$279, 2, FALSE), FALSE)</f>
        <v>321.04650060915191</v>
      </c>
      <c r="E325" s="634">
        <v>42278</v>
      </c>
      <c r="F325" s="631">
        <f>VLOOKUP($A325, $J$277:$AE$369, HLOOKUP("Detached_" &amp;'Personalized Bill Menu'!$B$23, $J$278:$AE$279, 2, FALSE), FALSE)</f>
        <v>8.3430798977230474</v>
      </c>
      <c r="G325" s="631">
        <f>VLOOKUP($A325, $J$277:$AE$369, HLOOKUP("Attached_" &amp;'Personalized Bill Menu'!$B$23, $J$278:$AE$279, 2, FALSE), FALSE)</f>
        <v>5.3285152558311148</v>
      </c>
      <c r="H325" s="631">
        <f>VLOOKUP($A325, $J$277:$AE$369, HLOOKUP("Apartment_" &amp;'Personalized Bill Menu'!$B$23, $J$278:$AE$279, 2, FALSE), FALSE)</f>
        <v>4.4035439968306784</v>
      </c>
      <c r="I325" s="1374"/>
      <c r="J325" s="634">
        <v>42278</v>
      </c>
      <c r="K325" s="1279">
        <f t="shared" si="61"/>
        <v>571.6210749094887</v>
      </c>
      <c r="L325" s="1279">
        <f t="shared" si="41"/>
        <v>433.80761370034668</v>
      </c>
      <c r="M325" s="1279">
        <f t="shared" si="42"/>
        <v>321.04650060915191</v>
      </c>
      <c r="N325" s="1279">
        <f t="shared" si="43"/>
        <v>514.86208234201422</v>
      </c>
      <c r="O325" s="1279">
        <f t="shared" si="44"/>
        <v>390.73277933453784</v>
      </c>
      <c r="P325" s="1279">
        <f t="shared" si="45"/>
        <v>289.16825688839003</v>
      </c>
      <c r="Q325" s="1279">
        <f t="shared" si="46"/>
        <v>661.50621636207143</v>
      </c>
      <c r="R325" s="1279">
        <f t="shared" si="47"/>
        <v>502.02213627867746</v>
      </c>
      <c r="S325" s="1279">
        <f t="shared" si="48"/>
        <v>371.5297864549014</v>
      </c>
      <c r="T325" s="1279">
        <f t="shared" si="49"/>
        <v>610.11701210018646</v>
      </c>
      <c r="U325" s="1279">
        <f t="shared" si="50"/>
        <v>463.02247540309139</v>
      </c>
      <c r="V325" s="1279">
        <f t="shared" si="51"/>
        <v>342.66744228751838</v>
      </c>
      <c r="W325" s="1280">
        <f t="shared" si="52"/>
        <v>8.4458269082754391</v>
      </c>
      <c r="X325" s="1283">
        <f t="shared" si="53"/>
        <v>5.3941371868123671</v>
      </c>
      <c r="Y325" s="1282">
        <f t="shared" si="54"/>
        <v>4.4577746870622041</v>
      </c>
      <c r="Z325" s="1279">
        <f t="shared" si="55"/>
        <v>8.3430798977230474</v>
      </c>
      <c r="AA325" s="1279">
        <f t="shared" si="56"/>
        <v>5.3285152558311148</v>
      </c>
      <c r="AB325" s="1279">
        <f t="shared" si="57"/>
        <v>4.4035439968306784</v>
      </c>
      <c r="AC325" s="1279">
        <f t="shared" si="58"/>
        <v>5.5199634600357212</v>
      </c>
      <c r="AD325" s="1279">
        <f t="shared" si="59"/>
        <v>3.5254618041543573</v>
      </c>
      <c r="AE325" s="1279">
        <f t="shared" si="60"/>
        <v>2.9134806636334454</v>
      </c>
      <c r="AF325" s="1374"/>
      <c r="AG325" s="632">
        <v>42278</v>
      </c>
      <c r="AH325" s="1513">
        <v>507.27412738065226</v>
      </c>
      <c r="AI325" s="1513">
        <v>456.90445122721513</v>
      </c>
      <c r="AJ325" s="1513">
        <v>587.04096715657408</v>
      </c>
      <c r="AK325" s="1513">
        <v>541.43660634314267</v>
      </c>
      <c r="AL325" s="1284">
        <v>8.5537181675710556</v>
      </c>
      <c r="AM325" s="1284">
        <v>8.4496586148037043</v>
      </c>
      <c r="AN325" s="1284">
        <v>5.5904782616575144</v>
      </c>
      <c r="AO325" s="1570"/>
      <c r="AP325" s="1513">
        <v>519.04049971955544</v>
      </c>
      <c r="AQ325" s="1513">
        <v>8.2418787141546677</v>
      </c>
      <c r="AR325" s="911"/>
      <c r="AS325" s="1493"/>
    </row>
    <row r="326" spans="1:45" x14ac:dyDescent="0.3">
      <c r="A326" s="970">
        <v>42309</v>
      </c>
      <c r="B326" s="631">
        <f>VLOOKUP($A326, $J$277:$AE$369, HLOOKUP("Detached_" &amp;'Personalized Bill Menu'!$B$22, $J$278:$AE$279, 2, FALSE), FALSE)</f>
        <v>621.16898918569302</v>
      </c>
      <c r="C326" s="631">
        <f>VLOOKUP($A326, $J$277:$AE$369, HLOOKUP("Attached_" &amp;'Personalized Bill Menu'!$B$22, $J$278:$AE$279, 2, FALSE), FALSE)</f>
        <v>471.4099054972209</v>
      </c>
      <c r="D326" s="631">
        <f>VLOOKUP($A326, $J$277:$AE$369, HLOOKUP("Apartment_" &amp;'Personalized Bill Menu'!$B$22, $J$278:$AE$279, 2, FALSE), FALSE)</f>
        <v>348.87469867441109</v>
      </c>
      <c r="E326" s="634">
        <v>42309</v>
      </c>
      <c r="F326" s="631">
        <f>VLOOKUP($A326, $J$277:$AE$369, HLOOKUP("Detached_" &amp;'Personalized Bill Menu'!$B$23, $J$278:$AE$279, 2, FALSE), FALSE)</f>
        <v>15.114799129282089</v>
      </c>
      <c r="G326" s="631">
        <f>VLOOKUP($A326, $J$277:$AE$369, HLOOKUP("Attached_" &amp;'Personalized Bill Menu'!$B$23, $J$278:$AE$279, 2, FALSE), FALSE)</f>
        <v>9.6534419826403539</v>
      </c>
      <c r="H326" s="631">
        <f>VLOOKUP($A326, $J$277:$AE$369, HLOOKUP("Apartment_" &amp;'Personalized Bill Menu'!$B$23, $J$278:$AE$279, 2, FALSE), FALSE)</f>
        <v>7.9777113230351038</v>
      </c>
      <c r="I326" s="1374"/>
      <c r="J326" s="634">
        <v>42309</v>
      </c>
      <c r="K326" s="1279">
        <f t="shared" si="61"/>
        <v>621.16898918569302</v>
      </c>
      <c r="L326" s="1279">
        <f t="shared" si="41"/>
        <v>471.4099054972209</v>
      </c>
      <c r="M326" s="1279">
        <f t="shared" si="42"/>
        <v>348.87469867441109</v>
      </c>
      <c r="N326" s="1279">
        <f t="shared" si="43"/>
        <v>550.32817799500685</v>
      </c>
      <c r="O326" s="1279">
        <f t="shared" si="44"/>
        <v>417.64827107866068</v>
      </c>
      <c r="P326" s="1279">
        <f t="shared" si="45"/>
        <v>309.08751179246377</v>
      </c>
      <c r="Q326" s="1279">
        <f t="shared" si="46"/>
        <v>728.53114810772342</v>
      </c>
      <c r="R326" s="1279">
        <f t="shared" si="47"/>
        <v>552.88787054785882</v>
      </c>
      <c r="S326" s="1279">
        <f t="shared" si="48"/>
        <v>409.1738145270225</v>
      </c>
      <c r="T326" s="1279">
        <f t="shared" si="49"/>
        <v>728.16557862515788</v>
      </c>
      <c r="U326" s="1279">
        <f t="shared" si="50"/>
        <v>552.61043706642442</v>
      </c>
      <c r="V326" s="1279">
        <f t="shared" si="51"/>
        <v>408.96849528975372</v>
      </c>
      <c r="W326" s="1280">
        <f t="shared" si="52"/>
        <v>14.990774689171802</v>
      </c>
      <c r="X326" s="1283">
        <f t="shared" si="53"/>
        <v>9.5742306926461236</v>
      </c>
      <c r="Y326" s="1282">
        <f t="shared" si="54"/>
        <v>7.9122502360740423</v>
      </c>
      <c r="Z326" s="1279">
        <f t="shared" si="55"/>
        <v>15.114799129282089</v>
      </c>
      <c r="AA326" s="1279">
        <f t="shared" si="56"/>
        <v>9.6534419826403539</v>
      </c>
      <c r="AB326" s="1279">
        <f t="shared" si="57"/>
        <v>7.9777113230351038</v>
      </c>
      <c r="AC326" s="1279">
        <f t="shared" si="58"/>
        <v>8.656210792207812</v>
      </c>
      <c r="AD326" s="1279">
        <f t="shared" si="59"/>
        <v>5.5285040811556172</v>
      </c>
      <c r="AE326" s="1279">
        <f t="shared" si="60"/>
        <v>4.5688169760582804</v>
      </c>
      <c r="AF326" s="1374"/>
      <c r="AG326" s="632">
        <v>42309</v>
      </c>
      <c r="AH326" s="1513">
        <v>551.24447081484539</v>
      </c>
      <c r="AI326" s="1513">
        <v>488.37815559827828</v>
      </c>
      <c r="AJ326" s="1513">
        <v>646.52095356086647</v>
      </c>
      <c r="AK326" s="1513">
        <v>646.19653595555894</v>
      </c>
      <c r="AL326" s="1284">
        <v>15.182274417569843</v>
      </c>
      <c r="AM326" s="1284">
        <v>15.307883208528454</v>
      </c>
      <c r="AN326" s="1284">
        <v>8.7667896015111992</v>
      </c>
      <c r="AO326" s="1570"/>
      <c r="AP326" s="1513">
        <v>571.38836594633881</v>
      </c>
      <c r="AQ326" s="1513">
        <v>14.638170158329318</v>
      </c>
      <c r="AR326" s="911"/>
      <c r="AS326" s="1493"/>
    </row>
    <row r="327" spans="1:45" x14ac:dyDescent="0.3">
      <c r="A327" s="970">
        <v>42339</v>
      </c>
      <c r="B327" s="631">
        <f>VLOOKUP($A327, $J$277:$AE$369, HLOOKUP("Detached_" &amp;'Personalized Bill Menu'!$B$22, $J$278:$AE$279, 2, FALSE), FALSE)</f>
        <v>703.35853981851835</v>
      </c>
      <c r="C327" s="631">
        <f>VLOOKUP($A327, $J$277:$AE$369, HLOOKUP("Attached_" &amp;'Personalized Bill Menu'!$B$22, $J$278:$AE$279, 2, FALSE), FALSE)</f>
        <v>533.78418523625146</v>
      </c>
      <c r="D327" s="631">
        <f>VLOOKUP($A327, $J$277:$AE$369, HLOOKUP("Apartment_" &amp;'Personalized Bill Menu'!$B$22, $J$278:$AE$279, 2, FALSE), FALSE)</f>
        <v>395.03581619703806</v>
      </c>
      <c r="E327" s="634">
        <v>42339</v>
      </c>
      <c r="F327" s="631">
        <f>VLOOKUP($A327, $J$277:$AE$369, HLOOKUP("Detached_" &amp;'Personalized Bill Menu'!$B$23, $J$278:$AE$279, 2, FALSE), FALSE)</f>
        <v>19.538732956479862</v>
      </c>
      <c r="G327" s="631">
        <f>VLOOKUP($A327, $J$277:$AE$369, HLOOKUP("Attached_" &amp;'Personalized Bill Menu'!$B$23, $J$278:$AE$279, 2, FALSE), FALSE)</f>
        <v>12.478897231539996</v>
      </c>
      <c r="H327" s="631">
        <f>VLOOKUP($A327, $J$277:$AE$369, HLOOKUP("Apartment_" &amp;'Personalized Bill Menu'!$B$23, $J$278:$AE$279, 2, FALSE), FALSE)</f>
        <v>10.312698819972486</v>
      </c>
      <c r="I327" s="1374"/>
      <c r="J327" s="634">
        <v>42339</v>
      </c>
      <c r="K327" s="1279">
        <f t="shared" si="61"/>
        <v>703.35853981851835</v>
      </c>
      <c r="L327" s="1279">
        <f t="shared" si="41"/>
        <v>533.78418523625146</v>
      </c>
      <c r="M327" s="1279">
        <f t="shared" si="42"/>
        <v>395.03581619703806</v>
      </c>
      <c r="N327" s="1279">
        <f t="shared" si="43"/>
        <v>616.50382990118783</v>
      </c>
      <c r="O327" s="1279">
        <f t="shared" si="44"/>
        <v>467.86948037020181</v>
      </c>
      <c r="P327" s="1279">
        <f t="shared" si="45"/>
        <v>346.25454849308363</v>
      </c>
      <c r="Q327" s="1279">
        <f t="shared" si="46"/>
        <v>878.54132595271074</v>
      </c>
      <c r="R327" s="1279">
        <f t="shared" si="47"/>
        <v>666.73174394248952</v>
      </c>
      <c r="S327" s="1279">
        <f t="shared" si="48"/>
        <v>493.42585624979387</v>
      </c>
      <c r="T327" s="1279">
        <f t="shared" si="49"/>
        <v>933.26996292520346</v>
      </c>
      <c r="U327" s="1279">
        <f t="shared" si="50"/>
        <v>708.26572589000421</v>
      </c>
      <c r="V327" s="1279">
        <f t="shared" si="51"/>
        <v>524.16376664945778</v>
      </c>
      <c r="W327" s="1280">
        <f t="shared" si="52"/>
        <v>20.59018529484085</v>
      </c>
      <c r="X327" s="1283">
        <f t="shared" si="53"/>
        <v>13.150433390179071</v>
      </c>
      <c r="Y327" s="1282">
        <f t="shared" si="54"/>
        <v>10.867663735723411</v>
      </c>
      <c r="Z327" s="1279">
        <f t="shared" si="55"/>
        <v>19.538732956479862</v>
      </c>
      <c r="AA327" s="1279">
        <f t="shared" si="56"/>
        <v>12.478897231539996</v>
      </c>
      <c r="AB327" s="1279">
        <f t="shared" si="57"/>
        <v>10.312698819972486</v>
      </c>
      <c r="AC327" s="1279">
        <f t="shared" si="58"/>
        <v>15.58981233944856</v>
      </c>
      <c r="AD327" s="1279">
        <f t="shared" si="59"/>
        <v>9.9568209707505044</v>
      </c>
      <c r="AE327" s="1279">
        <f t="shared" si="60"/>
        <v>8.2284270773711867</v>
      </c>
      <c r="AF327" s="1374"/>
      <c r="AG327" s="632">
        <v>42339</v>
      </c>
      <c r="AH327" s="1513">
        <v>624.18200654806878</v>
      </c>
      <c r="AI327" s="1513">
        <v>547.10446494554844</v>
      </c>
      <c r="AJ327" s="1513">
        <v>779.64460033435455</v>
      </c>
      <c r="AK327" s="1513">
        <v>828.21247647039399</v>
      </c>
      <c r="AL327" s="1284">
        <v>20.853214722831353</v>
      </c>
      <c r="AM327" s="1284">
        <v>19.788330601163992</v>
      </c>
      <c r="AN327" s="1284">
        <v>15.788964477392257</v>
      </c>
      <c r="AO327" s="1570"/>
      <c r="AP327" s="1513">
        <v>670.95704577590584</v>
      </c>
      <c r="AQ327" s="1513">
        <v>19.973805123316573</v>
      </c>
      <c r="AR327" s="911"/>
      <c r="AS327" s="1493"/>
    </row>
    <row r="328" spans="1:45" x14ac:dyDescent="0.3">
      <c r="A328" s="970">
        <v>42370</v>
      </c>
      <c r="B328" s="631">
        <f>VLOOKUP($A328, $J$277:$AE$369, HLOOKUP("Detached_" &amp;'Personalized Bill Menu'!$B$22, $J$278:$AE$279, 2, FALSE), FALSE)</f>
        <v>648.81494461562306</v>
      </c>
      <c r="C328" s="631">
        <f>VLOOKUP($A328, $J$277:$AE$369, HLOOKUP("Attached_" &amp;'Personalized Bill Menu'!$B$22, $J$278:$AE$279, 2, FALSE), FALSE)</f>
        <v>492.39063290553611</v>
      </c>
      <c r="D328" s="631">
        <f>VLOOKUP($A328, $J$277:$AE$369, HLOOKUP("Apartment_" &amp;'Personalized Bill Menu'!$B$22, $J$278:$AE$279, 2, FALSE), FALSE)</f>
        <v>364.40183305828771</v>
      </c>
      <c r="E328" s="634">
        <v>42370</v>
      </c>
      <c r="F328" s="631">
        <f>VLOOKUP($A328, $J$277:$AE$369, HLOOKUP("Detached_" &amp;'Personalized Bill Menu'!$B$23, $J$278:$AE$279, 2, FALSE), FALSE)</f>
        <v>18.105874123716191</v>
      </c>
      <c r="G328" s="631">
        <f>VLOOKUP($A328, $J$277:$AE$369, HLOOKUP("Attached_" &amp;'Personalized Bill Menu'!$B$23, $J$278:$AE$279, 2, FALSE), FALSE)</f>
        <v>11.563766339419772</v>
      </c>
      <c r="H328" s="631">
        <f>VLOOKUP($A328, $J$277:$AE$369, HLOOKUP("Apartment_" &amp;'Personalized Bill Menu'!$B$23, $J$278:$AE$279, 2, FALSE), FALSE)</f>
        <v>9.556424519753417</v>
      </c>
      <c r="I328" s="1374"/>
      <c r="J328" s="634">
        <v>42370</v>
      </c>
      <c r="K328" s="1279">
        <f t="shared" si="61"/>
        <v>648.81494461562306</v>
      </c>
      <c r="L328" s="1279">
        <f t="shared" si="41"/>
        <v>492.39063290553611</v>
      </c>
      <c r="M328" s="1279">
        <f t="shared" si="42"/>
        <v>364.40183305828771</v>
      </c>
      <c r="N328" s="1279">
        <f t="shared" si="43"/>
        <v>629.90010689618509</v>
      </c>
      <c r="O328" s="1279">
        <f t="shared" si="44"/>
        <v>478.0360176284525</v>
      </c>
      <c r="P328" s="1279">
        <f t="shared" si="45"/>
        <v>353.77846256695813</v>
      </c>
      <c r="Q328" s="1279">
        <f t="shared" si="46"/>
        <v>851.60468668395526</v>
      </c>
      <c r="R328" s="1279">
        <f t="shared" si="47"/>
        <v>646.28932200390705</v>
      </c>
      <c r="S328" s="1279">
        <f t="shared" si="48"/>
        <v>478.29710373349747</v>
      </c>
      <c r="T328" s="1279">
        <f t="shared" si="49"/>
        <v>794.39394145009476</v>
      </c>
      <c r="U328" s="1279">
        <f t="shared" si="50"/>
        <v>602.87164907809813</v>
      </c>
      <c r="V328" s="1279">
        <f t="shared" si="51"/>
        <v>446.1651366651368</v>
      </c>
      <c r="W328" s="1280">
        <f t="shared" si="52"/>
        <v>19.978238248555733</v>
      </c>
      <c r="X328" s="1283">
        <f t="shared" si="53"/>
        <v>12.759598205587233</v>
      </c>
      <c r="Y328" s="1282">
        <f t="shared" si="54"/>
        <v>10.544673212429666</v>
      </c>
      <c r="Z328" s="1279">
        <f t="shared" si="55"/>
        <v>18.105874123716191</v>
      </c>
      <c r="AA328" s="1279">
        <f t="shared" si="56"/>
        <v>11.563766339419772</v>
      </c>
      <c r="AB328" s="1279">
        <f t="shared" si="57"/>
        <v>9.556424519753417</v>
      </c>
      <c r="AC328" s="1279">
        <f t="shared" si="58"/>
        <v>22.926260024509698</v>
      </c>
      <c r="AD328" s="1279">
        <f t="shared" si="59"/>
        <v>14.642425554751197</v>
      </c>
      <c r="AE328" s="1279">
        <f t="shared" si="60"/>
        <v>12.100662577648512</v>
      </c>
      <c r="AF328" s="1374"/>
      <c r="AG328" s="632">
        <v>42370</v>
      </c>
      <c r="AH328" s="1283">
        <v>575.77834217104544</v>
      </c>
      <c r="AI328" s="1513">
        <v>558.99273327761227</v>
      </c>
      <c r="AJ328" s="1513">
        <v>755.74019796117591</v>
      </c>
      <c r="AK328" s="1513">
        <v>704.96962259374618</v>
      </c>
      <c r="AL328" s="1284">
        <v>20.233450355854849</v>
      </c>
      <c r="AM328" s="1284">
        <v>18.337167705868769</v>
      </c>
      <c r="AN328" s="1284">
        <v>23.219131651154033</v>
      </c>
      <c r="AO328" s="1570"/>
      <c r="AP328" s="1283">
        <v>642.78687153718272</v>
      </c>
      <c r="AQ328" s="1513">
        <v>19.784535093903379</v>
      </c>
      <c r="AR328" s="911"/>
      <c r="AS328" s="1493"/>
    </row>
    <row r="329" spans="1:45" x14ac:dyDescent="0.3">
      <c r="A329" s="970">
        <v>42401</v>
      </c>
      <c r="B329" s="631">
        <f>VLOOKUP($A329, $J$277:$AE$369, HLOOKUP("Detached_" &amp;'Personalized Bill Menu'!$B$22, $J$278:$AE$279, 2, FALSE), FALSE)</f>
        <v>572.05995122032334</v>
      </c>
      <c r="C329" s="631">
        <f>VLOOKUP($A329, $J$277:$AE$369, HLOOKUP("Attached_" &amp;'Personalized Bill Menu'!$B$22, $J$278:$AE$279, 2, FALSE), FALSE)</f>
        <v>434.14068029545587</v>
      </c>
      <c r="D329" s="631">
        <f>VLOOKUP($A329, $J$277:$AE$369, HLOOKUP("Apartment_" &amp;'Personalized Bill Menu'!$B$22, $J$278:$AE$279, 2, FALSE), FALSE)</f>
        <v>321.29299205248435</v>
      </c>
      <c r="E329" s="634">
        <v>42401</v>
      </c>
      <c r="F329" s="631">
        <f>VLOOKUP($A329, $J$277:$AE$369, HLOOKUP("Detached_" &amp;'Personalized Bill Menu'!$B$23, $J$278:$AE$279, 2, FALSE), FALSE)</f>
        <v>12.609699558786209</v>
      </c>
      <c r="G329" s="631">
        <f>VLOOKUP($A329, $J$277:$AE$369, HLOOKUP("Attached_" &amp;'Personalized Bill Menu'!$B$23, $J$278:$AE$279, 2, FALSE), FALSE)</f>
        <v>8.0534979041464805</v>
      </c>
      <c r="H329" s="631">
        <f>VLOOKUP($A329, $J$277:$AE$369, HLOOKUP("Apartment_" &amp;'Personalized Bill Menu'!$B$23, $J$278:$AE$279, 2, FALSE), FALSE)</f>
        <v>6.6554998243617121</v>
      </c>
      <c r="I329" s="1374"/>
      <c r="J329" s="634">
        <v>42401</v>
      </c>
      <c r="K329" s="1279">
        <f t="shared" si="61"/>
        <v>572.05995122032334</v>
      </c>
      <c r="L329" s="1279">
        <f t="shared" si="41"/>
        <v>434.14068029545587</v>
      </c>
      <c r="M329" s="1279">
        <f t="shared" si="42"/>
        <v>321.29299205248435</v>
      </c>
      <c r="N329" s="1279">
        <f t="shared" si="43"/>
        <v>527.90921046894471</v>
      </c>
      <c r="O329" s="1279">
        <f t="shared" si="44"/>
        <v>400.63434484151742</v>
      </c>
      <c r="P329" s="1279">
        <f t="shared" si="45"/>
        <v>296.49607423454631</v>
      </c>
      <c r="Q329" s="1279">
        <f t="shared" si="46"/>
        <v>701.52707749247975</v>
      </c>
      <c r="R329" s="1279">
        <f t="shared" si="47"/>
        <v>532.39427444374496</v>
      </c>
      <c r="S329" s="1279">
        <f t="shared" si="48"/>
        <v>394.0071897229962</v>
      </c>
      <c r="T329" s="1279">
        <f t="shared" si="49"/>
        <v>737.32098319997363</v>
      </c>
      <c r="U329" s="1279">
        <f t="shared" si="50"/>
        <v>559.55854375001877</v>
      </c>
      <c r="V329" s="1279">
        <f t="shared" si="51"/>
        <v>414.11055657724387</v>
      </c>
      <c r="W329" s="1280">
        <f t="shared" si="52"/>
        <v>14.878845766239708</v>
      </c>
      <c r="X329" s="1283">
        <f t="shared" si="53"/>
        <v>9.5027445052040989</v>
      </c>
      <c r="Y329" s="1282">
        <f t="shared" si="54"/>
        <v>7.8531732593829924</v>
      </c>
      <c r="Z329" s="1279">
        <f t="shared" si="55"/>
        <v>12.609699558786209</v>
      </c>
      <c r="AA329" s="1279">
        <f t="shared" si="56"/>
        <v>8.0534979041464805</v>
      </c>
      <c r="AB329" s="1279">
        <f t="shared" si="57"/>
        <v>6.6554998243617121</v>
      </c>
      <c r="AC329" s="1279">
        <f t="shared" si="58"/>
        <v>18.534242924065573</v>
      </c>
      <c r="AD329" s="1279">
        <f t="shared" si="59"/>
        <v>11.837354716345985</v>
      </c>
      <c r="AE329" s="1279">
        <f t="shared" si="60"/>
        <v>9.7825209832096647</v>
      </c>
      <c r="AF329" s="1374"/>
      <c r="AG329" s="632">
        <v>42401</v>
      </c>
      <c r="AH329" s="1283">
        <v>507.66359972059684</v>
      </c>
      <c r="AI329" s="1513">
        <v>468.48287411244587</v>
      </c>
      <c r="AJ329" s="1513">
        <v>622.55671053633785</v>
      </c>
      <c r="AK329" s="1513">
        <v>654.32132363460289</v>
      </c>
      <c r="AL329" s="1284">
        <v>15.06891565803585</v>
      </c>
      <c r="AM329" s="1284">
        <v>12.770782230679924</v>
      </c>
      <c r="AN329" s="1284">
        <v>18.771008705662279</v>
      </c>
      <c r="AO329" s="1570"/>
      <c r="AP329" s="1283">
        <v>547.71695659835859</v>
      </c>
      <c r="AQ329" s="1513">
        <v>14.532611712925958</v>
      </c>
      <c r="AR329" s="911"/>
      <c r="AS329" s="1493"/>
    </row>
    <row r="330" spans="1:45" x14ac:dyDescent="0.3">
      <c r="A330" s="970">
        <v>42430</v>
      </c>
      <c r="B330" s="631">
        <f>VLOOKUP($A330, $J$277:$AE$369, HLOOKUP("Detached_" &amp;'Personalized Bill Menu'!$B$22, $J$278:$AE$279, 2, FALSE), FALSE)</f>
        <v>568.09995204782911</v>
      </c>
      <c r="C330" s="631">
        <f>VLOOKUP($A330, $J$277:$AE$369, HLOOKUP("Attached_" &amp;'Personalized Bill Menu'!$B$22, $J$278:$AE$279, 2, FALSE), FALSE)</f>
        <v>431.13540658061407</v>
      </c>
      <c r="D330" s="631">
        <f>VLOOKUP($A330, $J$277:$AE$369, HLOOKUP("Apartment_" &amp;'Personalized Bill Menu'!$B$22, $J$278:$AE$279, 2, FALSE), FALSE)</f>
        <v>319.06888952626849</v>
      </c>
      <c r="E330" s="634">
        <v>42430</v>
      </c>
      <c r="F330" s="631">
        <f>VLOOKUP($A330, $J$277:$AE$369, HLOOKUP("Detached_" &amp;'Personalized Bill Menu'!$B$23, $J$278:$AE$279, 2, FALSE), FALSE)</f>
        <v>12.219487123971039</v>
      </c>
      <c r="G330" s="631">
        <f>VLOOKUP($A330, $J$277:$AE$369, HLOOKUP("Attached_" &amp;'Personalized Bill Menu'!$B$23, $J$278:$AE$279, 2, FALSE), FALSE)</f>
        <v>7.8042790380422371</v>
      </c>
      <c r="H330" s="631">
        <f>VLOOKUP($A330, $J$277:$AE$369, HLOOKUP("Apartment_" &amp;'Personalized Bill Menu'!$B$23, $J$278:$AE$279, 2, FALSE), FALSE)</f>
        <v>6.4495425944317937</v>
      </c>
      <c r="I330" s="1374"/>
      <c r="J330" s="634">
        <v>42430</v>
      </c>
      <c r="K330" s="1279">
        <f t="shared" si="61"/>
        <v>568.09995204782911</v>
      </c>
      <c r="L330" s="1279">
        <f t="shared" si="41"/>
        <v>431.13540658061407</v>
      </c>
      <c r="M330" s="1279">
        <f t="shared" si="42"/>
        <v>319.06888952626849</v>
      </c>
      <c r="N330" s="1279">
        <f t="shared" si="43"/>
        <v>526.89320316459441</v>
      </c>
      <c r="O330" s="1279">
        <f t="shared" si="44"/>
        <v>399.86328911325876</v>
      </c>
      <c r="P330" s="1279">
        <f t="shared" si="45"/>
        <v>295.9254416879653</v>
      </c>
      <c r="Q330" s="1279">
        <f t="shared" si="46"/>
        <v>694.64532985788458</v>
      </c>
      <c r="R330" s="1279">
        <f t="shared" si="47"/>
        <v>527.17166343360248</v>
      </c>
      <c r="S330" s="1279">
        <f t="shared" si="48"/>
        <v>390.14211005197126</v>
      </c>
      <c r="T330" s="1279">
        <f t="shared" si="49"/>
        <v>723.10517812704529</v>
      </c>
      <c r="U330" s="1279">
        <f t="shared" si="50"/>
        <v>548.77006035392844</v>
      </c>
      <c r="V330" s="1279">
        <f t="shared" si="51"/>
        <v>406.1263609757641</v>
      </c>
      <c r="W330" s="1280">
        <f t="shared" si="52"/>
        <v>13.206160273874641</v>
      </c>
      <c r="X330" s="1283">
        <f t="shared" si="53"/>
        <v>8.4344423585703243</v>
      </c>
      <c r="Y330" s="1282">
        <f t="shared" si="54"/>
        <v>6.9703165387491435</v>
      </c>
      <c r="Z330" s="1279">
        <f t="shared" si="55"/>
        <v>12.219487123971039</v>
      </c>
      <c r="AA330" s="1279">
        <f t="shared" si="56"/>
        <v>7.8042790380422371</v>
      </c>
      <c r="AB330" s="1279">
        <f t="shared" si="57"/>
        <v>6.4495425944317937</v>
      </c>
      <c r="AC330" s="1279">
        <f t="shared" si="58"/>
        <v>14.595395349781855</v>
      </c>
      <c r="AD330" s="1279">
        <f t="shared" si="59"/>
        <v>9.3217118545663471</v>
      </c>
      <c r="AE330" s="1279">
        <f t="shared" si="60"/>
        <v>7.7035658727711516</v>
      </c>
      <c r="AF330" s="1374"/>
      <c r="AG330" s="632">
        <v>42430</v>
      </c>
      <c r="AH330" s="1283">
        <v>504.14937462843557</v>
      </c>
      <c r="AI330" s="1513">
        <v>467.58123797384081</v>
      </c>
      <c r="AJ330" s="1513">
        <v>616.44963597344508</v>
      </c>
      <c r="AK330" s="1513">
        <v>641.70578087399872</v>
      </c>
      <c r="AL330" s="1284">
        <v>13.374862436242189</v>
      </c>
      <c r="AM330" s="1284">
        <v>12.375585025108467</v>
      </c>
      <c r="AN330" s="1284">
        <v>14.781844302774536</v>
      </c>
      <c r="AO330" s="1570"/>
      <c r="AP330" s="1283">
        <v>543.24771404193632</v>
      </c>
      <c r="AQ330" s="1513">
        <v>13.124025870796624</v>
      </c>
      <c r="AR330" s="911"/>
      <c r="AS330" s="1493"/>
    </row>
    <row r="331" spans="1:45" x14ac:dyDescent="0.3">
      <c r="A331" s="970">
        <v>42461</v>
      </c>
      <c r="B331" s="631">
        <f>VLOOKUP($A331, $J$277:$AE$369, HLOOKUP("Detached_" &amp;'Personalized Bill Menu'!$B$22, $J$278:$AE$279, 2, FALSE), FALSE)</f>
        <v>507.02427047604448</v>
      </c>
      <c r="C331" s="631">
        <f>VLOOKUP($A331, $J$277:$AE$369, HLOOKUP("Attached_" &amp;'Personalized Bill Menu'!$B$22, $J$278:$AE$279, 2, FALSE), FALSE)</f>
        <v>384.7846038535219</v>
      </c>
      <c r="D331" s="631">
        <f>VLOOKUP($A331, $J$277:$AE$369, HLOOKUP("Apartment_" &amp;'Personalized Bill Menu'!$B$22, $J$278:$AE$279, 2, FALSE), FALSE)</f>
        <v>284.76621122833296</v>
      </c>
      <c r="E331" s="634">
        <v>42461</v>
      </c>
      <c r="F331" s="631">
        <f>VLOOKUP($A331, $J$277:$AE$369, HLOOKUP("Detached_" &amp;'Personalized Bill Menu'!$B$23, $J$278:$AE$279, 2, FALSE), FALSE)</f>
        <v>6.9950986930345893</v>
      </c>
      <c r="G331" s="631">
        <f>VLOOKUP($A331, $J$277:$AE$369, HLOOKUP("Attached_" &amp;'Personalized Bill Menu'!$B$23, $J$278:$AE$279, 2, FALSE), FALSE)</f>
        <v>4.4675935696182894</v>
      </c>
      <c r="H331" s="631">
        <f>VLOOKUP($A331, $J$277:$AE$369, HLOOKUP("Apartment_" &amp;'Personalized Bill Menu'!$B$23, $J$278:$AE$279, 2, FALSE), FALSE)</f>
        <v>3.6920687844973483</v>
      </c>
      <c r="I331" s="1374"/>
      <c r="J331" s="634">
        <v>42461</v>
      </c>
      <c r="K331" s="1279">
        <f t="shared" si="61"/>
        <v>507.02427047604448</v>
      </c>
      <c r="L331" s="1279">
        <f t="shared" si="41"/>
        <v>384.7846038535219</v>
      </c>
      <c r="M331" s="1279">
        <f t="shared" si="42"/>
        <v>284.76621122833296</v>
      </c>
      <c r="N331" s="1279">
        <f t="shared" si="43"/>
        <v>465.37197607008437</v>
      </c>
      <c r="O331" s="1279">
        <f t="shared" si="44"/>
        <v>353.17435847505163</v>
      </c>
      <c r="P331" s="1279">
        <f t="shared" si="45"/>
        <v>261.37252623606241</v>
      </c>
      <c r="Q331" s="1279">
        <f t="shared" si="46"/>
        <v>602.06736209317319</v>
      </c>
      <c r="R331" s="1279">
        <f t="shared" si="47"/>
        <v>456.91353433366294</v>
      </c>
      <c r="S331" s="1279">
        <f t="shared" si="48"/>
        <v>338.14641939435569</v>
      </c>
      <c r="T331" s="1279">
        <f t="shared" si="49"/>
        <v>570.28744340305536</v>
      </c>
      <c r="U331" s="1279">
        <f t="shared" si="50"/>
        <v>432.79551053138448</v>
      </c>
      <c r="V331" s="1279">
        <f t="shared" si="51"/>
        <v>320.29747691664664</v>
      </c>
      <c r="W331" s="1280">
        <f t="shared" si="52"/>
        <v>7.0906025665614578</v>
      </c>
      <c r="X331" s="1283">
        <f t="shared" si="53"/>
        <v>4.5285894911865059</v>
      </c>
      <c r="Y331" s="1282">
        <f t="shared" si="54"/>
        <v>3.7424764893376312</v>
      </c>
      <c r="Z331" s="1279">
        <f t="shared" si="55"/>
        <v>6.9950986930345893</v>
      </c>
      <c r="AA331" s="1279">
        <f t="shared" si="56"/>
        <v>4.4675935696182894</v>
      </c>
      <c r="AB331" s="1279">
        <f t="shared" si="57"/>
        <v>3.6920687844973483</v>
      </c>
      <c r="AC331" s="1279">
        <f t="shared" si="58"/>
        <v>12.41902579732613</v>
      </c>
      <c r="AD331" s="1279">
        <f t="shared" si="59"/>
        <v>7.9317193692071211</v>
      </c>
      <c r="AE331" s="1279">
        <f t="shared" si="60"/>
        <v>6.5548606949366413</v>
      </c>
      <c r="AF331" s="1374"/>
      <c r="AG331" s="632">
        <v>42461</v>
      </c>
      <c r="AH331" s="1283">
        <v>449.94893585278101</v>
      </c>
      <c r="AI331" s="1513">
        <v>412.98540839443621</v>
      </c>
      <c r="AJ331" s="1513">
        <v>534.2930992853004</v>
      </c>
      <c r="AK331" s="1513">
        <v>506.09062175364147</v>
      </c>
      <c r="AL331" s="1284">
        <v>7.1811815055308879</v>
      </c>
      <c r="AM331" s="1284">
        <v>7.0844576172802594</v>
      </c>
      <c r="AN331" s="1284">
        <v>12.57767270627301</v>
      </c>
      <c r="AO331" s="1570"/>
      <c r="AP331" s="1283">
        <v>470.8590031217114</v>
      </c>
      <c r="AQ331" s="1513">
        <v>7.6471624167395547</v>
      </c>
      <c r="AR331" s="911"/>
      <c r="AS331" s="1493"/>
    </row>
    <row r="332" spans="1:45" x14ac:dyDescent="0.3">
      <c r="A332" s="970">
        <v>42491</v>
      </c>
      <c r="B332" s="631">
        <f>VLOOKUP($A332, $J$277:$AE$369, HLOOKUP("Detached_" &amp;'Personalized Bill Menu'!$B$22, $J$278:$AE$279, 2, FALSE), FALSE)</f>
        <v>528.70316044981587</v>
      </c>
      <c r="C332" s="631">
        <f>VLOOKUP($A332, $J$277:$AE$369, HLOOKUP("Attached_" &amp;'Personalized Bill Menu'!$B$22, $J$278:$AE$279, 2, FALSE), FALSE)</f>
        <v>401.23687956551043</v>
      </c>
      <c r="D332" s="631">
        <f>VLOOKUP($A332, $J$277:$AE$369, HLOOKUP("Apartment_" &amp;'Personalized Bill Menu'!$B$22, $J$278:$AE$279, 2, FALSE), FALSE)</f>
        <v>296.9419900242288</v>
      </c>
      <c r="E332" s="634">
        <v>42491</v>
      </c>
      <c r="F332" s="631">
        <f>VLOOKUP($A332, $J$277:$AE$369, HLOOKUP("Detached_" &amp;'Personalized Bill Menu'!$B$23, $J$278:$AE$279, 2, FALSE), FALSE)</f>
        <v>6.1900362861615976</v>
      </c>
      <c r="G332" s="631">
        <f>VLOOKUP($A332, $J$277:$AE$369, HLOOKUP("Attached_" &amp;'Personalized Bill Menu'!$B$23, $J$278:$AE$279, 2, FALSE), FALSE)</f>
        <v>3.9534204621439617</v>
      </c>
      <c r="H332" s="631">
        <f>VLOOKUP($A332, $J$277:$AE$369, HLOOKUP("Apartment_" &amp;'Personalized Bill Menu'!$B$23, $J$278:$AE$279, 2, FALSE), FALSE)</f>
        <v>3.2671504363191008</v>
      </c>
      <c r="I332" s="1374"/>
      <c r="J332" s="634">
        <v>42491</v>
      </c>
      <c r="K332" s="1279">
        <f t="shared" si="61"/>
        <v>528.70316044981587</v>
      </c>
      <c r="L332" s="1279">
        <f t="shared" si="41"/>
        <v>401.23687956551043</v>
      </c>
      <c r="M332" s="1279">
        <f t="shared" si="42"/>
        <v>296.9419900242288</v>
      </c>
      <c r="N332" s="1279">
        <f t="shared" si="43"/>
        <v>479.00966320159068</v>
      </c>
      <c r="O332" s="1279">
        <f t="shared" si="44"/>
        <v>363.52410373566408</v>
      </c>
      <c r="P332" s="1279">
        <f t="shared" si="45"/>
        <v>269.03202642273038</v>
      </c>
      <c r="Q332" s="1279">
        <f t="shared" si="46"/>
        <v>629.44518257929826</v>
      </c>
      <c r="R332" s="1279">
        <f t="shared" si="47"/>
        <v>477.69077207858504</v>
      </c>
      <c r="S332" s="1279">
        <f t="shared" si="48"/>
        <v>353.5229578866913</v>
      </c>
      <c r="T332" s="1279">
        <f t="shared" si="49"/>
        <v>581.08496960306672</v>
      </c>
      <c r="U332" s="1279">
        <f t="shared" si="50"/>
        <v>440.98983589882408</v>
      </c>
      <c r="V332" s="1279">
        <f t="shared" si="51"/>
        <v>326.3618229561942</v>
      </c>
      <c r="W332" s="1280">
        <f t="shared" si="52"/>
        <v>4.6826820141139551</v>
      </c>
      <c r="X332" s="1283">
        <f t="shared" si="53"/>
        <v>2.9907112069275388</v>
      </c>
      <c r="Y332" s="1282">
        <f t="shared" si="54"/>
        <v>2.471556850120316</v>
      </c>
      <c r="Z332" s="1279">
        <f t="shared" si="55"/>
        <v>6.1900362861615976</v>
      </c>
      <c r="AA332" s="1279">
        <f t="shared" si="56"/>
        <v>3.9534204621439617</v>
      </c>
      <c r="AB332" s="1279">
        <f t="shared" si="57"/>
        <v>3.2671504363191008</v>
      </c>
      <c r="AC332" s="1279">
        <f t="shared" si="58"/>
        <v>5.9255758498408371</v>
      </c>
      <c r="AD332" s="1279">
        <f t="shared" si="59"/>
        <v>3.7845162341161909</v>
      </c>
      <c r="AE332" s="1279">
        <f t="shared" si="60"/>
        <v>3.1275661124200411</v>
      </c>
      <c r="AF332" s="1374"/>
      <c r="AG332" s="632">
        <v>42491</v>
      </c>
      <c r="AH332" s="1513">
        <v>469.18744975076379</v>
      </c>
      <c r="AI332" s="1513">
        <v>425.08791150844513</v>
      </c>
      <c r="AJ332" s="1513">
        <v>558.58901944339163</v>
      </c>
      <c r="AK332" s="1513">
        <v>515.67267868155966</v>
      </c>
      <c r="AL332" s="1284">
        <v>4.7425009595968026</v>
      </c>
      <c r="AM332" s="1284">
        <v>6.269110936548425</v>
      </c>
      <c r="AN332" s="1284">
        <v>6.0012721490231709</v>
      </c>
      <c r="AO332" s="1570"/>
      <c r="AP332" s="1513">
        <v>487.07214643354223</v>
      </c>
      <c r="AQ332" s="1513">
        <v>5.4568344952411101</v>
      </c>
      <c r="AR332" s="911"/>
      <c r="AS332" s="1493"/>
    </row>
    <row r="333" spans="1:45" x14ac:dyDescent="0.3">
      <c r="A333" s="970">
        <v>42522</v>
      </c>
      <c r="B333" s="631">
        <f>VLOOKUP($A333, $J$277:$AE$369, HLOOKUP("Detached_" &amp;'Personalized Bill Menu'!$B$22, $J$278:$AE$279, 2, FALSE), FALSE)</f>
        <v>505.94066890972266</v>
      </c>
      <c r="C333" s="631">
        <f>VLOOKUP($A333, $J$277:$AE$369, HLOOKUP("Attached_" &amp;'Personalized Bill Menu'!$B$22, $J$278:$AE$279, 2, FALSE), FALSE)</f>
        <v>383.96225032192331</v>
      </c>
      <c r="D333" s="631">
        <f>VLOOKUP($A333, $J$277:$AE$369, HLOOKUP("Apartment_" &amp;'Personalized Bill Menu'!$B$22, $J$278:$AE$279, 2, FALSE), FALSE)</f>
        <v>284.15761489381663</v>
      </c>
      <c r="E333" s="634">
        <v>42522</v>
      </c>
      <c r="F333" s="631">
        <f>VLOOKUP($A333, $J$277:$AE$369, HLOOKUP("Detached_" &amp;'Personalized Bill Menu'!$B$23, $J$278:$AE$279, 2, FALSE), FALSE)</f>
        <v>2.6287907600549798</v>
      </c>
      <c r="G333" s="631">
        <f>VLOOKUP($A333, $J$277:$AE$369, HLOOKUP("Attached_" &amp;'Personalized Bill Menu'!$B$23, $J$278:$AE$279, 2, FALSE), FALSE)</f>
        <v>1.6789425297441658</v>
      </c>
      <c r="H333" s="631">
        <f>VLOOKUP($A333, $J$277:$AE$369, HLOOKUP("Apartment_" &amp;'Personalized Bill Menu'!$B$23, $J$278:$AE$279, 2, FALSE), FALSE)</f>
        <v>1.3874966933402288</v>
      </c>
      <c r="I333" s="1374"/>
      <c r="J333" s="634">
        <v>42522</v>
      </c>
      <c r="K333" s="1279">
        <f t="shared" si="61"/>
        <v>505.94066890972266</v>
      </c>
      <c r="L333" s="1279">
        <f t="shared" si="41"/>
        <v>383.96225032192331</v>
      </c>
      <c r="M333" s="1279">
        <f t="shared" si="42"/>
        <v>284.15761489381663</v>
      </c>
      <c r="N333" s="1279">
        <f t="shared" si="43"/>
        <v>482.81107149859162</v>
      </c>
      <c r="O333" s="1279">
        <f t="shared" si="44"/>
        <v>366.40902161991772</v>
      </c>
      <c r="P333" s="1279">
        <f t="shared" si="45"/>
        <v>271.16705762558098</v>
      </c>
      <c r="Q333" s="1279">
        <f t="shared" si="46"/>
        <v>622.70931934190139</v>
      </c>
      <c r="R333" s="1279">
        <f t="shared" si="47"/>
        <v>472.57887385529142</v>
      </c>
      <c r="S333" s="1279">
        <f t="shared" si="48"/>
        <v>349.73981304499608</v>
      </c>
      <c r="T333" s="1279">
        <f t="shared" si="49"/>
        <v>504.03899445531056</v>
      </c>
      <c r="U333" s="1279">
        <f t="shared" si="50"/>
        <v>382.51905500720528</v>
      </c>
      <c r="V333" s="1279">
        <f t="shared" si="51"/>
        <v>283.08955432767408</v>
      </c>
      <c r="W333" s="1280">
        <f t="shared" si="52"/>
        <v>2.3543111837058399</v>
      </c>
      <c r="X333" s="1283">
        <f t="shared" si="53"/>
        <v>1.5036393290173444</v>
      </c>
      <c r="Y333" s="1282">
        <f t="shared" si="54"/>
        <v>1.2426241875627462</v>
      </c>
      <c r="Z333" s="1279">
        <f t="shared" si="55"/>
        <v>2.6287907600549798</v>
      </c>
      <c r="AA333" s="1279">
        <f t="shared" si="56"/>
        <v>1.6789425297441658</v>
      </c>
      <c r="AB333" s="1279">
        <f t="shared" si="57"/>
        <v>1.3874966933402288</v>
      </c>
      <c r="AC333" s="1279">
        <f t="shared" si="58"/>
        <v>4.3040468840022141</v>
      </c>
      <c r="AD333" s="1279">
        <f t="shared" si="59"/>
        <v>2.7488864741037964</v>
      </c>
      <c r="AE333" s="1279">
        <f t="shared" si="60"/>
        <v>2.2717102137902714</v>
      </c>
      <c r="AF333" s="1374"/>
      <c r="AG333" s="632">
        <v>42522</v>
      </c>
      <c r="AH333" s="1513">
        <v>448.9873144866142</v>
      </c>
      <c r="AI333" s="1513">
        <v>428.46139817876087</v>
      </c>
      <c r="AJ333" s="1513">
        <v>552.61140718259992</v>
      </c>
      <c r="AK333" s="1513">
        <v>447.29971007213953</v>
      </c>
      <c r="AL333" s="1284">
        <v>2.3843863440355992</v>
      </c>
      <c r="AM333" s="1284">
        <v>2.6623722611450757</v>
      </c>
      <c r="AN333" s="1284">
        <v>4.3590289530672779</v>
      </c>
      <c r="AO333" s="1570"/>
      <c r="AP333" s="1513">
        <v>475.49696173552678</v>
      </c>
      <c r="AQ333" s="1513">
        <v>2.6768602994561568</v>
      </c>
      <c r="AR333" s="911"/>
      <c r="AS333" s="1493"/>
    </row>
    <row r="334" spans="1:45" x14ac:dyDescent="0.3">
      <c r="A334" s="970">
        <v>42552</v>
      </c>
      <c r="B334" s="631">
        <f>VLOOKUP($A334, $J$277:$AE$369, HLOOKUP("Detached_" &amp;'Personalized Bill Menu'!$B$22, $J$278:$AE$279, 2, FALSE), FALSE)</f>
        <v>525.29824868173444</v>
      </c>
      <c r="C334" s="631">
        <f>VLOOKUP($A334, $J$277:$AE$369, HLOOKUP("Attached_" &amp;'Personalized Bill Menu'!$B$22, $J$278:$AE$279, 2, FALSE), FALSE)</f>
        <v>398.65286593514259</v>
      </c>
      <c r="D334" s="631">
        <f>VLOOKUP($A334, $J$277:$AE$369, HLOOKUP("Apartment_" &amp;'Personalized Bill Menu'!$B$22, $J$278:$AE$279, 2, FALSE), FALSE)</f>
        <v>295.02964799205557</v>
      </c>
      <c r="E334" s="634">
        <v>42552</v>
      </c>
      <c r="F334" s="631">
        <f>VLOOKUP($A334, $J$277:$AE$369, HLOOKUP("Detached_" &amp;'Personalized Bill Menu'!$B$23, $J$278:$AE$279, 2, FALSE), FALSE)</f>
        <v>2.4285142831424009</v>
      </c>
      <c r="G334" s="631">
        <f>VLOOKUP($A334, $J$277:$AE$369, HLOOKUP("Attached_" &amp;'Personalized Bill Menu'!$B$23, $J$278:$AE$279, 2, FALSE), FALSE)</f>
        <v>1.551030982006977</v>
      </c>
      <c r="H334" s="631">
        <f>VLOOKUP($A334, $J$277:$AE$369, HLOOKUP("Apartment_" &amp;'Personalized Bill Menu'!$B$23, $J$278:$AE$279, 2, FALSE), FALSE)</f>
        <v>1.2817891742434173</v>
      </c>
      <c r="I334" s="1374"/>
      <c r="J334" s="634">
        <v>42552</v>
      </c>
      <c r="K334" s="1279">
        <f t="shared" si="61"/>
        <v>525.29824868173444</v>
      </c>
      <c r="L334" s="1279">
        <f t="shared" si="41"/>
        <v>398.65286593514259</v>
      </c>
      <c r="M334" s="1279">
        <f t="shared" si="42"/>
        <v>295.02964799205557</v>
      </c>
      <c r="N334" s="1279">
        <f t="shared" si="43"/>
        <v>508.88701131926229</v>
      </c>
      <c r="O334" s="1279">
        <f t="shared" si="44"/>
        <v>386.19825215238222</v>
      </c>
      <c r="P334" s="1279">
        <f t="shared" si="45"/>
        <v>285.81240503662025</v>
      </c>
      <c r="Q334" s="1279">
        <f t="shared" si="46"/>
        <v>655.67610477775963</v>
      </c>
      <c r="R334" s="1279">
        <f t="shared" si="47"/>
        <v>497.59761992508157</v>
      </c>
      <c r="S334" s="1279">
        <f t="shared" si="48"/>
        <v>368.25534993661773</v>
      </c>
      <c r="T334" s="1279">
        <f t="shared" si="49"/>
        <v>509.43619695590149</v>
      </c>
      <c r="U334" s="1279">
        <f t="shared" si="50"/>
        <v>386.61503334007142</v>
      </c>
      <c r="V334" s="1279">
        <f t="shared" si="51"/>
        <v>286.12085084900696</v>
      </c>
      <c r="W334" s="1280">
        <f t="shared" si="52"/>
        <v>1.9015080144978764</v>
      </c>
      <c r="X334" s="1283">
        <f t="shared" si="53"/>
        <v>1.2144453353613816</v>
      </c>
      <c r="Y334" s="1282">
        <f t="shared" si="54"/>
        <v>1.0036310696788087</v>
      </c>
      <c r="Z334" s="1279">
        <f t="shared" si="55"/>
        <v>2.4285142831424009</v>
      </c>
      <c r="AA334" s="1279">
        <f t="shared" si="56"/>
        <v>1.551030982006977</v>
      </c>
      <c r="AB334" s="1279">
        <f t="shared" si="57"/>
        <v>1.2817891742434173</v>
      </c>
      <c r="AC334" s="1279">
        <f t="shared" si="58"/>
        <v>2.48593570918458</v>
      </c>
      <c r="AD334" s="1279">
        <f t="shared" si="59"/>
        <v>1.5877046023520047</v>
      </c>
      <c r="AE334" s="1279">
        <f t="shared" si="60"/>
        <v>1.3120966600924384</v>
      </c>
      <c r="AF334" s="1374"/>
      <c r="AG334" s="632">
        <v>42552</v>
      </c>
      <c r="AH334" s="1513">
        <v>466.16582629813809</v>
      </c>
      <c r="AI334" s="1513">
        <v>451.60198938291762</v>
      </c>
      <c r="AJ334" s="1513">
        <v>581.86714677751979</v>
      </c>
      <c r="AK334" s="1513">
        <v>452.08935361216732</v>
      </c>
      <c r="AL334" s="1284">
        <v>1.9257988384128051</v>
      </c>
      <c r="AM334" s="1284">
        <v>2.4595373513477057</v>
      </c>
      <c r="AN334" s="1284">
        <v>2.5176923076923079</v>
      </c>
      <c r="AO334" s="1570"/>
      <c r="AP334" s="1513">
        <v>496.5462033098371</v>
      </c>
      <c r="AQ334" s="1513">
        <v>2.1860170608535938</v>
      </c>
      <c r="AR334" s="911"/>
      <c r="AS334" s="1493"/>
    </row>
    <row r="335" spans="1:45" x14ac:dyDescent="0.3">
      <c r="A335" s="970">
        <v>42583</v>
      </c>
      <c r="B335" s="631">
        <f>VLOOKUP($A335, $J$277:$AE$369, HLOOKUP("Detached_" &amp;'Personalized Bill Menu'!$B$22, $J$278:$AE$279, 2, FALSE), FALSE)</f>
        <v>514.49747885704483</v>
      </c>
      <c r="C335" s="631">
        <f>VLOOKUP($A335, $J$277:$AE$369, HLOOKUP("Attached_" &amp;'Personalized Bill Menu'!$B$22, $J$278:$AE$279, 2, FALSE), FALSE)</f>
        <v>390.45607895608089</v>
      </c>
      <c r="D335" s="631">
        <f>VLOOKUP($A335, $J$277:$AE$369, HLOOKUP("Apartment_" &amp;'Personalized Bill Menu'!$B$22, $J$278:$AE$279, 2, FALSE), FALSE)</f>
        <v>288.96348019610684</v>
      </c>
      <c r="E335" s="634">
        <v>42583</v>
      </c>
      <c r="F335" s="631">
        <f>VLOOKUP($A335, $J$277:$AE$369, HLOOKUP("Detached_" &amp;'Personalized Bill Menu'!$B$23, $J$278:$AE$279, 2, FALSE), FALSE)</f>
        <v>2.7213645106571978</v>
      </c>
      <c r="G335" s="631">
        <f>VLOOKUP($A335, $J$277:$AE$369, HLOOKUP("Attached_" &amp;'Personalized Bill Menu'!$B$23, $J$278:$AE$279, 2, FALSE), FALSE)</f>
        <v>1.7380670555092912</v>
      </c>
      <c r="H335" s="631">
        <f>VLOOKUP($A335, $J$277:$AE$369, HLOOKUP("Apartment_" &amp;'Personalized Bill Menu'!$B$23, $J$278:$AE$279, 2, FALSE), FALSE)</f>
        <v>1.4363578559715198</v>
      </c>
      <c r="I335" s="1374"/>
      <c r="J335" s="634">
        <v>42583</v>
      </c>
      <c r="K335" s="1279">
        <f t="shared" si="61"/>
        <v>514.49747885704483</v>
      </c>
      <c r="L335" s="1279">
        <f t="shared" si="41"/>
        <v>390.45607895608089</v>
      </c>
      <c r="M335" s="1279">
        <f t="shared" si="42"/>
        <v>288.96348019610684</v>
      </c>
      <c r="N335" s="1279">
        <f t="shared" si="43"/>
        <v>501.74857849487307</v>
      </c>
      <c r="O335" s="1279">
        <f t="shared" si="44"/>
        <v>380.78084078489741</v>
      </c>
      <c r="P335" s="1279">
        <f t="shared" si="45"/>
        <v>281.80316013873653</v>
      </c>
      <c r="Q335" s="1279">
        <f t="shared" si="46"/>
        <v>650.4907230286168</v>
      </c>
      <c r="R335" s="1279">
        <f t="shared" si="47"/>
        <v>493.66239398353076</v>
      </c>
      <c r="S335" s="1279">
        <f t="shared" si="48"/>
        <v>365.34302088166032</v>
      </c>
      <c r="T335" s="1279">
        <f t="shared" si="49"/>
        <v>528.2673302771417</v>
      </c>
      <c r="U335" s="1279">
        <f t="shared" si="50"/>
        <v>400.90612470799164</v>
      </c>
      <c r="V335" s="1279">
        <f t="shared" si="51"/>
        <v>296.69720942054113</v>
      </c>
      <c r="W335" s="1280">
        <f t="shared" si="52"/>
        <v>2.3591203239301617</v>
      </c>
      <c r="X335" s="1283">
        <f t="shared" si="53"/>
        <v>1.5067108059020047</v>
      </c>
      <c r="Y335" s="1282">
        <f t="shared" si="54"/>
        <v>1.2451624900630625</v>
      </c>
      <c r="Z335" s="1279">
        <f t="shared" si="55"/>
        <v>2.7213645106571978</v>
      </c>
      <c r="AA335" s="1279">
        <f t="shared" si="56"/>
        <v>1.7380670555092912</v>
      </c>
      <c r="AB335" s="1279">
        <f t="shared" si="57"/>
        <v>1.4363578559715198</v>
      </c>
      <c r="AC335" s="1279">
        <f t="shared" si="58"/>
        <v>2.1873362767239763</v>
      </c>
      <c r="AD335" s="1279">
        <f t="shared" si="59"/>
        <v>1.396996656275272</v>
      </c>
      <c r="AE335" s="1279">
        <f t="shared" si="60"/>
        <v>1.1544935022193137</v>
      </c>
      <c r="AF335" s="1374"/>
      <c r="AG335" s="632">
        <v>42583</v>
      </c>
      <c r="AH335" s="1283">
        <v>456.58089087789267</v>
      </c>
      <c r="AI335" s="1513">
        <v>445.26712448586875</v>
      </c>
      <c r="AJ335" s="1513">
        <v>577.2654794888382</v>
      </c>
      <c r="AK335" s="1513">
        <v>468.80068064753493</v>
      </c>
      <c r="AL335" s="1284">
        <v>2.3892569186464607</v>
      </c>
      <c r="AM335" s="1284">
        <v>2.7561285956006767</v>
      </c>
      <c r="AN335" s="1284">
        <v>2.2152784152453688</v>
      </c>
      <c r="AO335" s="1570"/>
      <c r="AP335" s="1283">
        <v>493.10472071796244</v>
      </c>
      <c r="AQ335" s="1513">
        <v>2.5135649155232058</v>
      </c>
      <c r="AR335" s="911"/>
      <c r="AS335" s="1493"/>
    </row>
    <row r="336" spans="1:45" x14ac:dyDescent="0.3">
      <c r="A336" s="970">
        <v>42614</v>
      </c>
      <c r="B336" s="631">
        <f>VLOOKUP($A336, $J$277:$AE$369, HLOOKUP("Detached_" &amp;'Personalized Bill Menu'!$B$22, $J$278:$AE$279, 2, FALSE), FALSE)</f>
        <v>499.54586897401543</v>
      </c>
      <c r="C336" s="631">
        <f>VLOOKUP($A336, $J$277:$AE$369, HLOOKUP("Attached_" &amp;'Personalized Bill Menu'!$B$22, $J$278:$AE$279, 2, FALSE), FALSE)</f>
        <v>379.10918765162273</v>
      </c>
      <c r="D336" s="631">
        <f>VLOOKUP($A336, $J$277:$AE$369, HLOOKUP("Apartment_" &amp;'Personalized Bill Menu'!$B$22, $J$278:$AE$279, 2, FALSE), FALSE)</f>
        <v>280.56602558479835</v>
      </c>
      <c r="E336" s="634">
        <v>42614</v>
      </c>
      <c r="F336" s="631">
        <f>VLOOKUP($A336, $J$277:$AE$369, HLOOKUP("Detached_" &amp;'Personalized Bill Menu'!$B$23, $J$278:$AE$279, 2, FALSE), FALSE)</f>
        <v>5.6569072059323897</v>
      </c>
      <c r="G336" s="631">
        <f>VLOOKUP($A336, $J$277:$AE$369, HLOOKUP("Attached_" &amp;'Personalized Bill Menu'!$B$23, $J$278:$AE$279, 2, FALSE), FALSE)</f>
        <v>3.6129243297619817</v>
      </c>
      <c r="H336" s="631">
        <f>VLOOKUP($A336, $J$277:$AE$369, HLOOKUP("Apartment_" &amp;'Personalized Bill Menu'!$B$23, $J$278:$AE$279, 2, FALSE), FALSE)</f>
        <v>2.9857606630508502</v>
      </c>
      <c r="I336" s="1374"/>
      <c r="J336" s="634">
        <v>42614</v>
      </c>
      <c r="K336" s="1279">
        <f t="shared" si="61"/>
        <v>499.54586897401543</v>
      </c>
      <c r="L336" s="1279">
        <f t="shared" si="41"/>
        <v>379.10918765162273</v>
      </c>
      <c r="M336" s="1279">
        <f t="shared" si="42"/>
        <v>280.56602558479835</v>
      </c>
      <c r="N336" s="1279">
        <f t="shared" si="43"/>
        <v>461.28268054107781</v>
      </c>
      <c r="O336" s="1279">
        <f t="shared" si="44"/>
        <v>350.07096076454087</v>
      </c>
      <c r="P336" s="1279">
        <f t="shared" si="45"/>
        <v>259.07580542367447</v>
      </c>
      <c r="Q336" s="1279">
        <f t="shared" si="46"/>
        <v>605.04943141553122</v>
      </c>
      <c r="R336" s="1279">
        <f t="shared" si="47"/>
        <v>459.1766495920113</v>
      </c>
      <c r="S336" s="1279">
        <f t="shared" si="48"/>
        <v>339.82127527798201</v>
      </c>
      <c r="T336" s="1279">
        <f t="shared" si="49"/>
        <v>525.12140798768962</v>
      </c>
      <c r="U336" s="1279">
        <f t="shared" si="50"/>
        <v>398.51866017741952</v>
      </c>
      <c r="V336" s="1279">
        <f t="shared" si="51"/>
        <v>294.93032680100714</v>
      </c>
      <c r="W336" s="1280">
        <f t="shared" si="52"/>
        <v>4.8421345866435921</v>
      </c>
      <c r="X336" s="1283">
        <f t="shared" si="53"/>
        <v>3.0925495538835075</v>
      </c>
      <c r="Y336" s="1282">
        <f t="shared" si="54"/>
        <v>2.555717187447748</v>
      </c>
      <c r="Z336" s="1279">
        <f t="shared" si="55"/>
        <v>5.6569072059323897</v>
      </c>
      <c r="AA336" s="1279">
        <f t="shared" si="56"/>
        <v>3.6129243297619817</v>
      </c>
      <c r="AB336" s="1279">
        <f t="shared" si="57"/>
        <v>2.9857606630508502</v>
      </c>
      <c r="AC336" s="1279">
        <f t="shared" si="58"/>
        <v>3.3783792457592083</v>
      </c>
      <c r="AD336" s="1279">
        <f t="shared" si="59"/>
        <v>2.1576858392455409</v>
      </c>
      <c r="AE336" s="1279">
        <f t="shared" si="60"/>
        <v>1.7831354642474937</v>
      </c>
      <c r="AF336" s="1374"/>
      <c r="AG336" s="632">
        <v>42614</v>
      </c>
      <c r="AH336" s="1283">
        <v>443.31237229230584</v>
      </c>
      <c r="AI336" s="1513">
        <v>409.3564417377977</v>
      </c>
      <c r="AJ336" s="1513">
        <v>536.93947934315133</v>
      </c>
      <c r="AK336" s="1513">
        <v>466.0088924258676</v>
      </c>
      <c r="AL336" s="1284">
        <v>4.9039904598346418</v>
      </c>
      <c r="AM336" s="1284">
        <v>5.7291713961407496</v>
      </c>
      <c r="AN336" s="1284">
        <v>3.4215363688167497</v>
      </c>
      <c r="AO336" s="1570"/>
      <c r="AP336" s="1283">
        <v>464.23220536010018</v>
      </c>
      <c r="AQ336" s="1513">
        <v>5.0796030530108007</v>
      </c>
      <c r="AR336" s="911"/>
      <c r="AS336" s="1493"/>
    </row>
    <row r="337" spans="1:45" x14ac:dyDescent="0.3">
      <c r="A337" s="970">
        <v>42644</v>
      </c>
      <c r="B337" s="631">
        <f>VLOOKUP($A337, $J$277:$AE$369, HLOOKUP("Detached_" &amp;'Personalized Bill Menu'!$B$22, $J$278:$AE$279, 2, FALSE), FALSE)</f>
        <v>581.41581667192713</v>
      </c>
      <c r="C337" s="631">
        <f>VLOOKUP($A337, $J$277:$AE$369, HLOOKUP("Attached_" &amp;'Personalized Bill Menu'!$B$22, $J$278:$AE$279, 2, FALSE), FALSE)</f>
        <v>441.24091827444295</v>
      </c>
      <c r="D337" s="631">
        <f>VLOOKUP($A337, $J$277:$AE$369, HLOOKUP("Apartment_" &amp;'Personalized Bill Menu'!$B$22, $J$278:$AE$279, 2, FALSE), FALSE)</f>
        <v>326.54764062170142</v>
      </c>
      <c r="E337" s="634">
        <v>42644</v>
      </c>
      <c r="F337" s="631">
        <f>VLOOKUP($A337, $J$277:$AE$369, HLOOKUP("Detached_" &amp;'Personalized Bill Menu'!$B$23, $J$278:$AE$279, 2, FALSE), FALSE)</f>
        <v>12.778760927886029</v>
      </c>
      <c r="G337" s="631">
        <f>VLOOKUP($A337, $J$277:$AE$369, HLOOKUP("Attached_" &amp;'Personalized Bill Menu'!$B$23, $J$278:$AE$279, 2, FALSE), FALSE)</f>
        <v>8.1614731477571691</v>
      </c>
      <c r="H337" s="631">
        <f>VLOOKUP($A337, $J$277:$AE$369, HLOOKUP("Apartment_" &amp;'Personalized Bill Menu'!$B$23, $J$278:$AE$279, 2, FALSE), FALSE)</f>
        <v>6.7447317610232158</v>
      </c>
      <c r="I337" s="1374"/>
      <c r="J337" s="634">
        <v>42644</v>
      </c>
      <c r="K337" s="1279">
        <f t="shared" si="61"/>
        <v>581.41581667192713</v>
      </c>
      <c r="L337" s="1279">
        <f t="shared" si="41"/>
        <v>441.24091827444295</v>
      </c>
      <c r="M337" s="1279">
        <f t="shared" si="42"/>
        <v>326.54764062170142</v>
      </c>
      <c r="N337" s="1279">
        <f t="shared" si="43"/>
        <v>523.72394398995823</v>
      </c>
      <c r="O337" s="1279">
        <f t="shared" si="44"/>
        <v>397.45811404170541</v>
      </c>
      <c r="P337" s="1279">
        <f t="shared" si="45"/>
        <v>294.14545208960857</v>
      </c>
      <c r="Q337" s="1279">
        <f t="shared" si="46"/>
        <v>707.16375630577431</v>
      </c>
      <c r="R337" s="1279">
        <f t="shared" si="47"/>
        <v>536.67199318526934</v>
      </c>
      <c r="S337" s="1279">
        <f t="shared" si="48"/>
        <v>397.17298624012517</v>
      </c>
      <c r="T337" s="1279">
        <f t="shared" si="49"/>
        <v>605.933986342092</v>
      </c>
      <c r="U337" s="1279">
        <f t="shared" si="50"/>
        <v>459.8479451035335</v>
      </c>
      <c r="V337" s="1279">
        <f t="shared" si="51"/>
        <v>340.31807862592348</v>
      </c>
      <c r="W337" s="1280">
        <f t="shared" si="52"/>
        <v>12.38729988307866</v>
      </c>
      <c r="X337" s="1283">
        <f t="shared" si="53"/>
        <v>7.911456825860391</v>
      </c>
      <c r="Y337" s="1282">
        <f t="shared" si="54"/>
        <v>6.5381155047980997</v>
      </c>
      <c r="Z337" s="1279">
        <f t="shared" si="55"/>
        <v>12.778760927886029</v>
      </c>
      <c r="AA337" s="1279">
        <f t="shared" si="56"/>
        <v>8.1614731477571691</v>
      </c>
      <c r="AB337" s="1279">
        <f t="shared" si="57"/>
        <v>6.7447317610232158</v>
      </c>
      <c r="AC337" s="1279">
        <f t="shared" si="58"/>
        <v>6.6397155509738068</v>
      </c>
      <c r="AD337" s="1279">
        <f t="shared" si="59"/>
        <v>4.24061929664592</v>
      </c>
      <c r="AE337" s="1279">
        <f t="shared" si="60"/>
        <v>3.5044947325907279</v>
      </c>
      <c r="AF337" s="1374"/>
      <c r="AG337" s="632">
        <v>42644</v>
      </c>
      <c r="AH337" s="1283">
        <v>515.96628254873542</v>
      </c>
      <c r="AI337" s="1513">
        <v>464.76873988231887</v>
      </c>
      <c r="AJ337" s="1513">
        <v>627.55887272357313</v>
      </c>
      <c r="AK337" s="1513">
        <v>537.72446059766935</v>
      </c>
      <c r="AL337" s="1284">
        <v>12.545541509170747</v>
      </c>
      <c r="AM337" s="1284">
        <v>12.942003275109171</v>
      </c>
      <c r="AN337" s="1284">
        <v>6.7245346314426877</v>
      </c>
      <c r="AO337" s="1570"/>
      <c r="AP337" s="1283">
        <v>535.8640004402896</v>
      </c>
      <c r="AQ337" s="1513">
        <v>12.142386952783736</v>
      </c>
      <c r="AR337" s="911"/>
      <c r="AS337" s="1493"/>
    </row>
    <row r="338" spans="1:45" x14ac:dyDescent="0.3">
      <c r="A338" s="970">
        <v>42675</v>
      </c>
      <c r="B338" s="631">
        <f>VLOOKUP($A338, $J$277:$AE$369, HLOOKUP("Detached_" &amp;'Personalized Bill Menu'!$B$22, $J$278:$AE$279, 2, FALSE), FALSE)</f>
        <v>576.30672568593138</v>
      </c>
      <c r="C338" s="631">
        <f>VLOOKUP($A338, $J$277:$AE$369, HLOOKUP("Attached_" &amp;'Personalized Bill Menu'!$B$22, $J$278:$AE$279, 2, FALSE), FALSE)</f>
        <v>437.36358997760976</v>
      </c>
      <c r="D338" s="631">
        <f>VLOOKUP($A338, $J$277:$AE$369, HLOOKUP("Apartment_" &amp;'Personalized Bill Menu'!$B$22, $J$278:$AE$279, 2, FALSE), FALSE)</f>
        <v>323.67815967646612</v>
      </c>
      <c r="E338" s="634">
        <v>42675</v>
      </c>
      <c r="F338" s="631">
        <f>VLOOKUP($A338, $J$277:$AE$369, HLOOKUP("Detached_" &amp;'Personalized Bill Menu'!$B$23, $J$278:$AE$279, 2, FALSE), FALSE)</f>
        <v>11.923103326329612</v>
      </c>
      <c r="G338" s="631">
        <f>VLOOKUP($A338, $J$277:$AE$369, HLOOKUP("Attached_" &amp;'Personalized Bill Menu'!$B$23, $J$278:$AE$279, 2, FALSE), FALSE)</f>
        <v>7.6149861621889787</v>
      </c>
      <c r="H338" s="631">
        <f>VLOOKUP($A338, $J$277:$AE$369, HLOOKUP("Apartment_" &amp;'Personalized Bill Menu'!$B$23, $J$278:$AE$279, 2, FALSE), FALSE)</f>
        <v>6.2931088662569055</v>
      </c>
      <c r="I338" s="1374"/>
      <c r="J338" s="634">
        <v>42675</v>
      </c>
      <c r="K338" s="1279">
        <f t="shared" si="61"/>
        <v>576.30672568593138</v>
      </c>
      <c r="L338" s="1279">
        <f t="shared" si="41"/>
        <v>437.36358997760976</v>
      </c>
      <c r="M338" s="1279">
        <f t="shared" si="42"/>
        <v>323.67815967646612</v>
      </c>
      <c r="N338" s="1279">
        <f t="shared" si="43"/>
        <v>527.9505352393179</v>
      </c>
      <c r="O338" s="1279">
        <f t="shared" si="44"/>
        <v>400.6657065263978</v>
      </c>
      <c r="P338" s="1279">
        <f t="shared" si="45"/>
        <v>296.5192839682303</v>
      </c>
      <c r="Q338" s="1279">
        <f t="shared" si="46"/>
        <v>707.83268119350339</v>
      </c>
      <c r="R338" s="1279">
        <f t="shared" si="47"/>
        <v>537.17964540809271</v>
      </c>
      <c r="S338" s="1279">
        <f t="shared" si="48"/>
        <v>397.54868266526097</v>
      </c>
      <c r="T338" s="1279">
        <f t="shared" si="49"/>
        <v>697.92892037854949</v>
      </c>
      <c r="U338" s="1279">
        <f t="shared" si="50"/>
        <v>529.66360543970211</v>
      </c>
      <c r="V338" s="1279">
        <f t="shared" si="51"/>
        <v>391.98631295554645</v>
      </c>
      <c r="W338" s="1280">
        <f t="shared" si="52"/>
        <v>12.3997090064556</v>
      </c>
      <c r="X338" s="1283">
        <f t="shared" si="53"/>
        <v>7.9193822208027989</v>
      </c>
      <c r="Y338" s="1282">
        <f t="shared" si="54"/>
        <v>6.5446651389167148</v>
      </c>
      <c r="Z338" s="1279">
        <f t="shared" si="55"/>
        <v>11.923103326329612</v>
      </c>
      <c r="AA338" s="1279">
        <f t="shared" si="56"/>
        <v>7.6149861621889787</v>
      </c>
      <c r="AB338" s="1279">
        <f t="shared" si="57"/>
        <v>6.2931088662569055</v>
      </c>
      <c r="AC338" s="1279">
        <f t="shared" si="58"/>
        <v>11.365329306826885</v>
      </c>
      <c r="AD338" s="1279">
        <f t="shared" si="59"/>
        <v>7.2587499270502436</v>
      </c>
      <c r="AE338" s="1279">
        <f t="shared" si="60"/>
        <v>5.9987112978194173</v>
      </c>
      <c r="AF338" s="1374"/>
      <c r="AG338" s="632">
        <v>42675</v>
      </c>
      <c r="AH338" s="1283">
        <v>511.43231803030034</v>
      </c>
      <c r="AI338" s="1513">
        <v>468.51954698500151</v>
      </c>
      <c r="AJ338" s="1513">
        <v>628.1524972479308</v>
      </c>
      <c r="AK338" s="1513">
        <v>619.36359521875363</v>
      </c>
      <c r="AL338" s="1284">
        <v>12.558109152958114</v>
      </c>
      <c r="AM338" s="1284">
        <v>12.075415071119103</v>
      </c>
      <c r="AN338" s="1284">
        <v>11.510515764534354</v>
      </c>
      <c r="AO338" s="1570"/>
      <c r="AP338" s="1283">
        <v>545.76078106645616</v>
      </c>
      <c r="AQ338" s="1513">
        <v>12.273913126871175</v>
      </c>
      <c r="AR338" s="911"/>
      <c r="AS338" s="1493"/>
    </row>
    <row r="339" spans="1:45" x14ac:dyDescent="0.3">
      <c r="A339" s="970">
        <v>42705</v>
      </c>
      <c r="B339" s="631">
        <f>VLOOKUP($A339, $J$277:$AE$369, HLOOKUP("Detached_" &amp;'Personalized Bill Menu'!$B$22, $J$278:$AE$279, 2, FALSE), FALSE)</f>
        <v>758.93857168514921</v>
      </c>
      <c r="C339" s="631">
        <f>VLOOKUP($A339, $J$277:$AE$369, HLOOKUP("Attached_" &amp;'Personalized Bill Menu'!$B$22, $J$278:$AE$279, 2, FALSE), FALSE)</f>
        <v>575.96429729259955</v>
      </c>
      <c r="D339" s="631">
        <f>VLOOKUP($A339, $J$277:$AE$369, HLOOKUP("Apartment_" &amp;'Personalized Bill Menu'!$B$22, $J$278:$AE$279, 2, FALSE), FALSE)</f>
        <v>426.25190587209499</v>
      </c>
      <c r="E339" s="634">
        <v>42705</v>
      </c>
      <c r="F339" s="631">
        <f>VLOOKUP($A339, $J$277:$AE$369, HLOOKUP("Detached_" &amp;'Personalized Bill Menu'!$B$23, $J$278:$AE$279, 2, FALSE), FALSE)</f>
        <v>22.975462335017482</v>
      </c>
      <c r="G339" s="631">
        <f>VLOOKUP($A339, $J$277:$AE$369, HLOOKUP("Attached_" &amp;'Personalized Bill Menu'!$B$23, $J$278:$AE$279, 2, FALSE), FALSE)</f>
        <v>14.673849832760858</v>
      </c>
      <c r="H339" s="631">
        <f>VLOOKUP($A339, $J$277:$AE$369, HLOOKUP("Apartment_" &amp;'Personalized Bill Menu'!$B$23, $J$278:$AE$279, 2, FALSE), FALSE)</f>
        <v>12.126631948878661</v>
      </c>
      <c r="I339" s="1374"/>
      <c r="J339" s="634">
        <v>42705</v>
      </c>
      <c r="K339" s="1279">
        <f t="shared" si="61"/>
        <v>758.93857168514921</v>
      </c>
      <c r="L339" s="1279">
        <f t="shared" si="41"/>
        <v>575.96429729259955</v>
      </c>
      <c r="M339" s="1279">
        <f t="shared" si="42"/>
        <v>426.25190587209499</v>
      </c>
      <c r="N339" s="1279">
        <f t="shared" si="43"/>
        <v>653.68086640683771</v>
      </c>
      <c r="O339" s="1279">
        <f t="shared" si="44"/>
        <v>496.08341823720633</v>
      </c>
      <c r="P339" s="1279">
        <f t="shared" si="45"/>
        <v>367.13473992942539</v>
      </c>
      <c r="Q339" s="1279">
        <f t="shared" si="46"/>
        <v>949.65787533406547</v>
      </c>
      <c r="R339" s="1279">
        <f t="shared" si="47"/>
        <v>720.7026381867463</v>
      </c>
      <c r="S339" s="1279">
        <f t="shared" si="48"/>
        <v>533.3679093273455</v>
      </c>
      <c r="T339" s="1279">
        <f t="shared" si="49"/>
        <v>868.75914640099325</v>
      </c>
      <c r="U339" s="1279">
        <f t="shared" si="50"/>
        <v>659.30797292636532</v>
      </c>
      <c r="V339" s="1279">
        <f t="shared" si="51"/>
        <v>487.93177170452662</v>
      </c>
      <c r="W339" s="1280">
        <f t="shared" si="52"/>
        <v>22.303266085285749</v>
      </c>
      <c r="X339" s="1283">
        <f t="shared" si="53"/>
        <v>14.244534997530101</v>
      </c>
      <c r="Y339" s="1282">
        <f t="shared" si="54"/>
        <v>11.771841416307335</v>
      </c>
      <c r="Z339" s="1279">
        <f t="shared" si="55"/>
        <v>22.975462335017482</v>
      </c>
      <c r="AA339" s="1279">
        <f t="shared" si="56"/>
        <v>14.673849832760858</v>
      </c>
      <c r="AB339" s="1279">
        <f t="shared" si="57"/>
        <v>12.126631948878661</v>
      </c>
      <c r="AC339" s="1279">
        <f t="shared" si="58"/>
        <v>17.64635271439624</v>
      </c>
      <c r="AD339" s="1279">
        <f t="shared" si="59"/>
        <v>11.270281574805374</v>
      </c>
      <c r="AE339" s="1279">
        <f t="shared" si="60"/>
        <v>9.3138854612483808</v>
      </c>
      <c r="AF339" s="1374"/>
      <c r="AG339" s="632">
        <v>42705</v>
      </c>
      <c r="AH339" s="1513">
        <v>673.50543670571017</v>
      </c>
      <c r="AI339" s="1513">
        <v>580.0965108651086</v>
      </c>
      <c r="AJ339" s="1513">
        <v>842.75561410420562</v>
      </c>
      <c r="AK339" s="1513">
        <v>770.96359325853246</v>
      </c>
      <c r="AL339" s="1284">
        <v>22.588179272648009</v>
      </c>
      <c r="AM339" s="1284">
        <v>23.268962496830557</v>
      </c>
      <c r="AN339" s="1284">
        <v>17.871776137941112</v>
      </c>
      <c r="AO339" s="1570"/>
      <c r="AP339" s="1513">
        <v>706.39002250825104</v>
      </c>
      <c r="AQ339" s="1513">
        <v>22.394201815157196</v>
      </c>
      <c r="AR339" s="911"/>
      <c r="AS339" s="1493"/>
    </row>
    <row r="340" spans="1:45" x14ac:dyDescent="0.3">
      <c r="A340" s="970">
        <v>42736</v>
      </c>
      <c r="B340" s="631">
        <f>VLOOKUP($A340, $J$277:$AE$369, HLOOKUP("Detached_" &amp;'Personalized Bill Menu'!$B$22, $J$278:$AE$279, 2, FALSE), FALSE)</f>
        <v>647.80149995356771</v>
      </c>
      <c r="C340" s="631">
        <f>VLOOKUP($A340, $J$277:$AE$369, HLOOKUP("Attached_" &amp;'Personalized Bill Menu'!$B$22, $J$278:$AE$279, 2, FALSE), FALSE)</f>
        <v>491.62152198615087</v>
      </c>
      <c r="D340" s="631">
        <f>VLOOKUP($A340, $J$277:$AE$369, HLOOKUP("Apartment_" &amp;'Personalized Bill Menu'!$B$22, $J$278:$AE$279, 2, FALSE), FALSE)</f>
        <v>363.83263979968467</v>
      </c>
      <c r="E340" s="634">
        <v>42736</v>
      </c>
      <c r="F340" s="631">
        <f>VLOOKUP($A340, $J$277:$AE$369, HLOOKUP("Detached_" &amp;'Personalized Bill Menu'!$B$23, $J$278:$AE$279, 2, FALSE), FALSE)</f>
        <v>20.208502726578462</v>
      </c>
      <c r="G340" s="631">
        <f>VLOOKUP($A340, $J$277:$AE$369, HLOOKUP("Attached_" &amp;'Personalized Bill Menu'!$B$23, $J$278:$AE$279, 2, FALSE), FALSE)</f>
        <v>12.906662335268523</v>
      </c>
      <c r="H340" s="631">
        <f>VLOOKUP($A340, $J$277:$AE$369, HLOOKUP("Apartment_" &amp;'Personalized Bill Menu'!$B$23, $J$278:$AE$279, 2, FALSE), FALSE)</f>
        <v>10.666208637274041</v>
      </c>
      <c r="I340" s="1374"/>
      <c r="J340" s="634">
        <v>42736</v>
      </c>
      <c r="K340" s="1279">
        <f t="shared" si="61"/>
        <v>647.80149995356771</v>
      </c>
      <c r="L340" s="1279">
        <f t="shared" si="41"/>
        <v>491.62152198615087</v>
      </c>
      <c r="M340" s="1279">
        <f t="shared" si="42"/>
        <v>363.83263979968467</v>
      </c>
      <c r="N340" s="1279">
        <f t="shared" si="43"/>
        <v>611.2283794459255</v>
      </c>
      <c r="O340" s="1279">
        <f t="shared" si="44"/>
        <v>463.86590059744043</v>
      </c>
      <c r="P340" s="1279">
        <f t="shared" si="45"/>
        <v>343.29163305462276</v>
      </c>
      <c r="Q340" s="1279">
        <f t="shared" si="46"/>
        <v>864.41483781204397</v>
      </c>
      <c r="R340" s="1279">
        <f t="shared" si="47"/>
        <v>656.01104385066867</v>
      </c>
      <c r="S340" s="1279">
        <f t="shared" si="48"/>
        <v>485.49182480391721</v>
      </c>
      <c r="T340" s="1279">
        <f t="shared" si="49"/>
        <v>831.73057689655207</v>
      </c>
      <c r="U340" s="1279">
        <f t="shared" si="50"/>
        <v>631.20670780418175</v>
      </c>
      <c r="V340" s="1279">
        <f t="shared" si="51"/>
        <v>467.13496559683381</v>
      </c>
      <c r="W340" s="1280">
        <f t="shared" si="52"/>
        <v>19.984260248962322</v>
      </c>
      <c r="X340" s="1283">
        <f t="shared" si="53"/>
        <v>12.76344430576013</v>
      </c>
      <c r="Y340" s="1282">
        <f t="shared" si="54"/>
        <v>10.547851672190861</v>
      </c>
      <c r="Z340" s="1279">
        <f t="shared" si="55"/>
        <v>20.208502726578462</v>
      </c>
      <c r="AA340" s="1279">
        <f t="shared" si="56"/>
        <v>12.906662335268523</v>
      </c>
      <c r="AB340" s="1279">
        <f t="shared" si="57"/>
        <v>10.666208637274041</v>
      </c>
      <c r="AC340" s="1279">
        <f t="shared" si="58"/>
        <v>22.069633284504654</v>
      </c>
      <c r="AD340" s="1279">
        <f t="shared" si="59"/>
        <v>14.095319604835089</v>
      </c>
      <c r="AE340" s="1279">
        <f t="shared" si="60"/>
        <v>11.648528163892827</v>
      </c>
      <c r="AF340" s="1374"/>
      <c r="AG340" s="632">
        <v>42736</v>
      </c>
      <c r="AH340" s="1513">
        <v>574.87898020005071</v>
      </c>
      <c r="AI340" s="1513">
        <v>542.42286791615834</v>
      </c>
      <c r="AJ340" s="1513">
        <v>767.10832016720974</v>
      </c>
      <c r="AK340" s="1513">
        <v>738.10330152332403</v>
      </c>
      <c r="AL340" s="1284">
        <v>20.239549284336615</v>
      </c>
      <c r="AM340" s="1284">
        <v>20.466656348636846</v>
      </c>
      <c r="AN340" s="1284">
        <v>22.35156192845124</v>
      </c>
      <c r="AO340" s="1570"/>
      <c r="AP340" s="1513">
        <v>644.60325971019017</v>
      </c>
      <c r="AQ340" s="1513">
        <v>20.530448595642721</v>
      </c>
      <c r="AR340" s="911"/>
      <c r="AS340" s="1493"/>
    </row>
    <row r="341" spans="1:45" x14ac:dyDescent="0.3">
      <c r="A341" s="970">
        <v>42767</v>
      </c>
      <c r="B341" s="631">
        <f>VLOOKUP($A341, $J$277:$AE$369, HLOOKUP("Detached_" &amp;'Personalized Bill Menu'!$B$22, $J$278:$AE$279, 2, FALSE), FALSE)</f>
        <v>568.43198073192229</v>
      </c>
      <c r="C341" s="631">
        <f>VLOOKUP($A341, $J$277:$AE$369, HLOOKUP("Attached_" &amp;'Personalized Bill Menu'!$B$22, $J$278:$AE$279, 2, FALSE), FALSE)</f>
        <v>431.38738569308708</v>
      </c>
      <c r="D341" s="631">
        <f>VLOOKUP($A341, $J$277:$AE$369, HLOOKUP("Apartment_" &amp;'Personalized Bill Menu'!$B$22, $J$278:$AE$279, 2, FALSE), FALSE)</f>
        <v>319.25537083671855</v>
      </c>
      <c r="E341" s="634">
        <v>42767</v>
      </c>
      <c r="F341" s="631">
        <f>VLOOKUP($A341, $J$277:$AE$369, HLOOKUP("Detached_" &amp;'Personalized Bill Menu'!$B$23, $J$278:$AE$279, 2, FALSE), FALSE)</f>
        <v>18.952457703042239</v>
      </c>
      <c r="G341" s="631">
        <f>VLOOKUP($A341, $J$277:$AE$369, HLOOKUP("Attached_" &amp;'Personalized Bill Menu'!$B$23, $J$278:$AE$279, 2, FALSE), FALSE)</f>
        <v>12.104457975251535</v>
      </c>
      <c r="H341" s="631">
        <f>VLOOKUP($A341, $J$277:$AE$369, HLOOKUP("Apartment_" &amp;'Personalized Bill Menu'!$B$23, $J$278:$AE$279, 2, FALSE), FALSE)</f>
        <v>10.003258073340033</v>
      </c>
      <c r="I341" s="1374"/>
      <c r="J341" s="634">
        <v>42767</v>
      </c>
      <c r="K341" s="1279">
        <f t="shared" si="61"/>
        <v>568.43198073192229</v>
      </c>
      <c r="L341" s="1279">
        <f t="shared" si="41"/>
        <v>431.38738569308708</v>
      </c>
      <c r="M341" s="1279">
        <f t="shared" si="42"/>
        <v>319.25537083671855</v>
      </c>
      <c r="N341" s="1279">
        <f t="shared" si="43"/>
        <v>522.2078554381668</v>
      </c>
      <c r="O341" s="1279">
        <f t="shared" si="44"/>
        <v>396.30754282297414</v>
      </c>
      <c r="P341" s="1279">
        <f t="shared" si="45"/>
        <v>293.29395282631896</v>
      </c>
      <c r="Q341" s="1279">
        <f t="shared" si="46"/>
        <v>729.01872217064204</v>
      </c>
      <c r="R341" s="1279">
        <f t="shared" si="47"/>
        <v>553.25789424016307</v>
      </c>
      <c r="S341" s="1279">
        <f t="shared" si="48"/>
        <v>409.44765668148221</v>
      </c>
      <c r="T341" s="1279">
        <f t="shared" si="49"/>
        <v>703.712687206807</v>
      </c>
      <c r="U341" s="1279">
        <f t="shared" si="50"/>
        <v>534.05295040281919</v>
      </c>
      <c r="V341" s="1279">
        <f t="shared" si="51"/>
        <v>395.23472030449767</v>
      </c>
      <c r="W341" s="1280">
        <f t="shared" si="52"/>
        <v>17.784999764339688</v>
      </c>
      <c r="X341" s="1283">
        <f t="shared" si="53"/>
        <v>11.358831957860108</v>
      </c>
      <c r="Y341" s="1282">
        <f t="shared" si="54"/>
        <v>9.3870644781032198</v>
      </c>
      <c r="Z341" s="1279">
        <f t="shared" si="55"/>
        <v>18.952457703042239</v>
      </c>
      <c r="AA341" s="1279">
        <f t="shared" si="56"/>
        <v>12.104457975251535</v>
      </c>
      <c r="AB341" s="1279">
        <f t="shared" si="57"/>
        <v>10.003258073340033</v>
      </c>
      <c r="AC341" s="1279">
        <f t="shared" si="58"/>
        <v>17.890966618997677</v>
      </c>
      <c r="AD341" s="1279">
        <f t="shared" si="59"/>
        <v>11.426510322274627</v>
      </c>
      <c r="AE341" s="1279">
        <f t="shared" si="60"/>
        <v>9.4429946276897745</v>
      </c>
      <c r="AF341" s="1374"/>
      <c r="AG341" s="632">
        <v>42767</v>
      </c>
      <c r="AH341" s="1513">
        <v>504.44402709732049</v>
      </c>
      <c r="AI341" s="1513">
        <v>463.42331626009917</v>
      </c>
      <c r="AJ341" s="1513">
        <v>646.95364178416128</v>
      </c>
      <c r="AK341" s="1513">
        <v>624.49628783552259</v>
      </c>
      <c r="AL341" s="1284">
        <v>18.012194335337433</v>
      </c>
      <c r="AM341" s="1284">
        <v>19.194565971484799</v>
      </c>
      <c r="AN341" s="1284">
        <v>18.119514864125478</v>
      </c>
      <c r="AO341" s="1570"/>
      <c r="AP341" s="1513">
        <v>549.65855056156363</v>
      </c>
      <c r="AQ341" s="1513">
        <v>18.469031499429875</v>
      </c>
      <c r="AR341" s="911"/>
      <c r="AS341" s="1493"/>
    </row>
    <row r="342" spans="1:45" x14ac:dyDescent="0.3">
      <c r="A342" s="970">
        <v>42795</v>
      </c>
      <c r="B342" s="631">
        <f>VLOOKUP($A342, $J$277:$AE$369, HLOOKUP("Detached_" &amp;'Personalized Bill Menu'!$B$22, $J$278:$AE$279, 2, FALSE), FALSE)</f>
        <v>590.90640142097993</v>
      </c>
      <c r="C342" s="631">
        <f>VLOOKUP($A342, $J$277:$AE$369, HLOOKUP("Attached_" &amp;'Personalized Bill Menu'!$B$22, $J$278:$AE$279, 2, FALSE), FALSE)</f>
        <v>448.44339576052829</v>
      </c>
      <c r="D342" s="631">
        <f>VLOOKUP($A342, $J$277:$AE$369, HLOOKUP("Apartment_" &amp;'Personalized Bill Menu'!$B$22, $J$278:$AE$279, 2, FALSE), FALSE)</f>
        <v>331.87795322940303</v>
      </c>
      <c r="E342" s="634">
        <v>42795</v>
      </c>
      <c r="F342" s="631">
        <f>VLOOKUP($A342, $J$277:$AE$369, HLOOKUP("Detached_" &amp;'Personalized Bill Menu'!$B$23, $J$278:$AE$279, 2, FALSE), FALSE)</f>
        <v>17.127877998710133</v>
      </c>
      <c r="G342" s="631">
        <f>VLOOKUP($A342, $J$277:$AE$369, HLOOKUP("Attached_" &amp;'Personalized Bill Menu'!$B$23, $J$278:$AE$279, 2, FALSE), FALSE)</f>
        <v>10.939144816418329</v>
      </c>
      <c r="H342" s="631">
        <f>VLOOKUP($A342, $J$277:$AE$369, HLOOKUP("Apartment_" &amp;'Personalized Bill Menu'!$B$23, $J$278:$AE$279, 2, FALSE), FALSE)</f>
        <v>9.0402303782626419</v>
      </c>
      <c r="I342" s="1374"/>
      <c r="J342" s="634">
        <v>42795</v>
      </c>
      <c r="K342" s="1279">
        <f t="shared" si="61"/>
        <v>590.90640142097993</v>
      </c>
      <c r="L342" s="1279">
        <f t="shared" si="41"/>
        <v>448.44339576052829</v>
      </c>
      <c r="M342" s="1279">
        <f t="shared" si="42"/>
        <v>331.87795322940303</v>
      </c>
      <c r="N342" s="1279">
        <f t="shared" si="43"/>
        <v>549.25270471397471</v>
      </c>
      <c r="O342" s="1279">
        <f t="shared" si="44"/>
        <v>416.83208616504999</v>
      </c>
      <c r="P342" s="1279">
        <f t="shared" si="45"/>
        <v>308.48348064573128</v>
      </c>
      <c r="Q342" s="1279">
        <f t="shared" si="46"/>
        <v>750.71274658431514</v>
      </c>
      <c r="R342" s="1279">
        <f t="shared" si="47"/>
        <v>569.72165559455811</v>
      </c>
      <c r="S342" s="1279">
        <f t="shared" si="48"/>
        <v>421.6319356170377</v>
      </c>
      <c r="T342" s="1279">
        <f t="shared" si="49"/>
        <v>719.45287566822583</v>
      </c>
      <c r="U342" s="1279">
        <f t="shared" si="50"/>
        <v>545.99830003276952</v>
      </c>
      <c r="V342" s="1279">
        <f t="shared" si="51"/>
        <v>404.07507389934585</v>
      </c>
      <c r="W342" s="1280">
        <f t="shared" si="52"/>
        <v>18.237996472014942</v>
      </c>
      <c r="X342" s="1283">
        <f t="shared" si="53"/>
        <v>11.648149559666562</v>
      </c>
      <c r="Y342" s="1282">
        <f t="shared" si="54"/>
        <v>9.6261597471311298</v>
      </c>
      <c r="Z342" s="1279">
        <f t="shared" si="55"/>
        <v>17.127877998710133</v>
      </c>
      <c r="AA342" s="1279">
        <f t="shared" si="56"/>
        <v>10.939144816418329</v>
      </c>
      <c r="AB342" s="1279">
        <f t="shared" si="57"/>
        <v>9.0402303782626419</v>
      </c>
      <c r="AC342" s="1279">
        <f t="shared" si="58"/>
        <v>17.516534855288537</v>
      </c>
      <c r="AD342" s="1279">
        <f t="shared" si="59"/>
        <v>11.187370173834193</v>
      </c>
      <c r="AE342" s="1279">
        <f t="shared" si="60"/>
        <v>9.2453665616138299</v>
      </c>
      <c r="AF342" s="1374"/>
      <c r="AG342" s="632">
        <v>42795</v>
      </c>
      <c r="AH342" s="1283">
        <v>524.38851942597125</v>
      </c>
      <c r="AI342" s="1513">
        <v>487.42374752253824</v>
      </c>
      <c r="AJ342" s="1513">
        <v>666.20558644971288</v>
      </c>
      <c r="AK342" s="1513">
        <v>638.46461531161776</v>
      </c>
      <c r="AL342" s="1284">
        <v>18.470977851785666</v>
      </c>
      <c r="AM342" s="1284">
        <v>17.346678164331792</v>
      </c>
      <c r="AN342" s="1284">
        <v>17.740299919924293</v>
      </c>
      <c r="AO342" s="1570"/>
      <c r="AP342" s="1283">
        <v>569.98826499833581</v>
      </c>
      <c r="AQ342" s="1513">
        <v>17.975545163864641</v>
      </c>
      <c r="AR342" s="911"/>
      <c r="AS342" s="1493"/>
    </row>
    <row r="343" spans="1:45" x14ac:dyDescent="0.3">
      <c r="A343" s="970">
        <v>42826</v>
      </c>
      <c r="B343" s="631">
        <f>VLOOKUP($A343, $J$277:$AE$369, HLOOKUP("Detached_" &amp;'Personalized Bill Menu'!$B$22, $J$278:$AE$279, 2, FALSE), FALSE)</f>
        <v>521.96284196970953</v>
      </c>
      <c r="C343" s="631">
        <f>VLOOKUP($A343, $J$277:$AE$369, HLOOKUP("Attached_" &amp;'Personalized Bill Menu'!$B$22, $J$278:$AE$279, 2, FALSE), FALSE)</f>
        <v>396.12160022438695</v>
      </c>
      <c r="D343" s="631">
        <f>VLOOKUP($A343, $J$277:$AE$369, HLOOKUP("Apartment_" &amp;'Personalized Bill Menu'!$B$22, $J$278:$AE$279, 2, FALSE), FALSE)</f>
        <v>293.15634293035288</v>
      </c>
      <c r="E343" s="634">
        <v>42826</v>
      </c>
      <c r="F343" s="631">
        <f>VLOOKUP($A343, $J$277:$AE$369, HLOOKUP("Detached_" &amp;'Personalized Bill Menu'!$B$23, $J$278:$AE$279, 2, FALSE), FALSE)</f>
        <v>10.428180232781104</v>
      </c>
      <c r="G343" s="631">
        <f>VLOOKUP($A343, $J$277:$AE$369, HLOOKUP("Attached_" &amp;'Personalized Bill Menu'!$B$23, $J$278:$AE$279, 2, FALSE), FALSE)</f>
        <v>6.6602163879666989</v>
      </c>
      <c r="H343" s="631">
        <f>VLOOKUP($A343, $J$277:$AE$369, HLOOKUP("Apartment_" &amp;'Personalized Bill Menu'!$B$23, $J$278:$AE$279, 2, FALSE), FALSE)</f>
        <v>5.5040765550458293</v>
      </c>
      <c r="I343" s="1374"/>
      <c r="J343" s="634">
        <v>42826</v>
      </c>
      <c r="K343" s="1279">
        <f t="shared" si="61"/>
        <v>521.96284196970953</v>
      </c>
      <c r="L343" s="1279">
        <f t="shared" si="41"/>
        <v>396.12160022438695</v>
      </c>
      <c r="M343" s="1279">
        <f t="shared" si="42"/>
        <v>293.15634293035288</v>
      </c>
      <c r="N343" s="1279">
        <f t="shared" si="43"/>
        <v>488.46331049501254</v>
      </c>
      <c r="O343" s="1279">
        <f t="shared" si="44"/>
        <v>370.69854910364404</v>
      </c>
      <c r="P343" s="1279">
        <f t="shared" si="45"/>
        <v>274.34159339771787</v>
      </c>
      <c r="Q343" s="1279">
        <f t="shared" si="46"/>
        <v>645.34316185588511</v>
      </c>
      <c r="R343" s="1279">
        <f t="shared" si="47"/>
        <v>489.75587036721231</v>
      </c>
      <c r="S343" s="1279">
        <f t="shared" si="48"/>
        <v>362.45193345728796</v>
      </c>
      <c r="T343" s="1279">
        <f t="shared" si="49"/>
        <v>553.74680581619396</v>
      </c>
      <c r="U343" s="1279">
        <f t="shared" si="50"/>
        <v>420.24269392682743</v>
      </c>
      <c r="V343" s="1279">
        <f t="shared" si="51"/>
        <v>311.00755733845943</v>
      </c>
      <c r="W343" s="1280">
        <f t="shared" si="52"/>
        <v>10.638748379342678</v>
      </c>
      <c r="X343" s="1283">
        <f t="shared" si="53"/>
        <v>6.7947009662159914</v>
      </c>
      <c r="Y343" s="1282">
        <f t="shared" si="54"/>
        <v>5.6152160993246802</v>
      </c>
      <c r="Z343" s="1279">
        <f t="shared" si="55"/>
        <v>10.428180232781104</v>
      </c>
      <c r="AA343" s="1279">
        <f t="shared" si="56"/>
        <v>6.6602163879666989</v>
      </c>
      <c r="AB343" s="1279">
        <f t="shared" si="57"/>
        <v>5.5040765550458293</v>
      </c>
      <c r="AC343" s="1279">
        <f t="shared" si="58"/>
        <v>10.316366582677624</v>
      </c>
      <c r="AD343" s="1279">
        <f t="shared" si="59"/>
        <v>6.5888038223805587</v>
      </c>
      <c r="AE343" s="1279">
        <f t="shared" si="60"/>
        <v>5.4450604202715134</v>
      </c>
      <c r="AF343" s="1374"/>
      <c r="AG343" s="632">
        <v>42826</v>
      </c>
      <c r="AH343" s="1283">
        <v>463.20588377052934</v>
      </c>
      <c r="AI343" s="1513">
        <v>433.47736895120016</v>
      </c>
      <c r="AJ343" s="1513">
        <v>572.69737534318642</v>
      </c>
      <c r="AK343" s="1513">
        <v>491.41195109839435</v>
      </c>
      <c r="AL343" s="1284">
        <v>10.774653125253563</v>
      </c>
      <c r="AM343" s="1284">
        <v>10.561395074820313</v>
      </c>
      <c r="AN343" s="1284">
        <v>10.448153060668277</v>
      </c>
      <c r="AO343" s="1570"/>
      <c r="AP343" s="1283">
        <v>490.87849585577823</v>
      </c>
      <c r="AQ343" s="1513">
        <v>10.662365274353636</v>
      </c>
      <c r="AR343" s="911"/>
      <c r="AS343" s="1493"/>
    </row>
    <row r="344" spans="1:45" x14ac:dyDescent="0.3">
      <c r="A344" s="970">
        <v>42856</v>
      </c>
      <c r="B344" s="631">
        <f>VLOOKUP($A344, $J$277:$AE$369, HLOOKUP("Detached_" &amp;'Personalized Bill Menu'!$B$22, $J$278:$AE$279, 2, FALSE), FALSE)</f>
        <v>499.78475479463549</v>
      </c>
      <c r="C344" s="631">
        <f>VLOOKUP($A344, $J$277:$AE$369, HLOOKUP("Attached_" &amp;'Personalized Bill Menu'!$B$22, $J$278:$AE$279, 2, FALSE), FALSE)</f>
        <v>379.29047993131422</v>
      </c>
      <c r="D344" s="631">
        <f>VLOOKUP($A344, $J$277:$AE$369, HLOOKUP("Apartment_" &amp;'Personalized Bill Menu'!$B$22, $J$278:$AE$279, 2, FALSE), FALSE)</f>
        <v>280.7001939353396</v>
      </c>
      <c r="E344" s="634">
        <v>42856</v>
      </c>
      <c r="F344" s="631">
        <f>VLOOKUP($A344, $J$277:$AE$369, HLOOKUP("Detached_" &amp;'Personalized Bill Menu'!$B$23, $J$278:$AE$279, 2, FALSE), FALSE)</f>
        <v>5.1525323465352963</v>
      </c>
      <c r="G344" s="631">
        <f>VLOOKUP($A344, $J$277:$AE$369, HLOOKUP("Attached_" &amp;'Personalized Bill Menu'!$B$23, $J$278:$AE$279, 2, FALSE), FALSE)</f>
        <v>3.2907927948969533</v>
      </c>
      <c r="H344" s="631">
        <f>VLOOKUP($A344, $J$277:$AE$369, HLOOKUP("Apartment_" &amp;'Personalized Bill Menu'!$B$23, $J$278:$AE$279, 2, FALSE), FALSE)</f>
        <v>2.7195475964761737</v>
      </c>
      <c r="I344" s="1374"/>
      <c r="J344" s="634">
        <v>42856</v>
      </c>
      <c r="K344" s="1279">
        <f t="shared" si="61"/>
        <v>499.78475479463549</v>
      </c>
      <c r="L344" s="1279">
        <f t="shared" si="41"/>
        <v>379.29047993131422</v>
      </c>
      <c r="M344" s="1279">
        <f t="shared" si="42"/>
        <v>280.7001939353396</v>
      </c>
      <c r="N344" s="1279">
        <f t="shared" si="43"/>
        <v>468.23579211807021</v>
      </c>
      <c r="O344" s="1279">
        <f t="shared" si="44"/>
        <v>355.34773041738288</v>
      </c>
      <c r="P344" s="1279">
        <f t="shared" si="45"/>
        <v>262.9809660941271</v>
      </c>
      <c r="Q344" s="1279">
        <f t="shared" si="46"/>
        <v>610.57857856596559</v>
      </c>
      <c r="R344" s="1279">
        <f t="shared" si="47"/>
        <v>463.3727617306476</v>
      </c>
      <c r="S344" s="1279">
        <f t="shared" si="48"/>
        <v>342.92667747869882</v>
      </c>
      <c r="T344" s="1279">
        <f t="shared" si="49"/>
        <v>594.00733010882982</v>
      </c>
      <c r="U344" s="1279">
        <f t="shared" si="50"/>
        <v>450.7967143020885</v>
      </c>
      <c r="V344" s="1279">
        <f t="shared" si="51"/>
        <v>333.6195655449223</v>
      </c>
      <c r="W344" s="1280">
        <f t="shared" si="52"/>
        <v>4.3372350665601962</v>
      </c>
      <c r="X344" s="1283">
        <f t="shared" si="53"/>
        <v>2.7700829314362712</v>
      </c>
      <c r="Y344" s="1282">
        <f t="shared" si="54"/>
        <v>2.2892272007855423</v>
      </c>
      <c r="Z344" s="1279">
        <f t="shared" si="55"/>
        <v>5.1525323465352963</v>
      </c>
      <c r="AA344" s="1279">
        <f t="shared" si="56"/>
        <v>3.2907927948969533</v>
      </c>
      <c r="AB344" s="1279">
        <f t="shared" si="57"/>
        <v>2.7195475964761737</v>
      </c>
      <c r="AC344" s="1279">
        <f t="shared" si="58"/>
        <v>4.4464423212243354</v>
      </c>
      <c r="AD344" s="1279">
        <f t="shared" si="59"/>
        <v>2.8398308578206404</v>
      </c>
      <c r="AE344" s="1279">
        <f t="shared" si="60"/>
        <v>2.3468676592950999</v>
      </c>
      <c r="AF344" s="1374"/>
      <c r="AG344" s="632">
        <v>42856</v>
      </c>
      <c r="AH344" s="1283">
        <v>443.52436691867234</v>
      </c>
      <c r="AI344" s="1513">
        <v>415.52684685863341</v>
      </c>
      <c r="AJ344" s="1513">
        <v>541.84621462463122</v>
      </c>
      <c r="AK344" s="1513">
        <v>527.14037894138141</v>
      </c>
      <c r="AL344" s="1284">
        <v>4.3926410982341082</v>
      </c>
      <c r="AM344" s="1284">
        <v>5.2183533975071548</v>
      </c>
      <c r="AN344" s="1284">
        <v>4.5032434215348527</v>
      </c>
      <c r="AO344" s="1570"/>
      <c r="AP344" s="1283">
        <v>475.07724198265112</v>
      </c>
      <c r="AQ344" s="1513">
        <v>4.7148114649840602</v>
      </c>
      <c r="AR344" s="911"/>
      <c r="AS344" s="1493"/>
    </row>
    <row r="345" spans="1:45" x14ac:dyDescent="0.3">
      <c r="A345" s="970">
        <v>42887</v>
      </c>
      <c r="B345" s="631">
        <f>VLOOKUP($A345, $J$277:$AE$369, HLOOKUP("Detached_" &amp;'Personalized Bill Menu'!$B$22, $J$278:$AE$279, 2, FALSE), FALSE)</f>
        <v>476.9507488479735</v>
      </c>
      <c r="C345" s="631">
        <f>VLOOKUP($A345, $J$277:$AE$369, HLOOKUP("Attached_" &amp;'Personalized Bill Menu'!$B$22, $J$278:$AE$279, 2, FALSE), FALSE)</f>
        <v>361.96157785661484</v>
      </c>
      <c r="D345" s="631">
        <f>VLOOKUP($A345, $J$277:$AE$369, HLOOKUP("Apartment_" &amp;'Personalized Bill Menu'!$B$22, $J$278:$AE$279, 2, FALSE), FALSE)</f>
        <v>267.87565329847598</v>
      </c>
      <c r="E345" s="634">
        <v>42887</v>
      </c>
      <c r="F345" s="631">
        <f>VLOOKUP($A345, $J$277:$AE$369, HLOOKUP("Detached_" &amp;'Personalized Bill Menu'!$B$23, $J$278:$AE$279, 2, FALSE), FALSE)</f>
        <v>3.0371525091241911</v>
      </c>
      <c r="G345" s="631">
        <f>VLOOKUP($A345, $J$277:$AE$369, HLOOKUP("Attached_" &amp;'Personalized Bill Menu'!$B$23, $J$278:$AE$279, 2, FALSE), FALSE)</f>
        <v>1.9397529063063061</v>
      </c>
      <c r="H345" s="631">
        <f>VLOOKUP($A345, $J$277:$AE$369, HLOOKUP("Apartment_" &amp;'Personalized Bill Menu'!$B$23, $J$278:$AE$279, 2, FALSE), FALSE)</f>
        <v>1.6030332758365524</v>
      </c>
      <c r="I345" s="1374"/>
      <c r="J345" s="634">
        <v>42887</v>
      </c>
      <c r="K345" s="1279">
        <f t="shared" si="61"/>
        <v>476.9507488479735</v>
      </c>
      <c r="L345" s="1279">
        <f t="shared" ref="L345:L354" si="62">(C$259/$N$262)*$AH345</f>
        <v>361.96157785661484</v>
      </c>
      <c r="M345" s="1279">
        <f t="shared" ref="M345:M354" si="63">(D$259/$N$262)*$AH345</f>
        <v>267.87565329847598</v>
      </c>
      <c r="N345" s="1279">
        <f t="shared" ref="N345:N354" si="64">(B$259/$N$262)*$AI345</f>
        <v>461.61810607954635</v>
      </c>
      <c r="O345" s="1279">
        <f t="shared" ref="O345:O354" si="65">(C$259/$N$262)*$AI345</f>
        <v>350.32551777582711</v>
      </c>
      <c r="P345" s="1279">
        <f t="shared" ref="P345:P354" si="66">(D$259/$N$262)*$AI345</f>
        <v>259.26419455078513</v>
      </c>
      <c r="Q345" s="1279">
        <f t="shared" ref="Q345:Q354" si="67">(B$259/$N$262)*$AJ345</f>
        <v>601.98987501323143</v>
      </c>
      <c r="R345" s="1279">
        <f t="shared" ref="R345:R354" si="68">(C$259/$N$262)*$AJ345</f>
        <v>456.85472879496325</v>
      </c>
      <c r="S345" s="1279">
        <f t="shared" ref="S345:S354" si="69">(D$259/$N$262)*$AJ345</f>
        <v>338.10289938267374</v>
      </c>
      <c r="T345" s="1279">
        <f t="shared" ref="T345:T354" si="70">(B$259/$N$262)*$AK345</f>
        <v>515.72141351903383</v>
      </c>
      <c r="U345" s="1279">
        <f t="shared" ref="U345:U354" si="71">(C$259/$N$262)*$AK345</f>
        <v>391.3849323492604</v>
      </c>
      <c r="V345" s="1279">
        <f t="shared" ref="V345:V354" si="72">(D$259/$N$262)*$AK345</f>
        <v>289.65089351491775</v>
      </c>
      <c r="W345" s="1280">
        <f t="shared" ref="W345:W354" si="73">(B$260/$O$262)*$AL345</f>
        <v>2.7430653276510344</v>
      </c>
      <c r="X345" s="1283">
        <f t="shared" ref="X345:X354" si="74">(C$260/$O$262)*$AL345</f>
        <v>1.7519268214270567</v>
      </c>
      <c r="Y345" s="1282">
        <f t="shared" ref="Y345:Y354" si="75">(D$260/$O$262)*$AL345</f>
        <v>1.4478117199607174</v>
      </c>
      <c r="Z345" s="1279">
        <f t="shared" ref="Z345:Z354" si="76">(B$260/$O$262)*$AM345</f>
        <v>3.0371525091241911</v>
      </c>
      <c r="AA345" s="1279">
        <f t="shared" ref="AA345:AA354" si="77">(C$260/$O$262)*$AM345</f>
        <v>1.9397529063063061</v>
      </c>
      <c r="AB345" s="1279">
        <f t="shared" ref="AB345:AB354" si="78">(D$260/$O$262)*$AM345</f>
        <v>1.6030332758365524</v>
      </c>
      <c r="AC345" s="1279">
        <f t="shared" ref="AC345:AC354" si="79">(B$260/$O$262)*$AN345</f>
        <v>3.2454693200146858</v>
      </c>
      <c r="AD345" s="1279">
        <f t="shared" ref="AD345:AD354" si="80">(C$260/$O$262)*$AN345</f>
        <v>2.0727996130960884</v>
      </c>
      <c r="AE345" s="1279">
        <f t="shared" ref="AE345:AE354" si="81">(D$260/$O$262)*$AN345</f>
        <v>1.7129845472232861</v>
      </c>
      <c r="AF345" s="1374"/>
      <c r="AG345" s="632">
        <v>42887</v>
      </c>
      <c r="AH345" s="1283">
        <v>423.260767570045</v>
      </c>
      <c r="AI345" s="1513">
        <v>409.65410867975703</v>
      </c>
      <c r="AJ345" s="1513">
        <v>534.22433486672651</v>
      </c>
      <c r="AK345" s="1513">
        <v>457.66704815039998</v>
      </c>
      <c r="AL345" s="1284">
        <v>2.7781066297928572</v>
      </c>
      <c r="AM345" s="1284">
        <v>3.0759506294788932</v>
      </c>
      <c r="AN345" s="1284">
        <v>3.2869285845419496</v>
      </c>
      <c r="AO345" s="1570"/>
      <c r="AP345" s="1283">
        <v>458.51372295518621</v>
      </c>
      <c r="AQ345" s="1513">
        <v>2.9399826368689084</v>
      </c>
      <c r="AR345" s="911"/>
      <c r="AS345" s="1493"/>
    </row>
    <row r="346" spans="1:45" x14ac:dyDescent="0.3">
      <c r="A346" s="970">
        <v>42917</v>
      </c>
      <c r="B346" s="631">
        <f>VLOOKUP($A346, $J$277:$AE$369, HLOOKUP("Detached_" &amp;'Personalized Bill Menu'!$B$22, $J$278:$AE$279, 2, FALSE), FALSE)</f>
        <v>553.28116548516766</v>
      </c>
      <c r="C346" s="631">
        <f>VLOOKUP($A346, $J$277:$AE$369, HLOOKUP("Attached_" &amp;'Personalized Bill Menu'!$B$22, $J$278:$AE$279, 2, FALSE), FALSE)</f>
        <v>419.88931591171985</v>
      </c>
      <c r="D346" s="631">
        <f>VLOOKUP($A346, $J$277:$AE$369, HLOOKUP("Apartment_" &amp;'Personalized Bill Menu'!$B$22, $J$278:$AE$279, 2, FALSE), FALSE)</f>
        <v>310.74603409276358</v>
      </c>
      <c r="E346" s="634">
        <v>42917</v>
      </c>
      <c r="F346" s="631">
        <f>VLOOKUP($A346, $J$277:$AE$369, HLOOKUP("Detached_" &amp;'Personalized Bill Menu'!$B$23, $J$278:$AE$279, 2, FALSE), FALSE)</f>
        <v>2.582040039601218</v>
      </c>
      <c r="G346" s="631">
        <f>VLOOKUP($A346, $J$277:$AE$369, HLOOKUP("Attached_" &amp;'Personalized Bill Menu'!$B$23, $J$278:$AE$279, 2, FALSE), FALSE)</f>
        <v>1.6490840206308883</v>
      </c>
      <c r="H346" s="631">
        <f>VLOOKUP($A346, $J$277:$AE$369, HLOOKUP("Apartment_" &amp;'Personalized Bill Menu'!$B$23, $J$278:$AE$279, 2, FALSE), FALSE)</f>
        <v>1.3628212908599222</v>
      </c>
      <c r="I346" s="1374"/>
      <c r="J346" s="634">
        <v>42917</v>
      </c>
      <c r="K346" s="1279">
        <f t="shared" ref="K346:K350" si="82">(B$259/$N$262)*$AH346</f>
        <v>553.28116548516766</v>
      </c>
      <c r="L346" s="1279">
        <f t="shared" si="62"/>
        <v>419.88931591171985</v>
      </c>
      <c r="M346" s="1279">
        <f t="shared" si="63"/>
        <v>310.74603409276358</v>
      </c>
      <c r="N346" s="1279">
        <f t="shared" si="64"/>
        <v>515.33844311628252</v>
      </c>
      <c r="O346" s="1279">
        <f t="shared" si="65"/>
        <v>391.09429317616537</v>
      </c>
      <c r="P346" s="1279">
        <f t="shared" si="66"/>
        <v>289.43580118708564</v>
      </c>
      <c r="Q346" s="1279">
        <f t="shared" si="67"/>
        <v>680.37009404399168</v>
      </c>
      <c r="R346" s="1279">
        <f t="shared" si="68"/>
        <v>516.33807759281603</v>
      </c>
      <c r="S346" s="1279">
        <f t="shared" si="69"/>
        <v>382.12453564020478</v>
      </c>
      <c r="T346" s="1279">
        <f t="shared" si="70"/>
        <v>559.47497661777686</v>
      </c>
      <c r="U346" s="1279">
        <f t="shared" si="71"/>
        <v>424.5898466393059</v>
      </c>
      <c r="V346" s="1279">
        <f t="shared" si="72"/>
        <v>314.22473961437692</v>
      </c>
      <c r="W346" s="1280">
        <f t="shared" si="73"/>
        <v>2.4343085835416143</v>
      </c>
      <c r="X346" s="1283">
        <f t="shared" si="74"/>
        <v>1.5547316559130848</v>
      </c>
      <c r="Y346" s="1282">
        <f t="shared" si="75"/>
        <v>1.2848474521277935</v>
      </c>
      <c r="Z346" s="1279">
        <f t="shared" si="76"/>
        <v>2.582040039601218</v>
      </c>
      <c r="AA346" s="1279">
        <f t="shared" si="77"/>
        <v>1.6490840206308883</v>
      </c>
      <c r="AB346" s="1279">
        <f t="shared" si="78"/>
        <v>1.3628212908599222</v>
      </c>
      <c r="AC346" s="1279">
        <f t="shared" si="79"/>
        <v>1.9967167859726322</v>
      </c>
      <c r="AD346" s="1279">
        <f t="shared" si="80"/>
        <v>1.2752527826723714</v>
      </c>
      <c r="AE346" s="1279">
        <f t="shared" si="81"/>
        <v>1.0538830173064115</v>
      </c>
      <c r="AF346" s="1374"/>
      <c r="AG346" s="632">
        <v>42917</v>
      </c>
      <c r="AH346" s="1513">
        <v>490.99872754355602</v>
      </c>
      <c r="AI346" s="1513">
        <v>457.32718843319304</v>
      </c>
      <c r="AJ346" s="1513">
        <v>603.78135254496556</v>
      </c>
      <c r="AK346" s="1513">
        <v>496.49530609072099</v>
      </c>
      <c r="AL346" s="1284">
        <v>2.4654056710671819</v>
      </c>
      <c r="AM346" s="1284">
        <v>2.6150243233723334</v>
      </c>
      <c r="AN346" s="1284">
        <v>2.0222238548286375</v>
      </c>
      <c r="AO346" s="1570"/>
      <c r="AP346" s="1513">
        <v>518.6829776306779</v>
      </c>
      <c r="AQ346" s="1513">
        <v>2.4785051154381486</v>
      </c>
      <c r="AR346" s="911"/>
      <c r="AS346" s="1493"/>
    </row>
    <row r="347" spans="1:45" x14ac:dyDescent="0.3">
      <c r="A347" s="970">
        <v>42948</v>
      </c>
      <c r="B347" s="631">
        <f>VLOOKUP($A347, $J$277:$AE$369, HLOOKUP("Detached_" &amp;'Personalized Bill Menu'!$B$22, $J$278:$AE$279, 2, FALSE), FALSE)</f>
        <v>510.2761997497081</v>
      </c>
      <c r="C347" s="631">
        <f>VLOOKUP($A347, $J$277:$AE$369, HLOOKUP("Attached_" &amp;'Personalized Bill Menu'!$B$22, $J$278:$AE$279, 2, FALSE), FALSE)</f>
        <v>387.25251789667311</v>
      </c>
      <c r="D347" s="631">
        <f>VLOOKUP($A347, $J$277:$AE$369, HLOOKUP("Apartment_" &amp;'Personalized Bill Menu'!$B$22, $J$278:$AE$279, 2, FALSE), FALSE)</f>
        <v>286.59263184045523</v>
      </c>
      <c r="E347" s="634">
        <v>42948</v>
      </c>
      <c r="F347" s="631">
        <f>VLOOKUP($A347, $J$277:$AE$369, HLOOKUP("Detached_" &amp;'Personalized Bill Menu'!$B$23, $J$278:$AE$279, 2, FALSE), FALSE)</f>
        <v>2.7079094858985315</v>
      </c>
      <c r="G347" s="631">
        <f>VLOOKUP($A347, $J$277:$AE$369, HLOOKUP("Attached_" &amp;'Personalized Bill Menu'!$B$23, $J$278:$AE$279, 2, FALSE), FALSE)</f>
        <v>1.7294736696646098</v>
      </c>
      <c r="H347" s="631">
        <f>VLOOKUP($A347, $J$277:$AE$369, HLOOKUP("Apartment_" &amp;'Personalized Bill Menu'!$B$23, $J$278:$AE$279, 2, FALSE), FALSE)</f>
        <v>1.4292561867762619</v>
      </c>
      <c r="I347" s="1374"/>
      <c r="J347" s="634">
        <v>42948</v>
      </c>
      <c r="K347" s="1279">
        <f t="shared" si="82"/>
        <v>510.2761997497081</v>
      </c>
      <c r="L347" s="1279">
        <f t="shared" si="62"/>
        <v>387.25251789667311</v>
      </c>
      <c r="M347" s="1279">
        <f t="shared" si="63"/>
        <v>286.59263184045523</v>
      </c>
      <c r="N347" s="1279">
        <f t="shared" si="64"/>
        <v>487.64134040068365</v>
      </c>
      <c r="O347" s="1279">
        <f t="shared" si="65"/>
        <v>370.07474970084849</v>
      </c>
      <c r="P347" s="1279">
        <f t="shared" si="66"/>
        <v>273.87994033072511</v>
      </c>
      <c r="Q347" s="1279">
        <f t="shared" si="67"/>
        <v>641.59362996594814</v>
      </c>
      <c r="R347" s="1279">
        <f t="shared" si="68"/>
        <v>486.91032188577384</v>
      </c>
      <c r="S347" s="1279">
        <f t="shared" si="69"/>
        <v>360.34603823224347</v>
      </c>
      <c r="T347" s="1279">
        <f t="shared" si="70"/>
        <v>542.33039842098469</v>
      </c>
      <c r="U347" s="1279">
        <f t="shared" si="71"/>
        <v>411.57869487827776</v>
      </c>
      <c r="V347" s="1279">
        <f t="shared" si="72"/>
        <v>304.59562152181599</v>
      </c>
      <c r="W347" s="1280">
        <f t="shared" si="73"/>
        <v>2.4149758055898931</v>
      </c>
      <c r="X347" s="1283">
        <f t="shared" si="74"/>
        <v>1.5423842969621708</v>
      </c>
      <c r="Y347" s="1282">
        <f t="shared" si="75"/>
        <v>1.274643457999127</v>
      </c>
      <c r="Z347" s="1279">
        <f t="shared" si="76"/>
        <v>2.7079094858985315</v>
      </c>
      <c r="AA347" s="1279">
        <f t="shared" si="77"/>
        <v>1.7294736696646098</v>
      </c>
      <c r="AB347" s="1279">
        <f t="shared" si="78"/>
        <v>1.4292561867762619</v>
      </c>
      <c r="AC347" s="1279">
        <f t="shared" si="79"/>
        <v>2.5662077718413112</v>
      </c>
      <c r="AD347" s="1279">
        <f t="shared" si="80"/>
        <v>1.6389723494821931</v>
      </c>
      <c r="AE347" s="1279">
        <f t="shared" si="81"/>
        <v>1.354464893881226</v>
      </c>
      <c r="AF347" s="1374"/>
      <c r="AG347" s="632">
        <v>42948</v>
      </c>
      <c r="AH347" s="1513">
        <v>452.83479793346532</v>
      </c>
      <c r="AI347" s="1513">
        <v>432.74792740218152</v>
      </c>
      <c r="AJ347" s="1513">
        <v>569.36992539243909</v>
      </c>
      <c r="AK347" s="1513">
        <v>481.28067995842838</v>
      </c>
      <c r="AL347" s="1284">
        <v>2.4458259264440447</v>
      </c>
      <c r="AM347" s="1284">
        <v>2.7425016895590013</v>
      </c>
      <c r="AN347" s="1284">
        <v>2.5989898062264669</v>
      </c>
      <c r="AO347" s="1570"/>
      <c r="AP347" s="1513">
        <v>488.22611481879136</v>
      </c>
      <c r="AQ347" s="1513">
        <v>2.5725644768507392</v>
      </c>
      <c r="AR347" s="911"/>
      <c r="AS347" s="1493"/>
    </row>
    <row r="348" spans="1:45" x14ac:dyDescent="0.3">
      <c r="A348" s="970">
        <v>42979</v>
      </c>
      <c r="B348" s="631">
        <f>VLOOKUP($A348, $J$277:$AE$369, HLOOKUP("Detached_" &amp;'Personalized Bill Menu'!$B$22, $J$278:$AE$279, 2, FALSE), FALSE)</f>
        <v>509.90285276586809</v>
      </c>
      <c r="C348" s="631">
        <f>VLOOKUP($A348, $J$277:$AE$369, HLOOKUP("Attached_" &amp;'Personalized Bill Menu'!$B$22, $J$278:$AE$279, 2, FALSE), FALSE)</f>
        <v>386.96918200992764</v>
      </c>
      <c r="D348" s="631">
        <f>VLOOKUP($A348, $J$277:$AE$369, HLOOKUP("Apartment_" &amp;'Personalized Bill Menu'!$B$22, $J$278:$AE$279, 2, FALSE), FALSE)</f>
        <v>286.38294443049784</v>
      </c>
      <c r="E348" s="634">
        <v>42979</v>
      </c>
      <c r="F348" s="631">
        <f>VLOOKUP($A348, $J$277:$AE$369, HLOOKUP("Detached_" &amp;'Personalized Bill Menu'!$B$23, $J$278:$AE$279, 2, FALSE), FALSE)</f>
        <v>5.3309229069401551</v>
      </c>
      <c r="G348" s="631">
        <f>VLOOKUP($A348, $J$277:$AE$369, HLOOKUP("Attached_" &amp;'Personalized Bill Menu'!$B$23, $J$278:$AE$279, 2, FALSE), FALSE)</f>
        <v>3.404726358313142</v>
      </c>
      <c r="H348" s="631">
        <f>VLOOKUP($A348, $J$277:$AE$369, HLOOKUP("Apartment_" &amp;'Personalized Bill Menu'!$B$23, $J$278:$AE$279, 2, FALSE), FALSE)</f>
        <v>2.8137035545866151</v>
      </c>
      <c r="I348" s="1374"/>
      <c r="J348" s="634">
        <v>42979</v>
      </c>
      <c r="K348" s="1279">
        <f t="shared" si="82"/>
        <v>509.90285276586809</v>
      </c>
      <c r="L348" s="1279">
        <f t="shared" si="62"/>
        <v>386.96918200992764</v>
      </c>
      <c r="M348" s="1279">
        <f t="shared" si="63"/>
        <v>286.38294443049784</v>
      </c>
      <c r="N348" s="1279">
        <f t="shared" si="64"/>
        <v>462.01992213039307</v>
      </c>
      <c r="O348" s="1279">
        <f t="shared" si="65"/>
        <v>350.63045905566344</v>
      </c>
      <c r="P348" s="1279">
        <f t="shared" si="66"/>
        <v>259.48987138929806</v>
      </c>
      <c r="Q348" s="1279">
        <f t="shared" si="67"/>
        <v>613.58546259787067</v>
      </c>
      <c r="R348" s="1279">
        <f t="shared" si="68"/>
        <v>465.65470906220975</v>
      </c>
      <c r="S348" s="1279">
        <f t="shared" si="69"/>
        <v>344.61547034962911</v>
      </c>
      <c r="T348" s="1279">
        <f t="shared" si="70"/>
        <v>520.67991032460486</v>
      </c>
      <c r="U348" s="1279">
        <f t="shared" si="71"/>
        <v>395.14797356866637</v>
      </c>
      <c r="V348" s="1279">
        <f t="shared" si="72"/>
        <v>292.43579441795447</v>
      </c>
      <c r="W348" s="1280">
        <f t="shared" si="73"/>
        <v>4.7264283582356157</v>
      </c>
      <c r="X348" s="1283">
        <f t="shared" si="74"/>
        <v>3.0186508964542709</v>
      </c>
      <c r="Y348" s="1282">
        <f t="shared" si="75"/>
        <v>2.4946465188519791</v>
      </c>
      <c r="Z348" s="1279">
        <f t="shared" si="76"/>
        <v>5.3309229069401551</v>
      </c>
      <c r="AA348" s="1279">
        <f t="shared" si="77"/>
        <v>3.404726358313142</v>
      </c>
      <c r="AB348" s="1279">
        <f t="shared" si="78"/>
        <v>2.8137035545866151</v>
      </c>
      <c r="AC348" s="1279">
        <f t="shared" si="79"/>
        <v>4.1562546412726631</v>
      </c>
      <c r="AD348" s="1279">
        <f t="shared" si="80"/>
        <v>2.6544952864690199</v>
      </c>
      <c r="AE348" s="1279">
        <f t="shared" si="81"/>
        <v>2.1937042913697664</v>
      </c>
      <c r="AF348" s="1374"/>
      <c r="AG348" s="632">
        <v>42979</v>
      </c>
      <c r="AH348" s="1513">
        <v>452.50347833425769</v>
      </c>
      <c r="AI348" s="1513">
        <v>410.0106926048565</v>
      </c>
      <c r="AJ348" s="1513">
        <v>544.51461601914059</v>
      </c>
      <c r="AK348" s="1513">
        <v>462.06737076020596</v>
      </c>
      <c r="AL348" s="1284">
        <v>4.7868061416165304</v>
      </c>
      <c r="AM348" s="1284">
        <v>5.3990228090437693</v>
      </c>
      <c r="AN348" s="1284">
        <v>4.2093487375725509</v>
      </c>
      <c r="AO348" s="1570"/>
      <c r="AP348" s="1513">
        <v>469.17523379605063</v>
      </c>
      <c r="AQ348" s="1513">
        <v>4.9608520612653884</v>
      </c>
      <c r="AR348" s="911"/>
      <c r="AS348" s="1493"/>
    </row>
    <row r="349" spans="1:45" x14ac:dyDescent="0.3">
      <c r="A349" s="970">
        <v>43009</v>
      </c>
      <c r="B349" s="631">
        <f>VLOOKUP($A349, $J$277:$AE$369, HLOOKUP("Detached_" &amp;'Personalized Bill Menu'!$B$22, $J$278:$AE$279, 2, FALSE), FALSE)</f>
        <v>551.15949519938317</v>
      </c>
      <c r="C349" s="631">
        <f>VLOOKUP($A349, $J$277:$AE$369, HLOOKUP("Attached_" &amp;'Personalized Bill Menu'!$B$22, $J$278:$AE$279, 2, FALSE), FALSE)</f>
        <v>418.27916407489181</v>
      </c>
      <c r="D349" s="631">
        <f>VLOOKUP($A349, $J$277:$AE$369, HLOOKUP("Apartment_" &amp;'Personalized Bill Menu'!$B$22, $J$278:$AE$279, 2, FALSE), FALSE)</f>
        <v>309.55441459062155</v>
      </c>
      <c r="E349" s="634">
        <v>43009</v>
      </c>
      <c r="F349" s="631">
        <f>VLOOKUP($A349, $J$277:$AE$369, HLOOKUP("Detached_" &amp;'Personalized Bill Menu'!$B$23, $J$278:$AE$279, 2, FALSE), FALSE)</f>
        <v>9.9233084229462563</v>
      </c>
      <c r="G349" s="631">
        <f>VLOOKUP($A349, $J$277:$AE$369, HLOOKUP("Attached_" &amp;'Personalized Bill Menu'!$B$23, $J$278:$AE$279, 2, FALSE), FALSE)</f>
        <v>6.3377674633581451</v>
      </c>
      <c r="H349" s="631">
        <f>VLOOKUP($A349, $J$277:$AE$369, HLOOKUP("Apartment_" &amp;'Personalized Bill Menu'!$B$23, $J$278:$AE$279, 2, FALSE), FALSE)</f>
        <v>5.2376011940734344</v>
      </c>
      <c r="I349" s="1374"/>
      <c r="J349" s="634">
        <v>43009</v>
      </c>
      <c r="K349" s="1279">
        <f t="shared" si="82"/>
        <v>551.15949519938317</v>
      </c>
      <c r="L349" s="1279">
        <f t="shared" si="62"/>
        <v>418.27916407489181</v>
      </c>
      <c r="M349" s="1279">
        <f t="shared" si="63"/>
        <v>309.55441459062155</v>
      </c>
      <c r="N349" s="1279">
        <f t="shared" si="64"/>
        <v>509.01829500391068</v>
      </c>
      <c r="O349" s="1279">
        <f t="shared" si="65"/>
        <v>386.29788434660128</v>
      </c>
      <c r="P349" s="1279">
        <f t="shared" si="66"/>
        <v>285.88613949007811</v>
      </c>
      <c r="Q349" s="1279">
        <f t="shared" si="67"/>
        <v>675.6819189717811</v>
      </c>
      <c r="R349" s="1279">
        <f t="shared" si="68"/>
        <v>512.78018560815269</v>
      </c>
      <c r="S349" s="1279">
        <f t="shared" si="69"/>
        <v>379.4914588219392</v>
      </c>
      <c r="T349" s="1279">
        <f t="shared" si="70"/>
        <v>624.61173694299271</v>
      </c>
      <c r="U349" s="1279">
        <f t="shared" si="71"/>
        <v>474.0226331497185</v>
      </c>
      <c r="V349" s="1279">
        <f t="shared" si="72"/>
        <v>350.80829099365178</v>
      </c>
      <c r="W349" s="1280">
        <f t="shared" si="73"/>
        <v>10.164763005866147</v>
      </c>
      <c r="X349" s="1283">
        <f t="shared" si="74"/>
        <v>6.4919784315438989</v>
      </c>
      <c r="Y349" s="1282">
        <f t="shared" si="75"/>
        <v>5.3650428453770873</v>
      </c>
      <c r="Z349" s="1279">
        <f t="shared" si="76"/>
        <v>9.9233084229462563</v>
      </c>
      <c r="AA349" s="1279">
        <f t="shared" si="77"/>
        <v>6.3377674633581451</v>
      </c>
      <c r="AB349" s="1279">
        <f t="shared" si="78"/>
        <v>5.2376011940734344</v>
      </c>
      <c r="AC349" s="1279">
        <f t="shared" si="79"/>
        <v>9.980629210348571</v>
      </c>
      <c r="AD349" s="1279">
        <f t="shared" si="80"/>
        <v>6.3743768083355121</v>
      </c>
      <c r="AE349" s="1279">
        <f t="shared" si="81"/>
        <v>5.2678555620470595</v>
      </c>
      <c r="AF349" s="1374"/>
      <c r="AG349" s="632">
        <v>43009</v>
      </c>
      <c r="AH349" s="1283">
        <v>489.11589206030999</v>
      </c>
      <c r="AI349" s="1513">
        <v>451.71849456352152</v>
      </c>
      <c r="AJ349" s="1513">
        <v>599.62092175759494</v>
      </c>
      <c r="AK349" s="1513">
        <v>554.2996710883001</v>
      </c>
      <c r="AL349" s="1284">
        <v>10.294612823184785</v>
      </c>
      <c r="AM349" s="1284">
        <v>10.050073777453042</v>
      </c>
      <c r="AN349" s="1284">
        <v>10.108126809548956</v>
      </c>
      <c r="AO349" s="1570"/>
      <c r="AP349" s="1283">
        <v>518.32728951174261</v>
      </c>
      <c r="AQ349" s="1513">
        <v>10.184344619690055</v>
      </c>
      <c r="AR349" s="911"/>
      <c r="AS349" s="1493"/>
    </row>
    <row r="350" spans="1:45" x14ac:dyDescent="0.3">
      <c r="A350" s="970">
        <v>43040</v>
      </c>
      <c r="B350" s="631">
        <f>VLOOKUP($A350, $J$277:$AE$369, HLOOKUP("Detached_" &amp;'Personalized Bill Menu'!$B$22, $J$278:$AE$279, 2, FALSE), FALSE)</f>
        <v>603.38881925349096</v>
      </c>
      <c r="C350" s="631">
        <f>VLOOKUP($A350, $J$277:$AE$369, HLOOKUP("Attached_" &amp;'Personalized Bill Menu'!$B$22, $J$278:$AE$279, 2, FALSE), FALSE)</f>
        <v>457.91639829807411</v>
      </c>
      <c r="D350" s="631">
        <f>VLOOKUP($A350, $J$277:$AE$369, HLOOKUP("Apartment_" &amp;'Personalized Bill Menu'!$B$22, $J$278:$AE$279, 2, FALSE), FALSE)</f>
        <v>338.88860546069714</v>
      </c>
      <c r="E350" s="634">
        <v>43040</v>
      </c>
      <c r="F350" s="631">
        <f>VLOOKUP($A350, $J$277:$AE$369, HLOOKUP("Detached_" &amp;'Personalized Bill Menu'!$B$23, $J$278:$AE$279, 2, FALSE), FALSE)</f>
        <v>17.884936436085585</v>
      </c>
      <c r="G350" s="631">
        <f>VLOOKUP($A350, $J$277:$AE$369, HLOOKUP("Attached_" &amp;'Personalized Bill Menu'!$B$23, $J$278:$AE$279, 2, FALSE), FALSE)</f>
        <v>11.422658996141301</v>
      </c>
      <c r="H350" s="631">
        <f>VLOOKUP($A350, $J$277:$AE$369, HLOOKUP("Apartment_" &amp;'Personalized Bill Menu'!$B$23, $J$278:$AE$279, 2, FALSE), FALSE)</f>
        <v>9.439811849137028</v>
      </c>
      <c r="I350" s="1374"/>
      <c r="J350" s="634">
        <v>43040</v>
      </c>
      <c r="K350" s="1279">
        <f t="shared" si="82"/>
        <v>603.38881925349096</v>
      </c>
      <c r="L350" s="1279">
        <f t="shared" si="62"/>
        <v>457.91639829807411</v>
      </c>
      <c r="M350" s="1279">
        <f t="shared" si="63"/>
        <v>338.88860546069714</v>
      </c>
      <c r="N350" s="1279">
        <f t="shared" si="64"/>
        <v>565.91651556603199</v>
      </c>
      <c r="O350" s="1279">
        <f t="shared" si="65"/>
        <v>429.47837990435897</v>
      </c>
      <c r="P350" s="1279">
        <f t="shared" si="66"/>
        <v>317.8425795238</v>
      </c>
      <c r="Q350" s="1279">
        <f t="shared" si="67"/>
        <v>780.94167999440299</v>
      </c>
      <c r="R350" s="1279">
        <f t="shared" si="68"/>
        <v>592.66262478365479</v>
      </c>
      <c r="S350" s="1279">
        <f t="shared" si="69"/>
        <v>438.60977935730295</v>
      </c>
      <c r="T350" s="1279">
        <f t="shared" si="70"/>
        <v>721.07464070632727</v>
      </c>
      <c r="U350" s="1279">
        <f t="shared" si="71"/>
        <v>547.22906994668995</v>
      </c>
      <c r="V350" s="1279">
        <f t="shared" si="72"/>
        <v>404.98592553366524</v>
      </c>
      <c r="W350" s="1280">
        <f t="shared" si="73"/>
        <v>19.790011316358921</v>
      </c>
      <c r="X350" s="1283">
        <f t="shared" si="74"/>
        <v>12.639382398946962</v>
      </c>
      <c r="Y350" s="1282">
        <f t="shared" si="75"/>
        <v>10.44532553897117</v>
      </c>
      <c r="Z350" s="1279">
        <f t="shared" si="76"/>
        <v>17.884936436085585</v>
      </c>
      <c r="AA350" s="1279">
        <f t="shared" si="77"/>
        <v>11.422658996141301</v>
      </c>
      <c r="AB350" s="1279">
        <f t="shared" si="78"/>
        <v>9.439811849137028</v>
      </c>
      <c r="AC350" s="1279">
        <f t="shared" si="79"/>
        <v>18.421617845928594</v>
      </c>
      <c r="AD350" s="1279">
        <f t="shared" si="80"/>
        <v>11.765423912086774</v>
      </c>
      <c r="AE350" s="1279">
        <f t="shared" si="81"/>
        <v>9.7230765702587529</v>
      </c>
      <c r="AF350" s="1374"/>
      <c r="AG350" s="632">
        <v>43040</v>
      </c>
      <c r="AH350" s="1283">
        <v>535.46580102303335</v>
      </c>
      <c r="AI350" s="1513">
        <v>502.21172592265606</v>
      </c>
      <c r="AJ350" s="1513">
        <v>693.03167192894091</v>
      </c>
      <c r="AK350" s="1513">
        <v>639.90381949884897</v>
      </c>
      <c r="AL350" s="1284">
        <v>20.042818917744214</v>
      </c>
      <c r="AM350" s="1284">
        <v>18.11340764861075</v>
      </c>
      <c r="AN350" s="1284">
        <v>18.656944897885154</v>
      </c>
      <c r="AO350" s="1570"/>
      <c r="AP350" s="1283">
        <v>585.56570303254728</v>
      </c>
      <c r="AQ350" s="1513">
        <v>19.181580192680293</v>
      </c>
      <c r="AR350" s="911"/>
      <c r="AS350" s="1493"/>
    </row>
    <row r="351" spans="1:45" x14ac:dyDescent="0.3">
      <c r="A351" s="970">
        <v>43070</v>
      </c>
      <c r="B351" s="631">
        <f>VLOOKUP($A351, $J$277:$AE$369, HLOOKUP("Detached_" &amp;'Personalized Bill Menu'!$B$22, $J$278:$AE$279, 2, FALSE), FALSE)</f>
        <v>678.71552709613513</v>
      </c>
      <c r="C351" s="631">
        <f>VLOOKUP($A351, $J$277:$AE$369, HLOOKUP("Attached_" &amp;'Personalized Bill Menu'!$B$22, $J$278:$AE$279, 2, FALSE), FALSE)</f>
        <v>515.08241405824322</v>
      </c>
      <c r="D351" s="631">
        <f>VLOOKUP($A351, $J$277:$AE$369, HLOOKUP("Apartment_" &amp;'Personalized Bill Menu'!$B$22, $J$278:$AE$279, 2, FALSE), FALSE)</f>
        <v>381.19526107012877</v>
      </c>
      <c r="E351" s="634">
        <v>43070</v>
      </c>
      <c r="F351" s="631">
        <f>VLOOKUP($A351, $J$277:$AE$369, HLOOKUP("Detached_" &amp;'Personalized Bill Menu'!$B$23, $J$278:$AE$279, 2, FALSE), FALSE)</f>
        <v>16.79731043937776</v>
      </c>
      <c r="G351" s="631">
        <f>VLOOKUP($A351, $J$277:$AE$369, HLOOKUP("Attached_" &amp;'Personalized Bill Menu'!$B$23, $J$278:$AE$279, 2, FALSE), FALSE)</f>
        <v>10.728019631884724</v>
      </c>
      <c r="H351" s="631">
        <f>VLOOKUP($A351, $J$277:$AE$369, HLOOKUP("Apartment_" &amp;'Personalized Bill Menu'!$B$23, $J$278:$AE$279, 2, FALSE), FALSE)</f>
        <v>8.8657541884993982</v>
      </c>
      <c r="I351" s="1374"/>
      <c r="J351" s="634">
        <v>43070</v>
      </c>
      <c r="K351" s="1279">
        <f>(B$259/$N$262)*$AH351</f>
        <v>678.71552709613513</v>
      </c>
      <c r="L351" s="1279">
        <f t="shared" si="62"/>
        <v>515.08241405824322</v>
      </c>
      <c r="M351" s="1279">
        <f t="shared" si="63"/>
        <v>381.19526107012877</v>
      </c>
      <c r="N351" s="1279">
        <f t="shared" si="64"/>
        <v>599.18831571708392</v>
      </c>
      <c r="O351" s="1279">
        <f t="shared" si="65"/>
        <v>454.72860397863417</v>
      </c>
      <c r="P351" s="1279">
        <f t="shared" si="66"/>
        <v>336.52942554177378</v>
      </c>
      <c r="Q351" s="1279">
        <f t="shared" si="67"/>
        <v>882.35912586623238</v>
      </c>
      <c r="R351" s="1279">
        <f t="shared" si="68"/>
        <v>669.62910155011878</v>
      </c>
      <c r="S351" s="1279">
        <f t="shared" si="69"/>
        <v>495.57009367570777</v>
      </c>
      <c r="T351" s="1279">
        <f t="shared" si="70"/>
        <v>864.12735421239165</v>
      </c>
      <c r="U351" s="1279">
        <f t="shared" si="71"/>
        <v>655.7928703440972</v>
      </c>
      <c r="V351" s="1279">
        <f t="shared" si="72"/>
        <v>485.33036189133037</v>
      </c>
      <c r="W351" s="1280">
        <f t="shared" si="73"/>
        <v>17.273304577124556</v>
      </c>
      <c r="X351" s="1283">
        <f t="shared" si="74"/>
        <v>11.032025113764643</v>
      </c>
      <c r="Y351" s="1282">
        <f t="shared" si="75"/>
        <v>9.1169876842224262</v>
      </c>
      <c r="Z351" s="1279">
        <f t="shared" si="76"/>
        <v>16.79731043937776</v>
      </c>
      <c r="AA351" s="1279">
        <f t="shared" si="77"/>
        <v>10.728019631884724</v>
      </c>
      <c r="AB351" s="1279">
        <f t="shared" si="78"/>
        <v>8.8657541884993982</v>
      </c>
      <c r="AC351" s="1279">
        <f t="shared" si="79"/>
        <v>20.911727180916632</v>
      </c>
      <c r="AD351" s="1279">
        <f t="shared" si="80"/>
        <v>13.355794104249554</v>
      </c>
      <c r="AE351" s="1279">
        <f t="shared" si="81"/>
        <v>11.03737610328027</v>
      </c>
      <c r="AF351" s="1374"/>
      <c r="AG351" s="632">
        <v>43070</v>
      </c>
      <c r="AH351" s="1283">
        <v>602.31303893389077</v>
      </c>
      <c r="AI351" s="1513">
        <v>531.73814495939428</v>
      </c>
      <c r="AJ351" s="1513">
        <v>783.03263342944695</v>
      </c>
      <c r="AK351" s="1513">
        <v>766.85319837665475</v>
      </c>
      <c r="AL351" s="1284">
        <v>17.493962495320424</v>
      </c>
      <c r="AM351" s="1284">
        <v>17.011887768011878</v>
      </c>
      <c r="AN351" s="1284">
        <v>21.178864147385219</v>
      </c>
      <c r="AO351" s="1570"/>
      <c r="AP351" s="1283">
        <v>653.78831033469964</v>
      </c>
      <c r="AQ351" s="1513">
        <v>17.677045038204845</v>
      </c>
      <c r="AR351" s="911"/>
      <c r="AS351" s="1493"/>
    </row>
    <row r="352" spans="1:45" x14ac:dyDescent="0.3">
      <c r="A352" s="970">
        <v>43101</v>
      </c>
      <c r="B352" s="631">
        <f>VLOOKUP($A352, $J$277:$AE$369, HLOOKUP("Detached_" &amp;'Personalized Bill Menu'!$B$22, $J$278:$AE$279, 2, FALSE), FALSE)</f>
        <v>635.97821266527023</v>
      </c>
      <c r="C352" s="631">
        <f>VLOOKUP($A352, $J$277:$AE$369, HLOOKUP("Attached_" &amp;'Personalized Bill Menu'!$B$22, $J$278:$AE$279, 2, FALSE), FALSE)</f>
        <v>482.64873866908709</v>
      </c>
      <c r="D352" s="631">
        <f>VLOOKUP($A352, $J$277:$AE$369, HLOOKUP("Apartment_" &amp;'Personalized Bill Menu'!$B$22, $J$278:$AE$279, 2, FALSE), FALSE)</f>
        <v>357.19218307718614</v>
      </c>
      <c r="E352" s="1505">
        <v>43101</v>
      </c>
      <c r="F352" s="631">
        <f>VLOOKUP($A352, $J$277:$AE$369, HLOOKUP("Detached_" &amp;'Personalized Bill Menu'!$B$23, $J$278:$AE$279, 2, FALSE), FALSE)</f>
        <v>19.379903428592719</v>
      </c>
      <c r="G352" s="631">
        <f>VLOOKUP($A352, $J$277:$AE$369, HLOOKUP("Attached_" &amp;'Personalized Bill Menu'!$B$23, $J$278:$AE$279, 2, FALSE), FALSE)</f>
        <v>12.377456807524151</v>
      </c>
      <c r="H352" s="631">
        <f>VLOOKUP($A352, $J$277:$AE$369, HLOOKUP("Apartment_" &amp;'Personalized Bill Menu'!$B$23, $J$278:$AE$279, 2, FALSE), FALSE)</f>
        <v>10.228867330567985</v>
      </c>
      <c r="I352" s="1374"/>
      <c r="J352" s="634">
        <v>43101</v>
      </c>
      <c r="K352" s="1279">
        <f t="shared" ref="K352:K354" si="83">(B$259/$N$262)*$AH352</f>
        <v>635.97821266527023</v>
      </c>
      <c r="L352" s="1279">
        <f t="shared" si="62"/>
        <v>482.64873866908709</v>
      </c>
      <c r="M352" s="1279">
        <f t="shared" si="63"/>
        <v>357.19218307718614</v>
      </c>
      <c r="N352" s="1279">
        <f t="shared" si="64"/>
        <v>621.2190660058742</v>
      </c>
      <c r="O352" s="1279">
        <f t="shared" si="65"/>
        <v>471.44790917976172</v>
      </c>
      <c r="P352" s="1279">
        <f t="shared" si="66"/>
        <v>348.90282392833626</v>
      </c>
      <c r="Q352" s="1279">
        <f t="shared" si="67"/>
        <v>872.81542501103615</v>
      </c>
      <c r="R352" s="1279">
        <f t="shared" si="68"/>
        <v>662.38631384408779</v>
      </c>
      <c r="S352" s="1279">
        <f t="shared" si="69"/>
        <v>490.20994882291961</v>
      </c>
      <c r="T352" s="1279">
        <f t="shared" si="70"/>
        <v>852.37579810361012</v>
      </c>
      <c r="U352" s="1279">
        <f t="shared" si="71"/>
        <v>646.8745243687963</v>
      </c>
      <c r="V352" s="1279">
        <f t="shared" si="72"/>
        <v>478.73019242411152</v>
      </c>
      <c r="W352" s="1280">
        <f t="shared" si="73"/>
        <v>21.545033988385047</v>
      </c>
      <c r="X352" s="1283">
        <f t="shared" si="74"/>
        <v>13.760271230992416</v>
      </c>
      <c r="Y352" s="1282">
        <f t="shared" si="75"/>
        <v>11.371640478590958</v>
      </c>
      <c r="Z352" s="1279">
        <f t="shared" si="76"/>
        <v>19.379903428592719</v>
      </c>
      <c r="AA352" s="1279">
        <f t="shared" si="77"/>
        <v>12.377456807524151</v>
      </c>
      <c r="AB352" s="1279">
        <f t="shared" si="78"/>
        <v>10.228867330567985</v>
      </c>
      <c r="AC352" s="1279">
        <f t="shared" si="79"/>
        <v>22.462790510530827</v>
      </c>
      <c r="AD352" s="1279">
        <f t="shared" si="80"/>
        <v>14.346419235007927</v>
      </c>
      <c r="AE352" s="1279">
        <f t="shared" si="81"/>
        <v>11.856039678070061</v>
      </c>
      <c r="AF352" s="1374"/>
      <c r="AG352" s="1506">
        <v>43101</v>
      </c>
      <c r="AH352" s="1283">
        <v>564.38663132559486</v>
      </c>
      <c r="AI352" s="1513">
        <v>551.28891052565109</v>
      </c>
      <c r="AJ352" s="1513">
        <v>774.56325968554108</v>
      </c>
      <c r="AK352" s="1513">
        <v>756.42450595765877</v>
      </c>
      <c r="AL352" s="1284">
        <v>21.820261135924159</v>
      </c>
      <c r="AM352" s="1284">
        <v>19.627472104655638</v>
      </c>
      <c r="AN352" s="1284">
        <v>22.749741543484173</v>
      </c>
      <c r="AO352" s="1570"/>
      <c r="AP352" s="1283">
        <v>649.0072953171458</v>
      </c>
      <c r="AQ352" s="1513">
        <v>21.091427130610185</v>
      </c>
      <c r="AR352" s="911"/>
      <c r="AS352" s="1493"/>
    </row>
    <row r="353" spans="1:45" x14ac:dyDescent="0.3">
      <c r="A353" s="970">
        <v>43132</v>
      </c>
      <c r="B353" s="631">
        <f>VLOOKUP($A353, $J$277:$AE$369, HLOOKUP("Detached_" &amp;'Personalized Bill Menu'!$B$22, $J$278:$AE$279, 2, FALSE), FALSE)</f>
        <v>594.37508025101431</v>
      </c>
      <c r="C353" s="631">
        <f>VLOOKUP($A353, $J$277:$AE$369, HLOOKUP("Attached_" &amp;'Personalized Bill Menu'!$B$22, $J$278:$AE$279, 2, FALSE), FALSE)</f>
        <v>451.0758027028167</v>
      </c>
      <c r="D353" s="631">
        <f>VLOOKUP($A353, $J$277:$AE$369, HLOOKUP("Apartment_" &amp;'Personalized Bill Menu'!$B$22, $J$278:$AE$279, 2, FALSE), FALSE)</f>
        <v>333.82610953259024</v>
      </c>
      <c r="E353" s="1505">
        <v>43132</v>
      </c>
      <c r="F353" s="631">
        <f>VLOOKUP($A353, $J$277:$AE$369, HLOOKUP("Detached_" &amp;'Personalized Bill Menu'!$B$23, $J$278:$AE$279, 2, FALSE), FALSE)</f>
        <v>22.136199814862515</v>
      </c>
      <c r="G353" s="631">
        <f>VLOOKUP($A353, $J$277:$AE$369, HLOOKUP("Attached_" &amp;'Personalized Bill Menu'!$B$23, $J$278:$AE$279, 2, FALSE), FALSE)</f>
        <v>14.137833973256326</v>
      </c>
      <c r="H353" s="631">
        <f>VLOOKUP($A353, $J$277:$AE$369, HLOOKUP("Apartment_" &amp;'Personalized Bill Menu'!$B$23, $J$278:$AE$279, 2, FALSE), FALSE)</f>
        <v>11.683662508612121</v>
      </c>
      <c r="I353" s="1374"/>
      <c r="J353" s="634">
        <v>43132</v>
      </c>
      <c r="K353" s="1279">
        <f t="shared" si="83"/>
        <v>594.37508025101431</v>
      </c>
      <c r="L353" s="1279">
        <f t="shared" si="62"/>
        <v>451.0758027028167</v>
      </c>
      <c r="M353" s="1279">
        <f t="shared" si="63"/>
        <v>333.82610953259024</v>
      </c>
      <c r="N353" s="1279">
        <f t="shared" si="64"/>
        <v>536.60482606629307</v>
      </c>
      <c r="O353" s="1279">
        <f t="shared" si="65"/>
        <v>407.23351414705519</v>
      </c>
      <c r="P353" s="1279">
        <f t="shared" si="66"/>
        <v>301.37989864324766</v>
      </c>
      <c r="Q353" s="1279">
        <f t="shared" si="67"/>
        <v>796.60805534245162</v>
      </c>
      <c r="R353" s="1279">
        <f t="shared" si="68"/>
        <v>604.55195707628764</v>
      </c>
      <c r="S353" s="1279">
        <f t="shared" si="69"/>
        <v>447.40867639502488</v>
      </c>
      <c r="T353" s="1279">
        <f t="shared" si="70"/>
        <v>723.70784024517866</v>
      </c>
      <c r="U353" s="1279">
        <f t="shared" si="71"/>
        <v>549.22742525317824</v>
      </c>
      <c r="V353" s="1279">
        <f t="shared" si="72"/>
        <v>406.46484143523116</v>
      </c>
      <c r="W353" s="1280">
        <f t="shared" si="73"/>
        <v>21.711640327604098</v>
      </c>
      <c r="X353" s="1283">
        <f t="shared" si="74"/>
        <v>13.866678508775911</v>
      </c>
      <c r="Y353" s="1282">
        <f t="shared" si="75"/>
        <v>11.459576630934677</v>
      </c>
      <c r="Z353" s="1279">
        <f t="shared" si="76"/>
        <v>22.136199814862515</v>
      </c>
      <c r="AA353" s="1279">
        <f t="shared" si="77"/>
        <v>14.137833973256326</v>
      </c>
      <c r="AB353" s="1279">
        <f t="shared" si="78"/>
        <v>11.683662508612121</v>
      </c>
      <c r="AC353" s="1279">
        <f t="shared" si="79"/>
        <v>21.590119903903343</v>
      </c>
      <c r="AD353" s="1279">
        <f t="shared" si="80"/>
        <v>13.789066471072511</v>
      </c>
      <c r="AE353" s="1279">
        <f t="shared" si="81"/>
        <v>11.395437183771305</v>
      </c>
      <c r="AF353" s="1374"/>
      <c r="AG353" s="1506">
        <v>43132</v>
      </c>
      <c r="AH353" s="1513">
        <v>527.46673173112117</v>
      </c>
      <c r="AI353" s="1513">
        <v>476.19963090781232</v>
      </c>
      <c r="AJ353" s="1513">
        <v>706.9344953774247</v>
      </c>
      <c r="AK353" s="1513">
        <v>642.24060177809133</v>
      </c>
      <c r="AL353" s="1284">
        <v>21.988995788680796</v>
      </c>
      <c r="AM353" s="1284">
        <v>22.418978813293659</v>
      </c>
      <c r="AN353" s="1284">
        <v>21.865923001702221</v>
      </c>
      <c r="AO353" s="1570"/>
      <c r="AP353" s="1513">
        <v>581.59576765137035</v>
      </c>
      <c r="AQ353" s="1513">
        <v>22.137487627087168</v>
      </c>
      <c r="AR353" s="911"/>
      <c r="AS353" s="1493"/>
    </row>
    <row r="354" spans="1:45" x14ac:dyDescent="0.3">
      <c r="A354" s="970">
        <v>43160</v>
      </c>
      <c r="B354" s="631">
        <f>VLOOKUP($A354, $J$277:$AE$369, HLOOKUP("Detached_" &amp;'Personalized Bill Menu'!$B$22, $J$278:$AE$279, 2, FALSE), FALSE)</f>
        <v>588.93374180774288</v>
      </c>
      <c r="C354" s="631">
        <f>VLOOKUP($A354, $J$277:$AE$369, HLOOKUP("Attached_" &amp;'Personalized Bill Menu'!$B$22, $J$278:$AE$279, 2, FALSE), FALSE)</f>
        <v>446.94632926486611</v>
      </c>
      <c r="D354" s="631">
        <f>VLOOKUP($A354, $J$277:$AE$369, HLOOKUP("Apartment_" &amp;'Personalized Bill Menu'!$B$22, $J$278:$AE$279, 2, FALSE), FALSE)</f>
        <v>330.77002440466009</v>
      </c>
      <c r="E354" s="1505">
        <v>43160</v>
      </c>
      <c r="F354" s="631">
        <f>VLOOKUP($A354, $J$277:$AE$369, HLOOKUP("Detached_" &amp;'Personalized Bill Menu'!$B$23, $J$278:$AE$279, 2, FALSE), FALSE)</f>
        <v>16.888538624953767</v>
      </c>
      <c r="G354" s="631">
        <f>VLOOKUP($A354, $J$277:$AE$369, HLOOKUP("Attached_" &amp;'Personalized Bill Menu'!$B$23, $J$278:$AE$279, 2, FALSE), FALSE)</f>
        <v>10.786284779116048</v>
      </c>
      <c r="H354" s="631">
        <f>VLOOKUP($A354, $J$277:$AE$369, HLOOKUP("Apartment_" &amp;'Personalized Bill Menu'!$B$23, $J$278:$AE$279, 2, FALSE), FALSE)</f>
        <v>8.913905151196591</v>
      </c>
      <c r="I354" s="1374"/>
      <c r="J354" s="634">
        <v>43160</v>
      </c>
      <c r="K354" s="1279">
        <f t="shared" si="83"/>
        <v>588.93374180774288</v>
      </c>
      <c r="L354" s="1279">
        <f t="shared" si="62"/>
        <v>446.94632926486611</v>
      </c>
      <c r="M354" s="1279">
        <f t="shared" si="63"/>
        <v>330.77002440466009</v>
      </c>
      <c r="N354" s="1279">
        <f t="shared" si="64"/>
        <v>545.78840391701908</v>
      </c>
      <c r="O354" s="1279">
        <f t="shared" si="65"/>
        <v>414.20300174561095</v>
      </c>
      <c r="P354" s="1279">
        <f t="shared" si="66"/>
        <v>306.5377832305403</v>
      </c>
      <c r="Q354" s="1279">
        <f t="shared" si="67"/>
        <v>754.66261046885438</v>
      </c>
      <c r="R354" s="1279">
        <f t="shared" si="68"/>
        <v>572.71923756171077</v>
      </c>
      <c r="S354" s="1279">
        <f t="shared" si="69"/>
        <v>423.85034573813857</v>
      </c>
      <c r="T354" s="1279">
        <f t="shared" si="70"/>
        <v>697.12435390044402</v>
      </c>
      <c r="U354" s="1279">
        <f t="shared" si="71"/>
        <v>529.0530137746108</v>
      </c>
      <c r="V354" s="1279">
        <f t="shared" si="72"/>
        <v>391.53443449332548</v>
      </c>
      <c r="W354" s="1280">
        <f t="shared" si="73"/>
        <v>16.340844656301599</v>
      </c>
      <c r="X354" s="1283">
        <f t="shared" si="74"/>
        <v>10.436486418886245</v>
      </c>
      <c r="Y354" s="1282">
        <f t="shared" si="75"/>
        <v>8.6248279138544408</v>
      </c>
      <c r="Z354" s="1279">
        <f t="shared" si="76"/>
        <v>16.888538624953767</v>
      </c>
      <c r="AA354" s="1279">
        <f t="shared" si="77"/>
        <v>10.786284779116048</v>
      </c>
      <c r="AB354" s="1279">
        <f t="shared" si="78"/>
        <v>8.913905151196591</v>
      </c>
      <c r="AC354" s="1279">
        <f t="shared" si="79"/>
        <v>18.471940412168063</v>
      </c>
      <c r="AD354" s="1279">
        <f t="shared" si="80"/>
        <v>11.797563669251604</v>
      </c>
      <c r="AE354" s="1279">
        <f t="shared" si="81"/>
        <v>9.7496372213834555</v>
      </c>
      <c r="AF354" s="1374"/>
      <c r="AG354" s="1506">
        <v>43160</v>
      </c>
      <c r="AH354" s="1513">
        <v>522.63792059774869</v>
      </c>
      <c r="AI354" s="1513">
        <v>484.34942041862939</v>
      </c>
      <c r="AJ354" s="1513">
        <v>669.71081717553807</v>
      </c>
      <c r="AK354" s="1513">
        <v>618.64959817418116</v>
      </c>
      <c r="AL354" s="1284">
        <v>16.549590860441182</v>
      </c>
      <c r="AM354" s="1284">
        <v>17.104281348513915</v>
      </c>
      <c r="AN354" s="1284">
        <v>18.707910310005971</v>
      </c>
      <c r="AO354" s="1570"/>
      <c r="AP354" s="1513">
        <v>568.53312804327993</v>
      </c>
      <c r="AQ354" s="1513">
        <v>16.971699948483135</v>
      </c>
      <c r="AR354" s="911"/>
      <c r="AS354" s="1493"/>
    </row>
    <row r="355" spans="1:45" x14ac:dyDescent="0.3">
      <c r="A355" s="970">
        <v>43191</v>
      </c>
      <c r="B355" s="631">
        <f>VLOOKUP($A355, $J$277:$AE$369, HLOOKUP("Detached_" &amp;'Personalized Bill Menu'!$B$22, $J$278:$AE$279, 2, FALSE), FALSE)</f>
        <v>528.01162456374163</v>
      </c>
      <c r="C355" s="631">
        <f>VLOOKUP($A355, $J$277:$AE$369, HLOOKUP("Attached_" &amp;'Personalized Bill Menu'!$B$22, $J$278:$AE$279, 2, FALSE), FALSE)</f>
        <v>400.71206768278984</v>
      </c>
      <c r="D355" s="631">
        <f>VLOOKUP($A355, $J$277:$AE$369, HLOOKUP("Apartment_" &amp;'Personalized Bill Menu'!$B$22, $J$278:$AE$279, 2, FALSE), FALSE)</f>
        <v>296.55359430892923</v>
      </c>
      <c r="E355" s="1505">
        <v>43191</v>
      </c>
      <c r="F355" s="631">
        <f>VLOOKUP($A355, $J$277:$AE$369, HLOOKUP("Detached_" &amp;'Personalized Bill Menu'!$B$23, $J$278:$AE$279, 2, FALSE), FALSE)</f>
        <v>13.10963277092905</v>
      </c>
      <c r="G355" s="631">
        <f>VLOOKUP($A355, $J$277:$AE$369, HLOOKUP("Attached_" &amp;'Personalized Bill Menu'!$B$23, $J$278:$AE$279, 2, FALSE), FALSE)</f>
        <v>8.3727926706423386</v>
      </c>
      <c r="H355" s="631">
        <f>VLOOKUP($A355, $J$277:$AE$369, HLOOKUP("Apartment_" &amp;'Personalized Bill Menu'!$B$23, $J$278:$AE$279, 2, FALSE), FALSE)</f>
        <v>6.9193685541516183</v>
      </c>
      <c r="I355" s="1483"/>
      <c r="J355" s="634">
        <v>43191</v>
      </c>
      <c r="K355" s="1279">
        <f t="shared" ref="K355:K357" si="84">(B$259/$N$262)*$AH355</f>
        <v>528.01162456374163</v>
      </c>
      <c r="L355" s="1279">
        <f t="shared" ref="L355:L357" si="85">(C$259/$N$262)*$AH355</f>
        <v>400.71206768278984</v>
      </c>
      <c r="M355" s="1279">
        <f t="shared" ref="M355:M357" si="86">(D$259/$N$262)*$AH355</f>
        <v>296.55359430892923</v>
      </c>
      <c r="N355" s="1279">
        <f t="shared" ref="N355:N357" si="87">(B$259/$N$262)*$AI355</f>
        <v>493.04549556446051</v>
      </c>
      <c r="O355" s="1279">
        <f t="shared" ref="O355:O357" si="88">(C$259/$N$262)*$AI355</f>
        <v>374.17600446308006</v>
      </c>
      <c r="P355" s="1279">
        <f t="shared" ref="P355:P357" si="89">(D$259/$N$262)*$AI355</f>
        <v>276.91514176089311</v>
      </c>
      <c r="Q355" s="1279">
        <f t="shared" ref="Q355:Q357" si="90">(B$259/$N$262)*$AJ355</f>
        <v>664.97357077327115</v>
      </c>
      <c r="R355" s="1279">
        <f t="shared" ref="R355:R357" si="91">(C$259/$N$262)*$AJ355</f>
        <v>504.65353810936409</v>
      </c>
      <c r="S355" s="1279">
        <f t="shared" ref="S355:S357" si="92">(D$259/$N$262)*$AJ355</f>
        <v>373.47719890862106</v>
      </c>
      <c r="T355" s="1279">
        <f t="shared" ref="T355:T357" si="93">(B$259/$N$262)*$AK355</f>
        <v>614.06312225524437</v>
      </c>
      <c r="U355" s="1279">
        <f t="shared" ref="U355:U357" si="94">(C$259/$N$262)*$AK355</f>
        <v>466.01720863617845</v>
      </c>
      <c r="V355" s="1279">
        <f t="shared" ref="V355:V357" si="95">(D$259/$N$262)*$AK355</f>
        <v>344.88374415584991</v>
      </c>
      <c r="W355" s="1280">
        <f t="shared" ref="W355:W357" si="96">(B$260/$O$262)*$AL355</f>
        <v>12.463395822746936</v>
      </c>
      <c r="X355" s="1283">
        <f t="shared" ref="X355:X357" si="97">(C$260/$O$262)*$AL355</f>
        <v>7.960057388290565</v>
      </c>
      <c r="Y355" s="1282">
        <f t="shared" ref="Y355:Y357" si="98">(D$260/$O$262)*$AL355</f>
        <v>6.5782795476236853</v>
      </c>
      <c r="Z355" s="1279">
        <f t="shared" ref="Z355:Z357" si="99">(B$260/$O$262)*$AM355</f>
        <v>13.10963277092905</v>
      </c>
      <c r="AA355" s="1279">
        <f t="shared" ref="AA355:AA357" si="100">(C$260/$O$262)*$AM355</f>
        <v>8.3727926706423386</v>
      </c>
      <c r="AB355" s="1279">
        <f t="shared" ref="AB355:AB357" si="101">(D$260/$O$262)*$AM355</f>
        <v>6.9193685541516183</v>
      </c>
      <c r="AC355" s="1279">
        <f t="shared" ref="AC355:AC357" si="102">(B$260/$O$262)*$AN355</f>
        <v>11.76662444940607</v>
      </c>
      <c r="AD355" s="1279">
        <f t="shared" ref="AD355:AD357" si="103">(C$260/$O$262)*$AN355</f>
        <v>7.5150470398116456</v>
      </c>
      <c r="AE355" s="1279">
        <f t="shared" ref="AE355:AE357" si="104">(D$260/$O$262)*$AN355</f>
        <v>6.2105180691466533</v>
      </c>
      <c r="AF355" s="1483"/>
      <c r="AG355" s="1506">
        <v>43191</v>
      </c>
      <c r="AH355" s="1513">
        <v>468.57375953086375</v>
      </c>
      <c r="AI355" s="1513">
        <v>437.54374094941409</v>
      </c>
      <c r="AJ355" s="1513">
        <v>590.11800413170533</v>
      </c>
      <c r="AK355" s="1513">
        <v>544.93850589394549</v>
      </c>
      <c r="AL355" s="1284">
        <v>12.622609536811847</v>
      </c>
      <c r="AM355" s="1284">
        <v>13.277101842213561</v>
      </c>
      <c r="AN355" s="1284">
        <v>11.91693725397718</v>
      </c>
      <c r="AO355" s="1570"/>
      <c r="AP355" s="1513">
        <v>506.02516903018198</v>
      </c>
      <c r="AQ355" s="1513">
        <v>12.796653982772801</v>
      </c>
      <c r="AR355" s="911"/>
      <c r="AS355" s="1493"/>
    </row>
    <row r="356" spans="1:45" x14ac:dyDescent="0.3">
      <c r="A356" s="970">
        <v>43221</v>
      </c>
      <c r="B356" s="631">
        <f>VLOOKUP($A356, $J$277:$AE$369, HLOOKUP("Detached_" &amp;'Personalized Bill Menu'!$B$22, $J$278:$AE$279, 2, FALSE), FALSE)</f>
        <v>494.83267205155215</v>
      </c>
      <c r="C356" s="631">
        <f>VLOOKUP($A356, $J$277:$AE$369, HLOOKUP("Attached_" &amp;'Personalized Bill Menu'!$B$22, $J$278:$AE$279, 2, FALSE), FALSE)</f>
        <v>375.53230639307685</v>
      </c>
      <c r="D356" s="631">
        <f>VLOOKUP($A356, $J$277:$AE$369, HLOOKUP("Apartment_" &amp;'Personalized Bill Menu'!$B$22, $J$278:$AE$279, 2, FALSE), FALSE)</f>
        <v>277.91889544027345</v>
      </c>
      <c r="E356" s="1505">
        <v>43221</v>
      </c>
      <c r="F356" s="631">
        <f>VLOOKUP($A356, $J$277:$AE$369, HLOOKUP("Detached_" &amp;'Personalized Bill Menu'!$B$23, $J$278:$AE$279, 2, FALSE), FALSE)</f>
        <v>4.4047814912747665</v>
      </c>
      <c r="G356" s="631">
        <f>VLOOKUP($A356, $J$277:$AE$369, HLOOKUP("Attached_" &amp;'Personalized Bill Menu'!$B$23, $J$278:$AE$279, 2, FALSE), FALSE)</f>
        <v>2.8132231337333464</v>
      </c>
      <c r="H356" s="631">
        <f>VLOOKUP($A356, $J$277:$AE$369, HLOOKUP("Apartment_" &amp;'Personalized Bill Menu'!$B$23, $J$278:$AE$279, 2, FALSE), FALSE)</f>
        <v>2.3248787415481327</v>
      </c>
      <c r="I356" s="1483"/>
      <c r="J356" s="634">
        <v>43221</v>
      </c>
      <c r="K356" s="1279">
        <f t="shared" si="84"/>
        <v>494.83267205155215</v>
      </c>
      <c r="L356" s="1279">
        <f t="shared" si="85"/>
        <v>375.53230639307685</v>
      </c>
      <c r="M356" s="1279">
        <f t="shared" si="86"/>
        <v>277.91889544027345</v>
      </c>
      <c r="N356" s="1279">
        <f t="shared" si="87"/>
        <v>480.8049857673023</v>
      </c>
      <c r="O356" s="1279">
        <f t="shared" si="88"/>
        <v>364.88658778714358</v>
      </c>
      <c r="P356" s="1279">
        <f t="shared" si="89"/>
        <v>270.04035528337926</v>
      </c>
      <c r="Q356" s="1279">
        <f t="shared" si="90"/>
        <v>623.15875840926901</v>
      </c>
      <c r="R356" s="1279">
        <f t="shared" si="91"/>
        <v>472.91995660726889</v>
      </c>
      <c r="S356" s="1279">
        <f t="shared" si="92"/>
        <v>349.99223697782304</v>
      </c>
      <c r="T356" s="1279">
        <f t="shared" si="93"/>
        <v>611.65050731491306</v>
      </c>
      <c r="U356" s="1279">
        <f t="shared" si="94"/>
        <v>464.18625667169977</v>
      </c>
      <c r="V356" s="1279">
        <f t="shared" si="95"/>
        <v>343.52871786674154</v>
      </c>
      <c r="W356" s="1280">
        <f t="shared" si="96"/>
        <v>3.660351385203866</v>
      </c>
      <c r="X356" s="1283">
        <f t="shared" si="97"/>
        <v>2.3377743515418516</v>
      </c>
      <c r="Y356" s="1282">
        <f t="shared" si="98"/>
        <v>1.9319626044818692</v>
      </c>
      <c r="Z356" s="1279">
        <f t="shared" si="99"/>
        <v>4.4047814912747665</v>
      </c>
      <c r="AA356" s="1279">
        <f t="shared" si="100"/>
        <v>2.8132231337333464</v>
      </c>
      <c r="AB356" s="1279">
        <f t="shared" si="101"/>
        <v>2.3248787415481327</v>
      </c>
      <c r="AC356" s="1279">
        <f t="shared" si="102"/>
        <v>3.9147117999222729</v>
      </c>
      <c r="AD356" s="1279">
        <f t="shared" si="103"/>
        <v>2.5002279498438957</v>
      </c>
      <c r="AE356" s="1279">
        <f t="shared" si="104"/>
        <v>2.0662160565637904</v>
      </c>
      <c r="AF356" s="1483"/>
      <c r="AG356" s="1506">
        <v>43221</v>
      </c>
      <c r="AH356" s="1513">
        <v>439.12973634524195</v>
      </c>
      <c r="AI356" s="1513">
        <v>426.68113598504857</v>
      </c>
      <c r="AJ356" s="1513">
        <v>553.01025323764748</v>
      </c>
      <c r="AK356" s="1513">
        <v>542.79747717355428</v>
      </c>
      <c r="AL356" s="1284">
        <v>3.7071105628075594</v>
      </c>
      <c r="AM356" s="1284">
        <v>4.4610503950987379</v>
      </c>
      <c r="AN356" s="1284">
        <v>3.9647203059525333</v>
      </c>
      <c r="AO356" s="1570"/>
      <c r="AP356" s="1513">
        <v>483.37546804743926</v>
      </c>
      <c r="AQ356" s="1513">
        <v>4.014746237667608</v>
      </c>
      <c r="AR356" s="911"/>
      <c r="AS356" s="1493"/>
    </row>
    <row r="357" spans="1:45" x14ac:dyDescent="0.3">
      <c r="A357" s="970">
        <v>43252</v>
      </c>
      <c r="B357" s="631">
        <f>VLOOKUP($A357, $J$277:$AE$369, HLOOKUP("Detached_" &amp;'Personalized Bill Menu'!$B$22, $J$278:$AE$279, 2, FALSE), FALSE)</f>
        <v>481.31960825480462</v>
      </c>
      <c r="C357" s="631">
        <f>VLOOKUP($A357, $J$277:$AE$369, HLOOKUP("Attached_" &amp;'Personalized Bill Menu'!$B$22, $J$278:$AE$279, 2, FALSE), FALSE)</f>
        <v>365.27713873611845</v>
      </c>
      <c r="D357" s="631">
        <f>VLOOKUP($A357, $J$277:$AE$369, HLOOKUP("Apartment_" &amp;'Personalized Bill Menu'!$B$22, $J$278:$AE$279, 2, FALSE), FALSE)</f>
        <v>270.32938897370207</v>
      </c>
      <c r="E357" s="1505">
        <v>43252</v>
      </c>
      <c r="F357" s="631">
        <f>VLOOKUP($A357, $J$277:$AE$369, HLOOKUP("Detached_" &amp;'Personalized Bill Menu'!$B$23, $J$278:$AE$279, 2, FALSE), FALSE)</f>
        <v>3.2976685156573131</v>
      </c>
      <c r="G357" s="631">
        <f>VLOOKUP($A357, $J$277:$AE$369, HLOOKUP("Attached_" &amp;'Personalized Bill Menu'!$B$23, $J$278:$AE$279, 2, FALSE), FALSE)</f>
        <v>2.1061379262530515</v>
      </c>
      <c r="H357" s="631">
        <f>VLOOKUP($A357, $J$277:$AE$369, HLOOKUP("Apartment_" &amp;'Personalized Bill Menu'!$B$23, $J$278:$AE$279, 2, FALSE), FALSE)</f>
        <v>1.7405356982885198</v>
      </c>
      <c r="I357" s="1483"/>
      <c r="J357" s="634">
        <v>43252</v>
      </c>
      <c r="K357" s="1279">
        <f t="shared" si="84"/>
        <v>481.31960825480462</v>
      </c>
      <c r="L357" s="1279">
        <f t="shared" si="85"/>
        <v>365.27713873611845</v>
      </c>
      <c r="M357" s="1279">
        <f t="shared" si="86"/>
        <v>270.32938897370207</v>
      </c>
      <c r="N357" s="1279">
        <f t="shared" si="87"/>
        <v>472.49196690666241</v>
      </c>
      <c r="O357" s="1279">
        <f t="shared" si="88"/>
        <v>358.57777407667783</v>
      </c>
      <c r="P357" s="1279">
        <f t="shared" si="89"/>
        <v>265.37141333590313</v>
      </c>
      <c r="Q357" s="1279">
        <f t="shared" si="90"/>
        <v>619.86330660189458</v>
      </c>
      <c r="R357" s="1279">
        <f t="shared" si="91"/>
        <v>470.41901297980036</v>
      </c>
      <c r="S357" s="1279">
        <f t="shared" si="92"/>
        <v>348.14137227544796</v>
      </c>
      <c r="T357" s="1279">
        <f t="shared" si="93"/>
        <v>512.07719839550293</v>
      </c>
      <c r="U357" s="1279">
        <f t="shared" si="94"/>
        <v>388.6193095688198</v>
      </c>
      <c r="V357" s="1279">
        <f t="shared" si="95"/>
        <v>287.60414862703595</v>
      </c>
      <c r="W357" s="1280">
        <f t="shared" si="96"/>
        <v>2.9034203436448998</v>
      </c>
      <c r="X357" s="1283">
        <f t="shared" si="97"/>
        <v>1.8543415363221576</v>
      </c>
      <c r="Y357" s="1282">
        <f t="shared" si="98"/>
        <v>1.5324483741337389</v>
      </c>
      <c r="Z357" s="1279">
        <f t="shared" si="99"/>
        <v>3.2976685156573131</v>
      </c>
      <c r="AA357" s="1279">
        <f t="shared" si="100"/>
        <v>2.1061379262530515</v>
      </c>
      <c r="AB357" s="1279">
        <f t="shared" si="101"/>
        <v>1.7405356982885198</v>
      </c>
      <c r="AC357" s="1279">
        <f t="shared" si="102"/>
        <v>2.8033284543369463</v>
      </c>
      <c r="AD357" s="1279">
        <f t="shared" si="103"/>
        <v>1.7904153644886664</v>
      </c>
      <c r="AE357" s="1279">
        <f t="shared" si="104"/>
        <v>1.4796190780348524</v>
      </c>
      <c r="AF357" s="1483"/>
      <c r="AG357" s="1506">
        <v>43252</v>
      </c>
      <c r="AH357" s="1513">
        <v>427.13782781244407</v>
      </c>
      <c r="AI357" s="1513">
        <v>419.30390730414712</v>
      </c>
      <c r="AJ357" s="1513">
        <v>550.08576792160909</v>
      </c>
      <c r="AK357" s="1513">
        <v>454.43305953815508</v>
      </c>
      <c r="AL357" s="1284">
        <v>2.9405101017636017</v>
      </c>
      <c r="AM357" s="1284">
        <v>3.3397945990778912</v>
      </c>
      <c r="AN357" s="1284">
        <v>2.8391395881006867</v>
      </c>
      <c r="AO357" s="1570"/>
      <c r="AP357" s="1513">
        <v>467.79601809836407</v>
      </c>
      <c r="AQ357" s="1513">
        <v>3.079796351634791</v>
      </c>
      <c r="AR357" s="911"/>
      <c r="AS357" s="1493"/>
    </row>
    <row r="358" spans="1:45" x14ac:dyDescent="0.3">
      <c r="A358" s="970">
        <v>43282</v>
      </c>
      <c r="B358" s="631">
        <f>VLOOKUP($A358, $J$277:$AE$369, HLOOKUP("Detached_" &amp;'Personalized Bill Menu'!$B$22, $J$278:$AE$279, 2, FALSE), FALSE)</f>
        <v>515.53500390451472</v>
      </c>
      <c r="C358" s="631">
        <f>VLOOKUP($A358, $J$277:$AE$369, HLOOKUP("Attached_" &amp;'Personalized Bill Menu'!$B$22, $J$278:$AE$279, 2, FALSE), FALSE)</f>
        <v>391.24346466446912</v>
      </c>
      <c r="D358" s="631">
        <f>VLOOKUP($A358, $J$277:$AE$369, HLOOKUP("Apartment_" &amp;'Personalized Bill Menu'!$B$22, $J$278:$AE$279, 2, FALSE), FALSE)</f>
        <v>289.54619801461502</v>
      </c>
      <c r="E358" s="1505">
        <v>43282</v>
      </c>
      <c r="F358" s="631">
        <f>VLOOKUP($A358, $J$277:$AE$369, HLOOKUP("Detached_" &amp;'Personalized Bill Menu'!$B$23, $J$278:$AE$279, 2, FALSE), FALSE)</f>
        <v>2.9290657632313017</v>
      </c>
      <c r="G358" s="631">
        <f>VLOOKUP($A358, $J$277:$AE$369, HLOOKUP("Attached_" &amp;'Personalized Bill Menu'!$B$23, $J$278:$AE$279, 2, FALSE), FALSE)</f>
        <v>1.8707206206871088</v>
      </c>
      <c r="H358" s="631">
        <f>VLOOKUP($A358, $J$277:$AE$369, HLOOKUP("Apartment_" &amp;'Personalized Bill Menu'!$B$23, $J$278:$AE$279, 2, FALSE), FALSE)</f>
        <v>1.5459842307778453</v>
      </c>
      <c r="I358" s="1514"/>
      <c r="J358" s="634">
        <v>43282</v>
      </c>
      <c r="K358" s="1279">
        <f t="shared" ref="K358:K359" si="105">(B$259/$N$262)*$AH358</f>
        <v>515.53500390451472</v>
      </c>
      <c r="L358" s="1279">
        <f t="shared" ref="L358:L360" si="106">(C$259/$N$262)*$AH358</f>
        <v>391.24346466446912</v>
      </c>
      <c r="M358" s="1279">
        <f t="shared" ref="M358:M360" si="107">(D$259/$N$262)*$AH358</f>
        <v>289.54619801461502</v>
      </c>
      <c r="N358" s="1279">
        <f t="shared" ref="N358:N360" si="108">(B$259/$N$262)*$AI358</f>
        <v>495.52518879822816</v>
      </c>
      <c r="O358" s="1279">
        <f t="shared" ref="O358:O360" si="109">(C$259/$N$262)*$AI358</f>
        <v>376.0578626584238</v>
      </c>
      <c r="P358" s="1279">
        <f t="shared" ref="P358:P360" si="110">(D$259/$N$262)*$AI358</f>
        <v>278.30784204824931</v>
      </c>
      <c r="Q358" s="1279">
        <f t="shared" ref="Q358:Q360" si="111">(B$259/$N$262)*$AJ358</f>
        <v>668.33416200973431</v>
      </c>
      <c r="R358" s="1279">
        <f t="shared" ref="R358:R360" si="112">(C$259/$N$262)*$AJ358</f>
        <v>507.20391654868814</v>
      </c>
      <c r="S358" s="1279">
        <f t="shared" ref="S358:S360" si="113">(D$259/$N$262)*$AJ358</f>
        <v>375.36464866126551</v>
      </c>
      <c r="T358" s="1279">
        <f t="shared" ref="T358:T360" si="114">(B$259/$N$262)*$AK358</f>
        <v>574.03873261620515</v>
      </c>
      <c r="U358" s="1279">
        <f t="shared" ref="U358:U360" si="115">(C$259/$N$262)*$AK358</f>
        <v>435.64239265887437</v>
      </c>
      <c r="V358" s="1279">
        <f t="shared" ref="V358:V360" si="116">(D$259/$N$262)*$AK358</f>
        <v>322.40435912851274</v>
      </c>
      <c r="W358" s="1280">
        <f t="shared" ref="W358:W360" si="117">(B$260/$O$262)*$AL358</f>
        <v>2.5580698483095481</v>
      </c>
      <c r="X358" s="1283">
        <f t="shared" ref="X358:X360" si="118">(C$260/$O$262)*$AL358</f>
        <v>1.6337748624364774</v>
      </c>
      <c r="Y358" s="1282">
        <f t="shared" ref="Y358:Y360" si="119">(D$260/$O$262)*$AL358</f>
        <v>1.3501696330477848</v>
      </c>
      <c r="Z358" s="1279">
        <f t="shared" ref="Z358:Z360" si="120">(B$260/$O$262)*$AM358</f>
        <v>2.9290657632313017</v>
      </c>
      <c r="AA358" s="1279">
        <f t="shared" ref="AA358:AA360" si="121">(C$260/$O$262)*$AM358</f>
        <v>1.8707206206871088</v>
      </c>
      <c r="AB358" s="1279">
        <f t="shared" ref="AB358:AB360" si="122">(D$260/$O$262)*$AM358</f>
        <v>1.5459842307778453</v>
      </c>
      <c r="AC358" s="1279">
        <f t="shared" ref="AC358:AC360" si="123">(B$260/$O$262)*$AN358</f>
        <v>2.0880409039121046</v>
      </c>
      <c r="AD358" s="1279">
        <f t="shared" ref="AD358:AD360" si="124">(C$260/$O$262)*$AN358</f>
        <v>1.33357919949101</v>
      </c>
      <c r="AE358" s="1279">
        <f t="shared" ref="AE358:AE360" si="125">(D$260/$O$262)*$AN358</f>
        <v>1.1020846138688478</v>
      </c>
      <c r="AF358" s="1514"/>
      <c r="AG358" s="1506">
        <v>43282</v>
      </c>
      <c r="AH358" s="1513">
        <v>457.50162252371973</v>
      </c>
      <c r="AI358" s="1513">
        <v>439.74429701101548</v>
      </c>
      <c r="AJ358" s="1513">
        <v>593.1002961810841</v>
      </c>
      <c r="AK358" s="1513">
        <v>509.41963120707061</v>
      </c>
      <c r="AL358" s="1284">
        <v>2.5907479247486758</v>
      </c>
      <c r="AM358" s="1284">
        <v>2.9664831288944624</v>
      </c>
      <c r="AN358" s="1284">
        <v>2.1147145931826126</v>
      </c>
      <c r="AO358" s="1570"/>
      <c r="AP358" s="1513">
        <v>502.25621542620064</v>
      </c>
      <c r="AQ358" s="1513">
        <v>2.6838016525899304</v>
      </c>
      <c r="AR358" s="911"/>
      <c r="AS358" s="1493"/>
    </row>
    <row r="359" spans="1:45" x14ac:dyDescent="0.3">
      <c r="A359" s="970">
        <v>43313</v>
      </c>
      <c r="B359" s="631">
        <f>VLOOKUP($A359, $J$277:$AE$369, HLOOKUP("Detached_" &amp;'Personalized Bill Menu'!$B$22, $J$278:$AE$279, 2, FALSE), FALSE)</f>
        <v>529.47012813338006</v>
      </c>
      <c r="C359" s="631">
        <f>VLOOKUP($A359, $J$277:$AE$369, HLOOKUP("Attached_" &amp;'Personalized Bill Menu'!$B$22, $J$278:$AE$279, 2, FALSE), FALSE)</f>
        <v>401.81893721732973</v>
      </c>
      <c r="D359" s="631">
        <f>VLOOKUP($A359, $J$277:$AE$369, HLOOKUP("Apartment_" &amp;'Personalized Bill Menu'!$B$22, $J$278:$AE$279, 2, FALSE), FALSE)</f>
        <v>297.37275141791531</v>
      </c>
      <c r="E359" s="1505">
        <v>43313</v>
      </c>
      <c r="F359" s="631">
        <f>VLOOKUP($A359, $J$277:$AE$369, HLOOKUP("Detached_" &amp;'Personalized Bill Menu'!$B$23, $J$278:$AE$279, 2, FALSE), FALSE)</f>
        <v>3.3237503926709211</v>
      </c>
      <c r="G359" s="631">
        <f>VLOOKUP($A359, $J$277:$AE$369, HLOOKUP("Attached_" &amp;'Personalized Bill Menu'!$B$23, $J$278:$AE$279, 2, FALSE), FALSE)</f>
        <v>2.1227957649974281</v>
      </c>
      <c r="H359" s="631">
        <f>VLOOKUP($A359, $J$277:$AE$369, HLOOKUP("Apartment_" &amp;'Personalized Bill Menu'!$B$23, $J$278:$AE$279, 2, FALSE), FALSE)</f>
        <v>1.7543019206377382</v>
      </c>
      <c r="I359" s="1514"/>
      <c r="J359" s="634">
        <v>43313</v>
      </c>
      <c r="K359" s="1279">
        <f t="shared" si="105"/>
        <v>529.47012813338006</v>
      </c>
      <c r="L359" s="1279">
        <f t="shared" si="106"/>
        <v>401.81893721732973</v>
      </c>
      <c r="M359" s="1279">
        <f t="shared" si="107"/>
        <v>297.37275141791531</v>
      </c>
      <c r="N359" s="1279">
        <f t="shared" si="108"/>
        <v>480.23238960709057</v>
      </c>
      <c r="O359" s="1279">
        <f t="shared" si="109"/>
        <v>364.45204017373595</v>
      </c>
      <c r="P359" s="1279">
        <f t="shared" si="110"/>
        <v>269.71876113374555</v>
      </c>
      <c r="Q359" s="1279">
        <f t="shared" si="111"/>
        <v>650.46999359416395</v>
      </c>
      <c r="R359" s="1279">
        <f t="shared" si="112"/>
        <v>493.64666225688865</v>
      </c>
      <c r="S359" s="1279">
        <f t="shared" si="113"/>
        <v>365.33137835712301</v>
      </c>
      <c r="T359" s="1279">
        <f t="shared" si="114"/>
        <v>559.50210571103889</v>
      </c>
      <c r="U359" s="1279">
        <f t="shared" si="115"/>
        <v>424.61043511605465</v>
      </c>
      <c r="V359" s="1279">
        <f t="shared" si="116"/>
        <v>314.23997645717151</v>
      </c>
      <c r="W359" s="1280">
        <f t="shared" si="117"/>
        <v>3.223601213371726</v>
      </c>
      <c r="X359" s="1283">
        <f t="shared" si="118"/>
        <v>2.0588330034876927</v>
      </c>
      <c r="Y359" s="1282">
        <f t="shared" si="119"/>
        <v>1.7014423864253367</v>
      </c>
      <c r="Z359" s="1279">
        <f t="shared" si="120"/>
        <v>3.3237503926709211</v>
      </c>
      <c r="AA359" s="1279">
        <f t="shared" si="121"/>
        <v>2.1227957649974281</v>
      </c>
      <c r="AB359" s="1279">
        <f t="shared" si="122"/>
        <v>1.7543019206377382</v>
      </c>
      <c r="AC359" s="1279">
        <f t="shared" si="123"/>
        <v>2.7632054433445155</v>
      </c>
      <c r="AD359" s="1279">
        <f t="shared" si="124"/>
        <v>1.7647898066845999</v>
      </c>
      <c r="AE359" s="1279">
        <f>(D$260/$O$262)*$AN359</f>
        <v>1.4584418333774316</v>
      </c>
      <c r="AF359" s="1514"/>
      <c r="AG359" s="1506">
        <v>43313</v>
      </c>
      <c r="AH359" s="1513">
        <v>469.86808046836074</v>
      </c>
      <c r="AI359" s="1513">
        <v>426.1729965369729</v>
      </c>
      <c r="AJ359" s="1513">
        <v>577.2470835509788</v>
      </c>
      <c r="AK359" s="1513">
        <v>496.51938128268853</v>
      </c>
      <c r="AL359" s="1284">
        <v>3.2647811236581625</v>
      </c>
      <c r="AM359" s="1284">
        <v>3.3662096591636073</v>
      </c>
      <c r="AN359" s="1284">
        <v>2.7985040254978903</v>
      </c>
      <c r="AO359" s="1570"/>
      <c r="AP359" s="1513">
        <v>494.66374590993314</v>
      </c>
      <c r="AQ359" s="1513">
        <v>3.2561512109550792</v>
      </c>
      <c r="AR359" s="911"/>
      <c r="AS359" s="1493"/>
    </row>
    <row r="360" spans="1:45" x14ac:dyDescent="0.3">
      <c r="A360" s="970">
        <v>43344</v>
      </c>
      <c r="B360" s="631">
        <f>VLOOKUP($A360, $J$277:$AE$369, HLOOKUP("Detached_" &amp;'Personalized Bill Menu'!$B$22, $J$278:$AE$279, 2, FALSE), FALSE)</f>
        <v>511.67498853221838</v>
      </c>
      <c r="C360" s="631">
        <f>VLOOKUP($A360, $J$277:$AE$369, HLOOKUP("Attached_" &amp;'Personalized Bill Menu'!$B$22, $J$278:$AE$279, 2, FALSE), FALSE)</f>
        <v>388.31406942170685</v>
      </c>
      <c r="D360" s="631">
        <f>VLOOKUP($A360, $J$277:$AE$369, HLOOKUP("Apartment_" &amp;'Personalized Bill Menu'!$B$22, $J$278:$AE$279, 2, FALSE), FALSE)</f>
        <v>287.37825060685105</v>
      </c>
      <c r="E360" s="1505">
        <v>43344</v>
      </c>
      <c r="F360" s="631">
        <f>VLOOKUP($A360, $J$277:$AE$369, HLOOKUP("Detached_" &amp;'Personalized Bill Menu'!$B$23, $J$278:$AE$279, 2, FALSE), FALSE)</f>
        <v>7.8744686576995928</v>
      </c>
      <c r="G360" s="631">
        <f>VLOOKUP($A360, $J$277:$AE$369, HLOOKUP("Attached_" &amp;'Personalized Bill Menu'!$B$23, $J$278:$AE$279, 2, FALSE), FALSE)</f>
        <v>5.0292250450061662</v>
      </c>
      <c r="H360" s="631">
        <f>VLOOKUP($A360, $J$277:$AE$369, HLOOKUP("Apartment_" &amp;'Personalized Bill Menu'!$B$23, $J$278:$AE$279, 2, FALSE), FALSE)</f>
        <v>4.1562072533079615</v>
      </c>
      <c r="I360" s="1514"/>
      <c r="J360" s="634">
        <v>43344</v>
      </c>
      <c r="K360" s="1279">
        <f>(B$259/$N$262)*$AH360</f>
        <v>511.67498853221838</v>
      </c>
      <c r="L360" s="1279">
        <f t="shared" si="106"/>
        <v>388.31406942170685</v>
      </c>
      <c r="M360" s="1279">
        <f t="shared" si="107"/>
        <v>287.37825060685105</v>
      </c>
      <c r="N360" s="1279">
        <f t="shared" si="108"/>
        <v>473.61394393334513</v>
      </c>
      <c r="O360" s="1279">
        <f t="shared" si="109"/>
        <v>359.42925103918998</v>
      </c>
      <c r="P360" s="1279">
        <f t="shared" si="110"/>
        <v>266.00156294722979</v>
      </c>
      <c r="Q360" s="1279">
        <f t="shared" si="111"/>
        <v>627.25478131392958</v>
      </c>
      <c r="R360" s="1279">
        <f t="shared" si="112"/>
        <v>476.02845977471094</v>
      </c>
      <c r="S360" s="1279">
        <f t="shared" si="113"/>
        <v>352.29273616806796</v>
      </c>
      <c r="T360" s="1279">
        <f t="shared" si="114"/>
        <v>519.71749142499596</v>
      </c>
      <c r="U360" s="1279">
        <f t="shared" si="115"/>
        <v>394.41758649137824</v>
      </c>
      <c r="V360" s="1279">
        <f t="shared" si="116"/>
        <v>291.89525937926913</v>
      </c>
      <c r="W360" s="1280">
        <f t="shared" si="117"/>
        <v>8.0971321584513181</v>
      </c>
      <c r="X360" s="1283">
        <f t="shared" si="118"/>
        <v>5.1714346217113034</v>
      </c>
      <c r="Y360" s="1282">
        <f t="shared" si="119"/>
        <v>4.2737308218304397</v>
      </c>
      <c r="Z360" s="1279">
        <f t="shared" si="120"/>
        <v>7.8744686576995928</v>
      </c>
      <c r="AA360" s="1279">
        <f t="shared" si="121"/>
        <v>5.0292250450061662</v>
      </c>
      <c r="AB360" s="1279">
        <f t="shared" si="122"/>
        <v>4.1562072533079615</v>
      </c>
      <c r="AC360" s="1279">
        <f t="shared" si="123"/>
        <v>6.9209361442748447</v>
      </c>
      <c r="AD360" s="1279">
        <f t="shared" si="124"/>
        <v>4.4202278153258643</v>
      </c>
      <c r="AE360" s="1279">
        <f t="shared" si="125"/>
        <v>3.6529252007867621</v>
      </c>
      <c r="AF360" s="1514"/>
      <c r="AG360" s="1506">
        <v>43344</v>
      </c>
      <c r="AH360" s="1513">
        <v>454.07612613178287</v>
      </c>
      <c r="AI360" s="1513">
        <v>420.29958423443128</v>
      </c>
      <c r="AJ360" s="1513">
        <v>556.64518997440416</v>
      </c>
      <c r="AK360" s="1513">
        <v>461.21329062057663</v>
      </c>
      <c r="AL360" s="1284">
        <v>8.2005690148711867</v>
      </c>
      <c r="AM360" s="1284">
        <v>7.97506109808345</v>
      </c>
      <c r="AN360" s="1284">
        <v>7.0093476786597995</v>
      </c>
      <c r="AO360" s="1570"/>
      <c r="AP360" s="1513">
        <v>476.3126833536345</v>
      </c>
      <c r="AQ360" s="1513">
        <v>7.996989798454579</v>
      </c>
      <c r="AR360" s="911"/>
      <c r="AS360" s="1493"/>
    </row>
    <row r="361" spans="1:45" x14ac:dyDescent="0.3">
      <c r="A361" s="970">
        <v>43374</v>
      </c>
      <c r="B361" s="631">
        <f>VLOOKUP($A361, $J$277:$AE$369, HLOOKUP("Detached_" &amp;'Personalized Bill Menu'!$B$22, $J$278:$AE$279, 2, FALSE), FALSE)</f>
        <v>545.14156168933403</v>
      </c>
      <c r="C361" s="631">
        <f>VLOOKUP($A361, $J$277:$AE$369, HLOOKUP("Attached_" &amp;'Personalized Bill Menu'!$B$22, $J$278:$AE$279, 2, FALSE), FALSE)</f>
        <v>413.71210822269967</v>
      </c>
      <c r="D361" s="631">
        <f>VLOOKUP($A361, $J$277:$AE$369, HLOOKUP("Apartment_" &amp;'Personalized Bill Menu'!$B$22, $J$278:$AE$279, 2, FALSE), FALSE)</f>
        <v>306.17448935849865</v>
      </c>
      <c r="E361" s="634">
        <v>43374</v>
      </c>
      <c r="F361" s="631">
        <f>VLOOKUP($A361, $J$277:$AE$369, HLOOKUP("Detached_" &amp;'Personalized Bill Menu'!$B$23, $J$278:$AE$279, 2, FALSE), FALSE)</f>
        <v>11.141358321688704</v>
      </c>
      <c r="G361" s="631">
        <f>VLOOKUP($A361, $J$277:$AE$369, HLOOKUP("Attached_" &amp;'Personalized Bill Menu'!$B$23, $J$278:$AE$279, 2, FALSE), FALSE)</f>
        <v>7.1157052929579789</v>
      </c>
      <c r="H361" s="631">
        <f>VLOOKUP($A361, $J$277:$AE$369, HLOOKUP("Apartment_" &amp;'Personalized Bill Menu'!$B$23, $J$278:$AE$279, 2, FALSE), FALSE)</f>
        <v>5.8804976286277002</v>
      </c>
      <c r="I361" s="1540"/>
      <c r="J361" s="634">
        <v>43374</v>
      </c>
      <c r="K361" s="1279">
        <f t="shared" ref="K361:K362" si="126">(B$259/$N$262)*$AH361</f>
        <v>545.14156168933403</v>
      </c>
      <c r="L361" s="1279">
        <f t="shared" ref="L361:L366" si="127">(C$259/$N$262)*$AH361</f>
        <v>413.71210822269967</v>
      </c>
      <c r="M361" s="1279">
        <f t="shared" ref="M361:M366" si="128">(D$259/$N$262)*$AH361</f>
        <v>306.17448935849865</v>
      </c>
      <c r="N361" s="1279">
        <f t="shared" ref="N361:N366" si="129">(B$259/$N$262)*$AI361</f>
        <v>503.93493428175503</v>
      </c>
      <c r="O361" s="1279">
        <f t="shared" ref="O361:O366" si="130">(C$259/$N$262)*$AI361</f>
        <v>382.44008294415022</v>
      </c>
      <c r="P361" s="1279">
        <f t="shared" ref="P361:P366" si="131">(D$259/$N$262)*$AI361</f>
        <v>283.03110974604618</v>
      </c>
      <c r="Q361" s="1279">
        <f t="shared" ref="Q361:Q366" si="132">(B$259/$N$262)*$AJ361</f>
        <v>675.11538390113105</v>
      </c>
      <c r="R361" s="1279">
        <f t="shared" ref="R361:R366" si="133">(C$259/$N$262)*$AJ361</f>
        <v>512.3502378020554</v>
      </c>
      <c r="S361" s="1279">
        <f t="shared" ref="S361:S366" si="134">(D$259/$N$262)*$AJ361</f>
        <v>379.17326883579608</v>
      </c>
      <c r="T361" s="1279">
        <f t="shared" ref="T361:T366" si="135">(B$259/$N$262)*$AK361</f>
        <v>644.40240537041814</v>
      </c>
      <c r="U361" s="1279">
        <f t="shared" ref="U361:U366" si="136">(C$259/$N$262)*$AK361</f>
        <v>489.0419230620011</v>
      </c>
      <c r="V361" s="1279">
        <f t="shared" ref="V361:V366" si="137">(D$259/$N$262)*$AK361</f>
        <v>361.92356494387661</v>
      </c>
      <c r="W361" s="1280">
        <f t="shared" ref="W361:W366" si="138">(B$260/$O$262)*$AL361</f>
        <v>10.938043863438779</v>
      </c>
      <c r="X361" s="1283">
        <f t="shared" ref="X361:X366" si="139">(C$260/$O$262)*$AL361</f>
        <v>6.9858534629627478</v>
      </c>
      <c r="Y361" s="1282">
        <f t="shared" ref="Y361:Y366" si="140">(D$260/$O$262)*$AL361</f>
        <v>5.773186638792918</v>
      </c>
      <c r="Z361" s="1279">
        <f t="shared" ref="Z361:Z366" si="141">(B$260/$O$262)*$AM361</f>
        <v>11.141358321688704</v>
      </c>
      <c r="AA361" s="1279">
        <f t="shared" ref="AA361:AA366" si="142">(C$260/$O$262)*$AM361</f>
        <v>7.1157052929579789</v>
      </c>
      <c r="AB361" s="1279">
        <f t="shared" ref="AB361:AB366" si="143">(D$260/$O$262)*$AM361</f>
        <v>5.8804976286277002</v>
      </c>
      <c r="AC361" s="1279">
        <f t="shared" ref="AC361:AC366" si="144">(B$260/$O$262)*$AN361</f>
        <v>11.464026351357919</v>
      </c>
      <c r="AD361" s="1279">
        <f t="shared" ref="AD361:AD366" si="145">(C$260/$O$262)*$AN361</f>
        <v>7.3217852466128175</v>
      </c>
      <c r="AE361" s="1279">
        <f t="shared" ref="AE361:AE365" si="146">(D$260/$O$262)*$AN361</f>
        <v>6.0508043837394236</v>
      </c>
      <c r="AF361" s="1540"/>
      <c r="AG361" s="1506">
        <v>43374</v>
      </c>
      <c r="AH361" s="1513">
        <v>483.77539272615178</v>
      </c>
      <c r="AI361" s="1513">
        <v>447.20736387279095</v>
      </c>
      <c r="AJ361" s="1513">
        <v>599.11816110686129</v>
      </c>
      <c r="AK361" s="1513">
        <v>571.86251909629505</v>
      </c>
      <c r="AL361" s="1284">
        <v>11.077771961051198</v>
      </c>
      <c r="AM361" s="1284">
        <v>11.283683660894139</v>
      </c>
      <c r="AN361" s="1284">
        <v>11.610473614968571</v>
      </c>
      <c r="AO361" s="1570"/>
      <c r="AP361" s="1513">
        <v>518.24357537617379</v>
      </c>
      <c r="AQ361" s="1513">
        <v>11.208007627363536</v>
      </c>
      <c r="AR361" s="911"/>
      <c r="AS361" s="1493"/>
    </row>
    <row r="362" spans="1:45" x14ac:dyDescent="0.3">
      <c r="A362" s="970">
        <v>43405</v>
      </c>
      <c r="B362" s="631">
        <f>VLOOKUP($A362, $J$277:$AE$369, HLOOKUP("Detached_" &amp;'Personalized Bill Menu'!$B$22, $J$278:$AE$279, 2, FALSE), FALSE)</f>
        <v>584.09010167112854</v>
      </c>
      <c r="C362" s="631">
        <f>VLOOKUP($A362, $J$277:$AE$369, HLOOKUP("Attached_" &amp;'Personalized Bill Menu'!$B$22, $J$278:$AE$279, 2, FALSE), FALSE)</f>
        <v>443.27045365160149</v>
      </c>
      <c r="D362" s="631">
        <f>VLOOKUP($A362, $J$277:$AE$369, HLOOKUP("Apartment_" &amp;'Personalized Bill Menu'!$B$22, $J$278:$AE$279, 2, FALSE), FALSE)</f>
        <v>328.04963185035081</v>
      </c>
      <c r="E362" s="634">
        <v>43405</v>
      </c>
      <c r="F362" s="631">
        <f>VLOOKUP($A362, $J$277:$AE$369, HLOOKUP("Detached_" &amp;'Personalized Bill Menu'!$B$23, $J$278:$AE$279, 2, FALSE), FALSE)</f>
        <v>13.711123408120821</v>
      </c>
      <c r="G362" s="631">
        <f>VLOOKUP($A362, $J$277:$AE$369, HLOOKUP("Attached_" &amp;'Personalized Bill Menu'!$B$23, $J$278:$AE$279, 2, FALSE), FALSE)</f>
        <v>8.7569496097830797</v>
      </c>
      <c r="H362" s="631">
        <f>VLOOKUP($A362, $J$277:$AE$369, HLOOKUP("Apartment_" &amp;'Personalized Bill Menu'!$B$23, $J$278:$AE$279, 2, FALSE), FALSE)</f>
        <v>7.2368401014729562</v>
      </c>
      <c r="I362" s="1540"/>
      <c r="J362" s="634">
        <v>43405</v>
      </c>
      <c r="K362" s="1279">
        <f t="shared" si="126"/>
        <v>584.09010167112854</v>
      </c>
      <c r="L362" s="1279">
        <f t="shared" si="127"/>
        <v>443.27045365160149</v>
      </c>
      <c r="M362" s="1279">
        <f t="shared" si="128"/>
        <v>328.04963185035081</v>
      </c>
      <c r="N362" s="1279">
        <f t="shared" si="129"/>
        <v>535.75434034724628</v>
      </c>
      <c r="O362" s="1279">
        <f t="shared" si="130"/>
        <v>406.588074018165</v>
      </c>
      <c r="P362" s="1279">
        <f t="shared" si="131"/>
        <v>300.90222999892546</v>
      </c>
      <c r="Q362" s="1279">
        <f t="shared" si="132"/>
        <v>726.47788092113205</v>
      </c>
      <c r="R362" s="1279">
        <f t="shared" si="133"/>
        <v>551.32963034713589</v>
      </c>
      <c r="S362" s="1279">
        <f t="shared" si="134"/>
        <v>408.02061308990767</v>
      </c>
      <c r="T362" s="1279">
        <f t="shared" si="135"/>
        <v>742.47453427030393</v>
      </c>
      <c r="U362" s="1279">
        <f t="shared" si="136"/>
        <v>563.46961314552163</v>
      </c>
      <c r="V362" s="1279">
        <f t="shared" si="137"/>
        <v>417.00500818069833</v>
      </c>
      <c r="W362" s="1280">
        <f t="shared" si="138"/>
        <v>15.083397888883695</v>
      </c>
      <c r="X362" s="1283">
        <f t="shared" si="139"/>
        <v>9.6333868003136782</v>
      </c>
      <c r="Y362" s="1282">
        <f t="shared" si="140"/>
        <v>7.961137498339129</v>
      </c>
      <c r="Z362" s="1279">
        <f t="shared" si="141"/>
        <v>13.711123408120821</v>
      </c>
      <c r="AA362" s="1279">
        <f t="shared" si="142"/>
        <v>8.7569496097830797</v>
      </c>
      <c r="AB362" s="1279">
        <f t="shared" si="143"/>
        <v>7.2368401014729562</v>
      </c>
      <c r="AC362" s="1279">
        <f t="shared" si="144"/>
        <v>16.849974449203042</v>
      </c>
      <c r="AD362" s="1279">
        <f t="shared" si="145"/>
        <v>10.761654810167487</v>
      </c>
      <c r="AE362" s="1279">
        <f t="shared" si="146"/>
        <v>8.8935506721910436</v>
      </c>
      <c r="AF362" s="1540"/>
      <c r="AG362" s="1506">
        <v>43405</v>
      </c>
      <c r="AH362" s="1513">
        <v>518.33952532945671</v>
      </c>
      <c r="AI362" s="1513">
        <v>475.4448837161566</v>
      </c>
      <c r="AJ362" s="1513">
        <v>644.69882109221601</v>
      </c>
      <c r="AK362" s="1513">
        <v>658.89474339965864</v>
      </c>
      <c r="AL362" s="1284">
        <v>15.276080832823025</v>
      </c>
      <c r="AM362" s="1284">
        <v>13.886276224644956</v>
      </c>
      <c r="AN362" s="1284">
        <v>17.065224534501642</v>
      </c>
      <c r="AO362" s="1570"/>
      <c r="AP362" s="1513">
        <v>558.99945163674511</v>
      </c>
      <c r="AQ362" s="1513">
        <v>14.940756408765644</v>
      </c>
      <c r="AR362" s="911"/>
      <c r="AS362" s="1493"/>
    </row>
    <row r="363" spans="1:45" x14ac:dyDescent="0.3">
      <c r="A363" s="970">
        <v>43435</v>
      </c>
      <c r="B363" s="631">
        <f>VLOOKUP($A363, $J$277:$AE$369, HLOOKUP("Detached_" &amp;'Personalized Bill Menu'!$B$22, $J$278:$AE$279, 2, FALSE), FALSE)</f>
        <v>627.91108023765605</v>
      </c>
      <c r="C363" s="631">
        <f>VLOOKUP($A363, $J$277:$AE$369, HLOOKUP("Attached_" &amp;'Personalized Bill Menu'!$B$22, $J$278:$AE$279, 2, FALSE), FALSE)</f>
        <v>476.52653005670845</v>
      </c>
      <c r="D363" s="631">
        <f>VLOOKUP($A363, $J$277:$AE$369, HLOOKUP("Apartment_" &amp;'Personalized Bill Menu'!$B$22, $J$278:$AE$279, 2, FALSE), FALSE)</f>
        <v>352.66134131939009</v>
      </c>
      <c r="E363" s="634">
        <v>43435</v>
      </c>
      <c r="F363" s="631">
        <f>VLOOKUP($A363, $J$277:$AE$369, HLOOKUP("Detached_" &amp;'Personalized Bill Menu'!$B$23, $J$278:$AE$279, 2, FALSE), FALSE)</f>
        <v>16.681040406493022</v>
      </c>
      <c r="G363" s="631">
        <f>VLOOKUP($A363, $J$277:$AE$369, HLOOKUP("Attached_" &amp;'Personalized Bill Menu'!$B$23, $J$278:$AE$279, 2, FALSE), FALSE)</f>
        <v>10.653760886718997</v>
      </c>
      <c r="H363" s="631">
        <f>VLOOKUP($A363, $J$277:$AE$369, HLOOKUP("Apartment_" &amp;'Personalized Bill Menu'!$B$23, $J$278:$AE$279, 2, FALSE), FALSE)</f>
        <v>8.8043859394118353</v>
      </c>
      <c r="I363" s="1540"/>
      <c r="J363" s="634">
        <v>43435</v>
      </c>
      <c r="K363" s="1279">
        <f>(B$259/$N$262)*$AH363</f>
        <v>627.91108023765605</v>
      </c>
      <c r="L363" s="1279">
        <f t="shared" si="127"/>
        <v>476.52653005670845</v>
      </c>
      <c r="M363" s="1279">
        <f t="shared" si="128"/>
        <v>352.66134131939009</v>
      </c>
      <c r="N363" s="1279">
        <f t="shared" si="129"/>
        <v>597.22196767002504</v>
      </c>
      <c r="O363" s="1279">
        <f t="shared" si="130"/>
        <v>453.23632737890591</v>
      </c>
      <c r="P363" s="1279">
        <f t="shared" si="131"/>
        <v>335.42504155875167</v>
      </c>
      <c r="Q363" s="1279">
        <f t="shared" si="132"/>
        <v>832.13437252035283</v>
      </c>
      <c r="R363" s="1279">
        <f t="shared" si="133"/>
        <v>631.51315139710107</v>
      </c>
      <c r="S363" s="1279">
        <f t="shared" si="134"/>
        <v>467.36175424699513</v>
      </c>
      <c r="T363" s="1279">
        <f t="shared" si="135"/>
        <v>948.20756343329401</v>
      </c>
      <c r="U363" s="1279">
        <f t="shared" si="136"/>
        <v>719.60198537247675</v>
      </c>
      <c r="V363" s="1279">
        <f t="shared" si="137"/>
        <v>532.55335300503316</v>
      </c>
      <c r="W363" s="1280">
        <f t="shared" si="138"/>
        <v>18.833652993619268</v>
      </c>
      <c r="X363" s="1283">
        <f t="shared" si="139"/>
        <v>12.028580395942045</v>
      </c>
      <c r="Y363" s="1282">
        <f t="shared" si="140"/>
        <v>9.9405520017947371</v>
      </c>
      <c r="Z363" s="1279">
        <f t="shared" si="141"/>
        <v>16.681040406493022</v>
      </c>
      <c r="AA363" s="1279">
        <f t="shared" si="142"/>
        <v>10.653760886718997</v>
      </c>
      <c r="AB363" s="1279">
        <f t="shared" si="143"/>
        <v>8.8043859394118353</v>
      </c>
      <c r="AC363" s="1279">
        <f t="shared" si="144"/>
        <v>19.506312373196373</v>
      </c>
      <c r="AD363" s="1279">
        <f t="shared" si="145"/>
        <v>12.458191020554748</v>
      </c>
      <c r="AE363" s="1279">
        <f t="shared" si="146"/>
        <v>10.295586977985844</v>
      </c>
      <c r="AF363" s="1540"/>
      <c r="AG363" s="1506">
        <v>43435</v>
      </c>
      <c r="AH363" s="1513">
        <v>557.22760982987734</v>
      </c>
      <c r="AI363" s="1513">
        <v>529.99314720916891</v>
      </c>
      <c r="AJ363" s="1513">
        <v>738.46164218236299</v>
      </c>
      <c r="AK363" s="1513">
        <v>841.46856270567184</v>
      </c>
      <c r="AL363" s="1284">
        <v>19.074243590690024</v>
      </c>
      <c r="AM363" s="1284">
        <v>16.894132442993815</v>
      </c>
      <c r="AN363" s="1284">
        <v>19.755495860972534</v>
      </c>
      <c r="AO363" s="1570"/>
      <c r="AP363" s="1513">
        <v>636.47941123700036</v>
      </c>
      <c r="AQ363" s="1513">
        <v>18.333729949125683</v>
      </c>
      <c r="AR363" s="911"/>
      <c r="AS363" s="1493"/>
    </row>
    <row r="364" spans="1:45" x14ac:dyDescent="0.3">
      <c r="A364" s="970">
        <v>43466</v>
      </c>
      <c r="B364" s="631">
        <f>VLOOKUP($A364, $J$277:$AE$369, HLOOKUP("Detached_" &amp;'Personalized Bill Menu'!$B$22, $J$278:$AE$279, 2, FALSE), FALSE)</f>
        <v>604.05865639280523</v>
      </c>
      <c r="C364" s="631">
        <f>VLOOKUP($A364, $J$277:$AE$369, HLOOKUP("Attached_" &amp;'Personalized Bill Menu'!$B$22, $J$278:$AE$279, 2, FALSE), FALSE)</f>
        <v>458.42474283561552</v>
      </c>
      <c r="D364" s="631">
        <f>VLOOKUP($A364, $J$277:$AE$369, HLOOKUP("Apartment_" &amp;'Personalized Bill Menu'!$B$22, $J$278:$AE$279, 2, FALSE), FALSE)</f>
        <v>339.26481424479232</v>
      </c>
      <c r="E364" s="1505">
        <v>43466</v>
      </c>
      <c r="F364" s="631">
        <f>VLOOKUP($A364, $J$277:$AE$369, HLOOKUP("Detached_" &amp;'Personalized Bill Menu'!$B$23, $J$278:$AE$279, 2, FALSE), FALSE)</f>
        <v>16.841756141444122</v>
      </c>
      <c r="G364" s="631">
        <f>VLOOKUP($A364, $J$277:$AE$369, HLOOKUP("Attached_" &amp;'Personalized Bill Menu'!$B$23, $J$278:$AE$279, 2, FALSE), FALSE)</f>
        <v>10.756405983737997</v>
      </c>
      <c r="H364" s="631">
        <f>VLOOKUP($A364, $J$277:$AE$369, HLOOKUP("Apartment_" &amp;'Personalized Bill Menu'!$B$23, $J$278:$AE$279, 2, FALSE), FALSE)</f>
        <v>8.889212983922496</v>
      </c>
      <c r="I364" s="1579"/>
      <c r="J364" s="634">
        <v>43466</v>
      </c>
      <c r="K364" s="1279">
        <f t="shared" ref="K364:K366" si="147">(B$259/$N$262)*$AH364</f>
        <v>604.05865639280523</v>
      </c>
      <c r="L364" s="1279">
        <f t="shared" si="127"/>
        <v>458.42474283561552</v>
      </c>
      <c r="M364" s="1279">
        <f t="shared" si="128"/>
        <v>339.26481424479232</v>
      </c>
      <c r="N364" s="1279">
        <f t="shared" si="129"/>
        <v>585.29316300258301</v>
      </c>
      <c r="O364" s="1279">
        <f t="shared" si="130"/>
        <v>444.1834661142999</v>
      </c>
      <c r="P364" s="1279">
        <f t="shared" si="131"/>
        <v>328.7253218265169</v>
      </c>
      <c r="Q364" s="1279">
        <f t="shared" si="132"/>
        <v>808.98370197662939</v>
      </c>
      <c r="R364" s="1279">
        <f t="shared" si="133"/>
        <v>613.94393013330182</v>
      </c>
      <c r="S364" s="1279">
        <f t="shared" si="134"/>
        <v>454.3593614188535</v>
      </c>
      <c r="T364" s="1279">
        <f t="shared" si="135"/>
        <v>865.45922408532067</v>
      </c>
      <c r="U364" s="1279">
        <f t="shared" si="136"/>
        <v>656.80363659589466</v>
      </c>
      <c r="V364" s="1279">
        <f t="shared" si="137"/>
        <v>486.07839617617248</v>
      </c>
      <c r="W364" s="1280">
        <f t="shared" si="138"/>
        <v>19.036964477860536</v>
      </c>
      <c r="X364" s="1283">
        <f t="shared" si="139"/>
        <v>12.158430326512761</v>
      </c>
      <c r="Y364" s="1282">
        <f t="shared" si="140"/>
        <v>10.047861421924072</v>
      </c>
      <c r="Z364" s="1279">
        <f t="shared" si="141"/>
        <v>16.841756141444122</v>
      </c>
      <c r="AA364" s="1279">
        <f t="shared" si="142"/>
        <v>10.756405983737997</v>
      </c>
      <c r="AB364" s="1279">
        <f t="shared" si="143"/>
        <v>8.889212983922496</v>
      </c>
      <c r="AC364" s="1279">
        <f t="shared" si="144"/>
        <v>20.539954635625719</v>
      </c>
      <c r="AD364" s="1279">
        <f t="shared" si="145"/>
        <v>13.118352331718713</v>
      </c>
      <c r="AE364" s="1279">
        <f t="shared" si="146"/>
        <v>10.84115159385791</v>
      </c>
      <c r="AF364" s="1579"/>
      <c r="AG364" s="1506">
        <v>43466</v>
      </c>
      <c r="AH364" s="1513">
        <v>536.06023510751243</v>
      </c>
      <c r="AI364" s="1513">
        <v>519.4071589662949</v>
      </c>
      <c r="AJ364" s="1513">
        <v>717.9170249283477</v>
      </c>
      <c r="AK364" s="1513">
        <v>768.03514067589833</v>
      </c>
      <c r="AL364" s="1284">
        <v>19.280152278532821</v>
      </c>
      <c r="AM364" s="1284">
        <v>17.056901241927971</v>
      </c>
      <c r="AN364" s="1284">
        <v>20.802342391801627</v>
      </c>
      <c r="AO364" s="1570"/>
      <c r="AP364" s="1513">
        <v>615.09301063584405</v>
      </c>
      <c r="AQ364" s="1513">
        <v>18.609494087583368</v>
      </c>
      <c r="AR364" s="911"/>
      <c r="AS364" s="1493"/>
    </row>
    <row r="365" spans="1:45" x14ac:dyDescent="0.3">
      <c r="A365" s="970">
        <v>43497</v>
      </c>
      <c r="B365" s="631">
        <f>VLOOKUP($A365, $J$277:$AE$369, HLOOKUP("Detached_" &amp;'Personalized Bill Menu'!$B$22, $J$278:$AE$279, 2, FALSE), FALSE)</f>
        <v>631.39549774534771</v>
      </c>
      <c r="C365" s="631">
        <f>VLOOKUP($A365, $J$277:$AE$369, HLOOKUP("Attached_" &amp;'Personalized Bill Menu'!$B$22, $J$278:$AE$279, 2, FALSE), FALSE)</f>
        <v>479.17088120206597</v>
      </c>
      <c r="D365" s="631">
        <f>VLOOKUP($A365, $J$277:$AE$369, HLOOKUP("Apartment_" &amp;'Personalized Bill Menu'!$B$22, $J$278:$AE$279, 2, FALSE), FALSE)</f>
        <v>354.61833712764087</v>
      </c>
      <c r="E365" s="634">
        <v>43497</v>
      </c>
      <c r="F365" s="631">
        <f>VLOOKUP($A365, $J$277:$AE$369, HLOOKUP("Detached_" &amp;'Personalized Bill Menu'!$B$23, $J$278:$AE$279, 2, FALSE), FALSE)</f>
        <v>26.110234067013611</v>
      </c>
      <c r="G365" s="631">
        <f>VLOOKUP($A365, $J$277:$AE$369, HLOOKUP("Attached_" &amp;'Personalized Bill Menu'!$B$23, $J$278:$AE$279, 2, FALSE), FALSE)</f>
        <v>16.675949681049282</v>
      </c>
      <c r="H365" s="631">
        <f>VLOOKUP($A365, $J$277:$AE$369, HLOOKUP("Apartment_" &amp;'Personalized Bill Menu'!$B$23, $J$278:$AE$279, 2, FALSE), FALSE)</f>
        <v>13.781189427782035</v>
      </c>
      <c r="I365" s="1579"/>
      <c r="J365" s="634">
        <v>43497</v>
      </c>
      <c r="K365" s="1279">
        <f t="shared" si="147"/>
        <v>631.39549774534771</v>
      </c>
      <c r="L365" s="1279">
        <f t="shared" si="127"/>
        <v>479.17088120206597</v>
      </c>
      <c r="M365" s="1279">
        <f t="shared" si="128"/>
        <v>354.61833712764087</v>
      </c>
      <c r="N365" s="1279">
        <f t="shared" si="129"/>
        <v>598.07611778539592</v>
      </c>
      <c r="O365" s="1279">
        <f t="shared" si="130"/>
        <v>453.88454844624425</v>
      </c>
      <c r="P365" s="1279">
        <f t="shared" si="131"/>
        <v>335.90476828257505</v>
      </c>
      <c r="Q365" s="1279">
        <f t="shared" si="132"/>
        <v>866.7332895461891</v>
      </c>
      <c r="R365" s="1279">
        <f t="shared" si="133"/>
        <v>657.77053463646268</v>
      </c>
      <c r="S365" s="1279">
        <f t="shared" si="134"/>
        <v>486.79396506562176</v>
      </c>
      <c r="T365" s="1279">
        <f t="shared" si="135"/>
        <v>736.05483242627247</v>
      </c>
      <c r="U365" s="1279">
        <f t="shared" si="136"/>
        <v>558.59765222618705</v>
      </c>
      <c r="V365" s="1279">
        <f t="shared" si="137"/>
        <v>413.39943290986565</v>
      </c>
      <c r="W365" s="1280">
        <f t="shared" si="138"/>
        <v>25.865968042351199</v>
      </c>
      <c r="X365" s="1283">
        <f t="shared" si="139"/>
        <v>16.519943115745967</v>
      </c>
      <c r="Y365" s="1282">
        <f t="shared" si="140"/>
        <v>13.652263875142244</v>
      </c>
      <c r="Z365" s="1279">
        <f t="shared" si="141"/>
        <v>26.110234067013611</v>
      </c>
      <c r="AA365" s="1279">
        <f t="shared" si="142"/>
        <v>16.675949681049282</v>
      </c>
      <c r="AB365" s="1279">
        <f t="shared" si="143"/>
        <v>13.781189427782035</v>
      </c>
      <c r="AC365" s="1279">
        <f t="shared" si="144"/>
        <v>25.592826322195712</v>
      </c>
      <c r="AD365" s="1279">
        <f t="shared" si="145"/>
        <v>16.34549437011551</v>
      </c>
      <c r="AE365" s="1279">
        <f t="shared" si="146"/>
        <v>13.508097500515657</v>
      </c>
      <c r="AF365" s="1579"/>
      <c r="AG365" s="1506">
        <v>43497</v>
      </c>
      <c r="AH365" s="1513">
        <v>560.3197891217693</v>
      </c>
      <c r="AI365" s="1513">
        <v>530.75114629885513</v>
      </c>
      <c r="AJ365" s="1513">
        <v>769.16578556156878</v>
      </c>
      <c r="AK365" s="1513">
        <v>653.19770248581426</v>
      </c>
      <c r="AL365" s="1284">
        <v>26.196392984194969</v>
      </c>
      <c r="AM365" s="1284">
        <v>26.443779386446241</v>
      </c>
      <c r="AN365" s="1284">
        <v>25.919762013729976</v>
      </c>
      <c r="AO365" s="1570"/>
      <c r="AP365" s="1513">
        <v>628.7226143304714</v>
      </c>
      <c r="AQ365" s="1513">
        <v>26.259910858269127</v>
      </c>
      <c r="AR365" s="911"/>
      <c r="AS365" s="1493"/>
    </row>
    <row r="366" spans="1:45" x14ac:dyDescent="0.3">
      <c r="A366" s="970">
        <v>43525</v>
      </c>
      <c r="B366" s="631">
        <f>VLOOKUP($A366, $J$277:$AE$369, HLOOKUP("Detached_" &amp;'Personalized Bill Menu'!$B$22, $J$278:$AE$279, 2, FALSE), FALSE)</f>
        <v>578.27899102446463</v>
      </c>
      <c r="C366" s="631">
        <f>VLOOKUP($A366, $J$277:$AE$369, HLOOKUP("Attached_" &amp;'Personalized Bill Menu'!$B$22, $J$278:$AE$279, 2, FALSE), FALSE)</f>
        <v>438.8603572551782</v>
      </c>
      <c r="D366" s="631">
        <f>VLOOKUP($A366, $J$277:$AE$369, HLOOKUP("Apartment_" &amp;'Personalized Bill Menu'!$B$22, $J$278:$AE$279, 2, FALSE), FALSE)</f>
        <v>324.78586705990909</v>
      </c>
      <c r="E366" s="634">
        <v>43525</v>
      </c>
      <c r="F366" s="631">
        <f>VLOOKUP($A366, $J$277:$AE$369, HLOOKUP("Detached_" &amp;'Personalized Bill Menu'!$B$23, $J$278:$AE$279, 2, FALSE), FALSE)</f>
        <v>15.793485810362281</v>
      </c>
      <c r="G366" s="631">
        <f>VLOOKUP($A366, $J$277:$AE$369, HLOOKUP("Attached_" &amp;'Personalized Bill Menu'!$B$23, $J$278:$AE$279, 2, FALSE), FALSE)</f>
        <v>10.086902093102937</v>
      </c>
      <c r="H366" s="631">
        <f>VLOOKUP($A366, $J$277:$AE$369, HLOOKUP("Apartment_" &amp;'Personalized Bill Menu'!$B$23, $J$278:$AE$279, 2, FALSE), FALSE)</f>
        <v>8.3359275569483451</v>
      </c>
      <c r="I366" s="1579"/>
      <c r="J366" s="634">
        <v>43525</v>
      </c>
      <c r="K366" s="1279">
        <f t="shared" si="147"/>
        <v>578.27899102446463</v>
      </c>
      <c r="L366" s="1279">
        <f t="shared" si="127"/>
        <v>438.8603572551782</v>
      </c>
      <c r="M366" s="1279">
        <f t="shared" si="128"/>
        <v>324.78586705990909</v>
      </c>
      <c r="N366" s="1279">
        <f t="shared" si="129"/>
        <v>538.03033259950371</v>
      </c>
      <c r="O366" s="1279">
        <f t="shared" si="130"/>
        <v>408.31534197781576</v>
      </c>
      <c r="P366" s="1279">
        <f t="shared" si="131"/>
        <v>302.18052322510937</v>
      </c>
      <c r="Q366" s="1279">
        <f t="shared" si="132"/>
        <v>745.32280833340462</v>
      </c>
      <c r="R366" s="1279">
        <f t="shared" si="133"/>
        <v>565.63119015643554</v>
      </c>
      <c r="S366" s="1279">
        <f t="shared" si="134"/>
        <v>418.60471900465467</v>
      </c>
      <c r="T366" s="1279">
        <f t="shared" si="135"/>
        <v>704.34444587134726</v>
      </c>
      <c r="U366" s="1279">
        <f t="shared" si="136"/>
        <v>534.53239689408463</v>
      </c>
      <c r="V366" s="1279">
        <f t="shared" si="137"/>
        <v>395.58954261141184</v>
      </c>
      <c r="W366" s="1280">
        <f t="shared" si="138"/>
        <v>15.306960489283114</v>
      </c>
      <c r="X366" s="1283">
        <f t="shared" si="139"/>
        <v>9.7761706093464422</v>
      </c>
      <c r="Y366" s="1282">
        <f t="shared" si="140"/>
        <v>8.0791356188142043</v>
      </c>
      <c r="Z366" s="1279">
        <f t="shared" si="141"/>
        <v>15.793485810362281</v>
      </c>
      <c r="AA366" s="1279">
        <f t="shared" si="142"/>
        <v>10.086902093102937</v>
      </c>
      <c r="AB366" s="1279">
        <f t="shared" si="143"/>
        <v>8.3359275569483451</v>
      </c>
      <c r="AC366" s="1279">
        <f t="shared" si="144"/>
        <v>16.393866341881203</v>
      </c>
      <c r="AD366" s="1279">
        <f t="shared" si="145"/>
        <v>10.470350035675759</v>
      </c>
      <c r="AE366" s="1279">
        <f>(D$260/$O$262)*$AN366</f>
        <v>8.6528131816569971</v>
      </c>
      <c r="AF366" s="1579"/>
      <c r="AG366" s="1506">
        <v>43525</v>
      </c>
      <c r="AH366" s="1617">
        <v>513.18256696702122</v>
      </c>
      <c r="AI366" s="1617">
        <v>477.46466926005354</v>
      </c>
      <c r="AJ366" s="1617">
        <v>661.42238942833092</v>
      </c>
      <c r="AK366" s="1617">
        <v>625.0569299100307</v>
      </c>
      <c r="AL366" s="1618">
        <v>15.50249933481153</v>
      </c>
      <c r="AM366" s="1618">
        <v>15.995239776108114</v>
      </c>
      <c r="AN366" s="1618">
        <v>16.603289871816031</v>
      </c>
      <c r="AO366" s="1570"/>
      <c r="AP366" s="1617">
        <v>563.12747608717223</v>
      </c>
      <c r="AQ366" s="1617">
        <v>15.797501851450116</v>
      </c>
      <c r="AR366" s="911"/>
      <c r="AS366" s="1493"/>
    </row>
    <row r="367" spans="1:45" x14ac:dyDescent="0.3">
      <c r="A367" s="634">
        <v>43556</v>
      </c>
      <c r="B367" s="631">
        <f>VLOOKUP($A367, $J$277:$AE$369, HLOOKUP("Detached_" &amp;'Personalized Bill Menu'!$B$22, $J$278:$AE$279, 2, FALSE), FALSE)</f>
        <v>511.80512836511508</v>
      </c>
      <c r="C367" s="631">
        <f>VLOOKUP($A367, $J$277:$AE$369, HLOOKUP("Attached_" &amp;'Personalized Bill Menu'!$B$22, $J$278:$AE$279, 2, FALSE), FALSE)</f>
        <v>388.41283353806705</v>
      </c>
      <c r="D367" s="631">
        <f>VLOOKUP($A367, $J$277:$AE$369, HLOOKUP("Apartment_" &amp;'Personalized Bill Menu'!$B$22, $J$278:$AE$279, 2, FALSE), FALSE)</f>
        <v>287.45134262492962</v>
      </c>
      <c r="E367" s="634">
        <v>43556</v>
      </c>
      <c r="F367" s="631">
        <f>VLOOKUP($A367, $J$277:$AE$369, HLOOKUP("Detached_" &amp;'Personalized Bill Menu'!$B$23, $J$278:$AE$279, 2, FALSE), FALSE)</f>
        <v>9.5930495907374951</v>
      </c>
      <c r="G367" s="631">
        <f>VLOOKUP($A367, $J$277:$AE$369, HLOOKUP("Attached_" &amp;'Personalized Bill Menu'!$B$23, $J$278:$AE$279, 2, FALSE), FALSE)</f>
        <v>6.1268394550721847</v>
      </c>
      <c r="H367" s="631">
        <f>VLOOKUP($A367, $J$277:$AE$369, HLOOKUP("Apartment_" &amp;'Personalized Bill Menu'!$B$23, $J$278:$AE$279, 2, FALSE), FALSE)</f>
        <v>5.063287952944088</v>
      </c>
      <c r="I367" s="1609"/>
      <c r="J367" s="634">
        <v>43556</v>
      </c>
      <c r="K367" s="1279">
        <f t="shared" ref="K367:K369" si="148">(B$259/$N$262)*$AH367</f>
        <v>511.80512836511508</v>
      </c>
      <c r="L367" s="1279">
        <f t="shared" ref="L367:L369" si="149">(C$259/$N$262)*$AH367</f>
        <v>388.41283353806705</v>
      </c>
      <c r="M367" s="1279">
        <f t="shared" ref="M367:M369" si="150">(D$259/$N$262)*$AH367</f>
        <v>287.45134262492962</v>
      </c>
      <c r="N367" s="1279">
        <f t="shared" ref="N367:N369" si="151">(B$259/$N$262)*$AI367</f>
        <v>461.05543176989465</v>
      </c>
      <c r="O367" s="1279">
        <f t="shared" ref="O367:O369" si="152">(C$259/$N$262)*$AI367</f>
        <v>349.89849993083396</v>
      </c>
      <c r="P367" s="1279">
        <f t="shared" ref="P367:P369" si="153">(D$259/$N$262)*$AI367</f>
        <v>258.94817293082485</v>
      </c>
      <c r="Q367" s="1279">
        <f t="shared" ref="Q367:Q369" si="154">(B$259/$N$262)*$AJ367</f>
        <v>608.792323238123</v>
      </c>
      <c r="R367" s="1279">
        <f t="shared" ref="R367:R369" si="155">(C$259/$N$262)*$AJ367</f>
        <v>462.01715887546311</v>
      </c>
      <c r="S367" s="1279">
        <f t="shared" ref="S367:S369" si="156">(D$259/$N$262)*$AJ367</f>
        <v>341.92344116119756</v>
      </c>
      <c r="T367" s="1279">
        <f t="shared" ref="T367:T369" si="157">(B$259/$N$262)*$AK367</f>
        <v>610.65550509118441</v>
      </c>
      <c r="U367" s="1279">
        <f t="shared" ref="U367:U369" si="158">(C$259/$N$262)*$AK367</f>
        <v>463.43114186007284</v>
      </c>
      <c r="V367" s="1279">
        <f t="shared" ref="V367:V369" si="159">(D$259/$N$262)*$AK367</f>
        <v>342.9698826592101</v>
      </c>
      <c r="W367" s="1280">
        <f t="shared" ref="W367:W369" si="160">(B$260/$O$262)*$AL367</f>
        <v>9.1362742097982412</v>
      </c>
      <c r="X367" s="1283">
        <f t="shared" ref="X367:X369" si="161">(C$260/$O$262)*$AL367</f>
        <v>5.8351085097066555</v>
      </c>
      <c r="Y367" s="1282">
        <f t="shared" ref="Y367:Y369" si="162">(D$260/$O$262)*$AL367</f>
        <v>4.8221982700820014</v>
      </c>
      <c r="Z367" s="1279">
        <f t="shared" ref="Z367:Z369" si="163">(B$260/$O$262)*$AM367</f>
        <v>9.5930495907374951</v>
      </c>
      <c r="AA367" s="1279">
        <f t="shared" ref="AA367:AA369" si="164">(C$260/$O$262)*$AM367</f>
        <v>6.1268394550721847</v>
      </c>
      <c r="AB367" s="1279">
        <f>(D$260/$O$262)*$AM367</f>
        <v>5.063287952944088</v>
      </c>
      <c r="AC367" s="1279">
        <f t="shared" ref="AC367:AC369" si="165">(B$260/$O$262)*$AN367</f>
        <v>9.3327018980617975</v>
      </c>
      <c r="AD367" s="1279">
        <f t="shared" ref="AD367:AD369" si="166">(C$260/$O$262)*$AN367</f>
        <v>5.9605619329521478</v>
      </c>
      <c r="AE367" s="1279">
        <f t="shared" ref="AE367:AE369" si="167">(D$260/$O$262)*$AN367</f>
        <v>4.9258743678861681</v>
      </c>
      <c r="AF367" s="1609"/>
      <c r="AG367" s="1506">
        <v>43556</v>
      </c>
      <c r="AH367" s="1513">
        <v>454.19161622315261</v>
      </c>
      <c r="AI367" s="1513">
        <v>409.15477418710685</v>
      </c>
      <c r="AJ367" s="1513">
        <v>540.26103669385975</v>
      </c>
      <c r="AK367" s="1513">
        <v>541.91448158969888</v>
      </c>
      <c r="AL367" s="1284">
        <v>9.2529855916996819</v>
      </c>
      <c r="AM367" s="1284">
        <v>9.7155960520929661</v>
      </c>
      <c r="AN367" s="1284">
        <v>9.4519225464776309</v>
      </c>
      <c r="AO367" s="1619"/>
      <c r="AP367" s="1513">
        <v>476.24114859663291</v>
      </c>
      <c r="AQ367" s="1513">
        <v>9.4447781777164028</v>
      </c>
      <c r="AR367" s="911"/>
      <c r="AS367" s="1493"/>
    </row>
    <row r="368" spans="1:45" x14ac:dyDescent="0.3">
      <c r="A368" s="634">
        <v>43586</v>
      </c>
      <c r="B368" s="631">
        <f>VLOOKUP($A368, $J$277:$AE$369, HLOOKUP("Detached_" &amp;'Personalized Bill Menu'!$B$22, $J$278:$AE$279, 2, FALSE), FALSE)</f>
        <v>493.13403457407418</v>
      </c>
      <c r="C368" s="631">
        <f>VLOOKUP($A368, $J$277:$AE$369, HLOOKUP("Attached_" &amp;'Personalized Bill Menu'!$B$22, $J$278:$AE$279, 2, FALSE), FALSE)</f>
        <v>374.24319739589129</v>
      </c>
      <c r="D368" s="631">
        <f>VLOOKUP($A368, $J$277:$AE$369, HLOOKUP("Apartment_" &amp;'Personalized Bill Menu'!$B$22, $J$278:$AE$279, 2, FALSE), FALSE)</f>
        <v>276.96486900233248</v>
      </c>
      <c r="E368" s="634">
        <v>43586</v>
      </c>
      <c r="F368" s="631">
        <f>VLOOKUP($A368, $J$277:$AE$369, HLOOKUP("Detached_" &amp;'Personalized Bill Menu'!$B$23, $J$278:$AE$279, 2, FALSE), FALSE)</f>
        <v>7.5060858462941322</v>
      </c>
      <c r="G368" s="631">
        <f>VLOOKUP($A368, $J$277:$AE$369, HLOOKUP("Attached_" &amp;'Personalized Bill Menu'!$B$23, $J$278:$AE$279, 2, FALSE), FALSE)</f>
        <v>4.7939482102373105</v>
      </c>
      <c r="H368" s="631">
        <f>VLOOKUP($A368, $J$277:$AE$369, HLOOKUP("Apartment_" &amp;'Personalized Bill Menu'!$B$23, $J$278:$AE$279, 2, FALSE), FALSE)</f>
        <v>3.9617718724190834</v>
      </c>
      <c r="I368" s="1609"/>
      <c r="J368" s="634">
        <v>43586</v>
      </c>
      <c r="K368" s="1279">
        <f t="shared" si="148"/>
        <v>493.13403457407418</v>
      </c>
      <c r="L368" s="1279">
        <f t="shared" si="149"/>
        <v>374.24319739589129</v>
      </c>
      <c r="M368" s="1279">
        <f t="shared" si="150"/>
        <v>276.96486900233248</v>
      </c>
      <c r="N368" s="1279">
        <f t="shared" si="151"/>
        <v>460.59371488899251</v>
      </c>
      <c r="O368" s="1279">
        <f t="shared" si="152"/>
        <v>349.54809945208842</v>
      </c>
      <c r="P368" s="1279">
        <f t="shared" si="153"/>
        <v>258.6888532601684</v>
      </c>
      <c r="Q368" s="1279">
        <f t="shared" si="154"/>
        <v>608.05993736064295</v>
      </c>
      <c r="R368" s="1279">
        <f t="shared" si="155"/>
        <v>461.46134562125837</v>
      </c>
      <c r="S368" s="1279">
        <f t="shared" si="156"/>
        <v>341.51210236810329</v>
      </c>
      <c r="T368" s="1279">
        <f t="shared" si="157"/>
        <v>603.03194392111459</v>
      </c>
      <c r="U368" s="1279">
        <f t="shared" si="158"/>
        <v>457.64556287383573</v>
      </c>
      <c r="V368" s="1279">
        <f t="shared" si="159"/>
        <v>338.68816922480204</v>
      </c>
      <c r="W368" s="1280">
        <f t="shared" si="160"/>
        <v>5.5920044500849162</v>
      </c>
      <c r="X368" s="1283">
        <f t="shared" si="161"/>
        <v>3.5714725722673508</v>
      </c>
      <c r="Y368" s="1282">
        <f t="shared" si="162"/>
        <v>2.9515044717649546</v>
      </c>
      <c r="Z368" s="1279">
        <f t="shared" si="163"/>
        <v>7.5060858462941322</v>
      </c>
      <c r="AA368" s="1279">
        <f t="shared" si="164"/>
        <v>4.7939482102373105</v>
      </c>
      <c r="AB368" s="1279">
        <f t="shared" ref="AB368:AB369" si="168">(D$260/$O$262)*$AM368</f>
        <v>3.9617718724190834</v>
      </c>
      <c r="AC368" s="1279">
        <f t="shared" si="165"/>
        <v>5.4083736065811738</v>
      </c>
      <c r="AD368" s="1279">
        <f t="shared" si="166"/>
        <v>3.4541921718581605</v>
      </c>
      <c r="AE368" s="1279">
        <f t="shared" si="167"/>
        <v>2.8545826505122847</v>
      </c>
      <c r="AF368" s="1609"/>
      <c r="AG368" s="1506">
        <v>43586</v>
      </c>
      <c r="AH368" s="1513">
        <v>437.62231319038335</v>
      </c>
      <c r="AI368" s="1513">
        <v>408.74503242261079</v>
      </c>
      <c r="AJ368" s="1513">
        <v>539.61109493486595</v>
      </c>
      <c r="AK368" s="1513">
        <v>535.14909887407293</v>
      </c>
      <c r="AL368" s="1284">
        <v>5.6634395397047612</v>
      </c>
      <c r="AM368" s="1284">
        <v>7.6019723785582709</v>
      </c>
      <c r="AN368" s="1284">
        <v>5.477462903045855</v>
      </c>
      <c r="AO368" s="1619"/>
      <c r="AP368" s="1513">
        <v>471.85318476580102</v>
      </c>
      <c r="AQ368" s="1513">
        <v>6.3638808061315242</v>
      </c>
      <c r="AR368" s="911"/>
      <c r="AS368" s="1493"/>
    </row>
    <row r="369" spans="1:45" x14ac:dyDescent="0.3">
      <c r="A369" s="634">
        <v>43617</v>
      </c>
      <c r="B369" s="631">
        <f>VLOOKUP($A369, $J$277:$AE$369, HLOOKUP("Detached_" &amp;'Personalized Bill Menu'!$B$22, $J$278:$AE$279, 2, FALSE), FALSE)</f>
        <v>479.27857953782711</v>
      </c>
      <c r="C369" s="631">
        <f>VLOOKUP($A369, $J$277:$AE$369, HLOOKUP("Attached_" &amp;'Personalized Bill Menu'!$B$22, $J$278:$AE$279, 2, FALSE), FALSE)</f>
        <v>363.72818640376067</v>
      </c>
      <c r="D369" s="631">
        <f>VLOOKUP($A369, $J$277:$AE$369, HLOOKUP("Apartment_" &amp;'Personalized Bill Menu'!$B$22, $J$278:$AE$279, 2, FALSE), FALSE)</f>
        <v>269.18306117721175</v>
      </c>
      <c r="E369" s="634">
        <v>43617</v>
      </c>
      <c r="F369" s="631">
        <f>VLOOKUP($A369, $J$277:$AE$369, HLOOKUP("Detached_" &amp;'Personalized Bill Menu'!$B$23, $J$278:$AE$279, 2, FALSE), FALSE)</f>
        <v>3.7439440891544029</v>
      </c>
      <c r="G369" s="631">
        <f>VLOOKUP($A369, $J$277:$AE$369, HLOOKUP("Attached_" &amp;'Personalized Bill Menu'!$B$23, $J$278:$AE$279, 2, FALSE), FALSE)</f>
        <v>2.3911629087338029</v>
      </c>
      <c r="H369" s="631">
        <f>VLOOKUP($A369, $J$277:$AE$369, HLOOKUP("Apartment_" &amp;'Personalized Bill Menu'!$B$23, $J$278:$AE$279, 2, FALSE), FALSE)</f>
        <v>1.9760834991841589</v>
      </c>
      <c r="I369" s="1609"/>
      <c r="J369" s="634">
        <v>43617</v>
      </c>
      <c r="K369" s="1279">
        <f t="shared" si="148"/>
        <v>479.27857953782711</v>
      </c>
      <c r="L369" s="1279">
        <f t="shared" si="149"/>
        <v>363.72818640376067</v>
      </c>
      <c r="M369" s="1279">
        <f t="shared" si="150"/>
        <v>269.18306117721175</v>
      </c>
      <c r="N369" s="1279">
        <f t="shared" si="151"/>
        <v>456.2227508035927</v>
      </c>
      <c r="O369" s="1279">
        <f t="shared" si="152"/>
        <v>346.23094131589232</v>
      </c>
      <c r="P369" s="1279">
        <f t="shared" si="153"/>
        <v>256.23393550870503</v>
      </c>
      <c r="Q369" s="1279">
        <f t="shared" si="154"/>
        <v>595.15885381499334</v>
      </c>
      <c r="R369" s="1279">
        <f t="shared" si="155"/>
        <v>451.6706144660551</v>
      </c>
      <c r="S369" s="1279">
        <f t="shared" si="156"/>
        <v>334.26630981741226</v>
      </c>
      <c r="T369" s="1279">
        <f t="shared" si="157"/>
        <v>485.17550346956835</v>
      </c>
      <c r="U369" s="1279">
        <f t="shared" si="158"/>
        <v>368.20340715975925</v>
      </c>
      <c r="V369" s="1279">
        <f t="shared" si="159"/>
        <v>272.49502232725098</v>
      </c>
      <c r="W369" s="1280">
        <f t="shared" si="160"/>
        <v>3.4329266036515111</v>
      </c>
      <c r="X369" s="1283">
        <f t="shared" si="161"/>
        <v>2.1925238645620357</v>
      </c>
      <c r="Y369" s="1282">
        <f t="shared" si="162"/>
        <v>1.8119259940439518</v>
      </c>
      <c r="Z369" s="1279">
        <f t="shared" si="163"/>
        <v>3.7439440891544029</v>
      </c>
      <c r="AA369" s="1279">
        <f t="shared" si="164"/>
        <v>2.3911629087338029</v>
      </c>
      <c r="AB369" s="1279">
        <f t="shared" si="168"/>
        <v>1.9760834991841589</v>
      </c>
      <c r="AC369" s="1279">
        <f t="shared" si="165"/>
        <v>3.6797894339620449</v>
      </c>
      <c r="AD369" s="1279">
        <f t="shared" si="166"/>
        <v>2.3501889443087038</v>
      </c>
      <c r="AE369" s="1279">
        <f t="shared" si="167"/>
        <v>1.9422221613803403</v>
      </c>
      <c r="AF369" s="1609"/>
      <c r="AG369" s="1506">
        <v>43617</v>
      </c>
      <c r="AH369" s="1513">
        <v>425.32655613823653</v>
      </c>
      <c r="AI369" s="1513">
        <v>404.86610442370096</v>
      </c>
      <c r="AJ369" s="1513">
        <v>528.16227650401891</v>
      </c>
      <c r="AK369" s="1513">
        <v>430.55966784983286</v>
      </c>
      <c r="AL369" s="1284">
        <v>3.4767805422131075</v>
      </c>
      <c r="AM369" s="1284">
        <v>3.7917711221848172</v>
      </c>
      <c r="AN369" s="1284">
        <v>3.726796923019613</v>
      </c>
      <c r="AO369" s="1619"/>
      <c r="AP369" s="1513">
        <v>452.75495337955903</v>
      </c>
      <c r="AQ369" s="1513">
        <v>3.6190554790336229</v>
      </c>
      <c r="AR369" s="911"/>
      <c r="AS369" s="1493"/>
    </row>
    <row r="370" spans="1:45" x14ac:dyDescent="0.3">
      <c r="A370" s="971"/>
      <c r="B370" s="958"/>
      <c r="C370" s="958"/>
      <c r="D370" s="958"/>
      <c r="E370" s="959"/>
      <c r="F370" s="958"/>
      <c r="G370" s="958"/>
      <c r="H370" s="958"/>
      <c r="I370" s="918"/>
      <c r="J370" s="959"/>
      <c r="K370" s="960"/>
      <c r="L370" s="961"/>
      <c r="M370" s="961"/>
      <c r="N370" s="960"/>
      <c r="O370" s="960"/>
      <c r="P370" s="960"/>
      <c r="Q370" s="960"/>
      <c r="R370" s="961"/>
      <c r="S370" s="961"/>
      <c r="T370" s="960"/>
      <c r="U370" s="961"/>
      <c r="V370" s="961"/>
      <c r="W370" s="960"/>
      <c r="X370" s="960"/>
      <c r="Y370" s="960"/>
      <c r="Z370" s="960"/>
      <c r="AA370" s="960"/>
      <c r="AB370" s="960"/>
      <c r="AC370" s="960"/>
      <c r="AD370" s="961"/>
      <c r="AE370" s="961"/>
      <c r="AF370" s="918"/>
      <c r="AG370" s="229"/>
      <c r="AH370" s="918"/>
      <c r="AI370" s="918"/>
      <c r="AJ370" s="918"/>
      <c r="AK370" s="918"/>
      <c r="AL370" s="918"/>
      <c r="AM370" s="918"/>
      <c r="AN370" s="918"/>
      <c r="AO370" s="918"/>
      <c r="AP370" s="918"/>
      <c r="AQ370" s="918"/>
      <c r="AR370" s="919"/>
      <c r="AS370" s="1493"/>
    </row>
    <row r="371" spans="1:45" x14ac:dyDescent="0.3">
      <c r="A371" s="1375"/>
      <c r="B371" s="642"/>
      <c r="C371" s="642"/>
      <c r="D371" s="642"/>
      <c r="E371" s="1389"/>
      <c r="F371" s="642"/>
      <c r="G371" s="642"/>
      <c r="H371" s="642"/>
      <c r="I371" s="1374"/>
      <c r="J371" s="1389"/>
      <c r="K371" s="643"/>
      <c r="L371" s="1374"/>
      <c r="M371" s="1374"/>
      <c r="N371" s="643"/>
      <c r="O371" s="643"/>
      <c r="P371" s="643"/>
      <c r="Q371" s="643"/>
      <c r="R371" s="1374"/>
      <c r="S371" s="1374"/>
      <c r="T371" s="643"/>
      <c r="U371" s="1374"/>
      <c r="V371" s="1374"/>
      <c r="W371" s="643"/>
      <c r="X371" s="643"/>
      <c r="Y371" s="643"/>
      <c r="Z371" s="643"/>
      <c r="AA371" s="643"/>
      <c r="AB371" s="643"/>
      <c r="AC371" s="643"/>
      <c r="AD371" s="1374"/>
      <c r="AE371" s="1374"/>
      <c r="AF371" s="1374"/>
      <c r="AG371" s="206"/>
      <c r="AH371" s="1374"/>
      <c r="AI371" s="1374"/>
      <c r="AJ371" s="1374"/>
      <c r="AK371" s="1374"/>
      <c r="AL371" s="1374"/>
      <c r="AM371" s="1374"/>
      <c r="AN371" s="1374"/>
      <c r="AO371" s="1374"/>
      <c r="AP371" s="1540"/>
      <c r="AQ371" s="1540"/>
      <c r="AR371" s="1540"/>
      <c r="AS371" s="1493"/>
    </row>
    <row r="372" spans="1:45" ht="14.5" thickBot="1" x14ac:dyDescent="0.35">
      <c r="A372" s="972"/>
      <c r="B372" s="973"/>
      <c r="C372" s="973"/>
      <c r="D372" s="973"/>
      <c r="E372" s="974"/>
      <c r="F372" s="973"/>
      <c r="G372" s="973"/>
      <c r="H372" s="973"/>
      <c r="I372" s="1378"/>
      <c r="J372" s="974"/>
      <c r="K372" s="975"/>
      <c r="L372" s="1378"/>
      <c r="M372" s="1378"/>
      <c r="N372" s="975"/>
      <c r="O372" s="975"/>
      <c r="P372" s="975"/>
      <c r="Q372" s="975"/>
      <c r="R372" s="1378"/>
      <c r="S372" s="1378"/>
      <c r="T372" s="975"/>
      <c r="U372" s="1378"/>
      <c r="V372" s="1378"/>
      <c r="W372" s="975"/>
      <c r="X372" s="975"/>
      <c r="Y372" s="975"/>
      <c r="Z372" s="975"/>
      <c r="AA372" s="975"/>
      <c r="AB372" s="975"/>
      <c r="AC372" s="975"/>
      <c r="AD372" s="1378"/>
      <c r="AE372" s="1378"/>
      <c r="AF372" s="1378"/>
      <c r="AG372" s="976"/>
      <c r="AH372" s="1378"/>
      <c r="AI372" s="1378"/>
      <c r="AJ372" s="1378"/>
      <c r="AK372" s="1378"/>
      <c r="AL372" s="1378"/>
      <c r="AM372" s="1378"/>
      <c r="AN372" s="1378"/>
      <c r="AO372" s="1378"/>
      <c r="AP372" s="1542"/>
      <c r="AQ372" s="1542"/>
      <c r="AR372" s="1542"/>
      <c r="AS372" s="1477"/>
    </row>
    <row r="373" spans="1:45" x14ac:dyDescent="0.3">
      <c r="A373" s="1389"/>
      <c r="B373" s="642"/>
      <c r="C373" s="642"/>
      <c r="D373" s="642"/>
      <c r="E373" s="1389"/>
      <c r="F373" s="642"/>
      <c r="G373" s="642"/>
      <c r="H373" s="642"/>
      <c r="I373" s="1374"/>
      <c r="J373" s="1389"/>
      <c r="K373" s="643"/>
      <c r="L373" s="1374"/>
      <c r="M373" s="1374"/>
      <c r="N373" s="643"/>
      <c r="O373" s="643"/>
      <c r="P373" s="643"/>
      <c r="Q373" s="643"/>
      <c r="R373" s="1374"/>
      <c r="S373" s="1374"/>
      <c r="T373" s="643"/>
      <c r="U373" s="1374"/>
      <c r="V373" s="1374"/>
      <c r="W373" s="643"/>
      <c r="X373" s="643"/>
      <c r="Y373" s="643"/>
      <c r="Z373" s="643"/>
      <c r="AA373" s="643"/>
      <c r="AB373" s="643"/>
      <c r="AC373" s="643"/>
      <c r="AD373" s="1374"/>
      <c r="AE373" s="1374"/>
      <c r="AF373" s="1374"/>
      <c r="AG373" s="206"/>
      <c r="AH373" s="1374"/>
      <c r="AI373" s="1374"/>
      <c r="AJ373" s="1374"/>
      <c r="AK373" s="1374"/>
      <c r="AL373" s="1374"/>
      <c r="AM373" s="1374"/>
      <c r="AN373" s="1374"/>
      <c r="AO373" s="1374"/>
      <c r="AP373" s="1374"/>
    </row>
    <row r="374" spans="1:45" x14ac:dyDescent="0.3">
      <c r="A374" s="1389"/>
      <c r="B374" s="642"/>
      <c r="C374" s="642"/>
      <c r="D374" s="642"/>
      <c r="E374" s="1389"/>
      <c r="F374" s="642"/>
      <c r="G374" s="642"/>
      <c r="H374" s="642"/>
      <c r="I374" s="1374"/>
      <c r="J374" s="1389"/>
      <c r="K374" s="643"/>
      <c r="L374" s="1374"/>
      <c r="M374" s="1374"/>
      <c r="N374" s="643"/>
      <c r="O374" s="643"/>
      <c r="P374" s="643"/>
      <c r="Q374" s="643"/>
      <c r="R374" s="1374"/>
      <c r="S374" s="1374"/>
      <c r="T374" s="643"/>
      <c r="U374" s="1374"/>
      <c r="V374" s="1374"/>
      <c r="W374" s="643"/>
      <c r="X374" s="643"/>
      <c r="Y374" s="643"/>
      <c r="Z374" s="643"/>
      <c r="AA374" s="643"/>
      <c r="AB374" s="643"/>
      <c r="AC374" s="643"/>
      <c r="AD374" s="1374"/>
      <c r="AE374" s="1374"/>
      <c r="AF374" s="1374"/>
      <c r="AG374" s="206"/>
      <c r="AH374" s="1374"/>
      <c r="AI374" s="1374"/>
      <c r="AJ374" s="1374"/>
      <c r="AK374" s="1374"/>
      <c r="AL374" s="1374"/>
      <c r="AM374" s="1374"/>
      <c r="AN374" s="1374"/>
      <c r="AO374" s="1374"/>
      <c r="AP374" s="1374"/>
    </row>
    <row r="375" spans="1:45" ht="14.5" thickBot="1" x14ac:dyDescent="0.35">
      <c r="A375" s="1389"/>
      <c r="B375" s="642"/>
      <c r="C375" s="642"/>
      <c r="D375" s="642"/>
      <c r="E375" s="1389"/>
      <c r="F375" s="642"/>
      <c r="G375" s="642"/>
      <c r="H375" s="642"/>
      <c r="J375" s="1389"/>
      <c r="K375" s="643"/>
      <c r="L375" s="1374"/>
      <c r="M375" s="1374"/>
      <c r="N375" s="643"/>
      <c r="O375" s="643"/>
      <c r="P375" s="643"/>
      <c r="Q375" s="643"/>
      <c r="R375" s="1374"/>
      <c r="S375" s="1374"/>
      <c r="T375" s="643"/>
      <c r="U375" s="1374"/>
      <c r="V375" s="1374"/>
      <c r="W375" s="643"/>
      <c r="X375" s="643"/>
      <c r="Y375" s="643"/>
      <c r="Z375" s="643"/>
      <c r="AA375" s="643"/>
      <c r="AB375" s="643"/>
      <c r="AC375" s="643"/>
      <c r="AD375" s="1374"/>
      <c r="AE375" s="1374"/>
      <c r="AG375" s="206"/>
      <c r="AH375" s="1374"/>
      <c r="AI375" s="1374"/>
      <c r="AJ375" s="1374"/>
      <c r="AK375" s="1374"/>
      <c r="AL375" s="1374"/>
      <c r="AM375" s="1374"/>
      <c r="AN375" s="1374"/>
    </row>
    <row r="376" spans="1:45" x14ac:dyDescent="0.3">
      <c r="A376" s="1379"/>
      <c r="B376" s="999"/>
      <c r="C376" s="999"/>
      <c r="D376" s="999"/>
      <c r="E376" s="1000"/>
      <c r="F376" s="999"/>
      <c r="G376" s="999"/>
      <c r="H376" s="999"/>
      <c r="I376" s="1377"/>
      <c r="J376" s="1000"/>
      <c r="K376" s="1001"/>
      <c r="L376" s="1377"/>
      <c r="M376" s="1377"/>
      <c r="N376" s="1001"/>
      <c r="O376" s="1001"/>
      <c r="P376" s="1001"/>
      <c r="Q376" s="1001"/>
      <c r="R376" s="1377"/>
      <c r="S376" s="1377"/>
      <c r="T376" s="1001"/>
      <c r="U376" s="1377"/>
      <c r="V376" s="1377"/>
      <c r="W376" s="1001"/>
      <c r="X376" s="1001"/>
      <c r="Y376" s="1001"/>
      <c r="Z376" s="1001"/>
      <c r="AA376" s="1001"/>
      <c r="AB376" s="1001"/>
      <c r="AC376" s="1001"/>
      <c r="AD376" s="1377"/>
      <c r="AE376" s="1377"/>
      <c r="AF376" s="1377"/>
      <c r="AG376" s="1002"/>
      <c r="AH376" s="1377"/>
      <c r="AI376" s="1377"/>
      <c r="AJ376" s="1377"/>
      <c r="AK376" s="1377"/>
      <c r="AL376" s="1377"/>
      <c r="AM376" s="1377"/>
      <c r="AN376" s="1377"/>
      <c r="AO376" s="645"/>
    </row>
    <row r="377" spans="1:45" x14ac:dyDescent="0.3">
      <c r="A377" s="2681" t="s">
        <v>527</v>
      </c>
      <c r="B377" s="2682"/>
      <c r="C377" s="2682"/>
      <c r="D377" s="2682"/>
      <c r="E377" s="2682"/>
      <c r="F377" s="642"/>
      <c r="G377" s="642"/>
      <c r="H377" s="642"/>
      <c r="I377" s="1374"/>
      <c r="J377" s="1389"/>
      <c r="K377" s="643"/>
      <c r="L377" s="1374"/>
      <c r="M377" s="1374"/>
      <c r="N377" s="643"/>
      <c r="O377" s="643"/>
      <c r="P377" s="643"/>
      <c r="Q377" s="643"/>
      <c r="R377" s="1374"/>
      <c r="S377" s="1374"/>
      <c r="T377" s="643"/>
      <c r="U377" s="1374"/>
      <c r="V377" s="1374"/>
      <c r="W377" s="643"/>
      <c r="X377" s="643"/>
      <c r="Y377" s="643"/>
      <c r="Z377" s="643"/>
      <c r="AA377" s="643"/>
      <c r="AB377" s="643"/>
      <c r="AC377" s="643"/>
      <c r="AD377" s="1374"/>
      <c r="AE377" s="1374"/>
      <c r="AF377" s="1374"/>
      <c r="AG377" s="206"/>
      <c r="AH377" s="1374"/>
      <c r="AI377" s="1374"/>
      <c r="AJ377" s="1374"/>
      <c r="AK377" s="1374"/>
      <c r="AL377" s="1374"/>
      <c r="AM377" s="1374"/>
      <c r="AN377" s="1374"/>
      <c r="AO377" s="1439"/>
    </row>
    <row r="378" spans="1:45" x14ac:dyDescent="0.3">
      <c r="A378" s="2681"/>
      <c r="B378" s="2682"/>
      <c r="C378" s="2682"/>
      <c r="D378" s="2682"/>
      <c r="E378" s="2682"/>
      <c r="F378" s="642"/>
      <c r="G378" s="642"/>
      <c r="H378" s="642"/>
      <c r="I378" s="1374"/>
      <c r="J378" s="1389"/>
      <c r="K378" s="643"/>
      <c r="L378" s="1374"/>
      <c r="M378" s="1374"/>
      <c r="N378" s="643"/>
      <c r="O378" s="643"/>
      <c r="P378" s="643"/>
      <c r="Q378" s="643"/>
      <c r="R378" s="1374"/>
      <c r="S378" s="1374"/>
      <c r="T378" s="643"/>
      <c r="U378" s="1374"/>
      <c r="V378" s="1374"/>
      <c r="W378" s="643"/>
      <c r="X378" s="643"/>
      <c r="Y378" s="643"/>
      <c r="Z378" s="643"/>
      <c r="AA378" s="643"/>
      <c r="AB378" s="643"/>
      <c r="AC378" s="643"/>
      <c r="AD378" s="1374"/>
      <c r="AE378" s="1374"/>
      <c r="AF378" s="1374"/>
      <c r="AG378" s="206"/>
      <c r="AH378" s="1374"/>
      <c r="AI378" s="1374"/>
      <c r="AJ378" s="1374"/>
      <c r="AK378" s="1374"/>
      <c r="AL378" s="1374"/>
      <c r="AM378" s="1374"/>
      <c r="AN378" s="1374"/>
      <c r="AO378" s="1439"/>
    </row>
    <row r="379" spans="1:45" x14ac:dyDescent="0.3">
      <c r="A379" s="2681"/>
      <c r="B379" s="2682"/>
      <c r="C379" s="2682"/>
      <c r="D379" s="2682"/>
      <c r="E379" s="2682"/>
      <c r="F379" s="642"/>
      <c r="G379" s="642"/>
      <c r="H379" s="642"/>
      <c r="I379" s="1374"/>
      <c r="J379" s="1389"/>
      <c r="K379" s="643"/>
      <c r="L379" s="1374"/>
      <c r="M379" s="1374"/>
      <c r="N379" s="643"/>
      <c r="O379" s="643"/>
      <c r="P379" s="643"/>
      <c r="Q379" s="643"/>
      <c r="R379" s="1374"/>
      <c r="S379" s="1374"/>
      <c r="T379" s="643"/>
      <c r="U379" s="1374"/>
      <c r="V379" s="1374"/>
      <c r="W379" s="643"/>
      <c r="X379" s="643"/>
      <c r="Y379" s="643"/>
      <c r="Z379" s="643"/>
      <c r="AA379" s="643"/>
      <c r="AB379" s="643"/>
      <c r="AC379" s="643"/>
      <c r="AD379" s="1374"/>
      <c r="AE379" s="1374"/>
      <c r="AF379" s="1374"/>
      <c r="AG379" s="206"/>
      <c r="AH379" s="1374"/>
      <c r="AI379" s="1374"/>
      <c r="AJ379" s="1374"/>
      <c r="AK379" s="1374"/>
      <c r="AL379" s="1374"/>
      <c r="AM379" s="1374"/>
      <c r="AN379" s="1374"/>
      <c r="AO379" s="1439"/>
    </row>
    <row r="380" spans="1:45" x14ac:dyDescent="0.3">
      <c r="A380" s="1375"/>
      <c r="B380" s="642"/>
      <c r="C380" s="642"/>
      <c r="D380" s="642"/>
      <c r="E380" s="1389"/>
      <c r="F380" s="642"/>
      <c r="G380" s="642"/>
      <c r="H380" s="642"/>
      <c r="I380" s="1374"/>
      <c r="J380" s="1389"/>
      <c r="K380" s="643"/>
      <c r="L380" s="1374"/>
      <c r="M380" s="1374"/>
      <c r="N380" s="643"/>
      <c r="O380" s="643"/>
      <c r="P380" s="643"/>
      <c r="Q380" s="643"/>
      <c r="R380" s="1374"/>
      <c r="S380" s="1374"/>
      <c r="T380" s="643"/>
      <c r="U380" s="1374"/>
      <c r="V380" s="1374"/>
      <c r="W380" s="643"/>
      <c r="X380" s="643"/>
      <c r="Y380" s="643"/>
      <c r="Z380" s="643"/>
      <c r="AA380" s="643"/>
      <c r="AB380" s="643"/>
      <c r="AC380" s="643"/>
      <c r="AD380" s="1374"/>
      <c r="AE380" s="1374"/>
      <c r="AF380" s="1374"/>
      <c r="AG380" s="206"/>
      <c r="AH380" s="1374"/>
      <c r="AI380" s="1374"/>
      <c r="AJ380" s="1374"/>
      <c r="AK380" s="1374"/>
      <c r="AL380" s="1374"/>
      <c r="AM380" s="1374"/>
      <c r="AN380" s="1374"/>
      <c r="AO380" s="1439"/>
    </row>
    <row r="381" spans="1:45" x14ac:dyDescent="0.3">
      <c r="A381" s="1375"/>
      <c r="B381" s="642"/>
      <c r="C381" s="642"/>
      <c r="D381" s="642"/>
      <c r="E381" s="1389"/>
      <c r="F381" s="642"/>
      <c r="G381" s="642"/>
      <c r="H381" s="642"/>
      <c r="I381" s="1374"/>
      <c r="J381" s="1389"/>
      <c r="K381" s="643"/>
      <c r="L381" s="1374"/>
      <c r="M381" s="1374"/>
      <c r="N381" s="643"/>
      <c r="O381" s="643"/>
      <c r="P381" s="643"/>
      <c r="Q381" s="643"/>
      <c r="R381" s="1374"/>
      <c r="S381" s="1374"/>
      <c r="T381" s="643"/>
      <c r="U381" s="1374"/>
      <c r="V381" s="1374"/>
      <c r="W381" s="643"/>
      <c r="X381" s="643"/>
      <c r="Y381" s="643"/>
      <c r="Z381" s="643"/>
      <c r="AA381" s="643"/>
      <c r="AB381" s="643"/>
      <c r="AC381" s="643"/>
      <c r="AD381" s="1374"/>
      <c r="AE381" s="1374"/>
      <c r="AF381" s="1374"/>
      <c r="AG381" s="206"/>
      <c r="AH381" s="1374"/>
      <c r="AI381" s="1374"/>
      <c r="AJ381" s="1374"/>
      <c r="AK381" s="1374"/>
      <c r="AL381" s="1374"/>
      <c r="AM381" s="1374"/>
      <c r="AN381" s="1374"/>
      <c r="AO381" s="1439"/>
    </row>
    <row r="382" spans="1:45" x14ac:dyDescent="0.3">
      <c r="A382" s="1375"/>
      <c r="B382" s="642"/>
      <c r="C382" s="642"/>
      <c r="D382" s="642"/>
      <c r="E382" s="1389"/>
      <c r="F382" s="642"/>
      <c r="G382" s="642"/>
      <c r="H382" s="642"/>
      <c r="I382" s="1374"/>
      <c r="J382" s="1389"/>
      <c r="K382" s="643"/>
      <c r="L382" s="1374"/>
      <c r="M382" s="1374"/>
      <c r="N382" s="643"/>
      <c r="O382" s="643"/>
      <c r="P382" s="643"/>
      <c r="Q382" s="643"/>
      <c r="R382" s="1374"/>
      <c r="S382" s="1374"/>
      <c r="T382" s="643"/>
      <c r="U382" s="1374"/>
      <c r="V382" s="1374"/>
      <c r="W382" s="643"/>
      <c r="X382" s="643"/>
      <c r="Y382" s="643"/>
      <c r="Z382" s="643"/>
      <c r="AA382" s="643"/>
      <c r="AB382" s="643"/>
      <c r="AC382" s="643"/>
      <c r="AD382" s="1374"/>
      <c r="AE382" s="1374"/>
      <c r="AF382" s="1374"/>
      <c r="AG382" s="206"/>
      <c r="AH382" s="1374"/>
      <c r="AI382" s="1374"/>
      <c r="AJ382" s="1374"/>
      <c r="AK382" s="1374"/>
      <c r="AL382" s="1374"/>
      <c r="AM382" s="1374"/>
      <c r="AN382" s="1374"/>
      <c r="AO382" s="1439"/>
    </row>
    <row r="383" spans="1:45" ht="14.5" thickBot="1" x14ac:dyDescent="0.35">
      <c r="A383" s="1385"/>
      <c r="B383" s="980"/>
      <c r="C383" s="980"/>
      <c r="D383" s="980"/>
      <c r="E383" s="1075"/>
      <c r="F383" s="980"/>
      <c r="G383" s="980"/>
      <c r="H383" s="980"/>
      <c r="I383" s="908"/>
      <c r="J383" s="1075"/>
      <c r="K383" s="981"/>
      <c r="L383" s="908"/>
      <c r="M383" s="908"/>
      <c r="N383" s="981"/>
      <c r="O383" s="981"/>
      <c r="P383" s="981"/>
      <c r="Q383" s="981"/>
      <c r="R383" s="908"/>
      <c r="S383" s="908"/>
      <c r="T383" s="981"/>
      <c r="U383" s="908"/>
      <c r="V383" s="908"/>
      <c r="W383" s="981"/>
      <c r="X383" s="981"/>
      <c r="Y383" s="981"/>
      <c r="Z383" s="981"/>
      <c r="AA383" s="981"/>
      <c r="AB383" s="981"/>
      <c r="AC383" s="981"/>
      <c r="AD383" s="908"/>
      <c r="AE383" s="908"/>
      <c r="AF383" s="908"/>
      <c r="AG383" s="210"/>
      <c r="AH383" s="908"/>
      <c r="AI383" s="908"/>
      <c r="AJ383" s="908"/>
      <c r="AK383" s="908"/>
      <c r="AL383" s="908"/>
      <c r="AM383" s="909"/>
      <c r="AN383" s="1374"/>
      <c r="AO383" s="1439"/>
    </row>
    <row r="384" spans="1:45" ht="15" customHeight="1" x14ac:dyDescent="0.3">
      <c r="A384" s="2803" t="s">
        <v>501</v>
      </c>
      <c r="B384" s="2804"/>
      <c r="C384" s="2804"/>
      <c r="D384" s="2804"/>
      <c r="E384" s="2804"/>
      <c r="F384" s="2804"/>
      <c r="G384" s="2804"/>
      <c r="H384" s="2804"/>
      <c r="I384" s="2804"/>
      <c r="J384" s="2804"/>
      <c r="K384" s="2804"/>
      <c r="L384" s="2804"/>
      <c r="M384" s="2804"/>
      <c r="N384" s="2804"/>
      <c r="O384" s="2804"/>
      <c r="P384" s="2804"/>
      <c r="Q384" s="2804"/>
      <c r="R384" s="2804"/>
      <c r="S384" s="2804"/>
      <c r="T384" s="2804"/>
      <c r="U384" s="2804"/>
      <c r="V384" s="2804"/>
      <c r="W384" s="2804"/>
      <c r="X384" s="2804"/>
      <c r="Y384" s="2804"/>
      <c r="Z384" s="2804"/>
      <c r="AA384" s="2804"/>
      <c r="AB384" s="2804"/>
      <c r="AC384" s="2804"/>
      <c r="AD384" s="2804"/>
      <c r="AE384" s="2804"/>
      <c r="AF384" s="2804"/>
      <c r="AG384" s="2804"/>
      <c r="AH384" s="2804"/>
      <c r="AI384" s="2804"/>
      <c r="AJ384" s="2804"/>
      <c r="AK384" s="2804"/>
      <c r="AL384" s="2805"/>
      <c r="AM384" s="911"/>
      <c r="AN384" s="1374"/>
      <c r="AO384" s="1439"/>
    </row>
    <row r="385" spans="1:41" ht="15" customHeight="1" thickBot="1" x14ac:dyDescent="0.35">
      <c r="A385" s="2806"/>
      <c r="B385" s="2807"/>
      <c r="C385" s="2807"/>
      <c r="D385" s="2807"/>
      <c r="E385" s="2807"/>
      <c r="F385" s="2807"/>
      <c r="G385" s="2807"/>
      <c r="H385" s="2807"/>
      <c r="I385" s="2807"/>
      <c r="J385" s="2807"/>
      <c r="K385" s="2807"/>
      <c r="L385" s="2807"/>
      <c r="M385" s="2807"/>
      <c r="N385" s="2807"/>
      <c r="O385" s="2807"/>
      <c r="P385" s="2807"/>
      <c r="Q385" s="2807"/>
      <c r="R385" s="2807"/>
      <c r="S385" s="2807"/>
      <c r="T385" s="2807"/>
      <c r="U385" s="2807"/>
      <c r="V385" s="2807"/>
      <c r="W385" s="2807"/>
      <c r="X385" s="2807"/>
      <c r="Y385" s="2807"/>
      <c r="Z385" s="2807"/>
      <c r="AA385" s="2807"/>
      <c r="AB385" s="2807"/>
      <c r="AC385" s="2807"/>
      <c r="AD385" s="2807"/>
      <c r="AE385" s="2807"/>
      <c r="AF385" s="2807"/>
      <c r="AG385" s="2807"/>
      <c r="AH385" s="2807"/>
      <c r="AI385" s="2807"/>
      <c r="AJ385" s="2807"/>
      <c r="AK385" s="2807"/>
      <c r="AL385" s="2808"/>
      <c r="AM385" s="911"/>
      <c r="AN385" s="1374"/>
      <c r="AO385" s="1439"/>
    </row>
    <row r="386" spans="1:41" x14ac:dyDescent="0.3">
      <c r="A386" s="1375"/>
      <c r="B386" s="642"/>
      <c r="C386" s="642"/>
      <c r="D386" s="642"/>
      <c r="E386" s="1389"/>
      <c r="F386" s="642"/>
      <c r="G386" s="642"/>
      <c r="H386" s="642"/>
      <c r="I386" s="1374"/>
      <c r="J386" s="1389"/>
      <c r="K386" s="643"/>
      <c r="L386" s="1374"/>
      <c r="M386" s="1374"/>
      <c r="N386" s="643"/>
      <c r="O386" s="643"/>
      <c r="P386" s="643"/>
      <c r="Q386" s="643"/>
      <c r="R386" s="1374"/>
      <c r="S386" s="1374"/>
      <c r="T386" s="643"/>
      <c r="U386" s="1374"/>
      <c r="V386" s="1374"/>
      <c r="W386" s="643"/>
      <c r="X386" s="643"/>
      <c r="Y386" s="643"/>
      <c r="Z386" s="643"/>
      <c r="AA386" s="643"/>
      <c r="AB386" s="643"/>
      <c r="AC386" s="643"/>
      <c r="AD386" s="1374"/>
      <c r="AE386" s="1374"/>
      <c r="AF386" s="1374"/>
      <c r="AG386" s="206"/>
      <c r="AH386" s="1374"/>
      <c r="AI386" s="1374"/>
      <c r="AJ386" s="1374"/>
      <c r="AK386" s="1374"/>
      <c r="AL386" s="1374"/>
      <c r="AM386" s="911"/>
      <c r="AN386" s="1374"/>
      <c r="AO386" s="1439"/>
    </row>
    <row r="387" spans="1:41" ht="18" x14ac:dyDescent="0.3">
      <c r="A387" s="2779" t="s">
        <v>660</v>
      </c>
      <c r="B387" s="2780"/>
      <c r="C387" s="2780"/>
      <c r="D387" s="2780"/>
      <c r="E387" s="2780"/>
      <c r="F387" s="2780"/>
      <c r="G387" s="2780"/>
      <c r="H387" s="2780"/>
      <c r="I387" s="2780"/>
      <c r="J387" s="2780"/>
      <c r="K387" s="2780"/>
      <c r="L387" s="600"/>
      <c r="M387" s="2780" t="s">
        <v>661</v>
      </c>
      <c r="N387" s="2780"/>
      <c r="O387" s="2780"/>
      <c r="P387" s="2780"/>
      <c r="Q387" s="2780"/>
      <c r="R387" s="2780"/>
      <c r="S387" s="2780"/>
      <c r="T387" s="2780"/>
      <c r="U387" s="2780"/>
      <c r="V387" s="2780"/>
      <c r="W387" s="2780"/>
      <c r="X387" s="643"/>
      <c r="Y387" s="643"/>
      <c r="Z387" s="643"/>
      <c r="AA387" s="643"/>
      <c r="AB387" s="643"/>
      <c r="AC387" s="643"/>
      <c r="AD387" s="1374"/>
      <c r="AE387" s="1374"/>
      <c r="AF387" s="1374"/>
      <c r="AG387" s="206"/>
      <c r="AH387" s="1374"/>
      <c r="AI387" s="1374"/>
      <c r="AJ387" s="1374"/>
      <c r="AK387" s="1374"/>
      <c r="AL387" s="1374"/>
      <c r="AM387" s="911"/>
      <c r="AN387" s="1374"/>
      <c r="AO387" s="1439"/>
    </row>
    <row r="388" spans="1:41" ht="18" x14ac:dyDescent="0.3">
      <c r="A388" s="2779"/>
      <c r="B388" s="2780"/>
      <c r="C388" s="2780"/>
      <c r="D388" s="2780"/>
      <c r="E388" s="2780"/>
      <c r="F388" s="2780"/>
      <c r="G388" s="2780"/>
      <c r="H388" s="2780"/>
      <c r="I388" s="2780"/>
      <c r="J388" s="2780"/>
      <c r="K388" s="2780"/>
      <c r="L388" s="600"/>
      <c r="M388" s="2780"/>
      <c r="N388" s="2780"/>
      <c r="O388" s="2780"/>
      <c r="P388" s="2780"/>
      <c r="Q388" s="2780"/>
      <c r="R388" s="2780"/>
      <c r="S388" s="2780"/>
      <c r="T388" s="2780"/>
      <c r="U388" s="2780"/>
      <c r="V388" s="2780"/>
      <c r="W388" s="2780"/>
      <c r="X388" s="643"/>
      <c r="Y388" s="643"/>
      <c r="Z388" s="643"/>
      <c r="AA388" s="643"/>
      <c r="AB388" s="643"/>
      <c r="AC388" s="643"/>
      <c r="AD388" s="1374"/>
      <c r="AE388" s="1374"/>
      <c r="AF388" s="1374"/>
      <c r="AG388" s="206"/>
      <c r="AH388" s="1374"/>
      <c r="AI388" s="1374"/>
      <c r="AJ388" s="1374"/>
      <c r="AK388" s="1374"/>
      <c r="AL388" s="1374"/>
      <c r="AM388" s="911"/>
      <c r="AN388" s="1374"/>
      <c r="AO388" s="1439"/>
    </row>
    <row r="389" spans="1:41" x14ac:dyDescent="0.3">
      <c r="A389" s="1044"/>
      <c r="B389" s="664" t="s">
        <v>219</v>
      </c>
      <c r="C389" s="664" t="s">
        <v>220</v>
      </c>
      <c r="D389" s="664" t="s">
        <v>201</v>
      </c>
      <c r="E389" s="664" t="s">
        <v>202</v>
      </c>
      <c r="F389" s="664" t="s">
        <v>221</v>
      </c>
      <c r="G389" s="664" t="s">
        <v>207</v>
      </c>
      <c r="H389" s="664" t="s">
        <v>204</v>
      </c>
      <c r="I389" s="664" t="s">
        <v>218</v>
      </c>
      <c r="J389" s="664" t="s">
        <v>229</v>
      </c>
      <c r="K389" s="664" t="s">
        <v>213</v>
      </c>
      <c r="L389" s="1374"/>
      <c r="M389" s="1076"/>
      <c r="N389" s="664" t="s">
        <v>219</v>
      </c>
      <c r="O389" s="664" t="s">
        <v>220</v>
      </c>
      <c r="P389" s="664" t="s">
        <v>201</v>
      </c>
      <c r="Q389" s="664" t="s">
        <v>202</v>
      </c>
      <c r="R389" s="664" t="s">
        <v>221</v>
      </c>
      <c r="S389" s="664" t="s">
        <v>207</v>
      </c>
      <c r="T389" s="664" t="s">
        <v>204</v>
      </c>
      <c r="U389" s="664" t="s">
        <v>218</v>
      </c>
      <c r="V389" s="664" t="s">
        <v>229</v>
      </c>
      <c r="W389" s="664" t="s">
        <v>213</v>
      </c>
      <c r="X389" s="643"/>
      <c r="Y389" s="643"/>
      <c r="Z389" s="643"/>
      <c r="AA389" s="643"/>
      <c r="AB389" s="643"/>
      <c r="AC389" s="643"/>
      <c r="AD389" s="1374"/>
      <c r="AE389" s="1374"/>
      <c r="AF389" s="1374"/>
      <c r="AG389" s="206"/>
      <c r="AH389" s="1374"/>
      <c r="AI389" s="1374"/>
      <c r="AJ389" s="1374"/>
      <c r="AK389" s="1374"/>
      <c r="AL389" s="1374"/>
      <c r="AM389" s="911"/>
      <c r="AN389" s="1374"/>
      <c r="AO389" s="1439"/>
    </row>
    <row r="390" spans="1:41" x14ac:dyDescent="0.3">
      <c r="A390" s="1095">
        <v>40909</v>
      </c>
      <c r="B390" s="1263">
        <v>2.0404832190224464</v>
      </c>
      <c r="C390" s="1263">
        <v>2.6349547080289861</v>
      </c>
      <c r="D390" s="1263">
        <v>16.039062133915458</v>
      </c>
      <c r="E390" s="1263">
        <v>4.2639637723986095</v>
      </c>
      <c r="F390" s="1263">
        <v>8.1646762141315588</v>
      </c>
      <c r="G390" s="1263">
        <v>10.550600362497082</v>
      </c>
      <c r="H390" s="1263">
        <v>5.8006412781363625</v>
      </c>
      <c r="I390" s="1263">
        <v>5.9179368950651003</v>
      </c>
      <c r="J390" s="1263">
        <v>-0.32669153900359382</v>
      </c>
      <c r="K390" s="1263">
        <v>5.666223742062332</v>
      </c>
      <c r="L390" s="589"/>
      <c r="M390" s="1077">
        <v>40909</v>
      </c>
      <c r="N390" s="1263">
        <v>10.57681437674788</v>
      </c>
      <c r="O390" s="1263">
        <v>12.052473272287425</v>
      </c>
      <c r="P390" s="1263">
        <v>9.8484244584817446</v>
      </c>
      <c r="Q390" s="1263">
        <v>18.357624307999124</v>
      </c>
      <c r="R390" s="1263">
        <v>9.3181499268204178</v>
      </c>
      <c r="S390" s="1263">
        <v>14.338793040572288</v>
      </c>
      <c r="T390" s="1263">
        <v>14.884560249729018</v>
      </c>
      <c r="U390" s="1263">
        <v>8.2361233381833898</v>
      </c>
      <c r="V390" s="1263">
        <v>0.15402521753721951</v>
      </c>
      <c r="W390" s="1263">
        <v>19.250697922982862</v>
      </c>
      <c r="X390" s="643"/>
      <c r="Y390" s="643"/>
      <c r="Z390" s="643"/>
      <c r="AA390" s="643"/>
      <c r="AB390" s="643"/>
      <c r="AC390" s="643"/>
      <c r="AD390" s="1374"/>
      <c r="AE390" s="1374"/>
      <c r="AF390" s="1374"/>
      <c r="AG390" s="206"/>
      <c r="AH390" s="1374"/>
      <c r="AI390" s="1374"/>
      <c r="AJ390" s="1374"/>
      <c r="AK390" s="1374"/>
      <c r="AL390" s="1374"/>
      <c r="AM390" s="911"/>
      <c r="AN390" s="1374"/>
      <c r="AO390" s="1439"/>
    </row>
    <row r="391" spans="1:41" x14ac:dyDescent="0.3">
      <c r="A391" s="1095">
        <v>40940</v>
      </c>
      <c r="B391" s="1263">
        <v>1.8048521256734065</v>
      </c>
      <c r="C391" s="1263">
        <v>2.3306751859089658</v>
      </c>
      <c r="D391" s="1263">
        <v>13.262680233490155</v>
      </c>
      <c r="E391" s="1263">
        <v>3.6806840449690426</v>
      </c>
      <c r="F391" s="1263">
        <v>7.265954933273723</v>
      </c>
      <c r="G391" s="1263">
        <v>9.3892500746325318</v>
      </c>
      <c r="H391" s="1263">
        <v>5.1621395638539855</v>
      </c>
      <c r="I391" s="1263">
        <v>5.2345448789215592</v>
      </c>
      <c r="J391" s="1263">
        <v>-0.2889658258952173</v>
      </c>
      <c r="K391" s="1263">
        <v>5.0118990786416386</v>
      </c>
      <c r="L391" s="589"/>
      <c r="M391" s="1077">
        <v>40940</v>
      </c>
      <c r="N391" s="1263">
        <v>9.4224127241857669</v>
      </c>
      <c r="O391" s="1263">
        <v>11.164741161462073</v>
      </c>
      <c r="P391" s="1263">
        <v>7.5507525598707828</v>
      </c>
      <c r="Q391" s="1263">
        <v>17.08170481468245</v>
      </c>
      <c r="R391" s="1263">
        <v>7.7716513371564808</v>
      </c>
      <c r="S391" s="1263">
        <v>13.427864212611338</v>
      </c>
      <c r="T391" s="1263">
        <v>13.701902257766671</v>
      </c>
      <c r="U391" s="1263">
        <v>7.8100842869270029</v>
      </c>
      <c r="V391" s="1263">
        <v>0.32205984119602132</v>
      </c>
      <c r="W391" s="1263">
        <v>18.269203010355561</v>
      </c>
      <c r="X391" s="643"/>
      <c r="Y391" s="643"/>
      <c r="Z391" s="643"/>
      <c r="AA391" s="643"/>
      <c r="AB391" s="643"/>
      <c r="AC391" s="643"/>
      <c r="AD391" s="1374"/>
      <c r="AE391" s="1374"/>
      <c r="AF391" s="1374"/>
      <c r="AG391" s="206"/>
      <c r="AH391" s="1374"/>
      <c r="AI391" s="1374"/>
      <c r="AJ391" s="1374"/>
      <c r="AK391" s="1374"/>
      <c r="AL391" s="1374"/>
      <c r="AM391" s="911"/>
      <c r="AN391" s="1374"/>
      <c r="AO391" s="1439"/>
    </row>
    <row r="392" spans="1:41" x14ac:dyDescent="0.3">
      <c r="A392" s="1095">
        <v>40969</v>
      </c>
      <c r="B392" s="1263">
        <v>1.8123385464163435</v>
      </c>
      <c r="C392" s="1263">
        <v>2.3403426898604751</v>
      </c>
      <c r="D392" s="1263">
        <v>9.2236496346681527</v>
      </c>
      <c r="E392" s="1263">
        <v>3.6331435188298333</v>
      </c>
      <c r="F392" s="1263">
        <v>7.3681897056148822</v>
      </c>
      <c r="G392" s="1263">
        <v>9.5213604238776757</v>
      </c>
      <c r="H392" s="1263">
        <v>5.234772847152664</v>
      </c>
      <c r="I392" s="1263">
        <v>5.2562574640159045</v>
      </c>
      <c r="J392" s="1263">
        <v>-0.29016443919001828</v>
      </c>
      <c r="K392" s="1263">
        <v>5.0326881420170384</v>
      </c>
      <c r="L392" s="589"/>
      <c r="M392" s="1077">
        <v>40969</v>
      </c>
      <c r="N392" s="1263">
        <v>9.1536043323114011</v>
      </c>
      <c r="O392" s="1263">
        <v>10.798484619306553</v>
      </c>
      <c r="P392" s="1263">
        <v>6.7622197894507039</v>
      </c>
      <c r="Q392" s="1263">
        <v>16.199616632111098</v>
      </c>
      <c r="R392" s="1263">
        <v>6.8483416964181885</v>
      </c>
      <c r="S392" s="1263">
        <v>12.73445799422637</v>
      </c>
      <c r="T392" s="1263">
        <v>12.994344892067724</v>
      </c>
      <c r="U392" s="1263">
        <v>7.4067765884786025</v>
      </c>
      <c r="V392" s="1263">
        <v>0.31149474863384286</v>
      </c>
      <c r="W392" s="1263">
        <v>17.325793189423631</v>
      </c>
      <c r="X392" s="643"/>
      <c r="Y392" s="643"/>
      <c r="Z392" s="643"/>
      <c r="AA392" s="643"/>
      <c r="AB392" s="643"/>
      <c r="AC392" s="643"/>
      <c r="AD392" s="1374"/>
      <c r="AE392" s="1374"/>
      <c r="AF392" s="1374"/>
      <c r="AG392" s="206"/>
      <c r="AH392" s="1374"/>
      <c r="AI392" s="1374"/>
      <c r="AJ392" s="1374"/>
      <c r="AK392" s="1374"/>
      <c r="AL392" s="1374"/>
      <c r="AM392" s="911"/>
      <c r="AN392" s="1374"/>
      <c r="AO392" s="1439"/>
    </row>
    <row r="393" spans="1:41" x14ac:dyDescent="0.3">
      <c r="A393" s="1095">
        <v>41000</v>
      </c>
      <c r="B393" s="1263">
        <v>1.6813623589008413</v>
      </c>
      <c r="C393" s="1263">
        <v>2.1712080855097478</v>
      </c>
      <c r="D393" s="1263">
        <v>7.7936993828217549</v>
      </c>
      <c r="E393" s="1263">
        <v>3.2797312932934419</v>
      </c>
      <c r="F393" s="1263">
        <v>6.4204089083762268</v>
      </c>
      <c r="G393" s="1263">
        <v>8.2966141925934078</v>
      </c>
      <c r="H393" s="1263">
        <v>4.5614165166747984</v>
      </c>
      <c r="I393" s="1263">
        <v>4.876392143268844</v>
      </c>
      <c r="J393" s="1263">
        <v>-0.2691944984066964</v>
      </c>
      <c r="K393" s="1263">
        <v>4.6689799887587666</v>
      </c>
      <c r="L393" s="589"/>
      <c r="M393" s="1077">
        <v>41000</v>
      </c>
      <c r="N393" s="1263">
        <v>5.8436829026988262</v>
      </c>
      <c r="O393" s="1263">
        <v>9.8019156999235335</v>
      </c>
      <c r="P393" s="1263">
        <v>5.3286955547419659</v>
      </c>
      <c r="Q393" s="1263">
        <v>14.20977153210039</v>
      </c>
      <c r="R393" s="1263">
        <v>5.2405106657531295</v>
      </c>
      <c r="S393" s="1263">
        <v>11.170248209725976</v>
      </c>
      <c r="T393" s="1263">
        <v>11.398212458904057</v>
      </c>
      <c r="U393" s="1263">
        <v>6.4969811015753125</v>
      </c>
      <c r="V393" s="1263">
        <v>0.28274756826702502</v>
      </c>
      <c r="W393" s="1263">
        <v>15.197616611872075</v>
      </c>
      <c r="X393" s="643"/>
      <c r="Y393" s="643"/>
      <c r="Z393" s="643"/>
      <c r="AA393" s="643"/>
      <c r="AB393" s="643"/>
      <c r="AC393" s="643"/>
      <c r="AD393" s="1374"/>
      <c r="AE393" s="1374"/>
      <c r="AF393" s="1374"/>
      <c r="AG393" s="206"/>
      <c r="AH393" s="1374"/>
      <c r="AI393" s="1374"/>
      <c r="AJ393" s="1374"/>
      <c r="AK393" s="1374"/>
      <c r="AL393" s="1374"/>
      <c r="AM393" s="911"/>
      <c r="AN393" s="1374"/>
      <c r="AO393" s="1439"/>
    </row>
    <row r="394" spans="1:41" x14ac:dyDescent="0.3">
      <c r="A394" s="1095">
        <v>41030</v>
      </c>
      <c r="B394" s="1263">
        <v>1.6584130749150019</v>
      </c>
      <c r="C394" s="1263">
        <v>2.1415727896540182</v>
      </c>
      <c r="D394" s="1263">
        <v>7.1955364032769404</v>
      </c>
      <c r="E394" s="1263">
        <v>3.1319523072060202</v>
      </c>
      <c r="F394" s="1263">
        <v>6.4031745054159774</v>
      </c>
      <c r="G394" s="1263">
        <v>8.2743434627627366</v>
      </c>
      <c r="H394" s="1263">
        <v>4.549172235751298</v>
      </c>
      <c r="I394" s="1263">
        <v>4.8098331962757923</v>
      </c>
      <c r="J394" s="1263">
        <v>-0.26552020359531525</v>
      </c>
      <c r="K394" s="1263">
        <v>4.6052520558007135</v>
      </c>
      <c r="L394" s="589"/>
      <c r="M394" s="1077">
        <v>41030</v>
      </c>
      <c r="N394" s="1263">
        <v>4.9533884179264085</v>
      </c>
      <c r="O394" s="1263">
        <v>7.766799628871631</v>
      </c>
      <c r="P394" s="1263">
        <v>3.7799982207830634</v>
      </c>
      <c r="Q394" s="1263">
        <v>10.257334429335152</v>
      </c>
      <c r="R394" s="1263">
        <v>3.4893143695767486</v>
      </c>
      <c r="S394" s="1263">
        <v>8.0632521984613224</v>
      </c>
      <c r="T394" s="1263">
        <v>8.227808365776859</v>
      </c>
      <c r="U394" s="1263">
        <v>4.6898507684928097</v>
      </c>
      <c r="V394" s="1263">
        <v>0.22404229698668165</v>
      </c>
      <c r="W394" s="1263">
        <v>10.970411154369145</v>
      </c>
      <c r="X394" s="643"/>
      <c r="Y394" s="643"/>
      <c r="Z394" s="643"/>
      <c r="AA394" s="643"/>
      <c r="AB394" s="643"/>
      <c r="AC394" s="643"/>
      <c r="AD394" s="1374"/>
      <c r="AE394" s="1374"/>
      <c r="AF394" s="1374"/>
      <c r="AG394" s="206"/>
      <c r="AH394" s="1374"/>
      <c r="AI394" s="1374"/>
      <c r="AJ394" s="1374"/>
      <c r="AK394" s="1374"/>
      <c r="AL394" s="1374"/>
      <c r="AM394" s="911"/>
      <c r="AN394" s="1374"/>
      <c r="AO394" s="1439"/>
    </row>
    <row r="395" spans="1:41" x14ac:dyDescent="0.3">
      <c r="A395" s="1095">
        <v>41061</v>
      </c>
      <c r="B395" s="1263">
        <v>1.608630695607272</v>
      </c>
      <c r="C395" s="1263">
        <v>2.0772868825164772</v>
      </c>
      <c r="D395" s="1263">
        <v>7.6236719348639728</v>
      </c>
      <c r="E395" s="1263">
        <v>3.0731934172634352</v>
      </c>
      <c r="F395" s="1263">
        <v>5.8704131494552643</v>
      </c>
      <c r="G395" s="1263">
        <v>7.5858958124328089</v>
      </c>
      <c r="H395" s="1263">
        <v>4.1706688595325607</v>
      </c>
      <c r="I395" s="1263">
        <v>4.6654512300420885</v>
      </c>
      <c r="J395" s="1263">
        <v>-0.25754979640956327</v>
      </c>
      <c r="K395" s="1263">
        <v>4.4670112229724248</v>
      </c>
      <c r="L395" s="589"/>
      <c r="M395" s="1077">
        <v>41061</v>
      </c>
      <c r="N395" s="1263">
        <v>4.3803201574313864</v>
      </c>
      <c r="O395" s="1263">
        <v>6.6958123463090935</v>
      </c>
      <c r="P395" s="1263">
        <v>3.5315989021609382</v>
      </c>
      <c r="Q395" s="1263">
        <v>8.9641604968229238</v>
      </c>
      <c r="R395" s="1263">
        <v>3.1142516622019105</v>
      </c>
      <c r="S395" s="1263">
        <v>7.0466930108714969</v>
      </c>
      <c r="T395" s="1263">
        <v>7.1905030723178536</v>
      </c>
      <c r="U395" s="1263">
        <v>4.0985867512211769</v>
      </c>
      <c r="V395" s="1263">
        <v>0.19314843306660845</v>
      </c>
      <c r="W395" s="1263">
        <v>9.5873374297571381</v>
      </c>
      <c r="X395" s="643"/>
      <c r="Y395" s="643"/>
      <c r="Z395" s="643"/>
      <c r="AA395" s="643"/>
      <c r="AB395" s="643"/>
      <c r="AC395" s="643"/>
      <c r="AD395" s="1374"/>
      <c r="AE395" s="1374"/>
      <c r="AF395" s="1374"/>
      <c r="AG395" s="206"/>
      <c r="AH395" s="1374"/>
      <c r="AI395" s="1374"/>
      <c r="AJ395" s="1374"/>
      <c r="AK395" s="1374"/>
      <c r="AL395" s="1374"/>
      <c r="AM395" s="911"/>
      <c r="AN395" s="1374"/>
      <c r="AO395" s="1439"/>
    </row>
    <row r="396" spans="1:41" x14ac:dyDescent="0.3">
      <c r="A396" s="1095">
        <v>41091</v>
      </c>
      <c r="B396" s="1263">
        <v>2.2817158612541748</v>
      </c>
      <c r="C396" s="1263">
        <v>2.9098805518018827</v>
      </c>
      <c r="D396" s="1263">
        <v>9.1332224791043899</v>
      </c>
      <c r="E396" s="1263">
        <v>3.5165612895200531</v>
      </c>
      <c r="F396" s="1263">
        <v>6.3553550273430899</v>
      </c>
      <c r="G396" s="1263">
        <v>8.2069151534194233</v>
      </c>
      <c r="H396" s="1263">
        <v>4.2202226297055159</v>
      </c>
      <c r="I396" s="1263">
        <v>5.2516415672995889</v>
      </c>
      <c r="J396" s="1263">
        <v>0.30946348725512091</v>
      </c>
      <c r="K396" s="1263">
        <v>5.2331661352246561</v>
      </c>
      <c r="L396" s="589"/>
      <c r="M396" s="1077">
        <v>41091</v>
      </c>
      <c r="N396" s="1263">
        <v>3.5706308725245317</v>
      </c>
      <c r="O396" s="1263">
        <v>6.561725117230111</v>
      </c>
      <c r="P396" s="1263">
        <v>2.9820353048041142</v>
      </c>
      <c r="Q396" s="1263">
        <v>10.068550368632973</v>
      </c>
      <c r="R396" s="1263">
        <v>3.2739746802185534</v>
      </c>
      <c r="S396" s="1263">
        <v>7.914849755021641</v>
      </c>
      <c r="T396" s="1263">
        <v>8.0763773010424895</v>
      </c>
      <c r="U396" s="1263">
        <v>4.6035350615942194</v>
      </c>
      <c r="V396" s="1263">
        <v>0.18928053222779165</v>
      </c>
      <c r="W396" s="1263">
        <v>10.768503068056654</v>
      </c>
      <c r="X396" s="643"/>
      <c r="Y396" s="643"/>
      <c r="Z396" s="643"/>
      <c r="AA396" s="643"/>
      <c r="AB396" s="643"/>
      <c r="AC396" s="643"/>
      <c r="AD396" s="1374"/>
      <c r="AE396" s="1374"/>
      <c r="AF396" s="1374"/>
      <c r="AG396" s="206"/>
      <c r="AH396" s="1374"/>
      <c r="AI396" s="1374"/>
      <c r="AJ396" s="1374"/>
      <c r="AK396" s="1374"/>
      <c r="AL396" s="1374"/>
      <c r="AM396" s="911"/>
      <c r="AN396" s="1374"/>
      <c r="AO396" s="1439"/>
    </row>
    <row r="397" spans="1:41" x14ac:dyDescent="0.3">
      <c r="A397" s="1095">
        <v>41122</v>
      </c>
      <c r="B397" s="1263">
        <v>2.2433534266808932</v>
      </c>
      <c r="C397" s="1263">
        <v>2.8609567992084264</v>
      </c>
      <c r="D397" s="1263">
        <v>10.264159788605594</v>
      </c>
      <c r="E397" s="1263">
        <v>3.4676329731064883</v>
      </c>
      <c r="F397" s="1263">
        <v>6.2443261157796055</v>
      </c>
      <c r="G397" s="1263">
        <v>8.0635392361248446</v>
      </c>
      <c r="H397" s="1263">
        <v>4.1464947697959058</v>
      </c>
      <c r="I397" s="1263">
        <v>5.163345842380922</v>
      </c>
      <c r="J397" s="1263">
        <v>0.30426048499518188</v>
      </c>
      <c r="K397" s="1263">
        <v>5.1451810373065836</v>
      </c>
      <c r="L397" s="589"/>
      <c r="M397" s="1077">
        <v>41122</v>
      </c>
      <c r="N397" s="1263">
        <v>3.6430666918473062</v>
      </c>
      <c r="O397" s="1263">
        <v>6.8326311577866825</v>
      </c>
      <c r="P397" s="1263">
        <v>3.1833067660221444</v>
      </c>
      <c r="Q397" s="1263">
        <v>10.359846614441691</v>
      </c>
      <c r="R397" s="1263">
        <v>3.4251836471754649</v>
      </c>
      <c r="S397" s="1263">
        <v>8.1438366434381209</v>
      </c>
      <c r="T397" s="1263">
        <v>8.3100373912633891</v>
      </c>
      <c r="U397" s="1263">
        <v>4.7367213130201309</v>
      </c>
      <c r="V397" s="1263">
        <v>0.19709512955153891</v>
      </c>
      <c r="W397" s="1263">
        <v>11.080049855017851</v>
      </c>
      <c r="X397" s="643"/>
      <c r="Y397" s="643"/>
      <c r="Z397" s="643"/>
      <c r="AA397" s="643"/>
      <c r="AB397" s="643"/>
      <c r="AC397" s="643"/>
      <c r="AD397" s="1374"/>
      <c r="AE397" s="1374"/>
      <c r="AF397" s="1374"/>
      <c r="AG397" s="206"/>
      <c r="AH397" s="1374"/>
      <c r="AI397" s="1374"/>
      <c r="AJ397" s="1374"/>
      <c r="AK397" s="1374"/>
      <c r="AL397" s="1374"/>
      <c r="AM397" s="911"/>
      <c r="AN397" s="1374"/>
      <c r="AO397" s="1439"/>
    </row>
    <row r="398" spans="1:41" x14ac:dyDescent="0.3">
      <c r="A398" s="1095">
        <v>41153</v>
      </c>
      <c r="B398" s="1263">
        <v>2.1023073242494501</v>
      </c>
      <c r="C398" s="1263">
        <v>2.6810801908444404</v>
      </c>
      <c r="D398" s="1263">
        <v>9.7795150675624924</v>
      </c>
      <c r="E398" s="1263">
        <v>3.0904766536372592</v>
      </c>
      <c r="F398" s="1263">
        <v>6.1331356386270537</v>
      </c>
      <c r="G398" s="1263">
        <v>7.9199546829514693</v>
      </c>
      <c r="H398" s="1263">
        <v>4.0726596235502477</v>
      </c>
      <c r="I398" s="1263">
        <v>4.8387113920478226</v>
      </c>
      <c r="J398" s="1263">
        <v>0.28513075045488495</v>
      </c>
      <c r="K398" s="1263">
        <v>4.8216886606773821</v>
      </c>
      <c r="L398" s="589"/>
      <c r="M398" s="1077">
        <v>41153</v>
      </c>
      <c r="N398" s="1263">
        <v>3.6356706722565089</v>
      </c>
      <c r="O398" s="1263">
        <v>6.7085926813645402</v>
      </c>
      <c r="P398" s="1263">
        <v>3.0090154988245761</v>
      </c>
      <c r="Q398" s="1263">
        <v>10.266050642634621</v>
      </c>
      <c r="R398" s="1263">
        <v>3.3449811081865706</v>
      </c>
      <c r="S398" s="1263">
        <v>8.0701039811084989</v>
      </c>
      <c r="T398" s="1263">
        <v>8.2347999807229577</v>
      </c>
      <c r="U398" s="1263">
        <v>4.6938359890120855</v>
      </c>
      <c r="V398" s="1263">
        <v>0.19351709657782326</v>
      </c>
      <c r="W398" s="1263">
        <v>10.97973330763061</v>
      </c>
      <c r="X398" s="643"/>
      <c r="Y398" s="643"/>
      <c r="Z398" s="643"/>
      <c r="AA398" s="643"/>
      <c r="AB398" s="643"/>
      <c r="AC398" s="643"/>
      <c r="AD398" s="1374"/>
      <c r="AE398" s="1374"/>
      <c r="AF398" s="1374"/>
      <c r="AG398" s="206"/>
      <c r="AH398" s="1374"/>
      <c r="AI398" s="1374"/>
      <c r="AJ398" s="1374"/>
      <c r="AK398" s="1374"/>
      <c r="AL398" s="1374"/>
      <c r="AM398" s="911"/>
      <c r="AN398" s="1374"/>
      <c r="AO398" s="1439"/>
    </row>
    <row r="399" spans="1:41" x14ac:dyDescent="0.3">
      <c r="A399" s="1095">
        <v>41183</v>
      </c>
      <c r="B399" s="1263">
        <v>2.3710238950952229</v>
      </c>
      <c r="C399" s="1263">
        <v>3.0237754127732606</v>
      </c>
      <c r="D399" s="1263">
        <v>9.765090132663051</v>
      </c>
      <c r="E399" s="1263">
        <v>3.6054021286253959</v>
      </c>
      <c r="F399" s="1263">
        <v>6.7763899228109272</v>
      </c>
      <c r="G399" s="1263">
        <v>8.7506137585904895</v>
      </c>
      <c r="H399" s="1263">
        <v>4.4998074815516134</v>
      </c>
      <c r="I399" s="1263">
        <v>5.4571946735288837</v>
      </c>
      <c r="J399" s="1263">
        <v>0.32157611532668007</v>
      </c>
      <c r="K399" s="1263">
        <v>5.4379960994795304</v>
      </c>
      <c r="L399" s="589"/>
      <c r="M399" s="1077">
        <v>41183</v>
      </c>
      <c r="N399" s="1263">
        <v>5.0068450599473193</v>
      </c>
      <c r="O399" s="1263">
        <v>9.9108641055631672</v>
      </c>
      <c r="P399" s="1263">
        <v>7.0917755749075866</v>
      </c>
      <c r="Q399" s="1263">
        <v>15.647181637733087</v>
      </c>
      <c r="R399" s="1263">
        <v>7.1225505796178812</v>
      </c>
      <c r="S399" s="1263">
        <v>12.300190913084297</v>
      </c>
      <c r="T399" s="1263">
        <v>12.551215217432956</v>
      </c>
      <c r="U399" s="1263">
        <v>7.1541926739367847</v>
      </c>
      <c r="V399" s="1263">
        <v>0.28589031073739901</v>
      </c>
      <c r="W399" s="1263">
        <v>16.734953623243943</v>
      </c>
      <c r="X399" s="643"/>
      <c r="Y399" s="643"/>
      <c r="Z399" s="643"/>
      <c r="AA399" s="643"/>
      <c r="AB399" s="643"/>
      <c r="AC399" s="643"/>
      <c r="AD399" s="1374"/>
      <c r="AE399" s="1374"/>
      <c r="AF399" s="1374"/>
      <c r="AG399" s="206"/>
      <c r="AH399" s="1374"/>
      <c r="AI399" s="1374"/>
      <c r="AJ399" s="1374"/>
      <c r="AK399" s="1374"/>
      <c r="AL399" s="1374"/>
      <c r="AM399" s="911"/>
      <c r="AN399" s="1374"/>
      <c r="AO399" s="1439"/>
    </row>
    <row r="400" spans="1:41" x14ac:dyDescent="0.3">
      <c r="A400" s="1095">
        <v>41214</v>
      </c>
      <c r="B400" s="1263">
        <v>2.4696510958865123</v>
      </c>
      <c r="C400" s="1263">
        <v>3.1495550413127589</v>
      </c>
      <c r="D400" s="1263">
        <v>8.4849261235543114</v>
      </c>
      <c r="E400" s="1263">
        <v>3.9329466096262102</v>
      </c>
      <c r="F400" s="1263">
        <v>7.1473472327953065</v>
      </c>
      <c r="G400" s="1263">
        <v>9.2296452454994515</v>
      </c>
      <c r="H400" s="1263">
        <v>4.7461387136409776</v>
      </c>
      <c r="I400" s="1263">
        <v>5.6841969555120739</v>
      </c>
      <c r="J400" s="1263">
        <v>0.33495267899675374</v>
      </c>
      <c r="K400" s="1263">
        <v>5.6641997806465962</v>
      </c>
      <c r="L400" s="589"/>
      <c r="M400" s="1077">
        <v>41214</v>
      </c>
      <c r="N400" s="1263">
        <v>9.7887299654660573</v>
      </c>
      <c r="O400" s="1263">
        <v>10.914412418443739</v>
      </c>
      <c r="P400" s="1263">
        <v>10.246914064915114</v>
      </c>
      <c r="Q400" s="1263">
        <v>18.552548837055429</v>
      </c>
      <c r="R400" s="1263">
        <v>10.933782201981666</v>
      </c>
      <c r="S400" s="1263">
        <v>14.584089192765495</v>
      </c>
      <c r="T400" s="1263">
        <v>14.88172366608724</v>
      </c>
      <c r="U400" s="1263">
        <v>8.4825824896697259</v>
      </c>
      <c r="V400" s="1263">
        <v>0.31483881976280015</v>
      </c>
      <c r="W400" s="1263">
        <v>19.842298221449653</v>
      </c>
      <c r="X400" s="643"/>
      <c r="Y400" s="643"/>
      <c r="Z400" s="643"/>
      <c r="AA400" s="643"/>
      <c r="AB400" s="643"/>
      <c r="AC400" s="643"/>
      <c r="AD400" s="1374"/>
      <c r="AE400" s="1374"/>
      <c r="AF400" s="1374"/>
      <c r="AG400" s="206"/>
      <c r="AH400" s="1374"/>
      <c r="AI400" s="1374"/>
      <c r="AJ400" s="1374"/>
      <c r="AK400" s="1374"/>
      <c r="AL400" s="1374"/>
      <c r="AM400" s="911"/>
      <c r="AN400" s="1374"/>
      <c r="AO400" s="1439"/>
    </row>
    <row r="401" spans="1:41" x14ac:dyDescent="0.3">
      <c r="A401" s="1095">
        <v>41244</v>
      </c>
      <c r="B401" s="1263">
        <v>2.7926725351236952</v>
      </c>
      <c r="C401" s="1263">
        <v>3.5615054597731337</v>
      </c>
      <c r="D401" s="1263">
        <v>10.590556776510052</v>
      </c>
      <c r="E401" s="1263">
        <v>4.4064763073988562</v>
      </c>
      <c r="F401" s="1263">
        <v>8.6194896073601708</v>
      </c>
      <c r="G401" s="1263">
        <v>11.130679492969039</v>
      </c>
      <c r="H401" s="1263">
        <v>5.7237030726039979</v>
      </c>
      <c r="I401" s="1263">
        <v>6.4276693774000835</v>
      </c>
      <c r="J401" s="1263">
        <v>0.37876327905523799</v>
      </c>
      <c r="K401" s="1263">
        <v>6.4050566443221593</v>
      </c>
      <c r="L401" s="589"/>
      <c r="M401" s="1077">
        <v>41244</v>
      </c>
      <c r="N401" s="1263">
        <v>12.007075160136079</v>
      </c>
      <c r="O401" s="1263">
        <v>11.833642042340699</v>
      </c>
      <c r="P401" s="1263">
        <v>12.247899410493913</v>
      </c>
      <c r="Q401" s="1263">
        <v>20.910008596089344</v>
      </c>
      <c r="R401" s="1263">
        <v>13.403190706533756</v>
      </c>
      <c r="S401" s="1263">
        <v>16.43727948462638</v>
      </c>
      <c r="T401" s="1263">
        <v>16.772734167986105</v>
      </c>
      <c r="U401" s="1263">
        <v>9.5604584757520801</v>
      </c>
      <c r="V401" s="1263">
        <v>0.31036343933065741</v>
      </c>
      <c r="W401" s="1263">
        <v>22.363645557314804</v>
      </c>
      <c r="X401" s="643"/>
      <c r="Y401" s="643"/>
      <c r="Z401" s="643"/>
      <c r="AA401" s="643"/>
      <c r="AB401" s="643"/>
      <c r="AC401" s="643"/>
      <c r="AD401" s="1374"/>
      <c r="AE401" s="1374"/>
      <c r="AF401" s="1374"/>
      <c r="AG401" s="206"/>
      <c r="AH401" s="1374"/>
      <c r="AI401" s="1374"/>
      <c r="AJ401" s="1374"/>
      <c r="AK401" s="1374"/>
      <c r="AL401" s="1374"/>
      <c r="AM401" s="911"/>
      <c r="AN401" s="1374"/>
      <c r="AO401" s="1439"/>
    </row>
    <row r="402" spans="1:41" x14ac:dyDescent="0.3">
      <c r="A402" s="1095">
        <v>41275</v>
      </c>
      <c r="B402" s="1263">
        <v>3.7039539905062773</v>
      </c>
      <c r="C402" s="1263">
        <v>3.3623789827362458</v>
      </c>
      <c r="D402" s="1263">
        <v>10.291058778873445</v>
      </c>
      <c r="E402" s="1263">
        <v>4.5686080737289654</v>
      </c>
      <c r="F402" s="1263">
        <v>8.1338714030592634</v>
      </c>
      <c r="G402" s="1263">
        <v>10.503581969304875</v>
      </c>
      <c r="H402" s="1263">
        <v>5.4012321915327917</v>
      </c>
      <c r="I402" s="1263">
        <v>6.0682934974144631</v>
      </c>
      <c r="J402" s="1263">
        <v>0.35758633625925157</v>
      </c>
      <c r="K402" s="1263">
        <v>6.0469450594288361</v>
      </c>
      <c r="L402" s="589"/>
      <c r="M402" s="1077">
        <v>41275</v>
      </c>
      <c r="N402" s="1263">
        <v>15.999956929640465</v>
      </c>
      <c r="O402" s="1263">
        <v>13.707481277060138</v>
      </c>
      <c r="P402" s="1263">
        <v>10.626365902588628</v>
      </c>
      <c r="Q402" s="1263">
        <v>21.204959410398295</v>
      </c>
      <c r="R402" s="1263">
        <v>10.791506852959593</v>
      </c>
      <c r="S402" s="1263">
        <v>16.669139215660692</v>
      </c>
      <c r="T402" s="1263">
        <v>17.009325730266013</v>
      </c>
      <c r="U402" s="1263">
        <v>9.6953156662516271</v>
      </c>
      <c r="V402" s="1263">
        <v>0.3954081137613501</v>
      </c>
      <c r="W402" s="1263">
        <v>22.679100973688016</v>
      </c>
      <c r="X402" s="643"/>
      <c r="Y402" s="643"/>
      <c r="Z402" s="643"/>
      <c r="AA402" s="643"/>
      <c r="AB402" s="643"/>
      <c r="AC402" s="643"/>
      <c r="AD402" s="1374"/>
      <c r="AE402" s="1374"/>
      <c r="AF402" s="1374"/>
      <c r="AG402" s="206"/>
      <c r="AH402" s="1374"/>
      <c r="AI402" s="1374"/>
      <c r="AJ402" s="1374"/>
      <c r="AK402" s="1374"/>
      <c r="AL402" s="1374"/>
      <c r="AM402" s="911"/>
      <c r="AN402" s="1374"/>
      <c r="AO402" s="1439"/>
    </row>
    <row r="403" spans="1:41" x14ac:dyDescent="0.3">
      <c r="A403" s="1095">
        <v>41306</v>
      </c>
      <c r="B403" s="1263">
        <v>3.1265582691691014</v>
      </c>
      <c r="C403" s="1263">
        <v>2.8382301290728158</v>
      </c>
      <c r="D403" s="1263">
        <v>7.8251474165372255</v>
      </c>
      <c r="E403" s="1263">
        <v>3.7710690662809272</v>
      </c>
      <c r="F403" s="1263">
        <v>7.065766924574401</v>
      </c>
      <c r="G403" s="1263">
        <v>9.1242974459071</v>
      </c>
      <c r="H403" s="1263">
        <v>4.6919659630375943</v>
      </c>
      <c r="I403" s="1263">
        <v>5.1223296138980805</v>
      </c>
      <c r="J403" s="1263">
        <v>0.30184352166329942</v>
      </c>
      <c r="K403" s="1263">
        <v>5.1043091051420628</v>
      </c>
      <c r="L403" s="589"/>
      <c r="M403" s="1077">
        <v>41306</v>
      </c>
      <c r="N403" s="1263">
        <v>13.687362511742332</v>
      </c>
      <c r="O403" s="1263">
        <v>11.281701948898768</v>
      </c>
      <c r="P403" s="1263">
        <v>8.6693985840711942</v>
      </c>
      <c r="Q403" s="1263">
        <v>17.341000402868229</v>
      </c>
      <c r="R403" s="1263">
        <v>8.7341409273042423</v>
      </c>
      <c r="S403" s="1263">
        <v>13.690263475948601</v>
      </c>
      <c r="T403" s="1263">
        <v>13.690263475948601</v>
      </c>
      <c r="U403" s="1263">
        <v>8.1228896623961706</v>
      </c>
      <c r="V403" s="1263">
        <v>0.28835020955651808</v>
      </c>
      <c r="W403" s="1263">
        <v>18.710026750463086</v>
      </c>
      <c r="X403" s="643"/>
      <c r="Y403" s="643"/>
      <c r="Z403" s="643"/>
      <c r="AA403" s="643"/>
      <c r="AB403" s="643"/>
      <c r="AC403" s="643"/>
      <c r="AD403" s="1374"/>
      <c r="AE403" s="1374"/>
      <c r="AF403" s="1374"/>
      <c r="AG403" s="206"/>
      <c r="AH403" s="1374"/>
      <c r="AI403" s="1374"/>
      <c r="AJ403" s="1374"/>
      <c r="AK403" s="1374"/>
      <c r="AL403" s="1374"/>
      <c r="AM403" s="911"/>
      <c r="AN403" s="1374"/>
      <c r="AO403" s="1439"/>
    </row>
    <row r="404" spans="1:41" x14ac:dyDescent="0.3">
      <c r="A404" s="1095">
        <v>41334</v>
      </c>
      <c r="B404" s="1263">
        <v>3.3992487767077919</v>
      </c>
      <c r="C404" s="1263">
        <v>3.0857733851958344</v>
      </c>
      <c r="D404" s="1263">
        <v>8.1549923475525539</v>
      </c>
      <c r="E404" s="1263">
        <v>4.0350804331632917</v>
      </c>
      <c r="F404" s="1263">
        <v>0.68244837510854162</v>
      </c>
      <c r="G404" s="1263">
        <v>8.9901199280965223</v>
      </c>
      <c r="H404" s="1263">
        <v>5.8144601559247748</v>
      </c>
      <c r="I404" s="1263">
        <v>5.5690862523296252</v>
      </c>
      <c r="J404" s="1263">
        <v>0.32816955048908081</v>
      </c>
      <c r="K404" s="1263">
        <v>5.5494940403601278</v>
      </c>
      <c r="L404" s="589"/>
      <c r="M404" s="1077">
        <v>41334</v>
      </c>
      <c r="N404" s="1263">
        <v>11.762743551267205</v>
      </c>
      <c r="O404" s="1263">
        <v>13.040739223050227</v>
      </c>
      <c r="P404" s="1263">
        <v>9.410140430183306</v>
      </c>
      <c r="Q404" s="1263">
        <v>19.250186449106835</v>
      </c>
      <c r="R404" s="1263">
        <v>9.5462226883025707</v>
      </c>
      <c r="S404" s="1263">
        <v>15.197515617715922</v>
      </c>
      <c r="T404" s="1263">
        <v>15.197515617715922</v>
      </c>
      <c r="U404" s="1263">
        <v>9.0171925998447797</v>
      </c>
      <c r="V404" s="1263">
        <v>0.3333096287041592</v>
      </c>
      <c r="W404" s="1263">
        <v>20.769938010878427</v>
      </c>
      <c r="X404" s="643"/>
      <c r="Y404" s="643"/>
      <c r="Z404" s="643"/>
      <c r="AA404" s="643"/>
      <c r="AB404" s="643"/>
      <c r="AC404" s="643"/>
      <c r="AD404" s="1374"/>
      <c r="AE404" s="1374"/>
      <c r="AF404" s="1374"/>
      <c r="AG404" s="206"/>
      <c r="AH404" s="1374"/>
      <c r="AI404" s="1374"/>
      <c r="AJ404" s="1374"/>
      <c r="AK404" s="1374"/>
      <c r="AL404" s="1374"/>
      <c r="AM404" s="911"/>
      <c r="AN404" s="1374"/>
      <c r="AO404" s="1439"/>
    </row>
    <row r="405" spans="1:41" x14ac:dyDescent="0.3">
      <c r="A405" s="1095">
        <v>41365</v>
      </c>
      <c r="B405" s="1263">
        <v>3.2360759707361519</v>
      </c>
      <c r="C405" s="1263">
        <v>2.9376482155097632</v>
      </c>
      <c r="D405" s="1263">
        <v>8.6768218861640278</v>
      </c>
      <c r="E405" s="1263">
        <v>3.6349510452882718</v>
      </c>
      <c r="F405" s="1263">
        <v>0.66318184621267406</v>
      </c>
      <c r="G405" s="1263">
        <v>8.7363155207749603</v>
      </c>
      <c r="H405" s="1263">
        <v>5.6503093297319831</v>
      </c>
      <c r="I405" s="1263">
        <v>5.3017555889438119</v>
      </c>
      <c r="J405" s="1263">
        <v>0.31241655625262565</v>
      </c>
      <c r="K405" s="1263">
        <v>5.283103854242162</v>
      </c>
      <c r="L405" s="589"/>
      <c r="M405" s="1077">
        <v>41365</v>
      </c>
      <c r="N405" s="1263">
        <v>12.553507406036562</v>
      </c>
      <c r="O405" s="1263">
        <v>11.816612487913511</v>
      </c>
      <c r="P405" s="1263">
        <v>8.8046370367529434</v>
      </c>
      <c r="Q405" s="1263">
        <v>18.544340327923173</v>
      </c>
      <c r="R405" s="1263">
        <v>9.0195807245717834</v>
      </c>
      <c r="S405" s="1263">
        <v>14.640268679939346</v>
      </c>
      <c r="T405" s="1263">
        <v>14.640268679939345</v>
      </c>
      <c r="U405" s="1263">
        <v>8.6865594167640108</v>
      </c>
      <c r="V405" s="1263">
        <v>0.30202204441951469</v>
      </c>
      <c r="W405" s="1263">
        <v>20.008367195917106</v>
      </c>
      <c r="X405" s="643"/>
      <c r="Y405" s="643"/>
      <c r="Z405" s="643"/>
      <c r="AA405" s="643"/>
      <c r="AB405" s="643"/>
      <c r="AC405" s="643"/>
      <c r="AD405" s="1374"/>
      <c r="AE405" s="1374"/>
      <c r="AF405" s="1374"/>
      <c r="AG405" s="206"/>
      <c r="AH405" s="1374"/>
      <c r="AI405" s="1374"/>
      <c r="AJ405" s="1374"/>
      <c r="AK405" s="1374"/>
      <c r="AL405" s="1374"/>
      <c r="AM405" s="911"/>
      <c r="AN405" s="1374"/>
      <c r="AO405" s="1439"/>
    </row>
    <row r="406" spans="1:41" x14ac:dyDescent="0.3">
      <c r="A406" s="1095">
        <v>41395</v>
      </c>
      <c r="B406" s="1263">
        <v>3.1143036563467632</v>
      </c>
      <c r="C406" s="1263">
        <v>2.8271056246375519</v>
      </c>
      <c r="D406" s="1263">
        <v>7.2796405331854315</v>
      </c>
      <c r="E406" s="1263">
        <v>3.4017197951083054</v>
      </c>
      <c r="F406" s="1263">
        <v>0.6708032549684253</v>
      </c>
      <c r="G406" s="1263">
        <v>8.8367148787840559</v>
      </c>
      <c r="H406" s="1263">
        <v>5.7152437323309835</v>
      </c>
      <c r="I406" s="1263">
        <v>5.1022525320839618</v>
      </c>
      <c r="J406" s="1263">
        <v>0.30066043944558091</v>
      </c>
      <c r="K406" s="1263">
        <v>5.0843026551021362</v>
      </c>
      <c r="L406" s="589"/>
      <c r="M406" s="1077">
        <v>41395</v>
      </c>
      <c r="N406" s="1263">
        <v>9.4908622434443046</v>
      </c>
      <c r="O406" s="1263">
        <v>9.4137626204642224</v>
      </c>
      <c r="P406" s="1263">
        <v>5.6867900516602088</v>
      </c>
      <c r="Q406" s="1263">
        <v>13.018079432331859</v>
      </c>
      <c r="R406" s="1263">
        <v>4.927619569361994</v>
      </c>
      <c r="S406" s="1263">
        <v>10.27743113078831</v>
      </c>
      <c r="T406" s="1263">
        <v>10.27743113078831</v>
      </c>
      <c r="U406" s="1263">
        <v>6.097942470934397</v>
      </c>
      <c r="V406" s="1263">
        <v>0.24060735132176927</v>
      </c>
      <c r="W406" s="1263">
        <v>14.045822545410688</v>
      </c>
      <c r="X406" s="643"/>
      <c r="Y406" s="643"/>
      <c r="Z406" s="643"/>
      <c r="AA406" s="643"/>
      <c r="AB406" s="643"/>
      <c r="AC406" s="643"/>
      <c r="AD406" s="1374"/>
      <c r="AE406" s="1374"/>
      <c r="AF406" s="1374"/>
      <c r="AG406" s="206"/>
      <c r="AH406" s="1374"/>
      <c r="AI406" s="1374"/>
      <c r="AJ406" s="1374"/>
      <c r="AK406" s="1374"/>
      <c r="AL406" s="1374"/>
      <c r="AM406" s="911"/>
      <c r="AN406" s="1374"/>
      <c r="AO406" s="1439"/>
    </row>
    <row r="407" spans="1:41" x14ac:dyDescent="0.3">
      <c r="A407" s="1095">
        <v>41426</v>
      </c>
      <c r="B407" s="1263">
        <v>3.0813484587450213</v>
      </c>
      <c r="C407" s="1263">
        <v>2.7971895230682469</v>
      </c>
      <c r="D407" s="1263">
        <v>7.4856700845772153</v>
      </c>
      <c r="E407" s="1263">
        <v>3.3291055466684547</v>
      </c>
      <c r="F407" s="1263">
        <v>0.58231101095667215</v>
      </c>
      <c r="G407" s="1263">
        <v>7.6709770510025619</v>
      </c>
      <c r="H407" s="1263">
        <v>4.961289813350847</v>
      </c>
      <c r="I407" s="1263">
        <v>5.0482610916326935</v>
      </c>
      <c r="J407" s="1263">
        <v>0.29747888578662313</v>
      </c>
      <c r="K407" s="1263">
        <v>5.0305011581528953</v>
      </c>
      <c r="L407" s="589"/>
      <c r="M407" s="1077">
        <v>41426</v>
      </c>
      <c r="N407" s="1263">
        <v>7.0822260078070247</v>
      </c>
      <c r="O407" s="1263">
        <v>8.6181720851410191</v>
      </c>
      <c r="P407" s="1263">
        <v>4.7986581469404683</v>
      </c>
      <c r="Q407" s="1263">
        <v>11.692958831016622</v>
      </c>
      <c r="R407" s="1263">
        <v>4.3767250016327797</v>
      </c>
      <c r="S407" s="1263">
        <v>9.2312832876447004</v>
      </c>
      <c r="T407" s="1263">
        <v>9.2312832876447004</v>
      </c>
      <c r="U407" s="1263">
        <v>5.4772280840025225</v>
      </c>
      <c r="V407" s="1263">
        <v>0.22027276894929126</v>
      </c>
      <c r="W407" s="1263">
        <v>12.61608715978109</v>
      </c>
      <c r="X407" s="643"/>
      <c r="Y407" s="643"/>
      <c r="Z407" s="643"/>
      <c r="AA407" s="643"/>
      <c r="AB407" s="643"/>
      <c r="AC407" s="643"/>
      <c r="AD407" s="1374"/>
      <c r="AE407" s="1374"/>
      <c r="AF407" s="1374"/>
      <c r="AG407" s="206"/>
      <c r="AH407" s="1374"/>
      <c r="AI407" s="1374"/>
      <c r="AJ407" s="1374"/>
      <c r="AK407" s="1374"/>
      <c r="AL407" s="1374"/>
      <c r="AM407" s="911"/>
      <c r="AN407" s="1374"/>
      <c r="AO407" s="1439"/>
    </row>
    <row r="408" spans="1:41" x14ac:dyDescent="0.3">
      <c r="A408" s="1095">
        <v>41456</v>
      </c>
      <c r="B408" s="1263">
        <v>3.8471924740080632</v>
      </c>
      <c r="C408" s="1263">
        <v>2.8644350744733158</v>
      </c>
      <c r="D408" s="1263">
        <v>9.6114259731432448</v>
      </c>
      <c r="E408" s="1263">
        <v>3.5886460409452896</v>
      </c>
      <c r="F408" s="1263">
        <v>0.64266674094900378</v>
      </c>
      <c r="G408" s="1263">
        <v>8.4660632007682093</v>
      </c>
      <c r="H408" s="1263">
        <v>5.4755206328855124</v>
      </c>
      <c r="I408" s="1263">
        <v>5.4773587765538529</v>
      </c>
      <c r="J408" s="1263">
        <v>0.45644656471282108</v>
      </c>
      <c r="K408" s="1263">
        <v>5.8313377451066533</v>
      </c>
      <c r="L408" s="589"/>
      <c r="M408" s="1077">
        <v>41456</v>
      </c>
      <c r="N408" s="1263">
        <v>6.4862248671374632</v>
      </c>
      <c r="O408" s="1263">
        <v>8.6122173677683485</v>
      </c>
      <c r="P408" s="1263">
        <v>4.0358761869557922</v>
      </c>
      <c r="Q408" s="1263">
        <v>11.920980763045488</v>
      </c>
      <c r="R408" s="1263">
        <v>3.7436039678758668</v>
      </c>
      <c r="S408" s="1263">
        <v>9.4113006024043333</v>
      </c>
      <c r="T408" s="1263">
        <v>9.4113006024043333</v>
      </c>
      <c r="U408" s="1263">
        <v>5.5840383574265715</v>
      </c>
      <c r="V408" s="1263">
        <v>0.22012057170014951</v>
      </c>
      <c r="W408" s="1263">
        <v>12.862110823285921</v>
      </c>
      <c r="X408" s="643"/>
      <c r="Y408" s="643"/>
      <c r="Z408" s="643"/>
      <c r="AA408" s="643"/>
      <c r="AB408" s="643"/>
      <c r="AC408" s="643"/>
      <c r="AD408" s="1374"/>
      <c r="AE408" s="1374"/>
      <c r="AF408" s="1374"/>
      <c r="AG408" s="206"/>
      <c r="AH408" s="1374"/>
      <c r="AI408" s="1374"/>
      <c r="AJ408" s="1374"/>
      <c r="AK408" s="1374"/>
      <c r="AL408" s="1374"/>
      <c r="AM408" s="911"/>
      <c r="AN408" s="1374"/>
      <c r="AO408" s="1439"/>
    </row>
    <row r="409" spans="1:41" x14ac:dyDescent="0.3">
      <c r="A409" s="1095">
        <v>41487</v>
      </c>
      <c r="B409" s="1263">
        <v>3.842159166316943</v>
      </c>
      <c r="C409" s="1263">
        <v>2.8606875148727848</v>
      </c>
      <c r="D409" s="1263">
        <v>9.7145889833651111</v>
      </c>
      <c r="E409" s="1263">
        <v>3.6388496396309638</v>
      </c>
      <c r="F409" s="1263">
        <v>0.61841625266696765</v>
      </c>
      <c r="G409" s="1263">
        <v>8.1466034351328531</v>
      </c>
      <c r="H409" s="1263">
        <v>5.2689064727225645</v>
      </c>
      <c r="I409" s="1263">
        <v>5.4701927113664954</v>
      </c>
      <c r="J409" s="1263">
        <v>0.45584939261387458</v>
      </c>
      <c r="K409" s="1263">
        <v>5.8237085668629689</v>
      </c>
      <c r="L409" s="589"/>
      <c r="M409" s="1077">
        <v>41487</v>
      </c>
      <c r="N409" s="1263">
        <v>5.9697722039469525</v>
      </c>
      <c r="O409" s="1263">
        <v>8.465002947958217</v>
      </c>
      <c r="P409" s="1263">
        <v>3.6046879514033088</v>
      </c>
      <c r="Q409" s="1263">
        <v>11.734405679400211</v>
      </c>
      <c r="R409" s="1263">
        <v>3.6496292164181945</v>
      </c>
      <c r="S409" s="1263">
        <v>9.2640044837370077</v>
      </c>
      <c r="T409" s="1263">
        <v>9.2640044837370077</v>
      </c>
      <c r="U409" s="1263">
        <v>5.4966426603506253</v>
      </c>
      <c r="V409" s="1263">
        <v>0.21635790282321321</v>
      </c>
      <c r="W409" s="1263">
        <v>12.660806127773911</v>
      </c>
      <c r="X409" s="643"/>
      <c r="Y409" s="643"/>
      <c r="Z409" s="643"/>
      <c r="AA409" s="643"/>
      <c r="AB409" s="643"/>
      <c r="AC409" s="643"/>
      <c r="AD409" s="1374"/>
      <c r="AE409" s="1374"/>
      <c r="AF409" s="1374"/>
      <c r="AG409" s="206"/>
      <c r="AH409" s="1374"/>
      <c r="AI409" s="1374"/>
      <c r="AJ409" s="1374"/>
      <c r="AK409" s="1374"/>
      <c r="AL409" s="1374"/>
      <c r="AM409" s="911"/>
      <c r="AN409" s="1374"/>
      <c r="AO409" s="1439"/>
    </row>
    <row r="410" spans="1:41" x14ac:dyDescent="0.3">
      <c r="A410" s="1095">
        <v>41518</v>
      </c>
      <c r="B410" s="1263">
        <v>3.7225563692435486</v>
      </c>
      <c r="C410" s="1263">
        <v>2.771637006155911</v>
      </c>
      <c r="D410" s="1263">
        <v>9.571149251182689</v>
      </c>
      <c r="E410" s="1263">
        <v>3.4043243000338705</v>
      </c>
      <c r="F410" s="1263">
        <v>0.61928922327745017</v>
      </c>
      <c r="G410" s="1263">
        <v>8.1581033679749435</v>
      </c>
      <c r="H410" s="1263">
        <v>5.276344182323875</v>
      </c>
      <c r="I410" s="1263">
        <v>5.2999107629908151</v>
      </c>
      <c r="J410" s="1263">
        <v>0.44165923024923459</v>
      </c>
      <c r="K410" s="1263">
        <v>5.6424220027759366</v>
      </c>
      <c r="L410" s="589"/>
      <c r="M410" s="1077">
        <v>41518</v>
      </c>
      <c r="N410" s="1263">
        <v>5.6630165462124138</v>
      </c>
      <c r="O410" s="1263">
        <v>8.9584904400325467</v>
      </c>
      <c r="P410" s="1263">
        <v>4.4628333484437261</v>
      </c>
      <c r="Q410" s="1263">
        <v>12.333521518962975</v>
      </c>
      <c r="R410" s="1263">
        <v>4.2968000005986866</v>
      </c>
      <c r="S410" s="1263">
        <v>9.736990672865506</v>
      </c>
      <c r="T410" s="1263">
        <v>9.736990672865506</v>
      </c>
      <c r="U410" s="1263">
        <v>5.7772811325668672</v>
      </c>
      <c r="V410" s="1263">
        <v>0.22897100166217371</v>
      </c>
      <c r="W410" s="1263">
        <v>13.307220586249525</v>
      </c>
      <c r="X410" s="643"/>
      <c r="Y410" s="643"/>
      <c r="Z410" s="643"/>
      <c r="AA410" s="643"/>
      <c r="AB410" s="643"/>
      <c r="AC410" s="643"/>
      <c r="AD410" s="1374"/>
      <c r="AE410" s="1374"/>
      <c r="AF410" s="1374"/>
      <c r="AG410" s="206"/>
      <c r="AH410" s="1374"/>
      <c r="AI410" s="1374"/>
      <c r="AJ410" s="1374"/>
      <c r="AK410" s="1374"/>
      <c r="AL410" s="1374"/>
      <c r="AM410" s="911"/>
      <c r="AN410" s="1374"/>
      <c r="AO410" s="1439"/>
    </row>
    <row r="411" spans="1:41" x14ac:dyDescent="0.3">
      <c r="A411" s="1095">
        <v>41548</v>
      </c>
      <c r="B411" s="1263">
        <v>3.9645069359557654</v>
      </c>
      <c r="C411" s="1263">
        <v>2.9517817985627071</v>
      </c>
      <c r="D411" s="1263">
        <v>9.2550601651353706</v>
      </c>
      <c r="E411" s="1263">
        <v>3.7091586786392901</v>
      </c>
      <c r="F411" s="1263">
        <v>0.68367930231215512</v>
      </c>
      <c r="G411" s="1263">
        <v>9.0063353424587902</v>
      </c>
      <c r="H411" s="1263">
        <v>5.8249476556995621</v>
      </c>
      <c r="I411" s="1263">
        <v>5.6443827562760056</v>
      </c>
      <c r="J411" s="1263">
        <v>0.4703652296896671</v>
      </c>
      <c r="K411" s="1263">
        <v>6.0091557915455436</v>
      </c>
      <c r="L411" s="589"/>
      <c r="M411" s="1077">
        <v>41548</v>
      </c>
      <c r="N411" s="1263">
        <v>7.5947303679687161</v>
      </c>
      <c r="O411" s="1263">
        <v>11.533914493432922</v>
      </c>
      <c r="P411" s="1263">
        <v>6.9153164627392005</v>
      </c>
      <c r="Q411" s="1263">
        <v>15.599256015832728</v>
      </c>
      <c r="R411" s="1263">
        <v>6.4383702541698504</v>
      </c>
      <c r="S411" s="1263">
        <v>12.315202117762679</v>
      </c>
      <c r="T411" s="1263">
        <v>12.315202117762679</v>
      </c>
      <c r="U411" s="1263">
        <v>7.3070199232058561</v>
      </c>
      <c r="V411" s="1263">
        <v>0.29479653657336541</v>
      </c>
      <c r="W411" s="1263">
        <v>16.830776227608993</v>
      </c>
      <c r="X411" s="643"/>
      <c r="Y411" s="643"/>
      <c r="Z411" s="643"/>
      <c r="AA411" s="643"/>
      <c r="AB411" s="643"/>
      <c r="AC411" s="643"/>
      <c r="AD411" s="1374"/>
      <c r="AE411" s="1374"/>
      <c r="AF411" s="1374"/>
      <c r="AG411" s="206"/>
      <c r="AH411" s="1374"/>
      <c r="AI411" s="1374"/>
      <c r="AJ411" s="1374"/>
      <c r="AK411" s="1374"/>
      <c r="AL411" s="1374"/>
      <c r="AM411" s="911"/>
      <c r="AN411" s="1374"/>
      <c r="AO411" s="1439"/>
    </row>
    <row r="412" spans="1:41" x14ac:dyDescent="0.3">
      <c r="A412" s="1095">
        <v>41579</v>
      </c>
      <c r="B412" s="1263">
        <v>4.2893395632052647</v>
      </c>
      <c r="C412" s="1263">
        <v>3.1936365997230483</v>
      </c>
      <c r="D412" s="1263">
        <v>9.7756067519161967</v>
      </c>
      <c r="E412" s="1263">
        <v>4.1625509334572461</v>
      </c>
      <c r="F412" s="1263">
        <v>0.72344398974398705</v>
      </c>
      <c r="G412" s="1263">
        <v>9.5301688248941225</v>
      </c>
      <c r="H412" s="1263">
        <v>6.1637427926187698</v>
      </c>
      <c r="I412" s="1263">
        <v>6.1068563272752918</v>
      </c>
      <c r="J412" s="1263">
        <v>0.50890469393960769</v>
      </c>
      <c r="K412" s="1263">
        <v>6.5015171103304983</v>
      </c>
      <c r="L412" s="589"/>
      <c r="M412" s="1077">
        <v>41579</v>
      </c>
      <c r="N412" s="1263">
        <v>11.397395388407404</v>
      </c>
      <c r="O412" s="1263">
        <v>13.747735822542953</v>
      </c>
      <c r="P412" s="1263">
        <v>11.824840064344972</v>
      </c>
      <c r="Q412" s="1263">
        <v>19.480116423315582</v>
      </c>
      <c r="R412" s="1263">
        <v>11.266578061423202</v>
      </c>
      <c r="S412" s="1263">
        <v>15.379039281564932</v>
      </c>
      <c r="T412" s="1263">
        <v>15.379039281564932</v>
      </c>
      <c r="U412" s="1263">
        <v>9.1248966403951925</v>
      </c>
      <c r="V412" s="1263">
        <v>0.35137982933017137</v>
      </c>
      <c r="W412" s="1263">
        <v>21.018020351472074</v>
      </c>
      <c r="X412" s="643"/>
      <c r="Y412" s="643"/>
      <c r="Z412" s="643"/>
      <c r="AA412" s="643"/>
      <c r="AB412" s="643"/>
      <c r="AC412" s="643"/>
      <c r="AD412" s="1374"/>
      <c r="AE412" s="1374"/>
      <c r="AF412" s="1374"/>
      <c r="AG412" s="206"/>
      <c r="AH412" s="1374"/>
      <c r="AI412" s="1374"/>
      <c r="AJ412" s="1374"/>
      <c r="AK412" s="1374"/>
      <c r="AL412" s="1374"/>
      <c r="AM412" s="911"/>
      <c r="AN412" s="1374"/>
      <c r="AO412" s="1439"/>
    </row>
    <row r="413" spans="1:41" x14ac:dyDescent="0.3">
      <c r="A413" s="1095">
        <v>41609</v>
      </c>
      <c r="B413" s="1263">
        <v>4.9292737839541942</v>
      </c>
      <c r="C413" s="1263">
        <v>3.6701009408375658</v>
      </c>
      <c r="D413" s="1263">
        <v>11.202528470201209</v>
      </c>
      <c r="E413" s="1263">
        <v>4.8449440201562419</v>
      </c>
      <c r="F413" s="1263">
        <v>0.89022560243760507</v>
      </c>
      <c r="G413" s="1263">
        <v>11.727238602778051</v>
      </c>
      <c r="H413" s="1263">
        <v>7.5847221327683956</v>
      </c>
      <c r="I413" s="1263">
        <v>7.0179491161381753</v>
      </c>
      <c r="J413" s="1263">
        <v>0.58482909301151453</v>
      </c>
      <c r="K413" s="1263">
        <v>7.4714900454124109</v>
      </c>
      <c r="L413" s="589"/>
      <c r="M413" s="1077">
        <v>41609</v>
      </c>
      <c r="N413" s="1263">
        <v>14.60254916694363</v>
      </c>
      <c r="O413" s="1263">
        <v>16.284277363827229</v>
      </c>
      <c r="P413" s="1263">
        <v>14.169186131719329</v>
      </c>
      <c r="Q413" s="1263">
        <v>23.285872630733945</v>
      </c>
      <c r="R413" s="1263">
        <v>13.589916968581999</v>
      </c>
      <c r="S413" s="1263">
        <v>18.383583655842585</v>
      </c>
      <c r="T413" s="1263">
        <v>18.383583655842585</v>
      </c>
      <c r="U413" s="1263">
        <v>10.907592969133267</v>
      </c>
      <c r="V413" s="1263">
        <v>0.41621156201475346</v>
      </c>
      <c r="W413" s="1263">
        <v>25.1242309963182</v>
      </c>
      <c r="X413" s="643"/>
      <c r="Y413" s="643"/>
      <c r="Z413" s="643"/>
      <c r="AA413" s="643"/>
      <c r="AB413" s="643"/>
      <c r="AC413" s="643"/>
      <c r="AD413" s="1374"/>
      <c r="AE413" s="1374"/>
      <c r="AF413" s="1374"/>
      <c r="AG413" s="206"/>
      <c r="AH413" s="1374"/>
      <c r="AI413" s="1374"/>
      <c r="AJ413" s="1374"/>
      <c r="AK413" s="1374"/>
      <c r="AL413" s="1374"/>
      <c r="AM413" s="911"/>
      <c r="AN413" s="1374"/>
      <c r="AO413" s="1439"/>
    </row>
    <row r="414" spans="1:41" x14ac:dyDescent="0.3">
      <c r="A414" s="1095">
        <v>41640</v>
      </c>
      <c r="B414" s="1263">
        <v>5.3147479043397077</v>
      </c>
      <c r="C414" s="1263">
        <v>3.9571064905192737</v>
      </c>
      <c r="D414" s="1263">
        <v>10.602562097637659</v>
      </c>
      <c r="E414" s="1263">
        <v>4.5981516823650876</v>
      </c>
      <c r="F414" s="1263">
        <v>13.2573335474084</v>
      </c>
      <c r="G414" s="1263">
        <v>12.184414460315812</v>
      </c>
      <c r="H414" s="1263">
        <v>7.8804057086455508</v>
      </c>
      <c r="I414" s="1263">
        <v>7.5667597282124648</v>
      </c>
      <c r="J414" s="1263">
        <v>0.63056331068437199</v>
      </c>
      <c r="K414" s="1263">
        <v>8.0557680099676929</v>
      </c>
      <c r="L414" s="589"/>
      <c r="M414" s="1077">
        <v>41640</v>
      </c>
      <c r="N414" s="1263">
        <v>17.626915596828646</v>
      </c>
      <c r="O414" s="1263">
        <v>14.372811227698838</v>
      </c>
      <c r="P414" s="1263">
        <v>13.168260705700026</v>
      </c>
      <c r="Q414" s="1263">
        <v>20.517718510347361</v>
      </c>
      <c r="R414" s="1263">
        <v>12.685472793810114</v>
      </c>
      <c r="S414" s="1263">
        <v>16.198198823958446</v>
      </c>
      <c r="T414" s="1263">
        <v>16.198198823958442</v>
      </c>
      <c r="U414" s="1263">
        <v>9.6109313022153433</v>
      </c>
      <c r="V414" s="1263">
        <v>0.36735619751306936</v>
      </c>
      <c r="W414" s="1263">
        <v>22.137538392743206</v>
      </c>
      <c r="X414" s="643"/>
      <c r="Y414" s="643"/>
      <c r="Z414" s="643"/>
      <c r="AA414" s="643"/>
      <c r="AB414" s="643"/>
      <c r="AC414" s="643"/>
      <c r="AD414" s="1374"/>
      <c r="AE414" s="1374"/>
      <c r="AF414" s="1374"/>
      <c r="AG414" s="206"/>
      <c r="AH414" s="1374"/>
      <c r="AI414" s="1374"/>
      <c r="AJ414" s="1374"/>
      <c r="AK414" s="1374"/>
      <c r="AL414" s="1374"/>
      <c r="AM414" s="911"/>
      <c r="AN414" s="1374"/>
      <c r="AO414" s="1439"/>
    </row>
    <row r="415" spans="1:41" x14ac:dyDescent="0.3">
      <c r="A415" s="1095">
        <v>41671</v>
      </c>
      <c r="B415" s="1263">
        <v>4.9988121226386912</v>
      </c>
      <c r="C415" s="1263">
        <v>3.7218758540227546</v>
      </c>
      <c r="D415" s="1263">
        <v>9.6410837843954766</v>
      </c>
      <c r="E415" s="1263">
        <v>4.2287567477875392</v>
      </c>
      <c r="F415" s="1263">
        <v>11.449913553176529</v>
      </c>
      <c r="G415" s="1263">
        <v>10.52326938654736</v>
      </c>
      <c r="H415" s="1263">
        <v>6.8060416376556301</v>
      </c>
      <c r="I415" s="1263">
        <v>7.11695285257034</v>
      </c>
      <c r="J415" s="1263">
        <v>0.59307940438086171</v>
      </c>
      <c r="K415" s="1263">
        <v>7.5768919824983563</v>
      </c>
      <c r="L415" s="589"/>
      <c r="M415" s="1077">
        <v>41671</v>
      </c>
      <c r="N415" s="1263">
        <v>22.888638197720205</v>
      </c>
      <c r="O415" s="1263">
        <v>16.545502279919404</v>
      </c>
      <c r="P415" s="1263">
        <v>17.619780472745767</v>
      </c>
      <c r="Q415" s="1263">
        <v>21.438092542033832</v>
      </c>
      <c r="R415" s="1263">
        <v>15.656834599063286</v>
      </c>
      <c r="S415" s="1263">
        <v>17.104246340814054</v>
      </c>
      <c r="T415" s="1263">
        <v>17.335384804879109</v>
      </c>
      <c r="U415" s="1263">
        <v>10.632369346992521</v>
      </c>
      <c r="V415" s="1263">
        <v>0.35968483217216102</v>
      </c>
      <c r="W415" s="1263">
        <v>23.74947718268438</v>
      </c>
      <c r="X415" s="643"/>
      <c r="Y415" s="643"/>
      <c r="Z415" s="643"/>
      <c r="AA415" s="643"/>
      <c r="AB415" s="643"/>
      <c r="AC415" s="643"/>
      <c r="AD415" s="1374"/>
      <c r="AE415" s="1374"/>
      <c r="AF415" s="1374"/>
      <c r="AG415" s="206"/>
      <c r="AH415" s="1374"/>
      <c r="AI415" s="1374"/>
      <c r="AJ415" s="1374"/>
      <c r="AK415" s="1374"/>
      <c r="AL415" s="1374"/>
      <c r="AM415" s="911"/>
      <c r="AN415" s="1374"/>
      <c r="AO415" s="1439"/>
    </row>
    <row r="416" spans="1:41" x14ac:dyDescent="0.3">
      <c r="A416" s="1095">
        <v>41699</v>
      </c>
      <c r="B416" s="1263">
        <v>5.0859850869038636</v>
      </c>
      <c r="C416" s="1263">
        <v>3.7867806639780586</v>
      </c>
      <c r="D416" s="1263">
        <v>10.411112915620571</v>
      </c>
      <c r="E416" s="1263">
        <v>4.2391905729198287</v>
      </c>
      <c r="F416" s="1263">
        <v>10.999420514956869</v>
      </c>
      <c r="G416" s="1263">
        <v>10.460123084192894</v>
      </c>
      <c r="H416" s="1263">
        <v>2.5054859804242913</v>
      </c>
      <c r="I416" s="1263">
        <v>7.2410635135580446</v>
      </c>
      <c r="J416" s="1263">
        <v>0.60342195946317034</v>
      </c>
      <c r="K416" s="1263">
        <v>7.7090234004886664</v>
      </c>
      <c r="L416" s="589"/>
      <c r="M416" s="1077">
        <v>41699</v>
      </c>
      <c r="N416" s="1263">
        <v>23.029731327986767</v>
      </c>
      <c r="O416" s="1263">
        <v>15.957066007385773</v>
      </c>
      <c r="P416" s="1263">
        <v>26.964639443378456</v>
      </c>
      <c r="Q416" s="1263">
        <v>19.996074308892005</v>
      </c>
      <c r="R416" s="1263">
        <v>20.929927805029493</v>
      </c>
      <c r="S416" s="1263">
        <v>15.953741227579606</v>
      </c>
      <c r="T416" s="1263">
        <v>16.169332325249599</v>
      </c>
      <c r="U416" s="1263">
        <v>9.9171904928197545</v>
      </c>
      <c r="V416" s="1263">
        <v>0.34689273929099507</v>
      </c>
      <c r="W416" s="1263">
        <v>22.151985285591948</v>
      </c>
      <c r="X416" s="643"/>
      <c r="Y416" s="643"/>
      <c r="Z416" s="643"/>
      <c r="AA416" s="643"/>
      <c r="AB416" s="643"/>
      <c r="AC416" s="643"/>
      <c r="AD416" s="1374"/>
      <c r="AE416" s="1374"/>
      <c r="AF416" s="1374"/>
      <c r="AG416" s="206"/>
      <c r="AH416" s="1374"/>
      <c r="AI416" s="1374"/>
      <c r="AJ416" s="1374"/>
      <c r="AK416" s="1374"/>
      <c r="AL416" s="1374"/>
      <c r="AM416" s="911"/>
      <c r="AN416" s="1374"/>
      <c r="AO416" s="1439"/>
    </row>
    <row r="417" spans="1:41" x14ac:dyDescent="0.3">
      <c r="A417" s="1095">
        <v>41730</v>
      </c>
      <c r="B417" s="1263">
        <v>4.4372636018449771</v>
      </c>
      <c r="C417" s="1263">
        <v>3.3037737471363933</v>
      </c>
      <c r="D417" s="1263">
        <v>7.663993046206441</v>
      </c>
      <c r="E417" s="1263">
        <v>3.6272915030947521</v>
      </c>
      <c r="F417" s="1263">
        <v>9.6225395581628881</v>
      </c>
      <c r="G417" s="1263">
        <v>9.1507500803367208</v>
      </c>
      <c r="H417" s="1263">
        <v>2.19185528240074</v>
      </c>
      <c r="I417" s="1263">
        <v>6.3174600433047141</v>
      </c>
      <c r="J417" s="1263">
        <v>0.5264550036087261</v>
      </c>
      <c r="K417" s="1263">
        <v>6.7257312705931138</v>
      </c>
      <c r="L417" s="589"/>
      <c r="M417" s="1077">
        <v>41730</v>
      </c>
      <c r="N417" s="1263">
        <v>8.5374076497916356</v>
      </c>
      <c r="O417" s="1263">
        <v>12.719055467117732</v>
      </c>
      <c r="P417" s="1263">
        <v>9.6035350483971715</v>
      </c>
      <c r="Q417" s="1263">
        <v>16.055975816394536</v>
      </c>
      <c r="R417" s="1263">
        <v>9.4197324108308234</v>
      </c>
      <c r="S417" s="1263">
        <v>12.810158602837689</v>
      </c>
      <c r="T417" s="1263">
        <v>12.983268854227388</v>
      </c>
      <c r="U417" s="1263">
        <v>7.9630715639261309</v>
      </c>
      <c r="V417" s="1263">
        <v>0.27650120580690724</v>
      </c>
      <c r="W417" s="1263">
        <v>17.787078330291521</v>
      </c>
      <c r="X417" s="643"/>
      <c r="Y417" s="643"/>
      <c r="Z417" s="643"/>
      <c r="AA417" s="643"/>
      <c r="AB417" s="643"/>
      <c r="AC417" s="643"/>
      <c r="AD417" s="1374"/>
      <c r="AE417" s="1374"/>
      <c r="AF417" s="1374"/>
      <c r="AG417" s="206"/>
      <c r="AH417" s="1374"/>
      <c r="AI417" s="1374"/>
      <c r="AJ417" s="1374"/>
      <c r="AK417" s="1374"/>
      <c r="AL417" s="1374"/>
      <c r="AM417" s="911"/>
      <c r="AN417" s="1374"/>
      <c r="AO417" s="1439"/>
    </row>
    <row r="418" spans="1:41" x14ac:dyDescent="0.3">
      <c r="A418" s="1095">
        <v>41760</v>
      </c>
      <c r="B418" s="1263">
        <v>4.3796890220950173</v>
      </c>
      <c r="C418" s="1263">
        <v>3.2609064752886634</v>
      </c>
      <c r="D418" s="1263">
        <v>9.8038215256060877</v>
      </c>
      <c r="E418" s="1263">
        <v>3.4679506341607267</v>
      </c>
      <c r="F418" s="1263">
        <v>9.5378753756361654</v>
      </c>
      <c r="G418" s="1263">
        <v>9.070236950681581</v>
      </c>
      <c r="H418" s="1263">
        <v>2.1725701826014956</v>
      </c>
      <c r="I418" s="1263">
        <v>6.2354894551861264</v>
      </c>
      <c r="J418" s="1263">
        <v>0.5196241212655105</v>
      </c>
      <c r="K418" s="1263">
        <v>6.638463263514482</v>
      </c>
      <c r="L418" s="589"/>
      <c r="M418" s="1077">
        <v>41760</v>
      </c>
      <c r="N418" s="1263">
        <v>5.6659893539821899</v>
      </c>
      <c r="O418" s="1263">
        <v>11.317105335403996</v>
      </c>
      <c r="P418" s="1263">
        <v>7.2417419503545171</v>
      </c>
      <c r="Q418" s="1263">
        <v>13.938455568163766</v>
      </c>
      <c r="R418" s="1263">
        <v>5.5032555467157538</v>
      </c>
      <c r="S418" s="1263">
        <v>11.120708485650875</v>
      </c>
      <c r="T418" s="1263">
        <v>11.270988330051562</v>
      </c>
      <c r="U418" s="1263">
        <v>6.912872842431625</v>
      </c>
      <c r="V418" s="1263">
        <v>0.24602402903052165</v>
      </c>
      <c r="W418" s="1263">
        <v>15.44125401217064</v>
      </c>
      <c r="X418" s="643"/>
      <c r="Y418" s="643"/>
      <c r="Z418" s="643"/>
      <c r="AA418" s="643"/>
      <c r="AB418" s="643"/>
      <c r="AC418" s="643"/>
      <c r="AD418" s="1374"/>
      <c r="AE418" s="1374"/>
      <c r="AF418" s="1374"/>
      <c r="AG418" s="206"/>
      <c r="AH418" s="1374"/>
      <c r="AI418" s="1374"/>
      <c r="AJ418" s="1374"/>
      <c r="AK418" s="1374"/>
      <c r="AL418" s="1374"/>
      <c r="AM418" s="911"/>
      <c r="AN418" s="1374"/>
      <c r="AO418" s="1439"/>
    </row>
    <row r="419" spans="1:41" x14ac:dyDescent="0.3">
      <c r="A419" s="1095">
        <v>41791</v>
      </c>
      <c r="B419" s="1263">
        <v>4.2199844835449873</v>
      </c>
      <c r="C419" s="1263">
        <v>3.1419981324215103</v>
      </c>
      <c r="D419" s="1263">
        <v>6.2029318870219283</v>
      </c>
      <c r="E419" s="1263">
        <v>3.3351062287690496</v>
      </c>
      <c r="F419" s="1263">
        <v>8.7638118157290332</v>
      </c>
      <c r="G419" s="1263">
        <v>8.3341254345696925</v>
      </c>
      <c r="H419" s="1263">
        <v>1.9962513124694323</v>
      </c>
      <c r="I419" s="1263">
        <v>6.0081135019962524</v>
      </c>
      <c r="J419" s="1263">
        <v>0.5006761251663544</v>
      </c>
      <c r="K419" s="1263">
        <v>6.3963929460028144</v>
      </c>
      <c r="L419" s="589"/>
      <c r="M419" s="1077">
        <v>41791</v>
      </c>
      <c r="N419" s="1263">
        <v>3.6681405858909386</v>
      </c>
      <c r="O419" s="1263">
        <v>9.5919932100271978</v>
      </c>
      <c r="P419" s="1263">
        <v>4.7016350011996577</v>
      </c>
      <c r="Q419" s="1263">
        <v>11.71519751841041</v>
      </c>
      <c r="R419" s="1263">
        <v>4.4205608547691018</v>
      </c>
      <c r="S419" s="1263">
        <v>9.3468961332870091</v>
      </c>
      <c r="T419" s="1263">
        <v>9.4732055404935913</v>
      </c>
      <c r="U419" s="1263">
        <v>5.8102327315027358</v>
      </c>
      <c r="V419" s="1263">
        <v>0.20852159152233041</v>
      </c>
      <c r="W419" s="1263">
        <v>12.978291590476219</v>
      </c>
      <c r="X419" s="643"/>
      <c r="Y419" s="643"/>
      <c r="Z419" s="643"/>
      <c r="AA419" s="643"/>
      <c r="AB419" s="643"/>
      <c r="AC419" s="643"/>
      <c r="AD419" s="1374"/>
      <c r="AE419" s="1374"/>
      <c r="AF419" s="1374"/>
      <c r="AG419" s="206"/>
      <c r="AH419" s="1374"/>
      <c r="AI419" s="1374"/>
      <c r="AJ419" s="1374"/>
      <c r="AK419" s="1374"/>
      <c r="AL419" s="1374"/>
      <c r="AM419" s="911"/>
      <c r="AN419" s="1374"/>
      <c r="AO419" s="1439"/>
    </row>
    <row r="420" spans="1:41" x14ac:dyDescent="0.3">
      <c r="A420" s="1095">
        <v>41821</v>
      </c>
      <c r="B420" s="1263">
        <v>4.5951681693618482</v>
      </c>
      <c r="C420" s="1263">
        <v>2.9231777976038131</v>
      </c>
      <c r="D420" s="1263">
        <v>8.1114461365498656</v>
      </c>
      <c r="E420" s="1263">
        <v>3.8252043246348748</v>
      </c>
      <c r="F420" s="1263">
        <v>9.3114358386279736</v>
      </c>
      <c r="G420" s="1263">
        <v>8.8548996585930979</v>
      </c>
      <c r="H420" s="1263">
        <v>2.1209910030786907</v>
      </c>
      <c r="I420" s="1263">
        <v>6.6486865454136641</v>
      </c>
      <c r="J420" s="1263">
        <v>0.25809247349285108</v>
      </c>
      <c r="K420" s="1263">
        <v>7.0077717259254566</v>
      </c>
      <c r="L420" s="589"/>
      <c r="M420" s="1077">
        <v>41821</v>
      </c>
      <c r="N420" s="1263">
        <v>3.751407255890935</v>
      </c>
      <c r="O420" s="1263">
        <v>8.9470287653187519</v>
      </c>
      <c r="P420" s="1263">
        <v>4.646562619172915</v>
      </c>
      <c r="Q420" s="1263">
        <v>11.567725381096569</v>
      </c>
      <c r="R420" s="1263">
        <v>4.5400025632446663</v>
      </c>
      <c r="S420" s="1263">
        <v>9.2292364226538659</v>
      </c>
      <c r="T420" s="1263">
        <v>9.3539558337708097</v>
      </c>
      <c r="U420" s="1263">
        <v>5.7370929113794293</v>
      </c>
      <c r="V420" s="1263">
        <v>0.19450062533301635</v>
      </c>
      <c r="W420" s="1263">
        <v>12.814919492266009</v>
      </c>
      <c r="X420" s="643"/>
      <c r="Y420" s="643"/>
      <c r="Z420" s="643"/>
      <c r="AA420" s="643"/>
      <c r="AB420" s="643"/>
      <c r="AC420" s="643"/>
      <c r="AD420" s="1374"/>
      <c r="AE420" s="1374"/>
      <c r="AF420" s="1374"/>
      <c r="AG420" s="206"/>
      <c r="AH420" s="1374"/>
      <c r="AI420" s="1374"/>
      <c r="AJ420" s="1374"/>
      <c r="AK420" s="1374"/>
      <c r="AL420" s="1374"/>
      <c r="AM420" s="911"/>
      <c r="AN420" s="1374"/>
      <c r="AO420" s="1439"/>
    </row>
    <row r="421" spans="1:41" x14ac:dyDescent="0.3">
      <c r="A421" s="1095">
        <v>41852</v>
      </c>
      <c r="B421" s="1263">
        <v>4.4862867090559044</v>
      </c>
      <c r="C421" s="1263">
        <v>2.8539137672992996</v>
      </c>
      <c r="D421" s="1263">
        <v>8.6614019367391126</v>
      </c>
      <c r="E421" s="1263">
        <v>3.7296029289385069</v>
      </c>
      <c r="F421" s="1263">
        <v>8.82663095745745</v>
      </c>
      <c r="G421" s="1263">
        <v>8.3938645775208229</v>
      </c>
      <c r="H421" s="1263">
        <v>2.0105604734555786</v>
      </c>
      <c r="I421" s="1263">
        <v>6.491147436179789</v>
      </c>
      <c r="J421" s="1263">
        <v>0.25197703127786519</v>
      </c>
      <c r="K421" s="1263">
        <v>6.8417241753489924</v>
      </c>
      <c r="L421" s="589"/>
      <c r="M421" s="1077">
        <v>41852</v>
      </c>
      <c r="N421" s="1263">
        <v>3.7963894319526634</v>
      </c>
      <c r="O421" s="1263">
        <v>9.2436335646666343</v>
      </c>
      <c r="P421" s="1263">
        <v>4.5847842433085013</v>
      </c>
      <c r="Q421" s="1263">
        <v>11.636234014650203</v>
      </c>
      <c r="R421" s="1263">
        <v>4.098164913394382</v>
      </c>
      <c r="S421" s="1263">
        <v>9.2838956019850674</v>
      </c>
      <c r="T421" s="1263">
        <v>9.40935365066054</v>
      </c>
      <c r="U421" s="1263">
        <v>5.7710702390717987</v>
      </c>
      <c r="V421" s="1263">
        <v>0.2009485557536225</v>
      </c>
      <c r="W421" s="1263">
        <v>12.89081450140494</v>
      </c>
      <c r="X421" s="643"/>
      <c r="Y421" s="643"/>
      <c r="Z421" s="643"/>
      <c r="AA421" s="643"/>
      <c r="AB421" s="643"/>
      <c r="AC421" s="643"/>
      <c r="AD421" s="1374"/>
      <c r="AE421" s="1374"/>
      <c r="AF421" s="1374"/>
      <c r="AG421" s="206"/>
      <c r="AH421" s="1374"/>
      <c r="AI421" s="1374"/>
      <c r="AJ421" s="1374"/>
      <c r="AK421" s="1374"/>
      <c r="AL421" s="1374"/>
      <c r="AM421" s="911"/>
      <c r="AN421" s="1374"/>
      <c r="AO421" s="1439"/>
    </row>
    <row r="422" spans="1:41" x14ac:dyDescent="0.3">
      <c r="A422" s="1095">
        <v>41883</v>
      </c>
      <c r="B422" s="1263">
        <v>4.292388268545122</v>
      </c>
      <c r="C422" s="1263">
        <v>2.7305668961074585</v>
      </c>
      <c r="D422" s="1263">
        <v>8.711650722342192</v>
      </c>
      <c r="E422" s="1263">
        <v>3.4283650869857558</v>
      </c>
      <c r="F422" s="1263">
        <v>9.0430938283158184</v>
      </c>
      <c r="G422" s="1263">
        <v>8.5997143556302635</v>
      </c>
      <c r="H422" s="1263">
        <v>2.0598671335183121</v>
      </c>
      <c r="I422" s="1263">
        <v>6.2105984105323193</v>
      </c>
      <c r="J422" s="1263">
        <v>0.24108652057762592</v>
      </c>
      <c r="K422" s="1263">
        <v>6.5460231348142344</v>
      </c>
      <c r="L422" s="589"/>
      <c r="M422" s="1077">
        <v>41883</v>
      </c>
      <c r="N422" s="1263">
        <v>4.7245047907687763</v>
      </c>
      <c r="O422" s="1263">
        <v>10.301104086013988</v>
      </c>
      <c r="P422" s="1263">
        <v>6.0538801349036824</v>
      </c>
      <c r="Q422" s="1263">
        <v>12.917453326150079</v>
      </c>
      <c r="R422" s="1263">
        <v>5.2161809273982804</v>
      </c>
      <c r="S422" s="1263">
        <v>10.306108314125131</v>
      </c>
      <c r="T422" s="1263">
        <v>10.445380048099794</v>
      </c>
      <c r="U422" s="1263">
        <v>6.4064997628345406</v>
      </c>
      <c r="V422" s="1263">
        <v>0.22393704534813016</v>
      </c>
      <c r="W422" s="1263">
        <v>14.310170665896718</v>
      </c>
      <c r="X422" s="643"/>
      <c r="Y422" s="643"/>
      <c r="Z422" s="643"/>
      <c r="AA422" s="643"/>
      <c r="AB422" s="643"/>
      <c r="AC422" s="643"/>
      <c r="AD422" s="1374"/>
      <c r="AE422" s="1374"/>
      <c r="AF422" s="1374"/>
      <c r="AG422" s="206"/>
      <c r="AH422" s="1374"/>
      <c r="AI422" s="1374"/>
      <c r="AJ422" s="1374"/>
      <c r="AK422" s="1374"/>
      <c r="AL422" s="1374"/>
      <c r="AM422" s="911"/>
      <c r="AN422" s="1374"/>
      <c r="AO422" s="1439"/>
    </row>
    <row r="423" spans="1:41" x14ac:dyDescent="0.3">
      <c r="A423" s="1095">
        <v>41913</v>
      </c>
      <c r="B423" s="1263">
        <v>4.5395702029343701</v>
      </c>
      <c r="C423" s="1263">
        <v>2.88780961627449</v>
      </c>
      <c r="D423" s="1263">
        <v>9.0919245801913835</v>
      </c>
      <c r="E423" s="1263">
        <v>3.6638743650389203</v>
      </c>
      <c r="F423" s="1263">
        <v>10.004210425967557</v>
      </c>
      <c r="G423" s="1263">
        <v>9.5137077697403409</v>
      </c>
      <c r="H423" s="1263">
        <v>2.2787935903889323</v>
      </c>
      <c r="I423" s="1263">
        <v>6.5682426013152968</v>
      </c>
      <c r="J423" s="1263">
        <v>0.25496975498776681</v>
      </c>
      <c r="K423" s="1263">
        <v>6.9229831299939297</v>
      </c>
      <c r="L423" s="589"/>
      <c r="M423" s="1077">
        <v>41913</v>
      </c>
      <c r="N423" s="1263">
        <v>5.8308377718844913</v>
      </c>
      <c r="O423" s="1263">
        <v>12.424132364525201</v>
      </c>
      <c r="P423" s="1263">
        <v>8.2280674073729116</v>
      </c>
      <c r="Q423" s="1263">
        <v>15.612143063287224</v>
      </c>
      <c r="R423" s="1263">
        <v>7.4691377223177593</v>
      </c>
      <c r="S423" s="1263">
        <v>12.456049452110561</v>
      </c>
      <c r="T423" s="1263">
        <v>12.62437444470665</v>
      </c>
      <c r="U423" s="1263">
        <v>7.742949659420078</v>
      </c>
      <c r="V423" s="1263">
        <v>0.27008983401141745</v>
      </c>
      <c r="W423" s="1263">
        <v>17.295392989248107</v>
      </c>
      <c r="X423" s="643"/>
      <c r="Y423" s="643"/>
      <c r="Z423" s="643"/>
      <c r="AA423" s="643"/>
      <c r="AB423" s="643"/>
      <c r="AC423" s="643"/>
      <c r="AD423" s="1374"/>
      <c r="AE423" s="1374"/>
      <c r="AF423" s="1374"/>
      <c r="AG423" s="206"/>
      <c r="AH423" s="1374"/>
      <c r="AI423" s="1374"/>
      <c r="AJ423" s="1374"/>
      <c r="AK423" s="1374"/>
      <c r="AL423" s="1374"/>
      <c r="AM423" s="911"/>
      <c r="AN423" s="1374"/>
      <c r="AO423" s="1439"/>
    </row>
    <row r="424" spans="1:41" x14ac:dyDescent="0.3">
      <c r="A424" s="1095">
        <v>41944</v>
      </c>
      <c r="B424" s="1263">
        <v>5.0910479698015534</v>
      </c>
      <c r="C424" s="1263">
        <v>3.2386275851851156</v>
      </c>
      <c r="D424" s="1263">
        <v>8.7678424707258262</v>
      </c>
      <c r="E424" s="1263">
        <v>4.2590050557753507</v>
      </c>
      <c r="F424" s="1263">
        <v>10.867897621068858</v>
      </c>
      <c r="G424" s="1263">
        <v>10.335048708084887</v>
      </c>
      <c r="H424" s="1263">
        <v>2.4755272415713532</v>
      </c>
      <c r="I424" s="1263">
        <v>7.366168307954629</v>
      </c>
      <c r="J424" s="1263">
        <v>0.28594408621596029</v>
      </c>
      <c r="K424" s="1263">
        <v>7.7640035583420524</v>
      </c>
      <c r="L424" s="589"/>
      <c r="M424" s="1077">
        <v>41944</v>
      </c>
      <c r="N424" s="1263">
        <v>8.8247516513332691</v>
      </c>
      <c r="O424" s="1263">
        <v>13.12776022349521</v>
      </c>
      <c r="P424" s="1263">
        <v>11.210999072053156</v>
      </c>
      <c r="Q424" s="1263">
        <v>20.596423601576976</v>
      </c>
      <c r="R424" s="1263">
        <v>11.190191062492669</v>
      </c>
      <c r="S424" s="1263">
        <v>16.432726107996725</v>
      </c>
      <c r="T424" s="1263">
        <v>16.654789974321005</v>
      </c>
      <c r="U424" s="1263">
        <v>10.214937850916883</v>
      </c>
      <c r="V424" s="1263">
        <v>0.28538609181511326</v>
      </c>
      <c r="W424" s="1263">
        <v>22.817062264819779</v>
      </c>
      <c r="X424" s="643"/>
      <c r="Y424" s="643"/>
      <c r="Z424" s="643"/>
      <c r="AA424" s="643"/>
      <c r="AB424" s="643"/>
      <c r="AC424" s="643"/>
      <c r="AD424" s="1374"/>
      <c r="AE424" s="1374"/>
      <c r="AF424" s="1374"/>
      <c r="AG424" s="206"/>
      <c r="AH424" s="1374"/>
      <c r="AI424" s="1374"/>
      <c r="AJ424" s="1374"/>
      <c r="AK424" s="1374"/>
      <c r="AL424" s="1374"/>
      <c r="AM424" s="911"/>
      <c r="AN424" s="1374"/>
      <c r="AO424" s="1439"/>
    </row>
    <row r="425" spans="1:41" x14ac:dyDescent="0.3">
      <c r="A425" s="1095">
        <v>41974</v>
      </c>
      <c r="B425" s="1263">
        <v>5.4206592419467992</v>
      </c>
      <c r="C425" s="1263">
        <v>3.4483070391383186</v>
      </c>
      <c r="D425" s="1263">
        <v>9.8139283380569236</v>
      </c>
      <c r="E425" s="1263">
        <v>4.5720072377361154</v>
      </c>
      <c r="F425" s="1263">
        <v>13.709905994026069</v>
      </c>
      <c r="G425" s="1263">
        <v>13.037714484615186</v>
      </c>
      <c r="H425" s="1263">
        <v>3.1228897208047122</v>
      </c>
      <c r="I425" s="1263">
        <v>7.8430783903625851</v>
      </c>
      <c r="J425" s="1263">
        <v>0.30445705144023538</v>
      </c>
      <c r="K425" s="1263">
        <v>8.2666708097576969</v>
      </c>
      <c r="L425" s="589"/>
      <c r="M425" s="1077">
        <v>41974</v>
      </c>
      <c r="N425" s="1263">
        <v>10.57347405448138</v>
      </c>
      <c r="O425" s="1263">
        <v>13.688215605280432</v>
      </c>
      <c r="P425" s="1263">
        <v>12.693458940385259</v>
      </c>
      <c r="Q425" s="1263">
        <v>20.035786150343217</v>
      </c>
      <c r="R425" s="1263">
        <v>12.540562922611379</v>
      </c>
      <c r="S425" s="1263">
        <v>15.985425068737445</v>
      </c>
      <c r="T425" s="1263">
        <v>16.201444326423086</v>
      </c>
      <c r="U425" s="1263">
        <v>9.9368858535394917</v>
      </c>
      <c r="V425" s="1263">
        <v>0.29756990446261805</v>
      </c>
      <c r="W425" s="1263">
        <v>22.195978727199627</v>
      </c>
      <c r="X425" s="643"/>
      <c r="Y425" s="643"/>
      <c r="Z425" s="643"/>
      <c r="AA425" s="643"/>
      <c r="AB425" s="643"/>
      <c r="AC425" s="643"/>
      <c r="AD425" s="1374"/>
      <c r="AE425" s="1374"/>
      <c r="AF425" s="1374"/>
      <c r="AG425" s="206"/>
      <c r="AH425" s="1374"/>
      <c r="AI425" s="1374"/>
      <c r="AJ425" s="1374"/>
      <c r="AK425" s="1374"/>
      <c r="AL425" s="1374"/>
      <c r="AM425" s="911"/>
      <c r="AN425" s="1374"/>
      <c r="AO425" s="1439"/>
    </row>
    <row r="426" spans="1:41" x14ac:dyDescent="0.3">
      <c r="A426" s="1095">
        <v>42005</v>
      </c>
      <c r="B426" s="1263">
        <v>5.6221442968433308</v>
      </c>
      <c r="C426" s="1263">
        <v>3.5764800716182852</v>
      </c>
      <c r="D426" s="1263">
        <v>10.070407914697544</v>
      </c>
      <c r="E426" s="1263">
        <v>4.6073904362078721</v>
      </c>
      <c r="F426" s="1263">
        <v>12.517276984078103</v>
      </c>
      <c r="G426" s="1263">
        <v>11.903559624286734</v>
      </c>
      <c r="H426" s="1263">
        <v>2.8512285673640618</v>
      </c>
      <c r="I426" s="1263">
        <v>8.1346043855425485</v>
      </c>
      <c r="J426" s="1263">
        <v>0.31577367235017489</v>
      </c>
      <c r="K426" s="1263">
        <v>8.573941668812358</v>
      </c>
      <c r="L426" s="589"/>
      <c r="M426" s="1077">
        <v>42005</v>
      </c>
      <c r="N426" s="1263">
        <v>9.9283877901447752</v>
      </c>
      <c r="O426" s="1263">
        <v>16.53042382198193</v>
      </c>
      <c r="P426" s="1263">
        <v>11.577831380345758</v>
      </c>
      <c r="Q426" s="1263">
        <v>21.85412132838611</v>
      </c>
      <c r="R426" s="1263">
        <v>11.70974701424268</v>
      </c>
      <c r="S426" s="1263">
        <v>17.43617227278245</v>
      </c>
      <c r="T426" s="1263">
        <v>17.671796222414645</v>
      </c>
      <c r="U426" s="1263">
        <v>10.838701683080982</v>
      </c>
      <c r="V426" s="1263">
        <v>0.3593570396083029</v>
      </c>
      <c r="W426" s="1263">
        <v>24.210360824708062</v>
      </c>
      <c r="X426" s="643"/>
      <c r="Y426" s="643"/>
      <c r="Z426" s="643"/>
      <c r="AA426" s="643"/>
      <c r="AB426" s="643"/>
      <c r="AC426" s="643"/>
      <c r="AD426" s="1374"/>
      <c r="AE426" s="1374"/>
      <c r="AF426" s="1374"/>
      <c r="AG426" s="206"/>
      <c r="AH426" s="1374"/>
      <c r="AI426" s="1374"/>
      <c r="AJ426" s="1374"/>
      <c r="AK426" s="1374"/>
      <c r="AL426" s="1374"/>
      <c r="AM426" s="911"/>
      <c r="AN426" s="1374"/>
      <c r="AO426" s="1439"/>
    </row>
    <row r="427" spans="1:41" x14ac:dyDescent="0.3">
      <c r="A427" s="1095">
        <v>42036</v>
      </c>
      <c r="B427" s="1263">
        <v>4.935902450753467</v>
      </c>
      <c r="C427" s="1263">
        <v>3.1399330608578224</v>
      </c>
      <c r="D427" s="1263">
        <v>7.9019439978883108</v>
      </c>
      <c r="E427" s="1263">
        <v>3.9877011918218299</v>
      </c>
      <c r="F427" s="1263">
        <v>10.749355884647157</v>
      </c>
      <c r="G427" s="1263">
        <v>10.222319028198674</v>
      </c>
      <c r="H427" s="1263">
        <v>2.4485253955835709</v>
      </c>
      <c r="I427" s="1263">
        <v>7.1416903591487895</v>
      </c>
      <c r="J427" s="1263">
        <v>0.2772301742791935</v>
      </c>
      <c r="K427" s="1263">
        <v>7.527401905972015</v>
      </c>
      <c r="L427" s="589"/>
      <c r="M427" s="1077">
        <v>42036</v>
      </c>
      <c r="N427" s="1263">
        <v>8.5943451851875228</v>
      </c>
      <c r="O427" s="1263">
        <v>14.800111990277534</v>
      </c>
      <c r="P427" s="1263">
        <v>9.9265569227122246</v>
      </c>
      <c r="Q427" s="1263">
        <v>19.817779293368503</v>
      </c>
      <c r="R427" s="1263">
        <v>9.2859382045454932</v>
      </c>
      <c r="S427" s="1263">
        <v>15.62555675054055</v>
      </c>
      <c r="T427" s="1263">
        <v>16.333334582446568</v>
      </c>
      <c r="U427" s="1263">
        <v>9.5277785064271647</v>
      </c>
      <c r="V427" s="1263">
        <v>0.66410758930732527</v>
      </c>
      <c r="W427" s="1263">
        <v>21.886668340478401</v>
      </c>
      <c r="X427" s="643"/>
      <c r="Y427" s="643"/>
      <c r="Z427" s="643"/>
      <c r="AA427" s="643"/>
      <c r="AB427" s="643"/>
      <c r="AC427" s="643"/>
      <c r="AD427" s="1374"/>
      <c r="AE427" s="1374"/>
      <c r="AF427" s="1374"/>
      <c r="AG427" s="206"/>
      <c r="AH427" s="1374"/>
      <c r="AI427" s="1374"/>
      <c r="AJ427" s="1374"/>
      <c r="AK427" s="1374"/>
      <c r="AL427" s="1374"/>
      <c r="AM427" s="911"/>
      <c r="AN427" s="1374"/>
      <c r="AO427" s="1439"/>
    </row>
    <row r="428" spans="1:41" x14ac:dyDescent="0.3">
      <c r="A428" s="1095">
        <v>42064</v>
      </c>
      <c r="B428" s="1263">
        <v>4.9722704582306108</v>
      </c>
      <c r="C428" s="1263">
        <v>3.1630682646375434</v>
      </c>
      <c r="D428" s="1263">
        <v>7.426918599948392</v>
      </c>
      <c r="E428" s="1263">
        <v>3.9139331297134414</v>
      </c>
      <c r="F428" s="1263">
        <v>11.54769377111667</v>
      </c>
      <c r="G428" s="1263">
        <v>10.981514709815748</v>
      </c>
      <c r="H428" s="1263">
        <v>2.6303735556271879</v>
      </c>
      <c r="I428" s="1263">
        <v>7.1943107362677337</v>
      </c>
      <c r="J428" s="1263">
        <v>0.27927282182980234</v>
      </c>
      <c r="K428" s="1263">
        <v>7.582864227509198</v>
      </c>
      <c r="L428" s="589"/>
      <c r="M428" s="1077">
        <v>42064</v>
      </c>
      <c r="N428" s="1263">
        <v>7.8960124015999744</v>
      </c>
      <c r="O428" s="1263">
        <v>13.585441183147962</v>
      </c>
      <c r="P428" s="1263">
        <v>8.8441467700107879</v>
      </c>
      <c r="Q428" s="1263">
        <v>18.059284428792708</v>
      </c>
      <c r="R428" s="1263">
        <v>8.0232414553973737</v>
      </c>
      <c r="S428" s="1263">
        <v>14.239051184240404</v>
      </c>
      <c r="T428" s="1263">
        <v>14.884025628125858</v>
      </c>
      <c r="U428" s="1263">
        <v>8.6823482830734164</v>
      </c>
      <c r="V428" s="1263">
        <v>0.60960313001304955</v>
      </c>
      <c r="W428" s="1263">
        <v>19.944594341688649</v>
      </c>
      <c r="X428" s="643"/>
      <c r="Y428" s="643"/>
      <c r="Z428" s="643"/>
      <c r="AA428" s="643"/>
      <c r="AB428" s="643"/>
      <c r="AC428" s="643"/>
      <c r="AD428" s="1374"/>
      <c r="AE428" s="1374"/>
      <c r="AF428" s="1374"/>
      <c r="AG428" s="206"/>
      <c r="AH428" s="1374"/>
      <c r="AI428" s="1374"/>
      <c r="AJ428" s="1374"/>
      <c r="AK428" s="1374"/>
      <c r="AL428" s="1374"/>
      <c r="AM428" s="911"/>
      <c r="AN428" s="1374"/>
      <c r="AO428" s="1439"/>
    </row>
    <row r="429" spans="1:41" x14ac:dyDescent="0.3">
      <c r="A429" s="1095">
        <v>42095</v>
      </c>
      <c r="B429" s="1263">
        <v>4.5734553771447608</v>
      </c>
      <c r="C429" s="1263">
        <v>2.9093653864376314</v>
      </c>
      <c r="D429" s="1263">
        <v>6.5087472597646165</v>
      </c>
      <c r="E429" s="1263">
        <v>3.4744247204750525</v>
      </c>
      <c r="F429" s="1263">
        <v>10.00748605460905</v>
      </c>
      <c r="G429" s="1263">
        <v>9.090303014980929</v>
      </c>
      <c r="H429" s="1263">
        <v>7.0215457144863898</v>
      </c>
      <c r="I429" s="1263">
        <v>6.6172706006306976</v>
      </c>
      <c r="J429" s="1263">
        <v>0.2568729515856642</v>
      </c>
      <c r="K429" s="1263">
        <v>6.9746590550107523</v>
      </c>
      <c r="L429" s="589"/>
      <c r="M429" s="1077">
        <v>42095</v>
      </c>
      <c r="N429" s="1263">
        <v>10.806822804843261</v>
      </c>
      <c r="O429" s="1263">
        <v>12.223452187156976</v>
      </c>
      <c r="P429" s="1263">
        <v>7.5113132516517247</v>
      </c>
      <c r="Q429" s="1263">
        <v>15.509552433503893</v>
      </c>
      <c r="R429" s="1263">
        <v>6.5811332296244363</v>
      </c>
      <c r="S429" s="1263">
        <v>12.228685572570377</v>
      </c>
      <c r="T429" s="1263">
        <v>12.78259815948123</v>
      </c>
      <c r="U429" s="1263">
        <v>7.4565155930307174</v>
      </c>
      <c r="V429" s="1263">
        <v>0.54848823916730027</v>
      </c>
      <c r="W429" s="1263">
        <v>17.128681533704849</v>
      </c>
      <c r="X429" s="643"/>
      <c r="Y429" s="643"/>
      <c r="Z429" s="643"/>
      <c r="AA429" s="643"/>
      <c r="AB429" s="643"/>
      <c r="AC429" s="643"/>
      <c r="AD429" s="1374"/>
      <c r="AE429" s="1374"/>
      <c r="AF429" s="1374"/>
      <c r="AG429" s="206"/>
      <c r="AH429" s="1374"/>
      <c r="AI429" s="1374"/>
      <c r="AJ429" s="1374"/>
      <c r="AK429" s="1374"/>
      <c r="AL429" s="1374"/>
      <c r="AM429" s="911"/>
      <c r="AN429" s="1374"/>
      <c r="AO429" s="1439"/>
    </row>
    <row r="430" spans="1:41" x14ac:dyDescent="0.3">
      <c r="A430" s="1095">
        <v>42125</v>
      </c>
      <c r="B430" s="1263">
        <v>4.5987614068262586</v>
      </c>
      <c r="C430" s="1263">
        <v>2.9254636055634688</v>
      </c>
      <c r="D430" s="1263">
        <v>6.1398644588466214</v>
      </c>
      <c r="E430" s="1263">
        <v>3.4196007852703456</v>
      </c>
      <c r="F430" s="1263">
        <v>9.704523434373737</v>
      </c>
      <c r="G430" s="1263">
        <v>8.8151068263354109</v>
      </c>
      <c r="H430" s="1263">
        <v>6.8089782548711852</v>
      </c>
      <c r="I430" s="1263">
        <v>6.6538855520013636</v>
      </c>
      <c r="J430" s="1263">
        <v>0.25829429147009514</v>
      </c>
      <c r="K430" s="1263">
        <v>7.0132515227423662</v>
      </c>
      <c r="L430" s="589"/>
      <c r="M430" s="1077">
        <v>42125</v>
      </c>
      <c r="N430" s="1263">
        <v>6.8897057283765921</v>
      </c>
      <c r="O430" s="1263">
        <v>10.947584909863762</v>
      </c>
      <c r="P430" s="1263">
        <v>5.5199459501761057</v>
      </c>
      <c r="Q430" s="1263">
        <v>13.921935098068982</v>
      </c>
      <c r="R430" s="1263">
        <v>4.8804292145317598</v>
      </c>
      <c r="S430" s="1263">
        <v>10.976910365785157</v>
      </c>
      <c r="T430" s="1263">
        <v>11.474122333573336</v>
      </c>
      <c r="U430" s="1263">
        <v>6.6932380279177792</v>
      </c>
      <c r="V430" s="1263">
        <v>0.49123778441696375</v>
      </c>
      <c r="W430" s="1263">
        <v>15.375323926988267</v>
      </c>
      <c r="X430" s="643"/>
      <c r="Y430" s="643"/>
      <c r="Z430" s="643"/>
      <c r="AA430" s="643"/>
      <c r="AB430" s="643"/>
      <c r="AC430" s="643"/>
      <c r="AD430" s="1374"/>
      <c r="AE430" s="1374"/>
      <c r="AF430" s="1374"/>
      <c r="AG430" s="206"/>
      <c r="AH430" s="1374"/>
      <c r="AI430" s="1374"/>
      <c r="AJ430" s="1374"/>
      <c r="AK430" s="1374"/>
      <c r="AL430" s="1374"/>
      <c r="AM430" s="911"/>
      <c r="AN430" s="1374"/>
      <c r="AO430" s="1439"/>
    </row>
    <row r="431" spans="1:41" x14ac:dyDescent="0.3">
      <c r="A431" s="1095">
        <v>42156</v>
      </c>
      <c r="B431" s="1263">
        <v>4.5880421185953919</v>
      </c>
      <c r="C431" s="1263">
        <v>2.9186446200100109</v>
      </c>
      <c r="D431" s="1263">
        <v>5.7291223472121926</v>
      </c>
      <c r="E431" s="1263">
        <v>3.478830612512041</v>
      </c>
      <c r="F431" s="1263">
        <v>9.0904312114661856</v>
      </c>
      <c r="G431" s="1263">
        <v>8.2572959680527873</v>
      </c>
      <c r="H431" s="1263">
        <v>6.3781131412425678</v>
      </c>
      <c r="I431" s="1263">
        <v>6.6383759591398528</v>
      </c>
      <c r="J431" s="1263">
        <v>0.25769223132526009</v>
      </c>
      <c r="K431" s="1263">
        <v>6.996904280983693</v>
      </c>
      <c r="L431" s="589"/>
      <c r="M431" s="1077">
        <v>42156</v>
      </c>
      <c r="N431" s="1263">
        <v>4.9790616296074202</v>
      </c>
      <c r="O431" s="1263">
        <v>9.2443992222495677</v>
      </c>
      <c r="P431" s="1263">
        <v>4.7393771233497386</v>
      </c>
      <c r="Q431" s="1263">
        <v>12.071922661969754</v>
      </c>
      <c r="R431" s="1263">
        <v>4.1879422084563691</v>
      </c>
      <c r="S431" s="1263">
        <v>9.5182467142453824</v>
      </c>
      <c r="T431" s="1263">
        <v>9.9493868093157314</v>
      </c>
      <c r="U431" s="1263">
        <v>5.8038089721008435</v>
      </c>
      <c r="V431" s="1263">
        <v>0.41481278561376267</v>
      </c>
      <c r="W431" s="1263">
        <v>13.332178324483078</v>
      </c>
      <c r="X431" s="643"/>
      <c r="Y431" s="643"/>
      <c r="Z431" s="643"/>
      <c r="AA431" s="643"/>
      <c r="AB431" s="643"/>
      <c r="AC431" s="643"/>
      <c r="AD431" s="1374"/>
      <c r="AE431" s="1374"/>
      <c r="AF431" s="1374"/>
      <c r="AG431" s="206"/>
      <c r="AH431" s="1374"/>
      <c r="AI431" s="1374"/>
      <c r="AJ431" s="1374"/>
      <c r="AK431" s="1374"/>
      <c r="AL431" s="1374"/>
      <c r="AM431" s="911"/>
      <c r="AN431" s="1374"/>
      <c r="AO431" s="1439"/>
    </row>
    <row r="432" spans="1:41" x14ac:dyDescent="0.3">
      <c r="A432" s="1095">
        <v>42186</v>
      </c>
      <c r="B432" s="1263">
        <v>4.1141610607521013</v>
      </c>
      <c r="C432" s="1263">
        <v>2.4744162926537823</v>
      </c>
      <c r="D432" s="1263">
        <v>8.4522285994488993</v>
      </c>
      <c r="E432" s="1263">
        <v>3.8054201283413023</v>
      </c>
      <c r="F432" s="1263">
        <v>9.6560428181309899</v>
      </c>
      <c r="G432" s="1263">
        <v>8.7710694437605312</v>
      </c>
      <c r="H432" s="1263">
        <v>6.7749628326805</v>
      </c>
      <c r="I432" s="1263">
        <v>6.6655328840386572</v>
      </c>
      <c r="J432" s="1263">
        <v>0.15391106126554624</v>
      </c>
      <c r="K432" s="1263">
        <v>6.7780063518865568</v>
      </c>
      <c r="L432" s="589"/>
      <c r="M432" s="1077">
        <v>42186</v>
      </c>
      <c r="N432" s="1263">
        <v>4.9852947918343418</v>
      </c>
      <c r="O432" s="1263">
        <v>9.1130083184939075</v>
      </c>
      <c r="P432" s="1263">
        <v>3.8772508160347887</v>
      </c>
      <c r="Q432" s="1263">
        <v>12.091466714310217</v>
      </c>
      <c r="R432" s="1263">
        <v>3.6679365822433994</v>
      </c>
      <c r="S432" s="1263">
        <v>9.5336564478215156</v>
      </c>
      <c r="T432" s="1263">
        <v>9.9654945447611656</v>
      </c>
      <c r="U432" s="1263">
        <v>5.8132051511106804</v>
      </c>
      <c r="V432" s="1263">
        <v>0.40891703993241896</v>
      </c>
      <c r="W432" s="1263">
        <v>13.353762689979963</v>
      </c>
      <c r="X432" s="643"/>
      <c r="Y432" s="643"/>
      <c r="Z432" s="643"/>
      <c r="AA432" s="643"/>
      <c r="AB432" s="643"/>
      <c r="AC432" s="643"/>
      <c r="AD432" s="1374"/>
      <c r="AE432" s="1374"/>
      <c r="AF432" s="1374"/>
      <c r="AG432" s="206"/>
      <c r="AH432" s="1374"/>
      <c r="AI432" s="1374"/>
      <c r="AJ432" s="1374"/>
      <c r="AK432" s="1374"/>
      <c r="AL432" s="1374"/>
      <c r="AM432" s="911"/>
      <c r="AN432" s="1374"/>
      <c r="AO432" s="1439"/>
    </row>
    <row r="433" spans="1:41" x14ac:dyDescent="0.3">
      <c r="A433" s="1095">
        <v>42217</v>
      </c>
      <c r="B433" s="1263">
        <v>4.057197266842457</v>
      </c>
      <c r="C433" s="1263">
        <v>2.4401560540145999</v>
      </c>
      <c r="D433" s="1263">
        <v>8.2951757703621247</v>
      </c>
      <c r="E433" s="1263">
        <v>3.6498675104448393</v>
      </c>
      <c r="F433" s="1263">
        <v>9.5079055237942427</v>
      </c>
      <c r="G433" s="1263">
        <v>8.6365088871939548</v>
      </c>
      <c r="H433" s="1263">
        <v>6.6710253624177511</v>
      </c>
      <c r="I433" s="1263">
        <v>6.5732433416756928</v>
      </c>
      <c r="J433" s="1263">
        <v>0.15178004163727177</v>
      </c>
      <c r="K433" s="1263">
        <v>6.6841595259490836</v>
      </c>
      <c r="L433" s="589"/>
      <c r="M433" s="1077">
        <v>42217</v>
      </c>
      <c r="N433" s="1263">
        <v>4.8491604805364918</v>
      </c>
      <c r="O433" s="1263">
        <v>9.3329081546866846</v>
      </c>
      <c r="P433" s="1263">
        <v>4.1745678601338909</v>
      </c>
      <c r="Q433" s="1263">
        <v>12.331680163489581</v>
      </c>
      <c r="R433" s="1263">
        <v>4.1438701808195884</v>
      </c>
      <c r="S433" s="1263">
        <v>9.7230555135206309</v>
      </c>
      <c r="T433" s="1263">
        <v>10.163472662216687</v>
      </c>
      <c r="U433" s="1263">
        <v>5.9286923862930667</v>
      </c>
      <c r="V433" s="1263">
        <v>0.41878434027440253</v>
      </c>
      <c r="W433" s="1263">
        <v>13.619053367370361</v>
      </c>
      <c r="X433" s="643"/>
      <c r="Y433" s="643"/>
      <c r="Z433" s="643"/>
      <c r="AA433" s="643"/>
      <c r="AB433" s="643"/>
      <c r="AC433" s="643"/>
      <c r="AD433" s="1374"/>
      <c r="AE433" s="1374"/>
      <c r="AF433" s="1374"/>
      <c r="AG433" s="206"/>
      <c r="AH433" s="1374"/>
      <c r="AI433" s="1374"/>
      <c r="AJ433" s="1374"/>
      <c r="AK433" s="1374"/>
      <c r="AL433" s="1374"/>
      <c r="AM433" s="911"/>
      <c r="AN433" s="1374"/>
      <c r="AO433" s="1439"/>
    </row>
    <row r="434" spans="1:41" x14ac:dyDescent="0.3">
      <c r="A434" s="1095">
        <v>42248</v>
      </c>
      <c r="B434" s="1263">
        <v>3.8448912271971971</v>
      </c>
      <c r="C434" s="1263">
        <v>2.3124669539114082</v>
      </c>
      <c r="D434" s="1263">
        <v>6.4282845269877527</v>
      </c>
      <c r="E434" s="1263">
        <v>3.3798906803962709</v>
      </c>
      <c r="F434" s="1263">
        <v>9.3931526630862159</v>
      </c>
      <c r="G434" s="1263">
        <v>8.5322730911129359</v>
      </c>
      <c r="H434" s="1263">
        <v>6.5905113898843197</v>
      </c>
      <c r="I434" s="1263">
        <v>6.2292770098187686</v>
      </c>
      <c r="J434" s="1263">
        <v>0.14383765742032681</v>
      </c>
      <c r="K434" s="1263">
        <v>6.3343891440874698</v>
      </c>
      <c r="L434" s="589"/>
      <c r="M434" s="1077">
        <v>42248</v>
      </c>
      <c r="N434" s="1263">
        <v>5.0883155524552919</v>
      </c>
      <c r="O434" s="1263">
        <v>10.175021398855895</v>
      </c>
      <c r="P434" s="1263">
        <v>5.7466424052862193</v>
      </c>
      <c r="Q434" s="1263">
        <v>13.493265133281591</v>
      </c>
      <c r="R434" s="1263">
        <v>5.5416240428476868</v>
      </c>
      <c r="S434" s="1263">
        <v>10.638920585856637</v>
      </c>
      <c r="T434" s="1263">
        <v>11.120822912045265</v>
      </c>
      <c r="U434" s="1263">
        <v>6.4871466986930706</v>
      </c>
      <c r="V434" s="1263">
        <v>0.4565714730255851</v>
      </c>
      <c r="W434" s="1263">
        <v>14.901902702140656</v>
      </c>
      <c r="X434" s="643"/>
      <c r="Y434" s="643"/>
      <c r="Z434" s="643"/>
      <c r="AA434" s="643"/>
      <c r="AB434" s="643"/>
      <c r="AC434" s="643"/>
      <c r="AD434" s="1374"/>
      <c r="AE434" s="1374"/>
      <c r="AF434" s="1374"/>
      <c r="AG434" s="206"/>
      <c r="AH434" s="1374"/>
      <c r="AI434" s="1374"/>
      <c r="AJ434" s="1374"/>
      <c r="AK434" s="1374"/>
      <c r="AL434" s="1374"/>
      <c r="AM434" s="911"/>
      <c r="AN434" s="1374"/>
      <c r="AO434" s="1439"/>
    </row>
    <row r="435" spans="1:41" x14ac:dyDescent="0.3">
      <c r="A435" s="1095">
        <v>42278</v>
      </c>
      <c r="B435" s="1263">
        <v>4.0711429815140807</v>
      </c>
      <c r="C435" s="1263">
        <v>2.4485435485940803</v>
      </c>
      <c r="D435" s="1263">
        <v>7.324910117205393</v>
      </c>
      <c r="E435" s="1263">
        <v>3.7070069928625022</v>
      </c>
      <c r="F435" s="1263">
        <v>9.5306770120002984</v>
      </c>
      <c r="G435" s="1263">
        <v>8.657193375462592</v>
      </c>
      <c r="H435" s="1263">
        <v>6.6870025063831005</v>
      </c>
      <c r="I435" s="1263">
        <v>6.5958374060213742</v>
      </c>
      <c r="J435" s="1263">
        <v>0.15230175182642605</v>
      </c>
      <c r="K435" s="1263">
        <v>6.7071348400483783</v>
      </c>
      <c r="L435" s="589"/>
      <c r="M435" s="1077">
        <v>42278</v>
      </c>
      <c r="N435" s="1263">
        <v>6.6113375136945471</v>
      </c>
      <c r="O435" s="1263">
        <v>11.480598303505136</v>
      </c>
      <c r="P435" s="1263">
        <v>6.7094422536815124</v>
      </c>
      <c r="Q435" s="1263">
        <v>15.349318087293412</v>
      </c>
      <c r="R435" s="1263">
        <v>6.0924710881556416</v>
      </c>
      <c r="S435" s="1263">
        <v>12.102346953442881</v>
      </c>
      <c r="T435" s="1263">
        <v>12.650536885131931</v>
      </c>
      <c r="U435" s="1263">
        <v>7.3794798496602931</v>
      </c>
      <c r="V435" s="1263">
        <v>0.51515505208035872</v>
      </c>
      <c r="W435" s="1263">
        <v>16.951719426076785</v>
      </c>
      <c r="X435" s="643"/>
      <c r="Y435" s="643"/>
      <c r="Z435" s="643"/>
      <c r="AA435" s="643"/>
      <c r="AB435" s="643"/>
      <c r="AC435" s="643"/>
      <c r="AD435" s="1374"/>
      <c r="AE435" s="1374"/>
      <c r="AF435" s="1374"/>
      <c r="AG435" s="206"/>
      <c r="AH435" s="1374"/>
      <c r="AI435" s="1374"/>
      <c r="AJ435" s="1374"/>
      <c r="AK435" s="1374"/>
      <c r="AL435" s="1374"/>
      <c r="AM435" s="911"/>
      <c r="AN435" s="1374"/>
      <c r="AO435" s="1439"/>
    </row>
    <row r="436" spans="1:41" x14ac:dyDescent="0.3">
      <c r="A436" s="1095">
        <v>42309</v>
      </c>
      <c r="B436" s="1263">
        <v>4.2627246598415347</v>
      </c>
      <c r="C436" s="1263">
        <v>2.5637682126816714</v>
      </c>
      <c r="D436" s="1263">
        <v>7.4063491619855171</v>
      </c>
      <c r="E436" s="1263">
        <v>3.962362881564049</v>
      </c>
      <c r="F436" s="1263">
        <v>10.556806978349666</v>
      </c>
      <c r="G436" s="1263">
        <v>9.5892788438776986</v>
      </c>
      <c r="H436" s="1263">
        <v>7.4069653850131552</v>
      </c>
      <c r="I436" s="1263">
        <v>6.9062272906209614</v>
      </c>
      <c r="J436" s="1263">
        <v>0.15946883619551064</v>
      </c>
      <c r="K436" s="1263">
        <v>7.0227622093792199</v>
      </c>
      <c r="L436" s="589"/>
      <c r="M436" s="1077">
        <v>42309</v>
      </c>
      <c r="N436" s="1263">
        <v>7.8193130064403693</v>
      </c>
      <c r="O436" s="1263">
        <v>14.66898407190434</v>
      </c>
      <c r="P436" s="1263">
        <v>9.5122899609407661</v>
      </c>
      <c r="Q436" s="1263">
        <v>18.864333450763393</v>
      </c>
      <c r="R436" s="1263">
        <v>8.2920585905225241</v>
      </c>
      <c r="S436" s="1263">
        <v>14.873801374640369</v>
      </c>
      <c r="T436" s="1263">
        <v>15.547527569310489</v>
      </c>
      <c r="U436" s="1263">
        <v>9.0693910820977859</v>
      </c>
      <c r="V436" s="1263">
        <v>0.65822364425211777</v>
      </c>
      <c r="W436" s="1263">
        <v>20.833686942876056</v>
      </c>
      <c r="X436" s="643"/>
      <c r="Y436" s="643"/>
      <c r="Z436" s="643"/>
      <c r="AA436" s="643"/>
      <c r="AB436" s="643"/>
      <c r="AC436" s="643"/>
      <c r="AD436" s="1374"/>
      <c r="AE436" s="1374"/>
      <c r="AF436" s="1374"/>
      <c r="AG436" s="206"/>
      <c r="AH436" s="1374"/>
      <c r="AI436" s="1374"/>
      <c r="AJ436" s="1374"/>
      <c r="AK436" s="1374"/>
      <c r="AL436" s="1374"/>
      <c r="AM436" s="911"/>
      <c r="AN436" s="1374"/>
      <c r="AO436" s="1439"/>
    </row>
    <row r="437" spans="1:41" x14ac:dyDescent="0.3">
      <c r="A437" s="1095">
        <v>42339</v>
      </c>
      <c r="B437" s="1263">
        <v>4.8642565528422494</v>
      </c>
      <c r="C437" s="1263">
        <v>2.9255528619972093</v>
      </c>
      <c r="D437" s="1263">
        <v>8.3942387578897808</v>
      </c>
      <c r="E437" s="1263">
        <v>4.4388275752885527</v>
      </c>
      <c r="F437" s="1263">
        <v>12.65961192142254</v>
      </c>
      <c r="G437" s="1263">
        <v>11.499362356322713</v>
      </c>
      <c r="H437" s="1263">
        <v>8.8823550039308863</v>
      </c>
      <c r="I437" s="1263">
        <v>7.8807955086336303</v>
      </c>
      <c r="J437" s="1263">
        <v>0.18197218758834316</v>
      </c>
      <c r="K437" s="1263">
        <v>8.0137751841789591</v>
      </c>
      <c r="L437" s="589"/>
      <c r="M437" s="1077">
        <v>42339</v>
      </c>
      <c r="N437" s="1263">
        <v>10.496261652197498</v>
      </c>
      <c r="O437" s="1263">
        <v>17.139329185523184</v>
      </c>
      <c r="P437" s="1263">
        <v>10.878796444195968</v>
      </c>
      <c r="Q437" s="1263">
        <v>22.492921154872466</v>
      </c>
      <c r="R437" s="1263">
        <v>10.058541669642358</v>
      </c>
      <c r="S437" s="1263">
        <v>17.73480321826483</v>
      </c>
      <c r="T437" s="1263">
        <v>27.189245352043642</v>
      </c>
      <c r="U437" s="1263">
        <v>10.813904401380993</v>
      </c>
      <c r="V437" s="1263">
        <v>0.76907246345296343</v>
      </c>
      <c r="W437" s="1263">
        <v>24.841083253458049</v>
      </c>
      <c r="X437" s="643"/>
      <c r="Y437" s="643"/>
      <c r="Z437" s="643"/>
      <c r="AA437" s="643"/>
      <c r="AB437" s="643"/>
      <c r="AC437" s="643"/>
      <c r="AD437" s="1374"/>
      <c r="AE437" s="1374"/>
      <c r="AF437" s="1374"/>
      <c r="AG437" s="206"/>
      <c r="AH437" s="1374"/>
      <c r="AI437" s="1374"/>
      <c r="AJ437" s="1374"/>
      <c r="AK437" s="1374"/>
      <c r="AL437" s="1374"/>
      <c r="AM437" s="911"/>
      <c r="AN437" s="1374"/>
      <c r="AO437" s="1439"/>
    </row>
    <row r="438" spans="1:41" x14ac:dyDescent="0.3">
      <c r="A438" s="1095">
        <v>42370</v>
      </c>
      <c r="B438" s="1263">
        <v>4.6274643798550832</v>
      </c>
      <c r="C438" s="1263">
        <v>2.7831368500423377</v>
      </c>
      <c r="D438" s="1263">
        <v>8.0788021961224405</v>
      </c>
      <c r="E438" s="1263">
        <v>4.7872408124110066</v>
      </c>
      <c r="F438" s="1263">
        <v>11.544860107100412</v>
      </c>
      <c r="G438" s="1263">
        <v>10.486777205227664</v>
      </c>
      <c r="H438" s="1263">
        <v>8.1002124376702476</v>
      </c>
      <c r="I438" s="1263">
        <v>7.4971581175781639</v>
      </c>
      <c r="J438" s="1263">
        <v>0.17311377536148512</v>
      </c>
      <c r="K438" s="1263">
        <v>8.9553087638922122</v>
      </c>
      <c r="L438" s="589"/>
      <c r="M438" s="1077">
        <v>42370</v>
      </c>
      <c r="N438" s="1263">
        <v>12.278182881222266</v>
      </c>
      <c r="O438" s="1263">
        <v>17.1357956061699</v>
      </c>
      <c r="P438" s="1263">
        <v>10.133052544357611</v>
      </c>
      <c r="Q438" s="1263">
        <v>22.6439993729634</v>
      </c>
      <c r="R438" s="1263">
        <v>9.6418360412893485</v>
      </c>
      <c r="S438" s="1263">
        <v>17.853922582528835</v>
      </c>
      <c r="T438" s="1263">
        <v>27.371867373911801</v>
      </c>
      <c r="U438" s="1263">
        <v>10.886538160078556</v>
      </c>
      <c r="V438" s="1263">
        <v>0.76891390540505966</v>
      </c>
      <c r="W438" s="1263">
        <v>25.007933373437599</v>
      </c>
      <c r="X438" s="643"/>
      <c r="Y438" s="643"/>
      <c r="Z438" s="643"/>
      <c r="AA438" s="643"/>
      <c r="AB438" s="643"/>
      <c r="AC438" s="643"/>
      <c r="AD438" s="1374"/>
      <c r="AE438" s="1374"/>
      <c r="AF438" s="1374"/>
      <c r="AG438" s="206"/>
      <c r="AH438" s="1374"/>
      <c r="AI438" s="1374"/>
      <c r="AJ438" s="1374"/>
      <c r="AK438" s="1374"/>
      <c r="AL438" s="1374"/>
      <c r="AM438" s="911"/>
      <c r="AN438" s="1374"/>
      <c r="AO438" s="1439"/>
    </row>
    <row r="439" spans="1:41" x14ac:dyDescent="0.3">
      <c r="A439" s="1095">
        <v>42401</v>
      </c>
      <c r="B439" s="1263">
        <v>3.9800409489504034</v>
      </c>
      <c r="C439" s="1263">
        <v>2.3937512469946309</v>
      </c>
      <c r="D439" s="1263">
        <v>6.9464070593702374</v>
      </c>
      <c r="E439" s="1263">
        <v>4.0121099995639797</v>
      </c>
      <c r="F439" s="1263">
        <v>10.742174939684025</v>
      </c>
      <c r="G439" s="1263">
        <v>9.7576578881854896</v>
      </c>
      <c r="H439" s="1263">
        <v>7.5370249831387914</v>
      </c>
      <c r="I439" s="1263">
        <v>6.4482390050620921</v>
      </c>
      <c r="J439" s="1263">
        <v>0.14889361823411582</v>
      </c>
      <c r="K439" s="1263">
        <v>7.7023814048032984</v>
      </c>
      <c r="L439" s="589"/>
      <c r="M439" s="1077">
        <v>42401</v>
      </c>
      <c r="N439" s="1263">
        <v>11.125431555570191</v>
      </c>
      <c r="O439" s="1263">
        <v>13.818382617715045</v>
      </c>
      <c r="P439" s="1263">
        <v>9.0813690574811314</v>
      </c>
      <c r="Q439" s="1263">
        <v>19.251089806417063</v>
      </c>
      <c r="R439" s="1263">
        <v>9.1516021474158151</v>
      </c>
      <c r="S439" s="1263">
        <v>15.192751955334547</v>
      </c>
      <c r="T439" s="1263">
        <v>27.523855425931423</v>
      </c>
      <c r="U439" s="1263">
        <v>9.2613350960601011</v>
      </c>
      <c r="V439" s="1263">
        <v>0.48718656665020987</v>
      </c>
      <c r="W439" s="1263">
        <v>21.228228759508543</v>
      </c>
      <c r="X439" s="643"/>
      <c r="Y439" s="643"/>
      <c r="Z439" s="643"/>
      <c r="AA439" s="643"/>
      <c r="AB439" s="643"/>
      <c r="AC439" s="643"/>
      <c r="AD439" s="1374"/>
      <c r="AE439" s="1374"/>
      <c r="AF439" s="1374"/>
      <c r="AG439" s="206"/>
      <c r="AH439" s="1374"/>
      <c r="AI439" s="1374"/>
      <c r="AJ439" s="1374"/>
      <c r="AK439" s="1374"/>
      <c r="AL439" s="1374"/>
      <c r="AM439" s="911"/>
      <c r="AN439" s="1374"/>
      <c r="AO439" s="1439"/>
    </row>
    <row r="440" spans="1:41" x14ac:dyDescent="0.3">
      <c r="A440" s="1095">
        <v>42430</v>
      </c>
      <c r="B440" s="1263">
        <v>4.0518681276816135</v>
      </c>
      <c r="C440" s="1263">
        <v>2.4369509026919633</v>
      </c>
      <c r="D440" s="1263">
        <v>6.8726598427662644</v>
      </c>
      <c r="E440" s="1263">
        <v>4.0043883440509171</v>
      </c>
      <c r="F440" s="1263">
        <v>10.836403783398076</v>
      </c>
      <c r="G440" s="1263">
        <v>9.8432506871599639</v>
      </c>
      <c r="H440" s="1263">
        <v>7.6031387034228874</v>
      </c>
      <c r="I440" s="1263">
        <v>6.5646093694525138</v>
      </c>
      <c r="J440" s="1263">
        <v>0.15158067815787332</v>
      </c>
      <c r="K440" s="1263">
        <v>7.8413850816284469</v>
      </c>
      <c r="L440" s="589"/>
      <c r="M440" s="1077">
        <v>42430</v>
      </c>
      <c r="N440" s="1263">
        <v>8.5678291107376587</v>
      </c>
      <c r="O440" s="1263">
        <v>14.417270690311744</v>
      </c>
      <c r="P440" s="1263">
        <v>8.0730137905364732</v>
      </c>
      <c r="Q440" s="1263">
        <v>19.334437136459147</v>
      </c>
      <c r="R440" s="1263">
        <v>7.8174803397879087</v>
      </c>
      <c r="S440" s="1263">
        <v>15.258528767151542</v>
      </c>
      <c r="T440" s="1263">
        <v>27.643019581586184</v>
      </c>
      <c r="U440" s="1263">
        <v>9.301431919701967</v>
      </c>
      <c r="V440" s="1263">
        <v>0.50830121023534991</v>
      </c>
      <c r="W440" s="1263">
        <v>21.320136085609004</v>
      </c>
      <c r="X440" s="643"/>
      <c r="Y440" s="643"/>
      <c r="Z440" s="643"/>
      <c r="AA440" s="643"/>
      <c r="AB440" s="643"/>
      <c r="AC440" s="643"/>
      <c r="AD440" s="1374"/>
      <c r="AE440" s="1374"/>
      <c r="AF440" s="1374"/>
      <c r="AG440" s="206"/>
      <c r="AH440" s="1374"/>
      <c r="AI440" s="1374"/>
      <c r="AJ440" s="1374"/>
      <c r="AK440" s="1374"/>
      <c r="AL440" s="1374"/>
      <c r="AM440" s="911"/>
      <c r="AN440" s="1374"/>
      <c r="AO440" s="1439"/>
    </row>
    <row r="441" spans="1:41" x14ac:dyDescent="0.3">
      <c r="A441" s="1095">
        <v>42461</v>
      </c>
      <c r="B441" s="1263">
        <v>3.6638373630788168</v>
      </c>
      <c r="C441" s="1263">
        <v>2.203574126283375</v>
      </c>
      <c r="D441" s="1263">
        <v>5.6115662047592672</v>
      </c>
      <c r="E441" s="1263">
        <v>3.5368270181326413</v>
      </c>
      <c r="F441" s="1263">
        <v>9.1999739665486224</v>
      </c>
      <c r="G441" s="1263">
        <v>8.3567991630971168</v>
      </c>
      <c r="H441" s="1263">
        <v>6.454971550867616</v>
      </c>
      <c r="I441" s="1263">
        <v>5.9359436990312915</v>
      </c>
      <c r="J441" s="1263">
        <v>0.13706441933820035</v>
      </c>
      <c r="K441" s="1263">
        <v>7.0904478465338254</v>
      </c>
      <c r="L441" s="589"/>
      <c r="M441" s="1077">
        <v>42461</v>
      </c>
      <c r="N441" s="1263">
        <v>8.5523298282612625</v>
      </c>
      <c r="O441" s="1263">
        <v>11.369154937876722</v>
      </c>
      <c r="P441" s="1263">
        <v>4.7183474773148637</v>
      </c>
      <c r="Q441" s="1263">
        <v>15.144647876669389</v>
      </c>
      <c r="R441" s="1263">
        <v>4.7067636851477301</v>
      </c>
      <c r="S441" s="1263">
        <v>11.951992378344491</v>
      </c>
      <c r="T441" s="1263">
        <v>21.65275331556245</v>
      </c>
      <c r="U441" s="1263">
        <v>7.2858035731004076</v>
      </c>
      <c r="V441" s="1263">
        <v>0.40083559075847414</v>
      </c>
      <c r="W441" s="1263">
        <v>16.700044145084082</v>
      </c>
      <c r="X441" s="643"/>
      <c r="Y441" s="643"/>
      <c r="Z441" s="643"/>
      <c r="AA441" s="643"/>
      <c r="AB441" s="643"/>
      <c r="AC441" s="643"/>
      <c r="AD441" s="1374"/>
      <c r="AE441" s="1374"/>
      <c r="AF441" s="1374"/>
      <c r="AG441" s="206"/>
      <c r="AH441" s="1374"/>
      <c r="AI441" s="1374"/>
      <c r="AJ441" s="1374"/>
      <c r="AK441" s="1374"/>
      <c r="AL441" s="1374"/>
      <c r="AM441" s="911"/>
      <c r="AN441" s="1374"/>
      <c r="AO441" s="1439"/>
    </row>
    <row r="442" spans="1:41" x14ac:dyDescent="0.3">
      <c r="A442" s="1095">
        <v>42491</v>
      </c>
      <c r="B442" s="1263">
        <v>3.8127682665863687</v>
      </c>
      <c r="C442" s="1263">
        <v>2.2931469574577013</v>
      </c>
      <c r="D442" s="1263">
        <v>5.8114027956701095</v>
      </c>
      <c r="E442" s="1263">
        <v>3.6404734403320891</v>
      </c>
      <c r="F442" s="1263">
        <v>9.4250296743201414</v>
      </c>
      <c r="G442" s="1263">
        <v>8.5612285840056686</v>
      </c>
      <c r="H442" s="1263">
        <v>6.6128772358519115</v>
      </c>
      <c r="I442" s="1263">
        <v>6.1772331916205054</v>
      </c>
      <c r="J442" s="1263">
        <v>0.14263593515287135</v>
      </c>
      <c r="K442" s="1263">
        <v>7.3786666454081526</v>
      </c>
      <c r="L442" s="589"/>
      <c r="M442" s="1077">
        <v>42491</v>
      </c>
      <c r="N442" s="1263">
        <v>6.511570742829516</v>
      </c>
      <c r="O442" s="1263">
        <v>11.192913324678063</v>
      </c>
      <c r="P442" s="1263">
        <v>4.5324134957639162</v>
      </c>
      <c r="Q442" s="1263">
        <v>13.992091432806346</v>
      </c>
      <c r="R442" s="1263">
        <v>4.1811569613609132</v>
      </c>
      <c r="S442" s="1263">
        <v>11.04240729291744</v>
      </c>
      <c r="T442" s="1263">
        <v>20.00490910257988</v>
      </c>
      <c r="U442" s="1263">
        <v>6.7313304730798089</v>
      </c>
      <c r="V442" s="1263">
        <v>0.39462194413929069</v>
      </c>
      <c r="W442" s="1263">
        <v>15.429117039418887</v>
      </c>
      <c r="X442" s="643"/>
      <c r="Y442" s="643"/>
      <c r="Z442" s="643"/>
      <c r="AA442" s="643"/>
      <c r="AB442" s="643"/>
      <c r="AC442" s="643"/>
      <c r="AD442" s="1374"/>
      <c r="AE442" s="1374"/>
      <c r="AF442" s="1374"/>
      <c r="AG442" s="206"/>
      <c r="AH442" s="1374"/>
      <c r="AI442" s="1374"/>
      <c r="AJ442" s="1374"/>
      <c r="AK442" s="1374"/>
      <c r="AL442" s="1374"/>
      <c r="AM442" s="911"/>
      <c r="AN442" s="1374"/>
      <c r="AO442" s="1439"/>
    </row>
    <row r="443" spans="1:41" x14ac:dyDescent="0.3">
      <c r="A443" s="1095">
        <v>42522</v>
      </c>
      <c r="B443" s="1263">
        <v>3.739534877837742</v>
      </c>
      <c r="C443" s="1263">
        <v>2.2491015524261528</v>
      </c>
      <c r="D443" s="1263">
        <v>5.6666984885072491</v>
      </c>
      <c r="E443" s="1263">
        <v>3.6693641433892963</v>
      </c>
      <c r="F443" s="1263">
        <v>8.5416074806577633</v>
      </c>
      <c r="G443" s="1263">
        <v>7.7587717645078662</v>
      </c>
      <c r="H443" s="1263">
        <v>5.9930423158586539</v>
      </c>
      <c r="I443" s="1263">
        <v>6.0585845646694922</v>
      </c>
      <c r="J443" s="1263">
        <v>0.1398962688111961</v>
      </c>
      <c r="K443" s="1263">
        <v>7.2369415981176441</v>
      </c>
      <c r="L443" s="589"/>
      <c r="M443" s="1077">
        <v>42522</v>
      </c>
      <c r="N443" s="1263">
        <v>5.8221029679540424</v>
      </c>
      <c r="O443" s="1263">
        <v>9.0341931771730799</v>
      </c>
      <c r="P443" s="1263">
        <v>3.61827212182923</v>
      </c>
      <c r="Q443" s="1263">
        <v>12.176035163723146</v>
      </c>
      <c r="R443" s="1263">
        <v>3.638066371087993</v>
      </c>
      <c r="S443" s="1263">
        <v>9.6091953183977257</v>
      </c>
      <c r="T443" s="1263">
        <v>17.408439463809579</v>
      </c>
      <c r="U443" s="1263">
        <v>5.8576601598451878</v>
      </c>
      <c r="V443" s="1263">
        <v>0.31851322099007656</v>
      </c>
      <c r="W443" s="1263">
        <v>13.426546883240658</v>
      </c>
      <c r="X443" s="643"/>
      <c r="Y443" s="643"/>
      <c r="Z443" s="643"/>
      <c r="AA443" s="643"/>
      <c r="AB443" s="643"/>
      <c r="AC443" s="643"/>
      <c r="AD443" s="1374"/>
      <c r="AE443" s="1374"/>
      <c r="AF443" s="1374"/>
      <c r="AG443" s="206"/>
      <c r="AH443" s="1374"/>
      <c r="AI443" s="1374"/>
      <c r="AJ443" s="1374"/>
      <c r="AK443" s="1374"/>
      <c r="AL443" s="1374"/>
      <c r="AM443" s="911"/>
      <c r="AN443" s="1374"/>
      <c r="AO443" s="1439"/>
    </row>
    <row r="444" spans="1:41" x14ac:dyDescent="0.3">
      <c r="A444" s="1095">
        <v>42552</v>
      </c>
      <c r="B444" s="1263">
        <v>3.7064828731606405</v>
      </c>
      <c r="C444" s="1263">
        <v>2.384747705948576</v>
      </c>
      <c r="D444" s="1263">
        <v>6.7776925077897783</v>
      </c>
      <c r="E444" s="1263">
        <v>3.8675412860263934</v>
      </c>
      <c r="F444" s="1263">
        <v>8.7129956355562346</v>
      </c>
      <c r="G444" s="1263">
        <v>7.9144522473687999</v>
      </c>
      <c r="H444" s="1263">
        <v>6.1132932717904742</v>
      </c>
      <c r="I444" s="1263">
        <v>6.2262162983138536</v>
      </c>
      <c r="J444" s="1263">
        <v>0.18560536390637503</v>
      </c>
      <c r="K444" s="1263">
        <v>7.4523365810893001</v>
      </c>
      <c r="L444" s="589"/>
      <c r="M444" s="1077">
        <v>42552</v>
      </c>
      <c r="N444" s="1263">
        <v>5.6560279219321519</v>
      </c>
      <c r="O444" s="1263">
        <v>9.3851920729230702</v>
      </c>
      <c r="P444" s="1263">
        <v>3.7820273838016338</v>
      </c>
      <c r="Q444" s="1263">
        <v>12.455753235144059</v>
      </c>
      <c r="R444" s="1263">
        <v>3.7035664718810262</v>
      </c>
      <c r="S444" s="1263">
        <v>9.82994579638396</v>
      </c>
      <c r="T444" s="1263">
        <v>17.808360706462722</v>
      </c>
      <c r="U444" s="1263">
        <v>5.9922272320422758</v>
      </c>
      <c r="V444" s="1263">
        <v>0.3308881820581851</v>
      </c>
      <c r="W444" s="1263">
        <v>13.734992756591284</v>
      </c>
      <c r="X444" s="643"/>
      <c r="Y444" s="643"/>
      <c r="Z444" s="643"/>
      <c r="AA444" s="643"/>
      <c r="AB444" s="643"/>
      <c r="AC444" s="643"/>
      <c r="AD444" s="1374"/>
      <c r="AE444" s="1374"/>
      <c r="AF444" s="1374"/>
      <c r="AG444" s="206"/>
      <c r="AH444" s="1374"/>
      <c r="AI444" s="1374"/>
      <c r="AJ444" s="1374"/>
      <c r="AK444" s="1374"/>
      <c r="AL444" s="1374"/>
      <c r="AM444" s="911"/>
      <c r="AN444" s="1374"/>
      <c r="AO444" s="1439"/>
    </row>
    <row r="445" spans="1:41" x14ac:dyDescent="0.3">
      <c r="A445" s="1095">
        <v>42583</v>
      </c>
      <c r="B445" s="1263">
        <v>3.6884521937398671</v>
      </c>
      <c r="C445" s="1263">
        <v>2.3731467832256503</v>
      </c>
      <c r="D445" s="1263">
        <v>6.6021365822775238</v>
      </c>
      <c r="E445" s="1263">
        <v>3.8132891965610352</v>
      </c>
      <c r="F445" s="1263">
        <v>8.9001364255213904</v>
      </c>
      <c r="G445" s="1263">
        <v>8.0844416411049682</v>
      </c>
      <c r="H445" s="1263">
        <v>6.2445967384768188</v>
      </c>
      <c r="I445" s="1263">
        <v>6.1959280401669696</v>
      </c>
      <c r="J445" s="1263">
        <v>0.18470246190199638</v>
      </c>
      <c r="K445" s="1263">
        <v>7.4160836975801576</v>
      </c>
      <c r="L445" s="589"/>
      <c r="M445" s="1077">
        <v>42583</v>
      </c>
      <c r="N445" s="1263">
        <v>5.3045415996620378</v>
      </c>
      <c r="O445" s="1263">
        <v>9.5663773372855658</v>
      </c>
      <c r="P445" s="1263">
        <v>4.1212291167415618</v>
      </c>
      <c r="Q445" s="1263">
        <v>12.79235454547007</v>
      </c>
      <c r="R445" s="1263">
        <v>4.0117365415873305</v>
      </c>
      <c r="S445" s="1263">
        <v>10.095587911560163</v>
      </c>
      <c r="T445" s="1263">
        <v>18.289609606901802</v>
      </c>
      <c r="U445" s="1263">
        <v>6.1541597543072228</v>
      </c>
      <c r="V445" s="1263">
        <v>0.33727612407096541</v>
      </c>
      <c r="W445" s="1263">
        <v>14.106163931221047</v>
      </c>
      <c r="X445" s="643"/>
      <c r="Y445" s="643"/>
      <c r="Z445" s="643"/>
      <c r="AA445" s="643"/>
      <c r="AB445" s="643"/>
      <c r="AC445" s="643"/>
      <c r="AD445" s="1374"/>
      <c r="AE445" s="1374"/>
      <c r="AF445" s="1374"/>
      <c r="AG445" s="206"/>
      <c r="AH445" s="1374"/>
      <c r="AI445" s="1374"/>
      <c r="AJ445" s="1374"/>
      <c r="AK445" s="1374"/>
      <c r="AL445" s="1374"/>
      <c r="AM445" s="911"/>
      <c r="AN445" s="1374"/>
      <c r="AO445" s="1439"/>
    </row>
    <row r="446" spans="1:41" x14ac:dyDescent="0.3">
      <c r="A446" s="1095">
        <v>42614</v>
      </c>
      <c r="B446" s="1263">
        <v>3.4844251510854085</v>
      </c>
      <c r="C446" s="1263">
        <v>2.2418759697423569</v>
      </c>
      <c r="D446" s="1263">
        <v>5.7396266808377963</v>
      </c>
      <c r="E446" s="1263">
        <v>3.5057483721121914</v>
      </c>
      <c r="F446" s="1263">
        <v>8.7511211331563814</v>
      </c>
      <c r="G446" s="1263">
        <v>7.9490835547611933</v>
      </c>
      <c r="H446" s="1263">
        <v>6.1400432390476034</v>
      </c>
      <c r="I446" s="1263">
        <v>5.853199760624503</v>
      </c>
      <c r="J446" s="1263">
        <v>0.17448562972051365</v>
      </c>
      <c r="K446" s="1263">
        <v>7.0058624054448657</v>
      </c>
      <c r="L446" s="589"/>
      <c r="M446" s="1077">
        <v>42614</v>
      </c>
      <c r="N446" s="1263">
        <v>5.5951885619127602</v>
      </c>
      <c r="O446" s="1263">
        <v>11.306260625566949</v>
      </c>
      <c r="P446" s="1263">
        <v>5.5036055473683865</v>
      </c>
      <c r="Q446" s="1263">
        <v>14.488754363507432</v>
      </c>
      <c r="R446" s="1263">
        <v>4.9845928308071255</v>
      </c>
      <c r="S446" s="1263">
        <v>11.434368308497758</v>
      </c>
      <c r="T446" s="1263">
        <v>20.715002860257925</v>
      </c>
      <c r="U446" s="1263">
        <v>6.9702656127143854</v>
      </c>
      <c r="V446" s="1263">
        <v>0.39861816308088605</v>
      </c>
      <c r="W446" s="1263">
        <v>15.976788595435224</v>
      </c>
      <c r="X446" s="643"/>
      <c r="Y446" s="643"/>
      <c r="Z446" s="643"/>
      <c r="AA446" s="643"/>
      <c r="AB446" s="643"/>
      <c r="AC446" s="643"/>
      <c r="AD446" s="1374"/>
      <c r="AE446" s="1374"/>
      <c r="AF446" s="1374"/>
      <c r="AG446" s="206"/>
      <c r="AH446" s="1374"/>
      <c r="AI446" s="1374"/>
      <c r="AJ446" s="1374"/>
      <c r="AK446" s="1374"/>
      <c r="AL446" s="1374"/>
      <c r="AM446" s="911"/>
      <c r="AN446" s="1374"/>
      <c r="AO446" s="1439"/>
    </row>
    <row r="447" spans="1:41" x14ac:dyDescent="0.3">
      <c r="A447" s="1095">
        <v>42644</v>
      </c>
      <c r="B447" s="1263">
        <v>3.8855164301371485</v>
      </c>
      <c r="C447" s="1263">
        <v>2.499937733502505</v>
      </c>
      <c r="D447" s="1263">
        <v>6.0897950422668448</v>
      </c>
      <c r="E447" s="1263">
        <v>3.9803019743236825</v>
      </c>
      <c r="F447" s="1263">
        <v>9.6719752268298986</v>
      </c>
      <c r="G447" s="1263">
        <v>8.7855416520695204</v>
      </c>
      <c r="H447" s="1263">
        <v>6.7861414778877789</v>
      </c>
      <c r="I447" s="1263">
        <v>6.5269600730831918</v>
      </c>
      <c r="J447" s="1263">
        <v>0.19457062548486481</v>
      </c>
      <c r="K447" s="1263">
        <v>7.8123054171953292</v>
      </c>
      <c r="L447" s="589"/>
      <c r="M447" s="1077">
        <v>42644</v>
      </c>
      <c r="N447" s="1263">
        <v>7.6227483272326175</v>
      </c>
      <c r="O447" s="1263">
        <v>15.743437089632325</v>
      </c>
      <c r="P447" s="1263">
        <v>9.3811128581037924</v>
      </c>
      <c r="Q447" s="1263">
        <v>20.443891816348426</v>
      </c>
      <c r="R447" s="1263">
        <v>8.5014749337645039</v>
      </c>
      <c r="S447" s="1263">
        <v>16.134098406415511</v>
      </c>
      <c r="T447" s="1263">
        <v>29.229239921211665</v>
      </c>
      <c r="U447" s="1263">
        <v>9.8351695765135645</v>
      </c>
      <c r="V447" s="1263">
        <v>0.55505707687806272</v>
      </c>
      <c r="W447" s="1263">
        <v>22.54353475964907</v>
      </c>
      <c r="X447" s="643"/>
      <c r="Y447" s="643"/>
      <c r="Z447" s="643"/>
      <c r="AA447" s="643"/>
      <c r="AB447" s="643"/>
      <c r="AC447" s="643"/>
      <c r="AD447" s="1374"/>
      <c r="AE447" s="1374"/>
      <c r="AF447" s="1374"/>
      <c r="AG447" s="206"/>
      <c r="AH447" s="1374"/>
      <c r="AI447" s="1374"/>
      <c r="AJ447" s="1374"/>
      <c r="AK447" s="1374"/>
      <c r="AL447" s="1374"/>
      <c r="AM447" s="911"/>
      <c r="AN447" s="1374"/>
      <c r="AO447" s="1439"/>
    </row>
    <row r="448" spans="1:41" x14ac:dyDescent="0.3">
      <c r="A448" s="1095">
        <v>42675</v>
      </c>
      <c r="B448" s="1263">
        <v>3.8418244547872464</v>
      </c>
      <c r="C448" s="1263">
        <v>2.4718263563426293</v>
      </c>
      <c r="D448" s="1263">
        <v>5.4562193789236613</v>
      </c>
      <c r="E448" s="1263">
        <v>4.0124240678188157</v>
      </c>
      <c r="F448" s="1263">
        <v>10.468454542094765</v>
      </c>
      <c r="G448" s="1263">
        <v>9.5090238814139809</v>
      </c>
      <c r="H448" s="1263">
        <v>7.3449747245451036</v>
      </c>
      <c r="I448" s="1263">
        <v>6.4535655105454959</v>
      </c>
      <c r="J448" s="1263">
        <v>0.19238271169647819</v>
      </c>
      <c r="K448" s="1263">
        <v>7.724457363570715</v>
      </c>
      <c r="L448" s="589"/>
      <c r="M448" s="1077">
        <v>42675</v>
      </c>
      <c r="N448" s="1263">
        <v>10.15227825958797</v>
      </c>
      <c r="O448" s="1263">
        <v>14.975895462378451</v>
      </c>
      <c r="P448" s="1263">
        <v>9.7081041180960401</v>
      </c>
      <c r="Q448" s="1263">
        <v>20.08974834177431</v>
      </c>
      <c r="R448" s="1263">
        <v>9.1014477280770052</v>
      </c>
      <c r="S448" s="1263">
        <v>15.854612204859723</v>
      </c>
      <c r="T448" s="1263">
        <v>28.722910467023269</v>
      </c>
      <c r="U448" s="1263">
        <v>9.6647978509076395</v>
      </c>
      <c r="V448" s="1263">
        <v>0.5279963143787274</v>
      </c>
      <c r="W448" s="1263">
        <v>22.153019793091669</v>
      </c>
      <c r="X448" s="643"/>
      <c r="Y448" s="643"/>
      <c r="Z448" s="643"/>
      <c r="AA448" s="643"/>
      <c r="AB448" s="643"/>
      <c r="AC448" s="643"/>
      <c r="AD448" s="1374"/>
      <c r="AE448" s="1374"/>
      <c r="AF448" s="1374"/>
      <c r="AG448" s="206"/>
      <c r="AH448" s="1374"/>
      <c r="AI448" s="1374"/>
      <c r="AJ448" s="1374"/>
      <c r="AK448" s="1374"/>
      <c r="AL448" s="1374"/>
      <c r="AM448" s="911"/>
      <c r="AN448" s="1374"/>
      <c r="AO448" s="1439"/>
    </row>
    <row r="449" spans="1:41" x14ac:dyDescent="0.3">
      <c r="A449" s="1095">
        <v>42705</v>
      </c>
      <c r="B449" s="1263">
        <v>4.728720254492929</v>
      </c>
      <c r="C449" s="1263">
        <v>3.0424543063808835</v>
      </c>
      <c r="D449" s="1263">
        <v>7.1784403860601964</v>
      </c>
      <c r="E449" s="1263">
        <v>4.9679745846919667</v>
      </c>
      <c r="F449" s="1263">
        <v>12.283889615469647</v>
      </c>
      <c r="G449" s="1263">
        <v>11.158074884927624</v>
      </c>
      <c r="H449" s="1263">
        <v>8.6187372149272772</v>
      </c>
      <c r="I449" s="1263">
        <v>7.9433889555746173</v>
      </c>
      <c r="J449" s="1263">
        <v>0.23679479271360648</v>
      </c>
      <c r="K449" s="1263">
        <v>9.5076697074402592</v>
      </c>
      <c r="L449" s="589"/>
      <c r="M449" s="1077">
        <v>42705</v>
      </c>
      <c r="N449" s="1263">
        <v>12.303965404811045</v>
      </c>
      <c r="O449" s="1263">
        <v>21.714870154482277</v>
      </c>
      <c r="P449" s="1263">
        <v>14.315530544313493</v>
      </c>
      <c r="Q449" s="1263">
        <v>27.792713528466123</v>
      </c>
      <c r="R449" s="1263">
        <v>12.666025802174209</v>
      </c>
      <c r="S449" s="1263">
        <v>21.933709054897587</v>
      </c>
      <c r="T449" s="1263">
        <v>39.736068801509674</v>
      </c>
      <c r="U449" s="1263">
        <v>13.370548670451269</v>
      </c>
      <c r="V449" s="1263">
        <v>0.76558837083110587</v>
      </c>
      <c r="W449" s="1263">
        <v>30.64710032328156</v>
      </c>
      <c r="X449" s="643"/>
      <c r="Y449" s="643"/>
      <c r="Z449" s="643"/>
      <c r="AA449" s="643"/>
      <c r="AB449" s="643"/>
      <c r="AC449" s="643"/>
      <c r="AD449" s="1374"/>
      <c r="AE449" s="1374"/>
      <c r="AF449" s="1374"/>
      <c r="AG449" s="206"/>
      <c r="AH449" s="1374"/>
      <c r="AI449" s="1374"/>
      <c r="AJ449" s="1374"/>
      <c r="AK449" s="1374"/>
      <c r="AL449" s="1374"/>
      <c r="AM449" s="911"/>
      <c r="AN449" s="1374"/>
      <c r="AO449" s="1439"/>
    </row>
    <row r="450" spans="1:41" x14ac:dyDescent="0.3">
      <c r="A450" s="1095">
        <v>42736</v>
      </c>
      <c r="B450" s="1263">
        <v>4.6553297451736002</v>
      </c>
      <c r="C450" s="1263">
        <v>2.9952349195047141</v>
      </c>
      <c r="D450" s="1263">
        <v>7.0902514273706174</v>
      </c>
      <c r="E450" s="1263">
        <v>5.1343183873457736</v>
      </c>
      <c r="F450" s="1263">
        <v>12.838114197608309</v>
      </c>
      <c r="G450" s="1263">
        <v>11.163577563137659</v>
      </c>
      <c r="H450" s="1263">
        <v>9.1614141958357962</v>
      </c>
      <c r="I450" s="1263">
        <v>7.8201062638955623</v>
      </c>
      <c r="J450" s="1263">
        <v>0.23311969892371595</v>
      </c>
      <c r="K450" s="1263">
        <v>9.3601091234522311</v>
      </c>
      <c r="L450" s="589"/>
      <c r="M450" s="1077">
        <v>42736</v>
      </c>
      <c r="N450" s="1263">
        <v>15.992324349957196</v>
      </c>
      <c r="O450" s="1263">
        <v>19.870300834958094</v>
      </c>
      <c r="P450" s="1263">
        <v>15.483751954567436</v>
      </c>
      <c r="Q450" s="1263">
        <v>26.044786876029626</v>
      </c>
      <c r="R450" s="1263">
        <v>13.691085972894095</v>
      </c>
      <c r="S450" s="1263">
        <v>20.554264237299055</v>
      </c>
      <c r="T450" s="1263">
        <v>37.237006101134249</v>
      </c>
      <c r="U450" s="1263">
        <v>12.529654226846684</v>
      </c>
      <c r="V450" s="1263">
        <v>0.70055547815557384</v>
      </c>
      <c r="W450" s="1263">
        <v>28.719656879513746</v>
      </c>
      <c r="X450" s="643"/>
      <c r="Y450" s="643"/>
      <c r="Z450" s="643"/>
      <c r="AA450" s="643"/>
      <c r="AB450" s="643"/>
      <c r="AC450" s="643"/>
      <c r="AD450" s="1374"/>
      <c r="AE450" s="1374"/>
      <c r="AF450" s="1374"/>
      <c r="AG450" s="206"/>
      <c r="AH450" s="1374"/>
      <c r="AI450" s="1374"/>
      <c r="AJ450" s="1374"/>
      <c r="AK450" s="1374"/>
      <c r="AL450" s="1374"/>
      <c r="AM450" s="911"/>
      <c r="AN450" s="1374"/>
      <c r="AO450" s="1439"/>
    </row>
    <row r="451" spans="1:41" x14ac:dyDescent="0.3">
      <c r="A451" s="1095">
        <v>42767</v>
      </c>
      <c r="B451" s="1263">
        <v>4.0115426392764482</v>
      </c>
      <c r="C451" s="1263">
        <v>2.5810228817195959</v>
      </c>
      <c r="D451" s="1263">
        <v>5.9598202141453704</v>
      </c>
      <c r="E451" s="1263">
        <v>4.3865459856806011</v>
      </c>
      <c r="F451" s="1263">
        <v>11.086837433415795</v>
      </c>
      <c r="G451" s="1263">
        <v>9.6407282029702568</v>
      </c>
      <c r="H451" s="1263">
        <v>7.9116845578723289</v>
      </c>
      <c r="I451" s="1263">
        <v>6.7386611558103606</v>
      </c>
      <c r="J451" s="1263">
        <v>0.20088149786968557</v>
      </c>
      <c r="K451" s="1263">
        <v>8.0656965053737384</v>
      </c>
      <c r="L451" s="589"/>
      <c r="M451" s="1077">
        <v>42767</v>
      </c>
      <c r="N451" s="1263">
        <v>11.905970860691637</v>
      </c>
      <c r="O451" s="1263">
        <v>18.7409640915266</v>
      </c>
      <c r="P451" s="1263">
        <v>12.236507988211015</v>
      </c>
      <c r="Q451" s="1263">
        <v>23.264728038272917</v>
      </c>
      <c r="R451" s="1263">
        <v>10.771742606496577</v>
      </c>
      <c r="S451" s="1263">
        <v>18.316153289800504</v>
      </c>
      <c r="T451" s="1263">
        <v>20.179902221043356</v>
      </c>
      <c r="U451" s="1263">
        <v>10.347019928624142</v>
      </c>
      <c r="V451" s="1263">
        <v>0.60067192601046793</v>
      </c>
      <c r="W451" s="1263">
        <v>25.321278583092621</v>
      </c>
      <c r="X451" s="643"/>
      <c r="Y451" s="643"/>
      <c r="Z451" s="643"/>
      <c r="AA451" s="643"/>
      <c r="AB451" s="643"/>
      <c r="AC451" s="643"/>
      <c r="AD451" s="1374"/>
      <c r="AE451" s="1374"/>
      <c r="AF451" s="1374"/>
      <c r="AG451" s="206"/>
      <c r="AH451" s="1374"/>
      <c r="AI451" s="1374"/>
      <c r="AJ451" s="1374"/>
      <c r="AK451" s="1374"/>
      <c r="AL451" s="1374"/>
      <c r="AM451" s="911"/>
      <c r="AN451" s="1374"/>
      <c r="AO451" s="1439"/>
    </row>
    <row r="452" spans="1:41" x14ac:dyDescent="0.3">
      <c r="A452" s="1095">
        <v>42795</v>
      </c>
      <c r="B452" s="1263">
        <v>4.2306283295946923</v>
      </c>
      <c r="C452" s="1263">
        <v>2.7219824153993173</v>
      </c>
      <c r="D452" s="1263">
        <v>5.960304913838983</v>
      </c>
      <c r="E452" s="1263">
        <v>4.6137227195973871</v>
      </c>
      <c r="F452" s="1263">
        <v>11.635961341664668</v>
      </c>
      <c r="G452" s="1263">
        <v>10.11822725362145</v>
      </c>
      <c r="H452" s="1263">
        <v>8.3035451918306471</v>
      </c>
      <c r="I452" s="1263">
        <v>7.1066852213373668</v>
      </c>
      <c r="J452" s="1263">
        <v>0.21185240497211663</v>
      </c>
      <c r="K452" s="1263">
        <v>8.5061950481228656</v>
      </c>
      <c r="L452" s="589"/>
      <c r="M452" s="1077">
        <v>42795</v>
      </c>
      <c r="N452" s="1263">
        <v>13.586669912614564</v>
      </c>
      <c r="O452" s="1263">
        <v>18.796987871195125</v>
      </c>
      <c r="P452" s="1263">
        <v>10.280394749376264</v>
      </c>
      <c r="Q452" s="1263">
        <v>25.115018631374625</v>
      </c>
      <c r="R452" s="1263">
        <v>10.206304700110302</v>
      </c>
      <c r="S452" s="1263">
        <v>19.772873784369526</v>
      </c>
      <c r="T452" s="1263">
        <v>21.784850415059758</v>
      </c>
      <c r="U452" s="1263">
        <v>11.169939225556115</v>
      </c>
      <c r="V452" s="1263">
        <v>0.60246755997420276</v>
      </c>
      <c r="W452" s="1263">
        <v>27.335130775584535</v>
      </c>
      <c r="X452" s="643"/>
      <c r="Y452" s="643"/>
      <c r="Z452" s="643"/>
      <c r="AA452" s="643"/>
      <c r="AB452" s="643"/>
      <c r="AC452" s="643"/>
      <c r="AD452" s="1374"/>
      <c r="AE452" s="1374"/>
      <c r="AF452" s="1374"/>
      <c r="AG452" s="206"/>
      <c r="AH452" s="1374"/>
      <c r="AI452" s="1374"/>
      <c r="AJ452" s="1374"/>
      <c r="AK452" s="1374"/>
      <c r="AL452" s="1374"/>
      <c r="AM452" s="911"/>
      <c r="AN452" s="1374"/>
      <c r="AO452" s="1439"/>
    </row>
    <row r="453" spans="1:41" x14ac:dyDescent="0.3">
      <c r="A453" s="1095">
        <v>42826</v>
      </c>
      <c r="B453" s="1263">
        <v>3.9795309013881366</v>
      </c>
      <c r="C453" s="1263">
        <v>2.5604265587079968</v>
      </c>
      <c r="D453" s="1263">
        <v>5.731927406473039</v>
      </c>
      <c r="E453" s="1263">
        <v>4.1030918081581049</v>
      </c>
      <c r="F453" s="1263">
        <v>10.373129616500671</v>
      </c>
      <c r="G453" s="1263">
        <v>9.069190246321412</v>
      </c>
      <c r="H453" s="1263">
        <v>6.0623449822513304</v>
      </c>
      <c r="I453" s="1263">
        <v>6.6848872653060196</v>
      </c>
      <c r="J453" s="1263">
        <v>0.19927848216359409</v>
      </c>
      <c r="K453" s="1263">
        <v>8.0013329959624908</v>
      </c>
      <c r="L453" s="589"/>
      <c r="M453" s="1077">
        <v>42826</v>
      </c>
      <c r="N453" s="1263">
        <v>7.6812085762131872</v>
      </c>
      <c r="O453" s="1263">
        <v>14.36708846525541</v>
      </c>
      <c r="P453" s="1263">
        <v>7.7424529054190714</v>
      </c>
      <c r="Q453" s="1263">
        <v>18.92850996389603</v>
      </c>
      <c r="R453" s="1263">
        <v>7.5362946661126564</v>
      </c>
      <c r="S453" s="1263">
        <v>14.902279943951294</v>
      </c>
      <c r="T453" s="1263">
        <v>16.418652289125287</v>
      </c>
      <c r="U453" s="1263">
        <v>8.418480950793537</v>
      </c>
      <c r="V453" s="1263">
        <v>0.4604836046556221</v>
      </c>
      <c r="W453" s="1263">
        <v>20.601748413743191</v>
      </c>
      <c r="X453" s="643"/>
      <c r="Y453" s="643"/>
      <c r="Z453" s="643"/>
      <c r="AA453" s="643"/>
      <c r="AB453" s="643"/>
      <c r="AC453" s="643"/>
      <c r="AD453" s="1374"/>
      <c r="AE453" s="1374"/>
      <c r="AF453" s="1374"/>
      <c r="AG453" s="206"/>
      <c r="AH453" s="1374"/>
      <c r="AI453" s="1374"/>
      <c r="AJ453" s="1374"/>
      <c r="AK453" s="1374"/>
      <c r="AL453" s="1374"/>
      <c r="AM453" s="911"/>
      <c r="AN453" s="1374"/>
      <c r="AO453" s="1439"/>
    </row>
    <row r="454" spans="1:41" x14ac:dyDescent="0.3">
      <c r="A454" s="1095">
        <v>42856</v>
      </c>
      <c r="B454" s="1263">
        <v>3.8957820050377849</v>
      </c>
      <c r="C454" s="1263">
        <v>2.5065425950470726</v>
      </c>
      <c r="D454" s="1263">
        <v>5.9026715482737888</v>
      </c>
      <c r="E454" s="1263">
        <v>3.9331806537917897</v>
      </c>
      <c r="F454" s="1263">
        <v>10.967581968687336</v>
      </c>
      <c r="G454" s="1263">
        <v>9.5889178187772952</v>
      </c>
      <c r="H454" s="1263">
        <v>6.409759443238471</v>
      </c>
      <c r="I454" s="1263">
        <v>6.5442043696158239</v>
      </c>
      <c r="J454" s="1263">
        <v>0.19508468310507876</v>
      </c>
      <c r="K454" s="1263">
        <v>7.8329456095221017</v>
      </c>
      <c r="L454" s="589"/>
      <c r="M454" s="1077">
        <v>42856</v>
      </c>
      <c r="N454" s="1263">
        <v>5.3304523413692557</v>
      </c>
      <c r="O454" s="1263">
        <v>10.891930449458009</v>
      </c>
      <c r="P454" s="1263">
        <v>4.9959199838473625</v>
      </c>
      <c r="Q454" s="1263">
        <v>13.96528674219347</v>
      </c>
      <c r="R454" s="1263">
        <v>4.7486931858112555</v>
      </c>
      <c r="S454" s="1263">
        <v>10.994769948964471</v>
      </c>
      <c r="T454" s="1263">
        <v>12.11353601394682</v>
      </c>
      <c r="U454" s="1263">
        <v>6.2110805676606304</v>
      </c>
      <c r="V454" s="1263">
        <v>0.34910033491852593</v>
      </c>
      <c r="W454" s="1263">
        <v>15.199787227691234</v>
      </c>
      <c r="X454" s="643"/>
      <c r="Y454" s="643"/>
      <c r="Z454" s="643"/>
      <c r="AA454" s="643"/>
      <c r="AB454" s="643"/>
      <c r="AC454" s="643"/>
      <c r="AD454" s="1374"/>
      <c r="AE454" s="1374"/>
      <c r="AF454" s="1374"/>
      <c r="AG454" s="206"/>
      <c r="AH454" s="1374"/>
      <c r="AI454" s="1374"/>
      <c r="AJ454" s="1374"/>
      <c r="AK454" s="1374"/>
      <c r="AL454" s="1374"/>
      <c r="AM454" s="911"/>
      <c r="AN454" s="1374"/>
      <c r="AO454" s="1439"/>
    </row>
    <row r="455" spans="1:41" x14ac:dyDescent="0.3">
      <c r="A455" s="1095">
        <v>42887</v>
      </c>
      <c r="B455" s="1263">
        <v>3.8128231678755169</v>
      </c>
      <c r="C455" s="1263">
        <v>2.4531669547484363</v>
      </c>
      <c r="D455" s="1263">
        <v>5.8739858410576753</v>
      </c>
      <c r="E455" s="1263">
        <v>3.8775920910681889</v>
      </c>
      <c r="F455" s="1263">
        <v>9.9394043868808044</v>
      </c>
      <c r="G455" s="1263">
        <v>8.6899858241772137</v>
      </c>
      <c r="H455" s="1263">
        <v>5.8088639146592316</v>
      </c>
      <c r="I455" s="1263">
        <v>6.404848629496505</v>
      </c>
      <c r="J455" s="1263">
        <v>0.19093044694976033</v>
      </c>
      <c r="K455" s="1263">
        <v>7.6661467335888611</v>
      </c>
      <c r="L455" s="589"/>
      <c r="M455" s="1077">
        <v>42887</v>
      </c>
      <c r="N455" s="1263">
        <v>4.9623315147155109</v>
      </c>
      <c r="O455" s="1263">
        <v>9.5001850299077191</v>
      </c>
      <c r="P455" s="1263">
        <v>3.7996415914031267</v>
      </c>
      <c r="Q455" s="1263">
        <v>12.565675056955703</v>
      </c>
      <c r="R455" s="1263">
        <v>3.9047568472880094</v>
      </c>
      <c r="S455" s="1263">
        <v>9.8928657216363973</v>
      </c>
      <c r="T455" s="1263">
        <v>10.899508198574837</v>
      </c>
      <c r="U455" s="1263">
        <v>5.5886013374858239</v>
      </c>
      <c r="V455" s="1263">
        <v>0.30449310993293971</v>
      </c>
      <c r="W455" s="1263">
        <v>13.676452962542946</v>
      </c>
      <c r="X455" s="643"/>
      <c r="Y455" s="643"/>
      <c r="Z455" s="643"/>
      <c r="AA455" s="643"/>
      <c r="AB455" s="643"/>
      <c r="AC455" s="643"/>
      <c r="AD455" s="1374"/>
      <c r="AE455" s="1374"/>
      <c r="AF455" s="1374"/>
      <c r="AG455" s="206"/>
      <c r="AH455" s="1374"/>
      <c r="AI455" s="1374"/>
      <c r="AJ455" s="1374"/>
      <c r="AK455" s="1374"/>
      <c r="AL455" s="1374"/>
      <c r="AM455" s="911"/>
      <c r="AN455" s="1374"/>
      <c r="AO455" s="1439"/>
    </row>
    <row r="456" spans="1:41" x14ac:dyDescent="0.3">
      <c r="A456" s="1095">
        <v>42917</v>
      </c>
      <c r="B456" s="1263">
        <v>4.4674605577795594</v>
      </c>
      <c r="C456" s="1263">
        <v>3.2352755383071212</v>
      </c>
      <c r="D456" s="1263">
        <v>7.1037881895090038</v>
      </c>
      <c r="E456" s="1263">
        <v>4.328842922176773</v>
      </c>
      <c r="F456" s="1263">
        <v>10.573699038297686</v>
      </c>
      <c r="G456" s="1263">
        <v>9.2445473768231174</v>
      </c>
      <c r="H456" s="1263">
        <v>6.1795633216317629</v>
      </c>
      <c r="I456" s="1263">
        <v>7.1845864981546805</v>
      </c>
      <c r="J456" s="1263">
        <v>0.34122046693082919</v>
      </c>
      <c r="K456" s="1263">
        <v>8.5747439560210221</v>
      </c>
      <c r="L456" s="589"/>
      <c r="M456" s="1077">
        <v>42917</v>
      </c>
      <c r="N456" s="1263">
        <v>4.1983326095518638</v>
      </c>
      <c r="O456" s="1263">
        <v>9.7358075282675092</v>
      </c>
      <c r="P456" s="1263">
        <v>3.9894885957641173</v>
      </c>
      <c r="Q456" s="1263">
        <v>12.974002064252977</v>
      </c>
      <c r="R456" s="1263">
        <v>4.1132096004311549</v>
      </c>
      <c r="S456" s="1263">
        <v>10.214338641746128</v>
      </c>
      <c r="T456" s="1263">
        <v>11.253692398274682</v>
      </c>
      <c r="U456" s="1263">
        <v>5.7702053379688643</v>
      </c>
      <c r="V456" s="1263">
        <v>0.31204511308549709</v>
      </c>
      <c r="W456" s="1263">
        <v>14.120875174905173</v>
      </c>
      <c r="X456" s="643"/>
      <c r="Y456" s="643"/>
      <c r="Z456" s="643"/>
      <c r="AA456" s="643"/>
      <c r="AB456" s="643"/>
      <c r="AC456" s="643"/>
      <c r="AD456" s="1374"/>
      <c r="AE456" s="1374"/>
      <c r="AF456" s="1374"/>
      <c r="AG456" s="206"/>
      <c r="AH456" s="1374"/>
      <c r="AI456" s="1374"/>
      <c r="AJ456" s="1374"/>
      <c r="AK456" s="1374"/>
      <c r="AL456" s="1374"/>
      <c r="AM456" s="911"/>
      <c r="AN456" s="1374"/>
      <c r="AO456" s="1439"/>
    </row>
    <row r="457" spans="1:41" x14ac:dyDescent="0.3">
      <c r="A457" s="1095">
        <v>42948</v>
      </c>
      <c r="B457" s="1263">
        <v>4.307491524081513</v>
      </c>
      <c r="C457" s="1263">
        <v>3.1194280909897234</v>
      </c>
      <c r="D457" s="1263">
        <v>6.6242255230820355</v>
      </c>
      <c r="E457" s="1263">
        <v>4.0961872593657427</v>
      </c>
      <c r="F457" s="1263">
        <v>10.378144550469436</v>
      </c>
      <c r="G457" s="1263">
        <v>9.0735747852134274</v>
      </c>
      <c r="H457" s="1263">
        <v>6.0652758489141263</v>
      </c>
      <c r="I457" s="1263">
        <v>6.9273237098736633</v>
      </c>
      <c r="J457" s="1263">
        <v>0.32900218147157245</v>
      </c>
      <c r="K457" s="1263">
        <v>8.26770296772081</v>
      </c>
      <c r="L457" s="589"/>
      <c r="M457" s="1077">
        <v>42948</v>
      </c>
      <c r="N457" s="1263">
        <v>4.1698322470355293</v>
      </c>
      <c r="O457" s="1263">
        <v>9.422522091868192</v>
      </c>
      <c r="P457" s="1263">
        <v>4.0556393514224238</v>
      </c>
      <c r="Q457" s="1263">
        <v>12.51883087217108</v>
      </c>
      <c r="R457" s="1263">
        <v>4.0856897350808232</v>
      </c>
      <c r="S457" s="1263">
        <v>9.8559856314054084</v>
      </c>
      <c r="T457" s="1263">
        <v>10.858875397408063</v>
      </c>
      <c r="U457" s="1263">
        <v>5.5677673216009493</v>
      </c>
      <c r="V457" s="1263">
        <v>0.30200391320090358</v>
      </c>
      <c r="W457" s="1263">
        <v>13.625467855346423</v>
      </c>
      <c r="X457" s="643"/>
      <c r="Y457" s="643"/>
      <c r="Z457" s="643"/>
      <c r="AA457" s="643"/>
      <c r="AB457" s="643"/>
      <c r="AC457" s="643"/>
      <c r="AD457" s="1374"/>
      <c r="AE457" s="1374"/>
      <c r="AF457" s="1374"/>
      <c r="AG457" s="206"/>
      <c r="AH457" s="1374"/>
      <c r="AI457" s="1374"/>
      <c r="AJ457" s="1374"/>
      <c r="AK457" s="1374"/>
      <c r="AL457" s="1374"/>
      <c r="AM457" s="911"/>
      <c r="AN457" s="1374"/>
      <c r="AO457" s="1439"/>
    </row>
    <row r="458" spans="1:41" x14ac:dyDescent="0.3">
      <c r="A458" s="1095">
        <v>42979</v>
      </c>
      <c r="B458" s="1263">
        <v>4.1383768006930186</v>
      </c>
      <c r="C458" s="1263">
        <v>2.9969574567960757</v>
      </c>
      <c r="D458" s="1263">
        <v>6.373102159594378</v>
      </c>
      <c r="E458" s="1263">
        <v>3.8809673458953013</v>
      </c>
      <c r="F458" s="1263">
        <v>9.9959619931445083</v>
      </c>
      <c r="G458" s="1263">
        <v>8.7394339377210901</v>
      </c>
      <c r="H458" s="1263">
        <v>5.8419177502148489</v>
      </c>
      <c r="I458" s="1263">
        <v>6.6553527897990978</v>
      </c>
      <c r="J458" s="1263">
        <v>0.3160853567714611</v>
      </c>
      <c r="K458" s="1263">
        <v>7.943107947016161</v>
      </c>
      <c r="L458" s="589"/>
      <c r="M458" s="1077">
        <v>42979</v>
      </c>
      <c r="N458" s="1263">
        <v>4.3262851258866482</v>
      </c>
      <c r="O458" s="1263">
        <v>10.582362196196982</v>
      </c>
      <c r="P458" s="1263">
        <v>4.6175794181517276</v>
      </c>
      <c r="Q458" s="1263">
        <v>13.697849730196767</v>
      </c>
      <c r="R458" s="1263">
        <v>4.5249535942561607</v>
      </c>
      <c r="S458" s="1263">
        <v>10.784218710237784</v>
      </c>
      <c r="T458" s="1263">
        <v>11.881560263209348</v>
      </c>
      <c r="U458" s="1263">
        <v>6.0921375871869587</v>
      </c>
      <c r="V458" s="1263">
        <v>0.33917827551913404</v>
      </c>
      <c r="W458" s="1263">
        <v>14.908709374855041</v>
      </c>
      <c r="X458" s="643"/>
      <c r="Y458" s="643"/>
      <c r="Z458" s="643"/>
      <c r="AA458" s="643"/>
      <c r="AB458" s="643"/>
      <c r="AC458" s="643"/>
      <c r="AD458" s="1374"/>
      <c r="AE458" s="1374"/>
      <c r="AF458" s="1374"/>
      <c r="AG458" s="206"/>
      <c r="AH458" s="1374"/>
      <c r="AI458" s="1374"/>
      <c r="AJ458" s="1374"/>
      <c r="AK458" s="1374"/>
      <c r="AL458" s="1374"/>
      <c r="AM458" s="911"/>
      <c r="AN458" s="1374"/>
      <c r="AO458" s="1439"/>
    </row>
    <row r="459" spans="1:41" x14ac:dyDescent="0.3">
      <c r="A459" s="1095">
        <v>43009</v>
      </c>
      <c r="B459" s="1263">
        <v>4.4481198867323144</v>
      </c>
      <c r="C459" s="1263">
        <v>3.2212692814808275</v>
      </c>
      <c r="D459" s="1263">
        <v>6.8486795126593938</v>
      </c>
      <c r="E459" s="1263">
        <v>4.2757536780328493</v>
      </c>
      <c r="F459" s="1263">
        <v>11.316661953919166</v>
      </c>
      <c r="G459" s="1263">
        <v>9.8941172054903017</v>
      </c>
      <c r="H459" s="1263">
        <v>6.6137714796356848</v>
      </c>
      <c r="I459" s="1263">
        <v>7.153482759850978</v>
      </c>
      <c r="J459" s="1263">
        <v>0.33974324453118104</v>
      </c>
      <c r="K459" s="1263">
        <v>8.5376219042372714</v>
      </c>
      <c r="L459" s="589"/>
      <c r="M459" s="1077">
        <v>43009</v>
      </c>
      <c r="N459" s="1263">
        <v>6.2350844474659173</v>
      </c>
      <c r="O459" s="1263">
        <v>13.319357026597432</v>
      </c>
      <c r="P459" s="1263">
        <v>6.5972570580389798</v>
      </c>
      <c r="Q459" s="1263">
        <v>17.652754900866086</v>
      </c>
      <c r="R459" s="1263">
        <v>6.5589601249768616</v>
      </c>
      <c r="S459" s="1263">
        <v>13.897887145709488</v>
      </c>
      <c r="T459" s="1263">
        <v>15.312058118430803</v>
      </c>
      <c r="U459" s="1263">
        <v>7.851087124418342</v>
      </c>
      <c r="V459" s="1263">
        <v>0.42690246880119975</v>
      </c>
      <c r="W459" s="1263">
        <v>19.213219422489605</v>
      </c>
      <c r="X459" s="643"/>
      <c r="Y459" s="643"/>
      <c r="Z459" s="643"/>
      <c r="AA459" s="643"/>
      <c r="AB459" s="643"/>
      <c r="AC459" s="643"/>
      <c r="AD459" s="1374"/>
      <c r="AE459" s="1374"/>
      <c r="AF459" s="1374"/>
      <c r="AG459" s="206"/>
      <c r="AH459" s="1374"/>
      <c r="AI459" s="1374"/>
      <c r="AJ459" s="1374"/>
      <c r="AK459" s="1374"/>
      <c r="AL459" s="1374"/>
      <c r="AM459" s="911"/>
      <c r="AN459" s="1374"/>
      <c r="AO459" s="1439"/>
    </row>
    <row r="460" spans="1:41" x14ac:dyDescent="0.3">
      <c r="A460" s="1095">
        <v>43040</v>
      </c>
      <c r="B460" s="1263">
        <v>4.8287907674332864</v>
      </c>
      <c r="C460" s="1263">
        <v>3.4969460720308949</v>
      </c>
      <c r="D460" s="1263">
        <v>7.1457716446822168</v>
      </c>
      <c r="E460" s="1263">
        <v>4.7536987307546683</v>
      </c>
      <c r="F460" s="1263">
        <v>12.28170436682451</v>
      </c>
      <c r="G460" s="1263">
        <v>10.737850346979776</v>
      </c>
      <c r="H460" s="1263">
        <v>7.1777690624124482</v>
      </c>
      <c r="I460" s="1263">
        <v>7.7656790701154836</v>
      </c>
      <c r="J460" s="1263">
        <v>0.36881853103450846</v>
      </c>
      <c r="K460" s="1263">
        <v>9.2682730854412583</v>
      </c>
      <c r="L460" s="589"/>
      <c r="M460" s="1077">
        <v>43040</v>
      </c>
      <c r="N460" s="1263">
        <v>8.6456181718292573</v>
      </c>
      <c r="O460" s="1263">
        <v>17.362433390909615</v>
      </c>
      <c r="P460" s="1263">
        <v>9.8088894537026317</v>
      </c>
      <c r="Q460" s="1263">
        <v>23.676870896635133</v>
      </c>
      <c r="R460" s="1263">
        <v>9.9443540004843172</v>
      </c>
      <c r="S460" s="1263">
        <v>18.640630402046995</v>
      </c>
      <c r="T460" s="1263">
        <v>20.537396302606162</v>
      </c>
      <c r="U460" s="1263">
        <v>10.530321034138829</v>
      </c>
      <c r="V460" s="1263">
        <v>0.55648824970864152</v>
      </c>
      <c r="W460" s="1263">
        <v>25.769853959321107</v>
      </c>
      <c r="X460" s="643"/>
      <c r="Y460" s="643"/>
      <c r="Z460" s="643"/>
      <c r="AA460" s="643"/>
      <c r="AB460" s="643"/>
      <c r="AC460" s="643"/>
      <c r="AD460" s="1374"/>
      <c r="AE460" s="1374"/>
      <c r="AF460" s="1374"/>
      <c r="AG460" s="206"/>
      <c r="AH460" s="1374"/>
      <c r="AI460" s="1374"/>
      <c r="AJ460" s="1374"/>
      <c r="AK460" s="1374"/>
      <c r="AL460" s="1374"/>
      <c r="AM460" s="911"/>
      <c r="AN460" s="1374"/>
      <c r="AO460" s="1439"/>
    </row>
    <row r="461" spans="1:41" x14ac:dyDescent="0.3">
      <c r="A461" s="1095">
        <v>43070</v>
      </c>
      <c r="B461" s="1263">
        <v>5.3007492808868308</v>
      </c>
      <c r="C461" s="1263">
        <v>3.838732152495131</v>
      </c>
      <c r="D461" s="1263">
        <v>8.1441525237839461</v>
      </c>
      <c r="E461" s="1263">
        <v>5.033181852023505</v>
      </c>
      <c r="F461" s="1263">
        <v>14.048624987617384</v>
      </c>
      <c r="G461" s="1263">
        <v>12.282662747147656</v>
      </c>
      <c r="H461" s="1263">
        <v>8.2104065359152258</v>
      </c>
      <c r="I461" s="1263">
        <v>8.5246844870839134</v>
      </c>
      <c r="J461" s="1263">
        <v>0.40486628170847083</v>
      </c>
      <c r="K461" s="1263">
        <v>10.174139708859164</v>
      </c>
      <c r="L461" s="1374"/>
      <c r="M461" s="1077">
        <v>43070</v>
      </c>
      <c r="N461" s="1263">
        <v>10.351525343431328</v>
      </c>
      <c r="O461" s="1263">
        <v>17.031813043615625</v>
      </c>
      <c r="P461" s="1263">
        <v>10.362669219713181</v>
      </c>
      <c r="Q461" s="1263">
        <v>22.361879350161935</v>
      </c>
      <c r="R461" s="1263">
        <v>9.8853039054955971</v>
      </c>
      <c r="S461" s="1263">
        <v>17.605347002199313</v>
      </c>
      <c r="T461" s="1263">
        <v>19.396768276107313</v>
      </c>
      <c r="U461" s="1263">
        <v>9.9454767275582068</v>
      </c>
      <c r="V461" s="1263">
        <v>0.54589144370562903</v>
      </c>
      <c r="W461" s="1263">
        <v>24.338620066198345</v>
      </c>
      <c r="X461" s="643"/>
      <c r="Y461" s="643"/>
      <c r="Z461" s="643"/>
      <c r="AA461" s="643"/>
      <c r="AB461" s="643"/>
      <c r="AC461" s="643"/>
      <c r="AD461" s="1374"/>
      <c r="AE461" s="1374"/>
      <c r="AF461" s="1374"/>
      <c r="AG461" s="206"/>
      <c r="AH461" s="1374"/>
      <c r="AI461" s="1374"/>
      <c r="AJ461" s="1374"/>
      <c r="AK461" s="1374"/>
      <c r="AL461" s="1374"/>
      <c r="AM461" s="911"/>
      <c r="AN461" s="1374"/>
      <c r="AO461" s="1439"/>
    </row>
    <row r="462" spans="1:41" x14ac:dyDescent="0.3">
      <c r="A462" s="1095">
        <v>43101</v>
      </c>
      <c r="B462" s="1263">
        <v>5.2613775475427023</v>
      </c>
      <c r="C462" s="1263">
        <v>3.8102196666787318</v>
      </c>
      <c r="D462" s="1263">
        <v>8.6020219316623816</v>
      </c>
      <c r="E462" s="1263">
        <v>5.0318744346475821</v>
      </c>
      <c r="F462" s="1263">
        <v>13.9145843883294</v>
      </c>
      <c r="G462" s="1263">
        <v>12.165471529008443</v>
      </c>
      <c r="H462" s="1263">
        <v>8.1320694877384767</v>
      </c>
      <c r="I462" s="1263">
        <v>8.4613667207299184</v>
      </c>
      <c r="J462" s="1263">
        <v>0.40185910547002252</v>
      </c>
      <c r="K462" s="1263">
        <v>10.098570483755935</v>
      </c>
      <c r="L462" s="1540"/>
      <c r="M462" s="1077">
        <v>43101</v>
      </c>
      <c r="N462" s="1263">
        <v>9.7665810981833161</v>
      </c>
      <c r="O462" s="1263">
        <v>18.426599204486926</v>
      </c>
      <c r="P462" s="1263">
        <v>10.676110980678445</v>
      </c>
      <c r="Q462" s="1263">
        <v>25.191729215945564</v>
      </c>
      <c r="R462" s="1263">
        <v>10.819415584476374</v>
      </c>
      <c r="S462" s="1263">
        <v>19.833267476642224</v>
      </c>
      <c r="T462" s="1263">
        <v>21.851389430405817</v>
      </c>
      <c r="U462" s="1263">
        <v>11.204056363997887</v>
      </c>
      <c r="V462" s="1263">
        <v>0.59059612834893993</v>
      </c>
      <c r="W462" s="1263">
        <v>27.418622406305388</v>
      </c>
      <c r="X462" s="643"/>
      <c r="Y462" s="643"/>
      <c r="Z462" s="643"/>
      <c r="AA462" s="643"/>
      <c r="AB462" s="643"/>
      <c r="AC462" s="643"/>
      <c r="AD462" s="1540"/>
      <c r="AE462" s="1540"/>
      <c r="AF462" s="1540"/>
      <c r="AG462" s="206"/>
      <c r="AH462" s="1540"/>
      <c r="AI462" s="1540"/>
      <c r="AJ462" s="1540"/>
      <c r="AK462" s="1540"/>
      <c r="AL462" s="1540"/>
      <c r="AM462" s="911"/>
      <c r="AN462" s="1540"/>
      <c r="AO462" s="1493"/>
    </row>
    <row r="463" spans="1:41" x14ac:dyDescent="0.3">
      <c r="A463" s="1095">
        <v>43132</v>
      </c>
      <c r="B463" s="1263">
        <v>4.7862822982562188</v>
      </c>
      <c r="C463" s="1263">
        <v>3.4661620038291145</v>
      </c>
      <c r="D463" s="1263">
        <v>8.0322540273984941</v>
      </c>
      <c r="E463" s="1263">
        <v>4.346499091136975</v>
      </c>
      <c r="F463" s="1263">
        <v>12.041273647404561</v>
      </c>
      <c r="G463" s="1263">
        <v>10.52764262606102</v>
      </c>
      <c r="H463" s="1263">
        <v>7.0372546738583868</v>
      </c>
      <c r="I463" s="1263">
        <v>7.697316793659577</v>
      </c>
      <c r="J463" s="1263">
        <v>0.36557177384135198</v>
      </c>
      <c r="K463" s="1263">
        <v>9.1866832796798992</v>
      </c>
      <c r="L463" s="1540"/>
      <c r="M463" s="1077">
        <v>43132</v>
      </c>
      <c r="N463" s="1263">
        <v>10.181006641873923</v>
      </c>
      <c r="O463" s="1263">
        <v>19.206231468291953</v>
      </c>
      <c r="P463" s="1263">
        <v>12.542616173891345</v>
      </c>
      <c r="Q463" s="1263">
        <v>24.044492346026065</v>
      </c>
      <c r="R463" s="1263">
        <v>10.961066361744141</v>
      </c>
      <c r="S463" s="1263">
        <v>18.552435598465792</v>
      </c>
      <c r="T463" s="1263">
        <v>21.901250688441564</v>
      </c>
      <c r="U463" s="1263">
        <v>10.917137193321025</v>
      </c>
      <c r="V463" s="1263">
        <v>0.49089409503621606</v>
      </c>
      <c r="W463" s="1263">
        <v>25.651923589214434</v>
      </c>
      <c r="X463" s="643"/>
      <c r="Y463" s="643"/>
      <c r="Z463" s="643"/>
      <c r="AA463" s="643"/>
      <c r="AB463" s="643"/>
      <c r="AC463" s="643"/>
      <c r="AD463" s="1540"/>
      <c r="AE463" s="1540"/>
      <c r="AF463" s="1540"/>
      <c r="AG463" s="206"/>
      <c r="AH463" s="1540"/>
      <c r="AI463" s="1540"/>
      <c r="AJ463" s="1540"/>
      <c r="AK463" s="1540"/>
      <c r="AL463" s="1540"/>
      <c r="AM463" s="911"/>
      <c r="AN463" s="1540"/>
      <c r="AO463" s="1493"/>
    </row>
    <row r="464" spans="1:41" x14ac:dyDescent="0.3">
      <c r="A464" s="1095">
        <v>43160</v>
      </c>
      <c r="B464" s="1263">
        <v>4.7739480714311968</v>
      </c>
      <c r="C464" s="1263">
        <v>3.4572297207535683</v>
      </c>
      <c r="D464" s="1263">
        <v>8.0916541954349981</v>
      </c>
      <c r="E464" s="1263">
        <v>4.4208860717278551</v>
      </c>
      <c r="F464" s="1263">
        <v>12.143755365459247</v>
      </c>
      <c r="G464" s="1263">
        <v>10.61724202683679</v>
      </c>
      <c r="H464" s="1263">
        <v>7.0971478355357505</v>
      </c>
      <c r="I464" s="1263">
        <v>7.6774808447203258</v>
      </c>
      <c r="J464" s="1263">
        <v>0.3646296971107279</v>
      </c>
      <c r="K464" s="1263">
        <v>9.1630092403566259</v>
      </c>
      <c r="L464" s="1540"/>
      <c r="M464" s="1077">
        <v>43160</v>
      </c>
      <c r="N464" s="1263">
        <v>9.1437471687233689</v>
      </c>
      <c r="O464" s="1263">
        <v>15.185254347049542</v>
      </c>
      <c r="P464" s="1263">
        <v>8.6416943046141661</v>
      </c>
      <c r="Q464" s="1263">
        <v>19.399273681385537</v>
      </c>
      <c r="R464" s="1263">
        <v>7.7593489458751979</v>
      </c>
      <c r="S464" s="1263">
        <v>14.968241809871289</v>
      </c>
      <c r="T464" s="1263">
        <v>17.670090512014124</v>
      </c>
      <c r="U464" s="1263">
        <v>8.8080267689856324</v>
      </c>
      <c r="V464" s="1263">
        <v>0.3881215168574963</v>
      </c>
      <c r="W464" s="1263">
        <v>20.696161058414091</v>
      </c>
      <c r="X464" s="643"/>
      <c r="Y464" s="643"/>
      <c r="Z464" s="643"/>
      <c r="AA464" s="643"/>
      <c r="AB464" s="643"/>
      <c r="AC464" s="643"/>
      <c r="AD464" s="1540"/>
      <c r="AE464" s="1540"/>
      <c r="AF464" s="1540"/>
      <c r="AG464" s="206"/>
      <c r="AH464" s="1540"/>
      <c r="AI464" s="1540"/>
      <c r="AJ464" s="1540"/>
      <c r="AK464" s="1540"/>
      <c r="AL464" s="1540"/>
      <c r="AM464" s="911"/>
      <c r="AN464" s="1540"/>
      <c r="AO464" s="1493"/>
    </row>
    <row r="465" spans="1:41" x14ac:dyDescent="0.3">
      <c r="A465" s="1095">
        <v>43191</v>
      </c>
      <c r="B465" s="1263">
        <v>4.9967682215806635</v>
      </c>
      <c r="C465" s="1263">
        <v>3.1701924776323414</v>
      </c>
      <c r="D465" s="1263">
        <v>8.7270513867107411</v>
      </c>
      <c r="E465" s="1263">
        <v>3.9936685140721306</v>
      </c>
      <c r="F465" s="1263">
        <v>11.194023680855013</v>
      </c>
      <c r="G465" s="1263">
        <v>10.018492338778469</v>
      </c>
      <c r="H465" s="1263">
        <v>5.0621980316449342</v>
      </c>
      <c r="I465" s="1263">
        <v>7.0400563419296338</v>
      </c>
      <c r="J465" s="1263">
        <v>0.33435623787528607</v>
      </c>
      <c r="K465" s="1263">
        <v>8.4022484221622804</v>
      </c>
      <c r="L465" s="1540"/>
      <c r="M465" s="1077">
        <v>43191</v>
      </c>
      <c r="N465" s="1263">
        <v>8.6295417924728515</v>
      </c>
      <c r="O465" s="1263">
        <v>12.589306423918023</v>
      </c>
      <c r="P465" s="1263">
        <v>7.3334970141691596</v>
      </c>
      <c r="Q465" s="1263">
        <v>14.798330416565376</v>
      </c>
      <c r="R465" s="1263">
        <v>6.1725041206405722</v>
      </c>
      <c r="S465" s="1263">
        <v>11.418210377127044</v>
      </c>
      <c r="T465" s="1263">
        <v>13.479259181662611</v>
      </c>
      <c r="U465" s="1263">
        <v>6.7190191027859498</v>
      </c>
      <c r="V465" s="1263">
        <v>0.32177141019598782</v>
      </c>
      <c r="W465" s="1263">
        <v>15.787633842742448</v>
      </c>
      <c r="X465" s="643"/>
      <c r="Y465" s="643"/>
      <c r="Z465" s="643"/>
      <c r="AA465" s="643"/>
      <c r="AB465" s="643"/>
      <c r="AC465" s="643"/>
      <c r="AD465" s="1540"/>
      <c r="AE465" s="1540"/>
      <c r="AF465" s="1540"/>
      <c r="AG465" s="206"/>
      <c r="AH465" s="1540"/>
      <c r="AI465" s="1540"/>
      <c r="AJ465" s="1540"/>
      <c r="AK465" s="1540"/>
      <c r="AL465" s="1540"/>
      <c r="AM465" s="911"/>
      <c r="AN465" s="1540"/>
      <c r="AO465" s="1493"/>
    </row>
    <row r="466" spans="1:41" x14ac:dyDescent="0.3">
      <c r="A466" s="1095">
        <v>43221</v>
      </c>
      <c r="B466" s="1263">
        <v>4.8608752256329213</v>
      </c>
      <c r="C466" s="1263">
        <v>3.0839753600050255</v>
      </c>
      <c r="D466" s="1263">
        <v>7.6800973364904674</v>
      </c>
      <c r="E466" s="1263">
        <v>3.8945203847151491</v>
      </c>
      <c r="F466" s="1263">
        <v>11.301841500963537</v>
      </c>
      <c r="G466" s="1263">
        <v>10.114987757721387</v>
      </c>
      <c r="H466" s="1263">
        <v>5.1109557591869166</v>
      </c>
      <c r="I466" s="1263">
        <v>6.8485937193861597</v>
      </c>
      <c r="J466" s="1263">
        <v>0.32526302625053005</v>
      </c>
      <c r="K466" s="1263">
        <v>8.1737393818883195</v>
      </c>
      <c r="L466" s="1540"/>
      <c r="M466" s="1077">
        <v>43221</v>
      </c>
      <c r="N466" s="1263">
        <v>5.0317097886196533</v>
      </c>
      <c r="O466" s="1263">
        <v>9.3177496227320127</v>
      </c>
      <c r="P466" s="1263">
        <v>3.7913427187681479</v>
      </c>
      <c r="Q466" s="1263">
        <v>11.085312073203285</v>
      </c>
      <c r="R466" s="1263">
        <v>3.341021662075319</v>
      </c>
      <c r="S466" s="1263">
        <v>8.5532909311345691</v>
      </c>
      <c r="T466" s="1263">
        <v>10.097206261664276</v>
      </c>
      <c r="U466" s="1263">
        <v>5.03316397752684</v>
      </c>
      <c r="V466" s="1263">
        <v>0.23815334498995561</v>
      </c>
      <c r="W466" s="1263">
        <v>11.826391431857544</v>
      </c>
      <c r="X466" s="643"/>
      <c r="Y466" s="643"/>
      <c r="Z466" s="643"/>
      <c r="AA466" s="643"/>
      <c r="AB466" s="643"/>
      <c r="AC466" s="643"/>
      <c r="AD466" s="1540"/>
      <c r="AE466" s="1540"/>
      <c r="AF466" s="1540"/>
      <c r="AG466" s="206"/>
      <c r="AH466" s="1540"/>
      <c r="AI466" s="1540"/>
      <c r="AJ466" s="1540"/>
      <c r="AK466" s="1540"/>
      <c r="AL466" s="1540"/>
      <c r="AM466" s="911"/>
      <c r="AN466" s="1540"/>
      <c r="AO466" s="1493"/>
    </row>
    <row r="467" spans="1:41" x14ac:dyDescent="0.3">
      <c r="A467" s="1095">
        <v>43252</v>
      </c>
      <c r="B467" s="1263">
        <v>4.7835209688719509</v>
      </c>
      <c r="C467" s="1263">
        <v>3.0348980620352397</v>
      </c>
      <c r="D467" s="1263">
        <v>7.1912902595146218</v>
      </c>
      <c r="E467" s="1263">
        <v>3.8271849319439664</v>
      </c>
      <c r="F467" s="1263">
        <v>10.01146731778339</v>
      </c>
      <c r="G467" s="1263">
        <v>8.9601211756131391</v>
      </c>
      <c r="H467" s="1263">
        <v>4.5274185221385626</v>
      </c>
      <c r="I467" s="1263">
        <v>6.7396076104181013</v>
      </c>
      <c r="J467" s="1263">
        <v>0.3200869049802792</v>
      </c>
      <c r="K467" s="1263">
        <v>8.0436653714488671</v>
      </c>
      <c r="L467" s="1540"/>
      <c r="M467" s="1077">
        <v>43252</v>
      </c>
      <c r="N467" s="1263">
        <v>5.2666391045337768</v>
      </c>
      <c r="O467" s="1263">
        <v>8.6275296165669548</v>
      </c>
      <c r="P467" s="1263">
        <v>3.2616653628121943</v>
      </c>
      <c r="Q467" s="1263">
        <v>10.436218765181387</v>
      </c>
      <c r="R467" s="1263">
        <v>2.9862973091877469</v>
      </c>
      <c r="S467" s="1263">
        <v>8.0524584901260283</v>
      </c>
      <c r="T467" s="1263">
        <v>9.5059708529646603</v>
      </c>
      <c r="U467" s="1263">
        <v>4.738450302853944</v>
      </c>
      <c r="V467" s="1263">
        <v>0.22051193908158351</v>
      </c>
      <c r="W467" s="1263">
        <v>11.13390469934393</v>
      </c>
      <c r="X467" s="643"/>
      <c r="Y467" s="643"/>
      <c r="Z467" s="643"/>
      <c r="AA467" s="643"/>
      <c r="AB467" s="643"/>
      <c r="AC467" s="643"/>
      <c r="AD467" s="1540"/>
      <c r="AE467" s="1540"/>
      <c r="AF467" s="1540"/>
      <c r="AG467" s="206"/>
      <c r="AH467" s="1540"/>
      <c r="AI467" s="1540"/>
      <c r="AJ467" s="1540"/>
      <c r="AK467" s="1540"/>
      <c r="AL467" s="1540"/>
      <c r="AM467" s="911"/>
      <c r="AN467" s="1540"/>
      <c r="AO467" s="1493"/>
    </row>
    <row r="468" spans="1:41" x14ac:dyDescent="0.3">
      <c r="A468" s="1095">
        <v>43282</v>
      </c>
      <c r="B468" s="1263">
        <v>5.3636792296501898</v>
      </c>
      <c r="C468" s="1263">
        <v>3.2823453199031642</v>
      </c>
      <c r="D468" s="1263">
        <v>8.4805901419973111</v>
      </c>
      <c r="E468" s="1263">
        <v>4.0137540292656491</v>
      </c>
      <c r="F468" s="1263">
        <v>10.865722065917357</v>
      </c>
      <c r="G468" s="1263">
        <v>9.7246670523725811</v>
      </c>
      <c r="H468" s="1263">
        <v>4.9137324006702894</v>
      </c>
      <c r="I468" s="1263">
        <v>7.2626606216248168</v>
      </c>
      <c r="J468" s="1263">
        <v>0.30182485700258976</v>
      </c>
      <c r="K468" s="1263">
        <v>8.5202641924689413</v>
      </c>
      <c r="L468" s="1540"/>
      <c r="M468" s="1077">
        <v>43282</v>
      </c>
      <c r="N468" s="1263">
        <v>5.0585051527831766</v>
      </c>
      <c r="O468" s="1263">
        <v>8.7218998832199031</v>
      </c>
      <c r="P468" s="1263">
        <v>3.5791039974686183</v>
      </c>
      <c r="Q468" s="1263">
        <v>10.582353133015316</v>
      </c>
      <c r="R468" s="1263">
        <v>3.2192658982180924</v>
      </c>
      <c r="S468" s="1263">
        <v>8.1652139772847967</v>
      </c>
      <c r="T468" s="1263">
        <v>9.6390793161448673</v>
      </c>
      <c r="U468" s="1263">
        <v>4.8048010046838332</v>
      </c>
      <c r="V468" s="1263">
        <v>0.22292395867654705</v>
      </c>
      <c r="W468" s="1263">
        <v>11.289808495668149</v>
      </c>
      <c r="X468" s="643"/>
      <c r="Y468" s="643"/>
      <c r="Z468" s="643"/>
      <c r="AA468" s="643"/>
      <c r="AB468" s="643"/>
      <c r="AC468" s="643"/>
      <c r="AD468" s="1540"/>
      <c r="AE468" s="1540"/>
      <c r="AF468" s="1540"/>
      <c r="AG468" s="206"/>
      <c r="AH468" s="1540"/>
      <c r="AI468" s="1540"/>
      <c r="AJ468" s="1540"/>
      <c r="AK468" s="1540"/>
      <c r="AL468" s="1540"/>
      <c r="AM468" s="911"/>
      <c r="AN468" s="1540"/>
      <c r="AO468" s="1493"/>
    </row>
    <row r="469" spans="1:41" x14ac:dyDescent="0.3">
      <c r="A469" s="1095">
        <v>43313</v>
      </c>
      <c r="B469" s="1263">
        <v>5.2744172785899366</v>
      </c>
      <c r="C469" s="1263">
        <v>3.2277207730644162</v>
      </c>
      <c r="D469" s="1263">
        <v>8.6619109672738723</v>
      </c>
      <c r="E469" s="1263">
        <v>3.8898823558174342</v>
      </c>
      <c r="F469" s="1263">
        <v>10.697165661330152</v>
      </c>
      <c r="G469" s="1263">
        <v>9.5738114622689903</v>
      </c>
      <c r="H469" s="1263">
        <v>4.8375072716327452</v>
      </c>
      <c r="I469" s="1263">
        <v>7.1417959633896562</v>
      </c>
      <c r="J469" s="1263">
        <v>0.29680191016684287</v>
      </c>
      <c r="K469" s="1263">
        <v>8.3784705890848343</v>
      </c>
      <c r="L469" s="1540"/>
      <c r="M469" s="1077">
        <v>43313</v>
      </c>
      <c r="N469" s="1263">
        <v>4.844844426865035</v>
      </c>
      <c r="O469" s="1263">
        <v>8.8812616960487372</v>
      </c>
      <c r="P469" s="1263">
        <v>3.5807739381330617</v>
      </c>
      <c r="Q469" s="1263">
        <v>10.886027774048172</v>
      </c>
      <c r="R469" s="1263">
        <v>3.2969991543886294</v>
      </c>
      <c r="S469" s="1263">
        <v>8.3995256083881422</v>
      </c>
      <c r="T469" s="1263">
        <v>9.9156854654979156</v>
      </c>
      <c r="U469" s="1263">
        <v>4.9426811341778603</v>
      </c>
      <c r="V469" s="1263">
        <v>0.22699710405236392</v>
      </c>
      <c r="W469" s="1263">
        <v>11.61378450546086</v>
      </c>
      <c r="X469" s="643"/>
      <c r="Y469" s="643"/>
      <c r="Z469" s="643"/>
      <c r="AA469" s="643"/>
      <c r="AB469" s="643"/>
      <c r="AC469" s="643"/>
      <c r="AD469" s="1540"/>
      <c r="AE469" s="1540"/>
      <c r="AF469" s="1540"/>
      <c r="AG469" s="206"/>
      <c r="AH469" s="1540"/>
      <c r="AI469" s="1540"/>
      <c r="AJ469" s="1540"/>
      <c r="AK469" s="1540"/>
      <c r="AL469" s="1540"/>
      <c r="AM469" s="911"/>
      <c r="AN469" s="1540"/>
      <c r="AO469" s="1493"/>
    </row>
    <row r="470" spans="1:41" x14ac:dyDescent="0.3">
      <c r="A470" s="1095">
        <v>43344</v>
      </c>
      <c r="B470" s="1263">
        <v>5.0931205984575687</v>
      </c>
      <c r="C470" s="1263">
        <v>3.1167748562659447</v>
      </c>
      <c r="D470" s="1263">
        <v>8.3731850989325523</v>
      </c>
      <c r="E470" s="1263">
        <v>3.8362729458600962</v>
      </c>
      <c r="F470" s="1263">
        <v>10.100058731145342</v>
      </c>
      <c r="G470" s="1263">
        <v>9.0394092333618676</v>
      </c>
      <c r="H470" s="1263">
        <v>4.5674816210855944</v>
      </c>
      <c r="I470" s="1263">
        <v>6.8963121819677511</v>
      </c>
      <c r="J470" s="1263">
        <v>0.28659998678307536</v>
      </c>
      <c r="K470" s="1263">
        <v>8.0904787935638982</v>
      </c>
      <c r="L470" s="1540"/>
      <c r="M470" s="1077">
        <v>43344</v>
      </c>
      <c r="N470" s="1263">
        <v>6.058157093527905</v>
      </c>
      <c r="O470" s="1263">
        <v>10.216709797484068</v>
      </c>
      <c r="P470" s="1263">
        <v>4.7821237904832854</v>
      </c>
      <c r="Q470" s="1263">
        <v>12.806052335447594</v>
      </c>
      <c r="R470" s="1263">
        <v>4.4263816949667127</v>
      </c>
      <c r="S470" s="1263">
        <v>9.8809930276294811</v>
      </c>
      <c r="T470" s="1263">
        <v>11.664565776299062</v>
      </c>
      <c r="U470" s="1263">
        <v>5.8144471606628345</v>
      </c>
      <c r="V470" s="1263">
        <v>0.26112996287499213</v>
      </c>
      <c r="W470" s="1263">
        <v>13.662167254808992</v>
      </c>
      <c r="X470" s="643"/>
      <c r="Y470" s="643"/>
      <c r="Z470" s="643"/>
      <c r="AA470" s="643"/>
      <c r="AB470" s="643"/>
      <c r="AC470" s="643"/>
      <c r="AD470" s="1540"/>
      <c r="AE470" s="1540"/>
      <c r="AF470" s="1540"/>
      <c r="AG470" s="206"/>
      <c r="AH470" s="1540"/>
      <c r="AI470" s="1540"/>
      <c r="AJ470" s="1540"/>
      <c r="AK470" s="1540"/>
      <c r="AL470" s="1540"/>
      <c r="AM470" s="911"/>
      <c r="AN470" s="1540"/>
      <c r="AO470" s="1493"/>
    </row>
    <row r="471" spans="1:41" x14ac:dyDescent="0.3">
      <c r="A471" s="1095">
        <v>43374</v>
      </c>
      <c r="B471" s="1263">
        <v>5.3975629841310875</v>
      </c>
      <c r="C471" s="1263">
        <v>3.3030807476159763</v>
      </c>
      <c r="D471" s="1263">
        <v>8.8649108138515835</v>
      </c>
      <c r="E471" s="1263">
        <v>4.0818729676822167</v>
      </c>
      <c r="F471" s="1263">
        <v>11.681609256967555</v>
      </c>
      <c r="G471" s="1263">
        <v>10.454874510020156</v>
      </c>
      <c r="H471" s="1263">
        <v>5.2826955769446453</v>
      </c>
      <c r="I471" s="1263">
        <v>7.3085407346675328</v>
      </c>
      <c r="J471" s="1263">
        <v>0.30373156299917015</v>
      </c>
      <c r="K471" s="1263">
        <v>8.5740889138307406</v>
      </c>
      <c r="L471" s="1540"/>
      <c r="M471" s="1077">
        <v>43374</v>
      </c>
      <c r="N471" s="1263">
        <v>7.5417474373844557</v>
      </c>
      <c r="O471" s="1263">
        <v>11.67161650830595</v>
      </c>
      <c r="P471" s="1263">
        <v>5.7792426082158155</v>
      </c>
      <c r="Q471" s="1263">
        <v>14.406043096404616</v>
      </c>
      <c r="R471" s="1263">
        <v>5.1905970444517546</v>
      </c>
      <c r="S471" s="1263">
        <v>11.115526288869301</v>
      </c>
      <c r="T471" s="1263">
        <v>13.121938976390835</v>
      </c>
      <c r="U471" s="1263">
        <v>6.5409053613202008</v>
      </c>
      <c r="V471" s="1263">
        <v>0.29831607688960898</v>
      </c>
      <c r="W471" s="1263">
        <v>15.369121186414953</v>
      </c>
      <c r="X471" s="643"/>
      <c r="Y471" s="643"/>
      <c r="Z471" s="643"/>
      <c r="AA471" s="643"/>
      <c r="AB471" s="643"/>
      <c r="AC471" s="643"/>
      <c r="AD471" s="1540"/>
      <c r="AE471" s="1540"/>
      <c r="AF471" s="1540"/>
      <c r="AG471" s="206"/>
      <c r="AH471" s="1540"/>
      <c r="AI471" s="1540"/>
      <c r="AJ471" s="1540"/>
      <c r="AK471" s="1540"/>
      <c r="AL471" s="1540"/>
      <c r="AM471" s="911"/>
      <c r="AN471" s="1540"/>
      <c r="AO471" s="1493"/>
    </row>
    <row r="472" spans="1:41" x14ac:dyDescent="0.3">
      <c r="A472" s="1095">
        <v>43405</v>
      </c>
      <c r="B472" s="1263">
        <v>5.588908997623415</v>
      </c>
      <c r="C472" s="1263">
        <v>3.4201764323088195</v>
      </c>
      <c r="D472" s="1263">
        <v>9.2487333004788272</v>
      </c>
      <c r="E472" s="1263">
        <v>4.3396101568126957</v>
      </c>
      <c r="F472" s="1263">
        <v>12.682991242479112</v>
      </c>
      <c r="G472" s="1263">
        <v>11.351097176334191</v>
      </c>
      <c r="H472" s="1263">
        <v>5.7355438163718215</v>
      </c>
      <c r="I472" s="1263">
        <v>7.567631761143077</v>
      </c>
      <c r="J472" s="1263">
        <v>0.31449898228127071</v>
      </c>
      <c r="K472" s="1263">
        <v>8.8780441873150373</v>
      </c>
      <c r="L472" s="1540"/>
      <c r="M472" s="1077">
        <v>43405</v>
      </c>
      <c r="N472" s="1263">
        <v>10.877701215004317</v>
      </c>
      <c r="O472" s="1263">
        <v>12.381554227689053</v>
      </c>
      <c r="P472" s="1263">
        <v>8.003569851022462</v>
      </c>
      <c r="Q472" s="1263">
        <v>15.993808539320852</v>
      </c>
      <c r="R472" s="1263">
        <v>7.4747314293361713</v>
      </c>
      <c r="S472" s="1263">
        <v>12.340626644545615</v>
      </c>
      <c r="T472" s="1263">
        <v>14.568176580384174</v>
      </c>
      <c r="U472" s="1263">
        <v>7.2618127908337016</v>
      </c>
      <c r="V472" s="1263">
        <v>0.31646144990898539</v>
      </c>
      <c r="W472" s="1263">
        <v>17.06303250852336</v>
      </c>
      <c r="X472" s="643"/>
      <c r="Y472" s="643"/>
      <c r="Z472" s="643"/>
      <c r="AA472" s="643"/>
      <c r="AB472" s="643"/>
      <c r="AC472" s="643"/>
      <c r="AD472" s="1540"/>
      <c r="AE472" s="1540"/>
      <c r="AF472" s="1540"/>
      <c r="AG472" s="206"/>
      <c r="AH472" s="1540"/>
      <c r="AI472" s="1540"/>
      <c r="AJ472" s="1540"/>
      <c r="AK472" s="1540"/>
      <c r="AL472" s="1540"/>
      <c r="AM472" s="911"/>
      <c r="AN472" s="1540"/>
      <c r="AO472" s="1493"/>
    </row>
    <row r="473" spans="1:41" x14ac:dyDescent="0.3">
      <c r="A473" s="1095">
        <v>43435</v>
      </c>
      <c r="B473" s="1263">
        <v>6.1821402984293137</v>
      </c>
      <c r="C473" s="1263">
        <v>3.783208951676555</v>
      </c>
      <c r="D473" s="1263">
        <v>10.217413077449297</v>
      </c>
      <c r="E473" s="1263">
        <v>4.8374979381272034</v>
      </c>
      <c r="F473" s="1263">
        <v>15.204318168202441</v>
      </c>
      <c r="G473" s="1263">
        <v>13.607648994436621</v>
      </c>
      <c r="H473" s="1263">
        <v>6.8757465320726272</v>
      </c>
      <c r="I473" s="1263">
        <v>8.370893370088929</v>
      </c>
      <c r="J473" s="1263">
        <v>0.34788128291278664</v>
      </c>
      <c r="K473" s="1263">
        <v>9.8203987155588734</v>
      </c>
      <c r="L473" s="1540"/>
      <c r="M473" s="1077">
        <v>43435</v>
      </c>
      <c r="N473" s="1263">
        <v>11.386082258139526</v>
      </c>
      <c r="O473" s="1263">
        <v>13.726312291970293</v>
      </c>
      <c r="P473" s="1263">
        <v>8.5861232858356242</v>
      </c>
      <c r="Q473" s="1263">
        <v>18.008722690805541</v>
      </c>
      <c r="R473" s="1263">
        <v>8.1996398817107607</v>
      </c>
      <c r="S473" s="1263">
        <v>13.895309708504554</v>
      </c>
      <c r="T473" s="1263">
        <v>16.403488356249056</v>
      </c>
      <c r="U473" s="1263">
        <v>8.1766623916470831</v>
      </c>
      <c r="V473" s="1263">
        <v>0.35083226305355386</v>
      </c>
      <c r="W473" s="1263">
        <v>19.212648441722902</v>
      </c>
      <c r="X473" s="643"/>
      <c r="Y473" s="643"/>
      <c r="Z473" s="643"/>
      <c r="AA473" s="643"/>
      <c r="AB473" s="643"/>
      <c r="AC473" s="643"/>
      <c r="AD473" s="1540"/>
      <c r="AE473" s="1540"/>
      <c r="AF473" s="1540"/>
      <c r="AG473" s="206"/>
      <c r="AH473" s="1540"/>
      <c r="AI473" s="1540"/>
      <c r="AJ473" s="1540"/>
      <c r="AK473" s="1540"/>
      <c r="AL473" s="1540"/>
      <c r="AM473" s="911"/>
      <c r="AN473" s="1540"/>
      <c r="AO473" s="1493"/>
    </row>
    <row r="474" spans="1:41" x14ac:dyDescent="0.3">
      <c r="A474" s="1384"/>
      <c r="B474" s="982"/>
      <c r="C474" s="982"/>
      <c r="D474" s="982"/>
      <c r="E474" s="983"/>
      <c r="F474" s="982"/>
      <c r="G474" s="982"/>
      <c r="H474" s="982"/>
      <c r="I474" s="918"/>
      <c r="J474" s="983"/>
      <c r="K474" s="984"/>
      <c r="L474" s="918"/>
      <c r="M474" s="918"/>
      <c r="N474" s="984"/>
      <c r="O474" s="984"/>
      <c r="P474" s="984"/>
      <c r="Q474" s="984"/>
      <c r="R474" s="918"/>
      <c r="S474" s="918"/>
      <c r="T474" s="984"/>
      <c r="U474" s="918"/>
      <c r="V474" s="918"/>
      <c r="W474" s="984"/>
      <c r="X474" s="984"/>
      <c r="Y474" s="984"/>
      <c r="Z474" s="984"/>
      <c r="AA474" s="984"/>
      <c r="AB474" s="984"/>
      <c r="AC474" s="984"/>
      <c r="AD474" s="918"/>
      <c r="AE474" s="918"/>
      <c r="AF474" s="918"/>
      <c r="AG474" s="229"/>
      <c r="AH474" s="918"/>
      <c r="AI474" s="918"/>
      <c r="AJ474" s="918"/>
      <c r="AK474" s="918"/>
      <c r="AL474" s="918"/>
      <c r="AM474" s="919"/>
      <c r="AN474" s="1374"/>
      <c r="AO474" s="1439"/>
    </row>
    <row r="475" spans="1:41" x14ac:dyDescent="0.3">
      <c r="A475" s="1375"/>
      <c r="B475" s="642"/>
      <c r="C475" s="642"/>
      <c r="D475" s="642"/>
      <c r="E475" s="1389"/>
      <c r="F475" s="642"/>
      <c r="G475" s="642"/>
      <c r="H475" s="642"/>
      <c r="I475" s="1374"/>
      <c r="J475" s="1389"/>
      <c r="K475" s="643"/>
      <c r="L475" s="1374"/>
      <c r="M475" s="1374"/>
      <c r="N475" s="643"/>
      <c r="O475" s="643"/>
      <c r="P475" s="643"/>
      <c r="Q475" s="643"/>
      <c r="R475" s="1374"/>
      <c r="S475" s="1374"/>
      <c r="T475" s="643"/>
      <c r="U475" s="1374"/>
      <c r="V475" s="1374"/>
      <c r="W475" s="643"/>
      <c r="X475" s="643"/>
      <c r="Y475" s="643"/>
      <c r="Z475" s="643"/>
      <c r="AA475" s="643"/>
      <c r="AB475" s="643"/>
      <c r="AC475" s="643"/>
      <c r="AD475" s="1374"/>
      <c r="AE475" s="1374"/>
      <c r="AF475" s="1374"/>
      <c r="AG475" s="206"/>
      <c r="AH475" s="1374"/>
      <c r="AI475" s="1374"/>
      <c r="AJ475" s="1374"/>
      <c r="AK475" s="1374"/>
      <c r="AL475" s="1374"/>
      <c r="AM475" s="1374"/>
      <c r="AN475" s="1374"/>
      <c r="AO475" s="1439"/>
    </row>
    <row r="476" spans="1:41" ht="14.5" thickBot="1" x14ac:dyDescent="0.35">
      <c r="A476" s="1385"/>
      <c r="B476" s="980"/>
      <c r="C476" s="980"/>
      <c r="D476" s="980"/>
      <c r="E476" s="1075"/>
      <c r="F476" s="980"/>
      <c r="G476" s="980"/>
      <c r="H476" s="980"/>
      <c r="I476" s="908"/>
      <c r="J476" s="985"/>
      <c r="K476" s="643"/>
      <c r="L476" s="1374"/>
      <c r="M476" s="1374"/>
      <c r="N476" s="643"/>
      <c r="O476" s="643"/>
      <c r="P476" s="643"/>
      <c r="Q476" s="643"/>
      <c r="R476" s="1374"/>
      <c r="S476" s="1374"/>
      <c r="T476" s="643"/>
      <c r="U476" s="1374"/>
      <c r="V476" s="1374"/>
      <c r="W476" s="643"/>
      <c r="X476" s="643"/>
      <c r="Y476" s="643"/>
      <c r="Z476" s="643"/>
      <c r="AA476" s="643"/>
      <c r="AB476" s="643"/>
      <c r="AC476" s="643"/>
      <c r="AD476" s="1374"/>
      <c r="AE476" s="1374"/>
      <c r="AF476" s="1374"/>
      <c r="AG476" s="206"/>
      <c r="AH476" s="1374"/>
      <c r="AI476" s="1374"/>
      <c r="AJ476" s="1374"/>
      <c r="AK476" s="1374"/>
      <c r="AL476" s="1374"/>
      <c r="AM476" s="1374"/>
      <c r="AN476" s="1374"/>
      <c r="AO476" s="1439"/>
    </row>
    <row r="477" spans="1:41" ht="15" customHeight="1" x14ac:dyDescent="0.3">
      <c r="A477" s="2729" t="s">
        <v>502</v>
      </c>
      <c r="B477" s="2730"/>
      <c r="C477" s="2730"/>
      <c r="D477" s="2730"/>
      <c r="E477" s="2730"/>
      <c r="F477" s="2731"/>
      <c r="G477" s="642"/>
      <c r="H477" s="642"/>
      <c r="I477" s="1374"/>
      <c r="J477" s="986"/>
      <c r="K477" s="643"/>
      <c r="L477" s="1374"/>
      <c r="M477" s="2649" t="s">
        <v>668</v>
      </c>
      <c r="N477" s="2650"/>
      <c r="O477" s="2650"/>
      <c r="P477" s="2650"/>
      <c r="Q477" s="2650"/>
      <c r="R477" s="2650"/>
      <c r="S477" s="2650"/>
      <c r="T477" s="2650"/>
      <c r="U477" s="2650"/>
      <c r="V477" s="2650"/>
      <c r="W477" s="2651"/>
      <c r="X477" s="643"/>
      <c r="Y477" s="2649" t="s">
        <v>615</v>
      </c>
      <c r="Z477" s="2650"/>
      <c r="AA477" s="2650"/>
      <c r="AB477" s="2650"/>
      <c r="AC477" s="2650"/>
      <c r="AD477" s="2650"/>
      <c r="AE477" s="2650"/>
      <c r="AF477" s="2650"/>
      <c r="AG477" s="2650"/>
      <c r="AH477" s="2650"/>
      <c r="AI477" s="2651"/>
      <c r="AJ477" s="1374"/>
      <c r="AK477" s="1374"/>
      <c r="AL477" s="1374"/>
      <c r="AM477" s="1374"/>
      <c r="AN477" s="1374"/>
      <c r="AO477" s="1439"/>
    </row>
    <row r="478" spans="1:41" ht="15.75" customHeight="1" thickBot="1" x14ac:dyDescent="0.35">
      <c r="A478" s="2732"/>
      <c r="B478" s="2733"/>
      <c r="C478" s="2733"/>
      <c r="D478" s="2733"/>
      <c r="E478" s="2733"/>
      <c r="F478" s="2734"/>
      <c r="G478" s="642"/>
      <c r="H478" s="642"/>
      <c r="I478" s="1374"/>
      <c r="J478" s="986"/>
      <c r="K478" s="643"/>
      <c r="L478" s="1374"/>
      <c r="M478" s="2652"/>
      <c r="N478" s="2653"/>
      <c r="O478" s="2653"/>
      <c r="P478" s="2653"/>
      <c r="Q478" s="2653"/>
      <c r="R478" s="2653"/>
      <c r="S478" s="2653"/>
      <c r="T478" s="2653"/>
      <c r="U478" s="2653"/>
      <c r="V478" s="2653"/>
      <c r="W478" s="2654"/>
      <c r="X478" s="643"/>
      <c r="Y478" s="2652"/>
      <c r="Z478" s="2653"/>
      <c r="AA478" s="2653"/>
      <c r="AB478" s="2653"/>
      <c r="AC478" s="2653"/>
      <c r="AD478" s="2653"/>
      <c r="AE478" s="2653"/>
      <c r="AF478" s="2653"/>
      <c r="AG478" s="2653"/>
      <c r="AH478" s="2653"/>
      <c r="AI478" s="2654"/>
      <c r="AJ478" s="1374"/>
      <c r="AK478" s="1374"/>
      <c r="AL478" s="1374"/>
      <c r="AM478" s="1374"/>
      <c r="AN478" s="1374"/>
      <c r="AO478" s="1439"/>
    </row>
    <row r="479" spans="1:41" x14ac:dyDescent="0.3">
      <c r="A479" s="2713" t="s">
        <v>662</v>
      </c>
      <c r="B479" s="2714"/>
      <c r="C479" s="2714"/>
      <c r="D479" s="2714"/>
      <c r="E479" s="2714"/>
      <c r="F479" s="2714"/>
      <c r="G479" s="642"/>
      <c r="H479" s="642"/>
      <c r="I479" s="1374"/>
      <c r="J479" s="986"/>
      <c r="K479" s="643"/>
      <c r="L479" s="1374"/>
      <c r="M479" s="1374"/>
      <c r="N479" s="643"/>
      <c r="O479" s="643"/>
      <c r="P479" s="643"/>
      <c r="Q479" s="643"/>
      <c r="R479" s="1374"/>
      <c r="S479" s="1374"/>
      <c r="T479" s="643"/>
      <c r="U479" s="1374"/>
      <c r="V479" s="1374"/>
      <c r="W479" s="643"/>
      <c r="X479" s="643"/>
      <c r="Y479" s="643"/>
      <c r="Z479" s="643"/>
      <c r="AA479" s="643"/>
      <c r="AB479" s="643"/>
      <c r="AC479" s="643"/>
      <c r="AD479" s="1374"/>
      <c r="AE479" s="1374"/>
      <c r="AF479" s="1374"/>
      <c r="AG479" s="206"/>
      <c r="AH479" s="1374"/>
      <c r="AI479" s="1374"/>
      <c r="AJ479" s="1374"/>
      <c r="AK479" s="1374"/>
      <c r="AL479" s="1374"/>
      <c r="AM479" s="1374"/>
      <c r="AN479" s="1374"/>
      <c r="AO479" s="1439"/>
    </row>
    <row r="480" spans="1:41" ht="60.75" customHeight="1" x14ac:dyDescent="0.3">
      <c r="A480" s="2620"/>
      <c r="B480" s="2621"/>
      <c r="C480" s="1403" t="s">
        <v>54</v>
      </c>
      <c r="D480" s="1403" t="s">
        <v>55</v>
      </c>
      <c r="E480" s="1403" t="s">
        <v>56</v>
      </c>
      <c r="F480" s="1403" t="s">
        <v>57</v>
      </c>
      <c r="G480" s="642"/>
      <c r="H480" s="642"/>
      <c r="I480" s="1374"/>
      <c r="J480" s="986"/>
      <c r="K480" s="643"/>
      <c r="L480" s="1374"/>
      <c r="M480" s="664"/>
      <c r="N480" s="1103" t="s">
        <v>539</v>
      </c>
      <c r="O480" s="1103" t="s">
        <v>375</v>
      </c>
      <c r="P480" s="1103" t="s">
        <v>58</v>
      </c>
      <c r="Q480" s="1103" t="s">
        <v>376</v>
      </c>
      <c r="R480" s="1394" t="s">
        <v>540</v>
      </c>
      <c r="S480" s="1394" t="s">
        <v>9</v>
      </c>
      <c r="T480" s="1103" t="s">
        <v>21</v>
      </c>
      <c r="U480" s="1374"/>
      <c r="V480" s="1374"/>
      <c r="W480" s="643"/>
      <c r="X480" s="643"/>
      <c r="Y480" s="1099"/>
      <c r="Z480" s="1100" t="s">
        <v>531</v>
      </c>
      <c r="AA480" s="1100" t="s">
        <v>532</v>
      </c>
      <c r="AB480" s="1100" t="s">
        <v>535</v>
      </c>
      <c r="AC480" s="1100" t="s">
        <v>533</v>
      </c>
      <c r="AD480" s="1100" t="s">
        <v>534</v>
      </c>
      <c r="AE480" s="1100" t="s">
        <v>536</v>
      </c>
      <c r="AF480" s="1374"/>
      <c r="AG480" s="206"/>
      <c r="AH480" s="1374"/>
      <c r="AI480" s="1374"/>
      <c r="AJ480" s="1374"/>
      <c r="AK480" s="1374"/>
      <c r="AL480" s="1374"/>
      <c r="AM480" s="1374"/>
      <c r="AN480" s="1374"/>
      <c r="AO480" s="1439"/>
    </row>
    <row r="481" spans="1:41" x14ac:dyDescent="0.3">
      <c r="A481" s="2620" t="s">
        <v>663</v>
      </c>
      <c r="B481" s="2621"/>
      <c r="C481" s="1347">
        <v>1056.119018625601</v>
      </c>
      <c r="D481" s="1347">
        <v>960.04039272224736</v>
      </c>
      <c r="E481" s="1347">
        <v>1425.1843234887458</v>
      </c>
      <c r="F481" s="1347">
        <v>2068.3829778413237</v>
      </c>
      <c r="G481" s="642"/>
      <c r="H481" s="642"/>
      <c r="I481" s="1374"/>
      <c r="J481" s="986"/>
      <c r="K481" s="643"/>
      <c r="L481" s="1104"/>
      <c r="M481" s="1077">
        <v>40909</v>
      </c>
      <c r="N481" s="1267">
        <v>22.073462596500001</v>
      </c>
      <c r="O481" s="1267">
        <v>15.284000000000001</v>
      </c>
      <c r="P481" s="1271">
        <v>1.9462999999999999</v>
      </c>
      <c r="Q481" s="1271">
        <v>0.69679999999999997</v>
      </c>
      <c r="R481" s="1273">
        <v>2.1020453300000002</v>
      </c>
      <c r="S481" s="1273">
        <v>0.99319999999999997</v>
      </c>
      <c r="T481" s="1275">
        <v>1.0511172665000001</v>
      </c>
      <c r="U481" s="1374"/>
      <c r="V481" s="1374"/>
      <c r="W481" s="643"/>
      <c r="X481" s="643"/>
      <c r="Y481" s="1099">
        <v>2012</v>
      </c>
      <c r="Z481" s="1097">
        <v>1341.0591094199638</v>
      </c>
      <c r="AA481" s="1284">
        <f>SUM(ENMAX!AL7:AL18)</f>
        <v>7260.2058854877832</v>
      </c>
      <c r="AB481" s="1285" t="s">
        <v>327</v>
      </c>
      <c r="AC481" s="1098">
        <v>856.85057704211249</v>
      </c>
      <c r="AD481" s="1284">
        <f>SUM(ENMAX!AN7:AN18)</f>
        <v>4077.6377840983105</v>
      </c>
      <c r="AE481" s="1285"/>
      <c r="AF481" s="1374"/>
      <c r="AG481" s="206"/>
      <c r="AH481" s="1374"/>
      <c r="AI481" s="1374"/>
      <c r="AJ481" s="1374"/>
      <c r="AK481" s="1374"/>
      <c r="AL481" s="1374"/>
      <c r="AM481" s="1374"/>
      <c r="AN481" s="1374"/>
      <c r="AO481" s="1439"/>
    </row>
    <row r="482" spans="1:41" x14ac:dyDescent="0.3">
      <c r="A482" s="2620" t="s">
        <v>664</v>
      </c>
      <c r="B482" s="2621"/>
      <c r="C482" s="899">
        <f>C481-$D$481</f>
        <v>96.078625903353668</v>
      </c>
      <c r="D482" s="899" t="s">
        <v>327</v>
      </c>
      <c r="E482" s="899">
        <f>E481-$D$481</f>
        <v>465.14393076649844</v>
      </c>
      <c r="F482" s="899">
        <f>F481-$D$481</f>
        <v>1108.3425851190764</v>
      </c>
      <c r="G482" s="642"/>
      <c r="H482" s="642"/>
      <c r="I482" s="1374"/>
      <c r="J482" s="986"/>
      <c r="K482" s="643"/>
      <c r="L482" s="1104"/>
      <c r="M482" s="1077">
        <v>40940</v>
      </c>
      <c r="N482" s="1267">
        <v>20.213814526499998</v>
      </c>
      <c r="O482" s="1267">
        <v>13.69</v>
      </c>
      <c r="P482" s="1271">
        <v>1.9462999999999999</v>
      </c>
      <c r="Q482" s="1271">
        <v>0.69679999999999997</v>
      </c>
      <c r="R482" s="1273">
        <v>1.92495193</v>
      </c>
      <c r="S482" s="1273">
        <v>0.99319999999999997</v>
      </c>
      <c r="T482" s="1275">
        <v>0.96256259649999998</v>
      </c>
      <c r="U482" s="1374"/>
      <c r="V482" s="1374"/>
      <c r="W482" s="643"/>
      <c r="X482" s="643"/>
      <c r="Y482" s="1099">
        <v>2013</v>
      </c>
      <c r="Z482" s="1098">
        <v>1232.5271443136678</v>
      </c>
      <c r="AA482" s="1284">
        <f>SUM(ENMAX!AL19:AL30)</f>
        <v>7224.9999320139168</v>
      </c>
      <c r="AB482" s="1286">
        <f>(AA482-AA481)/AA481</f>
        <v>-4.8491673692392934E-3</v>
      </c>
      <c r="AC482" s="1098">
        <v>793.98330988899306</v>
      </c>
      <c r="AD482" s="1284">
        <f>SUM(ENMAX!AN19:AN30)</f>
        <v>4057.8646360120833</v>
      </c>
      <c r="AE482" s="1286">
        <f>(AD482-AD481)/AD481</f>
        <v>-4.8491673692393896E-3</v>
      </c>
      <c r="AG482" s="1374"/>
      <c r="AI482" s="1374"/>
      <c r="AJ482" s="1374"/>
      <c r="AK482" s="1374"/>
      <c r="AL482" s="1374"/>
      <c r="AM482" s="1374"/>
      <c r="AN482" s="1374"/>
      <c r="AO482" s="1439"/>
    </row>
    <row r="483" spans="1:41" x14ac:dyDescent="0.3">
      <c r="A483" s="2715" t="s">
        <v>483</v>
      </c>
      <c r="B483" s="2716"/>
      <c r="C483" s="1396">
        <f>C482/$D$481</f>
        <v>0.10007769113851286</v>
      </c>
      <c r="D483" s="1396" t="s">
        <v>327</v>
      </c>
      <c r="E483" s="1396">
        <f>E482/$D$481</f>
        <v>0.48450454198865239</v>
      </c>
      <c r="F483" s="1396">
        <f>F482/$D$481</f>
        <v>1.1544749507635923</v>
      </c>
      <c r="G483" s="642"/>
      <c r="H483" s="642"/>
      <c r="I483" s="1374"/>
      <c r="J483" s="986"/>
      <c r="K483" s="643"/>
      <c r="L483" s="1104"/>
      <c r="M483" s="1077">
        <v>40969</v>
      </c>
      <c r="N483" s="1267">
        <v>13.829878366500001</v>
      </c>
      <c r="O483" s="1267">
        <v>8.218</v>
      </c>
      <c r="P483" s="1271">
        <v>1.9462999999999999</v>
      </c>
      <c r="Q483" s="1271">
        <v>0.69679999999999997</v>
      </c>
      <c r="R483" s="1273">
        <v>1.3170127300000001</v>
      </c>
      <c r="S483" s="1273">
        <v>0.99319999999999997</v>
      </c>
      <c r="T483" s="1275">
        <v>0.65856563650000011</v>
      </c>
      <c r="U483" s="1374"/>
      <c r="V483" s="1374"/>
      <c r="W483" s="643"/>
      <c r="X483" s="643"/>
      <c r="Y483" s="1099">
        <v>2014</v>
      </c>
      <c r="Z483" s="1097">
        <v>1218.2459513856784</v>
      </c>
      <c r="AA483" s="1284">
        <f>SUM(ENMAX!AL31:AL42)</f>
        <v>7206.8761845516656</v>
      </c>
      <c r="AB483" s="1286">
        <f t="shared" ref="AB483:AB485" si="169">(AA483-AA482)/AA482</f>
        <v>-2.5084771810093796E-3</v>
      </c>
      <c r="AC483" s="1098">
        <v>809.28658087197016</v>
      </c>
      <c r="AD483" s="1284">
        <f>SUM(ENMAX!AN31:AN42)</f>
        <v>4047.6855751690223</v>
      </c>
      <c r="AE483" s="1286">
        <f t="shared" ref="AE483" si="170">(AD483-AD482)/AD482</f>
        <v>-2.5084771810093324E-3</v>
      </c>
      <c r="AG483" s="1374"/>
      <c r="AI483" s="1374"/>
      <c r="AJ483" s="1374"/>
      <c r="AK483" s="1374"/>
      <c r="AL483" s="1374"/>
      <c r="AM483" s="1374"/>
      <c r="AN483" s="1374"/>
      <c r="AO483" s="1439"/>
    </row>
    <row r="484" spans="1:41" x14ac:dyDescent="0.3">
      <c r="A484" s="2710"/>
      <c r="B484" s="2711"/>
      <c r="C484" s="2711"/>
      <c r="D484" s="2711"/>
      <c r="E484" s="2711"/>
      <c r="F484" s="2712"/>
      <c r="G484" s="642"/>
      <c r="H484" s="642"/>
      <c r="I484" s="1374"/>
      <c r="J484" s="986"/>
      <c r="K484" s="643"/>
      <c r="L484" s="1104"/>
      <c r="M484" s="1077">
        <v>41000</v>
      </c>
      <c r="N484" s="1267">
        <v>12.614223856499997</v>
      </c>
      <c r="O484" s="1267">
        <v>7.1760000000000002</v>
      </c>
      <c r="P484" s="1271">
        <v>1.9462999999999999</v>
      </c>
      <c r="Q484" s="1271">
        <v>0.69679999999999997</v>
      </c>
      <c r="R484" s="1273">
        <v>1.2012465299999999</v>
      </c>
      <c r="S484" s="1273">
        <v>0.99319999999999997</v>
      </c>
      <c r="T484" s="1275">
        <v>0.60067732650000005</v>
      </c>
      <c r="U484" s="1374"/>
      <c r="V484" s="1374"/>
      <c r="W484" s="643"/>
      <c r="X484" s="643"/>
      <c r="Y484" s="1099">
        <v>2015</v>
      </c>
      <c r="Z484" s="1097">
        <v>1033.7087182827095</v>
      </c>
      <c r="AA484" s="1284">
        <f>SUM(ENMAX!AL43:AL54)</f>
        <v>6958.7394879593321</v>
      </c>
      <c r="AB484" s="1286">
        <f t="shared" si="169"/>
        <v>-3.4430548026373492E-2</v>
      </c>
      <c r="AC484" s="1098">
        <v>701.40827462153788</v>
      </c>
      <c r="AD484" s="1284">
        <f>SUM(ENMAX!AN43:AN54)</f>
        <v>3908.3215425775052</v>
      </c>
      <c r="AE484" s="1286">
        <f>(AD484-AD483)/AD483</f>
        <v>-3.4430548026373707E-2</v>
      </c>
      <c r="AG484" s="1374"/>
      <c r="AI484" s="1374"/>
      <c r="AJ484" s="1374"/>
      <c r="AK484" s="1374"/>
      <c r="AL484" s="1374"/>
      <c r="AM484" s="1374"/>
      <c r="AN484" s="1374"/>
      <c r="AO484" s="1439"/>
    </row>
    <row r="485" spans="1:41" x14ac:dyDescent="0.3">
      <c r="A485" s="2717" t="s">
        <v>665</v>
      </c>
      <c r="B485" s="2718"/>
      <c r="C485" s="2718"/>
      <c r="D485" s="2718"/>
      <c r="E485" s="2718"/>
      <c r="F485" s="2718"/>
      <c r="G485" s="642"/>
      <c r="H485" s="642"/>
      <c r="I485" s="1374"/>
      <c r="J485" s="986"/>
      <c r="K485" s="643"/>
      <c r="L485" s="1104"/>
      <c r="M485" s="1077">
        <v>41030</v>
      </c>
      <c r="N485" s="1267">
        <v>11.6510334885</v>
      </c>
      <c r="O485" s="1267">
        <v>6.3503999999999996</v>
      </c>
      <c r="P485" s="1271">
        <v>1.9462999999999999</v>
      </c>
      <c r="Q485" s="1273">
        <v>0.69679999999999997</v>
      </c>
      <c r="R485" s="1273">
        <v>1.1095223699999999</v>
      </c>
      <c r="S485" s="1273">
        <v>0.99319999999999997</v>
      </c>
      <c r="T485" s="1275">
        <v>0.55481111849999998</v>
      </c>
      <c r="U485" s="1374"/>
      <c r="V485" s="1374"/>
      <c r="W485" s="643"/>
      <c r="X485" s="643"/>
      <c r="Y485" s="1099">
        <v>2016</v>
      </c>
      <c r="Z485" s="1097">
        <v>893.39200321505848</v>
      </c>
      <c r="AA485" s="1284">
        <f>SUM(ENMAX!AL55:AL66)</f>
        <v>6786.6456582751607</v>
      </c>
      <c r="AB485" s="1286">
        <f t="shared" si="169"/>
        <v>-2.4730603866108852E-2</v>
      </c>
      <c r="AC485" s="1098">
        <v>616.54488917805895</v>
      </c>
      <c r="AD485" s="1284">
        <f>SUM(ENMAX!AN55:AN66)</f>
        <v>3811.6663907266425</v>
      </c>
      <c r="AE485" s="1286">
        <f t="shared" ref="AE485" si="171">(AD485-AD484)/AD484</f>
        <v>-2.4730603866108578E-2</v>
      </c>
      <c r="AF485" s="1374"/>
      <c r="AG485" s="206"/>
      <c r="AH485" s="1374"/>
      <c r="AI485" s="1374"/>
      <c r="AJ485" s="1374"/>
      <c r="AK485" s="1374"/>
      <c r="AL485" s="1374"/>
      <c r="AM485" s="1374"/>
      <c r="AN485" s="1374"/>
      <c r="AO485" s="1439"/>
    </row>
    <row r="486" spans="1:41" x14ac:dyDescent="0.3">
      <c r="A486" s="2620"/>
      <c r="B486" s="2621"/>
      <c r="C486" s="1403" t="s">
        <v>54</v>
      </c>
      <c r="D486" s="1403" t="s">
        <v>55</v>
      </c>
      <c r="E486" s="1403" t="s">
        <v>56</v>
      </c>
      <c r="F486" s="1403" t="s">
        <v>57</v>
      </c>
      <c r="G486" s="642"/>
      <c r="H486" s="642"/>
      <c r="I486" s="1374"/>
      <c r="J486" s="986"/>
      <c r="K486" s="643"/>
      <c r="L486" s="1104"/>
      <c r="M486" s="1077">
        <v>41061</v>
      </c>
      <c r="N486" s="1267">
        <v>13.196034704999999</v>
      </c>
      <c r="O486" s="1267">
        <v>7.6746999999999996</v>
      </c>
      <c r="P486" s="1271">
        <v>1.9462999999999999</v>
      </c>
      <c r="Q486" s="1273">
        <v>0.69679999999999997</v>
      </c>
      <c r="R486" s="1273">
        <v>1.2566520999999999</v>
      </c>
      <c r="S486" s="1273">
        <v>0.99319999999999997</v>
      </c>
      <c r="T486" s="1275">
        <v>0.62838260499999998</v>
      </c>
      <c r="U486" s="1374"/>
      <c r="V486" s="1374"/>
      <c r="W486" s="643"/>
      <c r="X486" s="643"/>
      <c r="Y486" s="1099">
        <v>2017</v>
      </c>
      <c r="Z486" s="1097">
        <v>906.1433838938342</v>
      </c>
      <c r="AA486" s="1284">
        <f>SUM(ENMAX!AL67:AL78)</f>
        <v>6712.5622872685408</v>
      </c>
      <c r="AB486" s="1286">
        <f>(AA486-AA485)/AA485</f>
        <v>-1.0916051129955171E-2</v>
      </c>
      <c r="AC486" s="1098">
        <v>630.51643308002667</v>
      </c>
      <c r="AD486" s="1284">
        <f>SUM(ENMAX!AN67:AN78)</f>
        <v>3770.0580455151389</v>
      </c>
      <c r="AE486" s="1286">
        <f>(AD486-AD485)/AD485</f>
        <v>-1.0916051129955128E-2</v>
      </c>
      <c r="AF486" s="1374"/>
      <c r="AG486" s="206"/>
      <c r="AH486" s="1374"/>
      <c r="AI486" s="1374"/>
      <c r="AJ486" s="1374"/>
      <c r="AK486" s="1374"/>
      <c r="AL486" s="1374"/>
      <c r="AM486" s="1374"/>
      <c r="AN486" s="1374"/>
      <c r="AO486" s="1439"/>
    </row>
    <row r="487" spans="1:41" x14ac:dyDescent="0.3">
      <c r="A487" s="2620" t="s">
        <v>663</v>
      </c>
      <c r="B487" s="2621"/>
      <c r="C487" s="1347">
        <v>1010.0100239420489</v>
      </c>
      <c r="D487" s="1347">
        <v>960.04039272224736</v>
      </c>
      <c r="E487" s="1347">
        <v>1150.3721983316445</v>
      </c>
      <c r="F487" s="1347">
        <v>1761.5039997937681</v>
      </c>
      <c r="G487" s="642"/>
      <c r="H487" s="642"/>
      <c r="I487" s="1374"/>
      <c r="J487" s="986"/>
      <c r="K487" s="643"/>
      <c r="L487" s="1104"/>
      <c r="M487" s="1077">
        <v>41091</v>
      </c>
      <c r="N487" s="1267">
        <v>14.780935522500002</v>
      </c>
      <c r="O487" s="1267">
        <v>9.0332000000000008</v>
      </c>
      <c r="P487" s="1271">
        <v>1.9462999999999999</v>
      </c>
      <c r="Q487" s="1273">
        <v>0.69679999999999997</v>
      </c>
      <c r="R487" s="1273">
        <v>1.4075814500000001</v>
      </c>
      <c r="S487" s="1273">
        <v>0.99319999999999997</v>
      </c>
      <c r="T487" s="1275">
        <v>0.70385407250000009</v>
      </c>
      <c r="U487" s="1374"/>
      <c r="V487" s="1374"/>
      <c r="W487" s="643"/>
      <c r="X487" s="643"/>
      <c r="Y487" s="1099">
        <v>2018</v>
      </c>
      <c r="Z487" s="1097">
        <v>1151.9960429980324</v>
      </c>
      <c r="AA487" s="1284">
        <f>SUM(ENMAX!AL79:AL90)</f>
        <v>6637.2738037623576</v>
      </c>
      <c r="AB487" s="1286">
        <f>(AA487-AA486)/AA486</f>
        <v>-1.1216057339084951E-2</v>
      </c>
      <c r="AC487" s="1097">
        <v>778.639644754919</v>
      </c>
      <c r="AD487" s="1284">
        <f>SUM(ENMAX!AN79:AN90)</f>
        <v>3727.772858304962</v>
      </c>
      <c r="AE487" s="1286">
        <f>(AD487-AD486)/AD486</f>
        <v>-1.12160573390851E-2</v>
      </c>
      <c r="AF487" s="1374"/>
      <c r="AG487" s="206"/>
      <c r="AH487" s="1374"/>
      <c r="AI487" s="1374"/>
      <c r="AJ487" s="1374"/>
      <c r="AK487" s="1374"/>
      <c r="AL487" s="1374"/>
      <c r="AM487" s="1374"/>
      <c r="AN487" s="1374"/>
      <c r="AO487" s="1439"/>
    </row>
    <row r="488" spans="1:41" x14ac:dyDescent="0.3">
      <c r="A488" s="2620" t="s">
        <v>664</v>
      </c>
      <c r="B488" s="2621"/>
      <c r="C488" s="1347">
        <f>C487-$D$481</f>
        <v>49.969631219801499</v>
      </c>
      <c r="D488" s="1347" t="s">
        <v>327</v>
      </c>
      <c r="E488" s="1347">
        <f>E487-$D$481</f>
        <v>190.33180560939718</v>
      </c>
      <c r="F488" s="1347">
        <f>F487-$D$481</f>
        <v>801.46360707152076</v>
      </c>
      <c r="G488" s="642"/>
      <c r="H488" s="642"/>
      <c r="I488" s="1374"/>
      <c r="J488" s="986"/>
      <c r="K488" s="643"/>
      <c r="L488" s="1104"/>
      <c r="M488" s="1077">
        <v>41122</v>
      </c>
      <c r="N488" s="1267">
        <v>17.442658904999998</v>
      </c>
      <c r="O488" s="1267">
        <v>11.3147</v>
      </c>
      <c r="P488" s="1271">
        <v>1.9462999999999999</v>
      </c>
      <c r="Q488" s="1273">
        <v>0.69679999999999997</v>
      </c>
      <c r="R488" s="1273">
        <v>1.6610560999999999</v>
      </c>
      <c r="S488" s="1273">
        <v>0.99319999999999997</v>
      </c>
      <c r="T488" s="1275">
        <v>0.83060280500000006</v>
      </c>
      <c r="U488" s="1374"/>
      <c r="V488" s="1374"/>
      <c r="W488" s="643"/>
      <c r="X488" s="643"/>
      <c r="Y488" s="643"/>
      <c r="Z488" s="643"/>
      <c r="AA488" s="643"/>
      <c r="AB488" s="643"/>
      <c r="AC488" s="643"/>
      <c r="AD488" s="1374"/>
      <c r="AE488" s="1374"/>
      <c r="AF488" s="1374"/>
      <c r="AG488" s="206"/>
      <c r="AH488" s="1374"/>
      <c r="AI488" s="1374"/>
      <c r="AJ488" s="1374"/>
      <c r="AK488" s="1374"/>
      <c r="AL488" s="1374"/>
      <c r="AM488" s="1374"/>
      <c r="AN488" s="1374"/>
      <c r="AO488" s="1439"/>
    </row>
    <row r="489" spans="1:41" x14ac:dyDescent="0.3">
      <c r="A489" s="2715" t="s">
        <v>483</v>
      </c>
      <c r="B489" s="2716"/>
      <c r="C489" s="1348">
        <f>C488/$D$481</f>
        <v>5.2049509165036131E-2</v>
      </c>
      <c r="D489" s="1348" t="s">
        <v>327</v>
      </c>
      <c r="E489" s="1348">
        <f>E488/$D$481</f>
        <v>0.19825395582544281</v>
      </c>
      <c r="F489" s="1348">
        <f>F488/$D$481</f>
        <v>0.83482279823552696</v>
      </c>
      <c r="G489" s="642"/>
      <c r="H489" s="642"/>
      <c r="I489" s="1374"/>
      <c r="J489" s="986"/>
      <c r="K489" s="643"/>
      <c r="L489" s="1104"/>
      <c r="M489" s="1077">
        <v>41153</v>
      </c>
      <c r="N489" s="1267">
        <v>16.799015341499999</v>
      </c>
      <c r="O489" s="1267">
        <v>10.763</v>
      </c>
      <c r="P489" s="1271">
        <v>1.9462999999999999</v>
      </c>
      <c r="Q489" s="1273">
        <v>0.69679999999999997</v>
      </c>
      <c r="R489" s="1273">
        <v>1.5997622299999998</v>
      </c>
      <c r="S489" s="1273">
        <v>0.99319999999999997</v>
      </c>
      <c r="T489" s="1275">
        <v>0.79995311149999992</v>
      </c>
      <c r="U489" s="1374"/>
      <c r="V489" s="1374"/>
      <c r="W489" s="643"/>
      <c r="X489" s="643"/>
      <c r="Y489" s="643"/>
      <c r="Z489" s="643"/>
      <c r="AA489" s="643"/>
      <c r="AB489" s="643"/>
      <c r="AC489" s="643"/>
      <c r="AD489" s="1374"/>
      <c r="AE489" s="1374"/>
      <c r="AF489" s="1374"/>
      <c r="AG489" s="206"/>
      <c r="AH489" s="1374"/>
      <c r="AI489" s="1374"/>
      <c r="AJ489" s="1374"/>
      <c r="AK489" s="1374"/>
      <c r="AL489" s="1374"/>
      <c r="AM489" s="1374"/>
      <c r="AN489" s="1374"/>
      <c r="AO489" s="1439"/>
    </row>
    <row r="490" spans="1:41" x14ac:dyDescent="0.3">
      <c r="A490" s="2614"/>
      <c r="B490" s="2615"/>
      <c r="C490" s="2615"/>
      <c r="D490" s="2615"/>
      <c r="E490" s="2615"/>
      <c r="F490" s="2616"/>
      <c r="G490" s="642"/>
      <c r="H490" s="642"/>
      <c r="I490" s="1374"/>
      <c r="J490" s="986"/>
      <c r="K490" s="643"/>
      <c r="L490" s="1104"/>
      <c r="M490" s="1077">
        <v>41183</v>
      </c>
      <c r="N490" s="1267">
        <v>14.307623588999999</v>
      </c>
      <c r="O490" s="1267">
        <v>9.6221999999999994</v>
      </c>
      <c r="P490" s="1271">
        <v>1.9462999999999999</v>
      </c>
      <c r="Q490" s="1273">
        <v>0.69679999999999997</v>
      </c>
      <c r="R490" s="1273">
        <v>1.3625081800000001</v>
      </c>
      <c r="S490" s="1273">
        <v>-1.4999999999999458E-3</v>
      </c>
      <c r="T490" s="1275">
        <v>0.68131540900000009</v>
      </c>
      <c r="U490" s="1374"/>
      <c r="V490" s="1374"/>
      <c r="W490" s="643"/>
      <c r="X490" s="643"/>
      <c r="Y490" s="643"/>
      <c r="Z490" s="643"/>
      <c r="AA490" s="643"/>
      <c r="AB490" s="643"/>
      <c r="AC490" s="643"/>
      <c r="AD490" s="1374"/>
      <c r="AE490" s="1374"/>
      <c r="AF490" s="1374"/>
      <c r="AG490" s="206"/>
      <c r="AH490" s="1374"/>
      <c r="AI490" s="1374"/>
      <c r="AJ490" s="1374"/>
      <c r="AK490" s="1374"/>
      <c r="AL490" s="1374"/>
      <c r="AM490" s="1374"/>
      <c r="AN490" s="1374"/>
      <c r="AO490" s="1439"/>
    </row>
    <row r="491" spans="1:41" x14ac:dyDescent="0.3">
      <c r="A491" s="2610" t="s">
        <v>488</v>
      </c>
      <c r="B491" s="2611"/>
      <c r="C491" s="2611"/>
      <c r="D491" s="2611"/>
      <c r="E491" s="2611"/>
      <c r="F491" s="2611"/>
      <c r="G491" s="642"/>
      <c r="H491" s="642"/>
      <c r="I491" s="1374"/>
      <c r="J491" s="986"/>
      <c r="K491" s="643"/>
      <c r="L491" s="1104"/>
      <c r="M491" s="1077">
        <v>41214</v>
      </c>
      <c r="N491" s="1267">
        <v>11.7144995205</v>
      </c>
      <c r="O491" s="1267">
        <v>7.3994999999999997</v>
      </c>
      <c r="P491" s="1271">
        <v>1.9462999999999999</v>
      </c>
      <c r="Q491" s="1273">
        <v>0.69679999999999997</v>
      </c>
      <c r="R491" s="1273">
        <v>1.1155662100000001</v>
      </c>
      <c r="S491" s="1273">
        <v>-1.4999999999999458E-3</v>
      </c>
      <c r="T491" s="1275">
        <v>0.55783331050000007</v>
      </c>
      <c r="U491" s="1374"/>
      <c r="V491" s="1374"/>
      <c r="W491" s="643"/>
      <c r="X491" s="643"/>
      <c r="Y491" s="643"/>
      <c r="Z491" s="643"/>
      <c r="AA491" s="643"/>
      <c r="AB491" s="643"/>
      <c r="AC491" s="643"/>
      <c r="AD491" s="1374"/>
      <c r="AE491" s="1374"/>
      <c r="AF491" s="1374"/>
      <c r="AG491" s="206"/>
      <c r="AH491" s="1374"/>
      <c r="AI491" s="1374"/>
      <c r="AJ491" s="1374"/>
      <c r="AK491" s="1374"/>
      <c r="AL491" s="1374"/>
      <c r="AM491" s="1374"/>
      <c r="AN491" s="1374"/>
      <c r="AO491" s="1439"/>
    </row>
    <row r="492" spans="1:41" x14ac:dyDescent="0.3">
      <c r="A492" s="2612"/>
      <c r="B492" s="2613"/>
      <c r="C492" s="1403" t="s">
        <v>54</v>
      </c>
      <c r="D492" s="1403" t="s">
        <v>55</v>
      </c>
      <c r="E492" s="1403" t="s">
        <v>56</v>
      </c>
      <c r="F492" s="1403" t="s">
        <v>57</v>
      </c>
      <c r="G492" s="642"/>
      <c r="H492" s="642"/>
      <c r="I492" s="1374"/>
      <c r="J492" s="986"/>
      <c r="K492" s="643"/>
      <c r="L492" s="1104"/>
      <c r="M492" s="1077">
        <v>41244</v>
      </c>
      <c r="N492" s="1267">
        <v>12.976936896000002</v>
      </c>
      <c r="O492" s="1267">
        <v>8.4816000000000003</v>
      </c>
      <c r="P492" s="1271">
        <v>1.9462999999999999</v>
      </c>
      <c r="Q492" s="1273">
        <v>0.69679999999999997</v>
      </c>
      <c r="R492" s="1273">
        <v>1.2357875200000001</v>
      </c>
      <c r="S492" s="1273">
        <v>-1.4999999999999458E-3</v>
      </c>
      <c r="T492" s="1275">
        <v>0.61794937600000011</v>
      </c>
      <c r="U492" s="1374"/>
      <c r="V492" s="1374"/>
      <c r="W492" s="643"/>
      <c r="X492" s="643"/>
      <c r="Y492" s="643"/>
      <c r="Z492" s="643"/>
      <c r="AA492" s="643"/>
      <c r="AB492" s="643"/>
      <c r="AC492" s="643"/>
      <c r="AD492" s="1374"/>
      <c r="AE492" s="1374"/>
      <c r="AF492" s="1374"/>
      <c r="AG492" s="206"/>
      <c r="AH492" s="1374"/>
      <c r="AI492" s="1374"/>
      <c r="AJ492" s="1374"/>
      <c r="AK492" s="1374"/>
      <c r="AL492" s="1374"/>
      <c r="AM492" s="1374"/>
      <c r="AN492" s="1374"/>
      <c r="AO492" s="1439"/>
    </row>
    <row r="493" spans="1:41" x14ac:dyDescent="0.3">
      <c r="A493" s="2608" t="s">
        <v>484</v>
      </c>
      <c r="B493" s="2609"/>
      <c r="C493" s="899">
        <f>C482-C488</f>
        <v>46.108994683552169</v>
      </c>
      <c r="D493" s="899" t="s">
        <v>327</v>
      </c>
      <c r="E493" s="899">
        <f>E482-E488</f>
        <v>274.81212515710126</v>
      </c>
      <c r="F493" s="899">
        <f>F482-F488</f>
        <v>306.87897804755562</v>
      </c>
      <c r="G493" s="642"/>
      <c r="H493" s="642"/>
      <c r="I493" s="1374"/>
      <c r="J493" s="986"/>
      <c r="K493" s="643"/>
      <c r="L493" s="1104"/>
      <c r="M493" s="1077">
        <v>41275</v>
      </c>
      <c r="N493" s="1267">
        <v>13.74786252</v>
      </c>
      <c r="O493" s="1267">
        <v>9.1424000000000003</v>
      </c>
      <c r="P493" s="1271">
        <v>1.9462999999999999</v>
      </c>
      <c r="Q493" s="1273">
        <v>0.69679999999999997</v>
      </c>
      <c r="R493" s="1273">
        <v>1.3092024</v>
      </c>
      <c r="S493" s="1273">
        <v>-1.4999999999999458E-3</v>
      </c>
      <c r="T493" s="1275">
        <v>0.65466011999999996</v>
      </c>
      <c r="U493" s="1374"/>
      <c r="V493" s="1374"/>
      <c r="W493" s="643"/>
      <c r="X493" s="643"/>
      <c r="Y493" s="643"/>
      <c r="Z493" s="643"/>
      <c r="AA493" s="643"/>
      <c r="AB493" s="643"/>
      <c r="AC493" s="643"/>
      <c r="AD493" s="1374"/>
      <c r="AE493" s="1374"/>
      <c r="AF493" s="1374"/>
      <c r="AG493" s="206"/>
      <c r="AH493" s="1374"/>
      <c r="AI493" s="1374"/>
      <c r="AJ493" s="1374"/>
      <c r="AK493" s="1374"/>
      <c r="AL493" s="1374"/>
      <c r="AM493" s="1374"/>
      <c r="AN493" s="1374"/>
      <c r="AO493" s="1439"/>
    </row>
    <row r="494" spans="1:41" x14ac:dyDescent="0.3">
      <c r="A494" s="2608" t="s">
        <v>487</v>
      </c>
      <c r="B494" s="2609"/>
      <c r="C494" s="834">
        <f>C493/C482</f>
        <v>0.47990897298982615</v>
      </c>
      <c r="D494" s="834" t="s">
        <v>327</v>
      </c>
      <c r="E494" s="834">
        <f>E493/E482</f>
        <v>0.59081094469887119</v>
      </c>
      <c r="F494" s="834">
        <f>F493/F482</f>
        <v>0.27688097720668708</v>
      </c>
      <c r="G494" s="642"/>
      <c r="H494" s="642"/>
      <c r="I494" s="1374"/>
      <c r="J494" s="986"/>
      <c r="K494" s="643"/>
      <c r="L494" s="1104"/>
      <c r="M494" s="1077">
        <v>41306</v>
      </c>
      <c r="N494" s="1267">
        <v>12.053762794499999</v>
      </c>
      <c r="O494" s="1267">
        <v>7.6902999999999997</v>
      </c>
      <c r="P494" s="1271">
        <v>1.9462999999999999</v>
      </c>
      <c r="Q494" s="1273">
        <v>0.69679999999999997</v>
      </c>
      <c r="R494" s="1273">
        <v>1.14787409</v>
      </c>
      <c r="S494" s="1273">
        <v>-1.4999999999999458E-3</v>
      </c>
      <c r="T494" s="1275">
        <v>0.57398870449999995</v>
      </c>
      <c r="U494" s="1374"/>
      <c r="V494" s="1374"/>
      <c r="W494" s="643"/>
      <c r="X494" s="643"/>
      <c r="Y494" s="643"/>
      <c r="Z494" s="643"/>
      <c r="AA494" s="643"/>
      <c r="AB494" s="643"/>
      <c r="AC494" s="643"/>
      <c r="AD494" s="1374"/>
      <c r="AE494" s="1374"/>
      <c r="AF494" s="1374"/>
      <c r="AG494" s="206"/>
      <c r="AH494" s="1374"/>
      <c r="AI494" s="1374"/>
      <c r="AJ494" s="1374"/>
      <c r="AK494" s="1374"/>
      <c r="AL494" s="1374"/>
      <c r="AM494" s="1374"/>
      <c r="AN494" s="1374"/>
      <c r="AO494" s="1439"/>
    </row>
    <row r="495" spans="1:41" x14ac:dyDescent="0.3">
      <c r="A495" s="2620"/>
      <c r="B495" s="2621"/>
      <c r="C495" s="1395"/>
      <c r="D495" s="1395"/>
      <c r="E495" s="1395"/>
      <c r="F495" s="1395"/>
      <c r="G495" s="642"/>
      <c r="H495" s="642"/>
      <c r="I495" s="1374"/>
      <c r="J495" s="986"/>
      <c r="K495" s="643"/>
      <c r="L495" s="1104"/>
      <c r="M495" s="1077">
        <v>41334</v>
      </c>
      <c r="N495" s="1267">
        <v>11.520951455999999</v>
      </c>
      <c r="O495" s="1267">
        <v>7.2336</v>
      </c>
      <c r="P495" s="1271">
        <v>1.9462999999999999</v>
      </c>
      <c r="Q495" s="1273">
        <v>0.69679999999999997</v>
      </c>
      <c r="R495" s="1273">
        <v>1.0971347199999999</v>
      </c>
      <c r="S495" s="1273">
        <v>-1.4999999999999458E-3</v>
      </c>
      <c r="T495" s="1275">
        <v>0.54861673599999994</v>
      </c>
      <c r="U495" s="1374"/>
      <c r="V495" s="1374"/>
      <c r="W495" s="643"/>
      <c r="X495" s="643"/>
      <c r="Y495" s="643"/>
      <c r="Z495" s="643"/>
      <c r="AA495" s="643"/>
      <c r="AB495" s="643"/>
      <c r="AC495" s="643"/>
      <c r="AD495" s="1374"/>
      <c r="AE495" s="1374"/>
      <c r="AF495" s="1374"/>
      <c r="AG495" s="206"/>
      <c r="AH495" s="1374"/>
      <c r="AI495" s="1374"/>
      <c r="AJ495" s="1374"/>
      <c r="AK495" s="1374"/>
      <c r="AL495" s="1374"/>
      <c r="AM495" s="1374"/>
      <c r="AN495" s="1374"/>
      <c r="AO495" s="1439"/>
    </row>
    <row r="496" spans="1:41" x14ac:dyDescent="0.3">
      <c r="A496" s="2608" t="s">
        <v>485</v>
      </c>
      <c r="B496" s="2609"/>
      <c r="C496" s="899">
        <f>C488</f>
        <v>49.969631219801499</v>
      </c>
      <c r="D496" s="899" t="s">
        <v>327</v>
      </c>
      <c r="E496" s="899">
        <f>E488</f>
        <v>190.33180560939718</v>
      </c>
      <c r="F496" s="899">
        <f>F488</f>
        <v>801.46360707152076</v>
      </c>
      <c r="G496" s="642"/>
      <c r="H496" s="642"/>
      <c r="I496" s="1374"/>
      <c r="J496" s="986"/>
      <c r="K496" s="643"/>
      <c r="L496" s="1104"/>
      <c r="M496" s="1077">
        <v>41365</v>
      </c>
      <c r="N496" s="1267">
        <v>13.58686413</v>
      </c>
      <c r="O496" s="1267">
        <v>8.3926999999999996</v>
      </c>
      <c r="P496" s="1271">
        <v>1.9462999999999999</v>
      </c>
      <c r="Q496" s="1273">
        <v>0.69679999999999997</v>
      </c>
      <c r="R496" s="1273">
        <v>1.2938706</v>
      </c>
      <c r="S496" s="1273">
        <v>0.61019999999999996</v>
      </c>
      <c r="T496" s="1275">
        <v>0.64699353000000004</v>
      </c>
      <c r="U496" s="1374"/>
      <c r="V496" s="1374"/>
      <c r="W496" s="643"/>
      <c r="X496" s="643"/>
      <c r="Y496" s="643"/>
      <c r="Z496" s="643"/>
      <c r="AA496" s="643"/>
      <c r="AB496" s="643"/>
      <c r="AC496" s="643"/>
      <c r="AD496" s="1374"/>
      <c r="AE496" s="1374"/>
      <c r="AF496" s="1374"/>
      <c r="AG496" s="206"/>
      <c r="AH496" s="1374"/>
      <c r="AI496" s="1374"/>
      <c r="AJ496" s="1374"/>
      <c r="AK496" s="1374"/>
      <c r="AL496" s="1374"/>
      <c r="AM496" s="1374"/>
      <c r="AN496" s="1374"/>
      <c r="AO496" s="1439"/>
    </row>
    <row r="497" spans="1:41" x14ac:dyDescent="0.3">
      <c r="A497" s="2608" t="s">
        <v>486</v>
      </c>
      <c r="B497" s="2609"/>
      <c r="C497" s="834">
        <f>C496/C482</f>
        <v>0.52009102701017385</v>
      </c>
      <c r="D497" s="834" t="s">
        <v>327</v>
      </c>
      <c r="E497" s="834">
        <f>E496/E482</f>
        <v>0.40918905530112887</v>
      </c>
      <c r="F497" s="834">
        <f>F496/F482</f>
        <v>0.72311902279331297</v>
      </c>
      <c r="G497" s="642"/>
      <c r="H497" s="642"/>
      <c r="I497" s="1374"/>
      <c r="J497" s="986"/>
      <c r="K497" s="643"/>
      <c r="L497" s="1104"/>
      <c r="M497" s="1077">
        <v>41395</v>
      </c>
      <c r="N497" s="1267">
        <v>12.213477864</v>
      </c>
      <c r="O497" s="1267">
        <v>7.2154999999999996</v>
      </c>
      <c r="P497" s="1271">
        <v>1.9462999999999999</v>
      </c>
      <c r="Q497" s="1273">
        <v>0.69679999999999997</v>
      </c>
      <c r="R497" s="1273">
        <v>1.16308368</v>
      </c>
      <c r="S497" s="1273">
        <v>0.61019999999999996</v>
      </c>
      <c r="T497" s="1275">
        <v>0.58159418399999996</v>
      </c>
      <c r="U497" s="1374"/>
      <c r="V497" s="1374"/>
      <c r="W497" s="643"/>
      <c r="X497" s="643"/>
      <c r="Y497" s="643"/>
      <c r="Z497" s="643"/>
      <c r="AA497" s="643"/>
      <c r="AB497" s="643"/>
      <c r="AC497" s="643"/>
      <c r="AD497" s="1374"/>
      <c r="AE497" s="1374"/>
      <c r="AF497" s="1374"/>
      <c r="AG497" s="206"/>
      <c r="AH497" s="1374"/>
      <c r="AI497" s="1374"/>
      <c r="AJ497" s="1374"/>
      <c r="AK497" s="1374"/>
      <c r="AL497" s="1374"/>
      <c r="AM497" s="1374"/>
      <c r="AN497" s="1374"/>
      <c r="AO497" s="1439"/>
    </row>
    <row r="498" spans="1:41" x14ac:dyDescent="0.3">
      <c r="A498" s="2614"/>
      <c r="B498" s="2615"/>
      <c r="C498" s="2615"/>
      <c r="D498" s="2615"/>
      <c r="E498" s="2615"/>
      <c r="F498" s="2616"/>
      <c r="G498" s="642"/>
      <c r="H498" s="642"/>
      <c r="I498" s="1374"/>
      <c r="J498" s="986"/>
      <c r="K498" s="643"/>
      <c r="L498" s="1104"/>
      <c r="M498" s="1077">
        <v>41426</v>
      </c>
      <c r="N498" s="1267">
        <v>12.803455297500001</v>
      </c>
      <c r="O498" s="1267">
        <v>7.7211999999999996</v>
      </c>
      <c r="P498" s="1271">
        <v>1.9462999999999999</v>
      </c>
      <c r="Q498" s="1273">
        <v>0.69679999999999997</v>
      </c>
      <c r="R498" s="1273">
        <v>1.2192669500000002</v>
      </c>
      <c r="S498" s="1273">
        <v>0.61019999999999996</v>
      </c>
      <c r="T498" s="1275">
        <v>0.60968834750000012</v>
      </c>
      <c r="U498" s="1374"/>
      <c r="V498" s="1374"/>
      <c r="W498" s="643"/>
      <c r="X498" s="643"/>
      <c r="Y498" s="643"/>
      <c r="Z498" s="643"/>
      <c r="AA498" s="643"/>
      <c r="AB498" s="643"/>
      <c r="AC498" s="643"/>
      <c r="AD498" s="1374"/>
      <c r="AE498" s="1374"/>
      <c r="AF498" s="1374"/>
      <c r="AG498" s="206"/>
      <c r="AH498" s="1374"/>
      <c r="AI498" s="1374"/>
      <c r="AJ498" s="1374"/>
      <c r="AK498" s="1374"/>
      <c r="AL498" s="1374"/>
      <c r="AM498" s="1374"/>
      <c r="AN498" s="1374"/>
      <c r="AO498" s="1439"/>
    </row>
    <row r="499" spans="1:41" x14ac:dyDescent="0.3">
      <c r="A499" s="2614" t="s">
        <v>481</v>
      </c>
      <c r="B499" s="2616"/>
      <c r="C499" s="1578">
        <v>490.84341369603021</v>
      </c>
      <c r="D499" s="1578">
        <v>461.18575155593652</v>
      </c>
      <c r="E499" s="1578">
        <v>629.47448263478111</v>
      </c>
      <c r="F499" s="1578">
        <v>591.57182306896232</v>
      </c>
      <c r="G499" s="642"/>
      <c r="H499" s="642"/>
      <c r="I499" s="1374"/>
      <c r="J499" s="986"/>
      <c r="K499" s="643"/>
      <c r="L499" s="1104"/>
      <c r="M499" s="1077">
        <v>41456</v>
      </c>
      <c r="N499" s="1267">
        <v>16.536634631999998</v>
      </c>
      <c r="O499" s="1267">
        <v>11.292999999999999</v>
      </c>
      <c r="P499" s="1271">
        <v>1.9462999999999999</v>
      </c>
      <c r="Q499" s="1273">
        <v>0.69679999999999997</v>
      </c>
      <c r="R499" s="1273">
        <v>1.57477584</v>
      </c>
      <c r="S499" s="1273">
        <v>0.23829999999999996</v>
      </c>
      <c r="T499" s="1275">
        <v>0.78745879200000013</v>
      </c>
      <c r="U499" s="1374"/>
      <c r="V499" s="1374"/>
      <c r="W499" s="643"/>
      <c r="X499" s="643"/>
      <c r="Y499" s="643"/>
      <c r="Z499" s="643"/>
      <c r="AA499" s="643"/>
      <c r="AB499" s="643"/>
      <c r="AC499" s="643"/>
      <c r="AD499" s="1374"/>
      <c r="AE499" s="1374"/>
      <c r="AF499" s="1374"/>
      <c r="AG499" s="206"/>
      <c r="AH499" s="1374"/>
      <c r="AI499" s="1374"/>
      <c r="AJ499" s="1374"/>
      <c r="AK499" s="1374"/>
      <c r="AL499" s="1374"/>
      <c r="AM499" s="1374"/>
      <c r="AN499" s="1374"/>
      <c r="AO499" s="1439"/>
    </row>
    <row r="500" spans="1:41" x14ac:dyDescent="0.3">
      <c r="A500" s="2622" t="s">
        <v>482</v>
      </c>
      <c r="B500" s="2623"/>
      <c r="C500" s="900">
        <f>C499-$D$499</f>
        <v>29.657662140093692</v>
      </c>
      <c r="D500" s="900">
        <f>D499-$D$499</f>
        <v>0</v>
      </c>
      <c r="E500" s="900">
        <f>E499-$D$499</f>
        <v>168.28873107884459</v>
      </c>
      <c r="F500" s="900">
        <f>F499-$D$499</f>
        <v>130.3860715130258</v>
      </c>
      <c r="G500" s="642"/>
      <c r="H500" s="642"/>
      <c r="I500" s="1374"/>
      <c r="J500" s="986"/>
      <c r="K500" s="643"/>
      <c r="L500" s="1104"/>
      <c r="M500" s="1077">
        <v>41487</v>
      </c>
      <c r="N500" s="1267">
        <v>16.440968922</v>
      </c>
      <c r="O500" s="1267">
        <v>11.211</v>
      </c>
      <c r="P500" s="1271">
        <v>1.9462999999999999</v>
      </c>
      <c r="Q500" s="1273">
        <v>0.69679999999999997</v>
      </c>
      <c r="R500" s="1273">
        <v>1.56566564</v>
      </c>
      <c r="S500" s="1273">
        <v>0.23829999999999996</v>
      </c>
      <c r="T500" s="1275">
        <v>0.78290328200000003</v>
      </c>
      <c r="U500" s="1374"/>
      <c r="V500" s="1374"/>
      <c r="W500" s="643"/>
      <c r="X500" s="643"/>
      <c r="Y500" s="643"/>
      <c r="Z500" s="643"/>
      <c r="AA500" s="643"/>
      <c r="AB500" s="643"/>
      <c r="AC500" s="643"/>
      <c r="AD500" s="1374"/>
      <c r="AE500" s="1374"/>
      <c r="AF500" s="1374"/>
      <c r="AG500" s="206"/>
      <c r="AH500" s="1374"/>
      <c r="AI500" s="1374"/>
      <c r="AJ500" s="1374"/>
      <c r="AK500" s="1374"/>
      <c r="AL500" s="1374"/>
      <c r="AM500" s="1374"/>
      <c r="AN500" s="1374"/>
      <c r="AO500" s="1439"/>
    </row>
    <row r="501" spans="1:41" x14ac:dyDescent="0.3">
      <c r="A501" s="1384"/>
      <c r="B501" s="982"/>
      <c r="C501" s="982"/>
      <c r="D501" s="982"/>
      <c r="E501" s="983"/>
      <c r="F501" s="982"/>
      <c r="G501" s="982"/>
      <c r="H501" s="982"/>
      <c r="I501" s="918"/>
      <c r="J501" s="987"/>
      <c r="K501" s="643"/>
      <c r="L501" s="1104"/>
      <c r="M501" s="1077">
        <v>41518</v>
      </c>
      <c r="N501" s="1267">
        <v>16.134138657000001</v>
      </c>
      <c r="O501" s="1267">
        <v>10.948</v>
      </c>
      <c r="P501" s="1271">
        <v>1.9462999999999999</v>
      </c>
      <c r="Q501" s="1273">
        <v>0.69679999999999997</v>
      </c>
      <c r="R501" s="1273">
        <v>1.5364463400000001</v>
      </c>
      <c r="S501" s="1273">
        <v>0.23829999999999996</v>
      </c>
      <c r="T501" s="1275">
        <v>0.76829231700000011</v>
      </c>
      <c r="U501" s="1374"/>
      <c r="V501" s="1374"/>
      <c r="W501" s="643"/>
      <c r="X501" s="643"/>
      <c r="Y501" s="643"/>
      <c r="Z501" s="643"/>
      <c r="AA501" s="643"/>
      <c r="AB501" s="643"/>
      <c r="AC501" s="643"/>
      <c r="AD501" s="1374"/>
      <c r="AE501" s="1374"/>
      <c r="AF501" s="1374"/>
      <c r="AG501" s="206"/>
      <c r="AH501" s="1374"/>
      <c r="AI501" s="1374"/>
      <c r="AJ501" s="1374"/>
      <c r="AK501" s="1374"/>
      <c r="AL501" s="1374"/>
      <c r="AM501" s="1374"/>
      <c r="AN501" s="1374"/>
      <c r="AO501" s="1439"/>
    </row>
    <row r="502" spans="1:41" x14ac:dyDescent="0.3">
      <c r="A502" s="1375"/>
      <c r="B502" s="642"/>
      <c r="C502" s="642"/>
      <c r="D502" s="642"/>
      <c r="E502" s="1389"/>
      <c r="F502" s="642"/>
      <c r="G502" s="642"/>
      <c r="H502" s="642"/>
      <c r="I502" s="1374"/>
      <c r="J502" s="1389"/>
      <c r="K502" s="643"/>
      <c r="L502" s="1104"/>
      <c r="M502" s="1077">
        <v>41548</v>
      </c>
      <c r="N502" s="1267">
        <v>14.039292939000003</v>
      </c>
      <c r="O502" s="1267">
        <v>8.0594000000000001</v>
      </c>
      <c r="P502" s="1271">
        <v>1.9462999999999999</v>
      </c>
      <c r="Q502" s="1273">
        <v>0.69679999999999997</v>
      </c>
      <c r="R502" s="1273">
        <v>1.3369551800000001</v>
      </c>
      <c r="S502" s="1273">
        <v>1.3313000000000001</v>
      </c>
      <c r="T502" s="1275">
        <v>0.66853775900000012</v>
      </c>
      <c r="U502" s="1374"/>
      <c r="V502" s="1374"/>
      <c r="W502" s="643"/>
      <c r="X502" s="643"/>
      <c r="Y502" s="643"/>
      <c r="Z502" s="643"/>
      <c r="AA502" s="643"/>
      <c r="AB502" s="643"/>
      <c r="AC502" s="643"/>
      <c r="AD502" s="1374"/>
      <c r="AE502" s="1374"/>
      <c r="AF502" s="1374"/>
      <c r="AG502" s="206"/>
      <c r="AH502" s="1374"/>
      <c r="AI502" s="1374"/>
      <c r="AJ502" s="1374"/>
      <c r="AK502" s="1374"/>
      <c r="AL502" s="1374"/>
      <c r="AM502" s="1374"/>
      <c r="AN502" s="1374"/>
      <c r="AO502" s="1439"/>
    </row>
    <row r="503" spans="1:41" ht="14.5" thickBot="1" x14ac:dyDescent="0.35">
      <c r="A503" s="1385"/>
      <c r="B503" s="980"/>
      <c r="C503" s="980"/>
      <c r="D503" s="980"/>
      <c r="E503" s="1075"/>
      <c r="F503" s="980"/>
      <c r="G503" s="980"/>
      <c r="H503" s="988"/>
      <c r="I503" s="1374"/>
      <c r="J503" s="1389"/>
      <c r="K503" s="643"/>
      <c r="L503" s="1104"/>
      <c r="M503" s="1077">
        <v>41579</v>
      </c>
      <c r="N503" s="1267">
        <v>13.8564781005</v>
      </c>
      <c r="O503" s="1267">
        <v>7.9027000000000003</v>
      </c>
      <c r="P503" s="1271">
        <v>1.9462999999999999</v>
      </c>
      <c r="Q503" s="1273">
        <v>0.69679999999999997</v>
      </c>
      <c r="R503" s="1273">
        <v>1.3195458099999999</v>
      </c>
      <c r="S503" s="1273">
        <v>1.3313000000000001</v>
      </c>
      <c r="T503" s="1275">
        <v>0.65983229050000014</v>
      </c>
      <c r="U503" s="1374"/>
      <c r="V503" s="1374"/>
      <c r="W503" s="643"/>
      <c r="X503" s="643"/>
      <c r="Y503" s="643"/>
      <c r="Z503" s="643"/>
      <c r="AA503" s="643"/>
      <c r="AB503" s="643"/>
      <c r="AC503" s="643"/>
      <c r="AD503" s="1374"/>
      <c r="AE503" s="1374"/>
      <c r="AF503" s="1374"/>
      <c r="AG503" s="206"/>
      <c r="AH503" s="1374"/>
      <c r="AI503" s="1374"/>
      <c r="AJ503" s="1374"/>
      <c r="AK503" s="1374"/>
      <c r="AL503" s="1374"/>
      <c r="AM503" s="1374"/>
      <c r="AN503" s="1374"/>
      <c r="AO503" s="1439"/>
    </row>
    <row r="504" spans="1:41" x14ac:dyDescent="0.3">
      <c r="A504" s="2655" t="s">
        <v>503</v>
      </c>
      <c r="B504" s="2656"/>
      <c r="C504" s="2656"/>
      <c r="D504" s="2656"/>
      <c r="E504" s="2656"/>
      <c r="F504" s="2656"/>
      <c r="G504" s="2657"/>
      <c r="H504" s="989"/>
      <c r="I504" s="1374"/>
      <c r="J504" s="1389"/>
      <c r="K504" s="643"/>
      <c r="L504" s="1104"/>
      <c r="M504" s="1077">
        <v>41609</v>
      </c>
      <c r="N504" s="1267">
        <v>13.7050462815</v>
      </c>
      <c r="O504" s="1267">
        <v>7.5796000000000001</v>
      </c>
      <c r="P504" s="1271">
        <v>1.9462999999999999</v>
      </c>
      <c r="Q504" s="1273">
        <v>0.69679999999999997</v>
      </c>
      <c r="R504" s="1273">
        <v>1.3051250299999999</v>
      </c>
      <c r="S504" s="1273">
        <v>1.5246</v>
      </c>
      <c r="T504" s="1275">
        <v>0.65262125149999994</v>
      </c>
      <c r="U504" s="1374"/>
      <c r="V504" s="1374"/>
      <c r="W504" s="643"/>
      <c r="X504" s="643"/>
      <c r="Y504" s="643"/>
      <c r="Z504" s="643"/>
      <c r="AA504" s="643"/>
      <c r="AB504" s="643"/>
      <c r="AC504" s="643"/>
      <c r="AD504" s="1374"/>
      <c r="AE504" s="1374"/>
      <c r="AF504" s="1374"/>
      <c r="AG504" s="206"/>
      <c r="AH504" s="1374"/>
      <c r="AI504" s="1374"/>
      <c r="AJ504" s="1374"/>
      <c r="AK504" s="1374"/>
      <c r="AL504" s="1374"/>
      <c r="AM504" s="1374"/>
      <c r="AN504" s="1374"/>
      <c r="AO504" s="1439"/>
    </row>
    <row r="505" spans="1:41" ht="14.5" thickBot="1" x14ac:dyDescent="0.35">
      <c r="A505" s="2658"/>
      <c r="B505" s="2659"/>
      <c r="C505" s="2659"/>
      <c r="D505" s="2659"/>
      <c r="E505" s="2659"/>
      <c r="F505" s="2659"/>
      <c r="G505" s="2660"/>
      <c r="H505" s="989"/>
      <c r="I505" s="1374"/>
      <c r="J505" s="1389"/>
      <c r="K505" s="643"/>
      <c r="L505" s="1104"/>
      <c r="M505" s="1077">
        <v>41640</v>
      </c>
      <c r="N505" s="1267">
        <v>14.173224933</v>
      </c>
      <c r="O505" s="1267">
        <v>7.8040000000000003</v>
      </c>
      <c r="P505" s="1271">
        <v>1.9462999999999999</v>
      </c>
      <c r="Q505" s="1273">
        <v>0.86209999999999998</v>
      </c>
      <c r="R505" s="1273">
        <v>1.3497094599999999</v>
      </c>
      <c r="S505" s="1273">
        <v>1.5361999999999998</v>
      </c>
      <c r="T505" s="1275">
        <v>0.67491547299999999</v>
      </c>
      <c r="U505" s="1374"/>
      <c r="V505" s="1374"/>
      <c r="W505" s="643"/>
      <c r="X505" s="643"/>
      <c r="Y505" s="643"/>
      <c r="Z505" s="643"/>
      <c r="AA505" s="643"/>
      <c r="AB505" s="643"/>
      <c r="AC505" s="643"/>
      <c r="AD505" s="1374"/>
      <c r="AE505" s="1374"/>
      <c r="AF505" s="1374"/>
      <c r="AG505" s="206"/>
      <c r="AH505" s="1374"/>
      <c r="AI505" s="1374"/>
      <c r="AJ505" s="1374"/>
      <c r="AK505" s="1374"/>
      <c r="AL505" s="1374"/>
      <c r="AM505" s="1374"/>
      <c r="AN505" s="1374"/>
      <c r="AO505" s="1439"/>
    </row>
    <row r="506" spans="1:41" ht="18" x14ac:dyDescent="0.3">
      <c r="A506" s="1003"/>
      <c r="B506" s="600"/>
      <c r="C506" s="1374"/>
      <c r="D506" s="1374"/>
      <c r="E506" s="1374"/>
      <c r="F506" s="1374"/>
      <c r="G506" s="1374"/>
      <c r="H506" s="989"/>
      <c r="I506" s="1374"/>
      <c r="J506" s="1389"/>
      <c r="K506" s="643"/>
      <c r="L506" s="1104"/>
      <c r="M506" s="1077">
        <v>41671</v>
      </c>
      <c r="N506" s="1267">
        <v>13.4579487525</v>
      </c>
      <c r="O506" s="1267">
        <v>7.1909000000000001</v>
      </c>
      <c r="P506" s="1271">
        <v>1.9462999999999999</v>
      </c>
      <c r="Q506" s="1273">
        <v>0.86209999999999998</v>
      </c>
      <c r="R506" s="1273">
        <v>1.28159405</v>
      </c>
      <c r="S506" s="1273">
        <v>1.5361999999999998</v>
      </c>
      <c r="T506" s="1275">
        <v>0.64085470249999998</v>
      </c>
      <c r="U506" s="1374"/>
      <c r="V506" s="1374"/>
      <c r="W506" s="643"/>
      <c r="X506" s="643"/>
      <c r="Y506" s="643"/>
      <c r="Z506" s="643"/>
      <c r="AA506" s="643"/>
      <c r="AB506" s="643"/>
      <c r="AC506" s="643"/>
      <c r="AD506" s="1374"/>
      <c r="AE506" s="1374"/>
      <c r="AF506" s="1374"/>
      <c r="AG506" s="206"/>
      <c r="AH506" s="1374"/>
      <c r="AI506" s="1374"/>
      <c r="AJ506" s="1374"/>
      <c r="AK506" s="1374"/>
      <c r="AL506" s="1374"/>
      <c r="AM506" s="1374"/>
      <c r="AN506" s="1374"/>
      <c r="AO506" s="1439"/>
    </row>
    <row r="507" spans="1:41" x14ac:dyDescent="0.3">
      <c r="A507" s="2811" t="s">
        <v>586</v>
      </c>
      <c r="B507" s="2763"/>
      <c r="C507" s="2763"/>
      <c r="D507" s="2763"/>
      <c r="E507" s="2763"/>
      <c r="F507" s="1374"/>
      <c r="G507" s="1374"/>
      <c r="H507" s="989"/>
      <c r="I507" s="1374"/>
      <c r="J507" s="1389"/>
      <c r="K507" s="643"/>
      <c r="L507" s="1104"/>
      <c r="M507" s="1077">
        <v>41699</v>
      </c>
      <c r="N507" s="1267">
        <v>13.738200096625201</v>
      </c>
      <c r="O507" s="1267">
        <v>7.3186999999999998</v>
      </c>
      <c r="P507" s="1271">
        <v>1.9462999999999999</v>
      </c>
      <c r="Q507" s="1273">
        <v>0.86209999999999998</v>
      </c>
      <c r="R507" s="1273">
        <v>1.3082822520240001</v>
      </c>
      <c r="S507" s="1273">
        <v>1.6486178399999998</v>
      </c>
      <c r="T507" s="1275">
        <v>0.65420000460120009</v>
      </c>
      <c r="U507" s="1374"/>
      <c r="V507" s="1374"/>
      <c r="W507" s="643"/>
      <c r="X507" s="643"/>
      <c r="Y507" s="643"/>
      <c r="Z507" s="643"/>
      <c r="AA507" s="643"/>
      <c r="AB507" s="643"/>
      <c r="AC507" s="643"/>
      <c r="AD507" s="1374"/>
      <c r="AE507" s="1374"/>
      <c r="AF507" s="1374"/>
      <c r="AG507" s="206"/>
      <c r="AH507" s="1374"/>
      <c r="AI507" s="1374"/>
      <c r="AJ507" s="1374"/>
      <c r="AK507" s="1374"/>
      <c r="AL507" s="1374"/>
      <c r="AM507" s="1374"/>
      <c r="AN507" s="1374"/>
      <c r="AO507" s="1439"/>
    </row>
    <row r="508" spans="1:41" x14ac:dyDescent="0.3">
      <c r="A508" s="1072"/>
      <c r="B508" s="1406" t="s">
        <v>54</v>
      </c>
      <c r="C508" s="1406" t="s">
        <v>55</v>
      </c>
      <c r="D508" s="1406" t="s">
        <v>56</v>
      </c>
      <c r="E508" s="1406" t="s">
        <v>57</v>
      </c>
      <c r="F508" s="1374"/>
      <c r="G508" s="1374"/>
      <c r="H508" s="989"/>
      <c r="I508" s="1374"/>
      <c r="J508" s="1389"/>
      <c r="K508" s="643"/>
      <c r="L508" s="1104"/>
      <c r="M508" s="1077">
        <v>41730</v>
      </c>
      <c r="N508" s="1267">
        <v>11.668204130125202</v>
      </c>
      <c r="O508" s="1267">
        <v>7.0838000000000001</v>
      </c>
      <c r="P508" s="1271">
        <v>1.9462999999999999</v>
      </c>
      <c r="Q508" s="1273">
        <v>0.86209999999999998</v>
      </c>
      <c r="R508" s="1273">
        <v>1.111157522024</v>
      </c>
      <c r="S508" s="1273">
        <v>0.10921784000000001</v>
      </c>
      <c r="T508" s="1275">
        <v>0.55562876810119999</v>
      </c>
      <c r="U508" s="1374"/>
      <c r="V508" s="1374"/>
      <c r="W508" s="643"/>
      <c r="X508" s="643"/>
      <c r="Y508" s="643"/>
      <c r="Z508" s="643"/>
      <c r="AA508" s="643"/>
      <c r="AB508" s="643"/>
      <c r="AC508" s="643"/>
      <c r="AD508" s="1374"/>
      <c r="AE508" s="1374"/>
      <c r="AF508" s="1374"/>
      <c r="AG508" s="206"/>
      <c r="AH508" s="1374"/>
      <c r="AI508" s="1374"/>
      <c r="AJ508" s="1374"/>
      <c r="AK508" s="1374"/>
      <c r="AL508" s="1374"/>
      <c r="AM508" s="1374"/>
      <c r="AN508" s="1374"/>
      <c r="AO508" s="1439"/>
    </row>
    <row r="509" spans="1:41" x14ac:dyDescent="0.3">
      <c r="A509" s="1405">
        <v>2012</v>
      </c>
      <c r="B509" s="1265">
        <f>B522/(SUM(ENMAX!$C$7:$C$18))</f>
        <v>0.18471364732239456</v>
      </c>
      <c r="C509" s="1265">
        <f>C522/(SUM(EPCOR!$C$7:$C$18))</f>
        <v>0.18091731632918553</v>
      </c>
      <c r="D509" s="1265">
        <f>D522/(SUM(FORTIS!$C$7:$C$18))</f>
        <v>0.19507407451118519</v>
      </c>
      <c r="E509" s="1265">
        <f>E522/(SUM(ATCO!$C$7:$C$18))</f>
        <v>0.26744735057662422</v>
      </c>
      <c r="F509" s="1374"/>
      <c r="G509" s="1374"/>
      <c r="H509" s="989"/>
      <c r="I509" s="1374"/>
      <c r="J509" s="1389"/>
      <c r="K509" s="643"/>
      <c r="L509" s="1104"/>
      <c r="M509" s="1077">
        <v>41760</v>
      </c>
      <c r="N509" s="1267">
        <v>15.7843963011252</v>
      </c>
      <c r="O509" s="1267">
        <v>10.612</v>
      </c>
      <c r="P509" s="1271">
        <v>1.9462999999999999</v>
      </c>
      <c r="Q509" s="1273">
        <v>0.86209999999999998</v>
      </c>
      <c r="R509" s="1273">
        <v>1.5031405420239998</v>
      </c>
      <c r="S509" s="1273">
        <v>0.10921784000000001</v>
      </c>
      <c r="T509" s="1275">
        <v>0.75163791910119993</v>
      </c>
      <c r="U509" s="1374"/>
      <c r="V509" s="1374"/>
      <c r="W509" s="643"/>
      <c r="X509" s="643"/>
      <c r="Y509" s="643"/>
      <c r="Z509" s="643"/>
      <c r="AA509" s="643"/>
      <c r="AB509" s="643"/>
      <c r="AC509" s="643"/>
      <c r="AD509" s="1374"/>
      <c r="AE509" s="1374"/>
      <c r="AF509" s="1374"/>
      <c r="AG509" s="206"/>
      <c r="AH509" s="1374"/>
      <c r="AI509" s="1374"/>
      <c r="AJ509" s="1374"/>
      <c r="AK509" s="1374"/>
      <c r="AL509" s="1374"/>
      <c r="AM509" s="1374"/>
      <c r="AN509" s="1374"/>
      <c r="AO509" s="1439"/>
    </row>
    <row r="510" spans="1:41" x14ac:dyDescent="0.3">
      <c r="A510" s="1405">
        <v>2013</v>
      </c>
      <c r="B510" s="1265">
        <f>B523/(SUM(ENMAX!$C$19:$C$30))</f>
        <v>0.17059199389779228</v>
      </c>
      <c r="C510" s="1265">
        <f>C523/(SUM(EPCOR!$C$19:$C$30))</f>
        <v>0.1667537958367826</v>
      </c>
      <c r="D510" s="1265">
        <f>D523/(SUM(FORTIS!$C$19:$C$30))</f>
        <v>0.18373674226330927</v>
      </c>
      <c r="E510" s="1265">
        <f>E523/(SUM(ATCO!$C$19:$C$30))</f>
        <v>0.26691432673033783</v>
      </c>
      <c r="F510" s="1374"/>
      <c r="G510" s="1374"/>
      <c r="H510" s="989"/>
      <c r="I510" s="1374"/>
      <c r="J510" s="1389"/>
      <c r="K510" s="643"/>
      <c r="L510" s="1104"/>
      <c r="M510" s="1077">
        <v>41791</v>
      </c>
      <c r="N510" s="1267">
        <v>9.5927248851252003</v>
      </c>
      <c r="O510" s="1267">
        <v>5.4981</v>
      </c>
      <c r="P510" s="1271">
        <v>1.9462999999999999</v>
      </c>
      <c r="Q510" s="1273">
        <v>0.86209999999999998</v>
      </c>
      <c r="R510" s="1273">
        <v>0.91351062202400002</v>
      </c>
      <c r="S510" s="1273">
        <v>-8.4082160000000017E-2</v>
      </c>
      <c r="T510" s="1275">
        <v>0.45679642310120006</v>
      </c>
      <c r="U510" s="1374"/>
      <c r="V510" s="1374"/>
      <c r="W510" s="643"/>
      <c r="X510" s="643"/>
      <c r="Y510" s="643"/>
      <c r="Z510" s="643"/>
      <c r="AA510" s="643"/>
      <c r="AB510" s="643"/>
      <c r="AC510" s="643"/>
      <c r="AD510" s="1374"/>
      <c r="AE510" s="1374"/>
      <c r="AF510" s="1374"/>
      <c r="AG510" s="206"/>
      <c r="AH510" s="1374"/>
      <c r="AI510" s="1374"/>
      <c r="AJ510" s="1374"/>
      <c r="AK510" s="1374"/>
      <c r="AL510" s="1374"/>
      <c r="AM510" s="1374"/>
      <c r="AN510" s="1374"/>
      <c r="AO510" s="1439"/>
    </row>
    <row r="511" spans="1:41" x14ac:dyDescent="0.3">
      <c r="A511" s="1405">
        <v>2014</v>
      </c>
      <c r="B511" s="1265">
        <f>B524/(SUM(ENMAX!$C$31:$C$42))</f>
        <v>0.16903938963139889</v>
      </c>
      <c r="C511" s="1265">
        <f>C524/(SUM(EPCOR!$C$31:$C$42))</f>
        <v>0.15513244768862092</v>
      </c>
      <c r="D511" s="1265">
        <f>D524/(SUM(FORTIS!$C$31:$C$42))</f>
        <v>0.17329244146308123</v>
      </c>
      <c r="E511" s="1265">
        <f>E524/(SUM(ATCO!$C$31:$C$42))</f>
        <v>0.26960401009599694</v>
      </c>
      <c r="F511" s="1374"/>
      <c r="G511" s="1374"/>
      <c r="H511" s="989"/>
      <c r="I511" s="1374"/>
      <c r="J511" s="1389"/>
      <c r="K511" s="643"/>
      <c r="L511" s="1104"/>
      <c r="M511" s="1077">
        <v>41821</v>
      </c>
      <c r="N511" s="1267">
        <v>12.400513473625201</v>
      </c>
      <c r="O511" s="1267">
        <v>7.7039999999999997</v>
      </c>
      <c r="P511" s="1271">
        <v>1.9462999999999999</v>
      </c>
      <c r="Q511" s="1273">
        <v>0.86209999999999998</v>
      </c>
      <c r="R511" s="1273">
        <v>1.1808949920239999</v>
      </c>
      <c r="S511" s="1273">
        <v>0.11671783999999996</v>
      </c>
      <c r="T511" s="1275">
        <v>0.59050064160119997</v>
      </c>
      <c r="U511" s="1374"/>
      <c r="V511" s="1374"/>
      <c r="W511" s="643"/>
      <c r="X511" s="643"/>
      <c r="Y511" s="643"/>
      <c r="Z511" s="643"/>
      <c r="AA511" s="643"/>
      <c r="AB511" s="643"/>
      <c r="AC511" s="643"/>
      <c r="AD511" s="1374"/>
      <c r="AE511" s="1374"/>
      <c r="AF511" s="1374"/>
      <c r="AG511" s="206"/>
      <c r="AH511" s="1374"/>
      <c r="AI511" s="1374"/>
      <c r="AJ511" s="1374"/>
      <c r="AK511" s="1374"/>
      <c r="AL511" s="1374"/>
      <c r="AM511" s="1374"/>
      <c r="AN511" s="1374"/>
      <c r="AO511" s="1439"/>
    </row>
    <row r="512" spans="1:41" x14ac:dyDescent="0.3">
      <c r="A512" s="1405">
        <v>2015</v>
      </c>
      <c r="B512" s="1265">
        <f>B525/(SUM(ENMAX!$C$43:$C$54))</f>
        <v>0.14854827085729103</v>
      </c>
      <c r="C512" s="1265">
        <f>C525/(SUM(EPCOR!$C$43:$C$54))</f>
        <v>0.14547979442213507</v>
      </c>
      <c r="D512" s="1265">
        <f>D525/(SUM(FORTIS!$C$43:$C$54))</f>
        <v>0.16472804270986208</v>
      </c>
      <c r="E512" s="1265">
        <f>E525/(SUM(ATCO!$C$43:$C$54))</f>
        <v>0.25178015188058844</v>
      </c>
      <c r="F512" s="1374"/>
      <c r="G512" s="1374"/>
      <c r="H512" s="989"/>
      <c r="I512" s="1374"/>
      <c r="J512" s="1389"/>
      <c r="K512" s="643"/>
      <c r="L512" s="1104"/>
      <c r="M512" s="1077">
        <v>41852</v>
      </c>
      <c r="N512" s="1267">
        <v>13.4939025396252</v>
      </c>
      <c r="O512" s="1267">
        <v>8.6411999999999995</v>
      </c>
      <c r="P512" s="1271">
        <v>1.9462999999999999</v>
      </c>
      <c r="Q512" s="1273">
        <v>0.86209999999999998</v>
      </c>
      <c r="R512" s="1273">
        <v>1.285017912024</v>
      </c>
      <c r="S512" s="1273">
        <v>0.11671783999999996</v>
      </c>
      <c r="T512" s="1275">
        <v>0.6425667876011999</v>
      </c>
      <c r="U512" s="1374"/>
      <c r="V512" s="1374"/>
      <c r="W512" s="643"/>
      <c r="X512" s="643"/>
      <c r="Y512" s="643"/>
      <c r="Z512" s="643"/>
      <c r="AA512" s="643"/>
      <c r="AB512" s="643"/>
      <c r="AC512" s="643"/>
      <c r="AD512" s="1374"/>
      <c r="AE512" s="1374"/>
      <c r="AF512" s="1374"/>
      <c r="AG512" s="206"/>
      <c r="AH512" s="1374"/>
      <c r="AI512" s="1374"/>
      <c r="AJ512" s="1374"/>
      <c r="AK512" s="1374"/>
      <c r="AL512" s="1374"/>
      <c r="AM512" s="1374"/>
      <c r="AN512" s="1374"/>
      <c r="AO512" s="1439"/>
    </row>
    <row r="513" spans="1:41" x14ac:dyDescent="0.3">
      <c r="A513" s="1405">
        <v>2016</v>
      </c>
      <c r="B513" s="1265">
        <f>B526/(SUM(ENMAX!$C$55:$C$66))</f>
        <v>0.13163970070040693</v>
      </c>
      <c r="C513" s="1265">
        <f>C526/(SUM(EPCOR!$C$55:$C$66))</f>
        <v>0.13190008412347123</v>
      </c>
      <c r="D513" s="1265">
        <f>D526/(SUM(FORTIS!$C$55:$C$66))</f>
        <v>0.14504956813670228</v>
      </c>
      <c r="E513" s="1265">
        <f>E526/(SUM(ATCO!$C$55:$C$66))</f>
        <v>0.2399193895148361</v>
      </c>
      <c r="F513" s="1374"/>
      <c r="G513" s="1374"/>
      <c r="H513" s="989"/>
      <c r="I513" s="1374"/>
      <c r="J513" s="1389"/>
      <c r="K513" s="643"/>
      <c r="L513" s="1104"/>
      <c r="M513" s="1077">
        <v>41883</v>
      </c>
      <c r="N513" s="1267">
        <v>13.917981632125201</v>
      </c>
      <c r="O513" s="1267">
        <v>9.0046999999999997</v>
      </c>
      <c r="P513" s="1271">
        <v>1.9462999999999999</v>
      </c>
      <c r="Q513" s="1273">
        <v>0.86209999999999998</v>
      </c>
      <c r="R513" s="1273">
        <v>1.3254027620240001</v>
      </c>
      <c r="S513" s="1273">
        <v>0.11671783999999996</v>
      </c>
      <c r="T513" s="1275">
        <v>0.66276103010120002</v>
      </c>
      <c r="U513" s="1374"/>
      <c r="V513" s="1374"/>
      <c r="W513" s="643"/>
      <c r="X513" s="643"/>
      <c r="Y513" s="643"/>
      <c r="Z513" s="643"/>
      <c r="AA513" s="643"/>
      <c r="AB513" s="643"/>
      <c r="AC513" s="643"/>
      <c r="AD513" s="1374"/>
      <c r="AE513" s="1374"/>
      <c r="AF513" s="1374"/>
      <c r="AG513" s="206"/>
      <c r="AH513" s="1374"/>
      <c r="AI513" s="1374"/>
      <c r="AJ513" s="1374"/>
      <c r="AK513" s="1374"/>
      <c r="AL513" s="1374"/>
      <c r="AM513" s="1374"/>
      <c r="AN513" s="1374"/>
      <c r="AO513" s="1439"/>
    </row>
    <row r="514" spans="1:41" x14ac:dyDescent="0.3">
      <c r="A514" s="1405">
        <v>2017</v>
      </c>
      <c r="B514" s="1265">
        <f>B527/(SUM(ENMAX!$C$67:$C$78))</f>
        <v>0.134992175135936</v>
      </c>
      <c r="C514" s="1265">
        <f>C527/(SUM(EPCOR!$C$67:$C$78))</f>
        <v>0.13361761771727598</v>
      </c>
      <c r="D514" s="1265">
        <f>D527/(SUM(FORTIS!$C$67:$C$78))</f>
        <v>0.15028914319323078</v>
      </c>
      <c r="E514" s="1265">
        <f>E527/(SUM(ATCO!$C$67:$C$78))</f>
        <v>0.25609539304158391</v>
      </c>
      <c r="F514" s="1374"/>
      <c r="G514" s="1374"/>
      <c r="H514" s="989"/>
      <c r="I514" s="1374"/>
      <c r="J514" s="1389"/>
      <c r="K514" s="643"/>
      <c r="L514" s="1104"/>
      <c r="M514" s="1077">
        <v>41913</v>
      </c>
      <c r="N514" s="1267">
        <v>13.591434897625199</v>
      </c>
      <c r="O514" s="1267">
        <v>8.4507999999999992</v>
      </c>
      <c r="P514" s="1271">
        <v>1.9462999999999999</v>
      </c>
      <c r="Q514" s="1273">
        <v>0.86209999999999998</v>
      </c>
      <c r="R514" s="1273">
        <v>1.2943058720239999</v>
      </c>
      <c r="S514" s="1273">
        <v>0.39071783999999998</v>
      </c>
      <c r="T514" s="1275">
        <v>0.64721118560119995</v>
      </c>
      <c r="U514" s="1374"/>
      <c r="V514" s="1374"/>
      <c r="W514" s="643"/>
      <c r="X514" s="643"/>
      <c r="Y514" s="643"/>
      <c r="Z514" s="643"/>
      <c r="AA514" s="643"/>
      <c r="AB514" s="643"/>
      <c r="AC514" s="643"/>
      <c r="AD514" s="1374"/>
      <c r="AE514" s="1374"/>
      <c r="AF514" s="1374"/>
      <c r="AG514" s="206"/>
      <c r="AH514" s="1374"/>
      <c r="AI514" s="1374"/>
      <c r="AJ514" s="1374"/>
      <c r="AK514" s="1374"/>
      <c r="AL514" s="1374"/>
      <c r="AM514" s="1374"/>
      <c r="AN514" s="1374"/>
      <c r="AO514" s="1439"/>
    </row>
    <row r="515" spans="1:41" x14ac:dyDescent="0.3">
      <c r="A515" s="1544">
        <v>2018</v>
      </c>
      <c r="B515" s="1265">
        <f>B528/(SUM(ENMAX!$C$79:$C$90))</f>
        <v>0.17356464070308808</v>
      </c>
      <c r="C515" s="1265">
        <f>C528/(SUM(EPCOR!$C$79:$C$90))</f>
        <v>0.16734641172145182</v>
      </c>
      <c r="D515" s="1265">
        <f>D528/(SUM(FORTIS!$C$79:$C$90))</f>
        <v>0.18280520357038266</v>
      </c>
      <c r="E515" s="1265">
        <f>E528/(SUM(ATCO!$C$79:$C$90))</f>
        <v>0.28065834032793097</v>
      </c>
      <c r="F515" s="1374"/>
      <c r="G515" s="1374"/>
      <c r="H515" s="989"/>
      <c r="I515" s="1374"/>
      <c r="J515" s="1389"/>
      <c r="K515" s="643"/>
      <c r="L515" s="1104"/>
      <c r="M515" s="1077">
        <v>41944</v>
      </c>
      <c r="N515" s="1267">
        <v>11.105876420125201</v>
      </c>
      <c r="O515" s="1267">
        <v>6.3208000000000002</v>
      </c>
      <c r="P515" s="1271">
        <v>1.9462999999999999</v>
      </c>
      <c r="Q515" s="1273">
        <v>0.86209999999999998</v>
      </c>
      <c r="R515" s="1273">
        <v>1.0576073220239999</v>
      </c>
      <c r="S515" s="1273">
        <v>0.39021783999999993</v>
      </c>
      <c r="T515" s="1275">
        <v>0.52885125810119993</v>
      </c>
      <c r="U515" s="1374"/>
      <c r="V515" s="1374"/>
      <c r="W515" s="643"/>
      <c r="X515" s="643"/>
      <c r="Y515" s="643"/>
      <c r="Z515" s="643"/>
      <c r="AA515" s="643"/>
      <c r="AB515" s="643"/>
      <c r="AC515" s="643"/>
      <c r="AD515" s="1374"/>
      <c r="AE515" s="1374"/>
      <c r="AF515" s="1374"/>
      <c r="AG515" s="206"/>
      <c r="AH515" s="1374"/>
      <c r="AI515" s="1374"/>
      <c r="AJ515" s="1374"/>
      <c r="AK515" s="1374"/>
      <c r="AL515" s="1374"/>
      <c r="AM515" s="1374"/>
      <c r="AN515" s="1374"/>
      <c r="AO515" s="1439"/>
    </row>
    <row r="516" spans="1:41" x14ac:dyDescent="0.3">
      <c r="A516" s="1004" t="s">
        <v>666</v>
      </c>
      <c r="B516" s="711">
        <f>B515-B509</f>
        <v>-1.1149006619306484E-2</v>
      </c>
      <c r="C516" s="711">
        <f t="shared" ref="C516:D516" si="172">C515-C509</f>
        <v>-1.3570904607733719E-2</v>
      </c>
      <c r="D516" s="711">
        <f t="shared" si="172"/>
        <v>-1.2268870940802534E-2</v>
      </c>
      <c r="E516" s="711">
        <f>E515-E509</f>
        <v>1.3210989751306745E-2</v>
      </c>
      <c r="F516" s="1374"/>
      <c r="G516" s="1374"/>
      <c r="H516" s="989"/>
      <c r="I516" s="1374"/>
      <c r="J516" s="1389"/>
      <c r="K516" s="643"/>
      <c r="L516" s="1104"/>
      <c r="M516" s="1077">
        <v>41974</v>
      </c>
      <c r="N516" s="1267">
        <v>12.2461650171252</v>
      </c>
      <c r="O516" s="1267">
        <v>7.2981999999999996</v>
      </c>
      <c r="P516" s="1271">
        <v>1.9462999999999999</v>
      </c>
      <c r="Q516" s="1273">
        <v>0.86209999999999998</v>
      </c>
      <c r="R516" s="1273">
        <v>1.166196462024</v>
      </c>
      <c r="S516" s="1273">
        <v>0.39021783999999993</v>
      </c>
      <c r="T516" s="1275">
        <v>0.58315071510119998</v>
      </c>
      <c r="U516" s="1374"/>
      <c r="V516" s="1374"/>
      <c r="W516" s="643"/>
      <c r="X516" s="643"/>
      <c r="Y516" s="643"/>
      <c r="Z516" s="643"/>
      <c r="AA516" s="643"/>
      <c r="AB516" s="643"/>
      <c r="AC516" s="643"/>
      <c r="AD516" s="1374"/>
      <c r="AE516" s="1374"/>
      <c r="AF516" s="1374"/>
      <c r="AG516" s="206"/>
      <c r="AH516" s="1374"/>
      <c r="AI516" s="1374"/>
      <c r="AJ516" s="1374"/>
      <c r="AK516" s="1374"/>
      <c r="AL516" s="1374"/>
      <c r="AM516" s="1374"/>
      <c r="AN516" s="1374"/>
      <c r="AO516" s="1439"/>
    </row>
    <row r="517" spans="1:41" x14ac:dyDescent="0.3">
      <c r="F517" s="1374"/>
      <c r="G517" s="1374"/>
      <c r="H517" s="989"/>
      <c r="I517" s="1374"/>
      <c r="J517" s="1389"/>
      <c r="K517" s="643"/>
      <c r="L517" s="1104"/>
      <c r="M517" s="1077">
        <v>42005</v>
      </c>
      <c r="N517" s="1267">
        <v>13.095473523955201</v>
      </c>
      <c r="O517" s="1267">
        <v>7.4088000000000003</v>
      </c>
      <c r="P517" s="1271">
        <v>1.9462999999999999</v>
      </c>
      <c r="Q517" s="1273">
        <v>0.88959999999999995</v>
      </c>
      <c r="R517" s="1273">
        <v>1.2470757066240001</v>
      </c>
      <c r="S517" s="1273">
        <v>0.98010383999999984</v>
      </c>
      <c r="T517" s="1275">
        <v>0.62359397733120003</v>
      </c>
      <c r="U517" s="1374"/>
      <c r="V517" s="1374"/>
      <c r="W517" s="643"/>
      <c r="X517" s="643"/>
      <c r="Y517" s="643"/>
      <c r="Z517" s="643"/>
      <c r="AA517" s="643"/>
      <c r="AB517" s="643"/>
      <c r="AC517" s="643"/>
      <c r="AD517" s="1374"/>
      <c r="AE517" s="1374"/>
      <c r="AF517" s="1374"/>
      <c r="AG517" s="206"/>
      <c r="AH517" s="1374"/>
      <c r="AI517" s="1374"/>
      <c r="AJ517" s="1374"/>
      <c r="AK517" s="1374"/>
      <c r="AL517" s="1374"/>
      <c r="AM517" s="1374"/>
      <c r="AN517" s="1374"/>
      <c r="AO517" s="1439"/>
    </row>
    <row r="518" spans="1:41" x14ac:dyDescent="0.3">
      <c r="F518" s="1374"/>
      <c r="G518" s="741"/>
      <c r="H518" s="989"/>
      <c r="I518" s="1374"/>
      <c r="J518" s="1389"/>
      <c r="K518" s="643"/>
      <c r="L518" s="1104"/>
      <c r="M518" s="1077">
        <v>42036</v>
      </c>
      <c r="N518" s="1267">
        <v>11.370690771955204</v>
      </c>
      <c r="O518" s="1267">
        <v>5.9298999999999999</v>
      </c>
      <c r="P518" s="1271">
        <v>1.9462999999999999</v>
      </c>
      <c r="Q518" s="1273">
        <v>0.88959999999999995</v>
      </c>
      <c r="R518" s="1273">
        <v>1.0828254666240003</v>
      </c>
      <c r="S518" s="1273">
        <v>0.98060384</v>
      </c>
      <c r="T518" s="1275">
        <v>0.5414614653312001</v>
      </c>
      <c r="U518" s="1374"/>
      <c r="V518" s="1374"/>
      <c r="W518" s="643"/>
      <c r="X518" s="643"/>
      <c r="Y518" s="643"/>
      <c r="Z518" s="643"/>
      <c r="AA518" s="643"/>
      <c r="AB518" s="643"/>
      <c r="AC518" s="643"/>
      <c r="AD518" s="1374"/>
      <c r="AE518" s="1374"/>
      <c r="AF518" s="1374"/>
      <c r="AG518" s="206"/>
      <c r="AH518" s="1374"/>
      <c r="AI518" s="1374"/>
      <c r="AJ518" s="1374"/>
      <c r="AK518" s="1374"/>
      <c r="AL518" s="1374"/>
      <c r="AM518" s="1374"/>
      <c r="AN518" s="1374"/>
      <c r="AO518" s="1439"/>
    </row>
    <row r="519" spans="1:41" x14ac:dyDescent="0.3">
      <c r="F519" s="1374"/>
      <c r="G519" s="1374"/>
      <c r="H519" s="989"/>
      <c r="I519" s="1374"/>
      <c r="J519" s="1389"/>
      <c r="K519" s="643"/>
      <c r="L519" s="1104"/>
      <c r="M519" s="1077">
        <v>42064</v>
      </c>
      <c r="N519" s="1267">
        <v>10.1896859154552</v>
      </c>
      <c r="O519" s="1267">
        <v>4.9176000000000002</v>
      </c>
      <c r="P519" s="1271">
        <v>1.9462999999999999</v>
      </c>
      <c r="Q519" s="1273">
        <v>0.88959999999999995</v>
      </c>
      <c r="R519" s="1273">
        <v>0.97035893662399997</v>
      </c>
      <c r="S519" s="1273">
        <v>0.98060384</v>
      </c>
      <c r="T519" s="1275">
        <v>0.48522313883120005</v>
      </c>
      <c r="U519" s="1374"/>
      <c r="V519" s="1374"/>
      <c r="W519" s="643"/>
      <c r="X519" s="643"/>
      <c r="Y519" s="643"/>
      <c r="Z519" s="643"/>
      <c r="AA519" s="643"/>
      <c r="AB519" s="643"/>
      <c r="AC519" s="643"/>
      <c r="AD519" s="1374"/>
      <c r="AE519" s="1374"/>
      <c r="AF519" s="1374"/>
      <c r="AG519" s="206"/>
      <c r="AH519" s="1374"/>
      <c r="AI519" s="1374"/>
      <c r="AJ519" s="1374"/>
      <c r="AK519" s="1374"/>
      <c r="AL519" s="1374"/>
      <c r="AM519" s="1374"/>
      <c r="AN519" s="1374"/>
      <c r="AO519" s="1439"/>
    </row>
    <row r="520" spans="1:41" x14ac:dyDescent="0.3">
      <c r="A520" s="2812" t="s">
        <v>585</v>
      </c>
      <c r="B520" s="2785"/>
      <c r="C520" s="2785"/>
      <c r="D520" s="2785"/>
      <c r="E520" s="2786"/>
      <c r="F520" s="1374"/>
      <c r="G520" s="1374"/>
      <c r="H520" s="989"/>
      <c r="I520" s="1374"/>
      <c r="J520" s="1389"/>
      <c r="K520" s="643"/>
      <c r="L520" s="1104"/>
      <c r="M520" s="1077">
        <v>42095</v>
      </c>
      <c r="N520" s="1267">
        <v>9.9886667790000008</v>
      </c>
      <c r="O520" s="1267">
        <v>5.1140999999999996</v>
      </c>
      <c r="P520" s="1271">
        <v>1.9462999999999999</v>
      </c>
      <c r="Q520" s="1273">
        <v>0.88959999999999995</v>
      </c>
      <c r="R520" s="1273">
        <v>0.95121598000000007</v>
      </c>
      <c r="S520" s="1273">
        <v>0.6117999999999999</v>
      </c>
      <c r="T520" s="1275">
        <v>0.47565079900000007</v>
      </c>
      <c r="U520" s="1374"/>
      <c r="V520" s="1374"/>
      <c r="W520" s="643"/>
      <c r="X520" s="643"/>
      <c r="Y520" s="643"/>
      <c r="Z520" s="643"/>
      <c r="AA520" s="643"/>
      <c r="AB520" s="643"/>
      <c r="AC520" s="643"/>
      <c r="AD520" s="1374"/>
      <c r="AE520" s="1374"/>
      <c r="AF520" s="1374"/>
      <c r="AG520" s="206"/>
      <c r="AH520" s="1374"/>
      <c r="AI520" s="1374"/>
      <c r="AJ520" s="1374"/>
      <c r="AK520" s="1374"/>
      <c r="AL520" s="1374"/>
      <c r="AM520" s="1374"/>
      <c r="AN520" s="1374"/>
      <c r="AO520" s="1439"/>
    </row>
    <row r="521" spans="1:41" x14ac:dyDescent="0.3">
      <c r="A521" s="1072"/>
      <c r="B521" s="1406" t="s">
        <v>54</v>
      </c>
      <c r="C521" s="1406" t="s">
        <v>55</v>
      </c>
      <c r="D521" s="1406" t="s">
        <v>56</v>
      </c>
      <c r="E521" s="1406" t="s">
        <v>57</v>
      </c>
      <c r="F521" s="1374"/>
      <c r="G521" s="1374"/>
      <c r="H521" s="989"/>
      <c r="I521" s="1374"/>
      <c r="J521" s="1389"/>
      <c r="K521" s="643"/>
      <c r="L521" s="1104"/>
      <c r="M521" s="1077">
        <v>42125</v>
      </c>
      <c r="N521" s="1267">
        <v>9.2901904304999974</v>
      </c>
      <c r="O521" s="1267">
        <v>4.5153999999999996</v>
      </c>
      <c r="P521" s="1271">
        <v>1.9462999999999999</v>
      </c>
      <c r="Q521" s="1273">
        <v>0.88959999999999995</v>
      </c>
      <c r="R521" s="1273">
        <v>0.88470040999999988</v>
      </c>
      <c r="S521" s="1273">
        <v>0.6117999999999999</v>
      </c>
      <c r="T521" s="1275">
        <v>0.44239002049999998</v>
      </c>
      <c r="U521" s="1374"/>
      <c r="V521" s="1374"/>
      <c r="W521" s="643"/>
      <c r="X521" s="643"/>
      <c r="Y521" s="643"/>
      <c r="Z521" s="643"/>
      <c r="AA521" s="643"/>
      <c r="AB521" s="643"/>
      <c r="AC521" s="643"/>
      <c r="AD521" s="1374"/>
      <c r="AE521" s="1374"/>
      <c r="AF521" s="1374"/>
      <c r="AG521" s="206"/>
      <c r="AH521" s="1374"/>
      <c r="AI521" s="1374"/>
      <c r="AJ521" s="1374"/>
      <c r="AK521" s="1374"/>
      <c r="AL521" s="1374"/>
      <c r="AM521" s="1374"/>
      <c r="AN521" s="1374"/>
      <c r="AO521" s="1439"/>
    </row>
    <row r="522" spans="1:41" x14ac:dyDescent="0.3">
      <c r="A522" s="1405">
        <v>2012</v>
      </c>
      <c r="B522" s="1076">
        <f>SUM(ENMAX!$F$7:$F$18)</f>
        <v>1341.0591094199638</v>
      </c>
      <c r="C522" s="1076">
        <f>SUM(EPCOR!$F$7:$F$18)</f>
        <v>1180.9559923759155</v>
      </c>
      <c r="D522" s="1076">
        <f>SUM(FORTIS!$F$7:$F$18)</f>
        <v>1655.4164624135008</v>
      </c>
      <c r="E522" s="1076">
        <f>SUM(ATCO!$F$7:$F$18)</f>
        <v>2196.5529252204888</v>
      </c>
      <c r="F522" s="1374"/>
      <c r="G522" s="1374"/>
      <c r="H522" s="989"/>
      <c r="I522" s="1374"/>
      <c r="J522" s="1389"/>
      <c r="K522" s="643"/>
      <c r="L522" s="1104"/>
      <c r="M522" s="1077">
        <v>42156</v>
      </c>
      <c r="N522" s="1267">
        <v>8.4564987675000012</v>
      </c>
      <c r="O522" s="1267">
        <v>3.8008000000000002</v>
      </c>
      <c r="P522" s="1271">
        <v>1.9462999999999999</v>
      </c>
      <c r="Q522" s="1273">
        <v>0.88959999999999995</v>
      </c>
      <c r="R522" s="1273">
        <v>0.8053083499999999</v>
      </c>
      <c r="S522" s="1273">
        <v>0.6117999999999999</v>
      </c>
      <c r="T522" s="1275">
        <v>0.40269041749999995</v>
      </c>
      <c r="U522" s="1374"/>
      <c r="V522" s="1374"/>
      <c r="W522" s="643"/>
      <c r="X522" s="643"/>
      <c r="Y522" s="643"/>
      <c r="Z522" s="643"/>
      <c r="AA522" s="643"/>
      <c r="AB522" s="643"/>
      <c r="AC522" s="643"/>
      <c r="AD522" s="1374"/>
      <c r="AE522" s="1374"/>
      <c r="AF522" s="1374"/>
      <c r="AG522" s="206"/>
      <c r="AH522" s="1374"/>
      <c r="AI522" s="1374"/>
      <c r="AJ522" s="1374"/>
      <c r="AK522" s="1374"/>
      <c r="AL522" s="1374"/>
      <c r="AM522" s="1374"/>
      <c r="AN522" s="1374"/>
      <c r="AO522" s="1439"/>
    </row>
    <row r="523" spans="1:41" x14ac:dyDescent="0.3">
      <c r="A523" s="1405">
        <v>2013</v>
      </c>
      <c r="B523" s="1076">
        <f>SUM(ENMAX!$F$19:$F$30)</f>
        <v>1232.5271443136678</v>
      </c>
      <c r="C523" s="1076">
        <f>SUM(EPCOR!$F$19:$F$30)</f>
        <v>1082.4671773471593</v>
      </c>
      <c r="D523" s="1076">
        <f>SUM(FORTIS!$F$19:$F$30)</f>
        <v>1566.1058501903369</v>
      </c>
      <c r="E523" s="1076">
        <f>SUM(ATCO!$F$19:$F$30)</f>
        <v>2113.469111878414</v>
      </c>
      <c r="F523" s="1374"/>
      <c r="G523" s="1374"/>
      <c r="H523" s="989"/>
      <c r="I523" s="1374"/>
      <c r="J523" s="1389"/>
      <c r="K523" s="643"/>
      <c r="L523" s="1104"/>
      <c r="M523" s="1077">
        <v>42186</v>
      </c>
      <c r="N523" s="1267">
        <v>13.440915589499998</v>
      </c>
      <c r="O523" s="1267">
        <v>8.2159999999999993</v>
      </c>
      <c r="P523" s="1271">
        <v>1.9462999999999999</v>
      </c>
      <c r="Q523" s="1273">
        <v>0.88959999999999995</v>
      </c>
      <c r="R523" s="1273">
        <v>1.2799719899999997</v>
      </c>
      <c r="S523" s="1273">
        <v>0.46899999999999986</v>
      </c>
      <c r="T523" s="1275">
        <v>0.64004359949999989</v>
      </c>
      <c r="U523" s="1374"/>
      <c r="V523" s="1374"/>
      <c r="W523" s="643"/>
      <c r="X523" s="643"/>
      <c r="Y523" s="643"/>
      <c r="Z523" s="643"/>
      <c r="AA523" s="643"/>
      <c r="AB523" s="643"/>
      <c r="AC523" s="643"/>
      <c r="AD523" s="1374"/>
      <c r="AE523" s="1374"/>
      <c r="AF523" s="1374"/>
      <c r="AG523" s="206"/>
      <c r="AH523" s="1374"/>
      <c r="AI523" s="1374"/>
      <c r="AJ523" s="1374"/>
      <c r="AK523" s="1374"/>
      <c r="AL523" s="1374"/>
      <c r="AM523" s="1374"/>
      <c r="AN523" s="1374"/>
      <c r="AO523" s="1439"/>
    </row>
    <row r="524" spans="1:41" x14ac:dyDescent="0.3">
      <c r="A524" s="1405">
        <v>2014</v>
      </c>
      <c r="B524" s="1076">
        <f>SUM(ENMAX!$F$31:$F$42)</f>
        <v>1218.2459513856784</v>
      </c>
      <c r="C524" s="1076">
        <f>SUM(EPCOR!$F$31:$F$42)</f>
        <v>1012.1208544256369</v>
      </c>
      <c r="D524" s="1076">
        <f>SUM(FORTIS!$F$31:$F$42)</f>
        <v>1490.8411178205461</v>
      </c>
      <c r="E524" s="1076">
        <f>SUM(ATCO!$F$31:$F$42)</f>
        <v>2186.1169638912506</v>
      </c>
      <c r="F524" s="1374"/>
      <c r="G524" s="1374"/>
      <c r="H524" s="989"/>
      <c r="I524" s="1374"/>
      <c r="J524" s="1389"/>
      <c r="K524" s="643"/>
      <c r="L524" s="1104"/>
      <c r="M524" s="1077">
        <v>42217</v>
      </c>
      <c r="N524" s="1267">
        <v>13.067585989499999</v>
      </c>
      <c r="O524" s="1267">
        <v>7.8959999999999999</v>
      </c>
      <c r="P524" s="1271">
        <v>1.9462999999999999</v>
      </c>
      <c r="Q524" s="1273">
        <v>0.88959999999999995</v>
      </c>
      <c r="R524" s="1273">
        <v>1.2444199899999999</v>
      </c>
      <c r="S524" s="1273">
        <v>0.46899999999999986</v>
      </c>
      <c r="T524" s="1275">
        <v>0.62226599950000006</v>
      </c>
      <c r="U524" s="1374"/>
      <c r="V524" s="1374"/>
      <c r="W524" s="643"/>
      <c r="X524" s="643"/>
      <c r="Y524" s="643"/>
      <c r="Z524" s="643"/>
      <c r="AA524" s="643"/>
      <c r="AB524" s="643"/>
      <c r="AC524" s="643"/>
      <c r="AD524" s="1374"/>
      <c r="AE524" s="1374"/>
      <c r="AF524" s="1374"/>
      <c r="AG524" s="206"/>
      <c r="AH524" s="1374"/>
      <c r="AI524" s="1374"/>
      <c r="AJ524" s="1374"/>
      <c r="AK524" s="1374"/>
      <c r="AL524" s="1374"/>
      <c r="AM524" s="1374"/>
      <c r="AN524" s="1374"/>
      <c r="AO524" s="1439"/>
    </row>
    <row r="525" spans="1:41" x14ac:dyDescent="0.3">
      <c r="A525" s="1405">
        <v>2015</v>
      </c>
      <c r="B525" s="1076">
        <f>SUM(ENMAX!$F$43:$F$54)</f>
        <v>1033.7087182827095</v>
      </c>
      <c r="C525" s="1076">
        <f>SUM(EPCOR!$F$43:$F$54)</f>
        <v>925.92346056129907</v>
      </c>
      <c r="D525" s="1076">
        <f>SUM(FORTIS!$F$43:$F$54)</f>
        <v>1379.2951469373197</v>
      </c>
      <c r="E525" s="1076">
        <f>SUM(ATCO!$F$43:$F$54)</f>
        <v>2024.475921946851</v>
      </c>
      <c r="F525" s="1540"/>
      <c r="G525" s="1540"/>
      <c r="H525" s="989"/>
      <c r="I525" s="1374"/>
      <c r="J525" s="1389"/>
      <c r="K525" s="643"/>
      <c r="L525" s="1104"/>
      <c r="M525" s="1077">
        <v>42248</v>
      </c>
      <c r="N525" s="1267">
        <v>10.1519501328168</v>
      </c>
      <c r="O525" s="1267">
        <v>5.407</v>
      </c>
      <c r="P525" s="1271">
        <v>1.9462999999999999</v>
      </c>
      <c r="Q525" s="1273">
        <v>0.88959999999999995</v>
      </c>
      <c r="R525" s="1273">
        <v>0.96676537601599999</v>
      </c>
      <c r="S525" s="1273">
        <v>0.45885855999999986</v>
      </c>
      <c r="T525" s="1275">
        <v>0.48342619680080001</v>
      </c>
      <c r="U525" s="1374"/>
      <c r="V525" s="1374"/>
      <c r="W525" s="643"/>
      <c r="X525" s="643"/>
      <c r="Y525" s="643"/>
      <c r="Z525" s="643"/>
      <c r="AA525" s="643"/>
      <c r="AB525" s="643"/>
      <c r="AC525" s="643"/>
      <c r="AD525" s="1374"/>
      <c r="AE525" s="1374"/>
      <c r="AF525" s="1374"/>
      <c r="AG525" s="206"/>
      <c r="AH525" s="1374"/>
      <c r="AI525" s="1374"/>
      <c r="AJ525" s="1374"/>
      <c r="AK525" s="1374"/>
      <c r="AL525" s="1374"/>
      <c r="AM525" s="1374"/>
      <c r="AN525" s="1374"/>
      <c r="AO525" s="1439"/>
    </row>
    <row r="526" spans="1:41" x14ac:dyDescent="0.3">
      <c r="A526" s="1544">
        <v>2016</v>
      </c>
      <c r="B526" s="1076">
        <f>SUM(ENMAX!$F$55:$F$66)</f>
        <v>893.39200321505837</v>
      </c>
      <c r="C526" s="1076">
        <f>SUM(EPCOR!$F$55:$F$66)</f>
        <v>829.54190002443931</v>
      </c>
      <c r="D526" s="1076">
        <f>SUM(FORTIS!$F$55:$F$66)</f>
        <v>1215.2063572472139</v>
      </c>
      <c r="E526" s="1076">
        <f>SUM(ATCO!$F$55:$F$66)</f>
        <v>1834.3465178062415</v>
      </c>
      <c r="F526" s="1540"/>
      <c r="G526" s="1540"/>
      <c r="H526" s="989"/>
      <c r="I526" s="1374"/>
      <c r="J526" s="1389"/>
      <c r="K526" s="643"/>
      <c r="L526" s="1104"/>
      <c r="M526" s="1077">
        <v>42278</v>
      </c>
      <c r="N526" s="1267">
        <v>10.781710501816802</v>
      </c>
      <c r="O526" s="1267">
        <v>5.5547000000000004</v>
      </c>
      <c r="P526" s="1271">
        <v>1.9462999999999999</v>
      </c>
      <c r="Q526" s="1273">
        <v>0.88959999999999995</v>
      </c>
      <c r="R526" s="1273">
        <v>1.0267371560160001</v>
      </c>
      <c r="S526" s="1273">
        <v>0.85095856000000003</v>
      </c>
      <c r="T526" s="1275">
        <v>0.51341478580080013</v>
      </c>
      <c r="U526" s="1374"/>
      <c r="V526" s="1374"/>
      <c r="W526" s="643"/>
      <c r="X526" s="643"/>
      <c r="Y526" s="643"/>
      <c r="Z526" s="643"/>
      <c r="AA526" s="643"/>
      <c r="AB526" s="643"/>
      <c r="AC526" s="643"/>
      <c r="AD526" s="1374"/>
      <c r="AE526" s="1374"/>
      <c r="AF526" s="1374"/>
      <c r="AG526" s="206"/>
      <c r="AH526" s="1374"/>
      <c r="AI526" s="1374"/>
      <c r="AJ526" s="1374"/>
      <c r="AK526" s="1374"/>
      <c r="AL526" s="1374"/>
      <c r="AM526" s="1374"/>
      <c r="AN526" s="1374"/>
      <c r="AO526" s="1439"/>
    </row>
    <row r="527" spans="1:41" x14ac:dyDescent="0.3">
      <c r="A527" s="1544">
        <v>2017</v>
      </c>
      <c r="B527" s="1076">
        <f>SUM(ENMAX!$F$67:$F$78)</f>
        <v>906.14338389383397</v>
      </c>
      <c r="C527" s="1076">
        <f>SUM(EPCOR!$F$67:$F$78)</f>
        <v>833.79116858621023</v>
      </c>
      <c r="D527" s="1076">
        <f>SUM(FORTIS!$F$67:$F$78)</f>
        <v>1273.9394232684954</v>
      </c>
      <c r="E527" s="1076">
        <f>SUM(ATCO!$F$67:$F$78)</f>
        <v>1984.9110609018271</v>
      </c>
      <c r="F527" s="642"/>
      <c r="G527" s="642"/>
      <c r="H527" s="989"/>
      <c r="I527" s="1374"/>
      <c r="J527" s="1389"/>
      <c r="K527" s="643"/>
      <c r="L527" s="1104"/>
      <c r="M527" s="1077">
        <v>42309</v>
      </c>
      <c r="N527" s="1268">
        <v>10.138766931316798</v>
      </c>
      <c r="O527" s="1267">
        <v>5.0035999999999996</v>
      </c>
      <c r="P527" s="1271">
        <v>1.9462999999999999</v>
      </c>
      <c r="Q527" s="1273">
        <v>0.88959999999999995</v>
      </c>
      <c r="R527" s="1273">
        <v>0.96550994601600004</v>
      </c>
      <c r="S527" s="1273">
        <v>0.85095856000000003</v>
      </c>
      <c r="T527" s="1275">
        <v>0.48279842530080003</v>
      </c>
      <c r="U527" s="1374"/>
      <c r="V527" s="1374"/>
      <c r="W527" s="643"/>
      <c r="X527" s="643"/>
      <c r="Y527" s="643"/>
      <c r="Z527" s="643"/>
      <c r="AA527" s="643"/>
      <c r="AB527" s="643"/>
      <c r="AC527" s="643"/>
      <c r="AD527" s="1374"/>
      <c r="AE527" s="1374"/>
      <c r="AF527" s="1374"/>
      <c r="AG527" s="206"/>
      <c r="AH527" s="1374"/>
      <c r="AI527" s="1374"/>
      <c r="AJ527" s="1374"/>
      <c r="AK527" s="1374"/>
      <c r="AL527" s="1374"/>
      <c r="AM527" s="1374"/>
      <c r="AN527" s="1374"/>
      <c r="AO527" s="1439"/>
    </row>
    <row r="528" spans="1:41" ht="15" customHeight="1" x14ac:dyDescent="0.3">
      <c r="A528" s="1544">
        <v>2018</v>
      </c>
      <c r="B528" s="1273">
        <f>SUM(ENMAX!$F$79:$F$90)</f>
        <v>1151.9960429980324</v>
      </c>
      <c r="C528" s="1273">
        <f>SUM(EPCOR!$F$79:$F$90)</f>
        <v>1043.6119697513338</v>
      </c>
      <c r="D528" s="1273">
        <f>SUM(FORTIS!$F$79:$F$90)</f>
        <v>1556.0138175043196</v>
      </c>
      <c r="E528" s="1273">
        <f>SUM(ATCO!$F$79:$F$90)</f>
        <v>2245.0819520586169</v>
      </c>
      <c r="F528" s="1005"/>
      <c r="G528" s="1005"/>
      <c r="H528" s="1550"/>
      <c r="I528" s="1374"/>
      <c r="J528" s="1389"/>
      <c r="K528" s="643"/>
      <c r="L528" s="1104"/>
      <c r="M528" s="1077">
        <v>42339</v>
      </c>
      <c r="N528" s="1268">
        <v>10.358798064316801</v>
      </c>
      <c r="O528" s="1267">
        <v>5.1921999999999997</v>
      </c>
      <c r="P528" s="1271">
        <v>1.9462999999999999</v>
      </c>
      <c r="Q528" s="1273">
        <v>0.88959999999999995</v>
      </c>
      <c r="R528" s="1273">
        <v>0.98646340601600013</v>
      </c>
      <c r="S528" s="1273">
        <v>0.85095856000000003</v>
      </c>
      <c r="T528" s="1275">
        <v>0.49327609830080005</v>
      </c>
      <c r="U528" s="1374"/>
      <c r="V528" s="1374"/>
      <c r="W528" s="643"/>
      <c r="X528" s="643"/>
      <c r="Y528" s="643"/>
      <c r="Z528" s="643"/>
      <c r="AA528" s="643"/>
      <c r="AB528" s="643"/>
      <c r="AC528" s="643"/>
      <c r="AD528" s="1374"/>
      <c r="AE528" s="1374"/>
      <c r="AF528" s="1374"/>
      <c r="AG528" s="206"/>
      <c r="AH528" s="1374"/>
      <c r="AI528" s="1374"/>
      <c r="AJ528" s="1374"/>
      <c r="AK528" s="1374"/>
      <c r="AL528" s="1374"/>
      <c r="AM528" s="1374"/>
      <c r="AN528" s="1374"/>
      <c r="AO528" s="1439"/>
    </row>
    <row r="529" spans="1:41" ht="15" customHeight="1" x14ac:dyDescent="0.3">
      <c r="A529" s="1540"/>
      <c r="B529" s="1540"/>
      <c r="C529" s="1540"/>
      <c r="D529" s="1540"/>
      <c r="E529" s="1540"/>
      <c r="F529" s="1005"/>
      <c r="G529" s="1005"/>
      <c r="H529" s="1550"/>
      <c r="I529" s="1374"/>
      <c r="J529" s="1389"/>
      <c r="K529" s="643"/>
      <c r="L529" s="1104"/>
      <c r="M529" s="1077">
        <v>42370</v>
      </c>
      <c r="N529" s="1267">
        <v>10.691926412999999</v>
      </c>
      <c r="O529" s="1267">
        <v>4.7946999999999997</v>
      </c>
      <c r="P529" s="1271">
        <v>1.9462999999999999</v>
      </c>
      <c r="Q529" s="1273">
        <v>0.88959999999999995</v>
      </c>
      <c r="R529" s="1273">
        <v>1.01818706</v>
      </c>
      <c r="S529" s="1273">
        <v>1.534</v>
      </c>
      <c r="T529" s="1275">
        <v>0.50913935300000002</v>
      </c>
      <c r="U529" s="1374"/>
      <c r="V529" s="1374"/>
      <c r="W529" s="643"/>
      <c r="X529" s="643"/>
      <c r="Y529" s="643"/>
      <c r="Z529" s="643"/>
      <c r="AA529" s="643"/>
      <c r="AB529" s="643"/>
      <c r="AC529" s="643"/>
      <c r="AD529" s="1374"/>
      <c r="AE529" s="1374"/>
      <c r="AF529" s="1374"/>
      <c r="AG529" s="206"/>
      <c r="AH529" s="1374"/>
      <c r="AI529" s="1374"/>
      <c r="AJ529" s="1374"/>
      <c r="AK529" s="1374"/>
      <c r="AL529" s="1374"/>
      <c r="AM529" s="1374"/>
      <c r="AN529" s="1374"/>
      <c r="AO529" s="1439"/>
    </row>
    <row r="530" spans="1:41" ht="15" customHeight="1" x14ac:dyDescent="0.3">
      <c r="A530" s="1540"/>
      <c r="B530" s="1540"/>
      <c r="C530" s="1540"/>
      <c r="D530" s="1540"/>
      <c r="E530" s="1540"/>
      <c r="F530" s="1005"/>
      <c r="G530" s="1005"/>
      <c r="H530" s="1550"/>
      <c r="I530" s="1374"/>
      <c r="J530" s="1389"/>
      <c r="K530" s="643"/>
      <c r="L530" s="1104"/>
      <c r="M530" s="1077">
        <v>42401</v>
      </c>
      <c r="N530" s="1267">
        <v>10.222231110000001</v>
      </c>
      <c r="O530" s="1267">
        <v>4.3921000000000001</v>
      </c>
      <c r="P530" s="1271">
        <v>1.9462999999999999</v>
      </c>
      <c r="Q530" s="1273">
        <v>0.88959999999999995</v>
      </c>
      <c r="R530" s="1273">
        <v>0.97345820000000005</v>
      </c>
      <c r="S530" s="1273">
        <v>1.534</v>
      </c>
      <c r="T530" s="1275">
        <v>0.48677291</v>
      </c>
      <c r="U530" s="1374"/>
      <c r="V530" s="1374"/>
      <c r="W530" s="643"/>
      <c r="X530" s="643"/>
      <c r="Y530" s="643"/>
      <c r="Z530" s="643"/>
      <c r="AA530" s="643"/>
      <c r="AB530" s="643"/>
      <c r="AC530" s="643"/>
      <c r="AD530" s="1374"/>
      <c r="AE530" s="1374"/>
      <c r="AF530" s="1374"/>
      <c r="AG530" s="206"/>
      <c r="AH530" s="1374"/>
      <c r="AI530" s="1374"/>
      <c r="AJ530" s="1374"/>
      <c r="AK530" s="1374"/>
      <c r="AL530" s="1374"/>
      <c r="AM530" s="1374"/>
      <c r="AN530" s="1374"/>
      <c r="AO530" s="1439"/>
    </row>
    <row r="531" spans="1:41" ht="15" customHeight="1" x14ac:dyDescent="0.3">
      <c r="A531" s="918"/>
      <c r="B531" s="918"/>
      <c r="C531" s="918"/>
      <c r="D531" s="918"/>
      <c r="E531" s="918"/>
      <c r="F531" s="1551"/>
      <c r="G531" s="1551"/>
      <c r="H531" s="1552"/>
      <c r="I531" s="1374"/>
      <c r="J531" s="1389"/>
      <c r="K531" s="643"/>
      <c r="L531" s="1104"/>
      <c r="M531" s="1077">
        <v>42430</v>
      </c>
      <c r="N531" s="1268">
        <v>9.9815501834999996</v>
      </c>
      <c r="O531" s="1267">
        <v>4.1858000000000004</v>
      </c>
      <c r="P531" s="1271">
        <v>1.9462999999999999</v>
      </c>
      <c r="Q531" s="1273">
        <v>0.88959999999999995</v>
      </c>
      <c r="R531" s="1273">
        <v>0.95053827000000002</v>
      </c>
      <c r="S531" s="1273">
        <v>1.534</v>
      </c>
      <c r="T531" s="1275">
        <v>0.47531191350000007</v>
      </c>
      <c r="U531" s="1374"/>
      <c r="V531" s="1374"/>
      <c r="W531" s="643"/>
      <c r="X531" s="643"/>
      <c r="Y531" s="643"/>
      <c r="Z531" s="643"/>
      <c r="AA531" s="643"/>
      <c r="AB531" s="643"/>
      <c r="AC531" s="643"/>
      <c r="AD531" s="1374"/>
      <c r="AE531" s="1374"/>
      <c r="AF531" s="1374"/>
      <c r="AG531" s="206"/>
      <c r="AH531" s="1374"/>
      <c r="AI531" s="1374"/>
      <c r="AJ531" s="1374"/>
      <c r="AK531" s="1374"/>
      <c r="AL531" s="1374"/>
      <c r="AM531" s="1374"/>
      <c r="AN531" s="1374"/>
      <c r="AO531" s="1439"/>
    </row>
    <row r="532" spans="1:41" ht="15" customHeight="1" x14ac:dyDescent="0.3">
      <c r="F532" s="1005"/>
      <c r="G532" s="1005"/>
      <c r="H532" s="979"/>
      <c r="I532" s="1374"/>
      <c r="J532" s="1389"/>
      <c r="K532" s="643"/>
      <c r="L532" s="1104"/>
      <c r="M532" s="1077">
        <v>42461</v>
      </c>
      <c r="N532" s="1268">
        <v>8.6704632944999993</v>
      </c>
      <c r="O532" s="1267">
        <v>3.3496999999999999</v>
      </c>
      <c r="P532" s="1271">
        <v>1.9462999999999999</v>
      </c>
      <c r="Q532" s="1273">
        <v>0.88959999999999995</v>
      </c>
      <c r="R532" s="1273">
        <v>0.82568408999999987</v>
      </c>
      <c r="S532" s="1273">
        <v>1.2463000000000002</v>
      </c>
      <c r="T532" s="1275">
        <v>0.41287920450000004</v>
      </c>
      <c r="U532" s="1374"/>
      <c r="V532" s="1374"/>
      <c r="W532" s="643"/>
      <c r="X532" s="643"/>
      <c r="Y532" s="643"/>
      <c r="Z532" s="643"/>
      <c r="AA532" s="643"/>
      <c r="AB532" s="643"/>
      <c r="AC532" s="643"/>
      <c r="AD532" s="1374"/>
      <c r="AE532" s="1374"/>
      <c r="AF532" s="1374"/>
      <c r="AG532" s="206"/>
      <c r="AH532" s="1374"/>
      <c r="AI532" s="1374"/>
      <c r="AJ532" s="1374"/>
      <c r="AK532" s="1374"/>
      <c r="AL532" s="1374"/>
      <c r="AM532" s="1374"/>
      <c r="AN532" s="1374"/>
      <c r="AO532" s="1439"/>
    </row>
    <row r="533" spans="1:41" ht="15" customHeight="1" thickBot="1" x14ac:dyDescent="0.35">
      <c r="A533" s="1385"/>
      <c r="B533" s="980"/>
      <c r="C533" s="980"/>
      <c r="D533" s="980"/>
      <c r="E533" s="985"/>
      <c r="F533" s="1005"/>
      <c r="G533" s="1005"/>
      <c r="H533" s="979"/>
      <c r="I533" s="1374"/>
      <c r="J533" s="1389"/>
      <c r="K533" s="643"/>
      <c r="L533" s="1104"/>
      <c r="M533" s="1077">
        <v>42491</v>
      </c>
      <c r="N533" s="1267">
        <v>8.617497157499999</v>
      </c>
      <c r="O533" s="1267">
        <v>3.3043</v>
      </c>
      <c r="P533" s="1271">
        <v>1.9462999999999999</v>
      </c>
      <c r="Q533" s="1273">
        <v>0.88959999999999995</v>
      </c>
      <c r="R533" s="1273">
        <v>0.82064015000000001</v>
      </c>
      <c r="S533" s="1273">
        <v>1.2463000000000002</v>
      </c>
      <c r="T533" s="1275">
        <v>0.41035700750000004</v>
      </c>
      <c r="U533" s="1374"/>
      <c r="V533" s="1374"/>
      <c r="W533" s="643"/>
      <c r="X533" s="643"/>
      <c r="Y533" s="643"/>
      <c r="Z533" s="643"/>
      <c r="AA533" s="643"/>
      <c r="AB533" s="643"/>
      <c r="AC533" s="643"/>
      <c r="AD533" s="1374"/>
      <c r="AE533" s="1374"/>
      <c r="AF533" s="1374"/>
      <c r="AG533" s="206"/>
      <c r="AH533" s="1374"/>
      <c r="AI533" s="1374"/>
      <c r="AJ533" s="1374"/>
      <c r="AK533" s="1374"/>
      <c r="AL533" s="1374"/>
      <c r="AM533" s="1374"/>
      <c r="AN533" s="1374"/>
      <c r="AO533" s="1439"/>
    </row>
    <row r="534" spans="1:41" ht="15" customHeight="1" x14ac:dyDescent="0.3">
      <c r="A534" s="2667" t="s">
        <v>547</v>
      </c>
      <c r="B534" s="2668"/>
      <c r="C534" s="2668"/>
      <c r="D534" s="2669"/>
      <c r="E534" s="990"/>
      <c r="F534" s="1005"/>
      <c r="G534" s="1005"/>
      <c r="H534" s="979"/>
      <c r="I534" s="1374"/>
      <c r="J534" s="1389"/>
      <c r="K534" s="643"/>
      <c r="L534" s="1104"/>
      <c r="M534" s="1077">
        <v>42522</v>
      </c>
      <c r="N534" s="1267">
        <v>8.8034619645000003</v>
      </c>
      <c r="O534" s="1267">
        <v>3.4636999999999998</v>
      </c>
      <c r="P534" s="1271">
        <v>1.9462999999999999</v>
      </c>
      <c r="Q534" s="1273">
        <v>0.88959999999999995</v>
      </c>
      <c r="R534" s="1273">
        <v>0.83834949000000003</v>
      </c>
      <c r="S534" s="1273">
        <v>1.2463000000000002</v>
      </c>
      <c r="T534" s="1275">
        <v>0.41921247450000004</v>
      </c>
      <c r="U534" s="1374"/>
      <c r="V534" s="1374"/>
      <c r="W534" s="643"/>
      <c r="X534" s="643"/>
      <c r="Y534" s="643"/>
      <c r="Z534" s="643"/>
      <c r="AA534" s="643"/>
      <c r="AB534" s="643"/>
      <c r="AC534" s="643"/>
      <c r="AD534" s="1374"/>
      <c r="AE534" s="1374"/>
      <c r="AF534" s="1374"/>
      <c r="AG534" s="206"/>
      <c r="AH534" s="1374"/>
      <c r="AI534" s="1374"/>
      <c r="AJ534" s="1374"/>
      <c r="AK534" s="1374"/>
      <c r="AL534" s="1374"/>
      <c r="AM534" s="1374"/>
      <c r="AN534" s="1374"/>
      <c r="AO534" s="1439"/>
    </row>
    <row r="535" spans="1:41" ht="15" customHeight="1" thickBot="1" x14ac:dyDescent="0.35">
      <c r="A535" s="2670"/>
      <c r="B535" s="2671"/>
      <c r="C535" s="2671"/>
      <c r="D535" s="2672"/>
      <c r="E535" s="990"/>
      <c r="F535" s="1005"/>
      <c r="G535" s="1005"/>
      <c r="H535" s="979"/>
      <c r="I535" s="1374"/>
      <c r="J535" s="1389"/>
      <c r="K535" s="643"/>
      <c r="L535" s="1104"/>
      <c r="M535" s="1077">
        <v>42552</v>
      </c>
      <c r="N535" s="1268">
        <v>10.605010615499999</v>
      </c>
      <c r="O535" s="1267">
        <v>4.9828000000000001</v>
      </c>
      <c r="P535" s="1271">
        <v>1.9462999999999999</v>
      </c>
      <c r="Q535" s="1273">
        <v>0.88959999999999995</v>
      </c>
      <c r="R535" s="1273">
        <v>1.0099101100000001</v>
      </c>
      <c r="S535" s="1273">
        <v>1.2714000000000001</v>
      </c>
      <c r="T535" s="1275">
        <v>0.50500050549999997</v>
      </c>
      <c r="U535" s="1374"/>
      <c r="V535" s="1374"/>
      <c r="W535" s="643"/>
      <c r="X535" s="643"/>
      <c r="Y535" s="643"/>
      <c r="Z535" s="643"/>
      <c r="AA535" s="643"/>
      <c r="AB535" s="643"/>
      <c r="AC535" s="643"/>
      <c r="AD535" s="1374"/>
      <c r="AE535" s="1374"/>
      <c r="AF535" s="1374"/>
      <c r="AG535" s="206"/>
      <c r="AH535" s="1374"/>
      <c r="AI535" s="1374"/>
      <c r="AJ535" s="1374"/>
      <c r="AK535" s="1374"/>
      <c r="AL535" s="1374"/>
      <c r="AM535" s="1374"/>
      <c r="AN535" s="1374"/>
      <c r="AO535" s="1439"/>
    </row>
    <row r="536" spans="1:41" ht="15" customHeight="1" x14ac:dyDescent="0.3">
      <c r="A536" s="1218"/>
      <c r="B536" s="1219"/>
      <c r="C536" s="1219"/>
      <c r="D536" s="1219"/>
      <c r="E536" s="990"/>
      <c r="F536" s="1005"/>
      <c r="G536" s="1005"/>
      <c r="H536" s="979"/>
      <c r="I536" s="1374"/>
      <c r="J536" s="1389"/>
      <c r="K536" s="643"/>
      <c r="L536" s="1104"/>
      <c r="M536" s="1077">
        <v>42583</v>
      </c>
      <c r="N536" s="1268">
        <v>10.469328639</v>
      </c>
      <c r="O536" s="1267">
        <v>4.8665000000000003</v>
      </c>
      <c r="P536" s="1271">
        <v>1.9462999999999999</v>
      </c>
      <c r="Q536" s="1273">
        <v>0.88959999999999995</v>
      </c>
      <c r="R536" s="1273">
        <v>0.99698918000000014</v>
      </c>
      <c r="S536" s="1273">
        <v>1.2714000000000001</v>
      </c>
      <c r="T536" s="1275">
        <v>0.49853945900000007</v>
      </c>
      <c r="U536" s="1374"/>
      <c r="V536" s="1374"/>
      <c r="W536" s="643"/>
      <c r="X536" s="643"/>
      <c r="Y536" s="643"/>
      <c r="Z536" s="643"/>
      <c r="AA536" s="643"/>
      <c r="AB536" s="643"/>
      <c r="AC536" s="643"/>
      <c r="AD536" s="1374"/>
      <c r="AE536" s="1374"/>
      <c r="AF536" s="1374"/>
      <c r="AG536" s="206"/>
      <c r="AH536" s="1374"/>
      <c r="AI536" s="1374"/>
      <c r="AJ536" s="1374"/>
      <c r="AK536" s="1374"/>
      <c r="AL536" s="1374"/>
      <c r="AM536" s="1374"/>
      <c r="AN536" s="1374"/>
      <c r="AO536" s="1439"/>
    </row>
    <row r="537" spans="1:41" ht="15" customHeight="1" x14ac:dyDescent="0.3">
      <c r="A537" s="2610" t="s">
        <v>550</v>
      </c>
      <c r="B537" s="2611"/>
      <c r="C537" s="2611"/>
      <c r="D537" s="2611"/>
      <c r="E537" s="990"/>
      <c r="F537" s="1005"/>
      <c r="G537" s="1005"/>
      <c r="H537" s="979"/>
      <c r="I537" s="1374"/>
      <c r="J537" s="1389"/>
      <c r="K537" s="643"/>
      <c r="L537" s="1104"/>
      <c r="M537" s="1077">
        <v>42614</v>
      </c>
      <c r="N537" s="1267">
        <v>9.0694593044999987</v>
      </c>
      <c r="O537" s="1267">
        <v>3.6665999999999999</v>
      </c>
      <c r="P537" s="1271">
        <v>1.9462999999999999</v>
      </c>
      <c r="Q537" s="1273">
        <v>0.88959999999999995</v>
      </c>
      <c r="R537" s="1273">
        <v>0.86368029000000002</v>
      </c>
      <c r="S537" s="1273">
        <v>1.2714000000000001</v>
      </c>
      <c r="T537" s="1275">
        <v>0.43187901449999999</v>
      </c>
      <c r="U537" s="1374"/>
      <c r="V537" s="1374"/>
      <c r="W537" s="643"/>
      <c r="X537" s="643"/>
      <c r="Y537" s="643"/>
      <c r="Z537" s="643"/>
      <c r="AA537" s="643"/>
      <c r="AB537" s="643"/>
      <c r="AC537" s="643"/>
      <c r="AD537" s="1374"/>
      <c r="AE537" s="1374"/>
      <c r="AF537" s="1374"/>
      <c r="AG537" s="206"/>
      <c r="AH537" s="1374"/>
      <c r="AI537" s="1374"/>
      <c r="AJ537" s="1374"/>
      <c r="AK537" s="1374"/>
      <c r="AL537" s="1374"/>
      <c r="AM537" s="1374"/>
      <c r="AN537" s="1374"/>
      <c r="AO537" s="1439"/>
    </row>
    <row r="538" spans="1:41" ht="15" customHeight="1" x14ac:dyDescent="0.3">
      <c r="A538" s="1401"/>
      <c r="B538" s="1394" t="s">
        <v>99</v>
      </c>
      <c r="C538" s="1394" t="s">
        <v>100</v>
      </c>
      <c r="D538" s="1394" t="s">
        <v>101</v>
      </c>
      <c r="E538" s="990"/>
      <c r="F538" s="1005"/>
      <c r="G538" s="1005"/>
      <c r="H538" s="979"/>
      <c r="I538" s="1374"/>
      <c r="J538" s="1389"/>
      <c r="K538" s="643"/>
      <c r="L538" s="1104"/>
      <c r="M538" s="1077">
        <v>42644</v>
      </c>
      <c r="N538" s="1267">
        <v>8.3390166089999997</v>
      </c>
      <c r="O538" s="1267">
        <v>4.1272000000000002</v>
      </c>
      <c r="P538" s="1271">
        <v>1.9462999999999999</v>
      </c>
      <c r="Q538" s="1273">
        <v>0.88959999999999995</v>
      </c>
      <c r="R538" s="1273">
        <v>0.79412058000000008</v>
      </c>
      <c r="S538" s="1273">
        <v>0.18470000000000003</v>
      </c>
      <c r="T538" s="1275">
        <v>0.39709602900000007</v>
      </c>
      <c r="U538" s="1374"/>
      <c r="V538" s="1374"/>
      <c r="W538" s="643"/>
      <c r="X538" s="643"/>
      <c r="Y538" s="643"/>
      <c r="Z538" s="643"/>
      <c r="AA538" s="643"/>
      <c r="AB538" s="643"/>
      <c r="AC538" s="643"/>
      <c r="AD538" s="1374"/>
      <c r="AE538" s="1374"/>
      <c r="AF538" s="1374"/>
      <c r="AG538" s="206"/>
      <c r="AH538" s="1374"/>
      <c r="AI538" s="1374"/>
      <c r="AJ538" s="1374"/>
      <c r="AK538" s="1374"/>
      <c r="AL538" s="1374"/>
      <c r="AM538" s="1374"/>
      <c r="AN538" s="1374"/>
      <c r="AO538" s="1439"/>
    </row>
    <row r="539" spans="1:41" ht="15" customHeight="1" x14ac:dyDescent="0.3">
      <c r="A539" s="1393">
        <v>2012</v>
      </c>
      <c r="B539" s="903">
        <f ca="1">AVERAGE(INDIRECT("'"&amp;B$538&amp;"'!E7:E18"))</f>
        <v>4.3779086749999996</v>
      </c>
      <c r="C539" s="903">
        <f ca="1">AVERAGE(INDIRECT("'"&amp;C$538&amp;"'!E7:E18"))</f>
        <v>3.8891416637499998</v>
      </c>
      <c r="D539" s="903">
        <f ca="1">AVERAGE(INDIRECT("'"&amp;D$538&amp;"'!E7:E18"))</f>
        <v>4.6931561985000005</v>
      </c>
      <c r="E539" s="990"/>
      <c r="F539" s="1005"/>
      <c r="G539" s="1005"/>
      <c r="H539" s="979"/>
      <c r="I539" s="1374"/>
      <c r="J539" s="1389"/>
      <c r="K539" s="643"/>
      <c r="L539" s="1104"/>
      <c r="M539" s="1077">
        <v>42675</v>
      </c>
      <c r="N539" s="1268">
        <v>7.9705869599999986</v>
      </c>
      <c r="O539" s="1267">
        <v>3.8113999999999999</v>
      </c>
      <c r="P539" s="1271">
        <v>1.9462999999999999</v>
      </c>
      <c r="Q539" s="1273">
        <v>0.88959999999999995</v>
      </c>
      <c r="R539" s="1273">
        <v>0.75903520000000002</v>
      </c>
      <c r="S539" s="1273">
        <v>0.18470000000000003</v>
      </c>
      <c r="T539" s="1275">
        <v>0.37955176000000002</v>
      </c>
      <c r="U539" s="1374"/>
      <c r="V539" s="1374"/>
      <c r="W539" s="643"/>
      <c r="X539" s="643"/>
      <c r="Y539" s="643"/>
      <c r="Z539" s="643"/>
      <c r="AA539" s="643"/>
      <c r="AB539" s="643"/>
      <c r="AC539" s="643"/>
      <c r="AD539" s="1374"/>
      <c r="AE539" s="1374"/>
      <c r="AF539" s="1374"/>
      <c r="AG539" s="206"/>
      <c r="AH539" s="1374"/>
      <c r="AI539" s="1374"/>
      <c r="AJ539" s="1374"/>
      <c r="AK539" s="1374"/>
      <c r="AL539" s="1374"/>
      <c r="AM539" s="1374"/>
      <c r="AN539" s="1374"/>
      <c r="AO539" s="1439"/>
    </row>
    <row r="540" spans="1:41" ht="15" customHeight="1" x14ac:dyDescent="0.3">
      <c r="A540" s="1393">
        <v>2013</v>
      </c>
      <c r="B540" s="903">
        <f ca="1">AVERAGE(INDIRECT("'"&amp;B$538&amp;"'!E19:E30"))</f>
        <v>5.3906569499999994</v>
      </c>
      <c r="C540" s="903">
        <f ca="1">AVERAGE(INDIRECT("'"&amp;C$538&amp;"'!E19:E30"))</f>
        <v>5.1011989874999992</v>
      </c>
      <c r="D540" s="903">
        <f ca="1">AVERAGE(INDIRECT("'"&amp;D$538&amp;"'!E19:E30"))</f>
        <v>6.2373614380226101</v>
      </c>
      <c r="E540" s="990"/>
      <c r="F540" s="1005"/>
      <c r="G540" s="1005"/>
      <c r="H540" s="979"/>
      <c r="I540" s="1374"/>
      <c r="J540" s="1389"/>
      <c r="K540" s="643"/>
      <c r="L540" s="1104"/>
      <c r="M540" s="1077">
        <v>42705</v>
      </c>
      <c r="N540" s="1268">
        <v>8.3855661435000002</v>
      </c>
      <c r="O540" s="1267">
        <v>4.1670999999999996</v>
      </c>
      <c r="P540" s="1271">
        <v>1.9462999999999999</v>
      </c>
      <c r="Q540" s="1273">
        <v>0.88959999999999995</v>
      </c>
      <c r="R540" s="1273">
        <v>0.79855346999999999</v>
      </c>
      <c r="S540" s="1273">
        <v>0.18470000000000003</v>
      </c>
      <c r="T540" s="1275">
        <v>0.39931267349999999</v>
      </c>
      <c r="U540" s="1374"/>
      <c r="V540" s="1374"/>
      <c r="W540" s="643"/>
      <c r="X540" s="643"/>
      <c r="Y540" s="643"/>
      <c r="Z540" s="643"/>
      <c r="AA540" s="643"/>
      <c r="AB540" s="643"/>
      <c r="AC540" s="643"/>
      <c r="AD540" s="1374"/>
      <c r="AE540" s="1374"/>
      <c r="AF540" s="1374"/>
      <c r="AG540" s="206"/>
      <c r="AH540" s="1374"/>
      <c r="AI540" s="1374"/>
      <c r="AJ540" s="1374"/>
      <c r="AK540" s="1374"/>
      <c r="AL540" s="1374"/>
      <c r="AM540" s="1374"/>
      <c r="AN540" s="1374"/>
      <c r="AO540" s="1439"/>
    </row>
    <row r="541" spans="1:41" ht="15" customHeight="1" x14ac:dyDescent="0.3">
      <c r="A541" s="1393">
        <v>2014</v>
      </c>
      <c r="B541" s="903">
        <f ca="1">AVERAGE(INDIRECT("'"&amp;B$538&amp;"'!E31:E42"))</f>
        <v>6.9447750749999999</v>
      </c>
      <c r="C541" s="903">
        <f ca="1">AVERAGE(INDIRECT("'"&amp;C$538&amp;"'!E31:E42"))</f>
        <v>6.8704312950000004</v>
      </c>
      <c r="D541" s="903">
        <f ca="1">AVERAGE(INDIRECT("'"&amp;D$538&amp;"'!E31:E42"))</f>
        <v>7.5505067691734808</v>
      </c>
      <c r="E541" s="990"/>
      <c r="F541" s="1005"/>
      <c r="G541" s="1005"/>
      <c r="H541" s="979"/>
      <c r="I541" s="1374"/>
      <c r="J541" s="1389"/>
      <c r="K541" s="643"/>
      <c r="L541" s="1104"/>
      <c r="M541" s="1077">
        <v>42736</v>
      </c>
      <c r="N541" s="1267">
        <v>9.2799238665000008</v>
      </c>
      <c r="O541" s="1267">
        <v>4.3943000000000003</v>
      </c>
      <c r="P541" s="1271">
        <v>1.9462999999999999</v>
      </c>
      <c r="Q541" s="1273">
        <v>1.0046999999999999</v>
      </c>
      <c r="R541" s="1273">
        <v>0.88372273000000001</v>
      </c>
      <c r="S541" s="1273">
        <v>0.60899999999999999</v>
      </c>
      <c r="T541" s="1275">
        <v>0.44190113650000007</v>
      </c>
      <c r="U541" s="1374"/>
      <c r="V541" s="1374"/>
      <c r="W541" s="643"/>
      <c r="X541" s="643"/>
      <c r="Y541" s="643"/>
      <c r="Z541" s="643"/>
      <c r="AA541" s="643"/>
      <c r="AB541" s="643"/>
      <c r="AC541" s="643"/>
      <c r="AD541" s="1374"/>
      <c r="AE541" s="1374"/>
      <c r="AF541" s="1374"/>
      <c r="AG541" s="206"/>
      <c r="AH541" s="1374"/>
      <c r="AI541" s="1374"/>
      <c r="AJ541" s="1374"/>
      <c r="AK541" s="1374"/>
      <c r="AL541" s="1374"/>
      <c r="AM541" s="1374"/>
      <c r="AN541" s="1374"/>
      <c r="AO541" s="1439"/>
    </row>
    <row r="542" spans="1:41" ht="15" customHeight="1" x14ac:dyDescent="0.3">
      <c r="A542" s="1393">
        <v>2015</v>
      </c>
      <c r="B542" s="903">
        <f ca="1">AVERAGE(INDIRECT("'"&amp;B$538&amp;"'!E43:E54"))</f>
        <v>5.049629112499999</v>
      </c>
      <c r="C542" s="903">
        <f ca="1">AVERAGE(INDIRECT("'"&amp;C$538&amp;"'!E43:E54"))</f>
        <v>4.9989222325</v>
      </c>
      <c r="D542" s="903">
        <f ca="1">AVERAGE(INDIRECT("'"&amp;D$538&amp;"'!E43:E54"))</f>
        <v>5.6919903592768124</v>
      </c>
      <c r="E542" s="990"/>
      <c r="F542" s="1005"/>
      <c r="G542" s="1005"/>
      <c r="H542" s="979"/>
      <c r="I542" s="1374"/>
      <c r="J542" s="1389"/>
      <c r="K542" s="643"/>
      <c r="L542" s="1104"/>
      <c r="M542" s="1077">
        <v>42767</v>
      </c>
      <c r="N542" s="1267">
        <v>8.7314793509999991</v>
      </c>
      <c r="O542" s="1267">
        <v>3.9241999999999999</v>
      </c>
      <c r="P542" s="1271">
        <v>1.9462999999999999</v>
      </c>
      <c r="Q542" s="1273">
        <v>1.0046999999999999</v>
      </c>
      <c r="R542" s="1273">
        <v>0.83149461999999996</v>
      </c>
      <c r="S542" s="1273">
        <v>0.60899999999999999</v>
      </c>
      <c r="T542" s="1275">
        <v>0.41578473099999996</v>
      </c>
      <c r="U542" s="1374"/>
      <c r="V542" s="1374"/>
      <c r="W542" s="643"/>
      <c r="X542" s="643"/>
      <c r="Y542" s="643"/>
      <c r="Z542" s="643"/>
      <c r="AA542" s="643"/>
      <c r="AB542" s="643"/>
      <c r="AC542" s="643"/>
      <c r="AD542" s="1374"/>
      <c r="AE542" s="1374"/>
      <c r="AF542" s="1374"/>
      <c r="AG542" s="206"/>
      <c r="AH542" s="1374"/>
      <c r="AI542" s="1374"/>
      <c r="AJ542" s="1374"/>
      <c r="AK542" s="1374"/>
      <c r="AL542" s="1374"/>
      <c r="AM542" s="1374"/>
      <c r="AN542" s="1374"/>
      <c r="AO542" s="1439"/>
    </row>
    <row r="543" spans="1:41" ht="15" customHeight="1" x14ac:dyDescent="0.3">
      <c r="A543" s="1393">
        <v>2016</v>
      </c>
      <c r="B543" s="903">
        <f ca="1">AVERAGE(INDIRECT("'"&amp;B$538&amp;"'!E55:E66"))</f>
        <v>4.8288880499999998</v>
      </c>
      <c r="C543" s="903">
        <f ca="1">AVERAGE(INDIRECT("'"&amp;C$538&amp;"'!E55:E66"))</f>
        <v>4.53663518875</v>
      </c>
      <c r="D543" s="903">
        <f ca="1">AVERAGE(INDIRECT("'"&amp;D$538&amp;"'!E55:E66"))</f>
        <v>5.53063405870612</v>
      </c>
      <c r="E543" s="990"/>
      <c r="F543" s="1005"/>
      <c r="G543" s="1005"/>
      <c r="H543" s="979"/>
      <c r="I543" s="1374"/>
      <c r="J543" s="1389"/>
      <c r="K543" s="643"/>
      <c r="L543" s="1104"/>
      <c r="M543" s="1077">
        <v>42795</v>
      </c>
      <c r="N543" s="1268">
        <v>8.1654183449999991</v>
      </c>
      <c r="O543" s="1267">
        <v>3.4390000000000001</v>
      </c>
      <c r="P543" s="1271">
        <v>1.9462999999999999</v>
      </c>
      <c r="Q543" s="1273">
        <v>1.0046999999999999</v>
      </c>
      <c r="R543" s="1273">
        <v>0.77758890000000003</v>
      </c>
      <c r="S543" s="1273">
        <v>0.60899999999999999</v>
      </c>
      <c r="T543" s="1275">
        <v>0.38882944500000005</v>
      </c>
      <c r="U543" s="1374"/>
      <c r="V543" s="1374"/>
      <c r="W543" s="643"/>
      <c r="X543" s="643"/>
      <c r="Y543" s="643"/>
      <c r="Z543" s="643"/>
      <c r="AA543" s="643"/>
      <c r="AB543" s="643"/>
      <c r="AC543" s="643"/>
      <c r="AD543" s="1374"/>
      <c r="AE543" s="1374"/>
      <c r="AF543" s="1374"/>
      <c r="AG543" s="206"/>
      <c r="AH543" s="1374"/>
      <c r="AI543" s="1374"/>
      <c r="AJ543" s="1374"/>
      <c r="AK543" s="1374"/>
      <c r="AL543" s="1374"/>
      <c r="AM543" s="1374"/>
      <c r="AN543" s="1374"/>
      <c r="AO543" s="1439"/>
    </row>
    <row r="544" spans="1:41" ht="15" customHeight="1" x14ac:dyDescent="0.3">
      <c r="A544" s="1393">
        <v>2017</v>
      </c>
      <c r="B544" s="903">
        <f ca="1">AVERAGE(INDIRECT("'"&amp;B$538&amp;"'!E67:E78"))</f>
        <v>5.99173505</v>
      </c>
      <c r="C544" s="903">
        <f ca="1">AVERAGE(INDIRECT("'"&amp;C$538&amp;"'!E67:E78"))</f>
        <v>5.6062545525000003</v>
      </c>
      <c r="D544" s="903">
        <f ca="1">AVERAGE(INDIRECT("'"&amp;D$538&amp;"'!E67:E78"))</f>
        <v>7.1614150490749999</v>
      </c>
      <c r="E544" s="990"/>
      <c r="F544" s="1005"/>
      <c r="G544" s="1005"/>
      <c r="H544" s="979"/>
      <c r="I544" s="1374"/>
      <c r="J544" s="1389"/>
      <c r="K544" s="643"/>
      <c r="L544" s="1104"/>
      <c r="M544" s="1077">
        <v>42826</v>
      </c>
      <c r="N544" s="1268">
        <v>8.8731112680000006</v>
      </c>
      <c r="O544" s="1267">
        <v>3.0567000000000002</v>
      </c>
      <c r="P544" s="1271">
        <v>1.9462999999999999</v>
      </c>
      <c r="Q544" s="1273">
        <v>1.0046999999999999</v>
      </c>
      <c r="R544" s="1273">
        <v>0.84498216000000004</v>
      </c>
      <c r="S544" s="1273">
        <v>1.5979000000000001</v>
      </c>
      <c r="T544" s="1275">
        <v>0.42252910799999999</v>
      </c>
      <c r="U544" s="1374"/>
      <c r="V544" s="1374"/>
      <c r="W544" s="643"/>
      <c r="X544" s="643"/>
      <c r="Y544" s="643"/>
      <c r="Z544" s="643"/>
      <c r="AA544" s="643"/>
      <c r="AB544" s="643"/>
      <c r="AC544" s="643"/>
      <c r="AD544" s="1374"/>
      <c r="AE544" s="1374"/>
      <c r="AF544" s="1374"/>
      <c r="AG544" s="206"/>
      <c r="AH544" s="1374"/>
      <c r="AI544" s="1374"/>
      <c r="AJ544" s="1374"/>
      <c r="AK544" s="1374"/>
      <c r="AL544" s="1374"/>
      <c r="AM544" s="1374"/>
      <c r="AN544" s="1374"/>
      <c r="AO544" s="1439"/>
    </row>
    <row r="545" spans="1:41" ht="15" customHeight="1" x14ac:dyDescent="0.3">
      <c r="A545" s="1546">
        <v>2018</v>
      </c>
      <c r="B545" s="903">
        <f ca="1">AVERAGE(INDIRECT("'"&amp;B$538&amp;"'!E79:E90"))</f>
        <v>5.2366588749999998</v>
      </c>
      <c r="C545" s="903">
        <f ca="1">AVERAGE(INDIRECT("'"&amp;C$538&amp;"'!E79:E90"))</f>
        <v>5.0098852737500001</v>
      </c>
      <c r="D545" s="903">
        <f ca="1">AVERAGE(INDIRECT("'"&amp;D$538&amp;"'!E79:E90"))</f>
        <v>6.7516461473999998</v>
      </c>
      <c r="E545" s="990"/>
      <c r="F545" s="1005"/>
      <c r="G545" s="1005"/>
      <c r="H545" s="979"/>
      <c r="I545" s="1374"/>
      <c r="J545" s="1389"/>
      <c r="K545" s="643"/>
      <c r="L545" s="1104"/>
      <c r="M545" s="1077">
        <v>42856</v>
      </c>
      <c r="N545" s="1267">
        <v>8.7877121220000003</v>
      </c>
      <c r="O545" s="1267">
        <v>2.9834999999999998</v>
      </c>
      <c r="P545" s="1271">
        <v>1.9462999999999999</v>
      </c>
      <c r="Q545" s="1273">
        <v>1.0046999999999999</v>
      </c>
      <c r="R545" s="1273">
        <v>0.83684964000000006</v>
      </c>
      <c r="S545" s="1273">
        <v>1.5979000000000001</v>
      </c>
      <c r="T545" s="1275">
        <v>0.41846248200000002</v>
      </c>
      <c r="U545" s="1374"/>
      <c r="V545" s="1374"/>
      <c r="W545" s="643"/>
      <c r="X545" s="643"/>
      <c r="Y545" s="643"/>
      <c r="Z545" s="643"/>
      <c r="AA545" s="643"/>
      <c r="AB545" s="643"/>
      <c r="AC545" s="643"/>
      <c r="AD545" s="1374"/>
      <c r="AE545" s="1374"/>
      <c r="AF545" s="1374"/>
      <c r="AG545" s="206"/>
      <c r="AH545" s="1374"/>
      <c r="AI545" s="1374"/>
      <c r="AJ545" s="1374"/>
      <c r="AK545" s="1374"/>
      <c r="AL545" s="1374"/>
      <c r="AM545" s="1374"/>
      <c r="AN545" s="1374"/>
      <c r="AO545" s="1439"/>
    </row>
    <row r="546" spans="1:41" ht="15" customHeight="1" x14ac:dyDescent="0.3">
      <c r="A546" s="1004" t="s">
        <v>666</v>
      </c>
      <c r="B546" s="903">
        <f ca="1">B545-B539</f>
        <v>0.85875020000000024</v>
      </c>
      <c r="C546" s="903">
        <f t="shared" ref="C546:D546" ca="1" si="173">C545-C539</f>
        <v>1.1207436100000003</v>
      </c>
      <c r="D546" s="903">
        <f t="shared" ca="1" si="173"/>
        <v>2.0584899488999993</v>
      </c>
      <c r="E546" s="990"/>
      <c r="F546" s="1005"/>
      <c r="G546" s="1005"/>
      <c r="H546" s="979"/>
      <c r="I546" s="1374"/>
      <c r="J546" s="1389"/>
      <c r="K546" s="643"/>
      <c r="L546" s="1104"/>
      <c r="M546" s="1077">
        <v>42887</v>
      </c>
      <c r="N546" s="1267">
        <v>9.2674406579999982</v>
      </c>
      <c r="O546" s="1267">
        <v>3.3946999999999998</v>
      </c>
      <c r="P546" s="1271">
        <v>1.9462999999999999</v>
      </c>
      <c r="Q546" s="1273">
        <v>1.0046999999999999</v>
      </c>
      <c r="R546" s="1273">
        <v>0.88253395999999995</v>
      </c>
      <c r="S546" s="1273">
        <v>1.5979000000000001</v>
      </c>
      <c r="T546" s="1275">
        <v>0.441306698</v>
      </c>
      <c r="U546" s="1374"/>
      <c r="V546" s="1374"/>
      <c r="W546" s="643"/>
      <c r="X546" s="643"/>
      <c r="Y546" s="643"/>
      <c r="Z546" s="643"/>
      <c r="AA546" s="643"/>
      <c r="AB546" s="643"/>
      <c r="AC546" s="643"/>
      <c r="AD546" s="1374"/>
      <c r="AE546" s="1374"/>
      <c r="AF546" s="1374"/>
      <c r="AG546" s="206"/>
      <c r="AH546" s="1374"/>
      <c r="AI546" s="1374"/>
      <c r="AJ546" s="1374"/>
      <c r="AK546" s="1374"/>
      <c r="AL546" s="1374"/>
      <c r="AM546" s="1374"/>
      <c r="AN546" s="1374"/>
      <c r="AO546" s="1439"/>
    </row>
    <row r="547" spans="1:41" ht="15" customHeight="1" x14ac:dyDescent="0.3">
      <c r="A547" s="1218"/>
      <c r="B547" s="1219"/>
      <c r="C547" s="1219"/>
      <c r="D547" s="1219"/>
      <c r="E547" s="990"/>
      <c r="F547" s="1005"/>
      <c r="G547" s="1005"/>
      <c r="H547" s="979"/>
      <c r="I547" s="1374"/>
      <c r="J547" s="1389"/>
      <c r="K547" s="643"/>
      <c r="L547" s="1104"/>
      <c r="M547" s="1077">
        <v>42917</v>
      </c>
      <c r="N547" s="1268">
        <v>10.217681155499999</v>
      </c>
      <c r="O547" s="1267">
        <v>4.2127999999999997</v>
      </c>
      <c r="P547" s="1271">
        <v>1.9462999999999999</v>
      </c>
      <c r="Q547" s="1273">
        <v>1.0046999999999999</v>
      </c>
      <c r="R547" s="1273">
        <v>0.97302490999999991</v>
      </c>
      <c r="S547" s="1273">
        <v>1.5943000000000001</v>
      </c>
      <c r="T547" s="1275">
        <v>0.48655624550000004</v>
      </c>
      <c r="U547" s="1374"/>
      <c r="V547" s="1374"/>
      <c r="W547" s="643"/>
      <c r="X547" s="643"/>
      <c r="Y547" s="643"/>
      <c r="Z547" s="643"/>
      <c r="AA547" s="643"/>
      <c r="AB547" s="643"/>
      <c r="AC547" s="643"/>
      <c r="AD547" s="1374"/>
      <c r="AE547" s="1374"/>
      <c r="AF547" s="1374"/>
      <c r="AG547" s="206"/>
      <c r="AH547" s="1374"/>
      <c r="AI547" s="1374"/>
      <c r="AJ547" s="1374"/>
      <c r="AK547" s="1374"/>
      <c r="AL547" s="1374"/>
      <c r="AM547" s="1374"/>
      <c r="AN547" s="1374"/>
      <c r="AO547" s="1439"/>
    </row>
    <row r="548" spans="1:41" ht="15" customHeight="1" x14ac:dyDescent="0.3">
      <c r="A548" s="1218"/>
      <c r="B548" s="1219"/>
      <c r="C548" s="1219"/>
      <c r="D548" s="1219"/>
      <c r="E548" s="990"/>
      <c r="F548" s="1005"/>
      <c r="G548" s="1005"/>
      <c r="H548" s="979"/>
      <c r="I548" s="1374"/>
      <c r="J548" s="1389"/>
      <c r="K548" s="643"/>
      <c r="L548" s="1104"/>
      <c r="M548" s="1077">
        <v>42948</v>
      </c>
      <c r="N548" s="1268">
        <v>10.0919157465</v>
      </c>
      <c r="O548" s="1267">
        <v>4.1050000000000004</v>
      </c>
      <c r="P548" s="1271">
        <v>1.9462999999999999</v>
      </c>
      <c r="Q548" s="1273">
        <v>1.0046999999999999</v>
      </c>
      <c r="R548" s="1273">
        <v>0.96104833000000001</v>
      </c>
      <c r="S548" s="1273">
        <v>1.5943000000000001</v>
      </c>
      <c r="T548" s="1275">
        <v>0.48056741650000001</v>
      </c>
      <c r="U548" s="1374"/>
      <c r="V548" s="1374"/>
      <c r="W548" s="643"/>
      <c r="X548" s="643"/>
      <c r="Y548" s="643"/>
      <c r="Z548" s="643"/>
      <c r="AA548" s="643"/>
      <c r="AB548" s="643"/>
      <c r="AC548" s="643"/>
      <c r="AD548" s="1374"/>
      <c r="AE548" s="1374"/>
      <c r="AF548" s="1374"/>
      <c r="AG548" s="206"/>
      <c r="AH548" s="1374"/>
      <c r="AI548" s="1374"/>
      <c r="AJ548" s="1374"/>
      <c r="AK548" s="1374"/>
      <c r="AL548" s="1374"/>
      <c r="AM548" s="1374"/>
      <c r="AN548" s="1374"/>
      <c r="AO548" s="1439"/>
    </row>
    <row r="549" spans="1:41" ht="15" customHeight="1" x14ac:dyDescent="0.3">
      <c r="A549" s="1218"/>
      <c r="B549" s="1219"/>
      <c r="C549" s="1219"/>
      <c r="D549" s="1219"/>
      <c r="E549" s="990"/>
      <c r="F549" s="1005"/>
      <c r="G549" s="1005"/>
      <c r="H549" s="979"/>
      <c r="I549" s="1374"/>
      <c r="J549" s="1389"/>
      <c r="K549" s="643"/>
      <c r="L549" s="1104"/>
      <c r="M549" s="1077">
        <v>42979</v>
      </c>
      <c r="N549" s="1267">
        <v>9.6964197015</v>
      </c>
      <c r="O549" s="1267">
        <v>3.766</v>
      </c>
      <c r="P549" s="1271">
        <v>1.9462999999999999</v>
      </c>
      <c r="Q549" s="1273">
        <v>1.0046999999999999</v>
      </c>
      <c r="R549" s="1273">
        <v>0.92338542999999995</v>
      </c>
      <c r="S549" s="1273">
        <v>1.5943000000000001</v>
      </c>
      <c r="T549" s="1275">
        <v>0.46173427149999996</v>
      </c>
      <c r="U549" s="1374"/>
      <c r="V549" s="1374"/>
      <c r="W549" s="643"/>
      <c r="X549" s="643"/>
      <c r="Y549" s="643"/>
      <c r="Z549" s="643"/>
      <c r="AA549" s="643"/>
      <c r="AB549" s="643"/>
      <c r="AC549" s="643"/>
      <c r="AD549" s="1374"/>
      <c r="AE549" s="1374"/>
      <c r="AF549" s="1374"/>
      <c r="AG549" s="206"/>
      <c r="AH549" s="1374"/>
      <c r="AI549" s="1374"/>
      <c r="AJ549" s="1374"/>
      <c r="AK549" s="1374"/>
      <c r="AL549" s="1374"/>
      <c r="AM549" s="1374"/>
      <c r="AN549" s="1374"/>
      <c r="AO549" s="1439"/>
    </row>
    <row r="550" spans="1:41" ht="15" customHeight="1" x14ac:dyDescent="0.3">
      <c r="A550" s="1218"/>
      <c r="B550" s="1219"/>
      <c r="C550" s="1219"/>
      <c r="D550" s="1219"/>
      <c r="E550" s="990"/>
      <c r="F550" s="1005"/>
      <c r="G550" s="1005"/>
      <c r="H550" s="979"/>
      <c r="I550" s="1374"/>
      <c r="J550" s="1389"/>
      <c r="K550" s="643"/>
      <c r="L550" s="1104"/>
      <c r="M550" s="1077">
        <v>43009</v>
      </c>
      <c r="N550" s="1267">
        <v>9.770968955999999</v>
      </c>
      <c r="O550" s="1267">
        <v>3.8519999999999999</v>
      </c>
      <c r="P550" s="1271">
        <v>1.9462999999999999</v>
      </c>
      <c r="Q550" s="1273">
        <v>1.0046999999999999</v>
      </c>
      <c r="R550" s="1273">
        <v>0.93048471999999993</v>
      </c>
      <c r="S550" s="1273">
        <v>1.5722</v>
      </c>
      <c r="T550" s="1275">
        <v>0.46528423599999996</v>
      </c>
      <c r="U550" s="1374"/>
      <c r="V550" s="1374"/>
      <c r="W550" s="643"/>
      <c r="X550" s="643"/>
      <c r="Y550" s="643"/>
      <c r="Z550" s="643"/>
      <c r="AA550" s="643"/>
      <c r="AB550" s="643"/>
      <c r="AC550" s="643"/>
      <c r="AD550" s="1374"/>
      <c r="AE550" s="1374"/>
      <c r="AF550" s="1374"/>
      <c r="AG550" s="206"/>
      <c r="AH550" s="1374"/>
      <c r="AI550" s="1374"/>
      <c r="AJ550" s="1374"/>
      <c r="AK550" s="1374"/>
      <c r="AL550" s="1374"/>
      <c r="AM550" s="1374"/>
      <c r="AN550" s="1374"/>
      <c r="AO550" s="1439"/>
    </row>
    <row r="551" spans="1:41" ht="15" customHeight="1" x14ac:dyDescent="0.3">
      <c r="A551" s="1218"/>
      <c r="B551" s="1219"/>
      <c r="C551" s="1219"/>
      <c r="D551" s="1219"/>
      <c r="E551" s="990"/>
      <c r="F551" s="1005"/>
      <c r="G551" s="1005"/>
      <c r="H551" s="979"/>
      <c r="I551" s="1374"/>
      <c r="J551" s="1389"/>
      <c r="K551" s="643"/>
      <c r="L551" s="1104"/>
      <c r="M551" s="1077">
        <v>43040</v>
      </c>
      <c r="N551" s="1268">
        <v>9.5388046109999998</v>
      </c>
      <c r="O551" s="1267">
        <v>3.653</v>
      </c>
      <c r="P551" s="1271">
        <v>1.9462999999999999</v>
      </c>
      <c r="Q551" s="1273">
        <v>1.0046999999999999</v>
      </c>
      <c r="R551" s="1273">
        <v>0.90837582000000006</v>
      </c>
      <c r="S551" s="1273">
        <v>1.5722</v>
      </c>
      <c r="T551" s="1275">
        <v>0.45422879100000002</v>
      </c>
      <c r="U551" s="1374"/>
      <c r="V551" s="1374"/>
      <c r="W551" s="643"/>
      <c r="X551" s="643"/>
      <c r="Y551" s="643"/>
      <c r="Z551" s="643"/>
      <c r="AA551" s="643"/>
      <c r="AB551" s="643"/>
      <c r="AC551" s="643"/>
      <c r="AD551" s="1374"/>
      <c r="AE551" s="1374"/>
      <c r="AF551" s="1374"/>
      <c r="AG551" s="206"/>
      <c r="AH551" s="1374"/>
      <c r="AI551" s="1374"/>
      <c r="AJ551" s="1374"/>
      <c r="AK551" s="1374"/>
      <c r="AL551" s="1374"/>
      <c r="AM551" s="1374"/>
      <c r="AN551" s="1374"/>
      <c r="AO551" s="1439"/>
    </row>
    <row r="552" spans="1:41" ht="15" customHeight="1" x14ac:dyDescent="0.3">
      <c r="A552" s="1218"/>
      <c r="B552" s="1219"/>
      <c r="C552" s="1219"/>
      <c r="D552" s="1219"/>
      <c r="E552" s="990"/>
      <c r="F552" s="1005"/>
      <c r="G552" s="1005"/>
      <c r="H552" s="979"/>
      <c r="I552" s="1374"/>
      <c r="J552" s="1389"/>
      <c r="K552" s="643"/>
      <c r="L552" s="1104"/>
      <c r="M552" s="1266">
        <v>43070</v>
      </c>
      <c r="N552" s="1269">
        <v>9.9389672759999996</v>
      </c>
      <c r="O552" s="1270">
        <v>3.996</v>
      </c>
      <c r="P552" s="1272">
        <v>1.9462999999999999</v>
      </c>
      <c r="Q552" s="1274">
        <v>1.0046999999999999</v>
      </c>
      <c r="R552" s="1273">
        <v>0.94648312000000001</v>
      </c>
      <c r="S552" s="1273">
        <v>1.5722</v>
      </c>
      <c r="T552" s="1275">
        <v>0.47328415600000001</v>
      </c>
      <c r="U552" s="1374"/>
      <c r="V552" s="1374"/>
      <c r="W552" s="643"/>
      <c r="X552" s="643"/>
      <c r="Y552" s="643"/>
      <c r="Z552" s="643"/>
      <c r="AA552" s="643"/>
      <c r="AB552" s="643"/>
      <c r="AC552" s="643"/>
      <c r="AD552" s="1374"/>
      <c r="AE552" s="1374"/>
      <c r="AF552" s="1374"/>
      <c r="AG552" s="206"/>
      <c r="AH552" s="1374"/>
      <c r="AI552" s="1374"/>
      <c r="AJ552" s="1374"/>
      <c r="AK552" s="1374"/>
      <c r="AL552" s="1374"/>
      <c r="AM552" s="1374"/>
      <c r="AN552" s="1374"/>
      <c r="AO552" s="1439"/>
    </row>
    <row r="553" spans="1:41" ht="18" x14ac:dyDescent="0.3">
      <c r="A553" s="1218"/>
      <c r="B553" s="1219"/>
      <c r="C553" s="1219"/>
      <c r="D553" s="1219"/>
      <c r="E553" s="990"/>
      <c r="F553" s="1374"/>
      <c r="G553" s="1374"/>
      <c r="H553" s="642"/>
      <c r="I553" s="1374"/>
      <c r="J553" s="1389"/>
      <c r="K553" s="643"/>
      <c r="L553" s="1104"/>
      <c r="M553" s="1077">
        <v>43101</v>
      </c>
      <c r="N553" s="1267">
        <v>11.362869703499999</v>
      </c>
      <c r="O553" s="1267">
        <v>5.1120000000000001</v>
      </c>
      <c r="P553" s="1271">
        <v>1.9462999999999999</v>
      </c>
      <c r="Q553" s="1273">
        <v>1.0046999999999999</v>
      </c>
      <c r="R553" s="1273">
        <v>1.0820806700000001</v>
      </c>
      <c r="S553" s="1273">
        <v>1.6767000000000001</v>
      </c>
      <c r="T553" s="1275">
        <v>0.54108903350000004</v>
      </c>
      <c r="U553" s="1104"/>
      <c r="V553" s="1374"/>
      <c r="W553" s="643"/>
      <c r="X553" s="643"/>
      <c r="Y553" s="643"/>
      <c r="Z553" s="643"/>
      <c r="AA553" s="643"/>
      <c r="AB553" s="643"/>
      <c r="AC553" s="643"/>
      <c r="AD553" s="1374"/>
      <c r="AE553" s="1374"/>
      <c r="AF553" s="1374"/>
      <c r="AG553" s="206"/>
      <c r="AH553" s="1374"/>
      <c r="AI553" s="1374"/>
      <c r="AJ553" s="1374"/>
      <c r="AK553" s="1374"/>
      <c r="AL553" s="1374"/>
      <c r="AM553" s="1374"/>
      <c r="AN553" s="1374"/>
      <c r="AO553" s="1439"/>
    </row>
    <row r="554" spans="1:41" ht="18" x14ac:dyDescent="0.3">
      <c r="A554" s="1218"/>
      <c r="B554" s="1219"/>
      <c r="C554" s="1219"/>
      <c r="D554" s="1219"/>
      <c r="E554" s="990"/>
      <c r="F554" s="1374"/>
      <c r="G554" s="1374"/>
      <c r="H554" s="642"/>
      <c r="I554" s="1374"/>
      <c r="J554" s="1389"/>
      <c r="K554" s="643"/>
      <c r="L554" s="1104"/>
      <c r="M554" s="1077">
        <v>43132</v>
      </c>
      <c r="N554" s="1267">
        <v>11.4457022085</v>
      </c>
      <c r="O554" s="1267">
        <v>5.1829999999999998</v>
      </c>
      <c r="P554" s="1271">
        <v>1.9462999999999999</v>
      </c>
      <c r="Q554" s="1273">
        <v>1.0046999999999999</v>
      </c>
      <c r="R554" s="1273">
        <v>1.08996877</v>
      </c>
      <c r="S554" s="1273">
        <v>1.6767000000000001</v>
      </c>
      <c r="T554" s="1275">
        <v>0.54503343850000008</v>
      </c>
      <c r="U554" s="1374"/>
      <c r="V554" s="1374"/>
      <c r="W554" s="643"/>
      <c r="X554" s="643"/>
      <c r="Y554" s="643"/>
      <c r="Z554" s="643"/>
      <c r="AA554" s="643"/>
      <c r="AB554" s="643"/>
      <c r="AC554" s="643"/>
      <c r="AD554" s="1374"/>
      <c r="AE554" s="1374"/>
      <c r="AF554" s="1374"/>
      <c r="AG554" s="206"/>
      <c r="AH554" s="1374"/>
      <c r="AI554" s="1374"/>
      <c r="AJ554" s="1374"/>
      <c r="AK554" s="1374"/>
      <c r="AL554" s="1374"/>
      <c r="AM554" s="1374"/>
      <c r="AN554" s="1374"/>
      <c r="AO554" s="1439"/>
    </row>
    <row r="555" spans="1:41" ht="18" x14ac:dyDescent="0.3">
      <c r="A555" s="1218"/>
      <c r="B555" s="1219"/>
      <c r="C555" s="1219"/>
      <c r="D555" s="1219"/>
      <c r="E555" s="990"/>
      <c r="F555" s="1374"/>
      <c r="G555" s="1374"/>
      <c r="H555" s="642"/>
      <c r="I555" s="1374"/>
      <c r="J555" s="1389"/>
      <c r="K555" s="643"/>
      <c r="L555" s="1104"/>
      <c r="M555" s="1077">
        <v>43160</v>
      </c>
      <c r="N555" s="1267">
        <v>11.360536393499999</v>
      </c>
      <c r="O555" s="1267">
        <v>5.1100000000000003</v>
      </c>
      <c r="P555" s="1271">
        <v>1.9462999999999999</v>
      </c>
      <c r="Q555" s="1273">
        <v>1.0046999999999999</v>
      </c>
      <c r="R555" s="1273">
        <v>1.08185847</v>
      </c>
      <c r="S555" s="1273">
        <v>1.6767000000000001</v>
      </c>
      <c r="T555" s="1275">
        <v>0.54097792350000007</v>
      </c>
      <c r="U555" s="1374"/>
      <c r="V555" s="1374"/>
      <c r="W555" s="643"/>
      <c r="X555" s="643"/>
      <c r="Y555" s="643"/>
      <c r="Z555" s="643"/>
      <c r="AA555" s="643"/>
      <c r="AB555" s="643"/>
      <c r="AC555" s="643"/>
      <c r="AD555" s="1374"/>
      <c r="AE555" s="1374"/>
      <c r="AF555" s="1374"/>
      <c r="AG555" s="206"/>
      <c r="AH555" s="1374"/>
      <c r="AI555" s="1374"/>
      <c r="AJ555" s="1374"/>
      <c r="AK555" s="1374"/>
      <c r="AL555" s="1374"/>
      <c r="AM555" s="1374"/>
      <c r="AN555" s="1374"/>
      <c r="AO555" s="1439"/>
    </row>
    <row r="556" spans="1:41" ht="18" x14ac:dyDescent="0.3">
      <c r="A556" s="1218"/>
      <c r="B556" s="1219"/>
      <c r="C556" s="1219"/>
      <c r="D556" s="1219"/>
      <c r="E556" s="990"/>
      <c r="F556" s="1374"/>
      <c r="G556" s="1374"/>
      <c r="H556" s="642"/>
      <c r="I556" s="1374"/>
      <c r="J556" s="1389"/>
      <c r="K556" s="643"/>
      <c r="L556" s="1104"/>
      <c r="M556" s="1077">
        <v>43191</v>
      </c>
      <c r="N556" s="1267">
        <v>13.637199926636999</v>
      </c>
      <c r="O556" s="1267">
        <v>6.8</v>
      </c>
      <c r="P556" s="1271">
        <v>1.9462999999999999</v>
      </c>
      <c r="Q556" s="1273">
        <v>1.069</v>
      </c>
      <c r="R556" s="1273">
        <v>1.2986640539400001</v>
      </c>
      <c r="S556" s="1273">
        <v>1.8738454</v>
      </c>
      <c r="T556" s="1275">
        <v>0.64939047269700012</v>
      </c>
      <c r="U556" s="1374"/>
      <c r="V556" s="1374"/>
      <c r="W556" s="643"/>
      <c r="X556" s="643"/>
      <c r="Y556" s="643"/>
      <c r="Z556" s="643"/>
      <c r="AA556" s="643"/>
      <c r="AB556" s="643"/>
      <c r="AC556" s="643"/>
      <c r="AD556" s="1374"/>
      <c r="AE556" s="1374"/>
      <c r="AF556" s="1374"/>
      <c r="AG556" s="206"/>
      <c r="AH556" s="1374"/>
      <c r="AI556" s="1374"/>
      <c r="AJ556" s="1374"/>
      <c r="AK556" s="1374"/>
      <c r="AL556" s="1374"/>
      <c r="AM556" s="1374"/>
      <c r="AN556" s="1374"/>
      <c r="AO556" s="1439"/>
    </row>
    <row r="557" spans="1:41" ht="18" x14ac:dyDescent="0.3">
      <c r="A557" s="1218"/>
      <c r="B557" s="1219"/>
      <c r="C557" s="1219"/>
      <c r="D557" s="1219"/>
      <c r="E557" s="990"/>
      <c r="F557" s="1374"/>
      <c r="G557" s="1374"/>
      <c r="H557" s="642"/>
      <c r="I557" s="1374"/>
      <c r="J557" s="1389"/>
      <c r="K557" s="643"/>
      <c r="L557" s="1104"/>
      <c r="M557" s="1077">
        <v>43221</v>
      </c>
      <c r="N557" s="1267">
        <v>12.197547656636996</v>
      </c>
      <c r="O557" s="1267">
        <v>5.5659999999999998</v>
      </c>
      <c r="P557" s="1271">
        <v>1.9462999999999999</v>
      </c>
      <c r="Q557" s="1273">
        <v>1.069</v>
      </c>
      <c r="R557" s="1273">
        <v>1.16156665394</v>
      </c>
      <c r="S557" s="1273">
        <v>1.8738454</v>
      </c>
      <c r="T557" s="1275">
        <v>0.58083560269699996</v>
      </c>
      <c r="U557" s="1374"/>
      <c r="V557" s="1374"/>
      <c r="W557" s="643"/>
      <c r="X557" s="643"/>
      <c r="Y557" s="643"/>
      <c r="Z557" s="643"/>
      <c r="AA557" s="643"/>
      <c r="AB557" s="643"/>
      <c r="AC557" s="643"/>
      <c r="AD557" s="1374"/>
      <c r="AE557" s="1374"/>
      <c r="AF557" s="1374"/>
      <c r="AG557" s="206"/>
      <c r="AH557" s="1374"/>
      <c r="AI557" s="1374"/>
      <c r="AJ557" s="1374"/>
      <c r="AK557" s="1374"/>
      <c r="AL557" s="1374"/>
      <c r="AM557" s="1374"/>
      <c r="AN557" s="1374"/>
      <c r="AO557" s="1439"/>
    </row>
    <row r="558" spans="1:41" ht="18" x14ac:dyDescent="0.3">
      <c r="A558" s="1218"/>
      <c r="B558" s="1219"/>
      <c r="C558" s="1219"/>
      <c r="D558" s="1219"/>
      <c r="E558" s="990"/>
      <c r="F558" s="1374"/>
      <c r="G558" s="1374"/>
      <c r="H558" s="642"/>
      <c r="I558" s="1374"/>
      <c r="J558" s="1389"/>
      <c r="K558" s="643"/>
      <c r="L558" s="1104"/>
      <c r="M558" s="1077">
        <v>43252</v>
      </c>
      <c r="N558" s="1267">
        <v>11.609553536636998</v>
      </c>
      <c r="O558" s="1267">
        <v>5.0620000000000003</v>
      </c>
      <c r="P558" s="1271">
        <v>1.9462999999999999</v>
      </c>
      <c r="Q558" s="1273">
        <v>1.069</v>
      </c>
      <c r="R558" s="1273">
        <v>1.1055722539400001</v>
      </c>
      <c r="S558" s="1273">
        <v>1.8738454</v>
      </c>
      <c r="T558" s="1275">
        <v>0.55283588269700012</v>
      </c>
      <c r="U558" s="575"/>
      <c r="V558" s="575"/>
      <c r="W558" s="1083"/>
      <c r="X558" s="643"/>
      <c r="Y558" s="643"/>
      <c r="Z558" s="643"/>
      <c r="AA558" s="643"/>
      <c r="AB558" s="643"/>
      <c r="AC558" s="643"/>
      <c r="AD558" s="1374"/>
      <c r="AE558" s="1374"/>
      <c r="AF558" s="1374"/>
      <c r="AG558" s="206"/>
      <c r="AH558" s="1374"/>
      <c r="AI558" s="1374"/>
      <c r="AJ558" s="1374"/>
      <c r="AK558" s="1374"/>
      <c r="AL558" s="1374"/>
      <c r="AM558" s="1374"/>
      <c r="AN558" s="1374"/>
      <c r="AO558" s="1439"/>
    </row>
    <row r="559" spans="1:41" ht="15" customHeight="1" x14ac:dyDescent="0.3">
      <c r="A559" s="1373"/>
      <c r="B559" s="1374"/>
      <c r="C559" s="1374"/>
      <c r="D559" s="1374"/>
      <c r="E559" s="911"/>
      <c r="F559" s="1374"/>
      <c r="G559" s="1374"/>
      <c r="H559" s="1374"/>
      <c r="I559" s="1374"/>
      <c r="J559" s="1374"/>
      <c r="K559" s="1374"/>
      <c r="L559" s="1104"/>
      <c r="M559" s="1077">
        <v>43282</v>
      </c>
      <c r="N559" s="1267">
        <v>13.663602845938501</v>
      </c>
      <c r="O559" s="1267">
        <v>6.8</v>
      </c>
      <c r="P559" s="1271">
        <v>1.9462999999999999</v>
      </c>
      <c r="Q559" s="1273">
        <v>1.069</v>
      </c>
      <c r="R559" s="1273">
        <v>1.3011783913700001</v>
      </c>
      <c r="S559" s="1273">
        <v>1.8964767</v>
      </c>
      <c r="T559" s="1275">
        <v>0.65064775456849999</v>
      </c>
      <c r="U559" s="1005"/>
      <c r="V559" s="1005"/>
      <c r="W559" s="1005"/>
      <c r="X559" s="1374"/>
      <c r="Y559" s="1374"/>
      <c r="Z559" s="1374"/>
      <c r="AA559" s="1374"/>
      <c r="AB559" s="1374"/>
      <c r="AC559" s="1374"/>
      <c r="AD559" s="1374"/>
      <c r="AE559" s="1374"/>
      <c r="AF559" s="1374"/>
      <c r="AG559" s="1374"/>
      <c r="AH559" s="1374"/>
      <c r="AI559" s="1374"/>
      <c r="AJ559" s="1374"/>
      <c r="AK559" s="1374"/>
      <c r="AL559" s="1374"/>
      <c r="AM559" s="1374"/>
      <c r="AN559" s="1374"/>
      <c r="AO559" s="1439"/>
    </row>
    <row r="560" spans="1:41" ht="15.75" customHeight="1" x14ac:dyDescent="0.3">
      <c r="E560" s="991"/>
      <c r="F560" s="1374"/>
      <c r="G560" s="1374"/>
      <c r="H560" s="1374"/>
      <c r="I560" s="1374"/>
      <c r="J560" s="1374"/>
      <c r="K560" s="1374"/>
      <c r="L560" s="1104"/>
      <c r="M560" s="1077">
        <v>43313</v>
      </c>
      <c r="N560" s="1267">
        <v>13.663602845938501</v>
      </c>
      <c r="O560" s="1267">
        <v>6.8</v>
      </c>
      <c r="P560" s="1271">
        <v>1.9462999999999999</v>
      </c>
      <c r="Q560" s="1273">
        <v>1.069</v>
      </c>
      <c r="R560" s="1273">
        <v>1.3011783913700001</v>
      </c>
      <c r="S560" s="1273">
        <v>1.8964767</v>
      </c>
      <c r="T560" s="1275">
        <v>0.65064775456849999</v>
      </c>
      <c r="U560" s="1005"/>
      <c r="V560" s="1005"/>
      <c r="W560" s="1005"/>
      <c r="X560" s="1374"/>
      <c r="Y560" s="1374"/>
      <c r="Z560" s="1374"/>
      <c r="AA560" s="1374"/>
      <c r="AB560" s="1374"/>
      <c r="AC560" s="1374"/>
      <c r="AD560" s="1374"/>
      <c r="AE560" s="1374"/>
      <c r="AF560" s="1374"/>
      <c r="AG560" s="1374"/>
      <c r="AH560" s="1374"/>
      <c r="AI560" s="1374"/>
      <c r="AJ560" s="1374"/>
      <c r="AK560" s="1374"/>
      <c r="AL560" s="1374"/>
      <c r="AM560" s="1374"/>
      <c r="AN560" s="1374"/>
      <c r="AO560" s="1439"/>
    </row>
    <row r="561" spans="1:41" x14ac:dyDescent="0.3">
      <c r="E561" s="911"/>
      <c r="F561" s="1374"/>
      <c r="G561" s="1374"/>
      <c r="H561" s="1374"/>
      <c r="I561" s="1374"/>
      <c r="J561" s="1374"/>
      <c r="K561" s="1374"/>
      <c r="L561" s="1104"/>
      <c r="M561" s="1077">
        <v>43344</v>
      </c>
      <c r="N561" s="1267">
        <v>13.663602845938501</v>
      </c>
      <c r="O561" s="1267">
        <v>6.8</v>
      </c>
      <c r="P561" s="1271">
        <v>1.9462999999999999</v>
      </c>
      <c r="Q561" s="1273">
        <v>1.069</v>
      </c>
      <c r="R561" s="1273">
        <v>1.3011783913700001</v>
      </c>
      <c r="S561" s="1273">
        <v>1.8964767</v>
      </c>
      <c r="T561" s="1275">
        <v>0.65064775456849999</v>
      </c>
      <c r="U561" s="1374"/>
      <c r="V561" s="1374"/>
      <c r="W561" s="1374"/>
      <c r="X561" s="1374"/>
      <c r="Y561" s="1374"/>
      <c r="Z561" s="1374"/>
      <c r="AA561" s="1374"/>
      <c r="AB561" s="1374"/>
      <c r="AC561" s="1374"/>
      <c r="AD561" s="1374"/>
      <c r="AE561" s="1374"/>
      <c r="AF561" s="1374"/>
      <c r="AG561" s="1374"/>
      <c r="AH561" s="1374"/>
      <c r="AI561" s="1374"/>
      <c r="AJ561" s="1374"/>
      <c r="AK561" s="1374"/>
      <c r="AL561" s="1374"/>
      <c r="AM561" s="1374"/>
      <c r="AN561" s="1374"/>
      <c r="AO561" s="1439"/>
    </row>
    <row r="562" spans="1:41" x14ac:dyDescent="0.3">
      <c r="E562" s="911"/>
      <c r="F562" s="1374"/>
      <c r="G562" s="1374"/>
      <c r="H562" s="1374"/>
      <c r="I562" s="1374"/>
      <c r="J562" s="1374"/>
      <c r="K562" s="1374"/>
      <c r="L562" s="1104"/>
      <c r="M562" s="1077">
        <v>43374</v>
      </c>
      <c r="N562" s="1267">
        <v>13.742845903499997</v>
      </c>
      <c r="O562" s="1267">
        <v>6.4139999999999997</v>
      </c>
      <c r="P562" s="1271">
        <v>1.9462999999999999</v>
      </c>
      <c r="Q562" s="1273">
        <v>1.069</v>
      </c>
      <c r="R562" s="1273">
        <v>1.3087246699999999</v>
      </c>
      <c r="S562" s="1273">
        <v>2.3504</v>
      </c>
      <c r="T562" s="1275">
        <v>0.65442123349999992</v>
      </c>
      <c r="U562" s="1374"/>
      <c r="V562" s="1374"/>
      <c r="W562" s="1374"/>
      <c r="X562" s="1374"/>
      <c r="Y562" s="1374"/>
      <c r="Z562" s="1374"/>
      <c r="AA562" s="1374"/>
      <c r="AB562" s="1374"/>
      <c r="AC562" s="1374"/>
      <c r="AD562" s="1374"/>
      <c r="AE562" s="1374"/>
      <c r="AF562" s="1374"/>
      <c r="AG562" s="1374"/>
      <c r="AH562" s="1374"/>
      <c r="AI562" s="1374"/>
      <c r="AJ562" s="1374"/>
      <c r="AK562" s="1374"/>
      <c r="AL562" s="1374"/>
      <c r="AM562" s="1374"/>
      <c r="AN562" s="1374"/>
      <c r="AO562" s="1439"/>
    </row>
    <row r="563" spans="1:41" x14ac:dyDescent="0.3">
      <c r="E563" s="911"/>
      <c r="G563" s="1374"/>
      <c r="H563" s="1374"/>
      <c r="I563" s="1374"/>
      <c r="J563" s="1374"/>
      <c r="K563" s="1374"/>
      <c r="L563" s="1104"/>
      <c r="M563" s="1077">
        <v>43405</v>
      </c>
      <c r="N563" s="1267">
        <v>13.616847163499999</v>
      </c>
      <c r="O563" s="1267">
        <v>6.306</v>
      </c>
      <c r="P563" s="1271">
        <v>1.9462999999999999</v>
      </c>
      <c r="Q563" s="1273">
        <v>1.069</v>
      </c>
      <c r="R563" s="1273">
        <v>1.2967258700000002</v>
      </c>
      <c r="S563" s="1273">
        <v>2.3504</v>
      </c>
      <c r="T563" s="1275">
        <v>0.64842129350000011</v>
      </c>
      <c r="U563" s="1374"/>
      <c r="V563" s="1374"/>
      <c r="W563" s="1374"/>
      <c r="X563" s="1374"/>
      <c r="Y563" s="1374"/>
      <c r="Z563" s="1374"/>
      <c r="AA563" s="1374"/>
      <c r="AB563" s="1374"/>
      <c r="AC563" s="1374"/>
      <c r="AD563" s="1374"/>
      <c r="AE563" s="1374"/>
      <c r="AF563" s="1374"/>
      <c r="AG563" s="1374"/>
      <c r="AH563" s="1374"/>
      <c r="AI563" s="1374"/>
      <c r="AJ563" s="1374"/>
      <c r="AK563" s="1374"/>
      <c r="AL563" s="1374"/>
      <c r="AM563" s="1374"/>
      <c r="AN563" s="1374"/>
      <c r="AO563" s="1439"/>
    </row>
    <row r="564" spans="1:41" ht="14.25" customHeight="1" x14ac:dyDescent="0.3">
      <c r="E564" s="911"/>
      <c r="G564" s="1374"/>
      <c r="H564" s="1374"/>
      <c r="I564" s="1374"/>
      <c r="J564" s="1374"/>
      <c r="K564" s="1374"/>
      <c r="L564" s="1104"/>
      <c r="M564" s="1077">
        <v>43435</v>
      </c>
      <c r="N564" s="1267">
        <v>14.193174733499999</v>
      </c>
      <c r="O564" s="1267">
        <v>6.8</v>
      </c>
      <c r="P564" s="1271">
        <v>1.9462999999999999</v>
      </c>
      <c r="Q564" s="1273">
        <v>1.069</v>
      </c>
      <c r="R564" s="1273">
        <v>1.3516092700000002</v>
      </c>
      <c r="S564" s="1273">
        <v>2.3504</v>
      </c>
      <c r="T564" s="1275">
        <v>0.6758654635000001</v>
      </c>
      <c r="U564" s="1374"/>
      <c r="V564" s="1374"/>
      <c r="W564" s="1374"/>
      <c r="X564" s="1374"/>
      <c r="Y564" s="1374"/>
      <c r="Z564" s="1374"/>
      <c r="AA564" s="1374"/>
      <c r="AB564" s="1374"/>
      <c r="AC564" s="1374"/>
      <c r="AD564" s="1374"/>
      <c r="AE564" s="1374"/>
      <c r="AF564" s="1374"/>
      <c r="AG564" s="1374"/>
      <c r="AH564" s="1374"/>
      <c r="AI564" s="1374"/>
      <c r="AJ564" s="1374"/>
      <c r="AK564" s="1374"/>
      <c r="AL564" s="1374"/>
      <c r="AM564" s="1374"/>
      <c r="AN564" s="1374"/>
      <c r="AO564" s="1439"/>
    </row>
    <row r="565" spans="1:41" ht="15" customHeight="1" x14ac:dyDescent="0.3">
      <c r="E565" s="992"/>
      <c r="G565" s="1374"/>
      <c r="H565" s="1374"/>
      <c r="I565" s="1374"/>
      <c r="J565" s="1374"/>
      <c r="K565" s="1374"/>
      <c r="L565" s="1374"/>
      <c r="S565" s="1374"/>
      <c r="T565" s="1374"/>
      <c r="U565" s="1374"/>
      <c r="V565" s="1374"/>
      <c r="W565" s="1374"/>
      <c r="X565" s="1374"/>
      <c r="Y565" s="1374"/>
      <c r="Z565" s="1374"/>
      <c r="AA565" s="1374"/>
      <c r="AB565" s="1374"/>
      <c r="AC565" s="1374"/>
      <c r="AD565" s="1374"/>
      <c r="AE565" s="1374"/>
      <c r="AF565" s="1374"/>
      <c r="AG565" s="1374"/>
      <c r="AH565" s="1374"/>
      <c r="AI565" s="1374"/>
      <c r="AJ565" s="1374"/>
      <c r="AK565" s="1374"/>
      <c r="AL565" s="1374"/>
      <c r="AM565" s="1374"/>
      <c r="AN565" s="1374"/>
      <c r="AO565" s="1439"/>
    </row>
    <row r="566" spans="1:41" x14ac:dyDescent="0.3">
      <c r="E566" s="993"/>
      <c r="G566" s="1374"/>
      <c r="H566" s="1374"/>
      <c r="I566" s="1374"/>
      <c r="J566" s="1374"/>
      <c r="K566" s="1374"/>
      <c r="L566" s="1374"/>
      <c r="S566" s="1374"/>
      <c r="T566" s="1374"/>
      <c r="U566" s="1374"/>
      <c r="V566" s="1374"/>
      <c r="W566" s="1374"/>
      <c r="X566" s="1374"/>
      <c r="Y566" s="1374"/>
      <c r="Z566" s="1374"/>
      <c r="AA566" s="1374"/>
      <c r="AB566" s="1374"/>
      <c r="AC566" s="1374"/>
      <c r="AD566" s="1374"/>
      <c r="AE566" s="1374"/>
      <c r="AF566" s="1374"/>
      <c r="AG566" s="1374"/>
      <c r="AH566" s="1374"/>
      <c r="AI566" s="1374"/>
      <c r="AJ566" s="1374"/>
      <c r="AK566" s="1374"/>
      <c r="AL566" s="1374"/>
      <c r="AM566" s="1374"/>
      <c r="AN566" s="1374"/>
      <c r="AO566" s="1439"/>
    </row>
    <row r="567" spans="1:41" x14ac:dyDescent="0.3">
      <c r="A567" s="1006"/>
      <c r="B567" s="994"/>
      <c r="C567" s="994"/>
      <c r="D567" s="994"/>
      <c r="E567" s="995"/>
      <c r="G567" s="1374"/>
      <c r="H567" s="1374"/>
      <c r="I567" s="1374"/>
      <c r="J567" s="1374"/>
      <c r="K567" s="1374"/>
      <c r="L567" s="1374"/>
      <c r="S567" s="1374"/>
      <c r="T567" s="1374"/>
      <c r="U567" s="1374"/>
      <c r="V567" s="1374"/>
      <c r="W567" s="1374"/>
      <c r="X567" s="1374"/>
      <c r="Y567" s="1374"/>
      <c r="Z567" s="1374"/>
      <c r="AA567" s="1374"/>
      <c r="AB567" s="1374"/>
      <c r="AC567" s="1374"/>
      <c r="AD567" s="1374"/>
      <c r="AE567" s="1374"/>
      <c r="AF567" s="1374"/>
      <c r="AG567" s="1374"/>
      <c r="AH567" s="1374"/>
      <c r="AI567" s="1374"/>
      <c r="AJ567" s="1374"/>
      <c r="AK567" s="1374"/>
      <c r="AL567" s="1374"/>
      <c r="AM567" s="1374"/>
      <c r="AN567" s="1374"/>
      <c r="AO567" s="1439"/>
    </row>
    <row r="568" spans="1:41" ht="14.5" thickBot="1" x14ac:dyDescent="0.35">
      <c r="G568" s="1374"/>
      <c r="H568" s="1374"/>
      <c r="I568" s="1374"/>
      <c r="J568" s="1374"/>
      <c r="K568" s="1374"/>
      <c r="L568" s="1374"/>
      <c r="S568" s="1374"/>
      <c r="T568" s="1374"/>
      <c r="U568" s="1374"/>
      <c r="V568" s="1374"/>
      <c r="W568" s="1374"/>
      <c r="X568" s="1374"/>
      <c r="Y568" s="1374"/>
      <c r="Z568" s="1374"/>
      <c r="AA568" s="1374"/>
      <c r="AB568" s="1374"/>
      <c r="AC568" s="1374"/>
      <c r="AD568" s="1374"/>
      <c r="AE568" s="1374"/>
      <c r="AF568" s="1374"/>
      <c r="AG568" s="1374"/>
      <c r="AH568" s="1374"/>
      <c r="AI568" s="1374"/>
      <c r="AJ568" s="1374"/>
      <c r="AK568" s="1374"/>
      <c r="AL568" s="1374"/>
      <c r="AM568" s="1374"/>
      <c r="AN568" s="1374"/>
      <c r="AO568" s="1439"/>
    </row>
    <row r="569" spans="1:41" ht="14.5" thickBot="1" x14ac:dyDescent="0.35">
      <c r="A569" s="1008"/>
      <c r="B569" s="996"/>
      <c r="C569" s="996"/>
      <c r="D569" s="996"/>
      <c r="E569" s="997"/>
      <c r="F569" s="909"/>
      <c r="G569" s="1374"/>
      <c r="H569" s="1374"/>
      <c r="I569" s="1374"/>
      <c r="J569" s="1374"/>
      <c r="K569" s="1374"/>
      <c r="L569" s="1374"/>
      <c r="M569" s="2649" t="s">
        <v>667</v>
      </c>
      <c r="N569" s="2650"/>
      <c r="O569" s="2650"/>
      <c r="P569" s="2650"/>
      <c r="Q569" s="2650"/>
      <c r="R569" s="2651"/>
      <c r="S569" s="1374"/>
      <c r="T569" s="1374"/>
      <c r="U569" s="1374"/>
      <c r="V569" s="1374"/>
      <c r="W569" s="1374"/>
      <c r="X569" s="1374"/>
      <c r="Y569" s="1374"/>
      <c r="Z569" s="1374"/>
      <c r="AA569" s="1374"/>
      <c r="AB569" s="1374"/>
      <c r="AC569" s="1374"/>
      <c r="AD569" s="1374"/>
      <c r="AE569" s="1374"/>
      <c r="AF569" s="1374"/>
      <c r="AG569" s="1374"/>
      <c r="AH569" s="1374"/>
      <c r="AI569" s="1374"/>
      <c r="AJ569" s="1374"/>
      <c r="AK569" s="1374"/>
      <c r="AL569" s="1374"/>
      <c r="AM569" s="1374"/>
      <c r="AN569" s="1374"/>
      <c r="AO569" s="1439"/>
    </row>
    <row r="570" spans="1:41" ht="14.5" thickBot="1" x14ac:dyDescent="0.35">
      <c r="A570" s="2667" t="s">
        <v>546</v>
      </c>
      <c r="B570" s="2668"/>
      <c r="C570" s="2668"/>
      <c r="D570" s="2668"/>
      <c r="E570" s="2669"/>
      <c r="F570" s="911"/>
      <c r="G570" s="1374"/>
      <c r="H570" s="1374"/>
      <c r="I570" s="1374"/>
      <c r="J570" s="1374"/>
      <c r="K570" s="1374"/>
      <c r="L570" s="1374"/>
      <c r="M570" s="2652"/>
      <c r="N570" s="2653"/>
      <c r="O570" s="2653"/>
      <c r="P570" s="2653"/>
      <c r="Q570" s="2653"/>
      <c r="R570" s="2654"/>
      <c r="S570" s="1374"/>
      <c r="T570" s="1374"/>
      <c r="U570" s="1374"/>
      <c r="V570" s="1374"/>
      <c r="W570" s="1374"/>
      <c r="X570" s="1374"/>
      <c r="Y570" s="1374"/>
      <c r="Z570" s="1374"/>
      <c r="AA570" s="1374"/>
      <c r="AB570" s="1374"/>
      <c r="AC570" s="1374"/>
      <c r="AD570" s="1374"/>
      <c r="AE570" s="1374"/>
      <c r="AF570" s="1374"/>
      <c r="AG570" s="1374"/>
      <c r="AH570" s="1374"/>
      <c r="AI570" s="1374"/>
      <c r="AJ570" s="1374"/>
      <c r="AK570" s="1374"/>
      <c r="AL570" s="1374"/>
      <c r="AM570" s="1374"/>
      <c r="AN570" s="1374"/>
      <c r="AO570" s="1439"/>
    </row>
    <row r="571" spans="1:41" ht="14.5" thickBot="1" x14ac:dyDescent="0.35">
      <c r="A571" s="2670"/>
      <c r="B571" s="2671"/>
      <c r="C571" s="2671"/>
      <c r="D571" s="2671"/>
      <c r="E571" s="2672"/>
      <c r="F571" s="911"/>
      <c r="G571" s="1374"/>
      <c r="H571" s="1374"/>
      <c r="I571" s="1374"/>
      <c r="J571" s="1374"/>
      <c r="K571" s="1374"/>
      <c r="L571" s="1374"/>
      <c r="M571" s="1374"/>
      <c r="N571" s="1374"/>
      <c r="O571" s="1374"/>
      <c r="P571" s="1374"/>
      <c r="Q571" s="1374"/>
      <c r="R571" s="1374"/>
      <c r="S571" s="1374"/>
      <c r="T571" s="1374"/>
      <c r="U571" s="1374"/>
      <c r="V571" s="1374"/>
      <c r="W571" s="1374"/>
      <c r="X571" s="1374"/>
      <c r="Y571" s="1374"/>
      <c r="Z571" s="1374"/>
      <c r="AA571" s="1374"/>
      <c r="AB571" s="1374"/>
      <c r="AC571" s="1374"/>
      <c r="AD571" s="1374"/>
      <c r="AE571" s="1374"/>
      <c r="AF571" s="1374"/>
      <c r="AG571" s="1374"/>
      <c r="AH571" s="1374"/>
      <c r="AI571" s="1374"/>
      <c r="AJ571" s="1374"/>
      <c r="AK571" s="1374"/>
      <c r="AL571" s="1374"/>
      <c r="AM571" s="1374"/>
      <c r="AN571" s="1374"/>
      <c r="AO571" s="1439"/>
    </row>
    <row r="572" spans="1:41" ht="42" x14ac:dyDescent="0.3">
      <c r="A572" s="1007"/>
      <c r="B572" s="978"/>
      <c r="C572" s="978"/>
      <c r="D572" s="978"/>
      <c r="E572" s="902"/>
      <c r="F572" s="911"/>
      <c r="G572" s="1374"/>
      <c r="H572" s="1374"/>
      <c r="I572" s="1374"/>
      <c r="J572" s="1374"/>
      <c r="K572" s="1374"/>
      <c r="L572" s="1374"/>
      <c r="M572" s="726"/>
      <c r="N572" s="1394" t="s">
        <v>54</v>
      </c>
      <c r="O572" s="1394" t="s">
        <v>55</v>
      </c>
      <c r="P572" s="1394" t="s">
        <v>56</v>
      </c>
      <c r="Q572" s="1404" t="s">
        <v>57</v>
      </c>
      <c r="R572" s="1085" t="s">
        <v>523</v>
      </c>
      <c r="S572" s="1374"/>
      <c r="T572" s="1374"/>
      <c r="U572" s="1374"/>
      <c r="V572" s="1374"/>
      <c r="W572" s="1374"/>
      <c r="X572" s="1374"/>
      <c r="Y572" s="1374"/>
      <c r="Z572" s="1374"/>
      <c r="AA572" s="1374"/>
      <c r="AB572" s="1374"/>
      <c r="AC572" s="1374"/>
      <c r="AD572" s="1374"/>
      <c r="AE572" s="1374"/>
      <c r="AF572" s="1374"/>
      <c r="AG572" s="1374"/>
      <c r="AH572" s="1374"/>
      <c r="AI572" s="1374"/>
      <c r="AJ572" s="1374"/>
      <c r="AK572" s="1374"/>
      <c r="AL572" s="1374"/>
      <c r="AM572" s="1374"/>
      <c r="AN572" s="1374"/>
      <c r="AO572" s="1439"/>
    </row>
    <row r="573" spans="1:41" x14ac:dyDescent="0.3">
      <c r="A573" s="2610" t="s">
        <v>551</v>
      </c>
      <c r="B573" s="2611"/>
      <c r="C573" s="2611"/>
      <c r="D573" s="2611"/>
      <c r="E573" s="2611"/>
      <c r="F573" s="911"/>
      <c r="G573" s="1374"/>
      <c r="H573" s="1374"/>
      <c r="I573" s="1374"/>
      <c r="J573" s="1374"/>
      <c r="K573" s="1374"/>
      <c r="L573" s="1374"/>
      <c r="M573" s="728" t="s">
        <v>375</v>
      </c>
      <c r="N573" s="1348">
        <v>0.33743277829408541</v>
      </c>
      <c r="O573" s="1348">
        <v>0.34503021301758557</v>
      </c>
      <c r="P573" s="1348">
        <v>0.31405770653309406</v>
      </c>
      <c r="Q573" s="1348">
        <v>0.2107413495402399</v>
      </c>
      <c r="R573" s="1536">
        <v>0.4</v>
      </c>
      <c r="S573" s="1374"/>
      <c r="T573" s="1374"/>
      <c r="U573" s="1374"/>
      <c r="V573" s="1374"/>
      <c r="W573" s="1374"/>
      <c r="X573" s="1374"/>
      <c r="Y573" s="1374"/>
      <c r="Z573" s="1374"/>
      <c r="AA573" s="1374"/>
      <c r="AB573" s="1374"/>
      <c r="AC573" s="1374"/>
      <c r="AD573" s="1374"/>
      <c r="AE573" s="1374"/>
      <c r="AF573" s="1374"/>
      <c r="AG573" s="1374"/>
      <c r="AH573" s="1374"/>
      <c r="AI573" s="1374"/>
      <c r="AJ573" s="1374"/>
      <c r="AK573" s="1374"/>
      <c r="AL573" s="1374"/>
      <c r="AM573" s="1374"/>
      <c r="AN573" s="1374"/>
      <c r="AO573" s="1439"/>
    </row>
    <row r="574" spans="1:41" x14ac:dyDescent="0.3">
      <c r="A574" s="1401"/>
      <c r="B574" s="1398" t="s">
        <v>54</v>
      </c>
      <c r="C574" s="1398" t="s">
        <v>55</v>
      </c>
      <c r="D574" s="1398" t="s">
        <v>56</v>
      </c>
      <c r="E574" s="1398" t="s">
        <v>57</v>
      </c>
      <c r="F574" s="911"/>
      <c r="G574" s="1374"/>
      <c r="H574" s="1374"/>
      <c r="I574" s="1374"/>
      <c r="J574" s="1374"/>
      <c r="K574" s="1374"/>
      <c r="L574" s="1374"/>
      <c r="M574" s="728" t="s">
        <v>58</v>
      </c>
      <c r="N574" s="1348">
        <v>0.10854782681442292</v>
      </c>
      <c r="O574" s="1348">
        <v>0.17437852519944863</v>
      </c>
      <c r="P574" s="1348">
        <v>0.19615333183685199</v>
      </c>
      <c r="Q574" s="1348">
        <v>0.13209567553625307</v>
      </c>
      <c r="R574" s="1536">
        <v>0.2</v>
      </c>
      <c r="S574" s="1374"/>
      <c r="T574" s="1374"/>
      <c r="U574" s="1374"/>
      <c r="V574" s="1374"/>
      <c r="W574" s="1374"/>
      <c r="X574" s="1374"/>
      <c r="Y574" s="1374"/>
      <c r="Z574" s="1374"/>
      <c r="AA574" s="1374"/>
      <c r="AB574" s="1374"/>
      <c r="AC574" s="1374"/>
      <c r="AD574" s="1374"/>
      <c r="AE574" s="1374"/>
      <c r="AF574" s="1374"/>
      <c r="AG574" s="1374"/>
      <c r="AH574" s="1374"/>
      <c r="AI574" s="1374"/>
      <c r="AJ574" s="1374"/>
      <c r="AK574" s="1374"/>
      <c r="AL574" s="1374"/>
      <c r="AM574" s="1374"/>
      <c r="AN574" s="1374"/>
      <c r="AO574" s="1439"/>
    </row>
    <row r="575" spans="1:41" x14ac:dyDescent="0.3">
      <c r="A575" s="1393">
        <v>2012</v>
      </c>
      <c r="B575" s="903">
        <f ca="1">AVERAGE(INDIRECT("'"&amp;B$574&amp;"'!E7:E18"))</f>
        <v>15.133343109500002</v>
      </c>
      <c r="C575" s="903">
        <f ca="1">AVERAGE(INDIRECT("'"&amp;C$574&amp;"'!E7:E18"))</f>
        <v>13.7447625</v>
      </c>
      <c r="D575" s="903">
        <f ca="1">AVERAGE(INDIRECT("'"&amp;D$574&amp;"'!E7:E18"))</f>
        <v>15.225146293</v>
      </c>
      <c r="E575" s="903">
        <f ca="1">AVERAGE(INDIRECT("'"&amp;E$574&amp;"'!E7:E18"))</f>
        <v>19.768141049999997</v>
      </c>
      <c r="F575" s="911"/>
      <c r="G575" s="1374"/>
      <c r="H575" s="1374"/>
      <c r="I575" s="1374"/>
      <c r="J575" s="1374"/>
      <c r="K575" s="1374"/>
      <c r="L575" s="1374"/>
      <c r="M575" s="728" t="s">
        <v>376</v>
      </c>
      <c r="N575" s="1348">
        <v>0.23203348381363642</v>
      </c>
      <c r="O575" s="1348">
        <v>0.28480787247042666</v>
      </c>
      <c r="P575" s="1348">
        <v>0.30953385451617371</v>
      </c>
      <c r="Q575" s="1348">
        <v>0.4677762589528589</v>
      </c>
      <c r="R575" s="1536">
        <v>0.35</v>
      </c>
      <c r="S575" s="1374"/>
      <c r="T575" s="1374"/>
      <c r="U575" s="1374"/>
      <c r="V575" s="1374"/>
      <c r="W575" s="1374"/>
      <c r="X575" s="1374"/>
      <c r="Y575" s="1374"/>
      <c r="Z575" s="1374"/>
      <c r="AA575" s="1374"/>
      <c r="AB575" s="1374"/>
      <c r="AC575" s="1374"/>
      <c r="AD575" s="1374"/>
      <c r="AE575" s="1374"/>
      <c r="AF575" s="1374"/>
      <c r="AG575" s="1374"/>
      <c r="AH575" s="1374"/>
      <c r="AI575" s="1374"/>
      <c r="AJ575" s="1374"/>
      <c r="AK575" s="1374"/>
      <c r="AL575" s="1374"/>
      <c r="AM575" s="1374"/>
      <c r="AN575" s="1374"/>
      <c r="AO575" s="1439"/>
    </row>
    <row r="576" spans="1:41" ht="28" x14ac:dyDescent="0.3">
      <c r="A576" s="1393">
        <v>2013</v>
      </c>
      <c r="B576" s="903">
        <f ca="1">AVERAGE(INDIRECT("'"&amp;B$574&amp;"'!E19:E30"))</f>
        <v>13.886577799500001</v>
      </c>
      <c r="C576" s="903">
        <f ca="1">AVERAGE(INDIRECT("'"&amp;C$574&amp;"'!E19:E30"))</f>
        <v>12.535075000000001</v>
      </c>
      <c r="D576" s="903">
        <f ca="1">AVERAGE(INDIRECT("'"&amp;D$574&amp;"'!E19:E30"))</f>
        <v>14.16340807175</v>
      </c>
      <c r="E576" s="903">
        <f ca="1">AVERAGE(INDIRECT("'"&amp;E$574&amp;"'!E19:E30"))</f>
        <v>19.5582338</v>
      </c>
      <c r="F576" s="911"/>
      <c r="G576" s="1374"/>
      <c r="H576" s="1374"/>
      <c r="I576" s="1374"/>
      <c r="J576" s="1374"/>
      <c r="K576" s="1374"/>
      <c r="L576" s="1374"/>
      <c r="M576" s="1079" t="s">
        <v>8</v>
      </c>
      <c r="N576" s="1348">
        <v>8.8096878788559985E-2</v>
      </c>
      <c r="O576" s="1348">
        <v>4.6693092698034178E-2</v>
      </c>
      <c r="P576" s="1348">
        <v>5.7948953976092732E-2</v>
      </c>
      <c r="Q576" s="1348">
        <v>5.6524504058282458E-2</v>
      </c>
      <c r="R576" s="1536">
        <v>0.05</v>
      </c>
      <c r="S576" s="1374"/>
      <c r="T576" s="1374"/>
      <c r="U576" s="1374"/>
      <c r="V576" s="1374"/>
      <c r="W576" s="1374"/>
      <c r="X576" s="1374"/>
      <c r="Y576" s="1374"/>
      <c r="Z576" s="1374"/>
      <c r="AA576" s="1374"/>
      <c r="AB576" s="1374"/>
      <c r="AC576" s="1374"/>
      <c r="AD576" s="1374"/>
      <c r="AE576" s="1374"/>
      <c r="AF576" s="1374"/>
      <c r="AG576" s="1374"/>
      <c r="AH576" s="1374"/>
      <c r="AI576" s="1374"/>
      <c r="AJ576" s="1374"/>
      <c r="AK576" s="1374"/>
      <c r="AL576" s="1374"/>
      <c r="AM576" s="1374"/>
      <c r="AN576" s="1374"/>
      <c r="AO576" s="1439"/>
    </row>
    <row r="577" spans="1:41" x14ac:dyDescent="0.3">
      <c r="A577" s="1393">
        <v>2014</v>
      </c>
      <c r="B577" s="903">
        <f ca="1">AVERAGE(INDIRECT("'"&amp;B$574&amp;"'!E31:E42"))</f>
        <v>12.930881089896003</v>
      </c>
      <c r="C577" s="903">
        <f ca="1">AVERAGE(INDIRECT("'"&amp;C$574&amp;"'!E31:E42"))</f>
        <v>11.421375000000005</v>
      </c>
      <c r="D577" s="903">
        <f ca="1">AVERAGE(INDIRECT("'"&amp;D$574&amp;"'!E31:E42"))</f>
        <v>12.933098214750004</v>
      </c>
      <c r="E577" s="903">
        <f ca="1">AVERAGE(INDIRECT("'"&amp;E$574&amp;"'!E31:E42"))</f>
        <v>19.311892249999996</v>
      </c>
      <c r="F577" s="911"/>
      <c r="G577" s="1540"/>
      <c r="H577" s="1540"/>
      <c r="I577" s="1540"/>
      <c r="J577" s="1540"/>
      <c r="K577" s="1540"/>
      <c r="L577" s="1540"/>
      <c r="M577" s="728" t="s">
        <v>9</v>
      </c>
      <c r="N577" s="1348">
        <v>0.11493711529531701</v>
      </c>
      <c r="O577" s="1348">
        <v>3.591150747090522E-2</v>
      </c>
      <c r="P577" s="1348">
        <v>2.9499968010551745E-2</v>
      </c>
      <c r="Q577" s="1348">
        <v>2.157023649855859E-2</v>
      </c>
      <c r="R577" s="949" t="s">
        <v>327</v>
      </c>
      <c r="S577" s="1540"/>
      <c r="T577" s="1540"/>
      <c r="U577" s="1540"/>
      <c r="V577" s="1540"/>
      <c r="W577" s="1540"/>
      <c r="X577" s="1540"/>
      <c r="Y577" s="1540"/>
      <c r="Z577" s="1540"/>
      <c r="AA577" s="1540"/>
      <c r="AB577" s="1540"/>
      <c r="AC577" s="1540"/>
      <c r="AD577" s="1540"/>
      <c r="AE577" s="1540"/>
      <c r="AF577" s="1540"/>
      <c r="AG577" s="1540"/>
      <c r="AH577" s="1540"/>
      <c r="AI577" s="1540"/>
      <c r="AJ577" s="1540"/>
      <c r="AK577" s="1540"/>
      <c r="AL577" s="1540"/>
      <c r="AM577" s="1540"/>
      <c r="AN577" s="1540"/>
      <c r="AO577" s="1493"/>
    </row>
    <row r="578" spans="1:41" x14ac:dyDescent="0.3">
      <c r="A578" s="1393">
        <v>2015</v>
      </c>
      <c r="B578" s="903">
        <f ca="1">AVERAGE(INDIRECT("'"&amp;B$574&amp;"'!E43:E54"))</f>
        <v>10.860911116469401</v>
      </c>
      <c r="C578" s="903">
        <f ca="1">AVERAGE(INDIRECT("'"&amp;C$574&amp;"'!E43:E54"))</f>
        <v>9.7928250000000023</v>
      </c>
      <c r="D578" s="903">
        <f ca="1">AVERAGE(INDIRECT("'"&amp;D$574&amp;"'!E43:E54"))</f>
        <v>11.328083235000001</v>
      </c>
      <c r="E578" s="903">
        <f ca="1">AVERAGE(INDIRECT("'"&amp;E$574&amp;"'!E43:E54"))</f>
        <v>17.320769375000001</v>
      </c>
      <c r="F578" s="911"/>
      <c r="G578" s="1540"/>
      <c r="H578" s="1540"/>
      <c r="I578" s="1540"/>
      <c r="J578" s="1540"/>
      <c r="K578" s="1540"/>
      <c r="L578" s="1540"/>
      <c r="M578" s="728" t="s">
        <v>377</v>
      </c>
      <c r="N578" s="1348">
        <v>7.1332869374930691E-2</v>
      </c>
      <c r="O578" s="1348">
        <v>6.5559741524552059E-2</v>
      </c>
      <c r="P578" s="1348">
        <v>4.5187137508188112E-2</v>
      </c>
      <c r="Q578" s="1348">
        <v>6.367292779475936E-2</v>
      </c>
      <c r="R578" s="949" t="s">
        <v>327</v>
      </c>
      <c r="S578" s="1540"/>
      <c r="T578" s="1540"/>
      <c r="U578" s="1540"/>
      <c r="V578" s="1540"/>
      <c r="W578" s="1540"/>
      <c r="X578" s="1540"/>
      <c r="Y578" s="1540"/>
      <c r="Z578" s="1540"/>
      <c r="AA578" s="1540"/>
      <c r="AB578" s="1540"/>
      <c r="AC578" s="1540"/>
      <c r="AD578" s="1540"/>
      <c r="AE578" s="1540"/>
      <c r="AF578" s="1540"/>
      <c r="AG578" s="1540"/>
      <c r="AH578" s="1540"/>
      <c r="AI578" s="1540"/>
      <c r="AJ578" s="1540"/>
      <c r="AK578" s="1540"/>
      <c r="AL578" s="1540"/>
      <c r="AM578" s="1540"/>
      <c r="AN578" s="1540"/>
      <c r="AO578" s="1493"/>
    </row>
    <row r="579" spans="1:41" ht="14.5" thickBot="1" x14ac:dyDescent="0.35">
      <c r="A579" s="1393">
        <v>2016</v>
      </c>
      <c r="B579" s="903">
        <f ca="1">AVERAGE(INDIRECT("'"&amp;B$574&amp;"'!E55:E66"))</f>
        <v>9.3188415328750001</v>
      </c>
      <c r="C579" s="903">
        <f ca="1">AVERAGE(INDIRECT("'"&amp;C$574&amp;"'!E55:E66"))</f>
        <v>8.674925</v>
      </c>
      <c r="D579" s="903">
        <f ca="1">AVERAGE(INDIRECT("'"&amp;D$574&amp;"'!E55:E66"))</f>
        <v>10.143225020250002</v>
      </c>
      <c r="E579" s="903">
        <f ca="1">AVERAGE(INDIRECT("'"&amp;E$574&amp;"'!E55:E66"))</f>
        <v>15.767451700000002</v>
      </c>
      <c r="F579" s="911"/>
      <c r="G579" s="1540"/>
      <c r="H579" s="1540"/>
      <c r="I579" s="1540"/>
      <c r="J579" s="1540"/>
      <c r="K579" s="1540"/>
      <c r="L579" s="1540"/>
      <c r="M579" s="1081" t="s">
        <v>21</v>
      </c>
      <c r="N579" s="1441">
        <v>4.7619047619047616E-2</v>
      </c>
      <c r="O579" s="1441">
        <v>4.7619047619047609E-2</v>
      </c>
      <c r="P579" s="1441">
        <v>4.7619047619047616E-2</v>
      </c>
      <c r="Q579" s="1441">
        <v>4.7619047619047609E-2</v>
      </c>
      <c r="R579" s="1537" t="s">
        <v>327</v>
      </c>
      <c r="S579" s="1540"/>
      <c r="T579" s="1540"/>
      <c r="U579" s="1540"/>
      <c r="V579" s="1540"/>
      <c r="W579" s="1540"/>
      <c r="X579" s="1540"/>
      <c r="Y579" s="1540"/>
      <c r="Z579" s="1540"/>
      <c r="AA579" s="1540"/>
      <c r="AB579" s="1540"/>
      <c r="AC579" s="1540"/>
      <c r="AD579" s="1540"/>
      <c r="AE579" s="1540"/>
      <c r="AF579" s="1540"/>
      <c r="AG579" s="1540"/>
      <c r="AH579" s="1540"/>
      <c r="AI579" s="1540"/>
      <c r="AJ579" s="1540"/>
      <c r="AK579" s="1540"/>
      <c r="AL579" s="1540"/>
      <c r="AM579" s="1540"/>
      <c r="AN579" s="1540"/>
      <c r="AO579" s="1493"/>
    </row>
    <row r="580" spans="1:41" x14ac:dyDescent="0.3">
      <c r="A580" s="1393">
        <v>2017</v>
      </c>
      <c r="B580" s="903">
        <f ca="1">AVERAGE(INDIRECT("'"&amp;B$574&amp;"'!E67:E78"))</f>
        <v>9.3633202547500023</v>
      </c>
      <c r="C580" s="903">
        <f ca="1">AVERAGE(INDIRECT("'"&amp;C$574&amp;"'!E67:E78"))</f>
        <v>8.6426375000000011</v>
      </c>
      <c r="D580" s="903">
        <f ca="1">AVERAGE(INDIRECT("'"&amp;D$574&amp;"'!E67:E78"))</f>
        <v>10.461411314374999</v>
      </c>
      <c r="E580" s="903">
        <f ca="1">AVERAGE(INDIRECT("'"&amp;E$574&amp;"'!E67:E78"))</f>
        <v>16.285524499999998</v>
      </c>
      <c r="F580" s="911"/>
      <c r="G580" s="1540"/>
      <c r="H580" s="1540"/>
      <c r="I580" s="1540"/>
      <c r="J580" s="1540"/>
      <c r="K580" s="1540"/>
      <c r="L580" s="1540"/>
      <c r="M580" s="1080" t="s">
        <v>522</v>
      </c>
      <c r="N580" s="1082">
        <f>SUM(N573:N579)</f>
        <v>1</v>
      </c>
      <c r="O580" s="1082">
        <f>SUM(O573:O579)</f>
        <v>0.99999999999999989</v>
      </c>
      <c r="P580" s="1082">
        <f>SUM(P573:P579)</f>
        <v>1</v>
      </c>
      <c r="Q580" s="1084">
        <f>SUM(Q573:Q579)</f>
        <v>0.99999999999999989</v>
      </c>
      <c r="R580" s="1086">
        <f>SUM(R573:R579)</f>
        <v>1</v>
      </c>
      <c r="S580" s="1540"/>
      <c r="T580" s="1540"/>
      <c r="U580" s="1540"/>
      <c r="V580" s="1540"/>
      <c r="W580" s="1540"/>
      <c r="X580" s="1540"/>
      <c r="Y580" s="1540"/>
      <c r="Z580" s="1540"/>
      <c r="AA580" s="1540"/>
      <c r="AB580" s="1540"/>
      <c r="AC580" s="1540"/>
      <c r="AD580" s="1540"/>
      <c r="AE580" s="1540"/>
      <c r="AF580" s="1540"/>
      <c r="AG580" s="1540"/>
      <c r="AH580" s="1540"/>
      <c r="AI580" s="1540"/>
      <c r="AJ580" s="1540"/>
      <c r="AK580" s="1540"/>
      <c r="AL580" s="1540"/>
      <c r="AM580" s="1540"/>
      <c r="AN580" s="1540"/>
      <c r="AO580" s="1493"/>
    </row>
    <row r="581" spans="1:41" x14ac:dyDescent="0.3">
      <c r="A581" s="1546">
        <v>2018</v>
      </c>
      <c r="B581" s="903">
        <f ca="1">AVERAGE(INDIRECT("'"&amp;B$574&amp;"'!E79:E90"))</f>
        <v>12.846423813643874</v>
      </c>
      <c r="C581" s="903">
        <f t="shared" ref="C581:E581" ca="1" si="174">AVERAGE(INDIRECT("'"&amp;C$574&amp;"'!E79:E90"))</f>
        <v>11.932899999999998</v>
      </c>
      <c r="D581" s="903">
        <f t="shared" ca="1" si="174"/>
        <v>13.700859898221774</v>
      </c>
      <c r="E581" s="903">
        <f t="shared" ca="1" si="174"/>
        <v>19.658238075000003</v>
      </c>
      <c r="F581" s="911"/>
      <c r="G581" s="1540"/>
      <c r="H581" s="1540"/>
      <c r="I581" s="1540"/>
      <c r="J581" s="1540"/>
      <c r="K581" s="1540"/>
      <c r="L581" s="1540"/>
      <c r="M581" s="1540"/>
      <c r="N581" s="1540"/>
      <c r="O581" s="1540"/>
      <c r="P581" s="1540"/>
      <c r="Q581" s="1540"/>
      <c r="R581" s="1540"/>
      <c r="S581" s="1540"/>
      <c r="T581" s="1540"/>
      <c r="U581" s="1540"/>
      <c r="V581" s="1540"/>
      <c r="W581" s="1540"/>
      <c r="X581" s="1540"/>
      <c r="Y581" s="1540"/>
      <c r="Z581" s="1540"/>
      <c r="AA581" s="1540"/>
      <c r="AB581" s="1540"/>
      <c r="AC581" s="1540"/>
      <c r="AD581" s="1540"/>
      <c r="AE581" s="1540"/>
      <c r="AF581" s="1540"/>
      <c r="AG581" s="1540"/>
      <c r="AH581" s="1540"/>
      <c r="AI581" s="1540"/>
      <c r="AJ581" s="1540"/>
      <c r="AK581" s="1540"/>
      <c r="AL581" s="1540"/>
      <c r="AM581" s="1540"/>
      <c r="AN581" s="1540"/>
      <c r="AO581" s="1493"/>
    </row>
    <row r="582" spans="1:41" x14ac:dyDescent="0.3">
      <c r="A582" s="1004" t="s">
        <v>666</v>
      </c>
      <c r="B582" s="904">
        <f ca="1">B581-B575</f>
        <v>-2.2869192958561282</v>
      </c>
      <c r="C582" s="904">
        <f t="shared" ref="C582" ca="1" si="175">C581-C575</f>
        <v>-1.8118625000000019</v>
      </c>
      <c r="D582" s="904">
        <f ca="1">D581-D575</f>
        <v>-1.5242863947782261</v>
      </c>
      <c r="E582" s="904">
        <f ca="1">E581-E575</f>
        <v>-0.10990297499999357</v>
      </c>
      <c r="F582" s="911"/>
      <c r="G582" s="1540"/>
      <c r="H582" s="1540"/>
      <c r="I582" s="1540"/>
      <c r="J582" s="1540"/>
      <c r="K582" s="1540"/>
      <c r="L582" s="1540"/>
      <c r="M582" s="1540"/>
      <c r="N582" s="1540"/>
      <c r="O582" s="1540"/>
      <c r="P582" s="1540"/>
      <c r="Q582" s="1540"/>
      <c r="R582" s="1540"/>
      <c r="S582" s="1540"/>
      <c r="T582" s="1540"/>
      <c r="U582" s="1540"/>
      <c r="V582" s="1540"/>
      <c r="W582" s="1540"/>
      <c r="X582" s="1540"/>
      <c r="Y582" s="1540"/>
      <c r="Z582" s="1540"/>
      <c r="AA582" s="1540"/>
      <c r="AB582" s="1540"/>
      <c r="AC582" s="1540"/>
      <c r="AD582" s="1540"/>
      <c r="AE582" s="1540"/>
      <c r="AF582" s="1540"/>
      <c r="AG582" s="1540"/>
      <c r="AH582" s="1540"/>
      <c r="AI582" s="1540"/>
      <c r="AJ582" s="1540"/>
      <c r="AK582" s="1540"/>
      <c r="AL582" s="1540"/>
      <c r="AM582" s="1540"/>
      <c r="AN582" s="1540"/>
      <c r="AO582" s="1493"/>
    </row>
    <row r="583" spans="1:41" x14ac:dyDescent="0.3">
      <c r="A583" s="1006"/>
      <c r="B583" s="994"/>
      <c r="C583" s="994"/>
      <c r="D583" s="994"/>
      <c r="E583" s="998"/>
      <c r="F583" s="919"/>
      <c r="G583" s="1540"/>
      <c r="H583" s="1540"/>
      <c r="I583" s="1540"/>
      <c r="J583" s="1540"/>
      <c r="K583" s="1540"/>
      <c r="L583" s="1540"/>
      <c r="M583" s="1540"/>
      <c r="N583" s="1540"/>
      <c r="O583" s="1540"/>
      <c r="P583" s="1540"/>
      <c r="Q583" s="1540"/>
      <c r="R583" s="1540"/>
      <c r="S583" s="1540"/>
      <c r="T583" s="1540"/>
      <c r="U583" s="1540"/>
      <c r="V583" s="1540"/>
      <c r="W583" s="1540"/>
      <c r="X583" s="1540"/>
      <c r="Y583" s="1540"/>
      <c r="Z583" s="1540"/>
      <c r="AA583" s="1540"/>
      <c r="AB583" s="1540"/>
      <c r="AC583" s="1540"/>
      <c r="AD583" s="1540"/>
      <c r="AE583" s="1540"/>
      <c r="AF583" s="1540"/>
      <c r="AG583" s="1540"/>
      <c r="AH583" s="1540"/>
      <c r="AI583" s="1540"/>
      <c r="AJ583" s="1540"/>
      <c r="AK583" s="1540"/>
      <c r="AL583" s="1540"/>
      <c r="AM583" s="1540"/>
      <c r="AN583" s="1540"/>
      <c r="AO583" s="1493"/>
    </row>
    <row r="584" spans="1:41" x14ac:dyDescent="0.3">
      <c r="A584" s="1007"/>
      <c r="B584" s="978"/>
      <c r="C584" s="978"/>
      <c r="D584" s="978"/>
      <c r="E584" s="902"/>
      <c r="F584" s="1374"/>
      <c r="G584" s="1374"/>
      <c r="H584" s="1374"/>
      <c r="I584" s="1374"/>
      <c r="J584" s="1374"/>
      <c r="K584" s="1374"/>
      <c r="L584" s="1374"/>
      <c r="M584" s="1374"/>
      <c r="N584" s="1374"/>
      <c r="O584" s="1374"/>
      <c r="P584" s="1374"/>
      <c r="Q584" s="1374"/>
      <c r="R584" s="1374"/>
      <c r="S584" s="1374"/>
      <c r="T584" s="1374"/>
      <c r="U584" s="1374"/>
      <c r="V584" s="1374"/>
      <c r="W584" s="1374"/>
      <c r="X584" s="1374"/>
      <c r="Y584" s="1374"/>
      <c r="Z584" s="1374"/>
      <c r="AA584" s="1374"/>
      <c r="AB584" s="1374"/>
      <c r="AC584" s="1374"/>
      <c r="AD584" s="1374"/>
      <c r="AE584" s="1374"/>
      <c r="AF584" s="1374"/>
      <c r="AG584" s="1374"/>
      <c r="AH584" s="1374"/>
      <c r="AI584" s="1374"/>
      <c r="AJ584" s="1374"/>
      <c r="AK584" s="1374"/>
      <c r="AL584" s="1374"/>
      <c r="AM584" s="1374"/>
      <c r="AN584" s="1374"/>
      <c r="AO584" s="1439"/>
    </row>
    <row r="585" spans="1:41" ht="14.5" thickBot="1" x14ac:dyDescent="0.35">
      <c r="A585" s="1009"/>
      <c r="B585" s="1010"/>
      <c r="C585" s="1010"/>
      <c r="D585" s="1010"/>
      <c r="E585" s="1011"/>
      <c r="F585" s="1378"/>
      <c r="G585" s="1378"/>
      <c r="H585" s="1378"/>
      <c r="I585" s="1378"/>
      <c r="J585" s="1378"/>
      <c r="K585" s="1378"/>
      <c r="L585" s="1378"/>
      <c r="M585" s="1378"/>
      <c r="N585" s="1378"/>
      <c r="O585" s="1378"/>
      <c r="P585" s="1378"/>
      <c r="Q585" s="1378"/>
      <c r="R585" s="1378"/>
      <c r="S585" s="1378"/>
      <c r="T585" s="1378"/>
      <c r="U585" s="1378"/>
      <c r="V585" s="1378"/>
      <c r="W585" s="1378"/>
      <c r="X585" s="1378"/>
      <c r="Y585" s="1378"/>
      <c r="Z585" s="1378"/>
      <c r="AA585" s="1378"/>
      <c r="AB585" s="1378"/>
      <c r="AC585" s="1378"/>
      <c r="AD585" s="1378"/>
      <c r="AE585" s="1378"/>
      <c r="AF585" s="1378"/>
      <c r="AG585" s="1378"/>
      <c r="AH585" s="1378"/>
      <c r="AI585" s="1378"/>
      <c r="AJ585" s="1378"/>
      <c r="AK585" s="1378"/>
      <c r="AL585" s="1378"/>
      <c r="AM585" s="1378"/>
      <c r="AN585" s="1378"/>
      <c r="AO585" s="1440"/>
    </row>
    <row r="586" spans="1:41" x14ac:dyDescent="0.3">
      <c r="A586" s="977"/>
      <c r="B586" s="978"/>
      <c r="C586" s="978"/>
      <c r="D586" s="978"/>
      <c r="E586" s="902"/>
      <c r="H586" s="1374"/>
      <c r="I586" s="1374"/>
      <c r="J586" s="1374"/>
      <c r="K586" s="1374"/>
      <c r="L586" s="1374"/>
      <c r="M586" s="1374"/>
      <c r="N586" s="1374"/>
      <c r="O586" s="1374"/>
      <c r="P586" s="1374"/>
      <c r="Q586" s="1374"/>
      <c r="R586" s="1374"/>
      <c r="S586" s="1374"/>
      <c r="T586" s="1374"/>
    </row>
    <row r="587" spans="1:41" ht="14.5" thickBot="1" x14ac:dyDescent="0.35">
      <c r="A587" s="977"/>
      <c r="B587" s="978"/>
      <c r="C587" s="978"/>
      <c r="D587" s="978"/>
      <c r="E587" s="902"/>
      <c r="H587" s="1374"/>
      <c r="I587" s="1374"/>
      <c r="J587" s="1374"/>
      <c r="K587" s="1374"/>
      <c r="L587" s="1374"/>
      <c r="M587" s="1374"/>
      <c r="N587" s="1374"/>
      <c r="O587" s="1374"/>
      <c r="P587" s="1374"/>
      <c r="Q587" s="1374"/>
      <c r="R587" s="1374"/>
      <c r="S587" s="1374"/>
      <c r="T587" s="1374"/>
    </row>
    <row r="588" spans="1:41" x14ac:dyDescent="0.3">
      <c r="A588" s="1015"/>
      <c r="B588" s="1016"/>
      <c r="C588" s="1016"/>
      <c r="D588" s="1016"/>
      <c r="E588" s="1017"/>
      <c r="F588" s="1377"/>
      <c r="G588" s="1377"/>
      <c r="H588" s="1377"/>
      <c r="I588" s="1377"/>
      <c r="J588" s="1377"/>
      <c r="K588" s="1377"/>
      <c r="L588" s="1377"/>
      <c r="M588" s="1377"/>
      <c r="N588" s="1377"/>
      <c r="O588" s="1377"/>
      <c r="P588" s="1377"/>
      <c r="Q588" s="1377"/>
      <c r="R588" s="1377"/>
      <c r="S588" s="1377"/>
      <c r="T588" s="1377"/>
      <c r="U588" s="645"/>
    </row>
    <row r="589" spans="1:41" x14ac:dyDescent="0.3">
      <c r="A589" s="2681" t="s">
        <v>520</v>
      </c>
      <c r="B589" s="2682"/>
      <c r="C589" s="2682"/>
      <c r="D589" s="2682"/>
      <c r="E589" s="2682"/>
      <c r="F589" s="1374"/>
      <c r="G589" s="1374"/>
      <c r="H589" s="1374"/>
      <c r="I589" s="1374"/>
      <c r="J589" s="1374"/>
      <c r="K589" s="1374"/>
      <c r="L589" s="1374"/>
      <c r="M589" s="1374"/>
      <c r="N589" s="1374"/>
      <c r="O589" s="1374"/>
      <c r="P589" s="1374"/>
      <c r="Q589" s="1374"/>
      <c r="R589" s="1374"/>
      <c r="S589" s="1374"/>
      <c r="T589" s="1374"/>
      <c r="U589" s="1439"/>
    </row>
    <row r="590" spans="1:41" x14ac:dyDescent="0.3">
      <c r="A590" s="2681"/>
      <c r="B590" s="2682"/>
      <c r="C590" s="2682"/>
      <c r="D590" s="2682"/>
      <c r="E590" s="2682"/>
      <c r="F590" s="1374"/>
      <c r="G590" s="1374"/>
      <c r="H590" s="1374"/>
      <c r="I590" s="1374"/>
      <c r="J590" s="1374"/>
      <c r="K590" s="1374"/>
      <c r="L590" s="1374"/>
      <c r="M590" s="1374"/>
      <c r="N590" s="1374"/>
      <c r="O590" s="1374"/>
      <c r="P590" s="1374"/>
      <c r="Q590" s="1374"/>
      <c r="R590" s="1374"/>
      <c r="S590" s="1374"/>
      <c r="T590" s="1374"/>
      <c r="U590" s="1439"/>
    </row>
    <row r="591" spans="1:41" x14ac:dyDescent="0.3">
      <c r="A591" s="2681"/>
      <c r="B591" s="2682"/>
      <c r="C591" s="2682"/>
      <c r="D591" s="2682"/>
      <c r="E591" s="2682"/>
      <c r="F591" s="1374"/>
      <c r="G591" s="1374"/>
      <c r="H591" s="1374"/>
      <c r="I591" s="1374"/>
      <c r="J591" s="1374"/>
      <c r="K591" s="1374"/>
      <c r="L591" s="1374"/>
      <c r="M591" s="1374"/>
      <c r="N591" s="1374"/>
      <c r="O591" s="1374"/>
      <c r="P591" s="1374"/>
      <c r="Q591" s="1374"/>
      <c r="R591" s="1374"/>
      <c r="S591" s="1374"/>
      <c r="T591" s="1374"/>
      <c r="U591" s="1439"/>
    </row>
    <row r="592" spans="1:41" x14ac:dyDescent="0.3">
      <c r="A592" s="1007"/>
      <c r="B592" s="978"/>
      <c r="C592" s="978"/>
      <c r="D592" s="978"/>
      <c r="E592" s="902"/>
      <c r="F592" s="1374"/>
      <c r="G592" s="1374"/>
      <c r="H592" s="1374"/>
      <c r="I592" s="1374"/>
      <c r="J592" s="1374"/>
      <c r="K592" s="1374"/>
      <c r="L592" s="1374"/>
      <c r="M592" s="1374"/>
      <c r="N592" s="1374"/>
      <c r="O592" s="1374"/>
      <c r="P592" s="1374"/>
      <c r="Q592" s="1374"/>
      <c r="R592" s="1374"/>
      <c r="S592" s="1374"/>
      <c r="T592" s="1374"/>
      <c r="U592" s="1439"/>
    </row>
    <row r="593" spans="1:63" x14ac:dyDescent="0.3">
      <c r="A593" s="1007"/>
      <c r="B593" s="978"/>
      <c r="C593" s="978"/>
      <c r="D593" s="978"/>
      <c r="E593" s="902"/>
      <c r="F593" s="1374"/>
      <c r="G593" s="1374"/>
      <c r="H593" s="1374"/>
      <c r="I593" s="1374"/>
      <c r="J593" s="1374"/>
      <c r="K593" s="1374"/>
      <c r="L593" s="1374"/>
      <c r="M593" s="1374"/>
      <c r="N593" s="1374"/>
      <c r="O593" s="1374"/>
      <c r="P593" s="1374"/>
      <c r="Q593" s="1374"/>
      <c r="R593" s="1374"/>
      <c r="S593" s="1374"/>
      <c r="T593" s="1374"/>
      <c r="U593" s="1439"/>
    </row>
    <row r="594" spans="1:63" ht="14.5" thickBot="1" x14ac:dyDescent="0.35">
      <c r="A594" s="928"/>
      <c r="B594" s="908"/>
      <c r="C594" s="908"/>
      <c r="D594" s="908"/>
      <c r="E594" s="908"/>
      <c r="F594" s="908"/>
      <c r="G594" s="908"/>
      <c r="H594" s="908"/>
      <c r="I594" s="908"/>
      <c r="J594" s="909"/>
      <c r="K594" s="907"/>
      <c r="L594" s="908"/>
      <c r="M594" s="908"/>
      <c r="N594" s="908"/>
      <c r="O594" s="908"/>
      <c r="P594" s="908"/>
      <c r="Q594" s="908"/>
      <c r="R594" s="908"/>
      <c r="S594" s="908"/>
      <c r="T594" s="909"/>
      <c r="U594" s="1439"/>
    </row>
    <row r="595" spans="1:63" x14ac:dyDescent="0.3">
      <c r="A595" s="2661" t="s">
        <v>504</v>
      </c>
      <c r="B595" s="2662"/>
      <c r="C595" s="2662"/>
      <c r="D595" s="2662"/>
      <c r="E595" s="2662"/>
      <c r="F595" s="2662"/>
      <c r="G595" s="2662"/>
      <c r="H595" s="2662"/>
      <c r="I595" s="2663"/>
      <c r="J595" s="911"/>
      <c r="K595" s="921"/>
      <c r="L595" s="2661" t="s">
        <v>505</v>
      </c>
      <c r="M595" s="2679"/>
      <c r="N595" s="2679"/>
      <c r="O595" s="2679"/>
      <c r="P595" s="2679"/>
      <c r="Q595" s="2679"/>
      <c r="R595" s="2679"/>
      <c r="S595" s="2680"/>
      <c r="T595" s="911"/>
      <c r="U595" s="1439"/>
      <c r="V595" s="1374"/>
      <c r="W595" s="1374"/>
      <c r="X595" s="1374"/>
      <c r="Y595" s="1374"/>
      <c r="Z595" s="1374"/>
      <c r="AA595" s="1374"/>
      <c r="AB595" s="1374"/>
      <c r="AC595" s="1374"/>
      <c r="AD595" s="1374"/>
      <c r="AE595" s="1374"/>
      <c r="AF595" s="1374"/>
      <c r="AG595" s="1374"/>
      <c r="AH595" s="1374"/>
      <c r="AI595" s="1374"/>
      <c r="AJ595" s="1374"/>
      <c r="AK595" s="1374"/>
      <c r="AL595" s="1374"/>
      <c r="AM595" s="1374"/>
      <c r="AN595" s="1374"/>
      <c r="AO595" s="1374"/>
      <c r="AP595" s="1374"/>
      <c r="AQ595" s="1374"/>
      <c r="AR595" s="1374"/>
      <c r="AS595" s="1374"/>
      <c r="AT595" s="1374"/>
      <c r="AU595" s="1374"/>
      <c r="AV595" s="1374"/>
      <c r="AW595" s="1374"/>
      <c r="AX595" s="1374"/>
      <c r="AY595" s="1374"/>
      <c r="AZ595" s="1374"/>
      <c r="BA595" s="1374"/>
      <c r="BB595" s="1374"/>
      <c r="BC595" s="1374"/>
      <c r="BD595" s="1374"/>
      <c r="BE595" s="1374"/>
      <c r="BF595" s="1374"/>
      <c r="BG595" s="1374"/>
      <c r="BH595" s="1374"/>
      <c r="BI595" s="1374"/>
      <c r="BJ595" s="1374"/>
      <c r="BK595" s="1374"/>
    </row>
    <row r="596" spans="1:63" ht="14.5" thickBot="1" x14ac:dyDescent="0.35">
      <c r="A596" s="2664"/>
      <c r="B596" s="2665"/>
      <c r="C596" s="2665"/>
      <c r="D596" s="2665"/>
      <c r="E596" s="2665"/>
      <c r="F596" s="2665"/>
      <c r="G596" s="2665"/>
      <c r="H596" s="2665"/>
      <c r="I596" s="2666"/>
      <c r="J596" s="911"/>
      <c r="K596" s="921"/>
      <c r="L596" s="2676"/>
      <c r="M596" s="2677"/>
      <c r="N596" s="2677"/>
      <c r="O596" s="2677"/>
      <c r="P596" s="2677"/>
      <c r="Q596" s="2677"/>
      <c r="R596" s="2677"/>
      <c r="S596" s="2678"/>
      <c r="T596" s="911"/>
      <c r="U596" s="1439"/>
      <c r="V596" s="1374"/>
      <c r="W596" s="1374"/>
      <c r="X596" s="1374"/>
      <c r="Y596" s="1374"/>
      <c r="Z596" s="1374"/>
      <c r="AA596" s="1374"/>
      <c r="AB596" s="1374"/>
      <c r="AC596" s="1374"/>
      <c r="AD596" s="1374"/>
      <c r="AE596" s="1374"/>
      <c r="AF596" s="1374"/>
      <c r="AG596" s="1374"/>
      <c r="AH596" s="1374"/>
      <c r="AI596" s="1374"/>
      <c r="AJ596" s="1374"/>
      <c r="AK596" s="1374"/>
      <c r="AL596" s="1374"/>
      <c r="AM596" s="1374"/>
      <c r="AN596" s="1374"/>
      <c r="AO596" s="1374"/>
      <c r="AP596" s="1374"/>
      <c r="AQ596" s="1374"/>
      <c r="AR596" s="1374"/>
      <c r="AS596" s="1374"/>
      <c r="AT596" s="1374"/>
      <c r="AU596" s="1374"/>
      <c r="AV596" s="1374"/>
      <c r="AW596" s="1374"/>
      <c r="AX596" s="1374"/>
      <c r="AY596" s="1374"/>
      <c r="AZ596" s="1374"/>
      <c r="BA596" s="1374"/>
      <c r="BB596" s="1374"/>
      <c r="BC596" s="1374"/>
      <c r="BD596" s="1374"/>
      <c r="BE596" s="1374"/>
      <c r="BF596" s="1374"/>
      <c r="BG596" s="1374"/>
      <c r="BH596" s="1374"/>
      <c r="BI596" s="1374"/>
      <c r="BJ596" s="1374"/>
      <c r="BK596" s="1374"/>
    </row>
    <row r="597" spans="1:63" ht="16.5" customHeight="1" x14ac:dyDescent="0.3">
      <c r="A597" s="2637" t="str">
        <f>'Personalized Bill Menu'!$B$22</f>
        <v>ENMAX</v>
      </c>
      <c r="B597" s="2638"/>
      <c r="C597" s="2639"/>
      <c r="D597" s="1374"/>
      <c r="E597" s="2643" t="s">
        <v>276</v>
      </c>
      <c r="F597" s="2644"/>
      <c r="G597" s="2644"/>
      <c r="H597" s="2644"/>
      <c r="I597" s="2645"/>
      <c r="J597" s="911"/>
      <c r="K597" s="921"/>
      <c r="L597" s="2637" t="str">
        <f>'Personalized Bill Menu'!$B$23</f>
        <v>ATCO-S</v>
      </c>
      <c r="M597" s="2638"/>
      <c r="N597" s="2639"/>
      <c r="O597" s="1374"/>
      <c r="P597" s="2673" t="s">
        <v>276</v>
      </c>
      <c r="Q597" s="2674"/>
      <c r="R597" s="2674"/>
      <c r="S597" s="2675"/>
      <c r="T597" s="911"/>
      <c r="U597" s="1439"/>
      <c r="V597" s="1374"/>
      <c r="W597" s="1374"/>
      <c r="X597" s="1374"/>
      <c r="Y597" s="1374"/>
      <c r="Z597" s="1374"/>
      <c r="AA597" s="1374"/>
      <c r="AB597" s="1374"/>
      <c r="AC597" s="1374"/>
      <c r="AD597" s="1374"/>
      <c r="AE597" s="1374"/>
      <c r="AF597" s="1374"/>
      <c r="AG597" s="1374"/>
      <c r="AH597" s="1374"/>
      <c r="AI597" s="1374"/>
      <c r="AJ597" s="1374"/>
      <c r="AK597" s="1374"/>
      <c r="AL597" s="1374"/>
      <c r="AM597" s="1374"/>
      <c r="AN597" s="1374"/>
      <c r="AO597" s="1374"/>
      <c r="AP597" s="1374"/>
      <c r="AQ597" s="1374"/>
      <c r="AR597" s="1374"/>
      <c r="AS597" s="1374"/>
      <c r="AT597" s="1374"/>
      <c r="AU597" s="1374"/>
      <c r="AV597" s="1374"/>
      <c r="AW597" s="1374"/>
      <c r="AX597" s="1374"/>
      <c r="AY597" s="1374"/>
      <c r="AZ597" s="1374"/>
      <c r="BA597" s="1374"/>
      <c r="BB597" s="1374"/>
      <c r="BC597" s="1374"/>
      <c r="BD597" s="1374"/>
      <c r="BE597" s="1374"/>
      <c r="BF597" s="1374"/>
      <c r="BG597" s="1374"/>
      <c r="BH597" s="1374"/>
      <c r="BI597" s="1374"/>
      <c r="BJ597" s="1374"/>
      <c r="BK597" s="1374"/>
    </row>
    <row r="598" spans="1:63" ht="16.5" customHeight="1" thickBot="1" x14ac:dyDescent="0.35">
      <c r="A598" s="2640"/>
      <c r="B598" s="2641"/>
      <c r="C598" s="2642"/>
      <c r="D598" s="1374"/>
      <c r="E598" s="2646"/>
      <c r="F598" s="2647"/>
      <c r="G598" s="2647"/>
      <c r="H598" s="2647"/>
      <c r="I598" s="2648"/>
      <c r="J598" s="911"/>
      <c r="K598" s="921"/>
      <c r="L598" s="2640"/>
      <c r="M598" s="2641"/>
      <c r="N598" s="2642"/>
      <c r="O598" s="1374"/>
      <c r="P598" s="2676"/>
      <c r="Q598" s="2677"/>
      <c r="R598" s="2677"/>
      <c r="S598" s="2678"/>
      <c r="T598" s="911"/>
      <c r="U598" s="1439"/>
      <c r="V598" s="1374"/>
      <c r="W598" s="1374"/>
      <c r="X598" s="1374"/>
      <c r="Y598" s="1374"/>
      <c r="Z598" s="1374"/>
      <c r="AA598" s="1374"/>
      <c r="AB598" s="1374"/>
      <c r="AC598" s="1374"/>
      <c r="AD598" s="1374"/>
      <c r="AE598" s="1374"/>
      <c r="AF598" s="1374"/>
      <c r="AG598" s="1374"/>
      <c r="AH598" s="1374"/>
      <c r="AI598" s="1374"/>
      <c r="AJ598" s="1374"/>
      <c r="AK598" s="1374"/>
      <c r="AL598" s="1374"/>
      <c r="AM598" s="1374"/>
      <c r="AN598" s="1374"/>
      <c r="AO598" s="1374"/>
      <c r="AP598" s="1374"/>
      <c r="AQ598" s="1374"/>
      <c r="AR598" s="1374"/>
      <c r="AS598" s="1374"/>
      <c r="AT598" s="1374"/>
      <c r="AU598" s="1374"/>
      <c r="AV598" s="1374"/>
      <c r="AW598" s="1374"/>
      <c r="AX598" s="1374"/>
      <c r="AY598" s="1374"/>
      <c r="AZ598" s="1374"/>
      <c r="BA598" s="1374"/>
      <c r="BB598" s="1374"/>
      <c r="BC598" s="1374"/>
      <c r="BD598" s="1374"/>
      <c r="BE598" s="1374"/>
      <c r="BF598" s="1374"/>
      <c r="BG598" s="1374"/>
      <c r="BH598" s="1374"/>
      <c r="BI598" s="1374"/>
      <c r="BJ598" s="1374"/>
      <c r="BK598" s="1374"/>
    </row>
    <row r="599" spans="1:63" x14ac:dyDescent="0.3">
      <c r="A599" s="648" t="s">
        <v>194</v>
      </c>
      <c r="B599" s="649" t="s">
        <v>195</v>
      </c>
      <c r="C599" s="650" t="s">
        <v>196</v>
      </c>
      <c r="D599" s="1374"/>
      <c r="E599" s="651" t="s">
        <v>277</v>
      </c>
      <c r="F599" s="1402" t="s">
        <v>54</v>
      </c>
      <c r="G599" s="1402" t="s">
        <v>55</v>
      </c>
      <c r="H599" s="1402" t="s">
        <v>56</v>
      </c>
      <c r="I599" s="1402" t="s">
        <v>57</v>
      </c>
      <c r="J599" s="911"/>
      <c r="K599" s="921"/>
      <c r="L599" s="649" t="s">
        <v>194</v>
      </c>
      <c r="M599" s="649" t="s">
        <v>195</v>
      </c>
      <c r="N599" s="650" t="s">
        <v>196</v>
      </c>
      <c r="O599" s="1374"/>
      <c r="P599" s="652" t="s">
        <v>277</v>
      </c>
      <c r="Q599" s="652" t="s">
        <v>99</v>
      </c>
      <c r="R599" s="652" t="s">
        <v>100</v>
      </c>
      <c r="S599" s="652" t="s">
        <v>101</v>
      </c>
      <c r="T599" s="911"/>
      <c r="U599" s="1439"/>
      <c r="V599" s="1374"/>
      <c r="W599" s="1374"/>
      <c r="X599" s="1374"/>
      <c r="Y599" s="1374"/>
      <c r="Z599" s="1374"/>
      <c r="AA599" s="1374"/>
      <c r="AB599" s="1374"/>
      <c r="AC599" s="1374"/>
      <c r="AD599" s="1374"/>
      <c r="AE599" s="1374"/>
      <c r="AF599" s="1374"/>
      <c r="AG599" s="1374"/>
      <c r="AH599" s="1374"/>
      <c r="AI599" s="1374"/>
      <c r="AJ599" s="1374"/>
      <c r="AK599" s="1374"/>
      <c r="AL599" s="1374"/>
      <c r="AM599" s="1374"/>
      <c r="AN599" s="1374"/>
      <c r="AO599" s="1374"/>
      <c r="AP599" s="1374"/>
      <c r="AQ599" s="1374"/>
      <c r="AR599" s="1374"/>
      <c r="AS599" s="1374"/>
      <c r="AT599" s="1374"/>
      <c r="AU599" s="1374"/>
      <c r="AV599" s="1374"/>
      <c r="AW599" s="1374"/>
      <c r="AX599" s="1374"/>
      <c r="AY599" s="1374"/>
      <c r="AZ599" s="1374"/>
      <c r="BA599" s="1374"/>
      <c r="BB599" s="1374"/>
      <c r="BC599" s="1374"/>
      <c r="BD599" s="1374"/>
      <c r="BE599" s="1374"/>
      <c r="BF599" s="1374"/>
      <c r="BG599" s="1374"/>
      <c r="BH599" s="1374"/>
      <c r="BI599" s="1374"/>
      <c r="BJ599" s="1374"/>
      <c r="BK599" s="1374"/>
    </row>
    <row r="600" spans="1:63" ht="24" customHeight="1" thickBot="1" x14ac:dyDescent="0.35">
      <c r="A600" s="653" t="str">
        <f ca="1">IF(INDIRECT("'"&amp;$A$597&amp;"'!"&amp;C600&amp;"5")=0, "", INDIRECT("'"&amp;$A$597&amp;"'!"&amp;C600&amp;"5"))</f>
        <v>Monthly Consumption</v>
      </c>
      <c r="B600" s="1398">
        <v>3</v>
      </c>
      <c r="C600" s="654" t="str">
        <f>(IF(B600&gt;26,(CHAR((ROUNDDOWN((B600-1)/26,0))+64))&amp;(CHAR(B600+64-(ROUNDDOWN((B600-1)/26,0)*26))),CHAR(B600+64)))</f>
        <v>C</v>
      </c>
      <c r="D600" s="1374"/>
      <c r="E600" s="655" t="s">
        <v>267</v>
      </c>
      <c r="F600" s="625">
        <v>2</v>
      </c>
      <c r="G600" s="625">
        <v>3</v>
      </c>
      <c r="H600" s="625">
        <v>4</v>
      </c>
      <c r="I600" s="625">
        <v>5</v>
      </c>
      <c r="J600" s="911"/>
      <c r="K600" s="921"/>
      <c r="L600" s="656" t="str">
        <f ca="1">IF(INDIRECT("'"&amp;$L$597&amp;"'!"&amp;$N600&amp;"5")=0, "", INDIRECT("'"&amp;$L$597&amp;"'!"&amp;$N600&amp;"5"))</f>
        <v>Monthly Consumption</v>
      </c>
      <c r="M600" s="1398">
        <v>3</v>
      </c>
      <c r="N600" s="654" t="str">
        <f>(IF(M600&gt;26,(CHAR((ROUNDDOWN((M600-1)/26,0))+64))&amp;(CHAR(M600+64-(ROUNDDOWN((M600-1)/26,0)*26))),CHAR(M600+64)))</f>
        <v>C</v>
      </c>
      <c r="O600" s="1374"/>
      <c r="P600" s="657" t="s">
        <v>267</v>
      </c>
      <c r="Q600" s="658">
        <v>2</v>
      </c>
      <c r="R600" s="658">
        <v>3</v>
      </c>
      <c r="S600" s="658">
        <v>4</v>
      </c>
      <c r="T600" s="911"/>
      <c r="U600" s="1439"/>
      <c r="V600" s="1374"/>
      <c r="W600" s="1374"/>
      <c r="X600" s="1374"/>
      <c r="Y600" s="1374"/>
      <c r="Z600" s="1374"/>
      <c r="AA600" s="1374"/>
      <c r="AB600" s="1374"/>
      <c r="AC600" s="1374"/>
      <c r="AD600" s="1374"/>
      <c r="AE600" s="1374"/>
      <c r="AF600" s="1374"/>
      <c r="AG600" s="1374"/>
      <c r="AH600" s="1374"/>
      <c r="AI600" s="1374"/>
      <c r="AJ600" s="1374"/>
      <c r="AK600" s="1374"/>
      <c r="AL600" s="1374"/>
      <c r="AM600" s="1374"/>
      <c r="AN600" s="1374"/>
      <c r="AO600" s="1374"/>
      <c r="AP600" s="1374"/>
      <c r="AQ600" s="1374"/>
      <c r="AR600" s="1374"/>
      <c r="AS600" s="1374"/>
      <c r="AT600" s="1374"/>
      <c r="AU600" s="1374"/>
      <c r="AV600" s="1374"/>
      <c r="AW600" s="1374"/>
      <c r="AX600" s="1374"/>
      <c r="AY600" s="1374"/>
      <c r="AZ600" s="1374"/>
      <c r="BA600" s="1374"/>
      <c r="BB600" s="1374"/>
      <c r="BC600" s="1374"/>
      <c r="BD600" s="1374"/>
      <c r="BE600" s="1374"/>
      <c r="BF600" s="1374"/>
      <c r="BG600" s="1374"/>
      <c r="BH600" s="1374"/>
      <c r="BI600" s="1374"/>
      <c r="BJ600" s="1374"/>
      <c r="BK600" s="1374"/>
    </row>
    <row r="601" spans="1:63" ht="31.5" customHeight="1" x14ac:dyDescent="0.3">
      <c r="A601" s="653" t="str">
        <f t="shared" ref="A601:A659" ca="1" si="176">IF(INDIRECT("'"&amp;$A$597&amp;"'!"&amp;C601&amp;"5")=0, "", INDIRECT("'"&amp;$A$597&amp;"'!"&amp;C601&amp;"5"))</f>
        <v>All-In Rate</v>
      </c>
      <c r="B601" s="1398">
        <v>4</v>
      </c>
      <c r="C601" s="654" t="str">
        <f t="shared" ref="C601:C659" si="177">(IF(B601&gt;26,(CHAR((ROUNDDOWN((B601-1)/26,0))+64))&amp;(CHAR(B601+64-(ROUNDDOWN((B601-1)/26,0)*26))),CHAR(B601+64)))</f>
        <v>D</v>
      </c>
      <c r="D601" s="1374"/>
      <c r="E601" s="659" t="s">
        <v>22</v>
      </c>
      <c r="F601" s="660" t="str">
        <f>ENMAX!$N5</f>
        <v>RRO Energy Rate</v>
      </c>
      <c r="G601" s="660" t="str">
        <f>EPCOR!$N5</f>
        <v>RRO Energy Rate</v>
      </c>
      <c r="H601" s="660" t="str">
        <f>FORTIS!$N5</f>
        <v>RRO Energy Rate</v>
      </c>
      <c r="I601" s="660" t="str">
        <f>ATCO!$N5</f>
        <v>RRO Energy Rate</v>
      </c>
      <c r="J601" s="911"/>
      <c r="K601" s="921"/>
      <c r="L601" s="656" t="str">
        <f t="shared" ref="L601:L659" ca="1" si="178">IF(INDIRECT("'"&amp;$L$597&amp;"'!"&amp;$N601&amp;"5")=0, "", INDIRECT("'"&amp;$L$597&amp;"'!"&amp;$N601&amp;"5"))</f>
        <v>All-In Rate</v>
      </c>
      <c r="M601" s="1398">
        <v>4</v>
      </c>
      <c r="N601" s="654" t="str">
        <f t="shared" ref="N601:N659" si="179">(IF(M601&gt;26,(CHAR((ROUNDDOWN((M601-1)/26,0))+64))&amp;(CHAR(M601+64-(ROUNDDOWN((M601-1)/26,0)*26))),CHAR(M601+64)))</f>
        <v>D</v>
      </c>
      <c r="O601" s="1374"/>
      <c r="P601" s="628" t="s">
        <v>298</v>
      </c>
      <c r="Q601" s="661" t="str">
        <f>'ATCO-N'!$N5</f>
        <v>DRT Rate (Rider F)</v>
      </c>
      <c r="R601" s="661" t="str">
        <f>'ATCO-S'!$N5</f>
        <v>DRT Rate (Rider F)</v>
      </c>
      <c r="S601" s="661" t="str">
        <f>AltaGas!$N5</f>
        <v>DRT Rate (Rider D)</v>
      </c>
      <c r="T601" s="911"/>
      <c r="U601" s="1439"/>
      <c r="V601" s="1374"/>
      <c r="W601" s="1374"/>
      <c r="X601" s="1374"/>
      <c r="Y601" s="1374"/>
      <c r="Z601" s="1374"/>
      <c r="AA601" s="1374"/>
      <c r="AB601" s="1374"/>
      <c r="AC601" s="1374"/>
      <c r="AD601" s="1374"/>
      <c r="AE601" s="1374"/>
      <c r="AF601" s="1374"/>
      <c r="AG601" s="1374"/>
      <c r="AH601" s="1374"/>
      <c r="AI601" s="1374"/>
      <c r="AJ601" s="1374"/>
      <c r="AK601" s="1374"/>
      <c r="AL601" s="1374"/>
      <c r="AM601" s="1374"/>
      <c r="AN601" s="1374"/>
      <c r="AO601" s="1374"/>
      <c r="AP601" s="1374"/>
      <c r="AQ601" s="1374"/>
      <c r="AR601" s="1374"/>
      <c r="AS601" s="1374"/>
      <c r="AT601" s="1374"/>
      <c r="AU601" s="1374"/>
      <c r="AV601" s="1374"/>
      <c r="AW601" s="1374"/>
      <c r="AX601" s="1374"/>
      <c r="AY601" s="1374"/>
      <c r="AZ601" s="1374"/>
      <c r="BA601" s="1374"/>
      <c r="BB601" s="1374"/>
      <c r="BC601" s="1374"/>
      <c r="BD601" s="1374"/>
      <c r="BE601" s="1374"/>
      <c r="BF601" s="1374"/>
      <c r="BG601" s="1374"/>
      <c r="BH601" s="1374"/>
      <c r="BI601" s="1374"/>
      <c r="BJ601" s="1374"/>
      <c r="BK601" s="1374"/>
    </row>
    <row r="602" spans="1:63" ht="49.5" customHeight="1" x14ac:dyDescent="0.3">
      <c r="A602" s="653" t="str">
        <f t="shared" ca="1" si="176"/>
        <v>Marginal Cost</v>
      </c>
      <c r="B602" s="1398">
        <v>5</v>
      </c>
      <c r="C602" s="654" t="str">
        <f t="shared" si="177"/>
        <v>E</v>
      </c>
      <c r="D602" s="1374"/>
      <c r="E602" s="662" t="s">
        <v>23</v>
      </c>
      <c r="F602" s="663" t="str">
        <f>ENMAX!$O5</f>
        <v>Energy Charge</v>
      </c>
      <c r="G602" s="663" t="str">
        <f>EPCOR!$O5</f>
        <v>Energy Charge</v>
      </c>
      <c r="H602" s="663" t="str">
        <f>FORTIS!$O5</f>
        <v>Energy Charge</v>
      </c>
      <c r="I602" s="663" t="str">
        <f>ATCO!$O5</f>
        <v>Energy Charge</v>
      </c>
      <c r="J602" s="911"/>
      <c r="K602" s="921"/>
      <c r="L602" s="656" t="str">
        <f t="shared" ca="1" si="178"/>
        <v>Marginal Cost</v>
      </c>
      <c r="M602" s="1398">
        <v>5</v>
      </c>
      <c r="N602" s="654" t="str">
        <f t="shared" si="179"/>
        <v>E</v>
      </c>
      <c r="O602" s="1374"/>
      <c r="P602" s="664" t="s">
        <v>23</v>
      </c>
      <c r="Q602" s="665" t="str">
        <f>'ATCO-N'!$O5</f>
        <v>Energy Charge</v>
      </c>
      <c r="R602" s="665" t="str">
        <f>'ATCO-S'!$O5</f>
        <v>Energy Charge</v>
      </c>
      <c r="S602" s="665" t="str">
        <f>AltaGas!$O5</f>
        <v>Energy Charge</v>
      </c>
      <c r="T602" s="911"/>
      <c r="U602" s="1439"/>
      <c r="V602" s="1374"/>
      <c r="W602" s="1374"/>
      <c r="X602" s="1374"/>
      <c r="Y602" s="1374"/>
      <c r="Z602" s="1374"/>
      <c r="AA602" s="1374"/>
      <c r="AB602" s="1374"/>
      <c r="AC602" s="1374"/>
      <c r="AD602" s="1374"/>
      <c r="AE602" s="1374"/>
      <c r="AF602" s="1374"/>
      <c r="AG602" s="1374"/>
      <c r="AH602" s="1374"/>
      <c r="AI602" s="1374"/>
      <c r="AJ602" s="1374"/>
      <c r="AK602" s="1374"/>
      <c r="AL602" s="1374"/>
      <c r="AM602" s="1374"/>
      <c r="AN602" s="1374"/>
      <c r="AO602" s="1374"/>
      <c r="AP602" s="1374"/>
      <c r="AQ602" s="1374"/>
      <c r="AR602" s="1374"/>
      <c r="AS602" s="1374"/>
      <c r="AT602" s="1374"/>
      <c r="AU602" s="1374"/>
      <c r="AV602" s="1374"/>
      <c r="AW602" s="1374"/>
      <c r="AX602" s="1374"/>
      <c r="AY602" s="1374"/>
      <c r="AZ602" s="1374"/>
      <c r="BA602" s="1374"/>
      <c r="BB602" s="1374"/>
      <c r="BC602" s="1374"/>
      <c r="BD602" s="1374"/>
      <c r="BE602" s="1374"/>
      <c r="BF602" s="1374"/>
      <c r="BG602" s="1374"/>
      <c r="BH602" s="1374"/>
      <c r="BI602" s="1374"/>
      <c r="BJ602" s="1374"/>
      <c r="BK602" s="1374"/>
    </row>
    <row r="603" spans="1:63" ht="49.5" customHeight="1" x14ac:dyDescent="0.3">
      <c r="A603" s="653" t="str">
        <f t="shared" ca="1" si="176"/>
        <v>Total Monthly Bill</v>
      </c>
      <c r="B603" s="1398">
        <v>6</v>
      </c>
      <c r="C603" s="654" t="str">
        <f t="shared" si="177"/>
        <v>F</v>
      </c>
      <c r="D603" s="1374"/>
      <c r="E603" s="666" t="s">
        <v>268</v>
      </c>
      <c r="F603" s="663" t="str">
        <f>ENMAX!$P5</f>
        <v>Variable Transmission Rate</v>
      </c>
      <c r="G603" s="663" t="str">
        <f>EPCOR!$P5</f>
        <v>Variable Transmission Energy Rate</v>
      </c>
      <c r="H603" s="663" t="str">
        <f>FORTIS!$P5</f>
        <v>Variable Transmission Rate</v>
      </c>
      <c r="I603" s="663" t="str">
        <f>ATCO!$P5</f>
        <v>Variable Transmission Rate</v>
      </c>
      <c r="J603" s="911"/>
      <c r="K603" s="921"/>
      <c r="L603" s="656" t="str">
        <f t="shared" ca="1" si="178"/>
        <v>Total Monthly Bill</v>
      </c>
      <c r="M603" s="1398">
        <v>6</v>
      </c>
      <c r="N603" s="654" t="str">
        <f t="shared" si="179"/>
        <v>F</v>
      </c>
      <c r="O603" s="1374"/>
      <c r="P603" s="1076" t="s">
        <v>270</v>
      </c>
      <c r="Q603" s="665" t="str">
        <f>'ATCO-N'!$P5</f>
        <v>Variable Delivery Rate</v>
      </c>
      <c r="R603" s="665" t="str">
        <f>'ATCO-S'!$P5</f>
        <v>Variable Delivery Rate</v>
      </c>
      <c r="S603" s="665" t="str">
        <f>AltaGas!$P5</f>
        <v>Distribution (Base) Variable Rate</v>
      </c>
      <c r="T603" s="911"/>
      <c r="U603" s="1439"/>
      <c r="V603" s="1374"/>
      <c r="W603" s="1374"/>
      <c r="X603" s="1374"/>
      <c r="Y603" s="1374"/>
      <c r="Z603" s="1374"/>
      <c r="AA603" s="1374"/>
      <c r="AB603" s="1374"/>
      <c r="AC603" s="1374"/>
      <c r="AD603" s="1374"/>
      <c r="AE603" s="1374"/>
      <c r="AF603" s="1374"/>
      <c r="AG603" s="1374"/>
      <c r="AH603" s="1374"/>
      <c r="AI603" s="1374"/>
      <c r="AJ603" s="1374"/>
      <c r="AK603" s="1374"/>
      <c r="AL603" s="1374"/>
      <c r="AM603" s="1374"/>
      <c r="AN603" s="1374"/>
      <c r="AO603" s="1374"/>
      <c r="AP603" s="1374"/>
      <c r="AQ603" s="1374"/>
      <c r="AR603" s="1374"/>
      <c r="AS603" s="1374"/>
      <c r="AT603" s="1374"/>
      <c r="AU603" s="1374"/>
      <c r="AV603" s="1374"/>
      <c r="AW603" s="1374"/>
      <c r="AX603" s="1374"/>
      <c r="AY603" s="1374"/>
      <c r="AZ603" s="1374"/>
      <c r="BA603" s="1374"/>
      <c r="BB603" s="1374"/>
      <c r="BC603" s="1374"/>
      <c r="BD603" s="1374"/>
      <c r="BE603" s="1374"/>
      <c r="BF603" s="1374"/>
      <c r="BG603" s="1374"/>
      <c r="BH603" s="1374"/>
      <c r="BI603" s="1374"/>
      <c r="BJ603" s="1374"/>
      <c r="BK603" s="1374"/>
    </row>
    <row r="604" spans="1:63" ht="36.75" customHeight="1" x14ac:dyDescent="0.3">
      <c r="A604" s="653" t="str">
        <f t="shared" ca="1" si="176"/>
        <v>Total Energy Components</v>
      </c>
      <c r="B604" s="1398">
        <v>7</v>
      </c>
      <c r="C604" s="654" t="str">
        <f t="shared" si="177"/>
        <v>G</v>
      </c>
      <c r="D604" s="1374"/>
      <c r="E604" s="662" t="s">
        <v>24</v>
      </c>
      <c r="F604" s="663" t="str">
        <f>ENMAX!$Q5</f>
        <v>Variable Transmission Charge</v>
      </c>
      <c r="G604" s="663" t="str">
        <f>EPCOR!$Q5</f>
        <v>Variable Transmission Charge</v>
      </c>
      <c r="H604" s="663" t="str">
        <f>FORTIS!$Q5</f>
        <v>Variable Transmission Charge</v>
      </c>
      <c r="I604" s="663" t="str">
        <f>ATCO!$Q5</f>
        <v>Variable Transmission Charge</v>
      </c>
      <c r="J604" s="911"/>
      <c r="K604" s="921"/>
      <c r="L604" s="656" t="str">
        <f t="shared" ca="1" si="178"/>
        <v>Total Energy Components</v>
      </c>
      <c r="M604" s="1398">
        <v>7</v>
      </c>
      <c r="N604" s="654" t="str">
        <f t="shared" si="179"/>
        <v>G</v>
      </c>
      <c r="O604" s="1374"/>
      <c r="P604" s="1076" t="s">
        <v>269</v>
      </c>
      <c r="Q604" s="665" t="str">
        <f>'ATCO-N'!$Q5</f>
        <v>Fixed Delivery Rate</v>
      </c>
      <c r="R604" s="665" t="str">
        <f>'ATCO-S'!$Q5</f>
        <v>Fixed Delivery Rate</v>
      </c>
      <c r="S604" s="665" t="str">
        <f>AltaGas!$Q5</f>
        <v>Distribution (Base) Fixed Rate</v>
      </c>
      <c r="T604" s="911"/>
      <c r="U604" s="1439"/>
      <c r="V604" s="1374"/>
      <c r="W604" s="1374"/>
      <c r="X604" s="1374"/>
      <c r="Y604" s="1374"/>
      <c r="Z604" s="1374"/>
      <c r="AA604" s="1374"/>
      <c r="AB604" s="1374"/>
      <c r="AC604" s="1374"/>
      <c r="AD604" s="1374"/>
      <c r="AE604" s="1374"/>
      <c r="AF604" s="1374"/>
      <c r="AG604" s="1374"/>
      <c r="AH604" s="1374"/>
      <c r="AI604" s="1374"/>
      <c r="AJ604" s="1374"/>
      <c r="AK604" s="1374"/>
      <c r="AL604" s="1374"/>
      <c r="AM604" s="1374"/>
      <c r="AN604" s="1374"/>
      <c r="AO604" s="1374"/>
      <c r="AP604" s="1374"/>
      <c r="AQ604" s="1374"/>
      <c r="AR604" s="1374"/>
      <c r="AS604" s="1374"/>
      <c r="AT604" s="1374"/>
      <c r="AU604" s="1374"/>
      <c r="AV604" s="1374"/>
      <c r="AW604" s="1374"/>
      <c r="AX604" s="1374"/>
      <c r="AY604" s="1374"/>
      <c r="AZ604" s="1374"/>
      <c r="BA604" s="1374"/>
      <c r="BB604" s="1374"/>
      <c r="BC604" s="1374"/>
      <c r="BD604" s="1374"/>
      <c r="BE604" s="1374"/>
      <c r="BF604" s="1374"/>
      <c r="BG604" s="1374"/>
      <c r="BH604" s="1374"/>
      <c r="BI604" s="1374"/>
      <c r="BJ604" s="1374"/>
      <c r="BK604" s="1374"/>
    </row>
    <row r="605" spans="1:63" ht="37.5" customHeight="1" x14ac:dyDescent="0.3">
      <c r="A605" s="653" t="str">
        <f t="shared" ca="1" si="176"/>
        <v>Total Transmission Charge</v>
      </c>
      <c r="B605" s="1398">
        <v>8</v>
      </c>
      <c r="C605" s="654" t="str">
        <f t="shared" si="177"/>
        <v>H</v>
      </c>
      <c r="D605" s="1374"/>
      <c r="E605" s="666" t="s">
        <v>270</v>
      </c>
      <c r="F605" s="663" t="str">
        <f>ENMAX!$R5</f>
        <v>Distribution System Usage Rate</v>
      </c>
      <c r="G605" s="663" t="str">
        <f>EPCOR!$R5</f>
        <v>Distribution System Energy Rate</v>
      </c>
      <c r="H605" s="663" t="str">
        <f>FORTIS!$R5</f>
        <v>Distribution Energy Rate</v>
      </c>
      <c r="I605" s="663" t="str">
        <f>ATCO!$R5</f>
        <v>Distribution Energy Rate</v>
      </c>
      <c r="J605" s="911"/>
      <c r="K605" s="921"/>
      <c r="L605" s="656" t="str">
        <f t="shared" ca="1" si="178"/>
        <v>Total Distribution Charge</v>
      </c>
      <c r="M605" s="1398">
        <v>8</v>
      </c>
      <c r="N605" s="654" t="str">
        <f t="shared" si="179"/>
        <v>H</v>
      </c>
      <c r="O605" s="1374"/>
      <c r="P605" s="664" t="s">
        <v>105</v>
      </c>
      <c r="Q605" s="665" t="str">
        <f>'ATCO-N'!$R5</f>
        <v>Variable Distribution Charge</v>
      </c>
      <c r="R605" s="665" t="str">
        <f>'ATCO-S'!$R5</f>
        <v>Variable Distribution Charge</v>
      </c>
      <c r="S605" s="665" t="str">
        <f>AltaGas!$R5</f>
        <v>Variable Distribution Charge</v>
      </c>
      <c r="T605" s="911"/>
      <c r="U605" s="1439"/>
      <c r="V605" s="1374"/>
      <c r="W605" s="1374"/>
      <c r="X605" s="1374"/>
      <c r="Y605" s="1374"/>
      <c r="Z605" s="1374"/>
      <c r="AA605" s="1374"/>
      <c r="AB605" s="1374"/>
      <c r="AC605" s="1374"/>
      <c r="AD605" s="1374"/>
      <c r="AE605" s="1374"/>
      <c r="AF605" s="1374"/>
      <c r="AG605" s="1374"/>
      <c r="AH605" s="1374"/>
      <c r="AI605" s="1374"/>
      <c r="AJ605" s="1374"/>
      <c r="AK605" s="1374"/>
      <c r="AL605" s="1374"/>
      <c r="AM605" s="1374"/>
      <c r="AN605" s="1374"/>
      <c r="AO605" s="1374"/>
      <c r="AP605" s="1374"/>
      <c r="AQ605" s="1374"/>
      <c r="AR605" s="1374"/>
      <c r="AS605" s="1374"/>
      <c r="AT605" s="1374"/>
      <c r="AU605" s="1374"/>
      <c r="AV605" s="1374"/>
      <c r="AW605" s="1374"/>
      <c r="AX605" s="1374"/>
      <c r="AY605" s="1374"/>
      <c r="AZ605" s="1374"/>
      <c r="BA605" s="1374"/>
      <c r="BB605" s="1374"/>
      <c r="BC605" s="1374"/>
      <c r="BD605" s="1374"/>
      <c r="BE605" s="1374"/>
      <c r="BF605" s="1374"/>
      <c r="BG605" s="1374"/>
      <c r="BH605" s="1374"/>
      <c r="BI605" s="1374"/>
      <c r="BJ605" s="1374"/>
      <c r="BK605" s="1374"/>
    </row>
    <row r="606" spans="1:63" ht="45" customHeight="1" x14ac:dyDescent="0.3">
      <c r="A606" s="653" t="str">
        <f t="shared" ca="1" si="176"/>
        <v>Total Distribution Charge</v>
      </c>
      <c r="B606" s="1398">
        <v>9</v>
      </c>
      <c r="C606" s="654" t="str">
        <f t="shared" si="177"/>
        <v>I</v>
      </c>
      <c r="D606" s="1374"/>
      <c r="E606" s="666" t="s">
        <v>269</v>
      </c>
      <c r="F606" s="663" t="str">
        <f>ENMAX!$S5</f>
        <v>Distribution Service and Facilities Rate</v>
      </c>
      <c r="G606" s="663" t="str">
        <f>EPCOR!$S5</f>
        <v>Distribution Fixed Customer Rate</v>
      </c>
      <c r="H606" s="663" t="str">
        <f>FORTIS!$S5</f>
        <v>Distribution Fixed Rate</v>
      </c>
      <c r="I606" s="663" t="str">
        <f>ATCO!$S5</f>
        <v>Distribution Customer Rate</v>
      </c>
      <c r="J606" s="911"/>
      <c r="K606" s="921"/>
      <c r="L606" s="656" t="str">
        <f t="shared" ca="1" si="178"/>
        <v>Total Local Access and Franchise Fees</v>
      </c>
      <c r="M606" s="1398">
        <v>9</v>
      </c>
      <c r="N606" s="654" t="str">
        <f t="shared" si="179"/>
        <v>I</v>
      </c>
      <c r="O606" s="1374"/>
      <c r="P606" s="664" t="s">
        <v>104</v>
      </c>
      <c r="Q606" s="665" t="str">
        <f>'ATCO-N'!$S5</f>
        <v>Fixed Distribution Charge</v>
      </c>
      <c r="R606" s="665" t="str">
        <f>'ATCO-S'!$S5</f>
        <v>Fixed Distribution Charge</v>
      </c>
      <c r="S606" s="665" t="str">
        <f>AltaGas!$S5</f>
        <v>Fixed Distribution Charge</v>
      </c>
      <c r="T606" s="911"/>
      <c r="U606" s="1439"/>
      <c r="V606" s="1374"/>
      <c r="W606" s="1374"/>
      <c r="X606" s="1374"/>
      <c r="Y606" s="1374"/>
      <c r="Z606" s="1374"/>
      <c r="AA606" s="1374"/>
      <c r="AB606" s="1374"/>
      <c r="AC606" s="1374"/>
      <c r="AD606" s="1374"/>
      <c r="AE606" s="1374"/>
      <c r="AF606" s="1374"/>
      <c r="AG606" s="1374"/>
      <c r="AH606" s="1374"/>
      <c r="AI606" s="1374"/>
      <c r="AJ606" s="1374"/>
      <c r="AK606" s="1374"/>
      <c r="AL606" s="1374"/>
      <c r="AM606" s="1374"/>
      <c r="AN606" s="1374"/>
      <c r="AO606" s="1374"/>
      <c r="AP606" s="1374"/>
      <c r="AQ606" s="1374"/>
      <c r="AR606" s="1374"/>
      <c r="AS606" s="1374"/>
      <c r="AT606" s="1374"/>
      <c r="AU606" s="1374"/>
      <c r="AV606" s="1374"/>
      <c r="AW606" s="1374"/>
      <c r="AX606" s="1374"/>
      <c r="AY606" s="1374"/>
      <c r="AZ606" s="1374"/>
      <c r="BA606" s="1374"/>
      <c r="BB606" s="1374"/>
      <c r="BC606" s="1374"/>
      <c r="BD606" s="1374"/>
      <c r="BE606" s="1374"/>
      <c r="BF606" s="1374"/>
      <c r="BG606" s="1374"/>
      <c r="BH606" s="1374"/>
      <c r="BI606" s="1374"/>
      <c r="BJ606" s="1374"/>
      <c r="BK606" s="1374"/>
    </row>
    <row r="607" spans="1:63" ht="30" customHeight="1" x14ac:dyDescent="0.3">
      <c r="A607" s="653" t="str">
        <f t="shared" ca="1" si="176"/>
        <v>Total Local Access and Franchise Fees</v>
      </c>
      <c r="B607" s="1398">
        <v>10</v>
      </c>
      <c r="C607" s="654" t="str">
        <f t="shared" si="177"/>
        <v>J</v>
      </c>
      <c r="D607" s="1374"/>
      <c r="E607" s="666" t="s">
        <v>271</v>
      </c>
      <c r="F607" s="667"/>
      <c r="G607" s="667"/>
      <c r="H607" s="667"/>
      <c r="I607" s="663" t="str">
        <f>ATCO!$T5</f>
        <v>Service Customer Rate</v>
      </c>
      <c r="J607" s="911"/>
      <c r="K607" s="921"/>
      <c r="L607" s="656" t="str">
        <f t="shared" ca="1" si="178"/>
        <v>Total Rate Riders</v>
      </c>
      <c r="M607" s="1398">
        <v>10</v>
      </c>
      <c r="N607" s="654" t="str">
        <f t="shared" si="179"/>
        <v>J</v>
      </c>
      <c r="O607" s="1374"/>
      <c r="P607" s="1076" t="s">
        <v>278</v>
      </c>
      <c r="Q607" s="668" t="str">
        <f>'ATCO-N'!$T5</f>
        <v>Municipal Franchise Fee (Rider A)</v>
      </c>
      <c r="R607" s="668" t="str">
        <f>'ATCO-S'!$T5</f>
        <v>Municipal Franchise Fee (Rider A)</v>
      </c>
      <c r="S607" s="668" t="str">
        <f>AltaGas!$T5</f>
        <v>Municipal Franchise Tax (Rider A)</v>
      </c>
      <c r="T607" s="911"/>
      <c r="U607" s="1439"/>
      <c r="V607" s="1374"/>
      <c r="W607" s="1374"/>
      <c r="X607" s="1374"/>
      <c r="Y607" s="1374"/>
      <c r="Z607" s="1374"/>
      <c r="AA607" s="1374"/>
      <c r="AB607" s="1374"/>
      <c r="AC607" s="1374"/>
      <c r="AD607" s="1374"/>
      <c r="AE607" s="1374"/>
      <c r="AF607" s="1374"/>
      <c r="AG607" s="1374"/>
      <c r="AH607" s="1374"/>
      <c r="AI607" s="1374"/>
      <c r="AJ607" s="1374"/>
      <c r="AK607" s="1374"/>
      <c r="AL607" s="1374"/>
      <c r="AM607" s="1374"/>
      <c r="AN607" s="1374"/>
      <c r="AO607" s="1374"/>
      <c r="AP607" s="1374"/>
      <c r="AQ607" s="1374"/>
      <c r="AR607" s="1374"/>
      <c r="AS607" s="1374"/>
      <c r="AT607" s="1374"/>
      <c r="AU607" s="1374"/>
      <c r="AV607" s="1374"/>
      <c r="AW607" s="1374"/>
      <c r="AX607" s="1374"/>
      <c r="AY607" s="1374"/>
      <c r="AZ607" s="1374"/>
      <c r="BA607" s="1374"/>
      <c r="BB607" s="1374"/>
      <c r="BC607" s="1374"/>
      <c r="BD607" s="1374"/>
      <c r="BE607" s="1374"/>
      <c r="BF607" s="1374"/>
      <c r="BG607" s="1374"/>
      <c r="BH607" s="1374"/>
      <c r="BI607" s="1374"/>
      <c r="BJ607" s="1374"/>
      <c r="BK607" s="1374"/>
    </row>
    <row r="608" spans="1:63" ht="33" customHeight="1" x14ac:dyDescent="0.3">
      <c r="A608" s="653" t="str">
        <f t="shared" ca="1" si="176"/>
        <v>Total Rate Riders</v>
      </c>
      <c r="B608" s="1398">
        <v>11</v>
      </c>
      <c r="C608" s="654" t="str">
        <f t="shared" si="177"/>
        <v>K</v>
      </c>
      <c r="D608" s="1374"/>
      <c r="E608" s="662" t="s">
        <v>105</v>
      </c>
      <c r="F608" s="663" t="str">
        <f>ENMAX!$T5</f>
        <v>Variable Distribution Charge</v>
      </c>
      <c r="G608" s="663" t="str">
        <f>EPCOR!$T5</f>
        <v>Variable Distribution Charge</v>
      </c>
      <c r="H608" s="663" t="str">
        <f>FORTIS!$T5</f>
        <v>Variable Distribution Charge</v>
      </c>
      <c r="I608" s="663" t="str">
        <f>ATCO!$U5</f>
        <v>Variable Distribution Charge</v>
      </c>
      <c r="J608" s="911"/>
      <c r="K608" s="921"/>
      <c r="L608" s="656" t="str">
        <f t="shared" ca="1" si="178"/>
        <v>Total Administration Components</v>
      </c>
      <c r="M608" s="1398">
        <v>11</v>
      </c>
      <c r="N608" s="654" t="str">
        <f t="shared" si="179"/>
        <v>K</v>
      </c>
      <c r="O608" s="1374"/>
      <c r="P608" s="1076" t="s">
        <v>279</v>
      </c>
      <c r="Q608" s="669" t="str">
        <f>'ATCO-N'!$U5</f>
        <v>Municipal Property Tax Fee (Rider B)</v>
      </c>
      <c r="R608" s="669" t="str">
        <f>'ATCO-S'!$U5</f>
        <v>Municipal Property Tax Fee (Rider B)</v>
      </c>
      <c r="S608" s="669" t="str">
        <f>AltaGas!$U5</f>
        <v>Property Tax Rider (Rider B)</v>
      </c>
      <c r="T608" s="911"/>
      <c r="U608" s="1439"/>
      <c r="V608" s="1374"/>
      <c r="W608" s="1374"/>
      <c r="X608" s="1374"/>
      <c r="Y608" s="1374"/>
      <c r="Z608" s="1374"/>
      <c r="AA608" s="1374"/>
      <c r="AB608" s="1374"/>
      <c r="AC608" s="1374"/>
      <c r="AD608" s="1374"/>
      <c r="AE608" s="1374"/>
      <c r="AF608" s="1374"/>
      <c r="AG608" s="1374"/>
      <c r="AH608" s="1374"/>
      <c r="AI608" s="1374"/>
      <c r="AJ608" s="1374"/>
      <c r="AK608" s="1374"/>
      <c r="AL608" s="1374"/>
      <c r="AM608" s="1374"/>
      <c r="AN608" s="1374"/>
      <c r="AO608" s="1374"/>
      <c r="AP608" s="1374"/>
      <c r="AQ608" s="1374"/>
      <c r="AR608" s="1374"/>
      <c r="AS608" s="1374"/>
      <c r="AT608" s="1374"/>
      <c r="AU608" s="1374"/>
      <c r="AV608" s="1374"/>
      <c r="AW608" s="1374"/>
      <c r="AX608" s="1374"/>
      <c r="AY608" s="1374"/>
      <c r="AZ608" s="1374"/>
      <c r="BA608" s="1374"/>
      <c r="BB608" s="1374"/>
      <c r="BC608" s="1374"/>
      <c r="BD608" s="1374"/>
      <c r="BE608" s="1374"/>
      <c r="BF608" s="1374"/>
      <c r="BG608" s="1374"/>
      <c r="BH608" s="1374"/>
      <c r="BI608" s="1374"/>
      <c r="BJ608" s="1374"/>
      <c r="BK608" s="1374"/>
    </row>
    <row r="609" spans="1:63" ht="44.25" customHeight="1" x14ac:dyDescent="0.3">
      <c r="A609" s="653" t="str">
        <f t="shared" ca="1" si="176"/>
        <v>Total Administration Components</v>
      </c>
      <c r="B609" s="1398">
        <v>12</v>
      </c>
      <c r="C609" s="654" t="str">
        <f t="shared" si="177"/>
        <v>L</v>
      </c>
      <c r="D609" s="1374"/>
      <c r="E609" s="662" t="s">
        <v>104</v>
      </c>
      <c r="F609" s="663" t="str">
        <f>ENMAX!$U5</f>
        <v>Fixed Distribution Charge</v>
      </c>
      <c r="G609" s="663" t="str">
        <f>EPCOR!$U5</f>
        <v>Fixed Distribution Charge</v>
      </c>
      <c r="H609" s="663" t="str">
        <f>FORTIS!$U5</f>
        <v>Fixed Distribution Charge</v>
      </c>
      <c r="I609" s="663" t="str">
        <f>ATCO!$V5</f>
        <v>Fixed Distribution Charge</v>
      </c>
      <c r="J609" s="911"/>
      <c r="K609" s="921"/>
      <c r="L609" s="656" t="str">
        <f t="shared" ca="1" si="178"/>
        <v>Total Carbon Cost</v>
      </c>
      <c r="M609" s="1398">
        <v>12</v>
      </c>
      <c r="N609" s="654" t="str">
        <f t="shared" si="179"/>
        <v>L</v>
      </c>
      <c r="O609" s="1374"/>
      <c r="P609" s="664" t="s">
        <v>280</v>
      </c>
      <c r="Q609" s="668" t="str">
        <f>'ATCO-N'!$V5</f>
        <v>Municipal Franchise Fee Charge (Rider A)</v>
      </c>
      <c r="R609" s="668" t="str">
        <f>'ATCO-S'!$V5</f>
        <v>Municipal Franchise Fee Charge (Rider A)</v>
      </c>
      <c r="S609" s="668" t="str">
        <f>AltaGas!$V5</f>
        <v>Municipal Franchise Tax Charge (Rider A)</v>
      </c>
      <c r="T609" s="911"/>
      <c r="U609" s="1439"/>
      <c r="V609" s="1374"/>
      <c r="W609" s="1374"/>
      <c r="X609" s="1374"/>
      <c r="Y609" s="1374"/>
      <c r="Z609" s="1374"/>
      <c r="AA609" s="1374"/>
      <c r="AB609" s="1374"/>
      <c r="AC609" s="1374"/>
      <c r="AD609" s="1374"/>
      <c r="AE609" s="1374"/>
      <c r="AF609" s="1374"/>
      <c r="AG609" s="1374"/>
      <c r="AH609" s="1374"/>
      <c r="AI609" s="1374"/>
      <c r="AJ609" s="1374"/>
      <c r="AK609" s="1374"/>
      <c r="AL609" s="1374"/>
      <c r="AM609" s="1374"/>
      <c r="AN609" s="1374"/>
      <c r="AO609" s="1374"/>
      <c r="AP609" s="1374"/>
      <c r="AQ609" s="1374"/>
      <c r="AR609" s="1374"/>
      <c r="AS609" s="1374"/>
      <c r="AT609" s="1374"/>
      <c r="AU609" s="1374"/>
      <c r="AV609" s="1374"/>
      <c r="AW609" s="1374"/>
      <c r="AX609" s="1374"/>
      <c r="AY609" s="1374"/>
      <c r="AZ609" s="1374"/>
      <c r="BA609" s="1374"/>
      <c r="BB609" s="1374"/>
      <c r="BC609" s="1374"/>
      <c r="BD609" s="1374"/>
      <c r="BE609" s="1374"/>
      <c r="BF609" s="1374"/>
      <c r="BG609" s="1374"/>
      <c r="BH609" s="1374"/>
      <c r="BI609" s="1374"/>
      <c r="BJ609" s="1374"/>
      <c r="BK609" s="1374"/>
    </row>
    <row r="610" spans="1:63" ht="46.5" customHeight="1" x14ac:dyDescent="0.3">
      <c r="A610" s="653" t="str">
        <f t="shared" ca="1" si="176"/>
        <v>GST</v>
      </c>
      <c r="B610" s="1398">
        <v>13</v>
      </c>
      <c r="C610" s="654" t="str">
        <f t="shared" si="177"/>
        <v>M</v>
      </c>
      <c r="D610" s="1374"/>
      <c r="E610" s="662" t="s">
        <v>272</v>
      </c>
      <c r="F610" s="667"/>
      <c r="G610" s="670"/>
      <c r="H610" s="670"/>
      <c r="I610" s="663" t="str">
        <f>ATCO!$W5</f>
        <v>Fixed Service Charge</v>
      </c>
      <c r="J610" s="911"/>
      <c r="K610" s="921"/>
      <c r="L610" s="656" t="str">
        <f t="shared" ca="1" si="178"/>
        <v>GST</v>
      </c>
      <c r="M610" s="1398">
        <v>13</v>
      </c>
      <c r="N610" s="654" t="str">
        <f t="shared" si="179"/>
        <v>M</v>
      </c>
      <c r="O610" s="1374"/>
      <c r="P610" s="664" t="s">
        <v>281</v>
      </c>
      <c r="Q610" s="669" t="str">
        <f>'ATCO-N'!$W5</f>
        <v>Municipal Property Tax Charge (Rider B)</v>
      </c>
      <c r="R610" s="669" t="str">
        <f>'ATCO-S'!$W5</f>
        <v>Municipal Property Tax Fee Charge (Rider B)</v>
      </c>
      <c r="S610" s="669" t="str">
        <f>AltaGas!$W5</f>
        <v>Property Tax Fee Charge (Rider B)</v>
      </c>
      <c r="T610" s="911"/>
      <c r="U610" s="1439"/>
      <c r="V610" s="1374"/>
      <c r="W610" s="1374"/>
      <c r="X610" s="1374"/>
      <c r="Y610" s="1374"/>
      <c r="Z610" s="1374"/>
      <c r="AA610" s="1374"/>
      <c r="AB610" s="1374"/>
      <c r="AC610" s="1374"/>
      <c r="AD610" s="1374"/>
      <c r="AE610" s="1374"/>
      <c r="AF610" s="1374"/>
      <c r="AG610" s="1374"/>
      <c r="AH610" s="1374"/>
      <c r="AI610" s="1374"/>
      <c r="AJ610" s="1374"/>
      <c r="AK610" s="1374"/>
      <c r="AL610" s="1374"/>
      <c r="AM610" s="1374"/>
      <c r="AN610" s="1374"/>
      <c r="AO610" s="1374"/>
      <c r="AP610" s="1374"/>
      <c r="AQ610" s="1374"/>
      <c r="AR610" s="1374"/>
      <c r="AS610" s="1374"/>
      <c r="AT610" s="1374"/>
      <c r="AU610" s="1374"/>
      <c r="AV610" s="1374"/>
      <c r="AW610" s="1374"/>
      <c r="AX610" s="1374"/>
      <c r="AY610" s="1374"/>
      <c r="AZ610" s="1374"/>
      <c r="BA610" s="1374"/>
      <c r="BB610" s="1374"/>
      <c r="BC610" s="1374"/>
      <c r="BD610" s="1374"/>
      <c r="BE610" s="1374"/>
      <c r="BF610" s="1374"/>
      <c r="BG610" s="1374"/>
      <c r="BH610" s="1374"/>
      <c r="BI610" s="1374"/>
      <c r="BJ610" s="1374"/>
      <c r="BK610" s="1374"/>
    </row>
    <row r="611" spans="1:63" ht="51.75" customHeight="1" x14ac:dyDescent="0.3">
      <c r="A611" s="653" t="str">
        <f t="shared" ca="1" si="176"/>
        <v>RRO Energy Rate</v>
      </c>
      <c r="B611" s="1398">
        <v>14</v>
      </c>
      <c r="C611" s="654" t="str">
        <f t="shared" si="177"/>
        <v>N</v>
      </c>
      <c r="D611" s="575"/>
      <c r="E611" s="1076" t="s">
        <v>278</v>
      </c>
      <c r="F611" s="671" t="str">
        <f>ENMAX!$V5</f>
        <v>Local Access Fee (Calgary)</v>
      </c>
      <c r="G611" s="672" t="str">
        <f>EPCOR!$V5</f>
        <v>Local Access Fee (Edmonton)</v>
      </c>
      <c r="H611" s="672" t="str">
        <f>FORTIS!$V5</f>
        <v>Municipal Franchise Fee</v>
      </c>
      <c r="I611" s="672" t="str">
        <f>ATCO!$X5</f>
        <v>Municipal Franchise Fee</v>
      </c>
      <c r="J611" s="911"/>
      <c r="K611" s="921"/>
      <c r="L611" s="656" t="str">
        <f t="shared" ca="1" si="178"/>
        <v>DRT Rate (Rider F)</v>
      </c>
      <c r="M611" s="1398">
        <v>14</v>
      </c>
      <c r="N611" s="654" t="str">
        <f t="shared" si="179"/>
        <v>N</v>
      </c>
      <c r="O611" s="1374"/>
      <c r="P611" s="1076" t="s">
        <v>282</v>
      </c>
      <c r="Q611" s="673" t="str">
        <f>'ATCO-N'!$X5</f>
        <v>Interim Rider for Fixed Charges (Rider S)</v>
      </c>
      <c r="R611" s="673" t="str">
        <f>'ATCO-S'!$X5</f>
        <v>Carbon Recovery Rider (Rider H)</v>
      </c>
      <c r="S611" s="673" t="str">
        <f>AltaGas!$X5</f>
        <v>Deficiency Rider on Distribution Revenues (Rider F)</v>
      </c>
      <c r="T611" s="911"/>
      <c r="U611" s="1439"/>
      <c r="V611" s="1374"/>
      <c r="W611" s="1374"/>
      <c r="X611" s="1374"/>
      <c r="Y611" s="1374"/>
      <c r="Z611" s="1374"/>
      <c r="AA611" s="1374"/>
      <c r="AB611" s="1374"/>
      <c r="AC611" s="1374"/>
      <c r="AD611" s="1374"/>
      <c r="AE611" s="1374"/>
      <c r="AF611" s="1374"/>
      <c r="AG611" s="1374"/>
      <c r="AH611" s="1374"/>
      <c r="AI611" s="1374"/>
      <c r="AJ611" s="1374"/>
      <c r="AK611" s="1374"/>
      <c r="AL611" s="1374"/>
      <c r="AM611" s="1374"/>
      <c r="AN611" s="1374"/>
      <c r="AO611" s="1374"/>
      <c r="AP611" s="1374"/>
      <c r="AQ611" s="1374"/>
      <c r="AR611" s="1374"/>
      <c r="AS611" s="1374"/>
      <c r="AT611" s="1374"/>
      <c r="AU611" s="1374"/>
      <c r="AV611" s="1374"/>
      <c r="AW611" s="1374"/>
      <c r="AX611" s="1374"/>
      <c r="AY611" s="1374"/>
      <c r="AZ611" s="1374"/>
      <c r="BA611" s="1374"/>
      <c r="BB611" s="1374"/>
      <c r="BC611" s="1374"/>
      <c r="BD611" s="1374"/>
      <c r="BE611" s="1374"/>
      <c r="BF611" s="1374"/>
      <c r="BG611" s="1374"/>
      <c r="BH611" s="1374"/>
      <c r="BI611" s="1374"/>
      <c r="BJ611" s="1374"/>
      <c r="BK611" s="1374"/>
    </row>
    <row r="612" spans="1:63" ht="56" x14ac:dyDescent="0.3">
      <c r="A612" s="653" t="str">
        <f t="shared" ca="1" si="176"/>
        <v>Energy Charge</v>
      </c>
      <c r="B612" s="1398">
        <v>15</v>
      </c>
      <c r="C612" s="654" t="str">
        <f t="shared" si="177"/>
        <v>O</v>
      </c>
      <c r="D612" s="575"/>
      <c r="E612" s="1076" t="s">
        <v>279</v>
      </c>
      <c r="F612" s="670"/>
      <c r="G612" s="667"/>
      <c r="H612" s="674" t="str">
        <f>FORTIS!$W5</f>
        <v>Municipal Assessment Rider (A-1)</v>
      </c>
      <c r="I612" s="674" t="str">
        <f>ATCO!$Y5</f>
        <v>Municipal Assessment Rider (A-1)</v>
      </c>
      <c r="J612" s="911"/>
      <c r="K612" s="921"/>
      <c r="L612" s="656" t="str">
        <f t="shared" ca="1" si="178"/>
        <v>Energy Charge</v>
      </c>
      <c r="M612" s="1398">
        <v>15</v>
      </c>
      <c r="N612" s="654" t="str">
        <f t="shared" si="179"/>
        <v>O</v>
      </c>
      <c r="O612" s="1374"/>
      <c r="P612" s="1076" t="s">
        <v>283</v>
      </c>
      <c r="Q612" s="673" t="str">
        <f>'ATCO-N'!$Y5</f>
        <v>Interim Rider for Variable Charges (Rider S)</v>
      </c>
      <c r="R612" s="675" t="str">
        <f>'ATCO-S'!$Y5</f>
        <v>Load Balance Rider (Rider L)</v>
      </c>
      <c r="S612" s="673" t="str">
        <f>AltaGas!$Y5</f>
        <v>Deficiency Rider on Distribution and Adminstration Revenues (Rider F)</v>
      </c>
      <c r="T612" s="911"/>
      <c r="U612" s="1439"/>
      <c r="V612" s="1374"/>
      <c r="W612" s="1374"/>
      <c r="X612" s="1374"/>
      <c r="Y612" s="1374"/>
      <c r="Z612" s="1374"/>
      <c r="AA612" s="1374"/>
      <c r="AB612" s="1374"/>
      <c r="AC612" s="1374"/>
      <c r="AD612" s="1374"/>
      <c r="AE612" s="1374"/>
      <c r="AF612" s="1374"/>
      <c r="AG612" s="1374"/>
      <c r="AH612" s="1374"/>
      <c r="AI612" s="1374"/>
      <c r="AJ612" s="1374"/>
      <c r="AK612" s="1374"/>
      <c r="AL612" s="1374"/>
      <c r="AM612" s="1374"/>
      <c r="AN612" s="1374"/>
      <c r="AO612" s="1374"/>
      <c r="AP612" s="1374"/>
      <c r="AQ612" s="1374"/>
      <c r="AR612" s="1374"/>
      <c r="AS612" s="1374"/>
      <c r="AT612" s="1374"/>
      <c r="AU612" s="1374"/>
      <c r="AV612" s="1374"/>
      <c r="AW612" s="1374"/>
      <c r="AX612" s="1374"/>
      <c r="AY612" s="1374"/>
      <c r="AZ612" s="1374"/>
      <c r="BA612" s="1374"/>
      <c r="BB612" s="1374"/>
      <c r="BC612" s="1374"/>
      <c r="BD612" s="1374"/>
      <c r="BE612" s="1374"/>
      <c r="BF612" s="1374"/>
      <c r="BG612" s="1374"/>
      <c r="BH612" s="1374"/>
      <c r="BI612" s="1374"/>
      <c r="BJ612" s="1374"/>
      <c r="BK612" s="1374"/>
    </row>
    <row r="613" spans="1:63" ht="42" x14ac:dyDescent="0.3">
      <c r="A613" s="653" t="str">
        <f t="shared" ca="1" si="176"/>
        <v>Variable Transmission Rate</v>
      </c>
      <c r="B613" s="1398">
        <v>16</v>
      </c>
      <c r="C613" s="654" t="str">
        <f t="shared" si="177"/>
        <v>P</v>
      </c>
      <c r="D613" s="575"/>
      <c r="E613" s="1076" t="s">
        <v>280</v>
      </c>
      <c r="F613" s="671" t="str">
        <f>ENMAX!$W5</f>
        <v>LAF Wires Component Charge</v>
      </c>
      <c r="G613" s="672" t="str">
        <f>EPCOR!$W5</f>
        <v>LAF Charge</v>
      </c>
      <c r="H613" s="672" t="str">
        <f>FORTIS!$X5</f>
        <v>Municipal Franchise Fee Charge</v>
      </c>
      <c r="I613" s="672" t="str">
        <f>ATCO!$Z5</f>
        <v>Municipal Franchise Fee Charge</v>
      </c>
      <c r="J613" s="911"/>
      <c r="K613" s="921"/>
      <c r="L613" s="656" t="str">
        <f t="shared" ca="1" si="178"/>
        <v>Variable Delivery Rate</v>
      </c>
      <c r="M613" s="1398">
        <v>16</v>
      </c>
      <c r="N613" s="654" t="str">
        <f t="shared" si="179"/>
        <v>P</v>
      </c>
      <c r="O613" s="1374"/>
      <c r="P613" s="1076" t="s">
        <v>284</v>
      </c>
      <c r="Q613" s="675" t="str">
        <f>'ATCO-N'!$Z5</f>
        <v>Load Balance Rider (Rider L)</v>
      </c>
      <c r="R613" s="676" t="str">
        <f>'ATCO-S'!$Z5</f>
        <v>Interim Rider for Fixed Charges (Rider S)</v>
      </c>
      <c r="S613" s="675" t="str">
        <f>AltaGas!$Z5</f>
        <v>Third Party Transportation Cost Rider (Rider G)</v>
      </c>
      <c r="T613" s="911"/>
      <c r="U613" s="1439"/>
      <c r="V613" s="1374"/>
      <c r="W613" s="1374"/>
      <c r="X613" s="1374"/>
      <c r="Y613" s="1374"/>
      <c r="Z613" s="1374"/>
      <c r="AA613" s="1374"/>
      <c r="AB613" s="1374"/>
      <c r="AC613" s="1374"/>
      <c r="AD613" s="1374"/>
      <c r="AE613" s="1374"/>
      <c r="AF613" s="1374"/>
      <c r="AG613" s="1374"/>
      <c r="AH613" s="1374"/>
      <c r="AI613" s="1374"/>
      <c r="AJ613" s="1374"/>
      <c r="AK613" s="1374"/>
      <c r="AL613" s="1374"/>
      <c r="AM613" s="1374"/>
      <c r="AN613" s="1374"/>
      <c r="AO613" s="1374"/>
      <c r="AP613" s="1374"/>
      <c r="AQ613" s="1374"/>
      <c r="AR613" s="1374"/>
      <c r="AS613" s="1374"/>
      <c r="AT613" s="1374"/>
      <c r="AU613" s="1374"/>
      <c r="AV613" s="1374"/>
      <c r="AW613" s="1374"/>
      <c r="AX613" s="1374"/>
      <c r="AY613" s="1374"/>
      <c r="AZ613" s="1374"/>
      <c r="BA613" s="1374"/>
      <c r="BB613" s="1374"/>
      <c r="BC613" s="1374"/>
      <c r="BD613" s="1374"/>
      <c r="BE613" s="1374"/>
      <c r="BF613" s="1374"/>
      <c r="BG613" s="1374"/>
      <c r="BH613" s="1374"/>
      <c r="BI613" s="1374"/>
      <c r="BJ613" s="1374"/>
      <c r="BK613" s="1374"/>
    </row>
    <row r="614" spans="1:63" ht="42" x14ac:dyDescent="0.3">
      <c r="A614" s="653" t="str">
        <f t="shared" ca="1" si="176"/>
        <v>Variable Transmission Charge</v>
      </c>
      <c r="B614" s="1398">
        <v>17</v>
      </c>
      <c r="C614" s="654" t="str">
        <f t="shared" si="177"/>
        <v>Q</v>
      </c>
      <c r="D614" s="575"/>
      <c r="E614" s="1076" t="s">
        <v>281</v>
      </c>
      <c r="F614" s="671" t="str">
        <f>ENMAX!$X5</f>
        <v>LAF Energy Component Charge</v>
      </c>
      <c r="G614" s="667"/>
      <c r="H614" s="674" t="str">
        <f>FORTIS!$Y5</f>
        <v>Municipal Assessment Charge (A-1)</v>
      </c>
      <c r="I614" s="674" t="str">
        <f>ATCO!$AA5</f>
        <v>Municipal Assessment Charge (A-1)</v>
      </c>
      <c r="J614" s="911"/>
      <c r="K614" s="921"/>
      <c r="L614" s="656" t="str">
        <f t="shared" ca="1" si="178"/>
        <v>Fixed Delivery Rate</v>
      </c>
      <c r="M614" s="1398">
        <v>17</v>
      </c>
      <c r="N614" s="654" t="str">
        <f t="shared" si="179"/>
        <v>Q</v>
      </c>
      <c r="O614" s="1374"/>
      <c r="P614" s="1076" t="s">
        <v>285</v>
      </c>
      <c r="Q614" s="676" t="str">
        <f>'ATCO-N'!$AA5</f>
        <v>Transmission Service Rider (Rider T)</v>
      </c>
      <c r="R614" s="676" t="str">
        <f>'ATCO-S'!$AA5</f>
        <v>Interim Rider for Variable Charges (Rider S)</v>
      </c>
      <c r="S614" s="677" t="str">
        <f>AltaGas!$AA5</f>
        <v>Load Balance Rider (Rider L)</v>
      </c>
      <c r="T614" s="911"/>
      <c r="U614" s="1439"/>
      <c r="V614" s="1374"/>
      <c r="W614" s="1374"/>
      <c r="X614" s="1374"/>
      <c r="Y614" s="1374"/>
      <c r="Z614" s="1374"/>
      <c r="AA614" s="1374"/>
      <c r="AB614" s="1374"/>
      <c r="AC614" s="1374"/>
      <c r="AD614" s="1374"/>
      <c r="AE614" s="1374"/>
      <c r="AF614" s="1374"/>
      <c r="AG614" s="1374"/>
      <c r="AH614" s="1374"/>
      <c r="AI614" s="1374"/>
      <c r="AJ614" s="1374"/>
      <c r="AK614" s="1374"/>
      <c r="AL614" s="1374"/>
      <c r="AM614" s="1374"/>
      <c r="AN614" s="1374"/>
      <c r="AO614" s="1374"/>
      <c r="AP614" s="1374"/>
      <c r="AQ614" s="1374"/>
      <c r="AR614" s="1374"/>
      <c r="AS614" s="1374"/>
      <c r="AT614" s="1374"/>
      <c r="AU614" s="1374"/>
      <c r="AV614" s="1374"/>
      <c r="AW614" s="1374"/>
      <c r="AX614" s="1374"/>
      <c r="AY614" s="1374"/>
      <c r="AZ614" s="1374"/>
      <c r="BA614" s="1374"/>
      <c r="BB614" s="1374"/>
      <c r="BC614" s="1374"/>
      <c r="BD614" s="1374"/>
      <c r="BE614" s="1374"/>
      <c r="BF614" s="1374"/>
      <c r="BG614" s="1374"/>
      <c r="BH614" s="1374"/>
      <c r="BI614" s="1374"/>
      <c r="BJ614" s="1374"/>
      <c r="BK614" s="1374"/>
    </row>
    <row r="615" spans="1:63" ht="54" customHeight="1" x14ac:dyDescent="0.3">
      <c r="A615" s="653" t="str">
        <f t="shared" ca="1" si="176"/>
        <v>Distribution System Usage Rate</v>
      </c>
      <c r="B615" s="1398">
        <v>18</v>
      </c>
      <c r="C615" s="654" t="str">
        <f t="shared" si="177"/>
        <v>R</v>
      </c>
      <c r="D615" s="575"/>
      <c r="E615" s="1076" t="s">
        <v>282</v>
      </c>
      <c r="F615" s="678" t="str">
        <f>ENMAX!$Y5</f>
        <v>Balancing Pool Allocation Refund Rider</v>
      </c>
      <c r="G615" s="679" t="str">
        <f>EPCOR!$X5</f>
        <v>Balancing Pool Allocation (Rider G)</v>
      </c>
      <c r="H615" s="679" t="str">
        <f>FORTIS!$Z5</f>
        <v>Balancing Pool Allocation Rider</v>
      </c>
      <c r="I615" s="679" t="str">
        <f>ATCO!$AB5</f>
        <v>Balancing Pool Allocation Rider (Rider B)</v>
      </c>
      <c r="J615" s="911"/>
      <c r="K615" s="921"/>
      <c r="L615" s="656" t="str">
        <f t="shared" ca="1" si="178"/>
        <v>Variable Distribution Charge</v>
      </c>
      <c r="M615" s="1398">
        <v>18</v>
      </c>
      <c r="N615" s="654" t="str">
        <f t="shared" si="179"/>
        <v>R</v>
      </c>
      <c r="O615" s="1374"/>
      <c r="P615" s="1076" t="s">
        <v>286</v>
      </c>
      <c r="Q615" s="680" t="str">
        <f>'ATCO-N'!$AB5</f>
        <v>Weather Deferral Account (Rider W)</v>
      </c>
      <c r="R615" s="680" t="str">
        <f>'ATCO-S'!$AB5</f>
        <v>Transmission Service Rider (Rider T)</v>
      </c>
      <c r="S615" s="681"/>
      <c r="T615" s="911"/>
      <c r="U615" s="1439"/>
      <c r="V615" s="1374"/>
      <c r="W615" s="1374"/>
      <c r="X615" s="1374"/>
      <c r="Y615" s="1374"/>
      <c r="Z615" s="1374"/>
      <c r="AA615" s="1374"/>
      <c r="AB615" s="1374"/>
      <c r="AC615" s="1374"/>
      <c r="AD615" s="1374"/>
      <c r="AE615" s="1374"/>
      <c r="AF615" s="1374"/>
      <c r="AG615" s="1374"/>
      <c r="AH615" s="1374"/>
      <c r="AI615" s="1374"/>
      <c r="AJ615" s="1374"/>
      <c r="AK615" s="1374"/>
      <c r="AL615" s="1374"/>
      <c r="AM615" s="1374"/>
      <c r="AN615" s="1374"/>
      <c r="AO615" s="1374"/>
      <c r="AP615" s="1374"/>
      <c r="AQ615" s="1374"/>
      <c r="AR615" s="1374"/>
      <c r="AS615" s="1374"/>
      <c r="AT615" s="1374"/>
      <c r="AU615" s="1374"/>
      <c r="AV615" s="1374"/>
      <c r="AW615" s="1374"/>
      <c r="AX615" s="1374"/>
      <c r="AY615" s="1374"/>
      <c r="AZ615" s="1374"/>
      <c r="BA615" s="1374"/>
      <c r="BB615" s="1374"/>
      <c r="BC615" s="1374"/>
      <c r="BD615" s="1374"/>
      <c r="BE615" s="1374"/>
      <c r="BF615" s="1374"/>
      <c r="BG615" s="1374"/>
      <c r="BH615" s="1374"/>
      <c r="BI615" s="1374"/>
      <c r="BJ615" s="1374"/>
      <c r="BK615" s="1374"/>
    </row>
    <row r="616" spans="1:63" ht="42" x14ac:dyDescent="0.3">
      <c r="A616" s="653" t="str">
        <f t="shared" ca="1" si="176"/>
        <v>Distribution Service and Facilities Rate</v>
      </c>
      <c r="B616" s="1398">
        <v>19</v>
      </c>
      <c r="C616" s="654" t="str">
        <f t="shared" si="177"/>
        <v>S</v>
      </c>
      <c r="D616" s="575"/>
      <c r="E616" s="1076" t="s">
        <v>283</v>
      </c>
      <c r="F616" s="682" t="str">
        <f>ENMAX!$Z5</f>
        <v>Transmission Access Charge Deferral Account Rider</v>
      </c>
      <c r="G616" s="683" t="str">
        <f>EPCOR!$Y5</f>
        <v>Transmission Charge Def. Acct. True-Up Rider (Rider K)</v>
      </c>
      <c r="H616" s="683" t="str">
        <f>FORTIS!$AA5</f>
        <v>Base Transmission Adjustment Rider (Base TAR)</v>
      </c>
      <c r="I616" s="683" t="str">
        <f>ATCO!$AC5</f>
        <v>Temporary Adjustment (Rider G)</v>
      </c>
      <c r="J616" s="911"/>
      <c r="K616" s="921"/>
      <c r="L616" s="656" t="str">
        <f t="shared" ca="1" si="178"/>
        <v>Fixed Distribution Charge</v>
      </c>
      <c r="M616" s="1398">
        <v>19</v>
      </c>
      <c r="N616" s="654" t="str">
        <f t="shared" si="179"/>
        <v>S</v>
      </c>
      <c r="O616" s="1374"/>
      <c r="P616" s="1076" t="s">
        <v>305</v>
      </c>
      <c r="Q616" s="1228" t="str">
        <f>'ATCO-N'!$AC5</f>
        <v>Rider X</v>
      </c>
      <c r="R616" s="684" t="str">
        <f>'ATCO-S'!$AC5</f>
        <v>Weather Deferral Account (Rider W)</v>
      </c>
      <c r="S616" s="681"/>
      <c r="T616" s="911"/>
      <c r="U616" s="1439"/>
      <c r="V616" s="1374"/>
      <c r="W616" s="1374"/>
      <c r="X616" s="1374"/>
      <c r="Y616" s="1374"/>
      <c r="Z616" s="1374"/>
      <c r="AA616" s="1374"/>
      <c r="AB616" s="1374"/>
      <c r="AC616" s="1374"/>
      <c r="AD616" s="1374"/>
      <c r="AE616" s="1374"/>
      <c r="AF616" s="1374"/>
      <c r="AG616" s="1374"/>
      <c r="AH616" s="1374"/>
      <c r="AI616" s="1374"/>
      <c r="AJ616" s="1374"/>
      <c r="AK616" s="1374"/>
      <c r="AL616" s="1374"/>
      <c r="AM616" s="1374"/>
      <c r="AN616" s="1374"/>
      <c r="AO616" s="1374"/>
      <c r="AP616" s="1374"/>
      <c r="AQ616" s="1374"/>
      <c r="AR616" s="1374"/>
      <c r="AS616" s="1374"/>
      <c r="AT616" s="1374"/>
      <c r="AU616" s="1374"/>
      <c r="AV616" s="1374"/>
      <c r="AW616" s="1374"/>
      <c r="AX616" s="1374"/>
      <c r="AY616" s="1374"/>
      <c r="AZ616" s="1374"/>
      <c r="BA616" s="1374"/>
      <c r="BB616" s="1374"/>
      <c r="BC616" s="1374"/>
      <c r="BD616" s="1374"/>
      <c r="BE616" s="1374"/>
      <c r="BF616" s="1374"/>
      <c r="BG616" s="1374"/>
      <c r="BH616" s="1374"/>
      <c r="BI616" s="1374"/>
      <c r="BJ616" s="1374"/>
      <c r="BK616" s="1374"/>
    </row>
    <row r="617" spans="1:63" ht="58.5" customHeight="1" x14ac:dyDescent="0.3">
      <c r="A617" s="653" t="str">
        <f t="shared" ca="1" si="176"/>
        <v>Variable Distribution Charge</v>
      </c>
      <c r="B617" s="1398">
        <v>20</v>
      </c>
      <c r="C617" s="654" t="str">
        <f t="shared" si="177"/>
        <v>T</v>
      </c>
      <c r="D617" s="575"/>
      <c r="E617" s="1076" t="s">
        <v>284</v>
      </c>
      <c r="F617" s="685" t="str">
        <f>ENMAX!$AA5</f>
        <v>DAS Adjustment Rider</v>
      </c>
      <c r="G617" s="686" t="str">
        <f>EPCOR!$Z5</f>
        <v>SAS True-up (Rider J)</v>
      </c>
      <c r="H617" s="686" t="str">
        <f>FORTIS!$AB5</f>
        <v>Quarterly Transmission Adjustment Rider (QTAR) (Original)</v>
      </c>
      <c r="I617" s="686" t="str">
        <f>ATCO!$AD5</f>
        <v>Quarterly SAS Adjustment (Rider S)</v>
      </c>
      <c r="J617" s="911"/>
      <c r="K617" s="921"/>
      <c r="L617" s="656" t="str">
        <f t="shared" ca="1" si="178"/>
        <v>Municipal Franchise Fee (Rider A)</v>
      </c>
      <c r="M617" s="1398">
        <v>20</v>
      </c>
      <c r="N617" s="654" t="str">
        <f t="shared" si="179"/>
        <v>T</v>
      </c>
      <c r="O617" s="1374"/>
      <c r="P617" s="1076" t="s">
        <v>581</v>
      </c>
      <c r="Q617" s="1229" t="str">
        <f>'ATCO-N'!$AD5</f>
        <v>Rider Y</v>
      </c>
      <c r="R617" s="1228" t="str">
        <f>'ATCO-S'!$AD5</f>
        <v>Rider X</v>
      </c>
      <c r="S617" s="681"/>
      <c r="T617" s="911"/>
      <c r="U617" s="1439"/>
      <c r="V617" s="1374"/>
      <c r="W617" s="1374"/>
      <c r="X617" s="1374"/>
      <c r="Y617" s="1374"/>
      <c r="Z617" s="1374"/>
      <c r="AA617" s="1374"/>
      <c r="AB617" s="1374"/>
      <c r="AC617" s="1374"/>
      <c r="AD617" s="1374"/>
      <c r="AE617" s="1374"/>
      <c r="AF617" s="1374"/>
      <c r="AG617" s="1374"/>
      <c r="AH617" s="1374"/>
      <c r="AI617" s="1374"/>
      <c r="AJ617" s="1374"/>
      <c r="AK617" s="1374"/>
      <c r="AL617" s="1374"/>
      <c r="AM617" s="1374"/>
      <c r="AN617" s="1374"/>
      <c r="AO617" s="1374"/>
      <c r="AP617" s="1374"/>
      <c r="AQ617" s="1374"/>
      <c r="AR617" s="1374"/>
      <c r="AS617" s="1374"/>
      <c r="AT617" s="1374"/>
      <c r="AU617" s="1374"/>
      <c r="AV617" s="1374"/>
      <c r="AW617" s="1374"/>
      <c r="AX617" s="1374"/>
      <c r="AY617" s="1374"/>
      <c r="AZ617" s="1374"/>
      <c r="BA617" s="1374"/>
      <c r="BB617" s="1374"/>
      <c r="BC617" s="1374"/>
      <c r="BD617" s="1374"/>
      <c r="BE617" s="1374"/>
      <c r="BF617" s="1374"/>
      <c r="BG617" s="1374"/>
      <c r="BH617" s="1374"/>
      <c r="BI617" s="1374"/>
      <c r="BJ617" s="1374"/>
      <c r="BK617" s="1374"/>
    </row>
    <row r="618" spans="1:63" ht="61.5" customHeight="1" x14ac:dyDescent="0.3">
      <c r="A618" s="653" t="str">
        <f t="shared" ca="1" si="176"/>
        <v>Fixed Distribution Charge</v>
      </c>
      <c r="B618" s="1398">
        <v>21</v>
      </c>
      <c r="C618" s="654" t="str">
        <f t="shared" si="177"/>
        <v>U</v>
      </c>
      <c r="D618" s="575"/>
      <c r="E618" s="1076" t="s">
        <v>285</v>
      </c>
      <c r="F618" s="687" t="str">
        <f>ENMAX!$AB5</f>
        <v>RRO Non-Energy Rate Rider (Rider Charge)</v>
      </c>
      <c r="G618" s="688" t="str">
        <f>EPCOR!$AA5</f>
        <v>DAS True-up (Rider DJ)</v>
      </c>
      <c r="H618" s="686" t="str">
        <f>FORTIS!$AC5</f>
        <v>Quarterly Transmission Adjustment Rider (QTAR) (Revised)</v>
      </c>
      <c r="I618" s="688" t="str">
        <f>ATCO!$AE5</f>
        <v>Interim Adjustment (Rider J)</v>
      </c>
      <c r="J618" s="911"/>
      <c r="K618" s="921"/>
      <c r="L618" s="656" t="str">
        <f t="shared" ca="1" si="178"/>
        <v>Municipal Property Tax Fee (Rider B)</v>
      </c>
      <c r="M618" s="1398">
        <v>21</v>
      </c>
      <c r="N618" s="654" t="str">
        <f t="shared" si="179"/>
        <v>U</v>
      </c>
      <c r="O618" s="1374"/>
      <c r="P618" s="1076" t="s">
        <v>582</v>
      </c>
      <c r="Q618" s="638" t="str">
        <f>'ATCO-N'!$AE5</f>
        <v>Rider Z</v>
      </c>
      <c r="R618" s="1229" t="str">
        <f>'ATCO-S'!$AE5</f>
        <v>Rider Y</v>
      </c>
      <c r="S618" s="681"/>
      <c r="T618" s="911"/>
      <c r="U618" s="1439"/>
      <c r="V618" s="1374"/>
      <c r="W618" s="1374"/>
      <c r="X618" s="1374"/>
      <c r="Y618" s="1374"/>
      <c r="Z618" s="1374"/>
      <c r="AA618" s="1374"/>
      <c r="AB618" s="1374"/>
      <c r="AC618" s="1374"/>
      <c r="AD618" s="1374"/>
      <c r="AE618" s="1374"/>
      <c r="AF618" s="1374"/>
      <c r="AG618" s="1374"/>
      <c r="AH618" s="1374"/>
      <c r="AI618" s="1374"/>
      <c r="AJ618" s="1374"/>
      <c r="AK618" s="1374"/>
      <c r="AL618" s="1374"/>
      <c r="AM618" s="1374"/>
      <c r="AN618" s="1374"/>
      <c r="AO618" s="1374"/>
      <c r="AP618" s="1374"/>
      <c r="AQ618" s="1374"/>
      <c r="AR618" s="1374"/>
      <c r="AS618" s="1374"/>
      <c r="AT618" s="1374"/>
      <c r="AU618" s="1374"/>
      <c r="AV618" s="1374"/>
      <c r="AW618" s="1374"/>
      <c r="AX618" s="1374"/>
      <c r="AY618" s="1374"/>
      <c r="AZ618" s="1374"/>
      <c r="BA618" s="1374"/>
      <c r="BB618" s="1374"/>
      <c r="BC618" s="1374"/>
      <c r="BD618" s="1374"/>
      <c r="BE618" s="1374"/>
      <c r="BF618" s="1374"/>
      <c r="BG618" s="1374"/>
      <c r="BH618" s="1374"/>
      <c r="BI618" s="1374"/>
      <c r="BJ618" s="1374"/>
      <c r="BK618" s="1374"/>
    </row>
    <row r="619" spans="1:63" ht="39" customHeight="1" x14ac:dyDescent="0.3">
      <c r="A619" s="653" t="str">
        <f t="shared" ca="1" si="176"/>
        <v>Local Access Fee (Calgary)</v>
      </c>
      <c r="B619" s="1398">
        <v>22</v>
      </c>
      <c r="C619" s="654" t="str">
        <f t="shared" si="177"/>
        <v>V</v>
      </c>
      <c r="D619" s="575"/>
      <c r="E619" s="1076" t="s">
        <v>286</v>
      </c>
      <c r="F619" s="670"/>
      <c r="G619" s="690" t="str">
        <f>EPCOR!$AB5</f>
        <v>Generic Cost of Capital Rider (Rider DG)</v>
      </c>
      <c r="H619" s="688" t="str">
        <f>FORTIS!$AD5</f>
        <v>Distribution Adjustment Rider (DAR)</v>
      </c>
      <c r="I619" s="690" t="str">
        <f>ATCO!$AF5</f>
        <v>Rider X</v>
      </c>
      <c r="J619" s="911"/>
      <c r="K619" s="921"/>
      <c r="L619" s="656" t="str">
        <f t="shared" ca="1" si="178"/>
        <v>Municipal Franchise Fee Charge (Rider A)</v>
      </c>
      <c r="M619" s="1398">
        <v>22</v>
      </c>
      <c r="N619" s="654" t="str">
        <f t="shared" si="179"/>
        <v>V</v>
      </c>
      <c r="O619" s="1374"/>
      <c r="P619" s="1076" t="s">
        <v>671</v>
      </c>
      <c r="Q619" s="681"/>
      <c r="R619" s="638" t="str">
        <f>'ATCO-S'!$AF5</f>
        <v>Rider Z</v>
      </c>
      <c r="S619" s="681"/>
      <c r="T619" s="911"/>
      <c r="U619" s="1439"/>
      <c r="V619" s="1374"/>
      <c r="W619" s="1374"/>
      <c r="X619" s="1374"/>
      <c r="Y619" s="1374"/>
      <c r="Z619" s="1374"/>
      <c r="AA619" s="1374"/>
      <c r="AB619" s="1374"/>
      <c r="AC619" s="1374"/>
      <c r="AD619" s="1374"/>
      <c r="AE619" s="1374"/>
      <c r="AF619" s="1374"/>
      <c r="AG619" s="1374"/>
      <c r="AH619" s="1374"/>
      <c r="AI619" s="1374"/>
      <c r="AJ619" s="1374"/>
      <c r="AK619" s="1374"/>
      <c r="AL619" s="1374"/>
      <c r="AM619" s="1374"/>
      <c r="AN619" s="1374"/>
      <c r="AO619" s="1374"/>
      <c r="AP619" s="1374"/>
      <c r="AQ619" s="1374"/>
      <c r="AR619" s="1374"/>
      <c r="AS619" s="1374"/>
      <c r="AT619" s="1374"/>
      <c r="AU619" s="1374"/>
      <c r="AV619" s="1374"/>
      <c r="AW619" s="1374"/>
      <c r="AX619" s="1374"/>
      <c r="AY619" s="1374"/>
      <c r="AZ619" s="1374"/>
      <c r="BA619" s="1374"/>
      <c r="BB619" s="1374"/>
      <c r="BC619" s="1374"/>
      <c r="BD619" s="1374"/>
      <c r="BE619" s="1374"/>
      <c r="BF619" s="1374"/>
      <c r="BG619" s="1374"/>
      <c r="BH619" s="1374"/>
      <c r="BI619" s="1374"/>
      <c r="BJ619" s="1374"/>
      <c r="BK619" s="1374"/>
    </row>
    <row r="620" spans="1:63" ht="37.5" customHeight="1" x14ac:dyDescent="0.3">
      <c r="A620" s="653" t="str">
        <f t="shared" ca="1" si="176"/>
        <v>LAF Wires Component Charge</v>
      </c>
      <c r="B620" s="1398">
        <v>23</v>
      </c>
      <c r="C620" s="654" t="str">
        <f t="shared" si="177"/>
        <v>W</v>
      </c>
      <c r="D620" s="575"/>
      <c r="E620" s="1076" t="s">
        <v>305</v>
      </c>
      <c r="F620" s="670"/>
      <c r="G620" s="670"/>
      <c r="H620" s="670"/>
      <c r="I620" s="1227" t="str">
        <f>ATCO!$AG5</f>
        <v>Rider Y</v>
      </c>
      <c r="J620" s="911"/>
      <c r="K620" s="921"/>
      <c r="L620" s="656" t="str">
        <f t="shared" ca="1" si="178"/>
        <v>Municipal Property Tax Fee Charge (Rider B)</v>
      </c>
      <c r="M620" s="1398">
        <v>23</v>
      </c>
      <c r="N620" s="654" t="str">
        <f t="shared" si="179"/>
        <v>W</v>
      </c>
      <c r="O620" s="1374"/>
      <c r="P620" s="1076" t="s">
        <v>287</v>
      </c>
      <c r="Q620" s="673" t="str">
        <f>'ATCO-N'!$AF5</f>
        <v>Interim Rider Charge (Rider S)</v>
      </c>
      <c r="R620" s="673" t="str">
        <f>'ATCO-S'!$AG5</f>
        <v>Carbon Recovery Charge (Rider H)</v>
      </c>
      <c r="S620" s="678" t="str">
        <f>AltaGas!$AB5</f>
        <v>Deficiency Rider Charge (Rider F)</v>
      </c>
      <c r="T620" s="911"/>
      <c r="U620" s="1439"/>
      <c r="V620" s="1374"/>
      <c r="W620" s="1374"/>
      <c r="X620" s="1374"/>
      <c r="Y620" s="1374"/>
      <c r="Z620" s="1374"/>
      <c r="AA620" s="1374"/>
      <c r="AB620" s="1374"/>
      <c r="AC620" s="1374"/>
      <c r="AD620" s="1374"/>
      <c r="AE620" s="1374"/>
      <c r="AF620" s="1374"/>
      <c r="AG620" s="1374"/>
      <c r="AH620" s="1374"/>
      <c r="AI620" s="1374"/>
      <c r="AJ620" s="1374"/>
      <c r="AK620" s="1374"/>
      <c r="AL620" s="1374"/>
      <c r="AM620" s="1374"/>
      <c r="AN620" s="1374"/>
      <c r="AO620" s="1374"/>
      <c r="AP620" s="1374"/>
      <c r="AQ620" s="1374"/>
      <c r="AR620" s="1374"/>
      <c r="AS620" s="1374"/>
      <c r="AT620" s="1374"/>
      <c r="AU620" s="1374"/>
      <c r="AV620" s="1374"/>
      <c r="AW620" s="1374"/>
      <c r="AX620" s="1374"/>
      <c r="AY620" s="1374"/>
      <c r="AZ620" s="1374"/>
      <c r="BA620" s="1374"/>
      <c r="BB620" s="1374"/>
      <c r="BC620" s="1374"/>
      <c r="BD620" s="1374"/>
      <c r="BE620" s="1374"/>
      <c r="BF620" s="1374"/>
      <c r="BG620" s="1374"/>
      <c r="BH620" s="1374"/>
      <c r="BI620" s="1374"/>
      <c r="BJ620" s="1374"/>
      <c r="BK620" s="1374"/>
    </row>
    <row r="621" spans="1:63" ht="52.5" customHeight="1" x14ac:dyDescent="0.3">
      <c r="A621" s="653" t="str">
        <f t="shared" ca="1" si="176"/>
        <v>LAF Energy Component Charge</v>
      </c>
      <c r="B621" s="1398">
        <v>24</v>
      </c>
      <c r="C621" s="654" t="str">
        <f t="shared" si="177"/>
        <v>X</v>
      </c>
      <c r="D621" s="575"/>
      <c r="E621" s="1076" t="s">
        <v>581</v>
      </c>
      <c r="F621" s="670"/>
      <c r="G621" s="670"/>
      <c r="H621" s="670"/>
      <c r="I621" s="1601" t="str">
        <f>ATCO!$AH5</f>
        <v>Rider Z</v>
      </c>
      <c r="J621" s="911"/>
      <c r="K621" s="921"/>
      <c r="L621" s="656" t="str">
        <f t="shared" ca="1" si="178"/>
        <v>Carbon Recovery Rider (Rider H)</v>
      </c>
      <c r="M621" s="1398">
        <v>24</v>
      </c>
      <c r="N621" s="654" t="str">
        <f t="shared" si="179"/>
        <v>X</v>
      </c>
      <c r="O621" s="1374"/>
      <c r="P621" s="1076" t="s">
        <v>288</v>
      </c>
      <c r="Q621" s="675" t="str">
        <f>'ATCO-N'!$AG5</f>
        <v>Load Balance Rider Charge (Rider L)</v>
      </c>
      <c r="R621" s="675" t="str">
        <f>'ATCO-S'!$AH5</f>
        <v>Load Balance Rider Charge (Rider L)</v>
      </c>
      <c r="S621" s="689" t="str">
        <f>AltaGas!$AC5</f>
        <v>Third Party Transportation Cost Rider Charge (Rider G)</v>
      </c>
      <c r="T621" s="911"/>
      <c r="U621" s="1439"/>
      <c r="V621" s="1374"/>
      <c r="W621" s="1374"/>
      <c r="X621" s="1374"/>
      <c r="Y621" s="1374"/>
      <c r="Z621" s="1374"/>
      <c r="AA621" s="1374"/>
      <c r="AB621" s="1374"/>
      <c r="AC621" s="1374"/>
      <c r="AD621" s="1374"/>
      <c r="AE621" s="1374"/>
      <c r="AF621" s="1374"/>
      <c r="AG621" s="1374"/>
      <c r="AH621" s="1374"/>
      <c r="AI621" s="1374"/>
      <c r="AJ621" s="1374"/>
      <c r="AK621" s="1374"/>
      <c r="AL621" s="1374"/>
      <c r="AM621" s="1374"/>
      <c r="AN621" s="1374"/>
      <c r="AO621" s="1374"/>
      <c r="AP621" s="1374"/>
      <c r="AQ621" s="1374"/>
      <c r="AR621" s="1374"/>
      <c r="AS621" s="1374"/>
      <c r="AT621" s="1374"/>
      <c r="AU621" s="1374"/>
      <c r="AV621" s="1374"/>
      <c r="AW621" s="1374"/>
      <c r="AX621" s="1374"/>
      <c r="AY621" s="1374"/>
      <c r="AZ621" s="1374"/>
      <c r="BA621" s="1374"/>
      <c r="BB621" s="1374"/>
      <c r="BC621" s="1374"/>
      <c r="BD621" s="1374"/>
      <c r="BE621" s="1374"/>
      <c r="BF621" s="1374"/>
      <c r="BG621" s="1374"/>
      <c r="BH621" s="1374"/>
      <c r="BI621" s="1374"/>
      <c r="BJ621" s="1374"/>
      <c r="BK621" s="1374"/>
    </row>
    <row r="622" spans="1:63" ht="73.5" customHeight="1" x14ac:dyDescent="0.3">
      <c r="A622" s="653" t="str">
        <f t="shared" ca="1" si="176"/>
        <v>Balancing Pool Allocation Refund Rider</v>
      </c>
      <c r="B622" s="1398">
        <v>25</v>
      </c>
      <c r="C622" s="654" t="str">
        <f t="shared" si="177"/>
        <v>Y</v>
      </c>
      <c r="D622" s="575"/>
      <c r="E622" s="1076" t="s">
        <v>287</v>
      </c>
      <c r="F622" s="691" t="str">
        <f>ENMAX!$AC5</f>
        <v>Balancing Pool Allocation Charge</v>
      </c>
      <c r="G622" s="679" t="str">
        <f>EPCOR!$AC5</f>
        <v>Balancing Pool Allocation Charge</v>
      </c>
      <c r="H622" s="679" t="str">
        <f>FORTIS!$AE5</f>
        <v>Balancing Pool Allocation Charge</v>
      </c>
      <c r="I622" s="678" t="str">
        <f>ATCO!$AI5</f>
        <v>Balancing Pool Allocation Charge</v>
      </c>
      <c r="J622" s="911"/>
      <c r="K622" s="921"/>
      <c r="L622" s="656" t="str">
        <f t="shared" ca="1" si="178"/>
        <v>Load Balance Rider (Rider L)</v>
      </c>
      <c r="M622" s="1398">
        <v>25</v>
      </c>
      <c r="N622" s="654" t="str">
        <f t="shared" si="179"/>
        <v>Y</v>
      </c>
      <c r="O622" s="1374"/>
      <c r="P622" s="1076" t="s">
        <v>289</v>
      </c>
      <c r="Q622" s="676" t="str">
        <f>'ATCO-N'!$AH5</f>
        <v>Transmission Service Charge (Rider T)</v>
      </c>
      <c r="R622" s="676" t="str">
        <f>'ATCO-S'!$AI5</f>
        <v>Interim Rider Charge (Rider S)</v>
      </c>
      <c r="S622" s="677" t="str">
        <f>AltaGas!$AD5</f>
        <v>Load Balance Rider Charge (Rider L)</v>
      </c>
      <c r="T622" s="911"/>
      <c r="U622" s="1439"/>
      <c r="V622" s="1374"/>
      <c r="W622" s="1374"/>
      <c r="X622" s="1374"/>
      <c r="Y622" s="1374"/>
      <c r="Z622" s="1374"/>
      <c r="AA622" s="1374"/>
      <c r="AB622" s="1374"/>
      <c r="AC622" s="1374"/>
      <c r="AD622" s="1374"/>
      <c r="AE622" s="1374"/>
      <c r="AF622" s="1374"/>
      <c r="AG622" s="1374"/>
      <c r="AH622" s="1374"/>
      <c r="AI622" s="1374"/>
      <c r="AJ622" s="1374"/>
      <c r="AK622" s="1374"/>
      <c r="AL622" s="1374"/>
      <c r="AM622" s="1374"/>
      <c r="AN622" s="1374"/>
      <c r="AO622" s="1374"/>
      <c r="AP622" s="1374"/>
      <c r="AQ622" s="1374"/>
      <c r="AR622" s="1374"/>
      <c r="AS622" s="1374"/>
      <c r="AT622" s="1374"/>
      <c r="AU622" s="1374"/>
      <c r="AV622" s="1374"/>
      <c r="AW622" s="1374"/>
      <c r="AX622" s="1374"/>
      <c r="AY622" s="1374"/>
      <c r="AZ622" s="1374"/>
      <c r="BA622" s="1374"/>
      <c r="BB622" s="1374"/>
      <c r="BC622" s="1374"/>
      <c r="BD622" s="1374"/>
      <c r="BE622" s="1374"/>
      <c r="BF622" s="1374"/>
      <c r="BG622" s="1374"/>
      <c r="BH622" s="1374"/>
      <c r="BI622" s="1374"/>
      <c r="BJ622" s="1374"/>
      <c r="BK622" s="1374"/>
    </row>
    <row r="623" spans="1:63" ht="51" customHeight="1" x14ac:dyDescent="0.3">
      <c r="A623" s="653" t="str">
        <f t="shared" ca="1" si="176"/>
        <v>Transmission Access Charge Deferral Account Rider</v>
      </c>
      <c r="B623" s="1398">
        <v>26</v>
      </c>
      <c r="C623" s="654" t="str">
        <f t="shared" si="177"/>
        <v>Z</v>
      </c>
      <c r="D623" s="575"/>
      <c r="E623" s="1076" t="s">
        <v>288</v>
      </c>
      <c r="F623" s="689" t="str">
        <f>ENMAX!$AD5</f>
        <v>Transmission Access Charge Def. Acct. Charge</v>
      </c>
      <c r="G623" s="683" t="str">
        <f>EPCOR!$AD5</f>
        <v>Transmission Access Charge Def. Acct. Charge</v>
      </c>
      <c r="H623" s="683" t="str">
        <f>FORTIS!$AF5</f>
        <v>Base Transmission Adjustment Charge</v>
      </c>
      <c r="I623" s="689" t="str">
        <f>ATCO!$AJ5</f>
        <v>Base Transmission Adjustment Charge</v>
      </c>
      <c r="J623" s="911"/>
      <c r="K623" s="921"/>
      <c r="L623" s="656" t="str">
        <f t="shared" ca="1" si="178"/>
        <v>Interim Rider for Fixed Charges (Rider S)</v>
      </c>
      <c r="M623" s="1398">
        <v>26</v>
      </c>
      <c r="N623" s="654" t="str">
        <f t="shared" si="179"/>
        <v>Z</v>
      </c>
      <c r="O623" s="1374"/>
      <c r="P623" s="1076" t="s">
        <v>290</v>
      </c>
      <c r="Q623" s="680" t="str">
        <f>'ATCO-N'!$AI5</f>
        <v>Weather Deferral Account Charge (Rider W)</v>
      </c>
      <c r="R623" s="680" t="str">
        <f>'ATCO-S'!$AJ5</f>
        <v>Transmission Service Charge (Rider T)</v>
      </c>
      <c r="S623" s="692"/>
      <c r="T623" s="911"/>
      <c r="U623" s="1439"/>
      <c r="V623" s="1374"/>
      <c r="W623" s="1374"/>
      <c r="X623" s="1374"/>
      <c r="Y623" s="1374"/>
      <c r="Z623" s="1374"/>
      <c r="AA623" s="1374"/>
      <c r="AB623" s="1374"/>
      <c r="AC623" s="1374"/>
      <c r="AD623" s="1374"/>
      <c r="AE623" s="1374"/>
      <c r="AF623" s="1374"/>
      <c r="AG623" s="1374"/>
      <c r="AH623" s="1374"/>
      <c r="AI623" s="1374"/>
      <c r="AJ623" s="1374"/>
      <c r="AK623" s="1374"/>
      <c r="AL623" s="1374"/>
      <c r="AM623" s="1374"/>
      <c r="AN623" s="1374"/>
      <c r="AO623" s="1374"/>
      <c r="AP623" s="1374"/>
      <c r="AQ623" s="1374"/>
      <c r="AR623" s="1374"/>
      <c r="AS623" s="1374"/>
      <c r="AT623" s="1374"/>
      <c r="AU623" s="1374"/>
      <c r="AV623" s="1374"/>
      <c r="AW623" s="1374"/>
      <c r="AX623" s="1374"/>
      <c r="AY623" s="1374"/>
      <c r="AZ623" s="1374"/>
      <c r="BA623" s="1374"/>
      <c r="BB623" s="1374"/>
      <c r="BC623" s="1374"/>
      <c r="BD623" s="1374"/>
      <c r="BE623" s="1374"/>
      <c r="BF623" s="1374"/>
      <c r="BG623" s="1374"/>
      <c r="BH623" s="1374"/>
      <c r="BI623" s="1374"/>
      <c r="BJ623" s="1374"/>
      <c r="BK623" s="1374"/>
    </row>
    <row r="624" spans="1:63" ht="42" x14ac:dyDescent="0.3">
      <c r="A624" s="653" t="str">
        <f t="shared" ca="1" si="176"/>
        <v>DAS Adjustment Rider</v>
      </c>
      <c r="B624" s="1398">
        <v>27</v>
      </c>
      <c r="C624" s="654" t="str">
        <f t="shared" si="177"/>
        <v>AA</v>
      </c>
      <c r="D624" s="575"/>
      <c r="E624" s="1076" t="s">
        <v>289</v>
      </c>
      <c r="F624" s="685" t="str">
        <f>ENMAX!$AE5</f>
        <v>Distribution Access Service Adjustment Charge</v>
      </c>
      <c r="G624" s="686" t="str">
        <f>EPCOR!$AE5</f>
        <v>SAS True-up Charge</v>
      </c>
      <c r="H624" s="686" t="str">
        <f>FORTIS!$AG5</f>
        <v>Quarterly Transmission Adjustment Charge</v>
      </c>
      <c r="I624" s="677" t="str">
        <f>ATCO!$AK5</f>
        <v>Quarterly Transmission Adjustment Charge</v>
      </c>
      <c r="J624" s="911"/>
      <c r="K624" s="921"/>
      <c r="L624" s="656" t="str">
        <f t="shared" ca="1" si="178"/>
        <v>Interim Rider for Variable Charges (Rider S)</v>
      </c>
      <c r="M624" s="1398">
        <v>27</v>
      </c>
      <c r="N624" s="654" t="str">
        <f t="shared" si="179"/>
        <v>AA</v>
      </c>
      <c r="O624" s="1374"/>
      <c r="P624" s="1076" t="s">
        <v>291</v>
      </c>
      <c r="Q624" s="1228" t="str">
        <f>'ATCO-N'!$AJ5</f>
        <v>Rider X Charge</v>
      </c>
      <c r="R624" s="684" t="str">
        <f>'ATCO-S'!$AK5</f>
        <v>Weather Deferral Account Charge (Rider W)</v>
      </c>
      <c r="S624" s="692"/>
      <c r="T624" s="911"/>
      <c r="U624" s="1439"/>
      <c r="V624" s="1374"/>
      <c r="W624" s="1374"/>
      <c r="X624" s="1374"/>
      <c r="Y624" s="1374"/>
      <c r="Z624" s="1374"/>
      <c r="AA624" s="1374"/>
      <c r="AB624" s="1374"/>
      <c r="AC624" s="1374"/>
      <c r="AD624" s="1374"/>
      <c r="AE624" s="1374"/>
      <c r="AF624" s="1374"/>
      <c r="AG624" s="1374"/>
      <c r="AH624" s="1374"/>
      <c r="AI624" s="1374"/>
      <c r="AJ624" s="1374"/>
      <c r="AK624" s="1374"/>
      <c r="AL624" s="1374"/>
      <c r="AM624" s="1374"/>
      <c r="AN624" s="1374"/>
      <c r="AO624" s="1374"/>
      <c r="AP624" s="1374"/>
      <c r="AQ624" s="1374"/>
      <c r="AR624" s="1374"/>
      <c r="AS624" s="1374"/>
      <c r="AT624" s="1374"/>
      <c r="AU624" s="1374"/>
      <c r="AV624" s="1374"/>
      <c r="AW624" s="1374"/>
      <c r="AX624" s="1374"/>
      <c r="AY624" s="1374"/>
      <c r="AZ624" s="1374"/>
      <c r="BA624" s="1374"/>
      <c r="BB624" s="1374"/>
      <c r="BC624" s="1374"/>
      <c r="BD624" s="1374"/>
      <c r="BE624" s="1374"/>
      <c r="BF624" s="1374"/>
      <c r="BG624" s="1374"/>
      <c r="BH624" s="1374"/>
      <c r="BI624" s="1374"/>
      <c r="BJ624" s="1374"/>
      <c r="BK624" s="1374"/>
    </row>
    <row r="625" spans="1:63" ht="50.25" customHeight="1" x14ac:dyDescent="0.3">
      <c r="A625" s="653" t="str">
        <f t="shared" ca="1" si="176"/>
        <v>RRO Non-Energy Rate Rider (Rider Charge)</v>
      </c>
      <c r="B625" s="1398">
        <v>28</v>
      </c>
      <c r="C625" s="654" t="str">
        <f t="shared" si="177"/>
        <v>AB</v>
      </c>
      <c r="D625" s="1374"/>
      <c r="E625" s="1076" t="s">
        <v>290</v>
      </c>
      <c r="F625" s="687" t="str">
        <f>ENMAX!$AF5</f>
        <v>Rider Charge</v>
      </c>
      <c r="G625" s="688" t="str">
        <f>EPCOR!$AF5</f>
        <v>DAS True-up Charge</v>
      </c>
      <c r="H625" s="688" t="str">
        <f>FORTIS!$AH5</f>
        <v>Distribution Adjustment Charge</v>
      </c>
      <c r="I625" s="687" t="str">
        <f>ATCO!$AL5</f>
        <v>Interim Adjustment Charge</v>
      </c>
      <c r="J625" s="911"/>
      <c r="K625" s="921"/>
      <c r="L625" s="656" t="str">
        <f t="shared" ca="1" si="178"/>
        <v>Transmission Service Rider (Rider T)</v>
      </c>
      <c r="M625" s="1398">
        <v>28</v>
      </c>
      <c r="N625" s="654" t="str">
        <f t="shared" si="179"/>
        <v>AB</v>
      </c>
      <c r="O625" s="1374"/>
      <c r="P625" s="1076" t="s">
        <v>580</v>
      </c>
      <c r="Q625" s="1229" t="str">
        <f>'ATCO-N'!$AK5</f>
        <v>Rider Y Charge</v>
      </c>
      <c r="R625" s="1228" t="str">
        <f>'ATCO-S'!$AL5</f>
        <v>Rider X Charge</v>
      </c>
      <c r="S625" s="692"/>
      <c r="T625" s="911"/>
      <c r="U625" s="1439"/>
      <c r="V625" s="1374"/>
      <c r="W625" s="1374"/>
      <c r="X625" s="1374"/>
      <c r="Y625" s="1374"/>
      <c r="Z625" s="1374"/>
      <c r="AA625" s="1374"/>
      <c r="AB625" s="1374"/>
      <c r="AC625" s="1374"/>
      <c r="AD625" s="1374"/>
      <c r="AE625" s="1374"/>
      <c r="AF625" s="1374"/>
      <c r="AG625" s="1374"/>
      <c r="AH625" s="1374"/>
      <c r="AI625" s="1374"/>
      <c r="AJ625" s="1374"/>
      <c r="AK625" s="1374"/>
      <c r="AL625" s="1374"/>
      <c r="AM625" s="1374"/>
      <c r="AN625" s="1374"/>
      <c r="AO625" s="1374"/>
      <c r="AP625" s="1374"/>
      <c r="AQ625" s="1374"/>
      <c r="AR625" s="1374"/>
      <c r="AS625" s="1374"/>
      <c r="AT625" s="1374"/>
      <c r="AU625" s="1374"/>
      <c r="AV625" s="1374"/>
      <c r="AW625" s="1374"/>
      <c r="AX625" s="1374"/>
      <c r="AY625" s="1374"/>
      <c r="AZ625" s="1374"/>
      <c r="BA625" s="1374"/>
      <c r="BB625" s="1374"/>
      <c r="BC625" s="1374"/>
      <c r="BD625" s="1374"/>
      <c r="BE625" s="1374"/>
      <c r="BF625" s="1374"/>
      <c r="BG625" s="1374"/>
      <c r="BH625" s="1374"/>
      <c r="BI625" s="1374"/>
      <c r="BJ625" s="1374"/>
      <c r="BK625" s="1374"/>
    </row>
    <row r="626" spans="1:63" ht="14.5" x14ac:dyDescent="0.3">
      <c r="A626" s="653" t="str">
        <f t="shared" ca="1" si="176"/>
        <v>Balancing Pool Allocation Charge</v>
      </c>
      <c r="B626" s="1398">
        <v>29</v>
      </c>
      <c r="C626" s="654" t="str">
        <f t="shared" si="177"/>
        <v>AC</v>
      </c>
      <c r="D626" s="1374"/>
      <c r="E626" s="1076" t="s">
        <v>291</v>
      </c>
      <c r="F626" s="670"/>
      <c r="G626" s="690" t="str">
        <f>EPCOR!$AG5</f>
        <v>Generic Cost of Capital Charge</v>
      </c>
      <c r="H626" s="694"/>
      <c r="I626" s="690" t="str">
        <f>ATCO!$AM5</f>
        <v>Rider X Charge</v>
      </c>
      <c r="J626" s="911"/>
      <c r="K626" s="921"/>
      <c r="L626" s="656" t="str">
        <f t="shared" ca="1" si="178"/>
        <v>Weather Deferral Account (Rider W)</v>
      </c>
      <c r="M626" s="1398">
        <v>29</v>
      </c>
      <c r="N626" s="654" t="str">
        <f t="shared" si="179"/>
        <v>AC</v>
      </c>
      <c r="O626" s="1374"/>
      <c r="P626" s="1076" t="s">
        <v>583</v>
      </c>
      <c r="Q626" s="638" t="str">
        <f>'ATCO-N'!$AL5</f>
        <v>Rider Z Charge</v>
      </c>
      <c r="R626" s="1229" t="str">
        <f>'ATCO-S'!$AM5</f>
        <v>Rider Y Charge</v>
      </c>
      <c r="S626" s="692"/>
      <c r="T626" s="911"/>
      <c r="U626" s="1439"/>
      <c r="V626" s="1374"/>
      <c r="W626" s="1374"/>
      <c r="X626" s="1374"/>
      <c r="Y626" s="1374"/>
      <c r="Z626" s="1374"/>
      <c r="AA626" s="1374"/>
      <c r="AB626" s="1374"/>
      <c r="AC626" s="1374"/>
      <c r="AD626" s="1374"/>
      <c r="AE626" s="1374"/>
      <c r="AF626" s="1374"/>
      <c r="AG626" s="1374"/>
      <c r="AH626" s="1374"/>
      <c r="AI626" s="1374"/>
      <c r="AJ626" s="1374"/>
      <c r="AK626" s="1374"/>
      <c r="AL626" s="1374"/>
      <c r="AM626" s="1374"/>
      <c r="AN626" s="1374"/>
      <c r="AO626" s="1374"/>
      <c r="AP626" s="1374"/>
      <c r="AQ626" s="1374"/>
      <c r="AR626" s="1374"/>
      <c r="AS626" s="1374"/>
      <c r="AT626" s="1374"/>
      <c r="AU626" s="1374"/>
      <c r="AV626" s="1374"/>
      <c r="AW626" s="1374"/>
      <c r="AX626" s="1374"/>
      <c r="AY626" s="1374"/>
      <c r="AZ626" s="1374"/>
      <c r="BA626" s="1374"/>
      <c r="BB626" s="1374"/>
      <c r="BC626" s="1374"/>
      <c r="BD626" s="1374"/>
      <c r="BE626" s="1374"/>
      <c r="BF626" s="1374"/>
      <c r="BG626" s="1374"/>
      <c r="BH626" s="1374"/>
      <c r="BI626" s="1374"/>
      <c r="BJ626" s="1374"/>
      <c r="BK626" s="1374"/>
    </row>
    <row r="627" spans="1:63" x14ac:dyDescent="0.3">
      <c r="A627" s="653" t="str">
        <f t="shared" ca="1" si="176"/>
        <v>Transmission Access Charge Def. Acct. Charge</v>
      </c>
      <c r="B627" s="1398">
        <v>30</v>
      </c>
      <c r="C627" s="654" t="str">
        <f t="shared" si="177"/>
        <v>AD</v>
      </c>
      <c r="D627" s="1374"/>
      <c r="E627" s="1076" t="s">
        <v>580</v>
      </c>
      <c r="F627" s="670"/>
      <c r="G627" s="670"/>
      <c r="H627" s="670"/>
      <c r="I627" s="1227" t="str">
        <f>ATCO!$AN5</f>
        <v>Rider Y Charge</v>
      </c>
      <c r="J627" s="911"/>
      <c r="K627" s="921"/>
      <c r="L627" s="656" t="str">
        <f t="shared" ca="1" si="178"/>
        <v>Rider X</v>
      </c>
      <c r="M627" s="1398">
        <v>30</v>
      </c>
      <c r="N627" s="654" t="str">
        <f t="shared" si="179"/>
        <v>AD</v>
      </c>
      <c r="O627" s="1374"/>
      <c r="P627" s="1076" t="s">
        <v>672</v>
      </c>
      <c r="Q627" s="692"/>
      <c r="R627" s="638" t="str">
        <f>'ATCO-S'!$AN5</f>
        <v>Rider Z Charge</v>
      </c>
      <c r="S627" s="692"/>
      <c r="T627" s="911"/>
      <c r="U627" s="1439"/>
      <c r="V627" s="1374"/>
      <c r="W627" s="1374"/>
      <c r="X627" s="1374"/>
      <c r="Y627" s="1374"/>
      <c r="Z627" s="1374"/>
      <c r="AA627" s="1374"/>
      <c r="AB627" s="1374"/>
      <c r="AC627" s="1374"/>
      <c r="AD627" s="1374"/>
      <c r="AE627" s="1374"/>
      <c r="AF627" s="1374"/>
      <c r="AG627" s="1374"/>
      <c r="AH627" s="1374"/>
      <c r="AI627" s="1374"/>
      <c r="AJ627" s="1374"/>
      <c r="AK627" s="1374"/>
      <c r="AL627" s="1374"/>
      <c r="AM627" s="1374"/>
      <c r="AN627" s="1374"/>
      <c r="AO627" s="1374"/>
      <c r="AP627" s="1374"/>
      <c r="AQ627" s="1374"/>
      <c r="AR627" s="1374"/>
      <c r="AS627" s="1374"/>
      <c r="AT627" s="1374"/>
      <c r="AU627" s="1374"/>
      <c r="AV627" s="1374"/>
      <c r="AW627" s="1374"/>
      <c r="AX627" s="1374"/>
      <c r="AY627" s="1374"/>
      <c r="AZ627" s="1374"/>
      <c r="BA627" s="1374"/>
      <c r="BB627" s="1374"/>
      <c r="BC627" s="1374"/>
      <c r="BD627" s="1374"/>
      <c r="BE627" s="1374"/>
      <c r="BF627" s="1374"/>
      <c r="BG627" s="1374"/>
      <c r="BH627" s="1374"/>
      <c r="BI627" s="1374"/>
      <c r="BJ627" s="1374"/>
      <c r="BK627" s="1374"/>
    </row>
    <row r="628" spans="1:63" s="699" customFormat="1" ht="39" customHeight="1" x14ac:dyDescent="0.3">
      <c r="A628" s="653" t="str">
        <f t="shared" ca="1" si="176"/>
        <v>Distribution Access Service Adjustment Charge</v>
      </c>
      <c r="B628" s="1398">
        <v>31</v>
      </c>
      <c r="C628" s="654" t="str">
        <f t="shared" si="177"/>
        <v>AE</v>
      </c>
      <c r="D628" s="695"/>
      <c r="E628" s="1076" t="s">
        <v>583</v>
      </c>
      <c r="F628" s="670"/>
      <c r="G628" s="670"/>
      <c r="H628" s="670"/>
      <c r="I628" s="1602" t="str">
        <f>ATCO!$AO5</f>
        <v>Rider Z Charge</v>
      </c>
      <c r="J628" s="1012"/>
      <c r="K628" s="956"/>
      <c r="L628" s="656" t="str">
        <f t="shared" ca="1" si="178"/>
        <v>Rider Y</v>
      </c>
      <c r="M628" s="1398">
        <v>31</v>
      </c>
      <c r="N628" s="654" t="str">
        <f t="shared" si="179"/>
        <v>AE</v>
      </c>
      <c r="O628" s="696"/>
      <c r="P628" s="1076" t="s">
        <v>306</v>
      </c>
      <c r="Q628" s="693" t="str">
        <f>'ATCO-N'!$AM5</f>
        <v>DRT Provider (DERS) Administration Rate</v>
      </c>
      <c r="R628" s="693" t="str">
        <f>'ATCO-S'!$AO5</f>
        <v>DRT Provider (DERS) Administration Rate</v>
      </c>
      <c r="S628" s="693" t="str">
        <f>AltaGas!$AE5</f>
        <v>DRT Provider (AltaGas) Administration Rate</v>
      </c>
      <c r="T628" s="1012"/>
      <c r="U628" s="697"/>
      <c r="V628" s="696"/>
      <c r="W628" s="696"/>
      <c r="X628" s="696"/>
      <c r="Y628" s="696"/>
      <c r="Z628" s="696"/>
      <c r="AA628" s="696"/>
      <c r="AB628" s="696"/>
      <c r="AC628" s="696"/>
      <c r="AD628" s="696"/>
      <c r="AE628" s="696"/>
      <c r="AF628" s="696"/>
      <c r="AG628" s="696"/>
      <c r="AH628" s="696"/>
      <c r="AI628" s="696"/>
      <c r="AJ628" s="696"/>
      <c r="AK628" s="696"/>
      <c r="AL628" s="696"/>
      <c r="AM628" s="696"/>
      <c r="AN628" s="696"/>
      <c r="AO628" s="696"/>
      <c r="AP628" s="696"/>
      <c r="AQ628" s="696"/>
      <c r="AR628" s="696"/>
      <c r="AS628" s="696"/>
      <c r="AT628" s="696"/>
      <c r="AU628" s="696"/>
      <c r="AV628" s="696"/>
      <c r="AW628" s="696"/>
      <c r="AX628" s="696"/>
      <c r="AY628" s="696"/>
      <c r="AZ628" s="696"/>
      <c r="BA628" s="696"/>
      <c r="BB628" s="696"/>
      <c r="BC628" s="696"/>
      <c r="BD628" s="696"/>
      <c r="BE628" s="696"/>
      <c r="BF628" s="696"/>
      <c r="BG628" s="696"/>
      <c r="BH628" s="696"/>
      <c r="BI628" s="696"/>
      <c r="BJ628" s="695"/>
      <c r="BK628" s="695"/>
    </row>
    <row r="629" spans="1:63" ht="42" x14ac:dyDescent="0.3">
      <c r="A629" s="653" t="str">
        <f t="shared" ca="1" si="176"/>
        <v>Rider Charge</v>
      </c>
      <c r="B629" s="1398">
        <v>32</v>
      </c>
      <c r="C629" s="654" t="str">
        <f t="shared" si="177"/>
        <v>AF</v>
      </c>
      <c r="D629" s="1374"/>
      <c r="E629" s="665" t="s">
        <v>273</v>
      </c>
      <c r="F629" s="693" t="str">
        <f>ENMAX!$AG5</f>
        <v>RRO Provider (ENMAX) Administration Rate</v>
      </c>
      <c r="G629" s="693" t="str">
        <f>EPCOR!$AH5</f>
        <v>RRO Provider (EPCOR) Administration Rate</v>
      </c>
      <c r="H629" s="693" t="str">
        <f>FORTIS!$AI5</f>
        <v>RRO Provider (EPCOR) Administration Rate</v>
      </c>
      <c r="I629" s="693" t="str">
        <f>ATCO!$AP5</f>
        <v>RRO Provider (DERS) Administration Rate</v>
      </c>
      <c r="J629" s="1013"/>
      <c r="K629" s="1014"/>
      <c r="L629" s="656" t="str">
        <f t="shared" ca="1" si="178"/>
        <v>Rider Z</v>
      </c>
      <c r="M629" s="1398">
        <v>32</v>
      </c>
      <c r="N629" s="654" t="str">
        <f t="shared" si="179"/>
        <v>AF</v>
      </c>
      <c r="O629" s="700"/>
      <c r="P629" s="1076" t="s">
        <v>307</v>
      </c>
      <c r="Q629" s="693" t="str">
        <f>'ATCO-N'!$AN5</f>
        <v>DRT Provider Administration Charge</v>
      </c>
      <c r="R629" s="693" t="str">
        <f>'ATCO-S'!$AP5</f>
        <v>DRT Provider Administration Charge</v>
      </c>
      <c r="S629" s="693" t="str">
        <f>AltaGas!$AF5</f>
        <v>DRT Provider Administration Charge</v>
      </c>
      <c r="T629" s="1013"/>
      <c r="U629" s="701"/>
      <c r="V629" s="700"/>
      <c r="W629" s="700"/>
      <c r="X629" s="700"/>
      <c r="Y629" s="700"/>
      <c r="Z629" s="700"/>
      <c r="AA629" s="700"/>
      <c r="AB629" s="700"/>
      <c r="AC629" s="700"/>
      <c r="AD629" s="700"/>
      <c r="AE629" s="700"/>
      <c r="AF629" s="700"/>
      <c r="AG629" s="700"/>
      <c r="AH629" s="700"/>
      <c r="AI629" s="700"/>
      <c r="AJ629" s="700"/>
      <c r="AK629" s="700"/>
      <c r="AL629" s="700"/>
      <c r="AM629" s="700"/>
      <c r="AN629" s="700"/>
      <c r="AO629" s="700"/>
      <c r="AP629" s="700"/>
      <c r="AQ629" s="700"/>
      <c r="AR629" s="700"/>
      <c r="AS629" s="700"/>
      <c r="AT629" s="700"/>
      <c r="AU629" s="700"/>
      <c r="AV629" s="700"/>
      <c r="AW629" s="700"/>
      <c r="AX629" s="700"/>
      <c r="AY629" s="700"/>
      <c r="AZ629" s="700"/>
      <c r="BA629" s="700"/>
      <c r="BB629" s="700"/>
      <c r="BC629" s="700"/>
      <c r="BD629" s="700"/>
      <c r="BE629" s="700"/>
      <c r="BF629" s="700"/>
      <c r="BG629" s="700"/>
      <c r="BH629" s="700"/>
      <c r="BI629" s="700"/>
      <c r="BJ629" s="1374"/>
      <c r="BK629" s="1374"/>
    </row>
    <row r="630" spans="1:63" ht="42" x14ac:dyDescent="0.3">
      <c r="A630" s="653" t="str">
        <f t="shared" ca="1" si="176"/>
        <v>RRO Provider (ENMAX) Administration Rate</v>
      </c>
      <c r="B630" s="1398">
        <v>33</v>
      </c>
      <c r="C630" s="654" t="str">
        <f t="shared" si="177"/>
        <v>AG</v>
      </c>
      <c r="D630" s="1374"/>
      <c r="E630" s="665" t="s">
        <v>274</v>
      </c>
      <c r="F630" s="693" t="str">
        <f>ENMAX!$AH5</f>
        <v>RRO Provider Administration Charge</v>
      </c>
      <c r="G630" s="693" t="str">
        <f>EPCOR!$AI5</f>
        <v>RRO Provider Administration Charge</v>
      </c>
      <c r="H630" s="693" t="str">
        <f>FORTIS!$AJ5</f>
        <v>RRO Provider Administration Charge</v>
      </c>
      <c r="I630" s="693" t="str">
        <f>ATCO!$AQ5</f>
        <v>RRO Provider Administration Charge</v>
      </c>
      <c r="J630" s="1012"/>
      <c r="K630" s="956"/>
      <c r="L630" s="656" t="str">
        <f t="shared" ca="1" si="178"/>
        <v>Carbon Recovery Charge (Rider H)</v>
      </c>
      <c r="M630" s="1398">
        <v>33</v>
      </c>
      <c r="N630" s="654" t="str">
        <f t="shared" si="179"/>
        <v>AG</v>
      </c>
      <c r="O630" s="696"/>
      <c r="P630" s="1076" t="s">
        <v>571</v>
      </c>
      <c r="Q630" s="693" t="s">
        <v>571</v>
      </c>
      <c r="R630" s="693" t="s">
        <v>571</v>
      </c>
      <c r="S630" s="693" t="s">
        <v>571</v>
      </c>
      <c r="T630" s="1012"/>
      <c r="U630" s="697"/>
      <c r="V630" s="696"/>
      <c r="W630" s="696"/>
      <c r="X630" s="696"/>
      <c r="Y630" s="696"/>
      <c r="Z630" s="696"/>
      <c r="AA630" s="696"/>
      <c r="AB630" s="696"/>
      <c r="AC630" s="696"/>
      <c r="AD630" s="696"/>
      <c r="AE630" s="696"/>
      <c r="AF630" s="696"/>
      <c r="AG630" s="696"/>
      <c r="AH630" s="696"/>
      <c r="AI630" s="696"/>
      <c r="AJ630" s="696"/>
      <c r="AK630" s="696"/>
      <c r="AL630" s="696"/>
      <c r="AM630" s="696"/>
      <c r="AN630" s="696"/>
      <c r="AO630" s="696"/>
      <c r="AP630" s="696"/>
      <c r="AQ630" s="696"/>
      <c r="AR630" s="696"/>
      <c r="AS630" s="696"/>
      <c r="AT630" s="696"/>
      <c r="AU630" s="696"/>
      <c r="AV630" s="696"/>
      <c r="AW630" s="696"/>
      <c r="AX630" s="696"/>
      <c r="AY630" s="696"/>
      <c r="AZ630" s="696"/>
      <c r="BA630" s="696"/>
      <c r="BB630" s="696"/>
      <c r="BC630" s="696"/>
      <c r="BD630" s="696"/>
      <c r="BE630" s="696"/>
      <c r="BF630" s="696"/>
      <c r="BG630" s="696"/>
      <c r="BH630" s="696"/>
      <c r="BI630" s="696"/>
      <c r="BJ630" s="1374"/>
      <c r="BK630" s="1374"/>
    </row>
    <row r="631" spans="1:63" x14ac:dyDescent="0.3">
      <c r="A631" s="653" t="str">
        <f ca="1">IF(INDIRECT("'"&amp;$A$597&amp;"'!"&amp;C631&amp;"5")=0, "", INDIRECT("'"&amp;$A$597&amp;"'!"&amp;C631&amp;"5"))</f>
        <v>RRO Provider Administration Charge</v>
      </c>
      <c r="B631" s="1398">
        <v>34</v>
      </c>
      <c r="C631" s="654" t="str">
        <f>(IF(B631&gt;26,(CHAR((ROUNDDOWN((B631-1)/26,0))+64))&amp;(CHAR(B631+64-(ROUNDDOWN((B631-1)/26,0)*26))),CHAR(B631+64)))</f>
        <v>AH</v>
      </c>
      <c r="D631" s="1374"/>
      <c r="E631" s="1076" t="s">
        <v>275</v>
      </c>
      <c r="F631" s="1398" t="str">
        <f>ENMAX!$AI5</f>
        <v>GST Rate</v>
      </c>
      <c r="G631" s="1398" t="str">
        <f>EPCOR!$AJ5</f>
        <v>GST Rate</v>
      </c>
      <c r="H631" s="1398" t="str">
        <f>FORTIS!$AK5</f>
        <v>GST Rate</v>
      </c>
      <c r="I631" s="1398" t="str">
        <f>ATCO!$AR5</f>
        <v>GST Rate</v>
      </c>
      <c r="J631" s="911"/>
      <c r="K631" s="921"/>
      <c r="L631" s="656" t="str">
        <f t="shared" ca="1" si="178"/>
        <v>Load Balance Rider Charge (Rider L)</v>
      </c>
      <c r="M631" s="1398">
        <v>34</v>
      </c>
      <c r="N631" s="654" t="str">
        <f t="shared" si="179"/>
        <v>AH</v>
      </c>
      <c r="O631" s="1374"/>
      <c r="P631" s="1076" t="s">
        <v>584</v>
      </c>
      <c r="Q631" s="693" t="s">
        <v>572</v>
      </c>
      <c r="R631" s="693" t="s">
        <v>572</v>
      </c>
      <c r="S631" s="693" t="s">
        <v>572</v>
      </c>
      <c r="T631" s="911"/>
      <c r="U631" s="1439"/>
      <c r="V631" s="1374"/>
      <c r="W631" s="1374"/>
      <c r="X631" s="1374"/>
      <c r="Y631" s="1374"/>
      <c r="Z631" s="1374"/>
      <c r="AA631" s="1374"/>
      <c r="AB631" s="1374"/>
      <c r="AC631" s="1374"/>
      <c r="AD631" s="1374"/>
      <c r="AE631" s="1374"/>
      <c r="AF631" s="1374"/>
      <c r="AG631" s="1374"/>
      <c r="AH631" s="1374"/>
      <c r="AI631" s="1374"/>
      <c r="AJ631" s="1374"/>
      <c r="AK631" s="1374"/>
      <c r="AL631" s="1374"/>
      <c r="AM631" s="1374"/>
      <c r="AN631" s="1374"/>
      <c r="AO631" s="1374"/>
      <c r="AP631" s="1374"/>
      <c r="AQ631" s="1374"/>
      <c r="AR631" s="1374"/>
      <c r="AS631" s="1374"/>
      <c r="AT631" s="1374"/>
      <c r="AU631" s="1374"/>
      <c r="AV631" s="1374"/>
      <c r="AW631" s="1374"/>
      <c r="AX631" s="1374"/>
      <c r="AY631" s="1374"/>
      <c r="AZ631" s="1374"/>
      <c r="BA631" s="1374"/>
      <c r="BB631" s="1374"/>
      <c r="BC631" s="1374"/>
      <c r="BD631" s="1374"/>
      <c r="BE631" s="1374"/>
      <c r="BF631" s="1374"/>
      <c r="BG631" s="1374"/>
      <c r="BH631" s="1374"/>
      <c r="BI631" s="1374"/>
      <c r="BJ631" s="1374"/>
      <c r="BK631" s="1374"/>
    </row>
    <row r="632" spans="1:63" x14ac:dyDescent="0.3">
      <c r="A632" s="653" t="str">
        <f t="shared" ca="1" si="176"/>
        <v>GST Rate</v>
      </c>
      <c r="B632" s="1398">
        <v>35</v>
      </c>
      <c r="C632" s="654" t="str">
        <f>(IF(B632&gt;26,(CHAR((ROUNDDOWN((B632-1)/26,0))+64))&amp;(CHAR(B632+64-(ROUNDDOWN((B632-1)/26,0)*26))),CHAR(B632+64)))</f>
        <v>AI</v>
      </c>
      <c r="D632" s="1374"/>
      <c r="E632" s="1374"/>
      <c r="F632" s="1374"/>
      <c r="G632" s="1374"/>
      <c r="H632" s="1374"/>
      <c r="I632" s="1374"/>
      <c r="J632" s="911"/>
      <c r="K632" s="921"/>
      <c r="L632" s="656" t="str">
        <f t="shared" ca="1" si="178"/>
        <v>Interim Rider Charge (Rider S)</v>
      </c>
      <c r="M632" s="1398">
        <v>35</v>
      </c>
      <c r="N632" s="654" t="str">
        <f t="shared" si="179"/>
        <v>AI</v>
      </c>
      <c r="O632" s="1374"/>
      <c r="P632" s="1076" t="s">
        <v>275</v>
      </c>
      <c r="Q632" s="693" t="str">
        <f>'ATCO-N'!$AQ5</f>
        <v>GST Rate</v>
      </c>
      <c r="R632" s="693" t="str">
        <f>'ATCO-S'!$AS5</f>
        <v>GST Rate</v>
      </c>
      <c r="S632" s="693" t="str">
        <f>AltaGas!$AI5</f>
        <v>GST Rate</v>
      </c>
      <c r="T632" s="911"/>
      <c r="U632" s="1439"/>
      <c r="V632" s="1374"/>
      <c r="W632" s="1374"/>
      <c r="X632" s="1374"/>
      <c r="Y632" s="1374"/>
      <c r="Z632" s="1374"/>
      <c r="AA632" s="1374"/>
      <c r="AB632" s="1374"/>
      <c r="AC632" s="1374"/>
      <c r="AD632" s="1374"/>
      <c r="AE632" s="1374"/>
      <c r="AF632" s="1374"/>
      <c r="AG632" s="1374"/>
      <c r="AH632" s="1374"/>
      <c r="AI632" s="1374"/>
      <c r="AJ632" s="1374"/>
      <c r="AK632" s="1374"/>
      <c r="AL632" s="1374"/>
      <c r="AM632" s="1374"/>
      <c r="AN632" s="1374"/>
      <c r="AO632" s="1374"/>
      <c r="AP632" s="1374"/>
      <c r="AQ632" s="1374"/>
      <c r="AR632" s="1374"/>
      <c r="AS632" s="1374"/>
      <c r="AT632" s="1374"/>
      <c r="AU632" s="1374"/>
      <c r="AV632" s="1374"/>
      <c r="AW632" s="1374"/>
      <c r="AX632" s="1374"/>
      <c r="AY632" s="1374"/>
      <c r="AZ632" s="1374"/>
      <c r="BA632" s="1374"/>
      <c r="BB632" s="1374"/>
      <c r="BC632" s="1374"/>
      <c r="BD632" s="1374"/>
      <c r="BE632" s="1374"/>
      <c r="BF632" s="1374"/>
      <c r="BG632" s="1374"/>
      <c r="BH632" s="1374"/>
      <c r="BI632" s="1374"/>
      <c r="BJ632" s="1374"/>
      <c r="BK632" s="1374"/>
    </row>
    <row r="633" spans="1:63" x14ac:dyDescent="0.3">
      <c r="A633" s="653" t="str">
        <f t="shared" ca="1" si="176"/>
        <v>Actual RRO Consumption (ENMAX)</v>
      </c>
      <c r="B633" s="1398">
        <v>36</v>
      </c>
      <c r="C633" s="654" t="str">
        <f t="shared" si="177"/>
        <v>AJ</v>
      </c>
      <c r="D633" s="1374"/>
      <c r="E633" s="1374"/>
      <c r="F633" s="1374"/>
      <c r="G633" s="1374"/>
      <c r="H633" s="1374"/>
      <c r="I633" s="1374"/>
      <c r="J633" s="911"/>
      <c r="K633" s="921"/>
      <c r="L633" s="656" t="str">
        <f t="shared" ca="1" si="178"/>
        <v>Transmission Service Charge (Rider T)</v>
      </c>
      <c r="M633" s="1398">
        <v>36</v>
      </c>
      <c r="N633" s="654" t="str">
        <f t="shared" si="179"/>
        <v>AJ</v>
      </c>
      <c r="O633" s="1374"/>
      <c r="P633" s="1374"/>
      <c r="Q633" s="1374"/>
      <c r="R633" s="1374"/>
      <c r="S633" s="1374"/>
      <c r="T633" s="911"/>
      <c r="U633" s="1439"/>
    </row>
    <row r="634" spans="1:63" x14ac:dyDescent="0.3">
      <c r="A634" s="653" t="str">
        <f t="shared" ca="1" si="176"/>
        <v>Provincial RRO Consumption</v>
      </c>
      <c r="B634" s="1398">
        <v>37</v>
      </c>
      <c r="C634" s="654" t="str">
        <f t="shared" si="177"/>
        <v>AK</v>
      </c>
      <c r="D634" s="1374"/>
      <c r="E634" s="1374"/>
      <c r="F634" s="1374"/>
      <c r="G634" s="1374"/>
      <c r="H634" s="1374"/>
      <c r="I634" s="1374"/>
      <c r="J634" s="911"/>
      <c r="K634" s="921"/>
      <c r="L634" s="656" t="str">
        <f t="shared" ca="1" si="178"/>
        <v>Weather Deferral Account Charge (Rider W)</v>
      </c>
      <c r="M634" s="1398">
        <v>37</v>
      </c>
      <c r="N634" s="654" t="str">
        <f t="shared" si="179"/>
        <v>AK</v>
      </c>
      <c r="O634" s="1374"/>
      <c r="P634" s="1374"/>
      <c r="Q634" s="1374"/>
      <c r="R634" s="1374"/>
      <c r="S634" s="1374"/>
      <c r="T634" s="911"/>
      <c r="U634" s="1439"/>
    </row>
    <row r="635" spans="1:63" x14ac:dyDescent="0.3">
      <c r="A635" s="653" t="str">
        <f t="shared" ca="1" si="176"/>
        <v>Detached Home Consumption</v>
      </c>
      <c r="B635" s="1398">
        <v>38</v>
      </c>
      <c r="C635" s="654" t="str">
        <f t="shared" si="177"/>
        <v>AL</v>
      </c>
      <c r="D635" s="1374"/>
      <c r="E635" s="1374"/>
      <c r="F635" s="1374"/>
      <c r="G635" s="1374"/>
      <c r="H635" s="1374"/>
      <c r="I635" s="1374"/>
      <c r="J635" s="911"/>
      <c r="K635" s="921"/>
      <c r="L635" s="656" t="str">
        <f t="shared" ca="1" si="178"/>
        <v>Rider X Charge</v>
      </c>
      <c r="M635" s="1398">
        <v>38</v>
      </c>
      <c r="N635" s="654" t="str">
        <f t="shared" si="179"/>
        <v>AL</v>
      </c>
      <c r="O635" s="1374"/>
      <c r="P635" s="1374"/>
      <c r="Q635" s="1374"/>
      <c r="R635" s="1374"/>
      <c r="S635" s="1374"/>
      <c r="T635" s="911"/>
      <c r="U635" s="1439"/>
    </row>
    <row r="636" spans="1:63" x14ac:dyDescent="0.3">
      <c r="A636" s="653" t="str">
        <f t="shared" ca="1" si="176"/>
        <v>Attached Home Consumption</v>
      </c>
      <c r="B636" s="1398">
        <v>39</v>
      </c>
      <c r="C636" s="654" t="str">
        <f t="shared" si="177"/>
        <v>AM</v>
      </c>
      <c r="D636" s="1374"/>
      <c r="E636" s="1374"/>
      <c r="F636" s="1374"/>
      <c r="G636" s="1374"/>
      <c r="H636" s="1374"/>
      <c r="I636" s="1374"/>
      <c r="J636" s="911"/>
      <c r="K636" s="921"/>
      <c r="L636" s="656" t="str">
        <f t="shared" ca="1" si="178"/>
        <v>Rider Y Charge</v>
      </c>
      <c r="M636" s="1398">
        <v>39</v>
      </c>
      <c r="N636" s="654" t="str">
        <f t="shared" si="179"/>
        <v>AM</v>
      </c>
      <c r="O636" s="1374"/>
      <c r="P636" s="1374"/>
      <c r="Q636" s="1374"/>
      <c r="R636" s="1374"/>
      <c r="S636" s="1374"/>
      <c r="T636" s="911"/>
      <c r="U636" s="1439"/>
    </row>
    <row r="637" spans="1:63" x14ac:dyDescent="0.3">
      <c r="A637" s="653" t="str">
        <f t="shared" ca="1" si="176"/>
        <v>Apartment Consumption</v>
      </c>
      <c r="B637" s="1398">
        <v>40</v>
      </c>
      <c r="C637" s="654" t="str">
        <f t="shared" si="177"/>
        <v>AN</v>
      </c>
      <c r="D637" s="1374"/>
      <c r="E637" s="1374"/>
      <c r="F637" s="1374"/>
      <c r="G637" s="1374"/>
      <c r="H637" s="1374"/>
      <c r="I637" s="1374"/>
      <c r="J637" s="911"/>
      <c r="K637" s="921"/>
      <c r="L637" s="656" t="str">
        <f t="shared" ca="1" si="178"/>
        <v>Rider Z Charge</v>
      </c>
      <c r="M637" s="1398">
        <v>40</v>
      </c>
      <c r="N637" s="654" t="str">
        <f t="shared" si="179"/>
        <v>AN</v>
      </c>
      <c r="O637" s="1374"/>
      <c r="P637" s="1374"/>
      <c r="Q637" s="1374"/>
      <c r="R637" s="1374"/>
      <c r="S637" s="1374"/>
      <c r="T637" s="911"/>
      <c r="U637" s="1439"/>
    </row>
    <row r="638" spans="1:63" x14ac:dyDescent="0.3">
      <c r="A638" s="653" t="str">
        <f t="shared" ca="1" si="176"/>
        <v>2015 Detached Average Consumption</v>
      </c>
      <c r="B638" s="1398">
        <v>41</v>
      </c>
      <c r="C638" s="654" t="str">
        <f t="shared" si="177"/>
        <v>AO</v>
      </c>
      <c r="D638" s="1374"/>
      <c r="E638" s="1374"/>
      <c r="F638" s="1374"/>
      <c r="G638" s="1374"/>
      <c r="H638" s="1374"/>
      <c r="I638" s="1374"/>
      <c r="J638" s="911"/>
      <c r="K638" s="921"/>
      <c r="L638" s="656" t="str">
        <f t="shared" ca="1" si="178"/>
        <v>DRT Provider (DERS) Administration Rate</v>
      </c>
      <c r="M638" s="1398">
        <v>41</v>
      </c>
      <c r="N638" s="654" t="str">
        <f t="shared" si="179"/>
        <v>AO</v>
      </c>
      <c r="O638" s="1374"/>
      <c r="P638" s="1374"/>
      <c r="Q638" s="1374"/>
      <c r="R638" s="1374"/>
      <c r="S638" s="1374"/>
      <c r="T638" s="911"/>
      <c r="U638" s="1439"/>
    </row>
    <row r="639" spans="1:63" x14ac:dyDescent="0.3">
      <c r="A639" s="653" t="str">
        <f t="shared" ca="1" si="176"/>
        <v>Manually-Entered Consumption</v>
      </c>
      <c r="B639" s="1398">
        <v>42</v>
      </c>
      <c r="C639" s="654" t="str">
        <f t="shared" si="177"/>
        <v>AP</v>
      </c>
      <c r="D639" s="1374"/>
      <c r="E639" s="1374"/>
      <c r="F639" s="1374"/>
      <c r="G639" s="1374"/>
      <c r="H639" s="1374"/>
      <c r="I639" s="1374"/>
      <c r="J639" s="911"/>
      <c r="K639" s="921"/>
      <c r="L639" s="656" t="str">
        <f t="shared" ca="1" si="178"/>
        <v>DRT Provider Administration Charge</v>
      </c>
      <c r="M639" s="1398">
        <v>42</v>
      </c>
      <c r="N639" s="654" t="str">
        <f t="shared" si="179"/>
        <v>AP</v>
      </c>
      <c r="O639" s="1374"/>
      <c r="P639" s="1374"/>
      <c r="Q639" s="1374"/>
      <c r="R639" s="1374"/>
      <c r="S639" s="1374"/>
      <c r="T639" s="911"/>
      <c r="U639" s="1439"/>
    </row>
    <row r="640" spans="1:63" x14ac:dyDescent="0.3">
      <c r="A640" s="653" t="str">
        <f t="shared" ca="1" si="176"/>
        <v>Custom Energy Rate</v>
      </c>
      <c r="B640" s="1398">
        <v>43</v>
      </c>
      <c r="C640" s="654" t="str">
        <f t="shared" si="177"/>
        <v>AQ</v>
      </c>
      <c r="D640" s="1374"/>
      <c r="E640" s="1374"/>
      <c r="F640" s="1374"/>
      <c r="G640" s="1374"/>
      <c r="H640" s="1374"/>
      <c r="I640" s="1374"/>
      <c r="J640" s="911"/>
      <c r="K640" s="921"/>
      <c r="L640" s="656" t="str">
        <f t="shared" ca="1" si="178"/>
        <v>Carbon Levy Rate</v>
      </c>
      <c r="M640" s="1398">
        <v>43</v>
      </c>
      <c r="N640" s="654" t="str">
        <f t="shared" si="179"/>
        <v>AQ</v>
      </c>
      <c r="O640" s="1374"/>
      <c r="P640" s="1374"/>
      <c r="Q640" s="1374"/>
      <c r="R640" s="1374"/>
      <c r="S640" s="1374"/>
      <c r="T640" s="911"/>
      <c r="U640" s="1439"/>
    </row>
    <row r="641" spans="1:21" x14ac:dyDescent="0.3">
      <c r="A641" s="653" t="str">
        <f t="shared" ca="1" si="176"/>
        <v>Custom Administration Rate</v>
      </c>
      <c r="B641" s="1398">
        <v>44</v>
      </c>
      <c r="C641" s="654" t="str">
        <f t="shared" si="177"/>
        <v>AR</v>
      </c>
      <c r="D641" s="1374"/>
      <c r="E641" s="1374"/>
      <c r="F641" s="1374"/>
      <c r="G641" s="1374"/>
      <c r="H641" s="1374"/>
      <c r="I641" s="1374"/>
      <c r="J641" s="911"/>
      <c r="K641" s="921"/>
      <c r="L641" s="656" t="str">
        <f t="shared" ca="1" si="178"/>
        <v>Carbon Levy Charge</v>
      </c>
      <c r="M641" s="1398">
        <v>44</v>
      </c>
      <c r="N641" s="654" t="str">
        <f t="shared" si="179"/>
        <v>AR</v>
      </c>
      <c r="O641" s="1374"/>
      <c r="P641" s="1374"/>
      <c r="Q641" s="1374"/>
      <c r="R641" s="1374"/>
      <c r="S641" s="1374"/>
      <c r="T641" s="911"/>
      <c r="U641" s="1439"/>
    </row>
    <row r="642" spans="1:21" x14ac:dyDescent="0.3">
      <c r="A642" s="653" t="str">
        <f t="shared" ca="1" si="176"/>
        <v/>
      </c>
      <c r="B642" s="1398">
        <v>45</v>
      </c>
      <c r="C642" s="654" t="str">
        <f t="shared" si="177"/>
        <v>AS</v>
      </c>
      <c r="D642" s="1374"/>
      <c r="E642" s="1374"/>
      <c r="F642" s="1374"/>
      <c r="G642" s="1374"/>
      <c r="H642" s="1374"/>
      <c r="I642" s="1374"/>
      <c r="J642" s="911"/>
      <c r="K642" s="921"/>
      <c r="L642" s="656" t="str">
        <f t="shared" ca="1" si="178"/>
        <v>GST Rate</v>
      </c>
      <c r="M642" s="1398">
        <v>45</v>
      </c>
      <c r="N642" s="654" t="str">
        <f t="shared" si="179"/>
        <v>AS</v>
      </c>
      <c r="O642" s="1374"/>
      <c r="P642" s="1374"/>
      <c r="Q642" s="1374"/>
      <c r="R642" s="1374"/>
      <c r="S642" s="1374"/>
      <c r="T642" s="911"/>
      <c r="U642" s="1439"/>
    </row>
    <row r="643" spans="1:21" x14ac:dyDescent="0.3">
      <c r="A643" s="653" t="str">
        <f t="shared" ca="1" si="176"/>
        <v/>
      </c>
      <c r="B643" s="1398">
        <v>46</v>
      </c>
      <c r="C643" s="654" t="str">
        <f t="shared" si="177"/>
        <v>AT</v>
      </c>
      <c r="D643" s="1374"/>
      <c r="E643" s="1374"/>
      <c r="F643" s="1374"/>
      <c r="G643" s="1374"/>
      <c r="H643" s="1374"/>
      <c r="I643" s="1374"/>
      <c r="J643" s="911"/>
      <c r="K643" s="921"/>
      <c r="L643" s="656" t="str">
        <f t="shared" ca="1" si="178"/>
        <v>Actual DRT Consumption (ATCO-S)</v>
      </c>
      <c r="M643" s="1398">
        <v>46</v>
      </c>
      <c r="N643" s="654" t="str">
        <f t="shared" si="179"/>
        <v>AT</v>
      </c>
      <c r="O643" s="1374"/>
      <c r="P643" s="1374"/>
      <c r="Q643" s="1374"/>
      <c r="R643" s="1374"/>
      <c r="S643" s="1374"/>
      <c r="T643" s="911"/>
      <c r="U643" s="1439"/>
    </row>
    <row r="644" spans="1:21" x14ac:dyDescent="0.3">
      <c r="A644" s="653" t="str">
        <f t="shared" ca="1" si="176"/>
        <v/>
      </c>
      <c r="B644" s="1398">
        <v>47</v>
      </c>
      <c r="C644" s="654" t="str">
        <f t="shared" si="177"/>
        <v>AU</v>
      </c>
      <c r="D644" s="1374"/>
      <c r="E644" s="1374"/>
      <c r="F644" s="1374"/>
      <c r="G644" s="1374"/>
      <c r="H644" s="1374"/>
      <c r="I644" s="1374"/>
      <c r="J644" s="911"/>
      <c r="K644" s="921"/>
      <c r="L644" s="656" t="str">
        <f t="shared" ca="1" si="178"/>
        <v>Provincial DRT Consumption</v>
      </c>
      <c r="M644" s="1398">
        <v>47</v>
      </c>
      <c r="N644" s="654" t="str">
        <f t="shared" si="179"/>
        <v>AU</v>
      </c>
      <c r="O644" s="1374"/>
      <c r="P644" s="1374"/>
      <c r="Q644" s="1374"/>
      <c r="R644" s="1374"/>
      <c r="S644" s="1374"/>
      <c r="T644" s="911"/>
      <c r="U644" s="1439"/>
    </row>
    <row r="645" spans="1:21" x14ac:dyDescent="0.3">
      <c r="A645" s="653" t="str">
        <f t="shared" ca="1" si="176"/>
        <v/>
      </c>
      <c r="B645" s="1398">
        <v>48</v>
      </c>
      <c r="C645" s="654" t="str">
        <f t="shared" si="177"/>
        <v>AV</v>
      </c>
      <c r="D645" s="1374"/>
      <c r="E645" s="1374"/>
      <c r="F645" s="1374"/>
      <c r="G645" s="1374"/>
      <c r="H645" s="1374"/>
      <c r="I645" s="1374"/>
      <c r="J645" s="911"/>
      <c r="K645" s="921"/>
      <c r="L645" s="656" t="str">
        <f t="shared" ca="1" si="178"/>
        <v>Detached Home Consumption</v>
      </c>
      <c r="M645" s="1398">
        <v>48</v>
      </c>
      <c r="N645" s="654" t="str">
        <f t="shared" si="179"/>
        <v>AV</v>
      </c>
      <c r="O645" s="1374"/>
      <c r="P645" s="1374"/>
      <c r="Q645" s="1374"/>
      <c r="R645" s="1374"/>
      <c r="S645" s="1374"/>
      <c r="T645" s="911"/>
      <c r="U645" s="1439"/>
    </row>
    <row r="646" spans="1:21" x14ac:dyDescent="0.3">
      <c r="A646" s="653" t="str">
        <f t="shared" ca="1" si="176"/>
        <v/>
      </c>
      <c r="B646" s="1398">
        <v>49</v>
      </c>
      <c r="C646" s="654" t="str">
        <f t="shared" si="177"/>
        <v>AW</v>
      </c>
      <c r="D646" s="1374"/>
      <c r="E646" s="1374"/>
      <c r="F646" s="1374"/>
      <c r="G646" s="1374"/>
      <c r="H646" s="1374"/>
      <c r="I646" s="1374"/>
      <c r="J646" s="911"/>
      <c r="K646" s="921"/>
      <c r="L646" s="656" t="str">
        <f t="shared" ca="1" si="178"/>
        <v>Attached Home Consumption</v>
      </c>
      <c r="M646" s="1398">
        <v>49</v>
      </c>
      <c r="N646" s="654" t="str">
        <f t="shared" si="179"/>
        <v>AW</v>
      </c>
      <c r="O646" s="1374"/>
      <c r="P646" s="1374"/>
      <c r="Q646" s="1374"/>
      <c r="R646" s="1374"/>
      <c r="S646" s="1374"/>
      <c r="T646" s="911"/>
      <c r="U646" s="1439"/>
    </row>
    <row r="647" spans="1:21" x14ac:dyDescent="0.3">
      <c r="A647" s="653" t="str">
        <f t="shared" ca="1" si="176"/>
        <v/>
      </c>
      <c r="B647" s="1398">
        <v>50</v>
      </c>
      <c r="C647" s="654" t="str">
        <f t="shared" si="177"/>
        <v>AX</v>
      </c>
      <c r="D647" s="1374"/>
      <c r="E647" s="1374"/>
      <c r="F647" s="1374"/>
      <c r="G647" s="1374"/>
      <c r="H647" s="1374"/>
      <c r="I647" s="1374"/>
      <c r="J647" s="911"/>
      <c r="K647" s="921"/>
      <c r="L647" s="656" t="str">
        <f t="shared" ca="1" si="178"/>
        <v>2015 Detached Average Consumption</v>
      </c>
      <c r="M647" s="1398">
        <v>50</v>
      </c>
      <c r="N647" s="654" t="str">
        <f t="shared" si="179"/>
        <v>AX</v>
      </c>
      <c r="O647" s="1374"/>
      <c r="P647" s="1374"/>
      <c r="Q647" s="1374"/>
      <c r="R647" s="1374"/>
      <c r="S647" s="1374"/>
      <c r="T647" s="911"/>
      <c r="U647" s="1439"/>
    </row>
    <row r="648" spans="1:21" x14ac:dyDescent="0.3">
      <c r="A648" s="653" t="str">
        <f t="shared" ca="1" si="176"/>
        <v/>
      </c>
      <c r="B648" s="1398">
        <v>51</v>
      </c>
      <c r="C648" s="654" t="str">
        <f t="shared" si="177"/>
        <v>AY</v>
      </c>
      <c r="D648" s="1374"/>
      <c r="E648" s="1374"/>
      <c r="F648" s="1374"/>
      <c r="G648" s="1374"/>
      <c r="H648" s="1374"/>
      <c r="I648" s="1374"/>
      <c r="J648" s="911"/>
      <c r="K648" s="921"/>
      <c r="L648" s="656" t="str">
        <f t="shared" ca="1" si="178"/>
        <v>Manually-Entered Consumption</v>
      </c>
      <c r="M648" s="1398">
        <v>51</v>
      </c>
      <c r="N648" s="654" t="str">
        <f t="shared" si="179"/>
        <v>AY</v>
      </c>
      <c r="O648" s="1374"/>
      <c r="P648" s="1374"/>
      <c r="Q648" s="1374"/>
      <c r="R648" s="1374"/>
      <c r="S648" s="1374"/>
      <c r="T648" s="911"/>
      <c r="U648" s="1439"/>
    </row>
    <row r="649" spans="1:21" x14ac:dyDescent="0.3">
      <c r="A649" s="653" t="str">
        <f t="shared" ca="1" si="176"/>
        <v/>
      </c>
      <c r="B649" s="1398">
        <v>52</v>
      </c>
      <c r="C649" s="654" t="str">
        <f t="shared" si="177"/>
        <v>AZ</v>
      </c>
      <c r="D649" s="1374"/>
      <c r="E649" s="1374"/>
      <c r="F649" s="1374"/>
      <c r="G649" s="1374"/>
      <c r="H649" s="1374"/>
      <c r="I649" s="1374"/>
      <c r="J649" s="911"/>
      <c r="K649" s="921"/>
      <c r="L649" s="656" t="str">
        <f t="shared" ca="1" si="178"/>
        <v>Custom Energy Rate</v>
      </c>
      <c r="M649" s="1398">
        <v>52</v>
      </c>
      <c r="N649" s="654" t="str">
        <f t="shared" si="179"/>
        <v>AZ</v>
      </c>
      <c r="O649" s="1374"/>
      <c r="P649" s="1374"/>
      <c r="Q649" s="1374"/>
      <c r="R649" s="1374"/>
      <c r="S649" s="1374"/>
      <c r="T649" s="911"/>
      <c r="U649" s="1439"/>
    </row>
    <row r="650" spans="1:21" x14ac:dyDescent="0.3">
      <c r="A650" s="653" t="str">
        <f t="shared" ca="1" si="176"/>
        <v/>
      </c>
      <c r="B650" s="1398">
        <v>53</v>
      </c>
      <c r="C650" s="654" t="str">
        <f t="shared" si="177"/>
        <v>BA</v>
      </c>
      <c r="D650" s="1374"/>
      <c r="E650" s="1374"/>
      <c r="F650" s="1374"/>
      <c r="G650" s="1374"/>
      <c r="H650" s="1374"/>
      <c r="I650" s="1374"/>
      <c r="J650" s="911"/>
      <c r="K650" s="921"/>
      <c r="L650" s="656" t="str">
        <f t="shared" ca="1" si="178"/>
        <v>Custom Administration Rate</v>
      </c>
      <c r="M650" s="1398">
        <v>53</v>
      </c>
      <c r="N650" s="654" t="str">
        <f t="shared" si="179"/>
        <v>BA</v>
      </c>
      <c r="O650" s="1374"/>
      <c r="P650" s="1374"/>
      <c r="Q650" s="1374"/>
      <c r="R650" s="1374"/>
      <c r="S650" s="1374"/>
      <c r="T650" s="911"/>
      <c r="U650" s="1439"/>
    </row>
    <row r="651" spans="1:21" x14ac:dyDescent="0.3">
      <c r="A651" s="653" t="str">
        <f t="shared" ca="1" si="176"/>
        <v/>
      </c>
      <c r="B651" s="1398">
        <v>54</v>
      </c>
      <c r="C651" s="654" t="str">
        <f t="shared" si="177"/>
        <v>BB</v>
      </c>
      <c r="D651" s="1374"/>
      <c r="E651" s="1374"/>
      <c r="F651" s="1374"/>
      <c r="G651" s="1374"/>
      <c r="H651" s="1374"/>
      <c r="I651" s="1374"/>
      <c r="J651" s="911"/>
      <c r="K651" s="921"/>
      <c r="L651" s="656" t="str">
        <f t="shared" ca="1" si="178"/>
        <v/>
      </c>
      <c r="M651" s="1398">
        <v>54</v>
      </c>
      <c r="N651" s="654" t="str">
        <f t="shared" si="179"/>
        <v>BB</v>
      </c>
      <c r="O651" s="1374"/>
      <c r="P651" s="1374"/>
      <c r="Q651" s="1374"/>
      <c r="R651" s="1374"/>
      <c r="S651" s="1374"/>
      <c r="T651" s="911"/>
      <c r="U651" s="1439"/>
    </row>
    <row r="652" spans="1:21" x14ac:dyDescent="0.3">
      <c r="A652" s="653" t="str">
        <f t="shared" ca="1" si="176"/>
        <v/>
      </c>
      <c r="B652" s="1398">
        <v>55</v>
      </c>
      <c r="C652" s="654" t="str">
        <f t="shared" si="177"/>
        <v>BC</v>
      </c>
      <c r="D652" s="1374"/>
      <c r="E652" s="1374"/>
      <c r="F652" s="1374"/>
      <c r="G652" s="1374"/>
      <c r="H652" s="1374"/>
      <c r="I652" s="1374"/>
      <c r="J652" s="911"/>
      <c r="K652" s="921"/>
      <c r="L652" s="656" t="str">
        <f t="shared" ca="1" si="178"/>
        <v/>
      </c>
      <c r="M652" s="1398">
        <v>55</v>
      </c>
      <c r="N652" s="654" t="str">
        <f t="shared" si="179"/>
        <v>BC</v>
      </c>
      <c r="O652" s="1374"/>
      <c r="P652" s="1374"/>
      <c r="Q652" s="1374"/>
      <c r="R652" s="1374"/>
      <c r="S652" s="1374"/>
      <c r="T652" s="911"/>
      <c r="U652" s="1439"/>
    </row>
    <row r="653" spans="1:21" x14ac:dyDescent="0.3">
      <c r="A653" s="653" t="str">
        <f t="shared" ca="1" si="176"/>
        <v/>
      </c>
      <c r="B653" s="1398">
        <v>56</v>
      </c>
      <c r="C653" s="654" t="str">
        <f t="shared" si="177"/>
        <v>BD</v>
      </c>
      <c r="D653" s="1374"/>
      <c r="E653" s="1374"/>
      <c r="F653" s="1374"/>
      <c r="G653" s="1374"/>
      <c r="H653" s="1374"/>
      <c r="I653" s="1374"/>
      <c r="J653" s="911"/>
      <c r="K653" s="921"/>
      <c r="L653" s="656" t="str">
        <f t="shared" ca="1" si="178"/>
        <v/>
      </c>
      <c r="M653" s="1398">
        <v>56</v>
      </c>
      <c r="N653" s="654" t="str">
        <f t="shared" si="179"/>
        <v>BD</v>
      </c>
      <c r="O653" s="1374"/>
      <c r="P653" s="1374"/>
      <c r="Q653" s="1374"/>
      <c r="R653" s="1374"/>
      <c r="S653" s="1374"/>
      <c r="T653" s="911"/>
      <c r="U653" s="1439"/>
    </row>
    <row r="654" spans="1:21" x14ac:dyDescent="0.3">
      <c r="A654" s="653" t="str">
        <f t="shared" ca="1" si="176"/>
        <v/>
      </c>
      <c r="B654" s="1398">
        <v>57</v>
      </c>
      <c r="C654" s="654" t="str">
        <f t="shared" si="177"/>
        <v>BE</v>
      </c>
      <c r="D654" s="1374"/>
      <c r="E654" s="1374"/>
      <c r="F654" s="1374"/>
      <c r="G654" s="1374"/>
      <c r="H654" s="1374"/>
      <c r="I654" s="1374"/>
      <c r="J654" s="911"/>
      <c r="K654" s="921"/>
      <c r="L654" s="656" t="str">
        <f t="shared" ca="1" si="178"/>
        <v/>
      </c>
      <c r="M654" s="1398">
        <v>57</v>
      </c>
      <c r="N654" s="654" t="str">
        <f t="shared" si="179"/>
        <v>BE</v>
      </c>
      <c r="O654" s="1374"/>
      <c r="P654" s="1374"/>
      <c r="Q654" s="1374"/>
      <c r="R654" s="1374"/>
      <c r="S654" s="1374"/>
      <c r="T654" s="911"/>
      <c r="U654" s="1439"/>
    </row>
    <row r="655" spans="1:21" x14ac:dyDescent="0.3">
      <c r="A655" s="653" t="str">
        <f t="shared" ca="1" si="176"/>
        <v/>
      </c>
      <c r="B655" s="1398">
        <v>58</v>
      </c>
      <c r="C655" s="654" t="str">
        <f t="shared" si="177"/>
        <v>BF</v>
      </c>
      <c r="D655" s="1374"/>
      <c r="E655" s="1374"/>
      <c r="F655" s="1374"/>
      <c r="G655" s="1374"/>
      <c r="H655" s="1374"/>
      <c r="I655" s="1374"/>
      <c r="J655" s="911"/>
      <c r="K655" s="921"/>
      <c r="L655" s="656" t="str">
        <f t="shared" ca="1" si="178"/>
        <v/>
      </c>
      <c r="M655" s="1398">
        <v>58</v>
      </c>
      <c r="N655" s="654" t="str">
        <f t="shared" si="179"/>
        <v>BF</v>
      </c>
      <c r="O655" s="1374"/>
      <c r="P655" s="1374"/>
      <c r="Q655" s="1374"/>
      <c r="R655" s="1374"/>
      <c r="S655" s="1374"/>
      <c r="T655" s="911"/>
      <c r="U655" s="1439"/>
    </row>
    <row r="656" spans="1:21" x14ac:dyDescent="0.3">
      <c r="A656" s="653" t="str">
        <f t="shared" ca="1" si="176"/>
        <v/>
      </c>
      <c r="B656" s="1398">
        <v>59</v>
      </c>
      <c r="C656" s="654" t="str">
        <f t="shared" si="177"/>
        <v>BG</v>
      </c>
      <c r="D656" s="1374"/>
      <c r="E656" s="1374"/>
      <c r="F656" s="1374"/>
      <c r="G656" s="1374"/>
      <c r="H656" s="1374"/>
      <c r="I656" s="1374"/>
      <c r="J656" s="911"/>
      <c r="K656" s="921"/>
      <c r="L656" s="656" t="str">
        <f t="shared" ca="1" si="178"/>
        <v/>
      </c>
      <c r="M656" s="1398">
        <v>59</v>
      </c>
      <c r="N656" s="654" t="str">
        <f t="shared" si="179"/>
        <v>BG</v>
      </c>
      <c r="O656" s="1374"/>
      <c r="P656" s="1374"/>
      <c r="Q656" s="1374"/>
      <c r="R656" s="1374"/>
      <c r="S656" s="1374"/>
      <c r="T656" s="911"/>
      <c r="U656" s="1439"/>
    </row>
    <row r="657" spans="1:27" x14ac:dyDescent="0.3">
      <c r="A657" s="653" t="str">
        <f t="shared" ca="1" si="176"/>
        <v/>
      </c>
      <c r="B657" s="1398">
        <v>60</v>
      </c>
      <c r="C657" s="654" t="str">
        <f t="shared" si="177"/>
        <v>BH</v>
      </c>
      <c r="D657" s="1374"/>
      <c r="E657" s="1374"/>
      <c r="F657" s="1374"/>
      <c r="G657" s="1374"/>
      <c r="H657" s="1374"/>
      <c r="I657" s="1374"/>
      <c r="J657" s="911"/>
      <c r="K657" s="921"/>
      <c r="L657" s="656" t="str">
        <f t="shared" ca="1" si="178"/>
        <v/>
      </c>
      <c r="M657" s="1398">
        <v>60</v>
      </c>
      <c r="N657" s="654" t="str">
        <f t="shared" si="179"/>
        <v>BH</v>
      </c>
      <c r="O657" s="1374"/>
      <c r="P657" s="1374"/>
      <c r="Q657" s="1374"/>
      <c r="R657" s="1374"/>
      <c r="S657" s="1374"/>
      <c r="T657" s="911"/>
      <c r="U657" s="1439"/>
    </row>
    <row r="658" spans="1:27" x14ac:dyDescent="0.3">
      <c r="A658" s="653" t="str">
        <f t="shared" ca="1" si="176"/>
        <v/>
      </c>
      <c r="B658" s="1398">
        <v>61</v>
      </c>
      <c r="C658" s="654" t="str">
        <f t="shared" si="177"/>
        <v>BI</v>
      </c>
      <c r="D658" s="1374"/>
      <c r="E658" s="1374"/>
      <c r="F658" s="1374"/>
      <c r="G658" s="1374"/>
      <c r="H658" s="1374"/>
      <c r="I658" s="1374"/>
      <c r="J658" s="911"/>
      <c r="K658" s="921"/>
      <c r="L658" s="656" t="str">
        <f t="shared" ca="1" si="178"/>
        <v/>
      </c>
      <c r="M658" s="1398">
        <v>61</v>
      </c>
      <c r="N658" s="654" t="str">
        <f t="shared" si="179"/>
        <v>BI</v>
      </c>
      <c r="O658" s="1374"/>
      <c r="P658" s="1374"/>
      <c r="Q658" s="1374"/>
      <c r="R658" s="1374"/>
      <c r="S658" s="1374"/>
      <c r="T658" s="911"/>
      <c r="U658" s="1439"/>
    </row>
    <row r="659" spans="1:27" x14ac:dyDescent="0.3">
      <c r="A659" s="653" t="str">
        <f t="shared" ca="1" si="176"/>
        <v/>
      </c>
      <c r="B659" s="1398">
        <v>62</v>
      </c>
      <c r="C659" s="654" t="str">
        <f t="shared" si="177"/>
        <v>BJ</v>
      </c>
      <c r="D659" s="1374"/>
      <c r="E659" s="1374"/>
      <c r="F659" s="1374"/>
      <c r="G659" s="1374"/>
      <c r="H659" s="1374"/>
      <c r="I659" s="1374"/>
      <c r="J659" s="911"/>
      <c r="K659" s="921"/>
      <c r="L659" s="656" t="str">
        <f t="shared" ca="1" si="178"/>
        <v/>
      </c>
      <c r="M659" s="1398">
        <v>62</v>
      </c>
      <c r="N659" s="654" t="str">
        <f t="shared" si="179"/>
        <v>BJ</v>
      </c>
      <c r="O659" s="1374"/>
      <c r="P659" s="1374"/>
      <c r="Q659" s="1374"/>
      <c r="R659" s="1374"/>
      <c r="S659" s="1374"/>
      <c r="T659" s="911"/>
      <c r="U659" s="1439"/>
    </row>
    <row r="660" spans="1:27" x14ac:dyDescent="0.3">
      <c r="A660" s="936"/>
      <c r="B660" s="918"/>
      <c r="C660" s="918"/>
      <c r="D660" s="918"/>
      <c r="E660" s="918"/>
      <c r="F660" s="918"/>
      <c r="G660" s="918"/>
      <c r="H660" s="918"/>
      <c r="I660" s="918"/>
      <c r="J660" s="919"/>
      <c r="K660" s="917"/>
      <c r="L660" s="918"/>
      <c r="M660" s="918"/>
      <c r="N660" s="918"/>
      <c r="O660" s="918"/>
      <c r="P660" s="918"/>
      <c r="Q660" s="918"/>
      <c r="R660" s="918"/>
      <c r="S660" s="918"/>
      <c r="T660" s="919"/>
      <c r="U660" s="1439"/>
    </row>
    <row r="661" spans="1:27" x14ac:dyDescent="0.3">
      <c r="A661" s="1373"/>
      <c r="B661" s="1374"/>
      <c r="C661" s="1374"/>
      <c r="D661" s="1374"/>
      <c r="E661" s="1374"/>
      <c r="F661" s="1374"/>
      <c r="G661" s="1374"/>
      <c r="H661" s="1374"/>
      <c r="I661" s="1374"/>
      <c r="J661" s="1374"/>
      <c r="K661" s="1374"/>
      <c r="L661" s="1374"/>
      <c r="M661" s="1374"/>
      <c r="N661" s="1374"/>
      <c r="O661" s="1374"/>
      <c r="P661" s="1374"/>
      <c r="Q661" s="1374"/>
      <c r="R661" s="1374"/>
      <c r="S661" s="1374"/>
      <c r="T661" s="1374"/>
      <c r="U661" s="1439"/>
    </row>
    <row r="662" spans="1:27" ht="14.5" thickBot="1" x14ac:dyDescent="0.35">
      <c r="A662" s="1386"/>
      <c r="B662" s="1378"/>
      <c r="C662" s="1378"/>
      <c r="D662" s="1378"/>
      <c r="E662" s="1378"/>
      <c r="F662" s="1378"/>
      <c r="G662" s="1378"/>
      <c r="H662" s="1378"/>
      <c r="I662" s="1378"/>
      <c r="J662" s="1378"/>
      <c r="K662" s="1378"/>
      <c r="L662" s="1378"/>
      <c r="M662" s="1378"/>
      <c r="N662" s="1378"/>
      <c r="O662" s="1378"/>
      <c r="P662" s="1378"/>
      <c r="Q662" s="1378"/>
      <c r="R662" s="1378"/>
      <c r="S662" s="1378"/>
      <c r="T662" s="1378"/>
      <c r="U662" s="1440"/>
    </row>
    <row r="663" spans="1:27" x14ac:dyDescent="0.3">
      <c r="A663" s="1374"/>
      <c r="B663" s="1374"/>
      <c r="C663" s="1374"/>
      <c r="D663" s="1374"/>
      <c r="E663" s="1374"/>
      <c r="F663" s="1374"/>
      <c r="G663" s="1374"/>
      <c r="H663" s="1374"/>
      <c r="I663" s="1374"/>
      <c r="J663" s="1374"/>
      <c r="K663" s="1374"/>
      <c r="L663" s="1374"/>
      <c r="M663" s="1374"/>
      <c r="N663" s="1374"/>
      <c r="O663" s="1374"/>
      <c r="P663" s="1374"/>
      <c r="Q663" s="1374"/>
      <c r="R663" s="1374"/>
      <c r="S663" s="1374"/>
      <c r="T663" s="1374"/>
    </row>
    <row r="664" spans="1:27" x14ac:dyDescent="0.3">
      <c r="A664" s="1374"/>
      <c r="B664" s="1374"/>
      <c r="C664" s="1374"/>
      <c r="D664" s="1374"/>
      <c r="E664" s="1374"/>
      <c r="F664" s="1374"/>
      <c r="G664" s="1374"/>
      <c r="H664" s="1374"/>
      <c r="I664" s="1374"/>
      <c r="J664" s="1374"/>
      <c r="K664" s="1374"/>
      <c r="L664" s="1374"/>
      <c r="M664" s="1374"/>
      <c r="N664" s="1374"/>
      <c r="O664" s="1374"/>
      <c r="P664" s="1374"/>
      <c r="Q664" s="1374"/>
      <c r="R664" s="1374"/>
      <c r="S664" s="1374"/>
      <c r="T664" s="1374"/>
    </row>
    <row r="665" spans="1:27" ht="14.5" thickBot="1" x14ac:dyDescent="0.35">
      <c r="A665" s="1374"/>
      <c r="B665" s="1374"/>
      <c r="C665" s="1374"/>
      <c r="D665" s="1374"/>
      <c r="E665" s="1374"/>
      <c r="F665" s="1374"/>
      <c r="G665" s="1374"/>
      <c r="H665" s="1374"/>
      <c r="I665" s="1374"/>
      <c r="J665" s="1374"/>
      <c r="K665" s="1374"/>
      <c r="L665" s="1374"/>
      <c r="M665" s="1374"/>
      <c r="N665" s="1374"/>
      <c r="O665" s="1374"/>
      <c r="P665" s="1374"/>
      <c r="Q665" s="1374"/>
      <c r="R665" s="1374"/>
      <c r="S665" s="1374"/>
      <c r="T665" s="1374"/>
    </row>
    <row r="666" spans="1:27" x14ac:dyDescent="0.3">
      <c r="A666" s="1376"/>
      <c r="B666" s="1377"/>
      <c r="C666" s="1377"/>
      <c r="D666" s="1377"/>
      <c r="E666" s="1377"/>
      <c r="F666" s="1377"/>
      <c r="G666" s="1377"/>
      <c r="H666" s="1377"/>
      <c r="I666" s="1377"/>
      <c r="J666" s="1377"/>
      <c r="K666" s="1377"/>
      <c r="L666" s="1377"/>
      <c r="M666" s="1377"/>
      <c r="N666" s="1377"/>
      <c r="O666" s="1377"/>
      <c r="P666" s="1377"/>
      <c r="Q666" s="1377"/>
      <c r="R666" s="1377"/>
      <c r="S666" s="1377"/>
      <c r="T666" s="1377"/>
      <c r="U666" s="1377"/>
      <c r="V666" s="1377"/>
      <c r="W666" s="1377"/>
      <c r="X666" s="1377"/>
      <c r="Y666" s="1377"/>
      <c r="Z666" s="1377"/>
      <c r="AA666" s="645"/>
    </row>
    <row r="667" spans="1:27" x14ac:dyDescent="0.3">
      <c r="A667" s="2681" t="s">
        <v>508</v>
      </c>
      <c r="B667" s="2682"/>
      <c r="C667" s="2682"/>
      <c r="D667" s="2682"/>
      <c r="E667" s="2682"/>
      <c r="F667" s="1374"/>
      <c r="G667" s="1374"/>
      <c r="H667" s="1374"/>
      <c r="I667" s="1374"/>
      <c r="J667" s="1374"/>
      <c r="K667" s="1374"/>
      <c r="L667" s="1374"/>
      <c r="M667" s="1374"/>
      <c r="N667" s="1374"/>
      <c r="O667" s="1374"/>
      <c r="P667" s="1374"/>
      <c r="Q667" s="1374"/>
      <c r="R667" s="1374"/>
      <c r="S667" s="1374"/>
      <c r="T667" s="1374"/>
      <c r="U667" s="1374"/>
      <c r="V667" s="1374"/>
      <c r="W667" s="1374"/>
      <c r="X667" s="1374"/>
      <c r="Y667" s="1374"/>
      <c r="Z667" s="1374"/>
      <c r="AA667" s="1439"/>
    </row>
    <row r="668" spans="1:27" x14ac:dyDescent="0.3">
      <c r="A668" s="2681"/>
      <c r="B668" s="2682"/>
      <c r="C668" s="2682"/>
      <c r="D668" s="2682"/>
      <c r="E668" s="2682"/>
      <c r="F668" s="1374"/>
      <c r="G668" s="1374"/>
      <c r="H668" s="1374"/>
      <c r="I668" s="1374"/>
      <c r="J668" s="1374"/>
      <c r="K668" s="1374"/>
      <c r="L668" s="1374"/>
      <c r="M668" s="1374"/>
      <c r="N668" s="1374"/>
      <c r="O668" s="1374"/>
      <c r="P668" s="1374"/>
      <c r="Q668" s="1374"/>
      <c r="R668" s="1374"/>
      <c r="S668" s="1374"/>
      <c r="T668" s="1374"/>
      <c r="U668" s="1374"/>
      <c r="V668" s="1374"/>
      <c r="W668" s="1374"/>
      <c r="X668" s="1374"/>
      <c r="Y668" s="1374"/>
      <c r="Z668" s="1374"/>
      <c r="AA668" s="1439"/>
    </row>
    <row r="669" spans="1:27" x14ac:dyDescent="0.3">
      <c r="A669" s="2681"/>
      <c r="B669" s="2682"/>
      <c r="C669" s="2682"/>
      <c r="D669" s="2682"/>
      <c r="E669" s="2682"/>
      <c r="F669" s="1374"/>
      <c r="G669" s="1374"/>
      <c r="H669" s="1374"/>
      <c r="I669" s="1374"/>
      <c r="J669" s="1374"/>
      <c r="K669" s="1374"/>
      <c r="L669" s="1374"/>
      <c r="M669" s="1374"/>
      <c r="N669" s="1374"/>
      <c r="O669" s="1374"/>
      <c r="P669" s="1374"/>
      <c r="Q669" s="1374"/>
      <c r="R669" s="1374"/>
      <c r="S669" s="1374"/>
      <c r="T669" s="1374"/>
      <c r="U669" s="1374"/>
      <c r="V669" s="1374"/>
      <c r="W669" s="1374"/>
      <c r="X669" s="1374"/>
      <c r="Y669" s="1374"/>
      <c r="Z669" s="1374"/>
      <c r="AA669" s="1439"/>
    </row>
    <row r="670" spans="1:27" x14ac:dyDescent="0.3">
      <c r="A670" s="1373"/>
      <c r="B670" s="1374"/>
      <c r="C670" s="1374"/>
      <c r="D670" s="1374"/>
      <c r="E670" s="1374"/>
      <c r="F670" s="1374"/>
      <c r="G670" s="1374"/>
      <c r="H670" s="1374"/>
      <c r="I670" s="1374"/>
      <c r="J670" s="1374"/>
      <c r="K670" s="1374"/>
      <c r="L670" s="1374"/>
      <c r="M670" s="1374"/>
      <c r="N670" s="1374"/>
      <c r="O670" s="1374"/>
      <c r="P670" s="1374"/>
      <c r="Q670" s="1374"/>
      <c r="R670" s="1374"/>
      <c r="S670" s="1374"/>
      <c r="T670" s="1374"/>
      <c r="U670" s="1374"/>
      <c r="V670" s="1374"/>
      <c r="W670" s="1374"/>
      <c r="X670" s="1374"/>
      <c r="Y670" s="1374"/>
      <c r="Z670" s="1374"/>
      <c r="AA670" s="1439"/>
    </row>
    <row r="671" spans="1:27" ht="29.25" customHeight="1" thickBot="1" x14ac:dyDescent="0.35">
      <c r="A671" s="2797" t="s">
        <v>507</v>
      </c>
      <c r="B671" s="2798"/>
      <c r="C671" s="2798"/>
      <c r="D671" s="2798"/>
      <c r="E671" s="2798"/>
      <c r="F671" s="2798"/>
      <c r="G671" s="2798"/>
      <c r="H671" s="2798"/>
      <c r="I671" s="2798"/>
      <c r="J671" s="2798"/>
      <c r="K671" s="2798"/>
      <c r="L671" s="2798"/>
      <c r="M671" s="2799"/>
      <c r="N671" s="1374"/>
      <c r="O671" s="2628" t="s">
        <v>506</v>
      </c>
      <c r="P671" s="2629"/>
      <c r="Q671" s="2629"/>
      <c r="R671" s="2629"/>
      <c r="S671" s="2629"/>
      <c r="T671" s="2629"/>
      <c r="U671" s="2629"/>
      <c r="V671" s="2629"/>
      <c r="W671" s="2629"/>
      <c r="X671" s="2629"/>
      <c r="Y671" s="2629"/>
      <c r="Z671" s="2630"/>
      <c r="AA671" s="1439"/>
    </row>
    <row r="672" spans="1:27" ht="14.5" thickBot="1" x14ac:dyDescent="0.35">
      <c r="A672" s="2800"/>
      <c r="B672" s="2801"/>
      <c r="C672" s="2801"/>
      <c r="D672" s="2801"/>
      <c r="E672" s="2801"/>
      <c r="F672" s="2801"/>
      <c r="G672" s="2801"/>
      <c r="H672" s="2801"/>
      <c r="I672" s="2801"/>
      <c r="J672" s="2801"/>
      <c r="K672" s="2801"/>
      <c r="L672" s="2801"/>
      <c r="M672" s="2802"/>
      <c r="N672" s="1374"/>
      <c r="O672" s="921"/>
      <c r="P672" s="1374"/>
      <c r="Q672" s="1374"/>
      <c r="R672" s="1374"/>
      <c r="S672" s="1374"/>
      <c r="T672" s="1374"/>
      <c r="U672" s="1374"/>
      <c r="V672" s="1374"/>
      <c r="W672" s="1374"/>
      <c r="X672" s="1374"/>
      <c r="Y672" s="1374"/>
      <c r="Z672" s="911"/>
      <c r="AA672" s="1439"/>
    </row>
    <row r="673" spans="1:27" ht="28" x14ac:dyDescent="0.3">
      <c r="A673" s="1373"/>
      <c r="B673" s="1374"/>
      <c r="C673" s="1374"/>
      <c r="D673" s="1374"/>
      <c r="E673" s="1374"/>
      <c r="F673" s="1374"/>
      <c r="G673" s="1374"/>
      <c r="H673" s="1374"/>
      <c r="I673" s="1374"/>
      <c r="J673" s="1374"/>
      <c r="K673" s="1374"/>
      <c r="L673" s="1374"/>
      <c r="M673" s="911"/>
      <c r="N673" s="1374"/>
      <c r="O673" s="2778" t="s">
        <v>53</v>
      </c>
      <c r="P673" s="2627"/>
      <c r="Q673" s="2627"/>
      <c r="R673" s="2627"/>
      <c r="S673" s="1374"/>
      <c r="T673" s="2617" t="str">
        <f ca="1">'NG Analysis'!$A$195 &amp; " (" &amp; $V$674 &amp; "), "&amp; 'NG Analysis'!$A$194 &amp; " Zone, " &amp; 'NG Analysis'!$T$194 &amp; " - " &amp; 'NG Analysis'!$T$195</f>
        <v>Total Monthly Bill ($/month), ATCO-S Zone, 2012 - 2019</v>
      </c>
      <c r="U673" s="2617"/>
      <c r="V673" s="693" t="s">
        <v>480</v>
      </c>
      <c r="W673" s="1374"/>
      <c r="X673" s="2772" t="str">
        <f>'NG Analysis'!$A$194&amp; " Billing Determinants"</f>
        <v>ATCO-S Billing Determinants</v>
      </c>
      <c r="Y673" s="2773"/>
      <c r="Z673" s="2774"/>
      <c r="AA673" s="1439"/>
    </row>
    <row r="674" spans="1:27" ht="28" x14ac:dyDescent="0.4">
      <c r="A674" s="2626" t="s">
        <v>53</v>
      </c>
      <c r="B674" s="2627"/>
      <c r="C674" s="2627"/>
      <c r="D674" s="2627"/>
      <c r="E674" s="2627"/>
      <c r="F674" s="1374"/>
      <c r="G674" s="2617" t="str">
        <f ca="1">'Elec. Analysis'!$A$194 &amp; " (" &amp; $I$675 &amp; "), " &amp; 'Elec. Analysis'!$A$193 &amp; " Zone, " &amp; 'Elec. Analysis'!$T$193 &amp; " - " &amp; 'Elec. Analysis'!$T$194</f>
        <v>Total Monthly Bill ($/month), ENMAX Zone, 2012 - 2019</v>
      </c>
      <c r="H674" s="2617"/>
      <c r="I674" s="693" t="s">
        <v>480</v>
      </c>
      <c r="J674" s="1374"/>
      <c r="K674" s="2772" t="str">
        <f>'Elec. Analysis'!$A$193&amp; " Billing Determinants"</f>
        <v>ENMAX Billing Determinants</v>
      </c>
      <c r="L674" s="2773"/>
      <c r="M674" s="2774"/>
      <c r="N674" s="1374"/>
      <c r="O674" s="1026"/>
      <c r="P674" s="705" t="s">
        <v>99</v>
      </c>
      <c r="Q674" s="705" t="s">
        <v>100</v>
      </c>
      <c r="R674" s="705" t="s">
        <v>101</v>
      </c>
      <c r="S674" s="1374"/>
      <c r="T674" s="2617"/>
      <c r="U674" s="2617"/>
      <c r="V674" s="1398" t="str">
        <f ca="1">IF(HLOOKUP('NG Analysis'!$A$195, INDIRECT("'"&amp;'NG Analysis'!$A$194 &amp; "'!$A$5:$CA$100"), 2, FALSE)=0, "$", HLOOKUP('NG Analysis'!$A$195, INDIRECT("'"&amp;'NG Analysis'!$A$194 &amp; "'!$A$5:$CA$100"), 2, FALSE))</f>
        <v>$/month</v>
      </c>
      <c r="W674" s="1374"/>
      <c r="X674" s="2775"/>
      <c r="Y674" s="2776"/>
      <c r="Z674" s="2777"/>
      <c r="AA674" s="1439"/>
    </row>
    <row r="675" spans="1:27" x14ac:dyDescent="0.3">
      <c r="A675" s="1029"/>
      <c r="B675" s="1402" t="s">
        <v>54</v>
      </c>
      <c r="C675" s="1402" t="s">
        <v>55</v>
      </c>
      <c r="D675" s="1402" t="s">
        <v>56</v>
      </c>
      <c r="E675" s="1402" t="s">
        <v>57</v>
      </c>
      <c r="F675" s="1374"/>
      <c r="G675" s="2617"/>
      <c r="H675" s="2617"/>
      <c r="I675" s="1398" t="str">
        <f ca="1">IF(HLOOKUP('Elec. Analysis'!$A$194, INDIRECT("'"&amp;'Elec. Analysis'!$A$193 &amp; "'!$A$5:$CA$100"), 2, FALSE)=0, "$", HLOOKUP('Elec. Analysis'!$A$194, INDIRECT("'"&amp;'Elec. Analysis'!$A$193 &amp; "'!$A$5:$CA$100"), 2, FALSE))</f>
        <v>$/month</v>
      </c>
      <c r="J675" s="1374"/>
      <c r="K675" s="2775"/>
      <c r="L675" s="2776"/>
      <c r="M675" s="2777"/>
      <c r="N675" s="1374"/>
      <c r="O675" s="1018" t="s">
        <v>59</v>
      </c>
      <c r="P675" s="706" t="str">
        <f>(IF(COLUMN('ATCO-N'!$S$5)&gt;26,(CHAR((ROUNDDOWN((COLUMN('ATCO-N'!$S$5)-1)/26,0))+64))&amp;(CHAR(COLUMN('ATCO-N'!$S$5)+64-(ROUNDDOWN((COLUMN('ATCO-N'!$S$5)-1)/26,0)*26))),CHAR(COLUMN('ATCO-N'!$S$5)+64)))</f>
        <v>S</v>
      </c>
      <c r="Q675" s="706" t="str">
        <f>(IF(COLUMN('ATCO-S'!$S$5)&gt;26,(CHAR((ROUNDDOWN((COLUMN('ATCO-S'!$S$5)-1)/26,0))+64))&amp;(CHAR(COLUMN('ATCO-S'!$S$5)+64-(ROUNDDOWN((COLUMN('ATCO-S'!$S$5)-1)/26,0)*26))),CHAR(COLUMN('ATCO-S'!$S$5)+64)))</f>
        <v>S</v>
      </c>
      <c r="R675" s="706" t="str">
        <f>(IF(COLUMN(AltaGas!$S$5)&gt;26,(CHAR((ROUNDDOWN((COLUMN(AltaGas!$S$5)-1)/26,0))+64))&amp;(CHAR(COLUMN(AltaGas!$S$5)+64-(ROUNDDOWN((COLUMN(AltaGas!$S$5)-1)/26,0)*26))),CHAR(COLUMN(AltaGas!$S$5)+64)))</f>
        <v>S</v>
      </c>
      <c r="S675" s="1374"/>
      <c r="T675" s="1394" t="s">
        <v>191</v>
      </c>
      <c r="U675" s="1394" t="str">
        <f>'NG Analysis'!$A$194</f>
        <v>ATCO-S</v>
      </c>
      <c r="V675" s="1374"/>
      <c r="W675" s="1374"/>
      <c r="X675" s="707" t="s">
        <v>194</v>
      </c>
      <c r="Y675" s="707" t="s">
        <v>195</v>
      </c>
      <c r="Z675" s="1019" t="s">
        <v>196</v>
      </c>
      <c r="AA675" s="1439"/>
    </row>
    <row r="676" spans="1:27" x14ac:dyDescent="0.3">
      <c r="A676" s="1030" t="s">
        <v>58</v>
      </c>
      <c r="B676" s="1398" t="str">
        <f>(IF(COLUMN(ENMAX!$H$5)&gt;26,(CHAR((ROUNDDOWN((COLUMN(ENMAX!$H$5)-1)/26,0))+64))&amp;(CHAR(COLUMN(ENMAX!$H$5)+64-(ROUNDDOWN((COLUMN(ENMAX!$H$5)-1)/26,0)*26))),CHAR(COLUMN(ENMAX!$H$5)+64)))</f>
        <v>H</v>
      </c>
      <c r="C676" s="1398" t="str">
        <f>(IF(COLUMN(EPCOR!$H$5)&gt;26,(CHAR((ROUNDDOWN((COLUMN(EPCOR!$H$5)-1)/26,0))+64))&amp;(CHAR(COLUMN(EPCOR!$H$5)+64-(ROUNDDOWN((COLUMN(EPCOR!$H$5)-1)/26,0)*26))),CHAR(COLUMN(EPCOR!$H$5)+64)))</f>
        <v>H</v>
      </c>
      <c r="D676" s="1398" t="str">
        <f>(IF(COLUMN(FORTIS!$H$5)&gt;26,(CHAR((ROUNDDOWN((COLUMN(FORTIS!$H$5)-1)/26,0))+64))&amp;(CHAR(COLUMN(FORTIS!$H$5)+64-(ROUNDDOWN((COLUMN(FORTIS!$H$5)-1)/26,0)*26))),CHAR(COLUMN(FORTIS!$H$5)+64)))</f>
        <v>H</v>
      </c>
      <c r="E676" s="1398" t="str">
        <f>(IF(COLUMN(ATCO!$H$5)&gt;26,(CHAR((ROUNDDOWN((COLUMN(ATCO!$H$5)-1)/26,0))+64))&amp;(CHAR(COLUMN(ATCO!$H$5)+64-(ROUNDDOWN((COLUMN(ATCO!$H$5)-1)/26,0)*26))),CHAR(COLUMN(ATCO!$H$5)+64)))</f>
        <v>H</v>
      </c>
      <c r="F676" s="1374"/>
      <c r="G676" s="1406" t="s">
        <v>191</v>
      </c>
      <c r="H676" s="1406" t="str">
        <f>'Elec. Analysis'!$A$193</f>
        <v>ENMAX</v>
      </c>
      <c r="I676" s="1374"/>
      <c r="J676" s="1374"/>
      <c r="K676" s="707" t="s">
        <v>194</v>
      </c>
      <c r="L676" s="707" t="s">
        <v>195</v>
      </c>
      <c r="M676" s="1019" t="s">
        <v>196</v>
      </c>
      <c r="N676" s="1374"/>
      <c r="O676" s="1027" t="s">
        <v>60</v>
      </c>
      <c r="P676" s="706" t="str">
        <f>(IF(COLUMN('ATCO-N'!$R$5)&gt;26,(CHAR((ROUNDDOWN((COLUMN('ATCO-N'!$R$5)-1)/26,0))+64))&amp;(CHAR(COLUMN('ATCO-N'!$R$5)+64-(ROUNDDOWN((COLUMN('ATCO-N'!$R$5)-1)/26,0)*26))),CHAR(COLUMN('ATCO-N'!$R$5)+64)))</f>
        <v>R</v>
      </c>
      <c r="Q676" s="706" t="str">
        <f>(IF(COLUMN('ATCO-S'!$R$5)&gt;26,(CHAR((ROUNDDOWN((COLUMN('ATCO-S'!$R$5)-1)/26,0))+64))&amp;(CHAR(COLUMN('ATCO-S'!$R$5)+64-(ROUNDDOWN((COLUMN('ATCO-S'!$R$5)-1)/26,0)*26))),CHAR(COLUMN('ATCO-S'!$R$5)+64)))</f>
        <v>R</v>
      </c>
      <c r="R676" s="706" t="str">
        <f>(IF(COLUMN(AltaGas!$R$5)&gt;26,(CHAR((ROUNDDOWN((COLUMN(AltaGas!$R$5)-1)/26,0))+64))&amp;(CHAR(COLUMN(AltaGas!$R$5)+64-(ROUNDDOWN((COLUMN(AltaGas!$R$5)-1)/26,0)*26))),CHAR(COLUMN(AltaGas!$R$5)+64)))</f>
        <v>R</v>
      </c>
      <c r="S676" s="1374"/>
      <c r="T676" s="708">
        <f>IF(AND($O710&lt;=DATE('NG Analysis'!$T$195, 12,1),$O710&gt;=DATE('NG Analysis'!$T$194, 1, 1)), $O710, NA())</f>
        <v>40909</v>
      </c>
      <c r="U676" s="1273">
        <f ca="1">IF($T676="",NA(),VLOOKUP($T676, INDIRECT("'" &amp;'NG Analysis'!$A$194&amp;"'!"&amp;"$A$5:$CA$100"),VLOOKUP('NG Analysis'!$A$195, $X$676:$Z$735, 2, FALSE),FALSE))</f>
        <v>110.67641450594077</v>
      </c>
      <c r="V676" s="1374"/>
      <c r="W676" s="1374"/>
      <c r="X676" s="656" t="str">
        <f ca="1">IF(INDIRECT("'"&amp;'NG Analysis'!$A$194&amp;"'!"&amp;$Z676&amp;"5")=0, "", INDIRECT("'"&amp;'NG Analysis'!$A$194&amp;"'!"&amp;$Z676&amp;"5"))</f>
        <v>Monthly Consumption</v>
      </c>
      <c r="Y676" s="1398">
        <v>3</v>
      </c>
      <c r="Z676" s="1020" t="str">
        <f t="shared" ref="Z676:Z707" si="180">(IF($Y676&gt;26,(CHAR((ROUNDDOWN(($Y676-1)/26,0))+64))&amp;(CHAR($Y676+64-(ROUNDDOWN(($Y676-1)/26,0)*26))),CHAR($Y676+64)))</f>
        <v>C</v>
      </c>
      <c r="AA676" s="1439"/>
    </row>
    <row r="677" spans="1:27" x14ac:dyDescent="0.3">
      <c r="A677" s="1030" t="s">
        <v>59</v>
      </c>
      <c r="B677" s="1398" t="str">
        <f>(IF(COLUMN(ENMAX!$I$5)&gt;26,(CHAR((ROUNDDOWN((COLUMN(ENMAX!$I$5)-1)/26,0))+64))&amp;(CHAR(COLUMN(ENMAX!$I$5)+64-(ROUNDDOWN((COLUMN(ENMAX!$I$5)-1)/26,0)*26))),CHAR(COLUMN(ENMAX!$I$5)+64)))</f>
        <v>I</v>
      </c>
      <c r="C677" s="1398" t="str">
        <f>(IF(COLUMN(EPCOR!$I$5)&gt;26,(CHAR((ROUNDDOWN((COLUMN(EPCOR!$I$5)-1)/26,0))+64))&amp;(CHAR(COLUMN(EPCOR!$I$5)+64-(ROUNDDOWN((COLUMN(EPCOR!$I$5)-1)/26,0)*26))),CHAR(COLUMN(EPCOR!$I$5)+64)))</f>
        <v>I</v>
      </c>
      <c r="D677" s="1398" t="str">
        <f>(IF(COLUMN(FORTIS!$I$5)&gt;26,(CHAR((ROUNDDOWN((COLUMN(FORTIS!$I$5)-1)/26,0))+64))&amp;(CHAR(COLUMN(FORTIS!$I$5)+64-(ROUNDDOWN((COLUMN(FORTIS!$I$5)-1)/26,0)*26))),CHAR(COLUMN(FORTIS!$I$5)+64)))</f>
        <v>I</v>
      </c>
      <c r="E677" s="1398" t="str">
        <f>(IF(COLUMN(ATCO!$I$5)&gt;26,(CHAR((ROUNDDOWN((COLUMN(ATCO!$I$5)-1)/26,0))+64))&amp;(CHAR(COLUMN(ATCO!$I$5)+64-(ROUNDDOWN((COLUMN(ATCO!$I$5)-1)/26,0)*26))),CHAR(COLUMN(ATCO!$I$5)+64)))</f>
        <v>I</v>
      </c>
      <c r="F677" s="1374"/>
      <c r="G677" s="708">
        <f>IF(AND($A708&lt;=DATE('Elec. Analysis'!$T$194, 12,1),$A708&gt;=DATE('Elec. Analysis'!$T$193, 1, 1)), $A708, NA())</f>
        <v>40909</v>
      </c>
      <c r="H677" s="1273">
        <f ca="1">IF($G677="",NA(),VLOOKUP($G677, INDIRECT("'" &amp;'Elec. Analysis'!$A$193&amp;"'!"&amp;"$A$5:$CA$100"),VLOOKUP('Elec. Analysis'!$A$194, $K$677:$M$736, 2, FALSE),FALSE))</f>
        <v>176.03224583567183</v>
      </c>
      <c r="I677" s="1374"/>
      <c r="J677" s="1374"/>
      <c r="K677" s="656" t="str">
        <f ca="1">IF(INDIRECT("'"&amp;'Elec. Analysis'!$A$193&amp;"'!"&amp;$M677&amp;"5")=0, "", INDIRECT("'"&amp;'Elec. Analysis'!$A$193&amp;"'!"&amp;$M677&amp;"5"))</f>
        <v>Monthly Consumption</v>
      </c>
      <c r="L677" s="1398">
        <v>3</v>
      </c>
      <c r="M677" s="1020" t="str">
        <f t="shared" ref="M677:M708" si="181">(IF($L677&gt;26,(CHAR((ROUNDDOWN(($L677-1)/26,0))+64))&amp;(CHAR($L677+64-(ROUNDDOWN(($L677-1)/26,0)*26))),CHAR($L677+64)))</f>
        <v>C</v>
      </c>
      <c r="N677" s="1374"/>
      <c r="O677" s="1027" t="s">
        <v>62</v>
      </c>
      <c r="P677" s="706" t="str">
        <f>(IF(COLUMN('ATCO-N'!$I$5)&gt;26,(CHAR((ROUNDDOWN((COLUMN('ATCO-N'!$I$5)-1)/26,0))+64))&amp;(CHAR(COLUMN('ATCO-N'!$I$5)+64-(ROUNDDOWN((COLUMN('ATCO-N'!$I$5)-1)/26,0)*26))),CHAR(COLUMN('ATCO-N'!$I$5)+64)))</f>
        <v>I</v>
      </c>
      <c r="Q677" s="706" t="str">
        <f>(IF(COLUMN('ATCO-S'!$I$5)&gt;26,(CHAR((ROUNDDOWN((COLUMN('ATCO-S'!$I$5)-1)/26,0))+64))&amp;(CHAR(COLUMN('ATCO-S'!$I$5)+64-(ROUNDDOWN((COLUMN('ATCO-S'!$I$5)-1)/26,0)*26))),CHAR(COLUMN('ATCO-S'!$I$5)+64)))</f>
        <v>I</v>
      </c>
      <c r="R677" s="706" t="str">
        <f>(IF(COLUMN(AltaGas!$I$5)&gt;26,(CHAR((ROUNDDOWN((COLUMN(AltaGas!$I$5)-1)/26,0))+64))&amp;(CHAR(COLUMN(AltaGas!$I$5)+64-(ROUNDDOWN((COLUMN(AltaGas!$I$5)-1)/26,0)*26))),CHAR(COLUMN(AltaGas!$I$5)+64)))</f>
        <v>I</v>
      </c>
      <c r="S677" s="1374"/>
      <c r="T677" s="708">
        <f>IF(AND($O711&lt;=DATE('NG Analysis'!$T$195, 12,1),$O711&gt;=DATE('NG Analysis'!$T$194, 1, 1)), $O711, NA())</f>
        <v>40940</v>
      </c>
      <c r="U677" s="1273">
        <f ca="1">IF($T677="",NA(),VLOOKUP($T677, INDIRECT("'" &amp;'NG Analysis'!$A$194&amp;"'!"&amp;"$A$5:$CA$100"),VLOOKUP('NG Analysis'!$A$195, $X$676:$Z$735, 2, FALSE),FALSE))</f>
        <v>86.080388053429772</v>
      </c>
      <c r="V677" s="1374"/>
      <c r="W677" s="1374"/>
      <c r="X677" s="656" t="str">
        <f ca="1">IF(INDIRECT("'"&amp;'NG Analysis'!$A$194&amp;"'!"&amp;$Z677&amp;"5")=0, "", INDIRECT("'"&amp;'NG Analysis'!$A$194&amp;"'!"&amp;$Z677&amp;"5"))</f>
        <v>All-In Rate</v>
      </c>
      <c r="Y677" s="1398">
        <v>4</v>
      </c>
      <c r="Z677" s="1020" t="str">
        <f t="shared" si="180"/>
        <v>D</v>
      </c>
      <c r="AA677" s="1439"/>
    </row>
    <row r="678" spans="1:27" x14ac:dyDescent="0.3">
      <c r="A678" s="1031" t="s">
        <v>60</v>
      </c>
      <c r="B678" s="1398" t="str">
        <f>(IF(COLUMN(ENMAX!$T$5)&gt;26,(CHAR((ROUNDDOWN((COLUMN(ENMAX!$T$5)-1)/26,0))+64))&amp;(CHAR(COLUMN(ENMAX!$T$5)+64-(ROUNDDOWN((COLUMN(ENMAX!$T$5)-1)/26,0)*26))),CHAR(COLUMN(ENMAX!$T$5)+64)))</f>
        <v>T</v>
      </c>
      <c r="C678" s="1398" t="str">
        <f>(IF(COLUMN(EPCOR!$T$5)&gt;26,(CHAR((ROUNDDOWN((COLUMN(EPCOR!$T$5)-1)/26,0))+64))&amp;(CHAR(COLUMN(EPCOR!$T$5)+64-(ROUNDDOWN((COLUMN(EPCOR!$T$5)-1)/26,0)*26))),CHAR(COLUMN(EPCOR!$T$5)+64)))</f>
        <v>T</v>
      </c>
      <c r="D678" s="1398" t="str">
        <f>(IF(COLUMN(FORTIS!$T$5)&gt;26,(CHAR((ROUNDDOWN((COLUMN(FORTIS!$T$5)-1)/26,0))+64))&amp;(CHAR(COLUMN(FORTIS!$T$5)+64-(ROUNDDOWN((COLUMN(FORTIS!$T$5)-1)/26,0)*26))),CHAR(COLUMN(FORTIS!$T$5)+64)))</f>
        <v>T</v>
      </c>
      <c r="E678" s="1398" t="str">
        <f>(IF(COLUMN(ATCO!$U$5)&gt;26,(CHAR((ROUNDDOWN((COLUMN(ATCO!$U$5)-1)/26,0))+64))&amp;(CHAR(COLUMN(ATCO!$U$5)+64-(ROUNDDOWN((COLUMN(ATCO!$U$5)-1)/26,0)*26))),CHAR(COLUMN(ATCO!$U$5)+64)))</f>
        <v>U</v>
      </c>
      <c r="F678" s="1374"/>
      <c r="G678" s="708">
        <f>IF(AND($A709&lt;=DATE('Elec. Analysis'!$T$194, 12,1),$A709&gt;=DATE('Elec. Analysis'!$T$193, 1, 1)), $A709, NA())</f>
        <v>40940</v>
      </c>
      <c r="H678" s="1273">
        <f ca="1">IF($G678="",NA(),VLOOKUP($G678, INDIRECT("'" &amp;'Elec. Analysis'!$A$193&amp;"'!"&amp;"$A$5:$CA$100"),VLOOKUP('Elec. Analysis'!$A$194, $K$677:$M$736, 2, FALSE),FALSE))</f>
        <v>146.38684193791593</v>
      </c>
      <c r="I678" s="1374"/>
      <c r="J678" s="1374"/>
      <c r="K678" s="656" t="str">
        <f ca="1">IF(INDIRECT("'"&amp;'Elec. Analysis'!$A$193&amp;"'!"&amp;$M678&amp;"5")=0, "", INDIRECT("'"&amp;'Elec. Analysis'!$A$193&amp;"'!"&amp;$M678&amp;"5"))</f>
        <v>All-In Rate</v>
      </c>
      <c r="L678" s="1398">
        <v>4</v>
      </c>
      <c r="M678" s="1020" t="str">
        <f t="shared" si="181"/>
        <v>D</v>
      </c>
      <c r="N678" s="1374"/>
      <c r="O678" s="1018" t="s">
        <v>9</v>
      </c>
      <c r="P678" s="706" t="str">
        <f>(IF(COLUMN('ATCO-N'!$J$5)&gt;26,(CHAR((ROUNDDOWN((COLUMN('ATCO-N'!$J$5)-1)/26,0))+64))&amp;(CHAR(COLUMN('ATCO-N'!$J$5)+64-(ROUNDDOWN((COLUMN('ATCO-N'!$J$5)-1)/26,0)*26))),CHAR(COLUMN('ATCO-N'!$J$5)+64)))</f>
        <v>J</v>
      </c>
      <c r="Q678" s="706" t="str">
        <f>(IF(COLUMN('ATCO-S'!$J$5)&gt;26,(CHAR((ROUNDDOWN((COLUMN('ATCO-S'!$J$5)-1)/26,0))+64))&amp;(CHAR(COLUMN('ATCO-S'!$J$5)+64-(ROUNDDOWN((COLUMN('ATCO-S'!$J$5)-1)/26,0)*26))),CHAR(COLUMN('ATCO-S'!$J$5)+64)))</f>
        <v>J</v>
      </c>
      <c r="R678" s="706" t="str">
        <f>(IF(COLUMN(AltaGas!$J$5)&gt;26,(CHAR((ROUNDDOWN((COLUMN(AltaGas!$J$5)-1)/26,0))+64))&amp;(CHAR(COLUMN(AltaGas!$J$5)+64-(ROUNDDOWN((COLUMN(AltaGas!$J$5)-1)/26,0)*26))),CHAR(COLUMN(AltaGas!$J$5)+64)))</f>
        <v>J</v>
      </c>
      <c r="S678" s="1374"/>
      <c r="T678" s="708">
        <f>IF(AND($O712&lt;=DATE('NG Analysis'!$T$195, 12,1),$O712&gt;=DATE('NG Analysis'!$T$194, 1, 1)), $O712, NA())</f>
        <v>40969</v>
      </c>
      <c r="U678" s="1273">
        <f ca="1">IF($T678="",NA(),VLOOKUP($T678, INDIRECT("'" &amp;'NG Analysis'!$A$194&amp;"'!"&amp;"$A$5:$CA$100"),VLOOKUP('NG Analysis'!$A$195, $X$676:$Z$735, 2, FALSE),FALSE))</f>
        <v>78.268348726027085</v>
      </c>
      <c r="V678" s="1374"/>
      <c r="W678" s="1374"/>
      <c r="X678" s="656" t="str">
        <f ca="1">IF(INDIRECT("'"&amp;'NG Analysis'!$A$194&amp;"'!"&amp;$Z678&amp;"5")=0, "", INDIRECT("'"&amp;'NG Analysis'!$A$194&amp;"'!"&amp;$Z678&amp;"5"))</f>
        <v>Marginal Cost</v>
      </c>
      <c r="Y678" s="1398">
        <v>5</v>
      </c>
      <c r="Z678" s="1020" t="str">
        <f t="shared" si="180"/>
        <v>E</v>
      </c>
      <c r="AA678" s="1439"/>
    </row>
    <row r="679" spans="1:27" x14ac:dyDescent="0.3">
      <c r="A679" s="1032" t="s">
        <v>62</v>
      </c>
      <c r="B679" s="1398" t="str">
        <f>(IF(COLUMN(ENMAX!$J$5)&gt;26,(CHAR((ROUNDDOWN((COLUMN(ENMAX!$J$5)-1)/26,0))+64))&amp;(CHAR(COLUMN(ENMAX!$J$5)+64-(ROUNDDOWN((COLUMN(ENMAX!$J$5)-1)/26,0)*26))),CHAR(COLUMN(ENMAX!$J$5)+64)))</f>
        <v>J</v>
      </c>
      <c r="C679" s="1398" t="str">
        <f>(IF(COLUMN(EPCOR!$J$5)&gt;26,(CHAR((ROUNDDOWN((COLUMN(EPCOR!$J$5)-1)/26,0))+64))&amp;(CHAR(COLUMN(EPCOR!$J$5)+64-(ROUNDDOWN((COLUMN(EPCOR!$J$5)-1)/26,0)*26))),CHAR(COLUMN(EPCOR!$J$5)+64)))</f>
        <v>J</v>
      </c>
      <c r="D679" s="1398" t="str">
        <f>(IF(COLUMN(FORTIS!$J$5)&gt;26,(CHAR((ROUNDDOWN((COLUMN(FORTIS!$J$5)-1)/26,0))+64))&amp;(CHAR(COLUMN(FORTIS!$J$5)+64-(ROUNDDOWN((COLUMN(FORTIS!$J$5)-1)/26,0)*26))),CHAR(COLUMN(FORTIS!$J$5)+64)))</f>
        <v>J</v>
      </c>
      <c r="E679" s="1398" t="str">
        <f>(IF(COLUMN(ATCO!$J$5)&gt;26,(CHAR((ROUNDDOWN((COLUMN(ATCO!$J$5)-1)/26,0))+64))&amp;(CHAR(COLUMN(ATCO!$J$5)+64-(ROUNDDOWN((COLUMN(ATCO!$J$5)-1)/26,0)*26))),CHAR(COLUMN(ATCO!$J$5)+64)))</f>
        <v>J</v>
      </c>
      <c r="F679" s="1374"/>
      <c r="G679" s="708">
        <f>IF(AND($A710&lt;=DATE('Elec. Analysis'!$T$194, 12,1),$A710&gt;=DATE('Elec. Analysis'!$T$193, 1, 1)), $A710, NA())</f>
        <v>40969</v>
      </c>
      <c r="H679" s="1273">
        <f ca="1">IF($G679="",NA(),VLOOKUP($G679, INDIRECT("'" &amp;'Elec. Analysis'!$A$193&amp;"'!"&amp;"$A$5:$CA$100"),VLOOKUP('Elec. Analysis'!$A$194, $K$677:$M$736, 2, FALSE),FALSE))</f>
        <v>104.46397338464241</v>
      </c>
      <c r="I679" s="1374"/>
      <c r="J679" s="1374"/>
      <c r="K679" s="656" t="str">
        <f ca="1">IF(INDIRECT("'"&amp;'Elec. Analysis'!$A$193&amp;"'!"&amp;$M679&amp;"5")=0, "", INDIRECT("'"&amp;'Elec. Analysis'!$A$193&amp;"'!"&amp;$M679&amp;"5"))</f>
        <v>Marginal Cost</v>
      </c>
      <c r="L679" s="1398">
        <v>5</v>
      </c>
      <c r="M679" s="1020" t="str">
        <f t="shared" si="181"/>
        <v>E</v>
      </c>
      <c r="N679" s="1374"/>
      <c r="O679" s="1027" t="s">
        <v>65</v>
      </c>
      <c r="P679" s="706" t="str">
        <f>(IF(COLUMN('ATCO-N'!$G$5)&gt;26,(CHAR((ROUNDDOWN((COLUMN('ATCO-N'!$G$5)-1)/26,0))+64))&amp;(CHAR(COLUMN('ATCO-N'!$G$5)+64-(ROUNDDOWN((COLUMN('ATCO-N'!$G$5)-1)/26,0)*26))),CHAR(COLUMN('ATCO-N'!$G$5)+64)))</f>
        <v>G</v>
      </c>
      <c r="Q679" s="706" t="str">
        <f>(IF(COLUMN('ATCO-S'!$G$5)&gt;26,(CHAR((ROUNDDOWN((COLUMN('ATCO-S'!$G$5)-1)/26,0))+64))&amp;(CHAR(COLUMN('ATCO-S'!$G$5)+64-(ROUNDDOWN((COLUMN('ATCO-S'!$G$5)-1)/26,0)*26))),CHAR(COLUMN('ATCO-S'!$G$5)+64)))</f>
        <v>G</v>
      </c>
      <c r="R679" s="706" t="str">
        <f>(IF(COLUMN(AltaGas!$G$5)&gt;26,(CHAR((ROUNDDOWN((COLUMN(AltaGas!$G$5)-1)/26,0))+64))&amp;(CHAR(COLUMN(AltaGas!$G$5)+64-(ROUNDDOWN((COLUMN(AltaGas!$G$5)-1)/26,0)*26))),CHAR(COLUMN(AltaGas!$G$5)+64)))</f>
        <v>G</v>
      </c>
      <c r="S679" s="1374"/>
      <c r="T679" s="708">
        <f>IF(AND($O713&lt;=DATE('NG Analysis'!$T$195, 12,1),$O713&gt;=DATE('NG Analysis'!$T$194, 1, 1)), $O713, NA())</f>
        <v>41000</v>
      </c>
      <c r="U679" s="1273">
        <f ca="1">IF($T679="",NA(),VLOOKUP($T679, INDIRECT("'" &amp;'NG Analysis'!$A$194&amp;"'!"&amp;"$A$5:$CA$100"),VLOOKUP('NG Analysis'!$A$195, $X$676:$Z$735, 2, FALSE),FALSE))</f>
        <v>62.98083944570196</v>
      </c>
      <c r="V679" s="1374"/>
      <c r="W679" s="1374"/>
      <c r="X679" s="656" t="str">
        <f ca="1">IF(INDIRECT("'"&amp;'NG Analysis'!$A$194&amp;"'!"&amp;$Z679&amp;"5")=0, "", INDIRECT("'"&amp;'NG Analysis'!$A$194&amp;"'!"&amp;$Z679&amp;"5"))</f>
        <v>Total Monthly Bill</v>
      </c>
      <c r="Y679" s="1398">
        <v>6</v>
      </c>
      <c r="Z679" s="1020" t="str">
        <f t="shared" si="180"/>
        <v>F</v>
      </c>
      <c r="AA679" s="1439"/>
    </row>
    <row r="680" spans="1:27" x14ac:dyDescent="0.3">
      <c r="A680" s="1032" t="s">
        <v>63</v>
      </c>
      <c r="B680" s="1398" t="str">
        <f>(IF(COLUMN(ENMAX!$K$5)&gt;26,(CHAR((ROUNDDOWN((COLUMN(ENMAX!$K$5)-1)/26,0))+64))&amp;(CHAR(COLUMN(ENMAX!$K$5)+64-(ROUNDDOWN((COLUMN(ENMAX!$K$5)-1)/26,0)*26))),CHAR(COLUMN(ENMAX!$K$5)+64)))</f>
        <v>K</v>
      </c>
      <c r="C680" s="1398" t="str">
        <f>(IF(COLUMN(EPCOR!$K$5)&gt;26,(CHAR((ROUNDDOWN((COLUMN(EPCOR!$K$5)-1)/26,0))+64))&amp;(CHAR(COLUMN(EPCOR!$K$5)+64-(ROUNDDOWN((COLUMN(EPCOR!$K$5)-1)/26,0)*26))),CHAR(COLUMN(EPCOR!$K$5)+64)))</f>
        <v>K</v>
      </c>
      <c r="D680" s="1398" t="str">
        <f>(IF(COLUMN(FORTIS!$K$5)&gt;26,(CHAR((ROUNDDOWN((COLUMN(FORTIS!$K$5)-1)/26,0))+64))&amp;(CHAR(COLUMN(FORTIS!$K$5)+64-(ROUNDDOWN((COLUMN(FORTIS!$K$5)-1)/26,0)*26))),CHAR(COLUMN(FORTIS!$K$5)+64)))</f>
        <v>K</v>
      </c>
      <c r="E680" s="1398" t="str">
        <f>(IF(COLUMN(ATCO!$K$5)&gt;26,(CHAR((ROUNDDOWN((COLUMN(ATCO!$K$5)-1)/26,0))+64))&amp;(CHAR(COLUMN(ATCO!$K$5)+64-(ROUNDDOWN((COLUMN(ATCO!$K$5)-1)/26,0)*26))),CHAR(COLUMN(ATCO!$K$5)+64)))</f>
        <v>K</v>
      </c>
      <c r="F680" s="1374"/>
      <c r="G680" s="708">
        <f>IF(AND($A711&lt;=DATE('Elec. Analysis'!$T$194, 12,1),$A711&gt;=DATE('Elec. Analysis'!$T$193, 1, 1)), $A711, NA())</f>
        <v>41000</v>
      </c>
      <c r="H680" s="1273">
        <f ca="1">IF($G680="",NA(),VLOOKUP($G680, INDIRECT("'" &amp;'Elec. Analysis'!$A$193&amp;"'!"&amp;"$A$5:$CA$100"),VLOOKUP('Elec. Analysis'!$A$194, $K$677:$M$736, 2, FALSE),FALSE))</f>
        <v>89.20275930212344</v>
      </c>
      <c r="I680" s="1374"/>
      <c r="J680" s="1374"/>
      <c r="K680" s="656" t="str">
        <f ca="1">IF(INDIRECT("'"&amp;'Elec. Analysis'!$A$193&amp;"'!"&amp;$M680&amp;"5")=0, "", INDIRECT("'"&amp;'Elec. Analysis'!$A$193&amp;"'!"&amp;$M680&amp;"5"))</f>
        <v>Total Monthly Bill</v>
      </c>
      <c r="L680" s="1398">
        <v>6</v>
      </c>
      <c r="M680" s="1020" t="str">
        <f t="shared" si="181"/>
        <v>F</v>
      </c>
      <c r="N680" s="1374"/>
      <c r="O680" s="1027" t="s">
        <v>66</v>
      </c>
      <c r="P680" s="706" t="str">
        <f>(IF(COLUMN('ATCO-N'!$K$5)&gt;26,(CHAR((ROUNDDOWN((COLUMN('ATCO-N'!$K$5)-1)/26,0))+64))&amp;(CHAR(COLUMN('ATCO-N'!$K$5)+64-(ROUNDDOWN((COLUMN('ATCO-N'!$K$5)-1)/26,0)*26))),CHAR(COLUMN('ATCO-N'!$K$5)+64)))</f>
        <v>K</v>
      </c>
      <c r="Q680" s="706" t="str">
        <f>(IF(COLUMN('ATCO-S'!$K$5)&gt;26,(CHAR((ROUNDDOWN((COLUMN('ATCO-S'!$K$5)-1)/26,0))+64))&amp;(CHAR(COLUMN('ATCO-S'!$K$5)+64-(ROUNDDOWN((COLUMN('ATCO-S'!$K$5)-1)/26,0)*26))),CHAR(COLUMN('ATCO-S'!$K$5)+64)))</f>
        <v>K</v>
      </c>
      <c r="R680" s="706" t="str">
        <f>(IF(COLUMN(AltaGas!$K$5)&gt;26,(CHAR((ROUNDDOWN((COLUMN(AltaGas!$K$5)-1)/26,0))+64))&amp;(CHAR(COLUMN(AltaGas!$K$5)+64-(ROUNDDOWN((COLUMN(AltaGas!$K$5)-1)/26,0)*26))),CHAR(COLUMN(AltaGas!$K$5)+64)))</f>
        <v>K</v>
      </c>
      <c r="S680" s="1374"/>
      <c r="T680" s="708">
        <f>IF(AND($O714&lt;=DATE('NG Analysis'!$T$195, 12,1),$O714&gt;=DATE('NG Analysis'!$T$194, 1, 1)), $O714, NA())</f>
        <v>41030</v>
      </c>
      <c r="U680" s="1273">
        <f ca="1">IF($T680="",NA(),VLOOKUP($T680, INDIRECT("'" &amp;'NG Analysis'!$A$194&amp;"'!"&amp;"$A$5:$CA$100"),VLOOKUP('NG Analysis'!$A$195, $X$676:$Z$735, 2, FALSE),FALSE))</f>
        <v>46.952203773786366</v>
      </c>
      <c r="V680" s="1374"/>
      <c r="W680" s="1374"/>
      <c r="X680" s="656" t="str">
        <f ca="1">IF(INDIRECT("'"&amp;'NG Analysis'!$A$194&amp;"'!"&amp;$Z680&amp;"5")=0, "", INDIRECT("'"&amp;'NG Analysis'!$A$194&amp;"'!"&amp;$Z680&amp;"5"))</f>
        <v>Total Energy Components</v>
      </c>
      <c r="Y680" s="1398">
        <v>7</v>
      </c>
      <c r="Z680" s="1020" t="str">
        <f t="shared" si="180"/>
        <v>G</v>
      </c>
      <c r="AA680" s="1439"/>
    </row>
    <row r="681" spans="1:27" x14ac:dyDescent="0.3">
      <c r="A681" s="1032" t="s">
        <v>64</v>
      </c>
      <c r="B681" s="1398" t="str">
        <f>(IF(COLUMN(ENMAX!$AC$5)&gt;26,(CHAR((ROUNDDOWN((COLUMN(ENMAX!$AC$5)-1)/26,0))+64))&amp;(CHAR(COLUMN(ENMAX!$AC$5)+64-(ROUNDDOWN((COLUMN(ENMAX!$AC$5)-1)/26,0)*26))),CHAR(COLUMN(ENMAX!$AC$5)+64)))</f>
        <v>AC</v>
      </c>
      <c r="C681" s="1398" t="str">
        <f>(IF(COLUMN(EPCOR!$AC$5)&gt;26,(CHAR((ROUNDDOWN((COLUMN(EPCOR!$AC$5)-1)/26,0))+64))&amp;(CHAR(COLUMN(EPCOR!$AC$5)+64-(ROUNDDOWN((COLUMN(EPCOR!$AC$5)-1)/26,0)*26))),CHAR(COLUMN(EPCOR!$AC$5)+64)))</f>
        <v>AC</v>
      </c>
      <c r="D681" s="1398" t="str">
        <f>(IF(COLUMN(FORTIS!$AE$5)&gt;26,(CHAR((ROUNDDOWN((COLUMN(FORTIS!$AE$5)-1)/26,0))+64))&amp;(CHAR(COLUMN(FORTIS!$AE$5)+64-(ROUNDDOWN((COLUMN(FORTIS!$AE$5)-1)/26,0)*26))),CHAR(COLUMN(FORTIS!$AE$5)+64)))</f>
        <v>AE</v>
      </c>
      <c r="E681" s="1398" t="str">
        <f>(IF(COLUMN(ATCO!$AI$5)&gt;26,(CHAR((ROUNDDOWN((COLUMN(ATCO!$AI$5)-1)/26,0))+64))&amp;(CHAR(COLUMN(ATCO!$AI$5)+64-(ROUNDDOWN((COLUMN(ATCO!$AI$5)-1)/26,0)*26))),CHAR(COLUMN(ATCO!$AI$5)+64)))</f>
        <v>AI</v>
      </c>
      <c r="F681" s="1374"/>
      <c r="G681" s="708">
        <f>IF(AND($A712&lt;=DATE('Elec. Analysis'!$T$194, 12,1),$A712&gt;=DATE('Elec. Analysis'!$T$193, 1, 1)), $A712, NA())</f>
        <v>41030</v>
      </c>
      <c r="H681" s="1273">
        <f ca="1">IF($G681="",NA(),VLOOKUP($G681, INDIRECT("'" &amp;'Elec. Analysis'!$A$193&amp;"'!"&amp;"$A$5:$CA$100"),VLOOKUP('Elec. Analysis'!$A$194, $K$677:$M$736, 2, FALSE),FALSE))</f>
        <v>83.166867696355169</v>
      </c>
      <c r="I681" s="1374"/>
      <c r="J681" s="1374"/>
      <c r="K681" s="656" t="str">
        <f ca="1">IF(INDIRECT("'"&amp;'Elec. Analysis'!$A$193&amp;"'!"&amp;$M681&amp;"5")=0, "", INDIRECT("'"&amp;'Elec. Analysis'!$A$193&amp;"'!"&amp;$M681&amp;"5"))</f>
        <v>Total Energy Components</v>
      </c>
      <c r="L681" s="1398">
        <v>7</v>
      </c>
      <c r="M681" s="1020" t="str">
        <f t="shared" si="181"/>
        <v>G</v>
      </c>
      <c r="N681" s="1374"/>
      <c r="O681" s="1027" t="s">
        <v>576</v>
      </c>
      <c r="P681" s="1400" t="str">
        <f>(IF(COLUMN('ATCO-N'!$L$5)&gt;26,(CHAR((ROUNDDOWN((COLUMN('ATCO-N'!$L$5)-1)/26,0))+64))&amp;(CHAR(COLUMN('ATCO-N'!$L$5)+64-(ROUNDDOWN((COLUMN('ATCO-N'!$L$5)-1)/26,0)*26))),CHAR(COLUMN('ATCO-N'!$L$5)+64)))</f>
        <v>L</v>
      </c>
      <c r="Q681" s="1400" t="str">
        <f>(IF(COLUMN('ATCO-S'!$L$5)&gt;26,(CHAR((ROUNDDOWN((COLUMN('ATCO-S'!$L$5)-1)/26,0))+64))&amp;(CHAR(COLUMN('ATCO-S'!$L$5)+64-(ROUNDDOWN((COLUMN('ATCO-S'!$L$5)-1)/26,0)*26))),CHAR(COLUMN('ATCO-S'!$L$5)+64)))</f>
        <v>L</v>
      </c>
      <c r="R681" s="1400" t="str">
        <f>(IF(COLUMN(AltaGas!$L$5)&gt;26,(CHAR((ROUNDDOWN((COLUMN(AltaGas!$L$5)-1)/26,0))+64))&amp;(CHAR(COLUMN(AltaGas!$L$5)+64-(ROUNDDOWN((COLUMN(AltaGas!$L$5)-1)/26,0)*26))),CHAR(COLUMN(AltaGas!$L$5)+64)))</f>
        <v>L</v>
      </c>
      <c r="S681" s="1374"/>
      <c r="T681" s="708">
        <f>IF(AND($O715&lt;=DATE('NG Analysis'!$T$195, 12,1),$O715&gt;=DATE('NG Analysis'!$T$194, 1, 1)), $O715, NA())</f>
        <v>41061</v>
      </c>
      <c r="U681" s="1273">
        <f ca="1">IF($T681="",NA(),VLOOKUP($T681, INDIRECT("'" &amp;'NG Analysis'!$A$194&amp;"'!"&amp;"$A$5:$CA$100"),VLOOKUP('NG Analysis'!$A$195, $X$676:$Z$735, 2, FALSE),FALSE))</f>
        <v>44.109626167421865</v>
      </c>
      <c r="V681" s="1374"/>
      <c r="W681" s="1374"/>
      <c r="X681" s="656" t="str">
        <f ca="1">IF(INDIRECT("'"&amp;'NG Analysis'!$A$194&amp;"'!"&amp;$Z681&amp;"5")=0, "", INDIRECT("'"&amp;'NG Analysis'!$A$194&amp;"'!"&amp;$Z681&amp;"5"))</f>
        <v>Total Distribution Charge</v>
      </c>
      <c r="Y681" s="1398">
        <v>8</v>
      </c>
      <c r="Z681" s="1020" t="str">
        <f t="shared" si="180"/>
        <v>H</v>
      </c>
      <c r="AA681" s="1439"/>
    </row>
    <row r="682" spans="1:27" x14ac:dyDescent="0.3">
      <c r="A682" s="1032" t="s">
        <v>65</v>
      </c>
      <c r="B682" s="1398" t="str">
        <f>(IF(COLUMN(ENMAX!$G$5)&gt;26,(CHAR((ROUNDDOWN((COLUMN(ENMAX!$G$5)-1)/26,0))+64))&amp;(CHAR(COLUMN(ENMAX!$G$5)+64-(ROUNDDOWN((COLUMN(ENMAX!$G$5)-1)/26,0)*26))),CHAR(COLUMN(ENMAX!$G$5)+64)))</f>
        <v>G</v>
      </c>
      <c r="C682" s="1398" t="str">
        <f>(IF(COLUMN(EPCOR!$G$5)&gt;26,(CHAR((ROUNDDOWN((COLUMN(EPCOR!$G$5)-1)/26,0))+64))&amp;(CHAR(COLUMN(EPCOR!$G$5)+64-(ROUNDDOWN((COLUMN(EPCOR!$G$5)-1)/26,0)*26))),CHAR(COLUMN(EPCOR!$G$5)+64)))</f>
        <v>G</v>
      </c>
      <c r="D682" s="1398" t="str">
        <f>(IF(COLUMN(FORTIS!$G$5)&gt;26,(CHAR((ROUNDDOWN((COLUMN(FORTIS!$G$5)-1)/26,0))+64))&amp;(CHAR(COLUMN(FORTIS!$G$5)+64-(ROUNDDOWN((COLUMN(FORTIS!$G$5)-1)/26,0)*26))),CHAR(COLUMN(FORTIS!$G$5)+64)))</f>
        <v>G</v>
      </c>
      <c r="E682" s="1398" t="str">
        <f>(IF(COLUMN(ATCO!$G$5)&gt;26,(CHAR((ROUNDDOWN((COLUMN(ATCO!$G$5)-1)/26,0))+64))&amp;(CHAR(COLUMN(ATCO!$G$5)+64-(ROUNDDOWN((COLUMN(ATCO!$G$5)-1)/26,0)*26))),CHAR(COLUMN(ATCO!$G$5)+64)))</f>
        <v>G</v>
      </c>
      <c r="F682" s="1374"/>
      <c r="G682" s="708">
        <f>IF(AND($A713&lt;=DATE('Elec. Analysis'!$T$194, 12,1),$A713&gt;=DATE('Elec. Analysis'!$T$193, 1, 1)), $A713, NA())</f>
        <v>41061</v>
      </c>
      <c r="H682" s="1273">
        <f ca="1">IF($G682="",NA(),VLOOKUP($G682, INDIRECT("'" &amp;'Elec. Analysis'!$A$193&amp;"'!"&amp;"$A$5:$CA$100"),VLOOKUP('Elec. Analysis'!$A$194, $K$677:$M$736, 2, FALSE),FALSE))</f>
        <v>87.41731040655921</v>
      </c>
      <c r="I682" s="1374"/>
      <c r="J682" s="1374"/>
      <c r="K682" s="656" t="str">
        <f ca="1">IF(INDIRECT("'"&amp;'Elec. Analysis'!$A$193&amp;"'!"&amp;$M682&amp;"5")=0, "", INDIRECT("'"&amp;'Elec. Analysis'!$A$193&amp;"'!"&amp;$M682&amp;"5"))</f>
        <v>Total Transmission Charge</v>
      </c>
      <c r="L682" s="1398">
        <v>8</v>
      </c>
      <c r="M682" s="1020" t="str">
        <f t="shared" si="181"/>
        <v>H</v>
      </c>
      <c r="N682" s="1374"/>
      <c r="O682" s="1027" t="s">
        <v>21</v>
      </c>
      <c r="P682" s="706" t="str">
        <f>(IF(COLUMN('ATCO-N'!$M$5)&gt;26,(CHAR((ROUNDDOWN((COLUMN('ATCO-N'!$M$5)-1)/26,0))+64))&amp;(CHAR(COLUMN('ATCO-N'!$M$5)+64-(ROUNDDOWN((COLUMN('ATCO-N'!$M$5)-1)/26,0)*26))),CHAR(COLUMN('ATCO-N'!$M$5)+64)))</f>
        <v>M</v>
      </c>
      <c r="Q682" s="706" t="str">
        <f>(IF(COLUMN('ATCO-S'!$M$5)&gt;26,(CHAR((ROUNDDOWN((COLUMN('ATCO-S'!$M$5)-1)/26,0))+64))&amp;(CHAR(COLUMN('ATCO-S'!$M$5)+64-(ROUNDDOWN((COLUMN('ATCO-S'!$M$5)-1)/26,0)*26))),CHAR(COLUMN('ATCO-S'!$M$5)+64)))</f>
        <v>M</v>
      </c>
      <c r="R682" s="706" t="str">
        <f>(IF(COLUMN(AltaGas!$M$5)&gt;26,(CHAR((ROUNDDOWN((COLUMN(AltaGas!$M$5)-1)/26,0))+64))&amp;(CHAR(COLUMN(AltaGas!$M$5)+64-(ROUNDDOWN((COLUMN(AltaGas!$M$5)-1)/26,0)*26))),CHAR(COLUMN(AltaGas!$M$5)+64)))</f>
        <v>M</v>
      </c>
      <c r="S682" s="1374"/>
      <c r="T682" s="708">
        <f>IF(AND($O716&lt;=DATE('NG Analysis'!$T$195, 12,1),$O716&gt;=DATE('NG Analysis'!$T$194, 1, 1)), $O716, NA())</f>
        <v>41091</v>
      </c>
      <c r="U682" s="1273">
        <f ca="1">IF($T682="",NA(),VLOOKUP($T682, INDIRECT("'" &amp;'NG Analysis'!$A$194&amp;"'!"&amp;"$A$5:$CA$100"),VLOOKUP('NG Analysis'!$A$195, $X$676:$Z$735, 2, FALSE),FALSE))</f>
        <v>38.572839005636759</v>
      </c>
      <c r="V682" s="1374"/>
      <c r="W682" s="1374"/>
      <c r="X682" s="656" t="str">
        <f ca="1">IF(INDIRECT("'"&amp;'NG Analysis'!$A$194&amp;"'!"&amp;$Z682&amp;"5")=0, "", INDIRECT("'"&amp;'NG Analysis'!$A$194&amp;"'!"&amp;$Z682&amp;"5"))</f>
        <v>Total Local Access and Franchise Fees</v>
      </c>
      <c r="Y682" s="1398">
        <v>9</v>
      </c>
      <c r="Z682" s="1020" t="str">
        <f t="shared" si="180"/>
        <v>I</v>
      </c>
      <c r="AA682" s="1439"/>
    </row>
    <row r="683" spans="1:27" x14ac:dyDescent="0.3">
      <c r="A683" s="1032" t="s">
        <v>66</v>
      </c>
      <c r="B683" s="1398" t="str">
        <f>(IF(COLUMN(ENMAX!$L$5)&gt;26,(CHAR((ROUNDDOWN((COLUMN(ENMAX!$L$5)-1)/26,0))+64))&amp;(CHAR(COLUMN(ENMAX!$L$5)+64-(ROUNDDOWN((COLUMN(ENMAX!$L$5)-1)/26,0)*26))),CHAR(COLUMN(ENMAX!$L$5)+64)))</f>
        <v>L</v>
      </c>
      <c r="C683" s="1398" t="str">
        <f>(IF(COLUMN(EPCOR!$L$5)&gt;26,(CHAR((ROUNDDOWN((COLUMN(EPCOR!$L$5)-1)/26,0))+64))&amp;(CHAR(COLUMN(EPCOR!$L$5)+64-(ROUNDDOWN((COLUMN(EPCOR!$L$5)-1)/26,0)*26))),CHAR(COLUMN(EPCOR!$L$5)+64)))</f>
        <v>L</v>
      </c>
      <c r="D683" s="1398" t="str">
        <f>(IF(COLUMN(FORTIS!$L$5)&gt;26,(CHAR((ROUNDDOWN((COLUMN(FORTIS!$L$5)-1)/26,0))+64))&amp;(CHAR(COLUMN(FORTIS!$L$5)+64-(ROUNDDOWN((COLUMN(FORTIS!$L$5)-1)/26,0)*26))),CHAR(COLUMN(FORTIS!$L$5)+64)))</f>
        <v>L</v>
      </c>
      <c r="E683" s="1398" t="str">
        <f>(IF(COLUMN(ATCO!$L$5)&gt;26,(CHAR((ROUNDDOWN((COLUMN(ATCO!$L$5)-1)/26,0))+64))&amp;(CHAR(COLUMN(ATCO!$L$5)+64-(ROUNDDOWN((COLUMN(ATCO!$L$5)-1)/26,0)*26))),CHAR(COLUMN(ATCO!$L$5)+64)))</f>
        <v>L</v>
      </c>
      <c r="F683" s="1374"/>
      <c r="G683" s="708">
        <f>IF(AND($A714&lt;=DATE('Elec. Analysis'!$T$194, 12,1),$A714&gt;=DATE('Elec. Analysis'!$T$193, 1, 1)), $A714, NA())</f>
        <v>41091</v>
      </c>
      <c r="H683" s="1273">
        <f ca="1">IF($G683="",NA(),VLOOKUP($G683, INDIRECT("'" &amp;'Elec. Analysis'!$A$193&amp;"'!"&amp;"$A$5:$CA$100"),VLOOKUP('Elec. Analysis'!$A$194, $K$677:$M$736, 2, FALSE),FALSE))</f>
        <v>103.51440278901468</v>
      </c>
      <c r="I683" s="1374"/>
      <c r="J683" s="1374"/>
      <c r="K683" s="656" t="str">
        <f ca="1">IF(INDIRECT("'"&amp;'Elec. Analysis'!$A$193&amp;"'!"&amp;$M683&amp;"5")=0, "", INDIRECT("'"&amp;'Elec. Analysis'!$A$193&amp;"'!"&amp;$M683&amp;"5"))</f>
        <v>Total Distribution Charge</v>
      </c>
      <c r="L683" s="1398">
        <v>9</v>
      </c>
      <c r="M683" s="1020" t="str">
        <f t="shared" si="181"/>
        <v>I</v>
      </c>
      <c r="N683" s="1374"/>
      <c r="O683" s="921"/>
      <c r="P683" s="1374"/>
      <c r="Q683" s="1374"/>
      <c r="R683" s="1374"/>
      <c r="S683" s="1374"/>
      <c r="T683" s="708">
        <f>IF(AND($O717&lt;=DATE('NG Analysis'!$T$195, 12,1),$O717&gt;=DATE('NG Analysis'!$T$194, 1, 1)), $O717, NA())</f>
        <v>41122</v>
      </c>
      <c r="U683" s="1273">
        <f ca="1">IF($T683="",NA(),VLOOKUP($T683, INDIRECT("'" &amp;'NG Analysis'!$A$194&amp;"'!"&amp;"$A$5:$CA$100"),VLOOKUP('NG Analysis'!$A$195, $X$676:$Z$735, 2, FALSE),FALSE))</f>
        <v>40.686379568978985</v>
      </c>
      <c r="V683" s="1374"/>
      <c r="W683" s="1374"/>
      <c r="X683" s="656" t="str">
        <f ca="1">IF(INDIRECT("'"&amp;'NG Analysis'!$A$194&amp;"'!"&amp;$Z683&amp;"5")=0, "", INDIRECT("'"&amp;'NG Analysis'!$A$194&amp;"'!"&amp;$Z683&amp;"5"))</f>
        <v>Total Rate Riders</v>
      </c>
      <c r="Y683" s="1398">
        <v>10</v>
      </c>
      <c r="Z683" s="1020" t="str">
        <f t="shared" si="180"/>
        <v>J</v>
      </c>
      <c r="AA683" s="1439"/>
    </row>
    <row r="684" spans="1:27" ht="20" x14ac:dyDescent="0.3">
      <c r="A684" s="1032" t="s">
        <v>21</v>
      </c>
      <c r="B684" s="1398" t="str">
        <f>(IF(COLUMN(ENMAX!$M$5)&gt;26,(CHAR((ROUNDDOWN((COLUMN(ENMAX!$M$5)-1)/26,0))+64))&amp;(CHAR(COLUMN(ENMAX!$M$5)+64-(ROUNDDOWN((COLUMN(ENMAX!$M$5)-1)/26,0)*26))),CHAR(COLUMN(ENMAX!$M$5)+64)))</f>
        <v>M</v>
      </c>
      <c r="C684" s="1398" t="str">
        <f>(IF(COLUMN(EPCOR!$M$5)&gt;26,(CHAR((ROUNDDOWN((COLUMN(EPCOR!$M$5)-1)/26,0))+64))&amp;(CHAR(COLUMN(EPCOR!$M$5)+64-(ROUNDDOWN((COLUMN(EPCOR!$M$5)-1)/26,0)*26))),CHAR(COLUMN(EPCOR!$M$5)+64)))</f>
        <v>M</v>
      </c>
      <c r="D684" s="1398" t="str">
        <f>(IF(COLUMN(FORTIS!$M$5)&gt;26,(CHAR((ROUNDDOWN((COLUMN(FORTIS!$M$5)-1)/26,0))+64))&amp;(CHAR(COLUMN(FORTIS!$M$5)+64-(ROUNDDOWN((COLUMN(FORTIS!$M$5)-1)/26,0)*26))),CHAR(COLUMN(FORTIS!$M$5)+64)))</f>
        <v>M</v>
      </c>
      <c r="E684" s="1398" t="str">
        <f>(IF(COLUMN(ATCO!$M$5)&gt;26,(CHAR((ROUNDDOWN((COLUMN(ATCO!$M$5)-1)/26,0))+64))&amp;(CHAR(COLUMN(ATCO!$M$5)+64-(ROUNDDOWN((COLUMN(ATCO!$M$5)-1)/26,0)*26))),CHAR(COLUMN(ATCO!$M$5)+64)))</f>
        <v>M</v>
      </c>
      <c r="F684" s="1374"/>
      <c r="G684" s="708">
        <f>IF(AND($A715&lt;=DATE('Elec. Analysis'!$T$194, 12,1),$A715&gt;=DATE('Elec. Analysis'!$T$193, 1, 1)), $A715, NA())</f>
        <v>41122</v>
      </c>
      <c r="H684" s="1273">
        <f ca="1">IF($G684="",NA(),VLOOKUP($G684, INDIRECT("'" &amp;'Elec. Analysis'!$A$193&amp;"'!"&amp;"$A$5:$CA$100"),VLOOKUP('Elec. Analysis'!$A$194, $K$677:$M$736, 2, FALSE),FALSE))</f>
        <v>115.39031338141906</v>
      </c>
      <c r="I684" s="1374"/>
      <c r="J684" s="1374"/>
      <c r="K684" s="656" t="str">
        <f ca="1">IF(INDIRECT("'"&amp;'Elec. Analysis'!$A$193&amp;"'!"&amp;$M684&amp;"5")=0, "", INDIRECT("'"&amp;'Elec. Analysis'!$A$193&amp;"'!"&amp;$M684&amp;"5"))</f>
        <v>Total Local Access and Franchise Fees</v>
      </c>
      <c r="L684" s="1398">
        <v>10</v>
      </c>
      <c r="M684" s="1020" t="str">
        <f t="shared" si="181"/>
        <v>J</v>
      </c>
      <c r="N684" s="1374"/>
      <c r="O684" s="2764" t="s">
        <v>67</v>
      </c>
      <c r="P684" s="2765"/>
      <c r="Q684" s="2765"/>
      <c r="R684" s="2766"/>
      <c r="S684" s="1374"/>
      <c r="T684" s="708">
        <f>IF(AND($O718&lt;=DATE('NG Analysis'!$T$195, 12,1),$O718&gt;=DATE('NG Analysis'!$T$194, 1, 1)), $O718, NA())</f>
        <v>41153</v>
      </c>
      <c r="U684" s="1273">
        <f ca="1">IF($T684="",NA(),VLOOKUP($T684, INDIRECT("'" &amp;'NG Analysis'!$A$194&amp;"'!"&amp;"$A$5:$CA$100"),VLOOKUP('NG Analysis'!$A$195, $X$676:$Z$735, 2, FALSE),FALSE))</f>
        <v>38.62200654168484</v>
      </c>
      <c r="V684" s="1374"/>
      <c r="W684" s="1374"/>
      <c r="X684" s="656" t="str">
        <f ca="1">IF(INDIRECT("'"&amp;'NG Analysis'!$A$194&amp;"'!"&amp;$Z684&amp;"5")=0, "", INDIRECT("'"&amp;'NG Analysis'!$A$194&amp;"'!"&amp;$Z684&amp;"5"))</f>
        <v>Total Administration Components</v>
      </c>
      <c r="Y684" s="1398">
        <v>11</v>
      </c>
      <c r="Z684" s="1020" t="str">
        <f t="shared" si="180"/>
        <v>K</v>
      </c>
      <c r="AA684" s="1439"/>
    </row>
    <row r="685" spans="1:27" x14ac:dyDescent="0.3">
      <c r="A685" s="1373"/>
      <c r="B685" s="1374"/>
      <c r="C685" s="1374"/>
      <c r="D685" s="1374"/>
      <c r="E685" s="1374"/>
      <c r="F685" s="1374"/>
      <c r="G685" s="708">
        <f>IF(AND($A716&lt;=DATE('Elec. Analysis'!$T$194, 12,1),$A716&gt;=DATE('Elec. Analysis'!$T$193, 1, 1)), $A716, NA())</f>
        <v>41153</v>
      </c>
      <c r="H685" s="1273">
        <f ca="1">IF($G685="",NA(),VLOOKUP($G685, INDIRECT("'" &amp;'Elec. Analysis'!$A$193&amp;"'!"&amp;"$A$5:$CA$100"),VLOOKUP('Elec. Analysis'!$A$194, $K$677:$M$736, 2, FALSE),FALSE))</f>
        <v>110.05570077540159</v>
      </c>
      <c r="I685" s="1374"/>
      <c r="J685" s="1374"/>
      <c r="K685" s="656" t="str">
        <f ca="1">IF(INDIRECT("'"&amp;'Elec. Analysis'!$A$193&amp;"'!"&amp;$M685&amp;"5")=0, "", INDIRECT("'"&amp;'Elec. Analysis'!$A$193&amp;"'!"&amp;$M685&amp;"5"))</f>
        <v>Total Rate Riders</v>
      </c>
      <c r="L685" s="1398">
        <v>11</v>
      </c>
      <c r="M685" s="1020" t="str">
        <f t="shared" si="181"/>
        <v>K</v>
      </c>
      <c r="N685" s="1374"/>
      <c r="O685" s="955"/>
      <c r="P685" s="1406" t="s">
        <v>99</v>
      </c>
      <c r="Q685" s="1406" t="s">
        <v>100</v>
      </c>
      <c r="R685" s="1406" t="s">
        <v>101</v>
      </c>
      <c r="S685" s="1374"/>
      <c r="T685" s="708">
        <f>IF(AND($O719&lt;=DATE('NG Analysis'!$T$195, 12,1),$O719&gt;=DATE('NG Analysis'!$T$194, 1, 1)), $O719, NA())</f>
        <v>41183</v>
      </c>
      <c r="U685" s="1273">
        <f ca="1">IF($T685="",NA(),VLOOKUP($T685, INDIRECT("'" &amp;'NG Analysis'!$A$194&amp;"'!"&amp;"$A$5:$CA$100"),VLOOKUP('NG Analysis'!$A$195, $X$676:$Z$735, 2, FALSE),FALSE))</f>
        <v>81.728995934687759</v>
      </c>
      <c r="V685" s="1374"/>
      <c r="W685" s="1374"/>
      <c r="X685" s="656" t="str">
        <f ca="1">IF(INDIRECT("'"&amp;'NG Analysis'!$A$194&amp;"'!"&amp;$Z685&amp;"5")=0, "", INDIRECT("'"&amp;'NG Analysis'!$A$194&amp;"'!"&amp;$Z685&amp;"5"))</f>
        <v>Total Carbon Cost</v>
      </c>
      <c r="Y685" s="1398">
        <v>12</v>
      </c>
      <c r="Z685" s="1020" t="str">
        <f t="shared" si="180"/>
        <v>L</v>
      </c>
      <c r="AA685" s="1439"/>
    </row>
    <row r="686" spans="1:27" x14ac:dyDescent="0.3">
      <c r="A686" s="1373"/>
      <c r="B686" s="1374"/>
      <c r="C686" s="1374"/>
      <c r="D686" s="1374"/>
      <c r="E686" s="1374"/>
      <c r="F686" s="1374"/>
      <c r="G686" s="708">
        <f>IF(AND($A717&lt;=DATE('Elec. Analysis'!$T$194, 12,1),$A717&gt;=DATE('Elec. Analysis'!$T$193, 1, 1)), $A717, NA())</f>
        <v>41183</v>
      </c>
      <c r="H686" s="1273">
        <f ca="1">IF($G686="",NA(),VLOOKUP($G686, INDIRECT("'" &amp;'Elec. Analysis'!$A$193&amp;"'!"&amp;"$A$5:$CA$100"),VLOOKUP('Elec. Analysis'!$A$194, $K$677:$M$736, 2, FALSE),FALSE))</f>
        <v>110.1496103260307</v>
      </c>
      <c r="I686" s="1374"/>
      <c r="J686" s="1374"/>
      <c r="K686" s="656" t="str">
        <f ca="1">IF(INDIRECT("'"&amp;'Elec. Analysis'!$A$193&amp;"'!"&amp;$M686&amp;"5")=0, "", INDIRECT("'"&amp;'Elec. Analysis'!$A$193&amp;"'!"&amp;$M686&amp;"5"))</f>
        <v>Total Administration Components</v>
      </c>
      <c r="L686" s="1398">
        <v>12</v>
      </c>
      <c r="M686" s="1020" t="str">
        <f t="shared" si="181"/>
        <v>L</v>
      </c>
      <c r="N686" s="1374"/>
      <c r="O686" s="1018" t="s">
        <v>627</v>
      </c>
      <c r="P686" s="1398">
        <f ca="1">COLUMN(INDIRECT((IF(COLUMN('ATCO-N'!$F$5)&gt;26,(CHAR((ROUNDDOWN((COLUMN('ATCO-N'!$F$5)-1)/26,0))+64))&amp;(CHAR(COLUMN('ATCO-N'!$F$5)+64-(ROUNDDOWN((COLUMN('ATCO-N'!$F$5)-1)/26,0)*26))),CHAR(COLUMN('ATCO-N'!$F$5)+64)))&amp;1))</f>
        <v>6</v>
      </c>
      <c r="Q686" s="1398">
        <f ca="1">COLUMN(INDIRECT((IF(COLUMN('ATCO-S'!$F$5)&gt;26,(CHAR((ROUNDDOWN((COLUMN('ATCO-S'!$F$5)-1)/26,0))+64))&amp;(CHAR(COLUMN('ATCO-S'!$F$5)+64-(ROUNDDOWN((COLUMN('ATCO-S'!$F$5)-1)/26,0)*26))),CHAR(COLUMN('ATCO-S'!$F$5)+64)))&amp;1))</f>
        <v>6</v>
      </c>
      <c r="R686" s="1398">
        <f ca="1">COLUMN(INDIRECT((IF(COLUMN(AltaGas!$F$5)&gt;26,(CHAR((ROUNDDOWN((COLUMN(AltaGas!$F$5)-1)/26,0))+64))&amp;(CHAR(COLUMN(AltaGas!$F$5)+64-(ROUNDDOWN((COLUMN(AltaGas!$F$5)-1)/26,0)*26))),CHAR(COLUMN(AltaGas!$F$5)+64)))&amp;1))</f>
        <v>6</v>
      </c>
      <c r="S686" s="1374"/>
      <c r="T686" s="708">
        <f>IF(AND($O720&lt;=DATE('NG Analysis'!$T$195, 12,1),$O720&gt;=DATE('NG Analysis'!$T$194, 1, 1)), $O720, NA())</f>
        <v>41214</v>
      </c>
      <c r="U686" s="1273">
        <f ca="1">IF($T686="",NA(),VLOOKUP($T686, INDIRECT("'" &amp;'NG Analysis'!$A$194&amp;"'!"&amp;"$A$5:$CA$100"),VLOOKUP('NG Analysis'!$A$195, $X$676:$Z$735, 2, FALSE),FALSE))</f>
        <v>114.62678198383027</v>
      </c>
      <c r="V686" s="1374"/>
      <c r="W686" s="1374"/>
      <c r="X686" s="656" t="str">
        <f ca="1">IF(INDIRECT("'"&amp;'NG Analysis'!$A$194&amp;"'!"&amp;$Z686&amp;"5")=0, "", INDIRECT("'"&amp;'NG Analysis'!$A$194&amp;"'!"&amp;$Z686&amp;"5"))</f>
        <v>GST</v>
      </c>
      <c r="Y686" s="1398">
        <v>13</v>
      </c>
      <c r="Z686" s="1020" t="str">
        <f t="shared" si="180"/>
        <v>M</v>
      </c>
      <c r="AA686" s="1439"/>
    </row>
    <row r="687" spans="1:27" ht="20" x14ac:dyDescent="0.4">
      <c r="A687" s="2624" t="s">
        <v>67</v>
      </c>
      <c r="B687" s="2625"/>
      <c r="C687" s="2625"/>
      <c r="D687" s="2625"/>
      <c r="E687" s="2625"/>
      <c r="F687" s="1374"/>
      <c r="G687" s="708">
        <f>IF(AND($A718&lt;=DATE('Elec. Analysis'!$T$194, 12,1),$A718&gt;=DATE('Elec. Analysis'!$T$193, 1, 1)), $A718, NA())</f>
        <v>41214</v>
      </c>
      <c r="H687" s="1273">
        <f ca="1">IF($G687="",NA(),VLOOKUP($G687, INDIRECT("'" &amp;'Elec. Analysis'!$A$193&amp;"'!"&amp;"$A$5:$CA$100"),VLOOKUP('Elec. Analysis'!$A$194, $K$677:$M$736, 2, FALSE),FALSE))</f>
        <v>96.461293354412746</v>
      </c>
      <c r="I687" s="1374"/>
      <c r="J687" s="1374"/>
      <c r="K687" s="656" t="str">
        <f ca="1">IF(INDIRECT("'"&amp;'Elec. Analysis'!$A$193&amp;"'!"&amp;$M687&amp;"5")=0, "", INDIRECT("'"&amp;'Elec. Analysis'!$A$193&amp;"'!"&amp;$M687&amp;"5"))</f>
        <v>GST</v>
      </c>
      <c r="L687" s="1398">
        <v>13</v>
      </c>
      <c r="M687" s="1020" t="str">
        <f t="shared" si="181"/>
        <v>M</v>
      </c>
      <c r="N687" s="1374"/>
      <c r="O687" s="1018" t="s">
        <v>543</v>
      </c>
      <c r="P687" s="1398">
        <f ca="1">COLUMN(INDIRECT((IF(COLUMN('ATCO-N'!$D$5)&gt;26,(CHAR((ROUNDDOWN((COLUMN('ATCO-N'!$D$5)-1)/26,0))+64))&amp;(CHAR(COLUMN('ATCO-N'!$D$5)+64-(ROUNDDOWN((COLUMN('ATCO-N'!$D$5)-1)/26,0)*26))),CHAR(COLUMN('ATCO-N'!$D$5)+64)))&amp;1))</f>
        <v>4</v>
      </c>
      <c r="Q687" s="1398">
        <f ca="1">COLUMN(INDIRECT((IF(COLUMN('ATCO-S'!$D$5)&gt;26,(CHAR((ROUNDDOWN((COLUMN('ATCO-S'!$D$5)-1)/26,0))+64))&amp;(CHAR(COLUMN('ATCO-S'!$D$5)+64-(ROUNDDOWN((COLUMN('ATCO-S'!$D$5)-1)/26,0)*26))),CHAR(COLUMN('ATCO-S'!$D$5)+64)))&amp;1))</f>
        <v>4</v>
      </c>
      <c r="R687" s="1398">
        <f ca="1">COLUMN(INDIRECT((IF(COLUMN(AltaGas!$D$5)&gt;26,(CHAR((ROUNDDOWN((COLUMN(AltaGas!$D$5)-1)/26,0))+64))&amp;(CHAR(COLUMN(AltaGas!$D$5)+64-(ROUNDDOWN((COLUMN(AltaGas!$D$5)-1)/26,0)*26))),CHAR(COLUMN(AltaGas!$D$5)+64)))&amp;1))</f>
        <v>4</v>
      </c>
      <c r="S687" s="1374"/>
      <c r="T687" s="708">
        <f>IF(AND($O721&lt;=DATE('NG Analysis'!$T$195, 12,1),$O721&gt;=DATE('NG Analysis'!$T$194, 1, 1)), $O721, NA())</f>
        <v>41244</v>
      </c>
      <c r="U687" s="1273">
        <f ca="1">IF($T687="",NA(),VLOOKUP($T687, INDIRECT("'" &amp;'NG Analysis'!$A$194&amp;"'!"&amp;"$A$5:$CA$100"),VLOOKUP('NG Analysis'!$A$195, $X$676:$Z$735, 2, FALSE),FALSE))</f>
        <v>135.87316923267124</v>
      </c>
      <c r="V687" s="1374"/>
      <c r="W687" s="1374"/>
      <c r="X687" s="656" t="str">
        <f ca="1">IF(INDIRECT("'"&amp;'NG Analysis'!$A$194&amp;"'!"&amp;$Z687&amp;"5")=0, "", INDIRECT("'"&amp;'NG Analysis'!$A$194&amp;"'!"&amp;$Z687&amp;"5"))</f>
        <v>DRT Rate (Rider F)</v>
      </c>
      <c r="Y687" s="1398">
        <v>14</v>
      </c>
      <c r="Z687" s="1020" t="str">
        <f t="shared" si="180"/>
        <v>N</v>
      </c>
      <c r="AA687" s="1439"/>
    </row>
    <row r="688" spans="1:27" x14ac:dyDescent="0.3">
      <c r="A688" s="1072"/>
      <c r="B688" s="1394" t="s">
        <v>54</v>
      </c>
      <c r="C688" s="1394" t="s">
        <v>55</v>
      </c>
      <c r="D688" s="1394" t="s">
        <v>56</v>
      </c>
      <c r="E688" s="1394" t="s">
        <v>57</v>
      </c>
      <c r="F688" s="1374"/>
      <c r="G688" s="708">
        <f>IF(AND($A719&lt;=DATE('Elec. Analysis'!$T$194, 12,1),$A719&gt;=DATE('Elec. Analysis'!$T$193, 1, 1)), $A719, NA())</f>
        <v>41244</v>
      </c>
      <c r="H688" s="1273">
        <f ca="1">IF($G688="",NA(),VLOOKUP($G688, INDIRECT("'" &amp;'Elec. Analysis'!$A$193&amp;"'!"&amp;"$A$5:$CA$100"),VLOOKUP('Elec. Analysis'!$A$194, $K$677:$M$736, 2, FALSE),FALSE))</f>
        <v>118.81779023041705</v>
      </c>
      <c r="I688" s="1374"/>
      <c r="J688" s="1374"/>
      <c r="K688" s="656" t="str">
        <f ca="1">IF(INDIRECT("'"&amp;'Elec. Analysis'!$A$193&amp;"'!"&amp;$M688&amp;"5")=0, "", INDIRECT("'"&amp;'Elec. Analysis'!$A$193&amp;"'!"&amp;$M688&amp;"5"))</f>
        <v>RRO Energy Rate</v>
      </c>
      <c r="L688" s="1398">
        <v>14</v>
      </c>
      <c r="M688" s="1020" t="str">
        <f t="shared" si="181"/>
        <v>N</v>
      </c>
      <c r="N688" s="1374"/>
      <c r="O688" s="1028" t="s">
        <v>549</v>
      </c>
      <c r="P688" s="1398">
        <f ca="1">COLUMN(INDIRECT((IF(COLUMN('ATCO-N'!$E$5)&gt;26,(CHAR((ROUNDDOWN((COLUMN('ATCO-N'!$E$5)-1)/26,0))+64))&amp;(CHAR(COLUMN('ATCO-N'!$E$5)+64-(ROUNDDOWN((COLUMN('ATCO-N'!$E$5)-1)/26,0)*26))),CHAR(COLUMN('ATCO-N'!$E$5)+64)))&amp;1))</f>
        <v>5</v>
      </c>
      <c r="Q688" s="1398">
        <f ca="1">COLUMN(INDIRECT((IF(COLUMN('ATCO-S'!$E$5)&gt;26,(CHAR((ROUNDDOWN((COLUMN('ATCO-S'!$E$5)-1)/26,0))+64))&amp;(CHAR(COLUMN('ATCO-S'!$E$5)+64-(ROUNDDOWN((COLUMN('ATCO-S'!$E$5)-1)/26,0)*26))),CHAR(COLUMN('ATCO-S'!$E$5)+64)))&amp;1))</f>
        <v>5</v>
      </c>
      <c r="R688" s="1398">
        <f ca="1">COLUMN(INDIRECT((IF(COLUMN(AltaGas!$E$5)&gt;26,(CHAR((ROUNDDOWN((COLUMN(AltaGas!$E$5)-1)/26,0))+64))&amp;(CHAR(COLUMN(AltaGas!$E$5)+64-(ROUNDDOWN((COLUMN(AltaGas!$E$5)-1)/26,0)*26))),CHAR(COLUMN(AltaGas!$E$5)+64)))&amp;1))</f>
        <v>5</v>
      </c>
      <c r="S688" s="1374"/>
      <c r="T688" s="708">
        <f>IF(AND($O722&lt;=DATE('NG Analysis'!$T$195, 12,1),$O722&gt;=DATE('NG Analysis'!$T$194, 1, 1)), $O722, NA())</f>
        <v>41275</v>
      </c>
      <c r="U688" s="1273">
        <f ca="1">IF($T688="",NA(),VLOOKUP($T688, INDIRECT("'" &amp;'NG Analysis'!$A$194&amp;"'!"&amp;"$A$5:$CA$100"),VLOOKUP('NG Analysis'!$A$195, $X$676:$Z$735, 2, FALSE),FALSE))</f>
        <v>118.84553489725054</v>
      </c>
      <c r="V688" s="1374"/>
      <c r="W688" s="1374"/>
      <c r="X688" s="656" t="str">
        <f ca="1">IF(INDIRECT("'"&amp;'NG Analysis'!$A$194&amp;"'!"&amp;$Z688&amp;"5")=0, "", INDIRECT("'"&amp;'NG Analysis'!$A$194&amp;"'!"&amp;$Z688&amp;"5"))</f>
        <v>Energy Charge</v>
      </c>
      <c r="Y688" s="1398">
        <v>15</v>
      </c>
      <c r="Z688" s="1020" t="str">
        <f t="shared" si="180"/>
        <v>O</v>
      </c>
      <c r="AA688" s="1439"/>
    </row>
    <row r="689" spans="1:27" x14ac:dyDescent="0.3">
      <c r="A689" s="1030" t="s">
        <v>627</v>
      </c>
      <c r="B689" s="1398">
        <f ca="1">COLUMN(INDIRECT((IF(COLUMN(ENMAX!$F$5)&gt;26,(CHAR((ROUNDDOWN((COLUMN(ENMAX!$F$5)-1)/26,0))+64))&amp;(CHAR(COLUMN(ENMAX!$F$5)+64-(ROUNDDOWN((COLUMN(ENMAX!$F$5)-1)/26,0)*26))),CHAR(COLUMN(ENMAX!$F$5)+64)))&amp;1))</f>
        <v>6</v>
      </c>
      <c r="C689" s="1398">
        <f ca="1">COLUMN(INDIRECT((IF(COLUMN(EPCOR!$F$5)&gt;26,(CHAR((ROUNDDOWN((COLUMN(EPCOR!$F$5)-1)/26,0))+64))&amp;(CHAR(COLUMN(EPCOR!$F$5)+64-(ROUNDDOWN((COLUMN(EPCOR!$F$5)-1)/26,0)*26))),CHAR(COLUMN(EPCOR!$F$5)+64)))&amp;1))</f>
        <v>6</v>
      </c>
      <c r="D689" s="1398">
        <f ca="1">COLUMN(INDIRECT((IF(COLUMN(FORTIS!$F$5)&gt;26,(CHAR((ROUNDDOWN((COLUMN(FORTIS!$F$5)-1)/26,0))+64))&amp;(CHAR(COLUMN(FORTIS!$F$5)+64-(ROUNDDOWN((COLUMN(FORTIS!$F$5)-1)/26,0)*26))),CHAR(COLUMN(FORTIS!$F$5)+64)))&amp;1))</f>
        <v>6</v>
      </c>
      <c r="E689" s="1398">
        <f ca="1">COLUMN(INDIRECT((IF(COLUMN(ATCO!$F$5)&gt;26,(CHAR((ROUNDDOWN((COLUMN(ATCO!$F$5)-1)/26,0))+64))&amp;(CHAR(COLUMN(ATCO!$F$5)+64-(ROUNDDOWN((COLUMN(ATCO!$F$5)-1)/26,0)*26))),CHAR(COLUMN(ATCO!$F$5)+64)))&amp;1))</f>
        <v>6</v>
      </c>
      <c r="F689" s="1374"/>
      <c r="G689" s="708">
        <f>IF(AND($A720&lt;=DATE('Elec. Analysis'!$T$194, 12,1),$A720&gt;=DATE('Elec. Analysis'!$T$193, 1, 1)), $A720, NA())</f>
        <v>41275</v>
      </c>
      <c r="H689" s="1273">
        <f ca="1">IF($G689="",NA(),VLOOKUP($G689, INDIRECT("'" &amp;'Elec. Analysis'!$A$193&amp;"'!"&amp;"$A$5:$CA$100"),VLOOKUP('Elec. Analysis'!$A$194, $K$677:$M$736, 2, FALSE),FALSE))</f>
        <v>115.67277820131953</v>
      </c>
      <c r="I689" s="1374"/>
      <c r="J689" s="1374"/>
      <c r="K689" s="656" t="str">
        <f ca="1">IF(INDIRECT("'"&amp;'Elec. Analysis'!$A$193&amp;"'!"&amp;$M689&amp;"5")=0, "", INDIRECT("'"&amp;'Elec. Analysis'!$A$193&amp;"'!"&amp;$M689&amp;"5"))</f>
        <v>Energy Charge</v>
      </c>
      <c r="L689" s="1398">
        <v>15</v>
      </c>
      <c r="M689" s="1020" t="str">
        <f t="shared" si="181"/>
        <v>O</v>
      </c>
      <c r="N689" s="1374"/>
      <c r="O689" s="1018" t="s">
        <v>102</v>
      </c>
      <c r="P689" s="1398">
        <f ca="1">COLUMN(INDIRECT((IF(COLUMN('ATCO-N'!$C$5)&gt;26,(CHAR((ROUNDDOWN((COLUMN('ATCO-N'!$C$5)-1)/26,0))+64))&amp;(CHAR(COLUMN('ATCO-N'!$C$5)+64-(ROUNDDOWN((COLUMN('ATCO-N'!$C$5)-1)/26,0)*26))),CHAR(COLUMN('ATCO-N'!$C$5)+64)))&amp;1))</f>
        <v>3</v>
      </c>
      <c r="Q689" s="1398">
        <f ca="1">COLUMN(INDIRECT((IF(COLUMN('ATCO-S'!$C$5)&gt;26,(CHAR((ROUNDDOWN((COLUMN('ATCO-S'!$C$5)-1)/26,0))+64))&amp;(CHAR(COLUMN('ATCO-S'!$C$5)+64-(ROUNDDOWN((COLUMN('ATCO-S'!$C$5)-1)/26,0)*26))),CHAR(COLUMN('ATCO-S'!$C$5)+64)))&amp;1))</f>
        <v>3</v>
      </c>
      <c r="R689" s="1398">
        <f ca="1">COLUMN(INDIRECT((IF(COLUMN(AltaGas!$C$5)&gt;26,(CHAR((ROUNDDOWN((COLUMN(AltaGas!$C$5)-1)/26,0))+64))&amp;(CHAR(COLUMN(AltaGas!$C$5)+64-(ROUNDDOWN((COLUMN(AltaGas!$C$5)-1)/26,0)*26))),CHAR(COLUMN(AltaGas!$C$5)+64)))&amp;1))</f>
        <v>3</v>
      </c>
      <c r="S689" s="1374"/>
      <c r="T689" s="708">
        <f>IF(AND($O723&lt;=DATE('NG Analysis'!$T$195, 12,1),$O723&gt;=DATE('NG Analysis'!$T$194, 1, 1)), $O723, NA())</f>
        <v>41306</v>
      </c>
      <c r="U689" s="1273">
        <f ca="1">IF($T689="",NA(),VLOOKUP($T689, INDIRECT("'" &amp;'NG Analysis'!$A$194&amp;"'!"&amp;"$A$5:$CA$100"),VLOOKUP('NG Analysis'!$A$195, $X$676:$Z$735, 2, FALSE),FALSE))</f>
        <v>97.593078533749576</v>
      </c>
      <c r="V689" s="1374"/>
      <c r="W689" s="1374"/>
      <c r="X689" s="656" t="str">
        <f ca="1">IF(INDIRECT("'"&amp;'NG Analysis'!$A$194&amp;"'!"&amp;$Z689&amp;"5")=0, "", INDIRECT("'"&amp;'NG Analysis'!$A$194&amp;"'!"&amp;$Z689&amp;"5"))</f>
        <v>Variable Delivery Rate</v>
      </c>
      <c r="Y689" s="1398">
        <v>16</v>
      </c>
      <c r="Z689" s="1020" t="str">
        <f t="shared" si="180"/>
        <v>P</v>
      </c>
      <c r="AA689" s="1439"/>
    </row>
    <row r="690" spans="1:27" x14ac:dyDescent="0.3">
      <c r="A690" s="1030" t="s">
        <v>542</v>
      </c>
      <c r="B690" s="1398">
        <f ca="1">COLUMN(INDIRECT((IF(COLUMN(ENMAX!$D$5)&gt;26,(CHAR((ROUNDDOWN((COLUMN(ENMAX!$D$5)-1)/26,0))+64))&amp;(CHAR(COLUMN(ENMAX!$D$5)+64-(ROUNDDOWN((COLUMN(ENMAX!$D$5)-1)/26,0)*26))),CHAR(COLUMN(ENMAX!$D$5)+64)))&amp;1))</f>
        <v>4</v>
      </c>
      <c r="C690" s="1398">
        <f ca="1">COLUMN(INDIRECT((IF(COLUMN(EPCOR!$D$5)&gt;26,(CHAR((ROUNDDOWN((COLUMN(EPCOR!$D$5)-1)/26,0))+64))&amp;(CHAR(COLUMN(EPCOR!$D$5)+64-(ROUNDDOWN((COLUMN(EPCOR!$D$5)-1)/26,0)*26))),CHAR(COLUMN(EPCOR!$D$5)+64)))&amp;1))</f>
        <v>4</v>
      </c>
      <c r="D690" s="1398">
        <f ca="1">COLUMN(INDIRECT((IF(COLUMN(FORTIS!$D$5)&gt;26,(CHAR((ROUNDDOWN((COLUMN(FORTIS!$D$5)-1)/26,0))+64))&amp;(CHAR(COLUMN(FORTIS!$D$5)+64-(ROUNDDOWN((COLUMN(FORTIS!$D$5)-1)/26,0)*26))),CHAR(COLUMN(FORTIS!$D$5)+64)))&amp;1))</f>
        <v>4</v>
      </c>
      <c r="E690" s="1398">
        <f ca="1">COLUMN(INDIRECT((IF(COLUMN(ATCO!$D$5)&gt;26,(CHAR((ROUNDDOWN((COLUMN(ATCO!$D$5)-1)/26,0))+64))&amp;(CHAR(COLUMN(ATCO!$D$5)+64-(ROUNDDOWN((COLUMN(ATCO!$D$5)-1)/26,0)*26))),CHAR(COLUMN(ATCO!$D$5)+64)))&amp;1))</f>
        <v>4</v>
      </c>
      <c r="F690" s="1374"/>
      <c r="G690" s="708">
        <f>IF(AND($A721&lt;=DATE('Elec. Analysis'!$T$194, 12,1),$A721&gt;=DATE('Elec. Analysis'!$T$193, 1, 1)), $A721, NA())</f>
        <v>41306</v>
      </c>
      <c r="H690" s="1273">
        <f ca="1">IF($G690="",NA(),VLOOKUP($G690, INDIRECT("'" &amp;'Elec. Analysis'!$A$193&amp;"'!"&amp;"$A$5:$CA$100"),VLOOKUP('Elec. Analysis'!$A$194, $K$677:$M$736, 2, FALSE),FALSE))</f>
        <v>89.04222337749988</v>
      </c>
      <c r="I690" s="1374"/>
      <c r="J690" s="1374"/>
      <c r="K690" s="656" t="str">
        <f ca="1">IF(INDIRECT("'"&amp;'Elec. Analysis'!$A$193&amp;"'!"&amp;$M690&amp;"5")=0, "", INDIRECT("'"&amp;'Elec. Analysis'!$A$193&amp;"'!"&amp;$M690&amp;"5"))</f>
        <v>Variable Transmission Rate</v>
      </c>
      <c r="L690" s="1398">
        <v>16</v>
      </c>
      <c r="M690" s="1020" t="str">
        <f t="shared" si="181"/>
        <v>P</v>
      </c>
      <c r="N690" s="1374"/>
      <c r="O690" s="1018" t="str">
        <f>$Y$763</f>
        <v>DRT Rate ($/GJ)</v>
      </c>
      <c r="P690" s="1398">
        <f ca="1">COLUMN(INDIRECT((IF(COLUMN('ATCO-N'!$N$5)&gt;26,(CHAR((ROUNDDOWN((COLUMN('ATCO-N'!$N$5)-1)/26,0))+64))&amp;(CHAR(COLUMN('ATCO-N'!$N$5)+64-(ROUNDDOWN((COLUMN('ATCO-N'!$N$5)-1)/26,0)*26))),CHAR(COLUMN('ATCO-N'!$N$5)+64)))&amp;1))</f>
        <v>14</v>
      </c>
      <c r="Q690" s="1398">
        <f ca="1">COLUMN(INDIRECT((IF(COLUMN('ATCO-S'!$N$5)&gt;26,(CHAR((ROUNDDOWN((COLUMN('ATCO-S'!$N$5)-1)/26,0))+64))&amp;(CHAR(COLUMN('ATCO-S'!$N$5)+64-(ROUNDDOWN((COLUMN('ATCO-S'!$N$5)-1)/26,0)*26))),CHAR(COLUMN('ATCO-S'!$N$5)+64)))&amp;1))</f>
        <v>14</v>
      </c>
      <c r="R690" s="1398">
        <f ca="1">COLUMN(INDIRECT((IF(COLUMN(AltaGas!$N$5)&gt;26,(CHAR((ROUNDDOWN((COLUMN(AltaGas!$N$5)-1)/26,0))+64))&amp;(CHAR(COLUMN(AltaGas!$N$5)+64-(ROUNDDOWN((COLUMN(AltaGas!$N$5)-1)/26,0)*26))),CHAR(COLUMN(AltaGas!$N$5)+64)))&amp;1))</f>
        <v>14</v>
      </c>
      <c r="S690" s="1374"/>
      <c r="T690" s="708">
        <f>IF(AND($O724&lt;=DATE('NG Analysis'!$T$195, 12,1),$O724&gt;=DATE('NG Analysis'!$T$194, 1, 1)), $O724, NA())</f>
        <v>41334</v>
      </c>
      <c r="U690" s="1273">
        <f ca="1">IF($T690="",NA(),VLOOKUP($T690, INDIRECT("'" &amp;'NG Analysis'!$A$194&amp;"'!"&amp;"$A$5:$CA$100"),VLOOKUP('NG Analysis'!$A$195, $X$676:$Z$735, 2, FALSE),FALSE))</f>
        <v>106.07401798897844</v>
      </c>
      <c r="V690" s="1374"/>
      <c r="W690" s="1374"/>
      <c r="X690" s="656" t="str">
        <f ca="1">IF(INDIRECT("'"&amp;'NG Analysis'!$A$194&amp;"'!"&amp;$Z690&amp;"5")=0, "", INDIRECT("'"&amp;'NG Analysis'!$A$194&amp;"'!"&amp;$Z690&amp;"5"))</f>
        <v>Fixed Delivery Rate</v>
      </c>
      <c r="Y690" s="1398">
        <v>17</v>
      </c>
      <c r="Z690" s="1020" t="str">
        <f t="shared" si="180"/>
        <v>Q</v>
      </c>
      <c r="AA690" s="1439"/>
    </row>
    <row r="691" spans="1:27" x14ac:dyDescent="0.3">
      <c r="A691" s="1033" t="s">
        <v>548</v>
      </c>
      <c r="B691" s="1398">
        <f ca="1">COLUMN(INDIRECT((IF(COLUMN(ENMAX!$E$5)&gt;26,(CHAR((ROUNDDOWN((COLUMN(ENMAX!$E$5)-1)/26,0))+64))&amp;(CHAR(COLUMN(ENMAX!$E$5)+64-(ROUNDDOWN((COLUMN(ENMAX!$E$5)-1)/26,0)*26))),CHAR(COLUMN(ENMAX!$E$5)+64)))&amp;1))</f>
        <v>5</v>
      </c>
      <c r="C691" s="1398">
        <f ca="1">COLUMN(INDIRECT((IF(COLUMN(EPCOR!$E$5)&gt;26,(CHAR((ROUNDDOWN((COLUMN(EPCOR!$E$5)-1)/26,0))+64))&amp;(CHAR(COLUMN(EPCOR!$E$5)+64-(ROUNDDOWN((COLUMN(EPCOR!$E$5)-1)/26,0)*26))),CHAR(COLUMN(EPCOR!$E$5)+64)))&amp;1))</f>
        <v>5</v>
      </c>
      <c r="D691" s="1398">
        <f ca="1">COLUMN(INDIRECT((IF(COLUMN(FORTIS!$E$5)&gt;26,(CHAR((ROUNDDOWN((COLUMN(FORTIS!$E$5)-1)/26,0))+64))&amp;(CHAR(COLUMN(FORTIS!$E$5)+64-(ROUNDDOWN((COLUMN(FORTIS!$E$5)-1)/26,0)*26))),CHAR(COLUMN(FORTIS!$E$5)+64)))&amp;1))</f>
        <v>5</v>
      </c>
      <c r="E691" s="1398">
        <f ca="1">COLUMN(INDIRECT((IF(COLUMN(ATCO!$E$5)&gt;26,(CHAR((ROUNDDOWN((COLUMN(ATCO!$E$5)-1)/26,0))+64))&amp;(CHAR(COLUMN(ATCO!$E$5)+64-(ROUNDDOWN((COLUMN(ATCO!$E$5)-1)/26,0)*26))),CHAR(COLUMN(ATCO!$E$5)+64)))&amp;1))</f>
        <v>5</v>
      </c>
      <c r="F691" s="1374"/>
      <c r="G691" s="708">
        <f>IF(AND($A722&lt;=DATE('Elec. Analysis'!$T$194, 12,1),$A722&gt;=DATE('Elec. Analysis'!$T$193, 1, 1)), $A722, NA())</f>
        <v>41334</v>
      </c>
      <c r="H691" s="1624">
        <f ca="1">IF($G691="",NA(),VLOOKUP($G691, INDIRECT("'" &amp;'Elec. Analysis'!$A$193&amp;"'!"&amp;"$A$5:$CA$100"),VLOOKUP('Elec. Analysis'!$A$194, $K$677:$M$736, 2, FALSE),FALSE))</f>
        <v>93.242061887794094</v>
      </c>
      <c r="I691" s="1374"/>
      <c r="J691" s="1374"/>
      <c r="K691" s="656" t="str">
        <f ca="1">IF(INDIRECT("'"&amp;'Elec. Analysis'!$A$193&amp;"'!"&amp;$M691&amp;"5")=0, "", INDIRECT("'"&amp;'Elec. Analysis'!$A$193&amp;"'!"&amp;$M691&amp;"5"))</f>
        <v>Variable Transmission Charge</v>
      </c>
      <c r="L691" s="1398">
        <v>17</v>
      </c>
      <c r="M691" s="1020" t="str">
        <f t="shared" si="181"/>
        <v>Q</v>
      </c>
      <c r="N691" s="1374"/>
      <c r="O691" s="1021" t="s">
        <v>413</v>
      </c>
      <c r="P691" s="1398">
        <f ca="1">COLUMN(INDIRECT((IF(COLUMN('ATCO-N'!$H$5)&gt;26,(CHAR((ROUNDDOWN((COLUMN('ATCO-N'!$H$5)-1)/26,0))+64))&amp;(CHAR(COLUMN('ATCO-N'!$H$5)+64-(ROUNDDOWN((COLUMN('ATCO-N'!$H$5)-1)/26,0)*26))),CHAR(COLUMN('ATCO-N'!$H$5)+64)))&amp;1))</f>
        <v>8</v>
      </c>
      <c r="Q691" s="1398">
        <f ca="1">COLUMN(INDIRECT((IF(COLUMN('ATCO-S'!$H$5)&gt;26,(CHAR((ROUNDDOWN((COLUMN('ATCO-S'!$H$5)-1)/26,0))+64))&amp;(CHAR(COLUMN('ATCO-S'!$H$5)+64-(ROUNDDOWN((COLUMN('ATCO-S'!$H$5)-1)/26,0)*26))),CHAR(COLUMN('ATCO-S'!$H$5)+64)))&amp;1))</f>
        <v>8</v>
      </c>
      <c r="R691" s="1398">
        <f ca="1">COLUMN(INDIRECT((IF(COLUMN(AltaGas!$H$5)&gt;26,(CHAR((ROUNDDOWN((COLUMN(AltaGas!$H$5)-1)/26,0))+64))&amp;(CHAR(COLUMN(AltaGas!$H$5)+64-(ROUNDDOWN((COLUMN(AltaGas!$H$5)-1)/26,0)*26))),CHAR(COLUMN(AltaGas!$H$5)+64)))&amp;1))</f>
        <v>8</v>
      </c>
      <c r="S691" s="1374"/>
      <c r="T691" s="708">
        <f>IF(AND($O725&lt;=DATE('NG Analysis'!$T$195, 12,1),$O725&gt;=DATE('NG Analysis'!$T$194, 1, 1)), $O725, NA())</f>
        <v>41365</v>
      </c>
      <c r="U691" s="1273">
        <f ca="1">IF($T691="",NA(),VLOOKUP($T691, INDIRECT("'" &amp;'NG Analysis'!$A$194&amp;"'!"&amp;"$A$5:$CA$100"),VLOOKUP('NG Analysis'!$A$195, $X$676:$Z$735, 2, FALSE),FALSE))</f>
        <v>99.481510100027037</v>
      </c>
      <c r="V691" s="1374"/>
      <c r="W691" s="1374"/>
      <c r="X691" s="656" t="str">
        <f ca="1">IF(INDIRECT("'"&amp;'NG Analysis'!$A$194&amp;"'!"&amp;$Z691&amp;"5")=0, "", INDIRECT("'"&amp;'NG Analysis'!$A$194&amp;"'!"&amp;$Z691&amp;"5"))</f>
        <v>Variable Distribution Charge</v>
      </c>
      <c r="Y691" s="1398">
        <v>18</v>
      </c>
      <c r="Z691" s="1020" t="str">
        <f t="shared" si="180"/>
        <v>R</v>
      </c>
      <c r="AA691" s="1439"/>
    </row>
    <row r="692" spans="1:27" x14ac:dyDescent="0.3">
      <c r="A692" s="1031" t="s">
        <v>68</v>
      </c>
      <c r="B692" s="1398">
        <f ca="1">COLUMN(INDIRECT((IF(COLUMN(ENMAX!$C$5)&gt;26,(CHAR((ROUNDDOWN((COLUMN(ENMAX!$C$5)-1)/26,0))+64))&amp;(CHAR(COLUMN(ENMAX!$C$5)+64-(ROUNDDOWN((COLUMN(ENMAX!$C$5)-1)/26,0)*26))),CHAR(COLUMN(ENMAX!$C$5)+64)))&amp;1))</f>
        <v>3</v>
      </c>
      <c r="C692" s="1398">
        <f ca="1">COLUMN(INDIRECT((IF(COLUMN(EPCOR!$C$5)&gt;26,(CHAR((ROUNDDOWN((COLUMN(EPCOR!$C$5)-1)/26,0))+64))&amp;(CHAR(COLUMN(EPCOR!$C$5)+64-(ROUNDDOWN((COLUMN(EPCOR!$C$5)-1)/26,0)*26))),CHAR(COLUMN(EPCOR!$C$5)+64)))&amp;1))</f>
        <v>3</v>
      </c>
      <c r="D692" s="1398">
        <f ca="1">COLUMN(INDIRECT((IF(COLUMN(FORTIS!$C$5)&gt;26,(CHAR((ROUNDDOWN((COLUMN(FORTIS!$C$5)-1)/26,0))+64))&amp;(CHAR(COLUMN(FORTIS!$C$5)+64-(ROUNDDOWN((COLUMN(FORTIS!$C$5)-1)/26,0)*26))),CHAR(COLUMN(FORTIS!$C$5)+64)))&amp;1))</f>
        <v>3</v>
      </c>
      <c r="E692" s="1398">
        <f ca="1">COLUMN(INDIRECT((IF(COLUMN(ATCO!$C$5)&gt;26,(CHAR((ROUNDDOWN((COLUMN(ATCO!$C$5)-1)/26,0))+64))&amp;(CHAR(COLUMN(ATCO!$C$5)+64-(ROUNDDOWN((COLUMN(ATCO!$C$5)-1)/26,0)*26))),CHAR(COLUMN(ATCO!$C$5)+64)))&amp;1))</f>
        <v>3</v>
      </c>
      <c r="F692" s="1374"/>
      <c r="G692" s="708">
        <f>IF(AND($A723&lt;=DATE('Elec. Analysis'!$T$194, 12,1),$A723&gt;=DATE('Elec. Analysis'!$T$193, 1, 1)), $A723, NA())</f>
        <v>41365</v>
      </c>
      <c r="H692" s="1273">
        <f ca="1">IF($G692="",NA(),VLOOKUP($G692, INDIRECT("'" &amp;'Elec. Analysis'!$A$193&amp;"'!"&amp;"$A$5:$CA$100"),VLOOKUP('Elec. Analysis'!$A$194, $K$677:$M$736, 2, FALSE),FALSE))</f>
        <v>98.476380221446362</v>
      </c>
      <c r="I692" s="1374"/>
      <c r="J692" s="1374"/>
      <c r="K692" s="656" t="str">
        <f ca="1">IF(INDIRECT("'"&amp;'Elec. Analysis'!$A$193&amp;"'!"&amp;$M692&amp;"5")=0, "", INDIRECT("'"&amp;'Elec. Analysis'!$A$193&amp;"'!"&amp;$M692&amp;"5"))</f>
        <v>Distribution System Usage Rate</v>
      </c>
      <c r="L692" s="1398">
        <v>18</v>
      </c>
      <c r="M692" s="1020" t="str">
        <f t="shared" si="181"/>
        <v>R</v>
      </c>
      <c r="N692" s="1374"/>
      <c r="O692" s="1021" t="s">
        <v>414</v>
      </c>
      <c r="P692" s="1398">
        <f ca="1">COLUMN(INDIRECT((IF(COLUMN('ATCO-N'!$S$5)&gt;26,(CHAR((ROUNDDOWN((COLUMN('ATCO-N'!$S$5)-1)/26,0))+64))&amp;(CHAR(COLUMN('ATCO-N'!$S$5)+64-(ROUNDDOWN((COLUMN('ATCO-N'!$S$5)-1)/26,0)*26))),CHAR(COLUMN('ATCO-N'!$S$5)+64)))&amp;1))</f>
        <v>19</v>
      </c>
      <c r="Q692" s="1398">
        <f ca="1">COLUMN(INDIRECT((IF(COLUMN('ATCO-S'!$S$5)&gt;26,(CHAR((ROUNDDOWN((COLUMN('ATCO-S'!$S$5)-1)/26,0))+64))&amp;(CHAR(COLUMN('ATCO-S'!$S$5)+64-(ROUNDDOWN((COLUMN('ATCO-S'!$S$5)-1)/26,0)*26))),CHAR(COLUMN('ATCO-S'!$S$5)+64)))&amp;1))</f>
        <v>19</v>
      </c>
      <c r="R692" s="1398">
        <f ca="1">COLUMN(INDIRECT((IF(COLUMN(AltaGas!$S$5)&gt;26,(CHAR((ROUNDDOWN((COLUMN(AltaGas!$S$5)-1)/26,0))+64))&amp;(CHAR(COLUMN(AltaGas!$S$5)+64-(ROUNDDOWN((COLUMN(AltaGas!$S$5)-1)/26,0)*26))),CHAR(COLUMN(AltaGas!$S$5)+64)))&amp;1))</f>
        <v>19</v>
      </c>
      <c r="S692" s="1374"/>
      <c r="T692" s="708">
        <f>IF(AND($O726&lt;=DATE('NG Analysis'!$T$195, 12,1),$O726&gt;=DATE('NG Analysis'!$T$194, 1, 1)), $O726, NA())</f>
        <v>41395</v>
      </c>
      <c r="U692" s="1273">
        <f ca="1">IF($T692="",NA(),VLOOKUP($T692, INDIRECT("'" &amp;'NG Analysis'!$A$194&amp;"'!"&amp;"$A$5:$CA$100"),VLOOKUP('NG Analysis'!$A$195, $X$676:$Z$735, 2, FALSE),FALSE))</f>
        <v>66.975320096486413</v>
      </c>
      <c r="V692" s="1374"/>
      <c r="W692" s="1374"/>
      <c r="X692" s="656" t="str">
        <f ca="1">IF(INDIRECT("'"&amp;'NG Analysis'!$A$194&amp;"'!"&amp;$Z692&amp;"5")=0, "", INDIRECT("'"&amp;'NG Analysis'!$A$194&amp;"'!"&amp;$Z692&amp;"5"))</f>
        <v>Fixed Distribution Charge</v>
      </c>
      <c r="Y692" s="1398">
        <v>19</v>
      </c>
      <c r="Z692" s="1020" t="str">
        <f t="shared" si="180"/>
        <v>S</v>
      </c>
      <c r="AA692" s="1439"/>
    </row>
    <row r="693" spans="1:27" x14ac:dyDescent="0.3">
      <c r="A693" s="1030" t="str">
        <f>$L$763</f>
        <v>RRO Rate (¢/kWh)</v>
      </c>
      <c r="B693" s="1398">
        <f ca="1">COLUMN(INDIRECT((IF(COLUMN(ENMAX!$N$5)&gt;26,(CHAR((ROUNDDOWN((COLUMN(ENMAX!$N$5)-1)/26,0))+64))&amp;(CHAR(COLUMN(ENMAX!$N$5)+64-(ROUNDDOWN((COLUMN(ENMAX!$N$5)-1)/26,0)*26))),CHAR(COLUMN(ENMAX!$N$5)+64)))&amp;1))</f>
        <v>14</v>
      </c>
      <c r="C693" s="1398">
        <f ca="1">COLUMN(INDIRECT((IF(COLUMN(EPCOR!$N$5)&gt;26,(CHAR((ROUNDDOWN((COLUMN(EPCOR!$N$5)-1)/26,0))+64))&amp;(CHAR(COLUMN(EPCOR!$N$5)+64-(ROUNDDOWN((COLUMN(EPCOR!$N$5)-1)/26,0)*26))),CHAR(COLUMN(EPCOR!$N$5)+64)))&amp;1))</f>
        <v>14</v>
      </c>
      <c r="D693" s="1398">
        <f ca="1">COLUMN(INDIRECT((IF(COLUMN(FORTIS!$N$5)&gt;26,(CHAR((ROUNDDOWN((COLUMN(FORTIS!$N$5)-1)/26,0))+64))&amp;(CHAR(COLUMN(FORTIS!$N$5)+64-(ROUNDDOWN((COLUMN(FORTIS!$N$5)-1)/26,0)*26))),CHAR(COLUMN(FORTIS!$N$5)+64)))&amp;1))</f>
        <v>14</v>
      </c>
      <c r="E693" s="1398">
        <f ca="1">COLUMN(INDIRECT((IF(COLUMN(ATCO!$N$5)&gt;26,(CHAR((ROUNDDOWN((COLUMN(ATCO!$N$5)-1)/26,0))+64))&amp;(CHAR(COLUMN(ATCO!$N$5)+64-(ROUNDDOWN((COLUMN(ATCO!$N$5)-1)/26,0)*26))),CHAR(COLUMN(ATCO!$N$5)+64)))&amp;1))</f>
        <v>14</v>
      </c>
      <c r="F693" s="1374"/>
      <c r="G693" s="708">
        <f>IF(AND($A724&lt;=DATE('Elec. Analysis'!$T$194, 12,1),$A724&gt;=DATE('Elec. Analysis'!$T$193, 1, 1)), $A724, NA())</f>
        <v>41395</v>
      </c>
      <c r="H693" s="1273">
        <f ca="1">IF($G693="",NA(),VLOOKUP($G693, INDIRECT("'" &amp;'Elec. Analysis'!$A$193&amp;"'!"&amp;"$A$5:$CA$100"),VLOOKUP('Elec. Analysis'!$A$194, $K$677:$M$736, 2, FALSE),FALSE))</f>
        <v>84.05004054674572</v>
      </c>
      <c r="I693" s="1374"/>
      <c r="J693" s="1374"/>
      <c r="K693" s="656" t="str">
        <f ca="1">IF(INDIRECT("'"&amp;'Elec. Analysis'!$A$193&amp;"'!"&amp;$M693&amp;"5")=0, "", INDIRECT("'"&amp;'Elec. Analysis'!$A$193&amp;"'!"&amp;$M693&amp;"5"))</f>
        <v>Distribution Service and Facilities Rate</v>
      </c>
      <c r="L693" s="1398">
        <v>19</v>
      </c>
      <c r="M693" s="1020" t="str">
        <f t="shared" si="181"/>
        <v>S</v>
      </c>
      <c r="N693" s="1374"/>
      <c r="O693" s="1021" t="s">
        <v>415</v>
      </c>
      <c r="P693" s="1398">
        <f ca="1">COLUMN(INDIRECT((IF(COLUMN('ATCO-N'!$R$5)&gt;26,(CHAR((ROUNDDOWN((COLUMN('ATCO-N'!$R$5)-1)/26,0))+64))&amp;(CHAR(COLUMN('ATCO-N'!$R$5)+64-(ROUNDDOWN((COLUMN('ATCO-N'!$R$5)-1)/26,0)*26))),CHAR(COLUMN('ATCO-N'!$R$5)+64)))&amp;1))</f>
        <v>18</v>
      </c>
      <c r="Q693" s="1398">
        <f ca="1">COLUMN(INDIRECT((IF(COLUMN('ATCO-S'!$R$5)&gt;26,(CHAR((ROUNDDOWN((COLUMN('ATCO-S'!$R$5)-1)/26,0))+64))&amp;(CHAR(COLUMN('ATCO-S'!$R$5)+64-(ROUNDDOWN((COLUMN('ATCO-S'!$R$5)-1)/26,0)*26))),CHAR(COLUMN('ATCO-S'!$R$5)+64)))&amp;1))</f>
        <v>18</v>
      </c>
      <c r="R693" s="1398">
        <f ca="1">COLUMN(INDIRECT((IF(COLUMN(AltaGas!$R$5)&gt;26,(CHAR((ROUNDDOWN((COLUMN(AltaGas!$R$5)-1)/26,0))+64))&amp;(CHAR(COLUMN(AltaGas!$R$5)+64-(ROUNDDOWN((COLUMN(AltaGas!$R$5)-1)/26,0)*26))),CHAR(COLUMN(AltaGas!$R$5)+64)))&amp;1))</f>
        <v>18</v>
      </c>
      <c r="S693" s="1374"/>
      <c r="T693" s="708">
        <f>IF(AND($O727&lt;=DATE('NG Analysis'!$T$195, 12,1),$O727&gt;=DATE('NG Analysis'!$T$194, 1, 1)), $O727, NA())</f>
        <v>41426</v>
      </c>
      <c r="U693" s="1273">
        <f ca="1">IF($T693="",NA(),VLOOKUP($T693, INDIRECT("'" &amp;'NG Analysis'!$A$194&amp;"'!"&amp;"$A$5:$CA$100"),VLOOKUP('NG Analysis'!$A$195, $X$676:$Z$735, 2, FALSE),FALSE))</f>
        <v>57.414945728342317</v>
      </c>
      <c r="V693" s="1374"/>
      <c r="W693" s="1374"/>
      <c r="X693" s="656" t="str">
        <f ca="1">IF(INDIRECT("'"&amp;'NG Analysis'!$A$194&amp;"'!"&amp;$Z693&amp;"5")=0, "", INDIRECT("'"&amp;'NG Analysis'!$A$194&amp;"'!"&amp;$Z693&amp;"5"))</f>
        <v>Municipal Franchise Fee (Rider A)</v>
      </c>
      <c r="Y693" s="1398">
        <v>20</v>
      </c>
      <c r="Z693" s="1020" t="str">
        <f t="shared" si="180"/>
        <v>T</v>
      </c>
      <c r="AA693" s="1439"/>
    </row>
    <row r="694" spans="1:27" x14ac:dyDescent="0.3">
      <c r="A694" s="1030" t="s">
        <v>403</v>
      </c>
      <c r="B694" s="1398">
        <f ca="1">COLUMN(INDIRECT((IF(COLUMN(ENMAX!$H$5)&gt;26,(CHAR((ROUNDDOWN((COLUMN(ENMAX!$H$5)-1)/26,0))+64))&amp;(CHAR(COLUMN(ENMAX!$H$5)+64-(ROUNDDOWN((COLUMN(ENMAX!$H$5)-1)/26,0)*26))),CHAR(COLUMN(ENMAX!$H$5)+64)))&amp;1))</f>
        <v>8</v>
      </c>
      <c r="C694" s="1398">
        <f ca="1">COLUMN(INDIRECT((IF(COLUMN(EPCOR!$H$5)&gt;26,(CHAR((ROUNDDOWN((COLUMN(EPCOR!$H$5)-1)/26,0))+64))&amp;(CHAR(COLUMN(EPCOR!$H$5)+64-(ROUNDDOWN((COLUMN(EPCOR!$H$5)-1)/26,0)*26))),CHAR(COLUMN(EPCOR!$H$5)+64)))&amp;1))</f>
        <v>8</v>
      </c>
      <c r="D694" s="1398">
        <f ca="1">COLUMN(INDIRECT((IF(COLUMN(FORTIS!$H$5)&gt;26,(CHAR((ROUNDDOWN((COLUMN(FORTIS!$H$5)-1)/26,0))+64))&amp;(CHAR(COLUMN(FORTIS!$H$5)+64-(ROUNDDOWN((COLUMN(FORTIS!$H$5)-1)/26,0)*26))),CHAR(COLUMN(FORTIS!$H$5)+64)))&amp;1))</f>
        <v>8</v>
      </c>
      <c r="E694" s="1398">
        <f ca="1">COLUMN(INDIRECT((IF(COLUMN(ATCO!$H$5)&gt;26,(CHAR((ROUNDDOWN((COLUMN(ATCO!$H$5)-1)/26,0))+64))&amp;(CHAR(COLUMN(ATCO!$H$5)+64-(ROUNDDOWN((COLUMN(ATCO!$H$5)-1)/26,0)*26))),CHAR(COLUMN(ATCO!$H$5)+64)))&amp;1))</f>
        <v>8</v>
      </c>
      <c r="F694" s="1374"/>
      <c r="G694" s="708">
        <f>IF(AND($A725&lt;=DATE('Elec. Analysis'!$T$194, 12,1),$A725&gt;=DATE('Elec. Analysis'!$T$193, 1, 1)), $A725, NA())</f>
        <v>41426</v>
      </c>
      <c r="H694" s="1273">
        <f ca="1">IF($G694="",NA(),VLOOKUP($G694, INDIRECT("'" &amp;'Elec. Analysis'!$A$193&amp;"'!"&amp;"$A$5:$CA$100"),VLOOKUP('Elec. Analysis'!$A$194, $K$677:$M$736, 2, FALSE),FALSE))</f>
        <v>85.968160553757244</v>
      </c>
      <c r="I694" s="1374"/>
      <c r="J694" s="1374"/>
      <c r="K694" s="656" t="str">
        <f ca="1">IF(INDIRECT("'"&amp;'Elec. Analysis'!$A$193&amp;"'!"&amp;$M694&amp;"5")=0, "", INDIRECT("'"&amp;'Elec. Analysis'!$A$193&amp;"'!"&amp;$M694&amp;"5"))</f>
        <v>Variable Distribution Charge</v>
      </c>
      <c r="L694" s="1398">
        <v>20</v>
      </c>
      <c r="M694" s="1020" t="str">
        <f t="shared" si="181"/>
        <v>T</v>
      </c>
      <c r="N694" s="1374"/>
      <c r="O694" s="1018" t="s">
        <v>406</v>
      </c>
      <c r="P694" s="1398">
        <f ca="1">COLUMN(INDIRECT((IF(COLUMN('ATCO-N'!$I$5)&gt;26,(CHAR((ROUNDDOWN((COLUMN('ATCO-N'!$I$5)-1)/26,0))+64))&amp;(CHAR(COLUMN('ATCO-N'!$I$5)+64-(ROUNDDOWN((COLUMN('ATCO-N'!$I$5)-1)/26,0)*26))),CHAR(COLUMN('ATCO-N'!$I$5)+64)))&amp;1))</f>
        <v>9</v>
      </c>
      <c r="Q694" s="1398">
        <f ca="1">COLUMN(INDIRECT((IF(COLUMN('ATCO-S'!$I$5)&gt;26,(CHAR((ROUNDDOWN((COLUMN('ATCO-S'!$I$5)-1)/26,0))+64))&amp;(CHAR(COLUMN('ATCO-S'!$I$5)+64-(ROUNDDOWN((COLUMN('ATCO-S'!$I$5)-1)/26,0)*26))),CHAR(COLUMN('ATCO-S'!$I$5)+64)))&amp;1))</f>
        <v>9</v>
      </c>
      <c r="R694" s="1398">
        <f ca="1">COLUMN(INDIRECT((IF(COLUMN(AltaGas!$I$5)&gt;26,(CHAR((ROUNDDOWN((COLUMN(AltaGas!$I$5)-1)/26,0))+64))&amp;(CHAR(COLUMN(AltaGas!$I$5)+64-(ROUNDDOWN((COLUMN(AltaGas!$I$5)-1)/26,0)*26))),CHAR(COLUMN(AltaGas!$I$5)+64)))&amp;1))</f>
        <v>9</v>
      </c>
      <c r="S694" s="1374"/>
      <c r="T694" s="708">
        <f>IF(AND($O728&lt;=DATE('NG Analysis'!$T$195, 12,1),$O728&gt;=DATE('NG Analysis'!$T$194, 1, 1)), $O728, NA())</f>
        <v>41456</v>
      </c>
      <c r="U694" s="1273">
        <f ca="1">IF($T694="",NA(),VLOOKUP($T694, INDIRECT("'" &amp;'NG Analysis'!$A$194&amp;"'!"&amp;"$A$5:$CA$100"),VLOOKUP('NG Analysis'!$A$195, $X$676:$Z$735, 2, FALSE),FALSE))</f>
        <v>49.639164247460933</v>
      </c>
      <c r="V694" s="1374"/>
      <c r="W694" s="1374"/>
      <c r="X694" s="656" t="str">
        <f ca="1">IF(INDIRECT("'"&amp;'NG Analysis'!$A$194&amp;"'!"&amp;$Z694&amp;"5")=0, "", INDIRECT("'"&amp;'NG Analysis'!$A$194&amp;"'!"&amp;$Z694&amp;"5"))</f>
        <v>Municipal Property Tax Fee (Rider B)</v>
      </c>
      <c r="Y694" s="1398">
        <v>21</v>
      </c>
      <c r="Z694" s="1020" t="str">
        <f t="shared" si="180"/>
        <v>U</v>
      </c>
      <c r="AA694" s="1439"/>
    </row>
    <row r="695" spans="1:27" x14ac:dyDescent="0.3">
      <c r="A695" s="1030" t="s">
        <v>404</v>
      </c>
      <c r="B695" s="1398">
        <f ca="1">COLUMN(INDIRECT((IF(COLUMN(ENMAX!$I$5)&gt;26,(CHAR((ROUNDDOWN((COLUMN(ENMAX!$I$5)-1)/26,0))+64))&amp;(CHAR(COLUMN(ENMAX!$I$5)+64-(ROUNDDOWN((COLUMN(ENMAX!$I$5)-1)/26,0)*26))),CHAR(COLUMN(ENMAX!$I$5)+64)))&amp;1))</f>
        <v>9</v>
      </c>
      <c r="C695" s="1398">
        <f ca="1">COLUMN(INDIRECT((IF(COLUMN(EPCOR!$I$5)&gt;26,(CHAR((ROUNDDOWN((COLUMN(EPCOR!$I$5)-1)/26,0))+64))&amp;(CHAR(COLUMN(EPCOR!$I$5)+64-(ROUNDDOWN((COLUMN(EPCOR!$I$5)-1)/26,0)*26))),CHAR(COLUMN(EPCOR!$I$5)+64)))&amp;1))</f>
        <v>9</v>
      </c>
      <c r="D695" s="1398">
        <f ca="1">COLUMN(INDIRECT((IF(COLUMN(FORTIS!$I$5)&gt;26,(CHAR((ROUNDDOWN((COLUMN(FORTIS!$I$5)-1)/26,0))+64))&amp;(CHAR(COLUMN(FORTIS!$I$5)+64-(ROUNDDOWN((COLUMN(FORTIS!$I$5)-1)/26,0)*26))),CHAR(COLUMN(FORTIS!$I$5)+64)))&amp;1))</f>
        <v>9</v>
      </c>
      <c r="E695" s="1398">
        <f ca="1">COLUMN(INDIRECT((IF(COLUMN(ATCO!$I$5)&gt;26,(CHAR((ROUNDDOWN((COLUMN(ATCO!$I$5)-1)/26,0))+64))&amp;(CHAR(COLUMN(ATCO!$I$5)+64-(ROUNDDOWN((COLUMN(ATCO!$I$5)-1)/26,0)*26))),CHAR(COLUMN(ATCO!$I$5)+64)))&amp;1))</f>
        <v>9</v>
      </c>
      <c r="F695" s="1374"/>
      <c r="G695" s="708">
        <f>IF(AND($A726&lt;=DATE('Elec. Analysis'!$T$194, 12,1),$A726&gt;=DATE('Elec. Analysis'!$T$193, 1, 1)), $A726, NA())</f>
        <v>41456</v>
      </c>
      <c r="H695" s="1273">
        <f ca="1">IF($G695="",NA(),VLOOKUP($G695, INDIRECT("'" &amp;'Elec. Analysis'!$A$193&amp;"'!"&amp;"$A$5:$CA$100"),VLOOKUP('Elec. Analysis'!$A$194, $K$677:$M$736, 2, FALSE),FALSE))</f>
        <v>108.53599142391927</v>
      </c>
      <c r="I695" s="1374"/>
      <c r="J695" s="1374"/>
      <c r="K695" s="656" t="str">
        <f ca="1">IF(INDIRECT("'"&amp;'Elec. Analysis'!$A$193&amp;"'!"&amp;$M695&amp;"5")=0, "", INDIRECT("'"&amp;'Elec. Analysis'!$A$193&amp;"'!"&amp;$M695&amp;"5"))</f>
        <v>Fixed Distribution Charge</v>
      </c>
      <c r="L695" s="1398">
        <v>21</v>
      </c>
      <c r="M695" s="1020" t="str">
        <f t="shared" si="181"/>
        <v>U</v>
      </c>
      <c r="N695" s="1374"/>
      <c r="O695" s="1018" t="s">
        <v>407</v>
      </c>
      <c r="P695" s="1398">
        <f ca="1">COLUMN(INDIRECT((IF(COLUMN('ATCO-N'!$J$5)&gt;26,(CHAR((ROUNDDOWN((COLUMN('ATCO-N'!$J$5)-1)/26,0))+64))&amp;(CHAR(COLUMN('ATCO-N'!$J$5)+64-(ROUNDDOWN((COLUMN('ATCO-N'!$J$5)-1)/26,0)*26))),CHAR(COLUMN('ATCO-N'!$J$5)+64)))&amp;1))</f>
        <v>10</v>
      </c>
      <c r="Q695" s="1398">
        <f ca="1">COLUMN(INDIRECT((IF(COLUMN('ATCO-S'!$J$5)&gt;26,(CHAR((ROUNDDOWN((COLUMN('ATCO-S'!$J$5)-1)/26,0))+64))&amp;(CHAR(COLUMN('ATCO-S'!$J$5)+64-(ROUNDDOWN((COLUMN('ATCO-S'!$J$5)-1)/26,0)*26))),CHAR(COLUMN('ATCO-S'!$J$5)+64)))&amp;1))</f>
        <v>10</v>
      </c>
      <c r="R695" s="1398">
        <f ca="1">COLUMN(INDIRECT((IF(COLUMN(AltaGas!$J$5)&gt;26,(CHAR((ROUNDDOWN((COLUMN(AltaGas!$J$5)-1)/26,0))+64))&amp;(CHAR(COLUMN(AltaGas!$J$5)+64-(ROUNDDOWN((COLUMN(AltaGas!$J$5)-1)/26,0)*26))),CHAR(COLUMN(AltaGas!$J$5)+64)))&amp;1))</f>
        <v>10</v>
      </c>
      <c r="S695" s="1374"/>
      <c r="T695" s="708">
        <f>IF(AND($O729&lt;=DATE('NG Analysis'!$T$195, 12,1),$O729&gt;=DATE('NG Analysis'!$T$194, 1, 1)), $O729, NA())</f>
        <v>41487</v>
      </c>
      <c r="U695" s="1273">
        <f ca="1">IF($T695="",NA(),VLOOKUP($T695, INDIRECT("'" &amp;'NG Analysis'!$A$194&amp;"'!"&amp;"$A$5:$CA$100"),VLOOKUP('NG Analysis'!$A$195, $X$676:$Z$735, 2, FALSE),FALSE))</f>
        <v>45.111280260525895</v>
      </c>
      <c r="V695" s="1374"/>
      <c r="W695" s="1374"/>
      <c r="X695" s="656" t="str">
        <f ca="1">IF(INDIRECT("'"&amp;'NG Analysis'!$A$194&amp;"'!"&amp;$Z695&amp;"5")=0, "", INDIRECT("'"&amp;'NG Analysis'!$A$194&amp;"'!"&amp;$Z695&amp;"5"))</f>
        <v>Municipal Franchise Fee Charge (Rider A)</v>
      </c>
      <c r="Y695" s="1398">
        <v>22</v>
      </c>
      <c r="Z695" s="1020" t="str">
        <f t="shared" si="180"/>
        <v>V</v>
      </c>
      <c r="AA695" s="1439"/>
    </row>
    <row r="696" spans="1:27" x14ac:dyDescent="0.3">
      <c r="A696" s="1031" t="s">
        <v>405</v>
      </c>
      <c r="B696" s="1398" t="str">
        <f ca="1">B695&amp;"+"&amp;B694</f>
        <v>9+8</v>
      </c>
      <c r="C696" s="1398" t="str">
        <f ca="1">C695&amp;"+"&amp;C694</f>
        <v>9+8</v>
      </c>
      <c r="D696" s="1398" t="str">
        <f ca="1">D695&amp;"+"&amp;D694</f>
        <v>9+8</v>
      </c>
      <c r="E696" s="1398" t="str">
        <f ca="1">E695&amp;"+"&amp;E694</f>
        <v>9+8</v>
      </c>
      <c r="F696" s="1374"/>
      <c r="G696" s="708">
        <f>IF(AND($A727&lt;=DATE('Elec. Analysis'!$T$194, 12,1),$A727&gt;=DATE('Elec. Analysis'!$T$193, 1, 1)), $A727, NA())</f>
        <v>41487</v>
      </c>
      <c r="H696" s="1624">
        <f ca="1">IF($G696="",NA(),VLOOKUP($G696, INDIRECT("'" &amp;'Elec. Analysis'!$A$193&amp;"'!"&amp;"$A$5:$CA$100"),VLOOKUP('Elec. Analysis'!$A$194, $K$677:$M$736, 2, FALSE),FALSE))</f>
        <v>109.6193005300434</v>
      </c>
      <c r="I696" s="1374"/>
      <c r="J696" s="1374"/>
      <c r="K696" s="656" t="str">
        <f ca="1">IF(INDIRECT("'"&amp;'Elec. Analysis'!$A$193&amp;"'!"&amp;$M696&amp;"5")=0, "", INDIRECT("'"&amp;'Elec. Analysis'!$A$193&amp;"'!"&amp;$M696&amp;"5"))</f>
        <v>Local Access Fee (Calgary)</v>
      </c>
      <c r="L696" s="1398">
        <v>22</v>
      </c>
      <c r="M696" s="1020" t="str">
        <f t="shared" si="181"/>
        <v>V</v>
      </c>
      <c r="N696" s="1374"/>
      <c r="O696" s="1018" t="s">
        <v>410</v>
      </c>
      <c r="P696" s="1398">
        <f ca="1">COLUMN(INDIRECT((IF(COLUMN('ATCO-N'!$G$5)&gt;26,(CHAR((ROUNDDOWN((COLUMN('ATCO-N'!$G$5)-1)/26,0))+64))&amp;(CHAR(COLUMN('ATCO-N'!$G$5)+64-(ROUNDDOWN((COLUMN('ATCO-N'!$G$5)-1)/26,0)*26))),CHAR(COLUMN('ATCO-N'!$G$5)+64)))&amp;1))</f>
        <v>7</v>
      </c>
      <c r="Q696" s="1398">
        <f ca="1">COLUMN(INDIRECT((IF(COLUMN('ATCO-S'!$G$5)&gt;26,(CHAR((ROUNDDOWN((COLUMN('ATCO-S'!$G$5)-1)/26,0))+64))&amp;(CHAR(COLUMN('ATCO-S'!$G$5)+64-(ROUNDDOWN((COLUMN('ATCO-S'!$G$5)-1)/26,0)*26))),CHAR(COLUMN('ATCO-S'!$G$5)+64)))&amp;1))</f>
        <v>7</v>
      </c>
      <c r="R696" s="1398">
        <f ca="1">COLUMN(INDIRECT((IF(COLUMN(AltaGas!$G$5)&gt;26,(CHAR((ROUNDDOWN((COLUMN(AltaGas!$G$5)-1)/26,0))+64))&amp;(CHAR(COLUMN(AltaGas!$G$5)+64-(ROUNDDOWN((COLUMN(AltaGas!$G$5)-1)/26,0)*26))),CHAR(COLUMN(AltaGas!$G$5)+64)))&amp;1))</f>
        <v>7</v>
      </c>
      <c r="S696" s="1374"/>
      <c r="T696" s="708">
        <f>IF(AND($O730&lt;=DATE('NG Analysis'!$T$195, 12,1),$O730&gt;=DATE('NG Analysis'!$T$194, 1, 1)), $O730, NA())</f>
        <v>41518</v>
      </c>
      <c r="U696" s="1273">
        <f ca="1">IF($T696="",NA(),VLOOKUP($T696, INDIRECT("'" &amp;'NG Analysis'!$A$194&amp;"'!"&amp;"$A$5:$CA$100"),VLOOKUP('NG Analysis'!$A$195, $X$676:$Z$735, 2, FALSE),FALSE))</f>
        <v>53.888467957953324</v>
      </c>
      <c r="V696" s="1374"/>
      <c r="W696" s="1374"/>
      <c r="X696" s="656" t="str">
        <f ca="1">IF(INDIRECT("'"&amp;'NG Analysis'!$A$194&amp;"'!"&amp;$Z696&amp;"5")=0, "", INDIRECT("'"&amp;'NG Analysis'!$A$194&amp;"'!"&amp;$Z696&amp;"5"))</f>
        <v>Municipal Property Tax Fee Charge (Rider B)</v>
      </c>
      <c r="Y696" s="1398">
        <v>23</v>
      </c>
      <c r="Z696" s="1020" t="str">
        <f t="shared" si="180"/>
        <v>W</v>
      </c>
      <c r="AA696" s="1439"/>
    </row>
    <row r="697" spans="1:27" x14ac:dyDescent="0.3">
      <c r="A697" s="1030" t="s">
        <v>406</v>
      </c>
      <c r="B697" s="1398">
        <f ca="1">COLUMN(INDIRECT((IF(COLUMN(ENMAX!$J$5)&gt;26,(CHAR((ROUNDDOWN((COLUMN(ENMAX!$J$5)-1)/26,0))+64))&amp;(CHAR(COLUMN(ENMAX!$J$5)+64-(ROUNDDOWN((COLUMN(ENMAX!$J$5)-1)/26,0)*26))),CHAR(COLUMN(ENMAX!$J$5)+64)))&amp;1))</f>
        <v>10</v>
      </c>
      <c r="C697" s="1398">
        <f ca="1">COLUMN(INDIRECT((IF(COLUMN(EPCOR!$J$5)&gt;26,(CHAR((ROUNDDOWN((COLUMN(EPCOR!$J$5)-1)/26,0))+64))&amp;(CHAR(COLUMN(EPCOR!$J$5)+64-(ROUNDDOWN((COLUMN(EPCOR!$J$5)-1)/26,0)*26))),CHAR(COLUMN(EPCOR!$J$5)+64)))&amp;1))</f>
        <v>10</v>
      </c>
      <c r="D697" s="1398">
        <f ca="1">COLUMN(INDIRECT((IF(COLUMN(FORTIS!$J$5)&gt;26,(CHAR((ROUNDDOWN((COLUMN(FORTIS!$J$5)-1)/26,0))+64))&amp;(CHAR(COLUMN(FORTIS!$J$5)+64-(ROUNDDOWN((COLUMN(FORTIS!$J$5)-1)/26,0)*26))),CHAR(COLUMN(FORTIS!$J$5)+64)))&amp;1))</f>
        <v>10</v>
      </c>
      <c r="E697" s="1398">
        <f ca="1">COLUMN(INDIRECT((IF(COLUMN(ATCO!$J$5)&gt;26,(CHAR((ROUNDDOWN((COLUMN(ATCO!$J$5)-1)/26,0))+64))&amp;(CHAR(COLUMN(ATCO!$J$5)+64-(ROUNDDOWN((COLUMN(ATCO!$J$5)-1)/26,0)*26))),CHAR(COLUMN(ATCO!$J$5)+64)))&amp;1))</f>
        <v>10</v>
      </c>
      <c r="F697" s="1374"/>
      <c r="G697" s="708">
        <f>IF(AND($A728&lt;=DATE('Elec. Analysis'!$T$194, 12,1),$A728&gt;=DATE('Elec. Analysis'!$T$193, 1, 1)), $A728, NA())</f>
        <v>41518</v>
      </c>
      <c r="H697" s="1273">
        <f ca="1">IF($G697="",NA(),VLOOKUP($G697, INDIRECT("'" &amp;'Elec. Analysis'!$A$193&amp;"'!"&amp;"$A$5:$CA$100"),VLOOKUP('Elec. Analysis'!$A$194, $K$677:$M$736, 2, FALSE),FALSE))</f>
        <v>107.86766277802467</v>
      </c>
      <c r="I697" s="1374"/>
      <c r="J697" s="1374"/>
      <c r="K697" s="656" t="str">
        <f ca="1">IF(INDIRECT("'"&amp;'Elec. Analysis'!$A$193&amp;"'!"&amp;$M697&amp;"5")=0, "", INDIRECT("'"&amp;'Elec. Analysis'!$A$193&amp;"'!"&amp;$M697&amp;"5"))</f>
        <v>LAF Wires Component Charge</v>
      </c>
      <c r="L697" s="1398">
        <v>23</v>
      </c>
      <c r="M697" s="1020" t="str">
        <f t="shared" si="181"/>
        <v>W</v>
      </c>
      <c r="N697" s="1374"/>
      <c r="O697" s="1018" t="s">
        <v>411</v>
      </c>
      <c r="P697" s="1398">
        <f ca="1">COLUMN(INDIRECT((IF(COLUMN('ATCO-N'!$K$5)&gt;26,(CHAR((ROUNDDOWN((COLUMN('ATCO-N'!$K$5)-1)/26,0))+64))&amp;(CHAR(COLUMN('ATCO-N'!$K$5)+64-(ROUNDDOWN((COLUMN('ATCO-N'!$K$5)-1)/26,0)*26))),CHAR(COLUMN('ATCO-N'!$K$5)+64)))&amp;1))</f>
        <v>11</v>
      </c>
      <c r="Q697" s="1398">
        <f ca="1">COLUMN(INDIRECT((IF(COLUMN('ATCO-S'!$K$5)&gt;26,(CHAR((ROUNDDOWN((COLUMN('ATCO-S'!$K$5)-1)/26,0))+64))&amp;(CHAR(COLUMN('ATCO-S'!$K$5)+64-(ROUNDDOWN((COLUMN('ATCO-S'!$K$5)-1)/26,0)*26))),CHAR(COLUMN('ATCO-S'!$K$5)+64)))&amp;1))</f>
        <v>11</v>
      </c>
      <c r="R697" s="1398">
        <f ca="1">COLUMN(INDIRECT((IF(COLUMN(AltaGas!$K$5)&gt;26,(CHAR((ROUNDDOWN((COLUMN(AltaGas!$K$5)-1)/26,0))+64))&amp;(CHAR(COLUMN(AltaGas!$K$5)+64-(ROUNDDOWN((COLUMN(AltaGas!$K$5)-1)/26,0)*26))),CHAR(COLUMN(AltaGas!$K$5)+64)))&amp;1))</f>
        <v>11</v>
      </c>
      <c r="S697" s="1374"/>
      <c r="T697" s="708">
        <f>IF(AND($O731&lt;=DATE('NG Analysis'!$T$195, 12,1),$O731&gt;=DATE('NG Analysis'!$T$194, 1, 1)), $O731, NA())</f>
        <v>41548</v>
      </c>
      <c r="U697" s="1273">
        <f ca="1">IF($T697="",NA(),VLOOKUP($T697, INDIRECT("'" &amp;'NG Analysis'!$A$194&amp;"'!"&amp;"$A$5:$CA$100"),VLOOKUP('NG Analysis'!$A$195, $X$676:$Z$735, 2, FALSE),FALSE))</f>
        <v>79.87600848638165</v>
      </c>
      <c r="V697" s="1374"/>
      <c r="W697" s="1374"/>
      <c r="X697" s="656" t="str">
        <f ca="1">IF(INDIRECT("'"&amp;'NG Analysis'!$A$194&amp;"'!"&amp;$Z697&amp;"5")=0, "", INDIRECT("'"&amp;'NG Analysis'!$A$194&amp;"'!"&amp;$Z697&amp;"5"))</f>
        <v>Carbon Recovery Rider (Rider H)</v>
      </c>
      <c r="Y697" s="1398">
        <v>24</v>
      </c>
      <c r="Z697" s="1020" t="str">
        <f t="shared" si="180"/>
        <v>X</v>
      </c>
      <c r="AA697" s="1439"/>
    </row>
    <row r="698" spans="1:27" x14ac:dyDescent="0.3">
      <c r="A698" s="1030" t="s">
        <v>407</v>
      </c>
      <c r="B698" s="1398">
        <f ca="1">COLUMN(INDIRECT((IF(COLUMN(ENMAX!$K$5)&gt;26,(CHAR((ROUNDDOWN((COLUMN(ENMAX!$K$5)-1)/26,0))+64))&amp;(CHAR(COLUMN(ENMAX!$K$5)+64-(ROUNDDOWN((COLUMN(ENMAX!$K$5)-1)/26,0)*26))),CHAR(COLUMN(ENMAX!$K$5)+64)))&amp;1))</f>
        <v>11</v>
      </c>
      <c r="C698" s="1398">
        <f ca="1">COLUMN(INDIRECT((IF(COLUMN(EPCOR!$K$5)&gt;26,(CHAR((ROUNDDOWN((COLUMN(EPCOR!$K$5)-1)/26,0))+64))&amp;(CHAR(COLUMN(EPCOR!$K$5)+64-(ROUNDDOWN((COLUMN(EPCOR!$K$5)-1)/26,0)*26))),CHAR(COLUMN(EPCOR!$K$5)+64)))&amp;1))</f>
        <v>11</v>
      </c>
      <c r="D698" s="1398">
        <f ca="1">COLUMN(INDIRECT((IF(COLUMN(FORTIS!$K$5)&gt;26,(CHAR((ROUNDDOWN((COLUMN(FORTIS!$K$5)-1)/26,0))+64))&amp;(CHAR(COLUMN(FORTIS!$K$5)+64-(ROUNDDOWN((COLUMN(FORTIS!$K$5)-1)/26,0)*26))),CHAR(COLUMN(FORTIS!$K$5)+64)))&amp;1))</f>
        <v>11</v>
      </c>
      <c r="E698" s="1398">
        <f ca="1">COLUMN(INDIRECT((IF(COLUMN(ATCO!$K$5)&gt;26,(CHAR((ROUNDDOWN((COLUMN(ATCO!$K$5)-1)/26,0))+64))&amp;(CHAR(COLUMN(ATCO!$K$5)+64-(ROUNDDOWN((COLUMN(ATCO!$K$5)-1)/26,0)*26))),CHAR(COLUMN(ATCO!$K$5)+64)))&amp;1))</f>
        <v>11</v>
      </c>
      <c r="F698" s="1374"/>
      <c r="G698" s="708">
        <f>IF(AND($A729&lt;=DATE('Elec. Analysis'!$T$194, 12,1),$A729&gt;=DATE('Elec. Analysis'!$T$193, 1, 1)), $A729, NA())</f>
        <v>41548</v>
      </c>
      <c r="H698" s="1273">
        <f ca="1">IF($G698="",NA(),VLOOKUP($G698, INDIRECT("'" &amp;'Elec. Analysis'!$A$193&amp;"'!"&amp;"$A$5:$CA$100"),VLOOKUP('Elec. Analysis'!$A$194, $K$677:$M$736, 2, FALSE),FALSE))</f>
        <v>104.79381364046809</v>
      </c>
      <c r="I698" s="1374"/>
      <c r="J698" s="1374"/>
      <c r="K698" s="656" t="str">
        <f ca="1">IF(INDIRECT("'"&amp;'Elec. Analysis'!$A$193&amp;"'!"&amp;$M698&amp;"5")=0, "", INDIRECT("'"&amp;'Elec. Analysis'!$A$193&amp;"'!"&amp;$M698&amp;"5"))</f>
        <v>LAF Energy Component Charge</v>
      </c>
      <c r="L698" s="1398">
        <v>24</v>
      </c>
      <c r="M698" s="1020" t="str">
        <f t="shared" si="181"/>
        <v>X</v>
      </c>
      <c r="N698" s="1374"/>
      <c r="O698" s="1018" t="s">
        <v>579</v>
      </c>
      <c r="P698" s="1398">
        <f ca="1">COLUMN(INDIRECT((IF(COLUMN('ATCO-N'!$L$5)&gt;26,(CHAR((ROUNDDOWN((COLUMN('ATCO-N'!$L$5)-1)/26,0))+64))&amp;(CHAR(COLUMN('ATCO-N'!$L$5)+64-(ROUNDDOWN((COLUMN('ATCO-N'!$L$5)-1)/26,0)*26))),CHAR(COLUMN('ATCO-N'!$L$5)+64)))&amp;1))</f>
        <v>12</v>
      </c>
      <c r="Q698" s="1398">
        <f ca="1">COLUMN(INDIRECT((IF(COLUMN('ATCO-S'!$L$5)&gt;26,(CHAR((ROUNDDOWN((COLUMN('ATCO-S'!$L$5)-1)/26,0))+64))&amp;(CHAR(COLUMN('ATCO-S'!$L$5)+64-(ROUNDDOWN((COLUMN('ATCO-S'!$L$5)-1)/26,0)*26))),CHAR(COLUMN('ATCO-S'!$L$5)+64)))&amp;1))</f>
        <v>12</v>
      </c>
      <c r="R698" s="1398">
        <f ca="1">COLUMN(INDIRECT((IF(COLUMN(AltaGas!$L$5)&gt;26,(CHAR((ROUNDDOWN((COLUMN(AltaGas!$L$5)-1)/26,0))+64))&amp;(CHAR(COLUMN(AltaGas!$L$5)+64-(ROUNDDOWN((COLUMN(AltaGas!$L$5)-1)/26,0)*26))),CHAR(COLUMN(AltaGas!$L$5)+64)))&amp;1))</f>
        <v>12</v>
      </c>
      <c r="S698" s="1374"/>
      <c r="T698" s="708">
        <f>IF(AND($O732&lt;=DATE('NG Analysis'!$T$195, 12,1),$O732&gt;=DATE('NG Analysis'!$T$194, 1, 1)), $O732, NA())</f>
        <v>41579</v>
      </c>
      <c r="U698" s="1273">
        <f ca="1">IF($T698="",NA(),VLOOKUP($T698, INDIRECT("'" &amp;'NG Analysis'!$A$194&amp;"'!"&amp;"$A$5:$CA$100"),VLOOKUP('NG Analysis'!$A$195, $X$676:$Z$735, 2, FALSE),FALSE))</f>
        <v>131.19649626704214</v>
      </c>
      <c r="V698" s="1374"/>
      <c r="W698" s="1374"/>
      <c r="X698" s="656" t="str">
        <f ca="1">IF(INDIRECT("'"&amp;'NG Analysis'!$A$194&amp;"'!"&amp;$Z698&amp;"5")=0, "", INDIRECT("'"&amp;'NG Analysis'!$A$194&amp;"'!"&amp;$Z698&amp;"5"))</f>
        <v>Load Balance Rider (Rider L)</v>
      </c>
      <c r="Y698" s="1398">
        <v>25</v>
      </c>
      <c r="Z698" s="1020" t="str">
        <f t="shared" si="180"/>
        <v>Y</v>
      </c>
      <c r="AA698" s="1439"/>
    </row>
    <row r="699" spans="1:27" x14ac:dyDescent="0.3">
      <c r="A699" s="1030" t="s">
        <v>408</v>
      </c>
      <c r="B699" s="1398" t="str">
        <f ca="1">B698&amp;"-"&amp;B700</f>
        <v>11-29</v>
      </c>
      <c r="C699" s="1398" t="str">
        <f ca="1">C698&amp;"-"&amp;C700</f>
        <v>11-29</v>
      </c>
      <c r="D699" s="1398" t="str">
        <f ca="1">D698&amp;"-"&amp;D700</f>
        <v>11-31</v>
      </c>
      <c r="E699" s="1398" t="str">
        <f ca="1">E698&amp;"-"&amp;E700</f>
        <v>11-35</v>
      </c>
      <c r="F699" s="1374"/>
      <c r="G699" s="708">
        <f>IF(AND($A730&lt;=DATE('Elec. Analysis'!$T$194, 12,1),$A730&gt;=DATE('Elec. Analysis'!$T$193, 1, 1)), $A730, NA())</f>
        <v>41579</v>
      </c>
      <c r="H699" s="1273">
        <f ca="1">IF($G699="",NA(),VLOOKUP($G699, INDIRECT("'" &amp;'Elec. Analysis'!$A$193&amp;"'!"&amp;"$A$5:$CA$100"),VLOOKUP('Elec. Analysis'!$A$194, $K$677:$M$736, 2, FALSE),FALSE))</f>
        <v>110.01465976738784</v>
      </c>
      <c r="I699" s="1374"/>
      <c r="J699" s="1374"/>
      <c r="K699" s="656" t="str">
        <f ca="1">IF(INDIRECT("'"&amp;'Elec. Analysis'!$A$193&amp;"'!"&amp;$M699&amp;"5")=0, "", INDIRECT("'"&amp;'Elec. Analysis'!$A$193&amp;"'!"&amp;$M699&amp;"5"))</f>
        <v>Balancing Pool Allocation Refund Rider</v>
      </c>
      <c r="L699" s="1398">
        <v>25</v>
      </c>
      <c r="M699" s="1020" t="str">
        <f t="shared" si="181"/>
        <v>Y</v>
      </c>
      <c r="N699" s="1374"/>
      <c r="O699" s="1018" t="s">
        <v>412</v>
      </c>
      <c r="P699" s="1398">
        <f ca="1">COLUMN(INDIRECT((IF(COLUMN('ATCO-N'!$M$5)&gt;26,(CHAR((ROUNDDOWN((COLUMN('ATCO-N'!$M$5)-1)/26,0))+64))&amp;(CHAR(COLUMN('ATCO-N'!$M$5)+64-(ROUNDDOWN((COLUMN('ATCO-N'!$M$5)-1)/26,0)*26))),CHAR(COLUMN('ATCO-N'!$M$5)+64)))&amp;1))</f>
        <v>13</v>
      </c>
      <c r="Q699" s="1398">
        <f ca="1">COLUMN(INDIRECT((IF(COLUMN('ATCO-S'!$M$5)&gt;26,(CHAR((ROUNDDOWN((COLUMN('ATCO-S'!$M$5)-1)/26,0))+64))&amp;(CHAR(COLUMN('ATCO-S'!$M$5)+64-(ROUNDDOWN((COLUMN('ATCO-S'!$M$5)-1)/26,0)*26))),CHAR(COLUMN('ATCO-S'!$M$5)+64)))&amp;1))</f>
        <v>13</v>
      </c>
      <c r="R699" s="1398">
        <f ca="1">COLUMN(INDIRECT((IF(COLUMN(AltaGas!$M$5)&gt;26,(CHAR((ROUNDDOWN((COLUMN(AltaGas!$M$5)-1)/26,0))+64))&amp;(CHAR(COLUMN(AltaGas!$M$5)+64-(ROUNDDOWN((COLUMN(AltaGas!$M$5)-1)/26,0)*26))),CHAR(COLUMN(AltaGas!$M$5)+64)))&amp;1))</f>
        <v>13</v>
      </c>
      <c r="S699" s="1374"/>
      <c r="T699" s="708">
        <f>IF(AND($O733&lt;=DATE('NG Analysis'!$T$195, 12,1),$O733&gt;=DATE('NG Analysis'!$T$194, 1, 1)), $O733, NA())</f>
        <v>41609</v>
      </c>
      <c r="U699" s="1273">
        <f ca="1">IF($T699="",NA(),VLOOKUP($T699, INDIRECT("'" &amp;'NG Analysis'!$A$194&amp;"'!"&amp;"$A$5:$CA$100"),VLOOKUP('NG Analysis'!$A$195, $X$676:$Z$735, 2, FALSE),FALSE))</f>
        <v>156.04849560306945</v>
      </c>
      <c r="V699" s="1374"/>
      <c r="W699" s="1374"/>
      <c r="X699" s="656" t="str">
        <f ca="1">IF(INDIRECT("'"&amp;'NG Analysis'!$A$194&amp;"'!"&amp;$Z699&amp;"5")=0, "", INDIRECT("'"&amp;'NG Analysis'!$A$194&amp;"'!"&amp;$Z699&amp;"5"))</f>
        <v>Interim Rider for Fixed Charges (Rider S)</v>
      </c>
      <c r="Y699" s="1398">
        <v>26</v>
      </c>
      <c r="Z699" s="1020" t="str">
        <f t="shared" si="180"/>
        <v>Z</v>
      </c>
      <c r="AA699" s="1439"/>
    </row>
    <row r="700" spans="1:27" x14ac:dyDescent="0.3">
      <c r="A700" s="1030" t="s">
        <v>409</v>
      </c>
      <c r="B700" s="1398">
        <f ca="1">COLUMN(INDIRECT((IF(COLUMN(ENMAX!$AC$5)&gt;26,(CHAR((ROUNDDOWN((COLUMN(ENMAX!$AC$5)-1)/26,0))+64))&amp;(CHAR(COLUMN(ENMAX!$AC$5)+64-(ROUNDDOWN((COLUMN(ENMAX!$AC$5)-1)/26,0)*26))),CHAR(COLUMN(ENMAX!$AC$5)+64)))&amp;1))</f>
        <v>29</v>
      </c>
      <c r="C700" s="1398">
        <f ca="1">COLUMN(INDIRECT((IF(COLUMN(EPCOR!$AC$5)&gt;26,(CHAR((ROUNDDOWN((COLUMN(EPCOR!$AC$5)-1)/26,0))+64))&amp;(CHAR(COLUMN(EPCOR!$AC$5)+64-(ROUNDDOWN((COLUMN(EPCOR!$AC$5)-1)/26,0)*26))),CHAR(COLUMN(EPCOR!$AC$5)+64)))&amp;1))</f>
        <v>29</v>
      </c>
      <c r="D700" s="1398">
        <f ca="1">COLUMN(INDIRECT((IF(COLUMN(FORTIS!$AE$5)&gt;26,(CHAR((ROUNDDOWN((COLUMN(FORTIS!$AE$5)-1)/26,0))+64))&amp;(CHAR(COLUMN(FORTIS!$AE$5)+64-(ROUNDDOWN((COLUMN(FORTIS!$AE$5)-1)/26,0)*26))),CHAR(COLUMN(FORTIS!$AE$5)+64)))&amp;1))</f>
        <v>31</v>
      </c>
      <c r="E700" s="1398">
        <f ca="1">COLUMN(INDIRECT((IF(COLUMN(ATCO!$AI$5)&gt;26,(CHAR((ROUNDDOWN((COLUMN(ATCO!$AI$5)-1)/26,0))+64))&amp;(CHAR(COLUMN(ATCO!$AI$5)+64-(ROUNDDOWN((COLUMN(ATCO!$AI$5)-1)/26,0)*26))),CHAR(COLUMN(ATCO!$AI$5)+64)))&amp;1))</f>
        <v>35</v>
      </c>
      <c r="F700" s="1374"/>
      <c r="G700" s="708">
        <f>IF(AND($A731&lt;=DATE('Elec. Analysis'!$T$194, 12,1),$A731&gt;=DATE('Elec. Analysis'!$T$193, 1, 1)), $A731, NA())</f>
        <v>41609</v>
      </c>
      <c r="H700" s="1273">
        <f ca="1">IF($G700="",NA(),VLOOKUP($G700, INDIRECT("'" &amp;'Elec. Analysis'!$A$193&amp;"'!"&amp;"$A$5:$CA$100"),VLOOKUP('Elec. Analysis'!$A$194, $K$677:$M$736, 2, FALSE),FALSE))</f>
        <v>125.24407138526182</v>
      </c>
      <c r="I700" s="1374"/>
      <c r="J700" s="1374"/>
      <c r="K700" s="656" t="str">
        <f ca="1">IF(INDIRECT("'"&amp;'Elec. Analysis'!$A$193&amp;"'!"&amp;$M700&amp;"5")=0, "", INDIRECT("'"&amp;'Elec. Analysis'!$A$193&amp;"'!"&amp;$M700&amp;"5"))</f>
        <v>Transmission Access Charge Deferral Account Rider</v>
      </c>
      <c r="L700" s="1398">
        <v>26</v>
      </c>
      <c r="M700" s="1020" t="str">
        <f t="shared" si="181"/>
        <v>Z</v>
      </c>
      <c r="N700" s="1374"/>
      <c r="O700" s="921"/>
      <c r="P700" s="1374"/>
      <c r="Q700" s="1374"/>
      <c r="R700" s="1374"/>
      <c r="S700" s="1374"/>
      <c r="T700" s="708">
        <f>IF(AND($O734&lt;=DATE('NG Analysis'!$T$195, 12,1),$O734&gt;=DATE('NG Analysis'!$T$194, 1, 1)), $O734, NA())</f>
        <v>41640</v>
      </c>
      <c r="U700" s="1273">
        <f ca="1">IF($T700="",NA(),VLOOKUP($T700, INDIRECT("'" &amp;'NG Analysis'!$A$194&amp;"'!"&amp;"$A$5:$CA$100"),VLOOKUP('NG Analysis'!$A$195, $X$676:$Z$735, 2, FALSE),FALSE))</f>
        <v>145.53783266074225</v>
      </c>
      <c r="V700" s="1374"/>
      <c r="W700" s="1374"/>
      <c r="X700" s="656" t="str">
        <f ca="1">IF(INDIRECT("'"&amp;'NG Analysis'!$A$194&amp;"'!"&amp;$Z700&amp;"5")=0, "", INDIRECT("'"&amp;'NG Analysis'!$A$194&amp;"'!"&amp;$Z700&amp;"5"))</f>
        <v>Interim Rider for Variable Charges (Rider S)</v>
      </c>
      <c r="Y700" s="1398">
        <v>27</v>
      </c>
      <c r="Z700" s="1020" t="str">
        <f t="shared" si="180"/>
        <v>AA</v>
      </c>
      <c r="AA700" s="1439"/>
    </row>
    <row r="701" spans="1:27" x14ac:dyDescent="0.3">
      <c r="A701" s="1030" t="s">
        <v>410</v>
      </c>
      <c r="B701" s="1398">
        <f ca="1">COLUMN(INDIRECT((IF(COLUMN(ENMAX!$G$5)&gt;26,(CHAR((ROUNDDOWN((COLUMN(ENMAX!$G$5)-1)/26,0))+64))&amp;(CHAR(COLUMN(ENMAX!$G$5)+64-(ROUNDDOWN((COLUMN(ENMAX!$G$5)-1)/26,0)*26))),CHAR(COLUMN(ENMAX!$G$5)+64)))&amp;1))</f>
        <v>7</v>
      </c>
      <c r="C701" s="1398">
        <f ca="1">COLUMN(INDIRECT((IF(COLUMN(EPCOR!$G$5)&gt;26,(CHAR((ROUNDDOWN((COLUMN(EPCOR!$G$5)-1)/26,0))+64))&amp;(CHAR(COLUMN(EPCOR!$G$5)+64-(ROUNDDOWN((COLUMN(EPCOR!$G$5)-1)/26,0)*26))),CHAR(COLUMN(EPCOR!$G$5)+64)))&amp;1))</f>
        <v>7</v>
      </c>
      <c r="D701" s="1398">
        <f ca="1">COLUMN(INDIRECT((IF(COLUMN(FORTIS!$G$5)&gt;26,(CHAR((ROUNDDOWN((COLUMN(FORTIS!$G$5)-1)/26,0))+64))&amp;(CHAR(COLUMN(FORTIS!$G$5)+64-(ROUNDDOWN((COLUMN(FORTIS!$G$5)-1)/26,0)*26))),CHAR(COLUMN(FORTIS!$G$5)+64)))&amp;1))</f>
        <v>7</v>
      </c>
      <c r="E701" s="1398">
        <f ca="1">COLUMN(INDIRECT((IF(COLUMN(ATCO!$G$5)&gt;26,(CHAR((ROUNDDOWN((COLUMN(ATCO!$G$5)-1)/26,0))+64))&amp;(CHAR(COLUMN(ATCO!$G$5)+64-(ROUNDDOWN((COLUMN(ATCO!$G$5)-1)/26,0)*26))),CHAR(COLUMN(ATCO!$G$5)+64)))&amp;1))</f>
        <v>7</v>
      </c>
      <c r="F701" s="1374"/>
      <c r="G701" s="708">
        <f>IF(AND($A732&lt;=DATE('Elec. Analysis'!$T$194, 12,1),$A732&gt;=DATE('Elec. Analysis'!$T$193, 1, 1)), $A732, NA())</f>
        <v>41640</v>
      </c>
      <c r="H701" s="1273">
        <f ca="1">IF($G701="",NA(),VLOOKUP($G701, INDIRECT("'" &amp;'Elec. Analysis'!$A$193&amp;"'!"&amp;"$A$5:$CA$100"),VLOOKUP('Elec. Analysis'!$A$194, $K$677:$M$736, 2, FALSE),FALSE))</f>
        <v>118.94385744842</v>
      </c>
      <c r="I701" s="1374"/>
      <c r="J701" s="1374"/>
      <c r="K701" s="656" t="str">
        <f ca="1">IF(INDIRECT("'"&amp;'Elec. Analysis'!$A$193&amp;"'!"&amp;$M701&amp;"5")=0, "", INDIRECT("'"&amp;'Elec. Analysis'!$A$193&amp;"'!"&amp;$M701&amp;"5"))</f>
        <v>DAS Adjustment Rider</v>
      </c>
      <c r="L701" s="1398">
        <v>27</v>
      </c>
      <c r="M701" s="1020" t="str">
        <f t="shared" si="181"/>
        <v>AA</v>
      </c>
      <c r="N701" s="1374"/>
      <c r="O701" s="921"/>
      <c r="S701" s="1374"/>
      <c r="T701" s="708">
        <f>IF(AND($O735&lt;=DATE('NG Analysis'!$T$195, 12,1),$O735&gt;=DATE('NG Analysis'!$T$194, 1, 1)), $O735, NA())</f>
        <v>41671</v>
      </c>
      <c r="U701" s="1273">
        <f ca="1">IF($T701="",NA(),VLOOKUP($T701, INDIRECT("'" &amp;'NG Analysis'!$A$194&amp;"'!"&amp;"$A$5:$CA$100"),VLOOKUP('NG Analysis'!$A$195, $X$676:$Z$735, 2, FALSE),FALSE))</f>
        <v>191.58054732161304</v>
      </c>
      <c r="V701" s="1374"/>
      <c r="W701" s="1374"/>
      <c r="X701" s="656" t="str">
        <f ca="1">IF(INDIRECT("'"&amp;'NG Analysis'!$A$194&amp;"'!"&amp;$Z701&amp;"5")=0, "", INDIRECT("'"&amp;'NG Analysis'!$A$194&amp;"'!"&amp;$Z701&amp;"5"))</f>
        <v>Transmission Service Rider (Rider T)</v>
      </c>
      <c r="Y701" s="1398">
        <v>28</v>
      </c>
      <c r="Z701" s="1020" t="str">
        <f t="shared" si="180"/>
        <v>AB</v>
      </c>
      <c r="AA701" s="1439"/>
    </row>
    <row r="702" spans="1:27" x14ac:dyDescent="0.3">
      <c r="A702" s="1030" t="s">
        <v>411</v>
      </c>
      <c r="B702" s="1398">
        <f ca="1">COLUMN(INDIRECT((IF(COLUMN(ENMAX!$L$5)&gt;26,(CHAR((ROUNDDOWN((COLUMN(ENMAX!$L$5)-1)/26,0))+64))&amp;(CHAR(COLUMN(ENMAX!$L$5)+64-(ROUNDDOWN((COLUMN(ENMAX!$L$5)-1)/26,0)*26))),CHAR(COLUMN(ENMAX!$L$5)+64)))&amp;1))</f>
        <v>12</v>
      </c>
      <c r="C702" s="1398">
        <f ca="1">COLUMN(INDIRECT((IF(COLUMN(EPCOR!$L$5)&gt;26,(CHAR((ROUNDDOWN((COLUMN(EPCOR!$L$5)-1)/26,0))+64))&amp;(CHAR(COLUMN(EPCOR!$L$5)+64-(ROUNDDOWN((COLUMN(EPCOR!$L$5)-1)/26,0)*26))),CHAR(COLUMN(EPCOR!$L$5)+64)))&amp;1))</f>
        <v>12</v>
      </c>
      <c r="D702" s="1398">
        <f ca="1">COLUMN(INDIRECT((IF(COLUMN(FORTIS!$L$5)&gt;26,(CHAR((ROUNDDOWN((COLUMN(FORTIS!$L$5)-1)/26,0))+64))&amp;(CHAR(COLUMN(FORTIS!$L$5)+64-(ROUNDDOWN((COLUMN(FORTIS!$L$5)-1)/26,0)*26))),CHAR(COLUMN(FORTIS!$L$5)+64)))&amp;1))</f>
        <v>12</v>
      </c>
      <c r="E702" s="1398">
        <f ca="1">COLUMN(INDIRECT((IF(COLUMN(ATCO!$L$5)&gt;26,(CHAR((ROUNDDOWN((COLUMN(ATCO!$L$5)-1)/26,0))+64))&amp;(CHAR(COLUMN(ATCO!$L$5)+64-(ROUNDDOWN((COLUMN(ATCO!$L$5)-1)/26,0)*26))),CHAR(COLUMN(ATCO!$L$5)+64)))&amp;1))</f>
        <v>12</v>
      </c>
      <c r="F702" s="1374"/>
      <c r="G702" s="708">
        <f>IF(AND($A733&lt;=DATE('Elec. Analysis'!$T$194, 12,1),$A733&gt;=DATE('Elec. Analysis'!$T$193, 1, 1)), $A733, NA())</f>
        <v>41671</v>
      </c>
      <c r="H702" s="1273">
        <f ca="1">IF($G702="",NA(),VLOOKUP($G702, INDIRECT("'" &amp;'Elec. Analysis'!$A$193&amp;"'!"&amp;"$A$5:$CA$100"),VLOOKUP('Elec. Analysis'!$A$194, $K$677:$M$736, 2, FALSE),FALSE))</f>
        <v>108.11127147150229</v>
      </c>
      <c r="I702" s="1374"/>
      <c r="J702" s="1374"/>
      <c r="K702" s="656" t="str">
        <f ca="1">IF(INDIRECT("'"&amp;'Elec. Analysis'!$A$193&amp;"'!"&amp;$M702&amp;"5")=0, "", INDIRECT("'"&amp;'Elec. Analysis'!$A$193&amp;"'!"&amp;$M702&amp;"5"))</f>
        <v>RRO Non-Energy Rate Rider (Rider Charge)</v>
      </c>
      <c r="L702" s="1398">
        <v>28</v>
      </c>
      <c r="M702" s="1020" t="str">
        <f t="shared" si="181"/>
        <v>AB</v>
      </c>
      <c r="N702" s="1374"/>
      <c r="O702" s="921"/>
      <c r="S702" s="1374"/>
      <c r="T702" s="708">
        <f>IF(AND($O736&lt;=DATE('NG Analysis'!$T$195, 12,1),$O736&gt;=DATE('NG Analysis'!$T$194, 1, 1)), $O736, NA())</f>
        <v>41699</v>
      </c>
      <c r="U702" s="1273">
        <f ca="1">IF($T702="",NA(),VLOOKUP($T702, INDIRECT("'" &amp;'NG Analysis'!$A$194&amp;"'!"&amp;"$A$5:$CA$100"),VLOOKUP('NG Analysis'!$A$195, $X$676:$Z$735, 2, FALSE),FALSE))</f>
        <v>290.41284828816111</v>
      </c>
      <c r="V702" s="1374"/>
      <c r="W702" s="1374"/>
      <c r="X702" s="656" t="str">
        <f ca="1">IF(INDIRECT("'"&amp;'NG Analysis'!$A$194&amp;"'!"&amp;$Z702&amp;"5")=0, "", INDIRECT("'"&amp;'NG Analysis'!$A$194&amp;"'!"&amp;$Z702&amp;"5"))</f>
        <v>Weather Deferral Account (Rider W)</v>
      </c>
      <c r="Y702" s="1398">
        <v>29</v>
      </c>
      <c r="Z702" s="1020" t="str">
        <f t="shared" si="180"/>
        <v>AC</v>
      </c>
      <c r="AA702" s="1439"/>
    </row>
    <row r="703" spans="1:27" x14ac:dyDescent="0.3">
      <c r="A703" s="1030" t="s">
        <v>412</v>
      </c>
      <c r="B703" s="1398">
        <f ca="1">COLUMN(INDIRECT((IF(COLUMN(ENMAX!$M$5)&gt;26,(CHAR((ROUNDDOWN((COLUMN(ENMAX!$M$5)-1)/26,0))+64))&amp;(CHAR(COLUMN(ENMAX!$M$5)+64-(ROUNDDOWN((COLUMN(ENMAX!$M$5)-1)/26,0)*26))),CHAR(COLUMN(ENMAX!$M$5)+64)))&amp;1))</f>
        <v>13</v>
      </c>
      <c r="C703" s="1398">
        <f ca="1">COLUMN(INDIRECT((IF(COLUMN(EPCOR!$M$5)&gt;26,(CHAR((ROUNDDOWN((COLUMN(EPCOR!$M$5)-1)/26,0))+64))&amp;(CHAR(COLUMN(EPCOR!$M$5)+64-(ROUNDDOWN((COLUMN(EPCOR!$M$5)-1)/26,0)*26))),CHAR(COLUMN(EPCOR!$M$5)+64)))&amp;1))</f>
        <v>13</v>
      </c>
      <c r="D703" s="1398">
        <f ca="1">COLUMN(INDIRECT((IF(COLUMN(FORTIS!$M$5)&gt;26,(CHAR((ROUNDDOWN((COLUMN(FORTIS!$M$5)-1)/26,0))+64))&amp;(CHAR(COLUMN(FORTIS!$M$5)+64-(ROUNDDOWN((COLUMN(FORTIS!$M$5)-1)/26,0)*26))),CHAR(COLUMN(FORTIS!$M$5)+64)))&amp;1))</f>
        <v>13</v>
      </c>
      <c r="E703" s="1398">
        <f ca="1">COLUMN(INDIRECT((IF(COLUMN(ATCO!$M$5)&gt;26,(CHAR((ROUNDDOWN((COLUMN(ATCO!$M$5)-1)/26,0))+64))&amp;(CHAR(COLUMN(ATCO!$M$5)+64-(ROUNDDOWN((COLUMN(ATCO!$M$5)-1)/26,0)*26))),CHAR(COLUMN(ATCO!$M$5)+64)))&amp;1))</f>
        <v>13</v>
      </c>
      <c r="F703" s="1374"/>
      <c r="G703" s="708">
        <f>IF(AND($A734&lt;=DATE('Elec. Analysis'!$T$194, 12,1),$A734&gt;=DATE('Elec. Analysis'!$T$193, 1, 1)), $A734, NA())</f>
        <v>41699</v>
      </c>
      <c r="H703" s="1273">
        <f ca="1">IF($G703="",NA(),VLOOKUP($G703, INDIRECT("'" &amp;'Elec. Analysis'!$A$193&amp;"'!"&amp;"$A$5:$CA$100"),VLOOKUP('Elec. Analysis'!$A$194, $K$677:$M$736, 2, FALSE),FALSE))</f>
        <v>116.9334600996698</v>
      </c>
      <c r="I703" s="1374"/>
      <c r="J703" s="1374"/>
      <c r="K703" s="656" t="str">
        <f ca="1">IF(INDIRECT("'"&amp;'Elec. Analysis'!$A$193&amp;"'!"&amp;$M703&amp;"5")=0, "", INDIRECT("'"&amp;'Elec. Analysis'!$A$193&amp;"'!"&amp;$M703&amp;"5"))</f>
        <v>Balancing Pool Allocation Charge</v>
      </c>
      <c r="L703" s="1398">
        <v>29</v>
      </c>
      <c r="M703" s="1020" t="str">
        <f t="shared" si="181"/>
        <v>AC</v>
      </c>
      <c r="N703" s="1374"/>
      <c r="O703" s="921"/>
      <c r="S703" s="1374"/>
      <c r="T703" s="708">
        <f>IF(AND($O737&lt;=DATE('NG Analysis'!$T$195, 12,1),$O737&gt;=DATE('NG Analysis'!$T$194, 1, 1)), $O737, NA())</f>
        <v>41730</v>
      </c>
      <c r="U703" s="1273">
        <f ca="1">IF($T703="",NA(),VLOOKUP($T703, INDIRECT("'" &amp;'NG Analysis'!$A$194&amp;"'!"&amp;"$A$5:$CA$100"),VLOOKUP('NG Analysis'!$A$195, $X$676:$Z$735, 2, FALSE),FALSE))</f>
        <v>107.87069425641586</v>
      </c>
      <c r="V703" s="1374"/>
      <c r="W703" s="1374"/>
      <c r="X703" s="656" t="str">
        <f ca="1">IF(INDIRECT("'"&amp;'NG Analysis'!$A$194&amp;"'!"&amp;$Z703&amp;"5")=0, "", INDIRECT("'"&amp;'NG Analysis'!$A$194&amp;"'!"&amp;$Z703&amp;"5"))</f>
        <v>Rider X</v>
      </c>
      <c r="Y703" s="1398">
        <v>30</v>
      </c>
      <c r="Z703" s="1020" t="str">
        <f t="shared" si="180"/>
        <v>AD</v>
      </c>
      <c r="AA703" s="1439"/>
    </row>
    <row r="704" spans="1:27" x14ac:dyDescent="0.3">
      <c r="A704" s="1034"/>
      <c r="B704" s="709"/>
      <c r="C704" s="709"/>
      <c r="D704" s="709"/>
      <c r="E704" s="709"/>
      <c r="F704" s="1374"/>
      <c r="G704" s="708">
        <f>IF(AND($A735&lt;=DATE('Elec. Analysis'!$T$194, 12,1),$A735&gt;=DATE('Elec. Analysis'!$T$193, 1, 1)), $A735, NA())</f>
        <v>41730</v>
      </c>
      <c r="H704" s="1273">
        <f ca="1">IF($G704="",NA(),VLOOKUP($G704, INDIRECT("'" &amp;'Elec. Analysis'!$A$193&amp;"'!"&amp;"$A$5:$CA$100"),VLOOKUP('Elec. Analysis'!$A$194, $K$677:$M$736, 2, FALSE),FALSE))</f>
        <v>87.840720182916058</v>
      </c>
      <c r="I704" s="1374"/>
      <c r="J704" s="1374"/>
      <c r="K704" s="656" t="str">
        <f ca="1">IF(INDIRECT("'"&amp;'Elec. Analysis'!$A$193&amp;"'!"&amp;$M704&amp;"5")=0, "", INDIRECT("'"&amp;'Elec. Analysis'!$A$193&amp;"'!"&amp;$M704&amp;"5"))</f>
        <v>Transmission Access Charge Def. Acct. Charge</v>
      </c>
      <c r="L704" s="1398">
        <v>30</v>
      </c>
      <c r="M704" s="1020" t="str">
        <f t="shared" si="181"/>
        <v>AD</v>
      </c>
      <c r="N704" s="1374"/>
      <c r="O704" s="921"/>
      <c r="S704" s="1374"/>
      <c r="T704" s="708">
        <f>IF(AND($O738&lt;=DATE('NG Analysis'!$T$195, 12,1),$O738&gt;=DATE('NG Analysis'!$T$194, 1, 1)), $O738, NA())</f>
        <v>41760</v>
      </c>
      <c r="U704" s="1273">
        <f ca="1">IF($T704="",NA(),VLOOKUP($T704, INDIRECT("'" &amp;'NG Analysis'!$A$194&amp;"'!"&amp;"$A$5:$CA$100"),VLOOKUP('NG Analysis'!$A$195, $X$676:$Z$735, 2, FALSE),FALSE))</f>
        <v>83.303784609278566</v>
      </c>
      <c r="V704" s="1374"/>
      <c r="W704" s="1374"/>
      <c r="X704" s="656" t="str">
        <f ca="1">IF(INDIRECT("'"&amp;'NG Analysis'!$A$194&amp;"'!"&amp;$Z704&amp;"5")=0, "", INDIRECT("'"&amp;'NG Analysis'!$A$194&amp;"'!"&amp;$Z704&amp;"5"))</f>
        <v>Rider Y</v>
      </c>
      <c r="Y704" s="1398">
        <v>31</v>
      </c>
      <c r="Z704" s="1020" t="str">
        <f t="shared" si="180"/>
        <v>AE</v>
      </c>
      <c r="AA704" s="1439"/>
    </row>
    <row r="705" spans="1:27" x14ac:dyDescent="0.3">
      <c r="A705" s="2618" t="str">
        <f>'Elec. Analysis'!$A$156&amp; " 2012-2019, by Service Zone"</f>
        <v>RRO Rate (¢/kWh) 2012-2019, by Service Zone</v>
      </c>
      <c r="B705" s="2617"/>
      <c r="C705" s="2617"/>
      <c r="D705" s="2617"/>
      <c r="E705" s="2617"/>
      <c r="F705" s="1374"/>
      <c r="G705" s="708">
        <f>IF(AND($A736&lt;=DATE('Elec. Analysis'!$T$194, 12,1),$A736&gt;=DATE('Elec. Analysis'!$T$193, 1, 1)), $A736, NA())</f>
        <v>41760</v>
      </c>
      <c r="H705" s="1273">
        <f ca="1">IF($G705="",NA(),VLOOKUP($G705, INDIRECT("'" &amp;'Elec. Analysis'!$A$193&amp;"'!"&amp;"$A$5:$CA$100"),VLOOKUP('Elec. Analysis'!$A$194, $K$677:$M$736, 2, FALSE),FALSE))</f>
        <v>110.5563265567594</v>
      </c>
      <c r="I705" s="1374"/>
      <c r="J705" s="1374"/>
      <c r="K705" s="656" t="str">
        <f ca="1">IF(INDIRECT("'"&amp;'Elec. Analysis'!$A$193&amp;"'!"&amp;$M705&amp;"5")=0, "", INDIRECT("'"&amp;'Elec. Analysis'!$A$193&amp;"'!"&amp;$M705&amp;"5"))</f>
        <v>Distribution Access Service Adjustment Charge</v>
      </c>
      <c r="L705" s="1398">
        <v>31</v>
      </c>
      <c r="M705" s="1020" t="str">
        <f t="shared" si="181"/>
        <v>AE</v>
      </c>
      <c r="N705" s="1374"/>
      <c r="O705" s="921"/>
      <c r="S705" s="1374"/>
      <c r="T705" s="708">
        <f>IF(AND($O739&lt;=DATE('NG Analysis'!$T$195, 12,1),$O739&gt;=DATE('NG Analysis'!$T$194, 1, 1)), $O739, NA())</f>
        <v>41791</v>
      </c>
      <c r="U705" s="1273">
        <f ca="1">IF($T705="",NA(),VLOOKUP($T705, INDIRECT("'" &amp;'NG Analysis'!$A$194&amp;"'!"&amp;"$A$5:$CA$100"),VLOOKUP('NG Analysis'!$A$195, $X$676:$Z$735, 2, FALSE),FALSE))</f>
        <v>56.39611100202147</v>
      </c>
      <c r="V705" s="1374"/>
      <c r="W705" s="1374"/>
      <c r="X705" s="656" t="str">
        <f ca="1">IF(INDIRECT("'"&amp;'NG Analysis'!$A$194&amp;"'!"&amp;$Z705&amp;"5")=0, "", INDIRECT("'"&amp;'NG Analysis'!$A$194&amp;"'!"&amp;$Z705&amp;"5"))</f>
        <v>Rider Z</v>
      </c>
      <c r="Y705" s="1398">
        <v>32</v>
      </c>
      <c r="Z705" s="1020" t="str">
        <f t="shared" si="180"/>
        <v>AF</v>
      </c>
      <c r="AA705" s="1439"/>
    </row>
    <row r="706" spans="1:27" x14ac:dyDescent="0.3">
      <c r="A706" s="2618"/>
      <c r="B706" s="2617"/>
      <c r="C706" s="2617"/>
      <c r="D706" s="2617"/>
      <c r="E706" s="2617"/>
      <c r="F706" s="1374"/>
      <c r="G706" s="708">
        <f>IF(AND($A737&lt;=DATE('Elec. Analysis'!$T$194, 12,1),$A737&gt;=DATE('Elec. Analysis'!$T$193, 1, 1)), $A737, NA())</f>
        <v>41791</v>
      </c>
      <c r="H706" s="1273">
        <f ca="1">IF($G706="",NA(),VLOOKUP($G706, INDIRECT("'" &amp;'Elec. Analysis'!$A$193&amp;"'!"&amp;"$A$5:$CA$100"),VLOOKUP('Elec. Analysis'!$A$194, $K$677:$M$736, 2, FALSE),FALSE))</f>
        <v>72.498197170599155</v>
      </c>
      <c r="I706" s="1374"/>
      <c r="J706" s="1374"/>
      <c r="K706" s="656" t="str">
        <f ca="1">IF(INDIRECT("'"&amp;'Elec. Analysis'!$A$193&amp;"'!"&amp;$M706&amp;"5")=0, "", INDIRECT("'"&amp;'Elec. Analysis'!$A$193&amp;"'!"&amp;$M706&amp;"5"))</f>
        <v>Rider Charge</v>
      </c>
      <c r="L706" s="1398">
        <v>32</v>
      </c>
      <c r="M706" s="1020" t="str">
        <f t="shared" si="181"/>
        <v>AF</v>
      </c>
      <c r="N706" s="1374"/>
      <c r="O706" s="1022"/>
      <c r="S706" s="1374"/>
      <c r="T706" s="708">
        <f>IF(AND($O740&lt;=DATE('NG Analysis'!$T$195, 12,1),$O740&gt;=DATE('NG Analysis'!$T$194, 1, 1)), $O740, NA())</f>
        <v>41821</v>
      </c>
      <c r="U706" s="1273">
        <f ca="1">IF($T706="",NA(),VLOOKUP($T706, INDIRECT("'" &amp;'NG Analysis'!$A$194&amp;"'!"&amp;"$A$5:$CA$100"),VLOOKUP('NG Analysis'!$A$195, $X$676:$Z$735, 2, FALSE),FALSE))</f>
        <v>56.0519489421348</v>
      </c>
      <c r="V706" s="1374"/>
      <c r="W706" s="1374"/>
      <c r="X706" s="656" t="str">
        <f ca="1">IF(INDIRECT("'"&amp;'NG Analysis'!$A$194&amp;"'!"&amp;$Z706&amp;"5")=0, "", INDIRECT("'"&amp;'NG Analysis'!$A$194&amp;"'!"&amp;$Z706&amp;"5"))</f>
        <v>Carbon Recovery Charge (Rider H)</v>
      </c>
      <c r="Y706" s="1398">
        <v>33</v>
      </c>
      <c r="Z706" s="1020" t="str">
        <f t="shared" si="180"/>
        <v>AG</v>
      </c>
      <c r="AA706" s="1439"/>
    </row>
    <row r="707" spans="1:27" ht="18" x14ac:dyDescent="0.3">
      <c r="A707" s="1035"/>
      <c r="B707" s="710" t="str">
        <f>B$688</f>
        <v>ENMAX</v>
      </c>
      <c r="C707" s="710" t="str">
        <f>C$688</f>
        <v>EPCOR</v>
      </c>
      <c r="D707" s="710" t="str">
        <f>D$688</f>
        <v>FORTIS</v>
      </c>
      <c r="E707" s="710" t="str">
        <f>E$688</f>
        <v>ATCO</v>
      </c>
      <c r="F707" s="1374"/>
      <c r="G707" s="708">
        <f>IF(AND($A738&lt;=DATE('Elec. Analysis'!$T$194, 12,1),$A738&gt;=DATE('Elec. Analysis'!$T$193, 1, 1)), $A738, NA())</f>
        <v>41821</v>
      </c>
      <c r="H707" s="1273">
        <f ca="1">IF($G707="",NA(),VLOOKUP($G707, INDIRECT("'" &amp;'Elec. Analysis'!$A$193&amp;"'!"&amp;"$A$5:$CA$100"),VLOOKUP('Elec. Analysis'!$A$194, $K$677:$M$736, 2, FALSE),FALSE))</f>
        <v>92.784785516980946</v>
      </c>
      <c r="I707" s="1374"/>
      <c r="J707" s="1374"/>
      <c r="K707" s="656" t="str">
        <f ca="1">IF(INDIRECT("'"&amp;'Elec. Analysis'!$A$193&amp;"'!"&amp;$M707&amp;"5")=0, "", INDIRECT("'"&amp;'Elec. Analysis'!$A$193&amp;"'!"&amp;$M707&amp;"5"))</f>
        <v>RRO Provider (ENMAX) Administration Rate</v>
      </c>
      <c r="L707" s="1398">
        <v>33</v>
      </c>
      <c r="M707" s="1020" t="str">
        <f t="shared" si="181"/>
        <v>AG</v>
      </c>
      <c r="N707" s="1374"/>
      <c r="O707" s="2631" t="str">
        <f>'NG Analysis'!$A$157&amp; " 2012-2019, by Service Zone"</f>
        <v>DRT Rate ($/GJ) 2012-2019, by Service Zone</v>
      </c>
      <c r="P707" s="2632"/>
      <c r="Q707" s="2632"/>
      <c r="R707" s="2633"/>
      <c r="S707" s="1374"/>
      <c r="T707" s="708">
        <f>IF(AND($O741&lt;=DATE('NG Analysis'!$T$195, 12,1),$O741&gt;=DATE('NG Analysis'!$T$194, 1, 1)), $O741, NA())</f>
        <v>41852</v>
      </c>
      <c r="U707" s="1273">
        <f ca="1">IF($T707="",NA(),VLOOKUP($T707, INDIRECT("'" &amp;'NG Analysis'!$A$194&amp;"'!"&amp;"$A$5:$CA$100"),VLOOKUP('NG Analysis'!$A$195, $X$676:$Z$735, 2, FALSE),FALSE))</f>
        <v>55.40321760915463</v>
      </c>
      <c r="V707" s="1374"/>
      <c r="W707" s="1374"/>
      <c r="X707" s="656" t="str">
        <f ca="1">IF(INDIRECT("'"&amp;'NG Analysis'!$A$194&amp;"'!"&amp;$Z707&amp;"5")=0, "", INDIRECT("'"&amp;'NG Analysis'!$A$194&amp;"'!"&amp;$Z707&amp;"5"))</f>
        <v>Load Balance Rider Charge (Rider L)</v>
      </c>
      <c r="Y707" s="1398">
        <v>34</v>
      </c>
      <c r="Z707" s="1020" t="str">
        <f t="shared" si="180"/>
        <v>AH</v>
      </c>
      <c r="AA707" s="1439"/>
    </row>
    <row r="708" spans="1:27" x14ac:dyDescent="0.3">
      <c r="A708" s="1036">
        <v>40909</v>
      </c>
      <c r="B708" s="706">
        <f ca="1">IF('Elec. Analysis'!$A$156=$A$696,VLOOKUP($A708,INDIRECT("'"&amp;B$707&amp;"'!"&amp;"$A$5:$CA$100"),VLOOKUP($A$695,$A$688:$E$703,COLUMN(B$688) - COLUMN($A$688) +1,FALSE),FALSE) + VLOOKUP($A708,INDIRECT("'"&amp;B$707&amp;"'!"&amp;"$A$5:$CA$100"),VLOOKUP($A$694,$A$688:$E$703,COLUMN(B$688) - COLUMN($A$688) +1,FALSE),FALSE),IF('Elec. Analysis'!$A$156=$A$699,VLOOKUP($A708,INDIRECT("'"&amp;B$707&amp;"'!"&amp;"$A$5:$CA$100"),VLOOKUP($A$698,$A$688:$E$703,COLUMN(B$688) - COLUMN($A$688) +1,FALSE),FALSE) - VLOOKUP($A708,INDIRECT("'"&amp;B$707&amp;"'!"&amp;"$A$5:$CA$100"),VLOOKUP($A$700,$A$688:$E$703,COLUMN(B$688) - COLUMN($A$688) +1,FALSE),FALSE),VLOOKUP($A708,INDIRECT("'"&amp;B$707&amp;"'!"&amp;"$A$5:$CA$100"),VLOOKUP('Elec. Analysis'!$A$156,$A$688:$E$703,COLUMN(B$688) - COLUMN($A$688) +1,FALSE),FALSE)))</f>
        <v>15.284000000000001</v>
      </c>
      <c r="C708" s="706">
        <f ca="1">IF('Elec. Analysis'!$A$156=$A$696,VLOOKUP($A708,INDIRECT("'"&amp;C$707&amp;"'!"&amp;"$A$5:$CA$100"),VLOOKUP($A$695,$A$688:$E$703,COLUMN(C$688) - COLUMN($A$688) +1,FALSE),FALSE) + VLOOKUP($A708,INDIRECT("'"&amp;C$707&amp;"'!"&amp;"$A$5:$CA$100"),VLOOKUP($A$694,$A$688:$E$703,COLUMN(C$688) - COLUMN($A$688) +1,FALSE),FALSE),IF('Elec. Analysis'!$A$156=$A$699,VLOOKUP($A708,INDIRECT("'"&amp;C$707&amp;"'!"&amp;"$A$5:$CA$100"),VLOOKUP($A$698,$A$688:$E$703,COLUMN(C$688) - COLUMN($A$688) +1,FALSE),FALSE) - VLOOKUP($A708,INDIRECT("'"&amp;C$707&amp;"'!"&amp;"$A$5:$CA$100"),VLOOKUP($A$700,$A$688:$E$703,COLUMN(C$688) - COLUMN($A$688) +1,FALSE),FALSE),VLOOKUP($A708,INDIRECT("'"&amp;C$707&amp;"'!"&amp;"$A$5:$CA$100"),VLOOKUP('Elec. Analysis'!$A$156,$A$688:$E$703,COLUMN(C$688) - COLUMN($A$688) +1,FALSE),FALSE)))</f>
        <v>15.114000000000001</v>
      </c>
      <c r="D708" s="706">
        <f ca="1">IF('Elec. Analysis'!$A$156=$A$696,VLOOKUP($A708,INDIRECT("'"&amp;D$707&amp;"'!"&amp;"$A$5:$CA$100"),VLOOKUP($A$695,$A$688:$E$703,COLUMN(D$688) - COLUMN($A$688) +1,FALSE),FALSE) + VLOOKUP($A708,INDIRECT("'"&amp;D$707&amp;"'!"&amp;"$A$5:$CA$100"),VLOOKUP($A$694,$A$688:$E$703,COLUMN(D$688) - COLUMN($A$688) +1,FALSE),FALSE),IF('Elec. Analysis'!$A$156=$A$699,VLOOKUP($A708,INDIRECT("'"&amp;D$707&amp;"'!"&amp;"$A$5:$CA$100"),VLOOKUP($A$698,$A$688:$E$703,COLUMN(D$688) - COLUMN($A$688) +1,FALSE),FALSE) - VLOOKUP($A708,INDIRECT("'"&amp;D$707&amp;"'!"&amp;"$A$5:$CA$100"),VLOOKUP($A$700,$A$688:$E$703,COLUMN(D$688) - COLUMN($A$688) +1,FALSE),FALSE),VLOOKUP($A708,INDIRECT("'"&amp;D$707&amp;"'!"&amp;"$A$5:$CA$100"),VLOOKUP('Elec. Analysis'!$A$156,$A$688:$E$703,COLUMN(D$688) - COLUMN($A$688) +1,FALSE),FALSE)))</f>
        <v>14.664</v>
      </c>
      <c r="E708" s="706">
        <f ca="1">IF('Elec. Analysis'!$A$156=$A$696,VLOOKUP($A708,INDIRECT("'"&amp;E$707&amp;"'!"&amp;"$A$5:$CA$100"),VLOOKUP($A$695,$A$688:$E$703,COLUMN(E$688) - COLUMN($A$688) +1,FALSE),FALSE) + VLOOKUP($A708,INDIRECT("'"&amp;E$707&amp;"'!"&amp;"$A$5:$CA$100"),VLOOKUP($A$694,$A$688:$E$703,COLUMN(E$688) - COLUMN($A$688) +1,FALSE),FALSE),IF('Elec. Analysis'!$A$156=$A$699,VLOOKUP($A708,INDIRECT("'"&amp;E$707&amp;"'!"&amp;"$A$5:$CA$100"),VLOOKUP($A$698,$A$688:$E$703,COLUMN(E$688) - COLUMN($A$688) +1,FALSE),FALSE) - VLOOKUP($A708,INDIRECT("'"&amp;E$707&amp;"'!"&amp;"$A$5:$CA$100"),VLOOKUP($A$700,$A$688:$E$703,COLUMN(E$688) - COLUMN($A$688) +1,FALSE),FALSE),VLOOKUP($A708,INDIRECT("'"&amp;E$707&amp;"'!"&amp;"$A$5:$CA$100"),VLOOKUP('Elec. Analysis'!$A$156,$A$688:$E$703,COLUMN(E$688) - COLUMN($A$688) +1,FALSE),FALSE)))</f>
        <v>15.194000000000001</v>
      </c>
      <c r="F708" s="1374"/>
      <c r="G708" s="708">
        <f>IF(AND($A739&lt;=DATE('Elec. Analysis'!$T$194, 12,1),$A739&gt;=DATE('Elec. Analysis'!$T$193, 1, 1)), $A739, NA())</f>
        <v>41852</v>
      </c>
      <c r="H708" s="1273">
        <f ca="1">IF($G708="",NA(),VLOOKUP($G708, INDIRECT("'" &amp;'Elec. Analysis'!$A$193&amp;"'!"&amp;"$A$5:$CA$100"),VLOOKUP('Elec. Analysis'!$A$194, $K$677:$M$736, 2, FALSE),FALSE))</f>
        <v>98.559841179175223</v>
      </c>
      <c r="I708" s="1374"/>
      <c r="J708" s="1374"/>
      <c r="K708" s="656" t="str">
        <f ca="1">IF(INDIRECT("'"&amp;'Elec. Analysis'!$A$193&amp;"'!"&amp;$M708&amp;"5")=0, "", INDIRECT("'"&amp;'Elec. Analysis'!$A$193&amp;"'!"&amp;$M708&amp;"5"))</f>
        <v>RRO Provider Administration Charge</v>
      </c>
      <c r="L708" s="1398">
        <v>34</v>
      </c>
      <c r="M708" s="1020" t="str">
        <f t="shared" si="181"/>
        <v>AH</v>
      </c>
      <c r="N708" s="1374"/>
      <c r="O708" s="2634"/>
      <c r="P708" s="2635"/>
      <c r="Q708" s="2635"/>
      <c r="R708" s="2636"/>
      <c r="S708" s="1374"/>
      <c r="T708" s="708">
        <f>IF(AND($O742&lt;=DATE('NG Analysis'!$T$195, 12,1),$O742&gt;=DATE('NG Analysis'!$T$194, 1, 1)), $O742, NA())</f>
        <v>41883</v>
      </c>
      <c r="U708" s="1273">
        <f ca="1">IF($T708="",NA(),VLOOKUP($T708, INDIRECT("'" &amp;'NG Analysis'!$A$194&amp;"'!"&amp;"$A$5:$CA$100"),VLOOKUP('NG Analysis'!$A$195, $X$676:$Z$735, 2, FALSE),FALSE))</f>
        <v>70.595962905365027</v>
      </c>
      <c r="V708" s="1374"/>
      <c r="W708" s="1374"/>
      <c r="X708" s="656" t="str">
        <f ca="1">IF(INDIRECT("'"&amp;'NG Analysis'!$A$194&amp;"'!"&amp;$Z708&amp;"5")=0, "", INDIRECT("'"&amp;'NG Analysis'!$A$194&amp;"'!"&amp;$Z708&amp;"5"))</f>
        <v>Interim Rider Charge (Rider S)</v>
      </c>
      <c r="Y708" s="1398">
        <v>35</v>
      </c>
      <c r="Z708" s="1020" t="str">
        <f t="shared" ref="Z708:Z735" si="182">(IF($Y708&gt;26,(CHAR((ROUNDDOWN(($Y708-1)/26,0))+64))&amp;(CHAR($Y708+64-(ROUNDDOWN(($Y708-1)/26,0)*26))),CHAR($Y708+64)))</f>
        <v>AI</v>
      </c>
      <c r="AA708" s="1439"/>
    </row>
    <row r="709" spans="1:27" ht="18" x14ac:dyDescent="0.3">
      <c r="A709" s="1036">
        <v>40940</v>
      </c>
      <c r="B709" s="706">
        <f ca="1">IF('Elec. Analysis'!$A$156=$A$696,VLOOKUP($A709,INDIRECT("'"&amp;B$707&amp;"'!"&amp;"$A$5:$CA$100"),VLOOKUP($A$695,$A$688:$E$703,COLUMN(B$688) - COLUMN($A$688) +1,FALSE),FALSE) + VLOOKUP($A709,INDIRECT("'"&amp;B$707&amp;"'!"&amp;"$A$5:$CA$100"),VLOOKUP($A$694,$A$688:$E$703,COLUMN(B$688) - COLUMN($A$688) +1,FALSE),FALSE),IF('Elec. Analysis'!$A$156=$A$699,VLOOKUP($A709,INDIRECT("'"&amp;B$707&amp;"'!"&amp;"$A$5:$CA$100"),VLOOKUP($A$698,$A$688:$E$703,COLUMN(B$688) - COLUMN($A$688) +1,FALSE),FALSE) - VLOOKUP($A709,INDIRECT("'"&amp;B$707&amp;"'!"&amp;"$A$5:$CA$100"),VLOOKUP($A$700,$A$688:$E$703,COLUMN(B$688) - COLUMN($A$688) +1,FALSE),FALSE),VLOOKUP($A709,INDIRECT("'"&amp;B$707&amp;"'!"&amp;"$A$5:$CA$100"),VLOOKUP('Elec. Analysis'!$A$156,$A$688:$E$703,COLUMN(B$688) - COLUMN($A$688) +1,FALSE),FALSE)))</f>
        <v>13.69</v>
      </c>
      <c r="C709" s="706">
        <f ca="1">IF('Elec. Analysis'!$A$156=$A$696,VLOOKUP($A709,INDIRECT("'"&amp;C$707&amp;"'!"&amp;"$A$5:$CA$100"),VLOOKUP($A$695,$A$688:$E$703,COLUMN(C$688) - COLUMN($A$688) +1,FALSE),FALSE) + VLOOKUP($A709,INDIRECT("'"&amp;C$707&amp;"'!"&amp;"$A$5:$CA$100"),VLOOKUP($A$694,$A$688:$E$703,COLUMN(C$688) - COLUMN($A$688) +1,FALSE),FALSE),IF('Elec. Analysis'!$A$156=$A$699,VLOOKUP($A709,INDIRECT("'"&amp;C$707&amp;"'!"&amp;"$A$5:$CA$100"),VLOOKUP($A$698,$A$688:$E$703,COLUMN(C$688) - COLUMN($A$688) +1,FALSE),FALSE) - VLOOKUP($A709,INDIRECT("'"&amp;C$707&amp;"'!"&amp;"$A$5:$CA$100"),VLOOKUP($A$700,$A$688:$E$703,COLUMN(C$688) - COLUMN($A$688) +1,FALSE),FALSE),VLOOKUP($A709,INDIRECT("'"&amp;C$707&amp;"'!"&amp;"$A$5:$CA$100"),VLOOKUP('Elec. Analysis'!$A$156,$A$688:$E$703,COLUMN(C$688) - COLUMN($A$688) +1,FALSE),FALSE)))</f>
        <v>13.952</v>
      </c>
      <c r="D709" s="706">
        <f ca="1">IF('Elec. Analysis'!$A$156=$A$696,VLOOKUP($A709,INDIRECT("'"&amp;D$707&amp;"'!"&amp;"$A$5:$CA$100"),VLOOKUP($A$695,$A$688:$E$703,COLUMN(D$688) - COLUMN($A$688) +1,FALSE),FALSE) + VLOOKUP($A709,INDIRECT("'"&amp;D$707&amp;"'!"&amp;"$A$5:$CA$100"),VLOOKUP($A$694,$A$688:$E$703,COLUMN(D$688) - COLUMN($A$688) +1,FALSE),FALSE),IF('Elec. Analysis'!$A$156=$A$699,VLOOKUP($A709,INDIRECT("'"&amp;D$707&amp;"'!"&amp;"$A$5:$CA$100"),VLOOKUP($A$698,$A$688:$E$703,COLUMN(D$688) - COLUMN($A$688) +1,FALSE),FALSE) - VLOOKUP($A709,INDIRECT("'"&amp;D$707&amp;"'!"&amp;"$A$5:$CA$100"),VLOOKUP($A$700,$A$688:$E$703,COLUMN(D$688) - COLUMN($A$688) +1,FALSE),FALSE),VLOOKUP($A709,INDIRECT("'"&amp;D$707&amp;"'!"&amp;"$A$5:$CA$100"),VLOOKUP('Elec. Analysis'!$A$156,$A$688:$E$703,COLUMN(D$688) - COLUMN($A$688) +1,FALSE),FALSE)))</f>
        <v>13.561</v>
      </c>
      <c r="E709" s="706">
        <f ca="1">IF('Elec. Analysis'!$A$156=$A$696,VLOOKUP($A709,INDIRECT("'"&amp;E$707&amp;"'!"&amp;"$A$5:$CA$100"),VLOOKUP($A$695,$A$688:$E$703,COLUMN(E$688) - COLUMN($A$688) +1,FALSE),FALSE) + VLOOKUP($A709,INDIRECT("'"&amp;E$707&amp;"'!"&amp;"$A$5:$CA$100"),VLOOKUP($A$694,$A$688:$E$703,COLUMN(E$688) - COLUMN($A$688) +1,FALSE),FALSE),IF('Elec. Analysis'!$A$156=$A$699,VLOOKUP($A709,INDIRECT("'"&amp;E$707&amp;"'!"&amp;"$A$5:$CA$100"),VLOOKUP($A$698,$A$688:$E$703,COLUMN(E$688) - COLUMN($A$688) +1,FALSE),FALSE) - VLOOKUP($A709,INDIRECT("'"&amp;E$707&amp;"'!"&amp;"$A$5:$CA$100"),VLOOKUP($A$700,$A$688:$E$703,COLUMN(E$688) - COLUMN($A$688) +1,FALSE),FALSE),VLOOKUP($A709,INDIRECT("'"&amp;E$707&amp;"'!"&amp;"$A$5:$CA$100"),VLOOKUP('Elec. Analysis'!$A$156,$A$688:$E$703,COLUMN(E$688) - COLUMN($A$688) +1,FALSE),FALSE)))</f>
        <v>13.962999999999999</v>
      </c>
      <c r="F709" s="1374"/>
      <c r="G709" s="708">
        <f>IF(AND($A740&lt;=DATE('Elec. Analysis'!$T$194, 12,1),$A740&gt;=DATE('Elec. Analysis'!$T$193, 1, 1)), $A740, NA())</f>
        <v>41883</v>
      </c>
      <c r="H709" s="1273">
        <f ca="1">IF($G709="",NA(),VLOOKUP($G709, INDIRECT("'" &amp;'Elec. Analysis'!$A$193&amp;"'!"&amp;"$A$5:$CA$100"),VLOOKUP('Elec. Analysis'!$A$194, $K$677:$M$736, 2, FALSE),FALSE))</f>
        <v>98.842115917858933</v>
      </c>
      <c r="I709" s="1374"/>
      <c r="J709" s="1374"/>
      <c r="K709" s="656" t="str">
        <f ca="1">IF(INDIRECT("'"&amp;'Elec. Analysis'!$A$193&amp;"'!"&amp;$M709&amp;"5")=0, "", INDIRECT("'"&amp;'Elec. Analysis'!$A$193&amp;"'!"&amp;$M709&amp;"5"))</f>
        <v>GST Rate</v>
      </c>
      <c r="L709" s="1398">
        <v>35</v>
      </c>
      <c r="M709" s="1020" t="str">
        <f t="shared" ref="M709:M736" si="183">(IF($L709&gt;26,(CHAR((ROUNDDOWN(($L709-1)/26,0))+64))&amp;(CHAR($L709+64-(ROUNDDOWN(($L709-1)/26,0)*26))),CHAR($L709+64)))</f>
        <v>AI</v>
      </c>
      <c r="N709" s="1374"/>
      <c r="O709" s="1023"/>
      <c r="P709" s="1394" t="str">
        <f>P$685</f>
        <v>ATCO-N</v>
      </c>
      <c r="Q709" s="1394" t="str">
        <f>Q$685</f>
        <v>ATCO-S</v>
      </c>
      <c r="R709" s="1394" t="str">
        <f>R$685</f>
        <v>AltaGas</v>
      </c>
      <c r="S709" s="1374"/>
      <c r="T709" s="708">
        <f>IF(AND($O743&lt;=DATE('NG Analysis'!$T$195, 12,1),$O743&gt;=DATE('NG Analysis'!$T$194, 1, 1)), $O743, NA())</f>
        <v>41913</v>
      </c>
      <c r="U709" s="1273">
        <f ca="1">IF($T709="",NA(),VLOOKUP($T709, INDIRECT("'" &amp;'NG Analysis'!$A$194&amp;"'!"&amp;"$A$5:$CA$100"),VLOOKUP('NG Analysis'!$A$195, $X$676:$Z$735, 2, FALSE),FALSE))</f>
        <v>93.661134078745661</v>
      </c>
      <c r="V709" s="1374"/>
      <c r="W709" s="1374"/>
      <c r="X709" s="656" t="str">
        <f ca="1">IF(INDIRECT("'"&amp;'NG Analysis'!$A$194&amp;"'!"&amp;$Z709&amp;"5")=0, "", INDIRECT("'"&amp;'NG Analysis'!$A$194&amp;"'!"&amp;$Z709&amp;"5"))</f>
        <v>Transmission Service Charge (Rider T)</v>
      </c>
      <c r="Y709" s="1398">
        <v>36</v>
      </c>
      <c r="Z709" s="1020" t="str">
        <f t="shared" si="182"/>
        <v>AJ</v>
      </c>
      <c r="AA709" s="1439"/>
    </row>
    <row r="710" spans="1:27" x14ac:dyDescent="0.3">
      <c r="A710" s="1036">
        <v>40969</v>
      </c>
      <c r="B710" s="706">
        <f ca="1">IF('Elec. Analysis'!$A$156=$A$696,VLOOKUP($A710,INDIRECT("'"&amp;B$707&amp;"'!"&amp;"$A$5:$CA$100"),VLOOKUP($A$695,$A$688:$E$703,COLUMN(B$688) - COLUMN($A$688) +1,FALSE),FALSE) + VLOOKUP($A710,INDIRECT("'"&amp;B$707&amp;"'!"&amp;"$A$5:$CA$100"),VLOOKUP($A$694,$A$688:$E$703,COLUMN(B$688) - COLUMN($A$688) +1,FALSE),FALSE),IF('Elec. Analysis'!$A$156=$A$699,VLOOKUP($A710,INDIRECT("'"&amp;B$707&amp;"'!"&amp;"$A$5:$CA$100"),VLOOKUP($A$698,$A$688:$E$703,COLUMN(B$688) - COLUMN($A$688) +1,FALSE),FALSE) - VLOOKUP($A710,INDIRECT("'"&amp;B$707&amp;"'!"&amp;"$A$5:$CA$100"),VLOOKUP($A$700,$A$688:$E$703,COLUMN(B$688) - COLUMN($A$688) +1,FALSE),FALSE),VLOOKUP($A710,INDIRECT("'"&amp;B$707&amp;"'!"&amp;"$A$5:$CA$100"),VLOOKUP('Elec. Analysis'!$A$156,$A$688:$E$703,COLUMN(B$688) - COLUMN($A$688) +1,FALSE),FALSE)))</f>
        <v>8.218</v>
      </c>
      <c r="C710" s="706">
        <f ca="1">IF('Elec. Analysis'!$A$156=$A$696,VLOOKUP($A710,INDIRECT("'"&amp;C$707&amp;"'!"&amp;"$A$5:$CA$100"),VLOOKUP($A$695,$A$688:$E$703,COLUMN(C$688) - COLUMN($A$688) +1,FALSE),FALSE) + VLOOKUP($A710,INDIRECT("'"&amp;C$707&amp;"'!"&amp;"$A$5:$CA$100"),VLOOKUP($A$694,$A$688:$E$703,COLUMN(C$688) - COLUMN($A$688) +1,FALSE),FALSE),IF('Elec. Analysis'!$A$156=$A$699,VLOOKUP($A710,INDIRECT("'"&amp;C$707&amp;"'!"&amp;"$A$5:$CA$100"),VLOOKUP($A$698,$A$688:$E$703,COLUMN(C$688) - COLUMN($A$688) +1,FALSE),FALSE) - VLOOKUP($A710,INDIRECT("'"&amp;C$707&amp;"'!"&amp;"$A$5:$CA$100"),VLOOKUP($A$700,$A$688:$E$703,COLUMN(C$688) - COLUMN($A$688) +1,FALSE),FALSE),VLOOKUP($A710,INDIRECT("'"&amp;C$707&amp;"'!"&amp;"$A$5:$CA$100"),VLOOKUP('Elec. Analysis'!$A$156,$A$688:$E$703,COLUMN(C$688) - COLUMN($A$688) +1,FALSE),FALSE)))</f>
        <v>7.9829999999999997</v>
      </c>
      <c r="D710" s="706">
        <f ca="1">IF('Elec. Analysis'!$A$156=$A$696,VLOOKUP($A710,INDIRECT("'"&amp;D$707&amp;"'!"&amp;"$A$5:$CA$100"),VLOOKUP($A$695,$A$688:$E$703,COLUMN(D$688) - COLUMN($A$688) +1,FALSE),FALSE) + VLOOKUP($A710,INDIRECT("'"&amp;D$707&amp;"'!"&amp;"$A$5:$CA$100"),VLOOKUP($A$694,$A$688:$E$703,COLUMN(D$688) - COLUMN($A$688) +1,FALSE),FALSE),IF('Elec. Analysis'!$A$156=$A$699,VLOOKUP($A710,INDIRECT("'"&amp;D$707&amp;"'!"&amp;"$A$5:$CA$100"),VLOOKUP($A$698,$A$688:$E$703,COLUMN(D$688) - COLUMN($A$688) +1,FALSE),FALSE) - VLOOKUP($A710,INDIRECT("'"&amp;D$707&amp;"'!"&amp;"$A$5:$CA$100"),VLOOKUP($A$700,$A$688:$E$703,COLUMN(D$688) - COLUMN($A$688) +1,FALSE),FALSE),VLOOKUP($A710,INDIRECT("'"&amp;D$707&amp;"'!"&amp;"$A$5:$CA$100"),VLOOKUP('Elec. Analysis'!$A$156,$A$688:$E$703,COLUMN(D$688) - COLUMN($A$688) +1,FALSE),FALSE)))</f>
        <v>7.7869999999999999</v>
      </c>
      <c r="E710" s="706">
        <f ca="1">IF('Elec. Analysis'!$A$156=$A$696,VLOOKUP($A710,INDIRECT("'"&amp;E$707&amp;"'!"&amp;"$A$5:$CA$100"),VLOOKUP($A$695,$A$688:$E$703,COLUMN(E$688) - COLUMN($A$688) +1,FALSE),FALSE) + VLOOKUP($A710,INDIRECT("'"&amp;E$707&amp;"'!"&amp;"$A$5:$CA$100"),VLOOKUP($A$694,$A$688:$E$703,COLUMN(E$688) - COLUMN($A$688) +1,FALSE),FALSE),IF('Elec. Analysis'!$A$156=$A$699,VLOOKUP($A710,INDIRECT("'"&amp;E$707&amp;"'!"&amp;"$A$5:$CA$100"),VLOOKUP($A$698,$A$688:$E$703,COLUMN(E$688) - COLUMN($A$688) +1,FALSE),FALSE) - VLOOKUP($A710,INDIRECT("'"&amp;E$707&amp;"'!"&amp;"$A$5:$CA$100"),VLOOKUP($A$700,$A$688:$E$703,COLUMN(E$688) - COLUMN($A$688) +1,FALSE),FALSE),VLOOKUP($A710,INDIRECT("'"&amp;E$707&amp;"'!"&amp;"$A$5:$CA$100"),VLOOKUP('Elec. Analysis'!$A$156,$A$688:$E$703,COLUMN(E$688) - COLUMN($A$688) +1,FALSE),FALSE)))</f>
        <v>8.5079999999999991</v>
      </c>
      <c r="F710" s="1374"/>
      <c r="G710" s="708">
        <f>IF(AND($A741&lt;=DATE('Elec. Analysis'!$T$194, 12,1),$A741&gt;=DATE('Elec. Analysis'!$T$193, 1, 1)), $A741, NA())</f>
        <v>41913</v>
      </c>
      <c r="H710" s="1273">
        <f ca="1">IF($G710="",NA(),VLOOKUP($G710, INDIRECT("'" &amp;'Elec. Analysis'!$A$193&amp;"'!"&amp;"$A$5:$CA$100"),VLOOKUP('Elec. Analysis'!$A$194, $K$677:$M$736, 2, FALSE),FALSE))</f>
        <v>103.0807358200106</v>
      </c>
      <c r="I710" s="1374"/>
      <c r="J710" s="1374"/>
      <c r="K710" s="656" t="str">
        <f ca="1">IF(INDIRECT("'"&amp;'Elec. Analysis'!$A$193&amp;"'!"&amp;$M710&amp;"5")=0, "", INDIRECT("'"&amp;'Elec. Analysis'!$A$193&amp;"'!"&amp;$M710&amp;"5"))</f>
        <v>Actual RRO Consumption (ENMAX)</v>
      </c>
      <c r="L710" s="1398">
        <v>36</v>
      </c>
      <c r="M710" s="1020" t="str">
        <f t="shared" si="183"/>
        <v>AJ</v>
      </c>
      <c r="N710" s="1374"/>
      <c r="O710" s="1024">
        <v>40909</v>
      </c>
      <c r="P710" s="827">
        <f ca="1">VLOOKUP($O710,INDIRECT("'"&amp;P$709&amp;"'!"&amp;"$A$5:$CA$100"),VLOOKUP('NG Analysis'!$A$157,$O$685:$R$699,COLUMN(P$685) - COLUMN($O$685) + 1,FALSE),FALSE)</f>
        <v>2.952</v>
      </c>
      <c r="Q710" s="827">
        <f ca="1">VLOOKUP($O710,INDIRECT("'"&amp;Q$709&amp;"'!"&amp;"$A$5:$CA$100"),VLOOKUP('NG Analysis'!$A$157,$O$685:$R$699,COLUMN(Q$685) - COLUMN($O$685) + 1,FALSE),FALSE)</f>
        <v>2.9569999999999999</v>
      </c>
      <c r="R710" s="827">
        <f ca="1">VLOOKUP($O710,INDIRECT("'"&amp;R$709&amp;"'!"&amp;"$A$5:$CA$100"),VLOOKUP('NG Analysis'!$A$157,$O$685:$R$699,COLUMN(R$685) - COLUMN($O$685) + 1,FALSE),FALSE)</f>
        <v>3.0569999999999999</v>
      </c>
      <c r="S710" s="1374"/>
      <c r="T710" s="708">
        <f>IF(AND($O744&lt;=DATE('NG Analysis'!$T$195, 12,1),$O744&gt;=DATE('NG Analysis'!$T$194, 1, 1)), $O744, NA())</f>
        <v>41944</v>
      </c>
      <c r="U710" s="1273">
        <f ca="1">IF($T710="",NA(),VLOOKUP($T710, INDIRECT("'" &amp;'NG Analysis'!$A$194&amp;"'!"&amp;"$A$5:$CA$100"),VLOOKUP('NG Analysis'!$A$195, $X$676:$Z$735, 2, FALSE),FALSE))</f>
        <v>124.75058571022659</v>
      </c>
      <c r="V710" s="1374"/>
      <c r="W710" s="1374"/>
      <c r="X710" s="656" t="str">
        <f ca="1">IF(INDIRECT("'"&amp;'NG Analysis'!$A$194&amp;"'!"&amp;$Z710&amp;"5")=0, "", INDIRECT("'"&amp;'NG Analysis'!$A$194&amp;"'!"&amp;$Z710&amp;"5"))</f>
        <v>Weather Deferral Account Charge (Rider W)</v>
      </c>
      <c r="Y710" s="1398">
        <v>37</v>
      </c>
      <c r="Z710" s="1020" t="str">
        <f t="shared" si="182"/>
        <v>AK</v>
      </c>
      <c r="AA710" s="1439"/>
    </row>
    <row r="711" spans="1:27" x14ac:dyDescent="0.3">
      <c r="A711" s="1036">
        <v>41000</v>
      </c>
      <c r="B711" s="706">
        <f ca="1">IF('Elec. Analysis'!$A$156=$A$696,VLOOKUP($A711,INDIRECT("'"&amp;B$707&amp;"'!"&amp;"$A$5:$CA$100"),VLOOKUP($A$695,$A$688:$E$703,COLUMN(B$688) - COLUMN($A$688) +1,FALSE),FALSE) + VLOOKUP($A711,INDIRECT("'"&amp;B$707&amp;"'!"&amp;"$A$5:$CA$100"),VLOOKUP($A$694,$A$688:$E$703,COLUMN(B$688) - COLUMN($A$688) +1,FALSE),FALSE),IF('Elec. Analysis'!$A$156=$A$699,VLOOKUP($A711,INDIRECT("'"&amp;B$707&amp;"'!"&amp;"$A$5:$CA$100"),VLOOKUP($A$698,$A$688:$E$703,COLUMN(B$688) - COLUMN($A$688) +1,FALSE),FALSE) - VLOOKUP($A711,INDIRECT("'"&amp;B$707&amp;"'!"&amp;"$A$5:$CA$100"),VLOOKUP($A$700,$A$688:$E$703,COLUMN(B$688) - COLUMN($A$688) +1,FALSE),FALSE),VLOOKUP($A711,INDIRECT("'"&amp;B$707&amp;"'!"&amp;"$A$5:$CA$100"),VLOOKUP('Elec. Analysis'!$A$156,$A$688:$E$703,COLUMN(B$688) - COLUMN($A$688) +1,FALSE),FALSE)))</f>
        <v>7.1760000000000002</v>
      </c>
      <c r="C711" s="706">
        <f ca="1">IF('Elec. Analysis'!$A$156=$A$696,VLOOKUP($A711,INDIRECT("'"&amp;C$707&amp;"'!"&amp;"$A$5:$CA$100"),VLOOKUP($A$695,$A$688:$E$703,COLUMN(C$688) - COLUMN($A$688) +1,FALSE),FALSE) + VLOOKUP($A711,INDIRECT("'"&amp;C$707&amp;"'!"&amp;"$A$5:$CA$100"),VLOOKUP($A$694,$A$688:$E$703,COLUMN(C$688) - COLUMN($A$688) +1,FALSE),FALSE),IF('Elec. Analysis'!$A$156=$A$699,VLOOKUP($A711,INDIRECT("'"&amp;C$707&amp;"'!"&amp;"$A$5:$CA$100"),VLOOKUP($A$698,$A$688:$E$703,COLUMN(C$688) - COLUMN($A$688) +1,FALSE),FALSE) - VLOOKUP($A711,INDIRECT("'"&amp;C$707&amp;"'!"&amp;"$A$5:$CA$100"),VLOOKUP($A$700,$A$688:$E$703,COLUMN(C$688) - COLUMN($A$688) +1,FALSE),FALSE),VLOOKUP($A711,INDIRECT("'"&amp;C$707&amp;"'!"&amp;"$A$5:$CA$100"),VLOOKUP('Elec. Analysis'!$A$156,$A$688:$E$703,COLUMN(C$688) - COLUMN($A$688) +1,FALSE),FALSE)))</f>
        <v>7.3</v>
      </c>
      <c r="D711" s="706">
        <f ca="1">IF('Elec. Analysis'!$A$156=$A$696,VLOOKUP($A711,INDIRECT("'"&amp;D$707&amp;"'!"&amp;"$A$5:$CA$100"),VLOOKUP($A$695,$A$688:$E$703,COLUMN(D$688) - COLUMN($A$688) +1,FALSE),FALSE) + VLOOKUP($A711,INDIRECT("'"&amp;D$707&amp;"'!"&amp;"$A$5:$CA$100"),VLOOKUP($A$694,$A$688:$E$703,COLUMN(D$688) - COLUMN($A$688) +1,FALSE),FALSE),IF('Elec. Analysis'!$A$156=$A$699,VLOOKUP($A711,INDIRECT("'"&amp;D$707&amp;"'!"&amp;"$A$5:$CA$100"),VLOOKUP($A$698,$A$688:$E$703,COLUMN(D$688) - COLUMN($A$688) +1,FALSE),FALSE) - VLOOKUP($A711,INDIRECT("'"&amp;D$707&amp;"'!"&amp;"$A$5:$CA$100"),VLOOKUP($A$700,$A$688:$E$703,COLUMN(D$688) - COLUMN($A$688) +1,FALSE),FALSE),VLOOKUP($A711,INDIRECT("'"&amp;D$707&amp;"'!"&amp;"$A$5:$CA$100"),VLOOKUP('Elec. Analysis'!$A$156,$A$688:$E$703,COLUMN(D$688) - COLUMN($A$688) +1,FALSE),FALSE)))</f>
        <v>7.0869999999999997</v>
      </c>
      <c r="E711" s="706">
        <f ca="1">IF('Elec. Analysis'!$A$156=$A$696,VLOOKUP($A711,INDIRECT("'"&amp;E$707&amp;"'!"&amp;"$A$5:$CA$100"),VLOOKUP($A$695,$A$688:$E$703,COLUMN(E$688) - COLUMN($A$688) +1,FALSE),FALSE) + VLOOKUP($A711,INDIRECT("'"&amp;E$707&amp;"'!"&amp;"$A$5:$CA$100"),VLOOKUP($A$694,$A$688:$E$703,COLUMN(E$688) - COLUMN($A$688) +1,FALSE),FALSE),IF('Elec. Analysis'!$A$156=$A$699,VLOOKUP($A711,INDIRECT("'"&amp;E$707&amp;"'!"&amp;"$A$5:$CA$100"),VLOOKUP($A$698,$A$688:$E$703,COLUMN(E$688) - COLUMN($A$688) +1,FALSE),FALSE) - VLOOKUP($A711,INDIRECT("'"&amp;E$707&amp;"'!"&amp;"$A$5:$CA$100"),VLOOKUP($A$700,$A$688:$E$703,COLUMN(E$688) - COLUMN($A$688) +1,FALSE),FALSE),VLOOKUP($A711,INDIRECT("'"&amp;E$707&amp;"'!"&amp;"$A$5:$CA$100"),VLOOKUP('Elec. Analysis'!$A$156,$A$688:$E$703,COLUMN(E$688) - COLUMN($A$688) +1,FALSE),FALSE)))</f>
        <v>7.383</v>
      </c>
      <c r="F711" s="1374"/>
      <c r="G711" s="708">
        <f>IF(AND($A742&lt;=DATE('Elec. Analysis'!$T$194, 12,1),$A742&gt;=DATE('Elec. Analysis'!$T$193, 1, 1)), $A742, NA())</f>
        <v>41944</v>
      </c>
      <c r="H711" s="1273">
        <f ca="1">IF($G711="",NA(),VLOOKUP($G711, INDIRECT("'" &amp;'Elec. Analysis'!$A$193&amp;"'!"&amp;"$A$5:$CA$100"),VLOOKUP('Elec. Analysis'!$A$194, $K$677:$M$736, 2, FALSE),FALSE))</f>
        <v>99.432182382399986</v>
      </c>
      <c r="I711" s="1374"/>
      <c r="J711" s="1374"/>
      <c r="K711" s="656" t="str">
        <f ca="1">IF(INDIRECT("'"&amp;'Elec. Analysis'!$A$193&amp;"'!"&amp;$M711&amp;"5")=0, "", INDIRECT("'"&amp;'Elec. Analysis'!$A$193&amp;"'!"&amp;$M711&amp;"5"))</f>
        <v>Provincial RRO Consumption</v>
      </c>
      <c r="L711" s="1398">
        <v>37</v>
      </c>
      <c r="M711" s="1020" t="str">
        <f t="shared" si="183"/>
        <v>AK</v>
      </c>
      <c r="N711" s="1374"/>
      <c r="O711" s="1024">
        <v>40940</v>
      </c>
      <c r="P711" s="827">
        <f ca="1">VLOOKUP($O711,INDIRECT("'"&amp;P$709&amp;"'!"&amp;"$A$5:$CA$100"),VLOOKUP('NG Analysis'!$A$157,$O$685:$R$699,COLUMN(P$685) - COLUMN($O$685) + 1,FALSE),FALSE)</f>
        <v>2.1469999999999998</v>
      </c>
      <c r="Q711" s="827">
        <f ca="1">VLOOKUP($O711,INDIRECT("'"&amp;Q$709&amp;"'!"&amp;"$A$5:$CA$100"),VLOOKUP('NG Analysis'!$A$157,$O$685:$R$699,COLUMN(Q$685) - COLUMN($O$685) + 1,FALSE),FALSE)</f>
        <v>2.0640000000000001</v>
      </c>
      <c r="R711" s="827">
        <f ca="1">VLOOKUP($O711,INDIRECT("'"&amp;R$709&amp;"'!"&amp;"$A$5:$CA$100"),VLOOKUP('NG Analysis'!$A$157,$O$685:$R$699,COLUMN(R$685) - COLUMN($O$685) + 1,FALSE),FALSE)</f>
        <v>2.2370000000000001</v>
      </c>
      <c r="S711" s="1374"/>
      <c r="T711" s="708">
        <f>IF(AND($O745&lt;=DATE('NG Analysis'!$T$195, 12,1),$O745&gt;=DATE('NG Analysis'!$T$194, 1, 1)), $O745, NA())</f>
        <v>41974</v>
      </c>
      <c r="U711" s="1273">
        <f ca="1">IF($T711="",NA(),VLOOKUP($T711, INDIRECT("'" &amp;'NG Analysis'!$A$194&amp;"'!"&amp;"$A$5:$CA$100"),VLOOKUP('NG Analysis'!$A$195, $X$676:$Z$735, 2, FALSE),FALSE))</f>
        <v>140.55196539239572</v>
      </c>
      <c r="V711" s="1374"/>
      <c r="W711" s="1374"/>
      <c r="X711" s="656" t="str">
        <f ca="1">IF(INDIRECT("'"&amp;'NG Analysis'!$A$194&amp;"'!"&amp;$Z711&amp;"5")=0, "", INDIRECT("'"&amp;'NG Analysis'!$A$194&amp;"'!"&amp;$Z711&amp;"5"))</f>
        <v>Rider X Charge</v>
      </c>
      <c r="Y711" s="1398">
        <v>38</v>
      </c>
      <c r="Z711" s="1020" t="str">
        <f t="shared" si="182"/>
        <v>AL</v>
      </c>
      <c r="AA711" s="1439"/>
    </row>
    <row r="712" spans="1:27" x14ac:dyDescent="0.3">
      <c r="A712" s="1036">
        <v>41030</v>
      </c>
      <c r="B712" s="706">
        <f ca="1">IF('Elec. Analysis'!$A$156=$A$696,VLOOKUP($A712,INDIRECT("'"&amp;B$707&amp;"'!"&amp;"$A$5:$CA$100"),VLOOKUP($A$695,$A$688:$E$703,COLUMN(B$688) - COLUMN($A$688) +1,FALSE),FALSE) + VLOOKUP($A712,INDIRECT("'"&amp;B$707&amp;"'!"&amp;"$A$5:$CA$100"),VLOOKUP($A$694,$A$688:$E$703,COLUMN(B$688) - COLUMN($A$688) +1,FALSE),FALSE),IF('Elec. Analysis'!$A$156=$A$699,VLOOKUP($A712,INDIRECT("'"&amp;B$707&amp;"'!"&amp;"$A$5:$CA$100"),VLOOKUP($A$698,$A$688:$E$703,COLUMN(B$688) - COLUMN($A$688) +1,FALSE),FALSE) - VLOOKUP($A712,INDIRECT("'"&amp;B$707&amp;"'!"&amp;"$A$5:$CA$100"),VLOOKUP($A$700,$A$688:$E$703,COLUMN(B$688) - COLUMN($A$688) +1,FALSE),FALSE),VLOOKUP($A712,INDIRECT("'"&amp;B$707&amp;"'!"&amp;"$A$5:$CA$100"),VLOOKUP('Elec. Analysis'!$A$156,$A$688:$E$703,COLUMN(B$688) - COLUMN($A$688) +1,FALSE),FALSE)))</f>
        <v>6.3503999999999996</v>
      </c>
      <c r="C712" s="706">
        <f ca="1">IF('Elec. Analysis'!$A$156=$A$696,VLOOKUP($A712,INDIRECT("'"&amp;C$707&amp;"'!"&amp;"$A$5:$CA$100"),VLOOKUP($A$695,$A$688:$E$703,COLUMN(C$688) - COLUMN($A$688) +1,FALSE),FALSE) + VLOOKUP($A712,INDIRECT("'"&amp;C$707&amp;"'!"&amp;"$A$5:$CA$100"),VLOOKUP($A$694,$A$688:$E$703,COLUMN(C$688) - COLUMN($A$688) +1,FALSE),FALSE),IF('Elec. Analysis'!$A$156=$A$699,VLOOKUP($A712,INDIRECT("'"&amp;C$707&amp;"'!"&amp;"$A$5:$CA$100"),VLOOKUP($A$698,$A$688:$E$703,COLUMN(C$688) - COLUMN($A$688) +1,FALSE),FALSE) - VLOOKUP($A712,INDIRECT("'"&amp;C$707&amp;"'!"&amp;"$A$5:$CA$100"),VLOOKUP($A$700,$A$688:$E$703,COLUMN(C$688) - COLUMN($A$688) +1,FALSE),FALSE),VLOOKUP($A712,INDIRECT("'"&amp;C$707&amp;"'!"&amp;"$A$5:$CA$100"),VLOOKUP('Elec. Analysis'!$A$156,$A$688:$E$703,COLUMN(C$688) - COLUMN($A$688) +1,FALSE),FALSE)))</f>
        <v>6.3559999999999999</v>
      </c>
      <c r="D712" s="706">
        <f ca="1">IF('Elec. Analysis'!$A$156=$A$696,VLOOKUP($A712,INDIRECT("'"&amp;D$707&amp;"'!"&amp;"$A$5:$CA$100"),VLOOKUP($A$695,$A$688:$E$703,COLUMN(D$688) - COLUMN($A$688) +1,FALSE),FALSE) + VLOOKUP($A712,INDIRECT("'"&amp;D$707&amp;"'!"&amp;"$A$5:$CA$100"),VLOOKUP($A$694,$A$688:$E$703,COLUMN(D$688) - COLUMN($A$688) +1,FALSE),FALSE),IF('Elec. Analysis'!$A$156=$A$699,VLOOKUP($A712,INDIRECT("'"&amp;D$707&amp;"'!"&amp;"$A$5:$CA$100"),VLOOKUP($A$698,$A$688:$E$703,COLUMN(D$688) - COLUMN($A$688) +1,FALSE),FALSE) - VLOOKUP($A712,INDIRECT("'"&amp;D$707&amp;"'!"&amp;"$A$5:$CA$100"),VLOOKUP($A$700,$A$688:$E$703,COLUMN(D$688) - COLUMN($A$688) +1,FALSE),FALSE),VLOOKUP($A712,INDIRECT("'"&amp;D$707&amp;"'!"&amp;"$A$5:$CA$100"),VLOOKUP('Elec. Analysis'!$A$156,$A$688:$E$703,COLUMN(D$688) - COLUMN($A$688) +1,FALSE),FALSE)))</f>
        <v>6.2069999999999999</v>
      </c>
      <c r="E712" s="706">
        <f ca="1">IF('Elec. Analysis'!$A$156=$A$696,VLOOKUP($A712,INDIRECT("'"&amp;E$707&amp;"'!"&amp;"$A$5:$CA$100"),VLOOKUP($A$695,$A$688:$E$703,COLUMN(E$688) - COLUMN($A$688) +1,FALSE),FALSE) + VLOOKUP($A712,INDIRECT("'"&amp;E$707&amp;"'!"&amp;"$A$5:$CA$100"),VLOOKUP($A$694,$A$688:$E$703,COLUMN(E$688) - COLUMN($A$688) +1,FALSE),FALSE),IF('Elec. Analysis'!$A$156=$A$699,VLOOKUP($A712,INDIRECT("'"&amp;E$707&amp;"'!"&amp;"$A$5:$CA$100"),VLOOKUP($A$698,$A$688:$E$703,COLUMN(E$688) - COLUMN($A$688) +1,FALSE),FALSE) - VLOOKUP($A712,INDIRECT("'"&amp;E$707&amp;"'!"&amp;"$A$5:$CA$100"),VLOOKUP($A$700,$A$688:$E$703,COLUMN(E$688) - COLUMN($A$688) +1,FALSE),FALSE),VLOOKUP($A712,INDIRECT("'"&amp;E$707&amp;"'!"&amp;"$A$5:$CA$100"),VLOOKUP('Elec. Analysis'!$A$156,$A$688:$E$703,COLUMN(E$688) - COLUMN($A$688) +1,FALSE),FALSE)))</f>
        <v>6.3040000000000003</v>
      </c>
      <c r="F712" s="1374"/>
      <c r="G712" s="708">
        <f>IF(AND($A743&lt;=DATE('Elec. Analysis'!$T$194, 12,1),$A743&gt;=DATE('Elec. Analysis'!$T$193, 1, 1)), $A743, NA())</f>
        <v>41974</v>
      </c>
      <c r="H712" s="1273">
        <f ca="1">IF($G712="",NA(),VLOOKUP($G712, INDIRECT("'" &amp;'Elec. Analysis'!$A$193&amp;"'!"&amp;"$A$5:$CA$100"),VLOOKUP('Elec. Analysis'!$A$194, $K$677:$M$736, 2, FALSE),FALSE))</f>
        <v>110.66245763938612</v>
      </c>
      <c r="I712" s="1374"/>
      <c r="J712" s="1374"/>
      <c r="K712" s="656" t="str">
        <f ca="1">IF(INDIRECT("'"&amp;'Elec. Analysis'!$A$193&amp;"'!"&amp;$M712&amp;"5")=0, "", INDIRECT("'"&amp;'Elec. Analysis'!$A$193&amp;"'!"&amp;$M712&amp;"5"))</f>
        <v>Detached Home Consumption</v>
      </c>
      <c r="L712" s="1398">
        <v>38</v>
      </c>
      <c r="M712" s="1020" t="str">
        <f t="shared" si="183"/>
        <v>AL</v>
      </c>
      <c r="N712" s="1374"/>
      <c r="O712" s="1024">
        <v>40969</v>
      </c>
      <c r="P712" s="827">
        <f ca="1">VLOOKUP($O712,INDIRECT("'"&amp;P$709&amp;"'!"&amp;"$A$5:$CA$100"),VLOOKUP('NG Analysis'!$A$157,$O$685:$R$699,COLUMN(P$685) - COLUMN($O$685) + 1,FALSE),FALSE)</f>
        <v>2.0939999999999999</v>
      </c>
      <c r="Q712" s="827">
        <f ca="1">VLOOKUP($O712,INDIRECT("'"&amp;Q$709&amp;"'!"&amp;"$A$5:$CA$100"),VLOOKUP('NG Analysis'!$A$157,$O$685:$R$699,COLUMN(Q$685) - COLUMN($O$685) + 1,FALSE),FALSE)</f>
        <v>2.0990000000000002</v>
      </c>
      <c r="R712" s="827">
        <f ca="1">VLOOKUP($O712,INDIRECT("'"&amp;R$709&amp;"'!"&amp;"$A$5:$CA$100"),VLOOKUP('NG Analysis'!$A$157,$O$685:$R$699,COLUMN(R$685) - COLUMN($O$685) + 1,FALSE),FALSE)</f>
        <v>2.238</v>
      </c>
      <c r="S712" s="1374"/>
      <c r="T712" s="708">
        <f>IF(AND($O746&lt;=DATE('NG Analysis'!$T$195, 12,1),$O746&gt;=DATE('NG Analysis'!$T$194, 1, 1)), $O746, NA())</f>
        <v>42005</v>
      </c>
      <c r="U712" s="1273">
        <f ca="1">IF($T712="",NA(),VLOOKUP($T712, INDIRECT("'" &amp;'NG Analysis'!$A$194&amp;"'!"&amp;"$A$5:$CA$100"),VLOOKUP('NG Analysis'!$A$195, $X$676:$Z$735, 2, FALSE),FALSE))</f>
        <v>128.83682163849937</v>
      </c>
      <c r="V712" s="1374"/>
      <c r="W712" s="1374"/>
      <c r="X712" s="656" t="str">
        <f ca="1">IF(INDIRECT("'"&amp;'NG Analysis'!$A$194&amp;"'!"&amp;$Z712&amp;"5")=0, "", INDIRECT("'"&amp;'NG Analysis'!$A$194&amp;"'!"&amp;$Z712&amp;"5"))</f>
        <v>Rider Y Charge</v>
      </c>
      <c r="Y712" s="1398">
        <v>39</v>
      </c>
      <c r="Z712" s="1020" t="str">
        <f t="shared" si="182"/>
        <v>AM</v>
      </c>
      <c r="AA712" s="1439"/>
    </row>
    <row r="713" spans="1:27" x14ac:dyDescent="0.3">
      <c r="A713" s="1036">
        <v>41061</v>
      </c>
      <c r="B713" s="706">
        <f ca="1">IF('Elec. Analysis'!$A$156=$A$696,VLOOKUP($A713,INDIRECT("'"&amp;B$707&amp;"'!"&amp;"$A$5:$CA$100"),VLOOKUP($A$695,$A$688:$E$703,COLUMN(B$688) - COLUMN($A$688) +1,FALSE),FALSE) + VLOOKUP($A713,INDIRECT("'"&amp;B$707&amp;"'!"&amp;"$A$5:$CA$100"),VLOOKUP($A$694,$A$688:$E$703,COLUMN(B$688) - COLUMN($A$688) +1,FALSE),FALSE),IF('Elec. Analysis'!$A$156=$A$699,VLOOKUP($A713,INDIRECT("'"&amp;B$707&amp;"'!"&amp;"$A$5:$CA$100"),VLOOKUP($A$698,$A$688:$E$703,COLUMN(B$688) - COLUMN($A$688) +1,FALSE),FALSE) - VLOOKUP($A713,INDIRECT("'"&amp;B$707&amp;"'!"&amp;"$A$5:$CA$100"),VLOOKUP($A$700,$A$688:$E$703,COLUMN(B$688) - COLUMN($A$688) +1,FALSE),FALSE),VLOOKUP($A713,INDIRECT("'"&amp;B$707&amp;"'!"&amp;"$A$5:$CA$100"),VLOOKUP('Elec. Analysis'!$A$156,$A$688:$E$703,COLUMN(B$688) - COLUMN($A$688) +1,FALSE),FALSE)))</f>
        <v>7.6746999999999996</v>
      </c>
      <c r="C713" s="706">
        <f ca="1">IF('Elec. Analysis'!$A$156=$A$696,VLOOKUP($A713,INDIRECT("'"&amp;C$707&amp;"'!"&amp;"$A$5:$CA$100"),VLOOKUP($A$695,$A$688:$E$703,COLUMN(C$688) - COLUMN($A$688) +1,FALSE),FALSE) + VLOOKUP($A713,INDIRECT("'"&amp;C$707&amp;"'!"&amp;"$A$5:$CA$100"),VLOOKUP($A$694,$A$688:$E$703,COLUMN(C$688) - COLUMN($A$688) +1,FALSE),FALSE),IF('Elec. Analysis'!$A$156=$A$699,VLOOKUP($A713,INDIRECT("'"&amp;C$707&amp;"'!"&amp;"$A$5:$CA$100"),VLOOKUP($A$698,$A$688:$E$703,COLUMN(C$688) - COLUMN($A$688) +1,FALSE),FALSE) - VLOOKUP($A713,INDIRECT("'"&amp;C$707&amp;"'!"&amp;"$A$5:$CA$100"),VLOOKUP($A$700,$A$688:$E$703,COLUMN(C$688) - COLUMN($A$688) +1,FALSE),FALSE),VLOOKUP($A713,INDIRECT("'"&amp;C$707&amp;"'!"&amp;"$A$5:$CA$100"),VLOOKUP('Elec. Analysis'!$A$156,$A$688:$E$703,COLUMN(C$688) - COLUMN($A$688) +1,FALSE),FALSE)))</f>
        <v>7.8410000000000002</v>
      </c>
      <c r="D713" s="706">
        <f ca="1">IF('Elec. Analysis'!$A$156=$A$696,VLOOKUP($A713,INDIRECT("'"&amp;D$707&amp;"'!"&amp;"$A$5:$CA$100"),VLOOKUP($A$695,$A$688:$E$703,COLUMN(D$688) - COLUMN($A$688) +1,FALSE),FALSE) + VLOOKUP($A713,INDIRECT("'"&amp;D$707&amp;"'!"&amp;"$A$5:$CA$100"),VLOOKUP($A$694,$A$688:$E$703,COLUMN(D$688) - COLUMN($A$688) +1,FALSE),FALSE),IF('Elec. Analysis'!$A$156=$A$699,VLOOKUP($A713,INDIRECT("'"&amp;D$707&amp;"'!"&amp;"$A$5:$CA$100"),VLOOKUP($A$698,$A$688:$E$703,COLUMN(D$688) - COLUMN($A$688) +1,FALSE),FALSE) - VLOOKUP($A713,INDIRECT("'"&amp;D$707&amp;"'!"&amp;"$A$5:$CA$100"),VLOOKUP($A$700,$A$688:$E$703,COLUMN(D$688) - COLUMN($A$688) +1,FALSE),FALSE),VLOOKUP($A713,INDIRECT("'"&amp;D$707&amp;"'!"&amp;"$A$5:$CA$100"),VLOOKUP('Elec. Analysis'!$A$156,$A$688:$E$703,COLUMN(D$688) - COLUMN($A$688) +1,FALSE),FALSE)))</f>
        <v>7.62</v>
      </c>
      <c r="E713" s="706">
        <f ca="1">IF('Elec. Analysis'!$A$156=$A$696,VLOOKUP($A713,INDIRECT("'"&amp;E$707&amp;"'!"&amp;"$A$5:$CA$100"),VLOOKUP($A$695,$A$688:$E$703,COLUMN(E$688) - COLUMN($A$688) +1,FALSE),FALSE) + VLOOKUP($A713,INDIRECT("'"&amp;E$707&amp;"'!"&amp;"$A$5:$CA$100"),VLOOKUP($A$694,$A$688:$E$703,COLUMN(E$688) - COLUMN($A$688) +1,FALSE),FALSE),IF('Elec. Analysis'!$A$156=$A$699,VLOOKUP($A713,INDIRECT("'"&amp;E$707&amp;"'!"&amp;"$A$5:$CA$100"),VLOOKUP($A$698,$A$688:$E$703,COLUMN(E$688) - COLUMN($A$688) +1,FALSE),FALSE) - VLOOKUP($A713,INDIRECT("'"&amp;E$707&amp;"'!"&amp;"$A$5:$CA$100"),VLOOKUP($A$700,$A$688:$E$703,COLUMN(E$688) - COLUMN($A$688) +1,FALSE),FALSE),VLOOKUP($A713,INDIRECT("'"&amp;E$707&amp;"'!"&amp;"$A$5:$CA$100"),VLOOKUP('Elec. Analysis'!$A$156,$A$688:$E$703,COLUMN(E$688) - COLUMN($A$688) +1,FALSE),FALSE)))</f>
        <v>7.6429999999999998</v>
      </c>
      <c r="F713" s="1374"/>
      <c r="G713" s="708">
        <f>IF(AND($A744&lt;=DATE('Elec. Analysis'!$T$194, 12,1),$A744&gt;=DATE('Elec. Analysis'!$T$193, 1, 1)), $A744, NA())</f>
        <v>42005</v>
      </c>
      <c r="H713" s="1273">
        <f ca="1">IF($G713="",NA(),VLOOKUP($G713, INDIRECT("'" &amp;'Elec. Analysis'!$A$193&amp;"'!"&amp;"$A$5:$CA$100"),VLOOKUP('Elec. Analysis'!$A$194, $K$677:$M$736, 2, FALSE),FALSE))</f>
        <v>113.20600559155233</v>
      </c>
      <c r="I713" s="1374"/>
      <c r="J713" s="1374"/>
      <c r="K713" s="656" t="str">
        <f ca="1">IF(INDIRECT("'"&amp;'Elec. Analysis'!$A$193&amp;"'!"&amp;$M713&amp;"5")=0, "", INDIRECT("'"&amp;'Elec. Analysis'!$A$193&amp;"'!"&amp;$M713&amp;"5"))</f>
        <v>Attached Home Consumption</v>
      </c>
      <c r="L713" s="1398">
        <v>39</v>
      </c>
      <c r="M713" s="1020" t="str">
        <f t="shared" si="183"/>
        <v>AM</v>
      </c>
      <c r="N713" s="1374"/>
      <c r="O713" s="1024">
        <v>41000</v>
      </c>
      <c r="P713" s="827">
        <f ca="1">VLOOKUP($O713,INDIRECT("'"&amp;P$709&amp;"'!"&amp;"$A$5:$CA$100"),VLOOKUP('NG Analysis'!$A$157,$O$685:$R$699,COLUMN(P$685) - COLUMN($O$685) + 1,FALSE),FALSE)</f>
        <v>1.5940000000000001</v>
      </c>
      <c r="Q713" s="827">
        <f ca="1">VLOOKUP($O713,INDIRECT("'"&amp;Q$709&amp;"'!"&amp;"$A$5:$CA$100"),VLOOKUP('NG Analysis'!$A$157,$O$685:$R$699,COLUMN(Q$685) - COLUMN($O$685) + 1,FALSE),FALSE)</f>
        <v>1.7</v>
      </c>
      <c r="R713" s="827">
        <f ca="1">VLOOKUP($O713,INDIRECT("'"&amp;R$709&amp;"'!"&amp;"$A$5:$CA$100"),VLOOKUP('NG Analysis'!$A$157,$O$685:$R$699,COLUMN(R$685) - COLUMN($O$685) + 1,FALSE),FALSE)</f>
        <v>1.181</v>
      </c>
      <c r="S713" s="1374"/>
      <c r="T713" s="708">
        <f>IF(AND($O747&lt;=DATE('NG Analysis'!$T$195, 12,1),$O747&gt;=DATE('NG Analysis'!$T$194, 1, 1)), $O747, NA())</f>
        <v>42036</v>
      </c>
      <c r="U713" s="1273">
        <f ca="1">IF($T713="",NA(),VLOOKUP($T713, INDIRECT("'" &amp;'NG Analysis'!$A$194&amp;"'!"&amp;"$A$5:$CA$100"),VLOOKUP('NG Analysis'!$A$195, $X$676:$Z$735, 2, FALSE),FALSE))</f>
        <v>110.79442922292377</v>
      </c>
      <c r="V713" s="1374"/>
      <c r="W713" s="1374"/>
      <c r="X713" s="656" t="str">
        <f ca="1">IF(INDIRECT("'"&amp;'NG Analysis'!$A$194&amp;"'!"&amp;$Z713&amp;"5")=0, "", INDIRECT("'"&amp;'NG Analysis'!$A$194&amp;"'!"&amp;$Z713&amp;"5"))</f>
        <v>Rider Z Charge</v>
      </c>
      <c r="Y713" s="1398">
        <v>40</v>
      </c>
      <c r="Z713" s="1020" t="str">
        <f t="shared" si="182"/>
        <v>AN</v>
      </c>
      <c r="AA713" s="1439"/>
    </row>
    <row r="714" spans="1:27" x14ac:dyDescent="0.3">
      <c r="A714" s="1036">
        <v>41091</v>
      </c>
      <c r="B714" s="706">
        <f ca="1">IF('Elec. Analysis'!$A$156=$A$696,VLOOKUP($A714,INDIRECT("'"&amp;B$707&amp;"'!"&amp;"$A$5:$CA$100"),VLOOKUP($A$695,$A$688:$E$703,COLUMN(B$688) - COLUMN($A$688) +1,FALSE),FALSE) + VLOOKUP($A714,INDIRECT("'"&amp;B$707&amp;"'!"&amp;"$A$5:$CA$100"),VLOOKUP($A$694,$A$688:$E$703,COLUMN(B$688) - COLUMN($A$688) +1,FALSE),FALSE),IF('Elec. Analysis'!$A$156=$A$699,VLOOKUP($A714,INDIRECT("'"&amp;B$707&amp;"'!"&amp;"$A$5:$CA$100"),VLOOKUP($A$698,$A$688:$E$703,COLUMN(B$688) - COLUMN($A$688) +1,FALSE),FALSE) - VLOOKUP($A714,INDIRECT("'"&amp;B$707&amp;"'!"&amp;"$A$5:$CA$100"),VLOOKUP($A$700,$A$688:$E$703,COLUMN(B$688) - COLUMN($A$688) +1,FALSE),FALSE),VLOOKUP($A714,INDIRECT("'"&amp;B$707&amp;"'!"&amp;"$A$5:$CA$100"),VLOOKUP('Elec. Analysis'!$A$156,$A$688:$E$703,COLUMN(B$688) - COLUMN($A$688) +1,FALSE),FALSE)))</f>
        <v>9.0332000000000008</v>
      </c>
      <c r="C714" s="706">
        <f ca="1">IF('Elec. Analysis'!$A$156=$A$696,VLOOKUP($A714,INDIRECT("'"&amp;C$707&amp;"'!"&amp;"$A$5:$CA$100"),VLOOKUP($A$695,$A$688:$E$703,COLUMN(C$688) - COLUMN($A$688) +1,FALSE),FALSE) + VLOOKUP($A714,INDIRECT("'"&amp;C$707&amp;"'!"&amp;"$A$5:$CA$100"),VLOOKUP($A$694,$A$688:$E$703,COLUMN(C$688) - COLUMN($A$688) +1,FALSE),FALSE),IF('Elec. Analysis'!$A$156=$A$699,VLOOKUP($A714,INDIRECT("'"&amp;C$707&amp;"'!"&amp;"$A$5:$CA$100"),VLOOKUP($A$698,$A$688:$E$703,COLUMN(C$688) - COLUMN($A$688) +1,FALSE),FALSE) - VLOOKUP($A714,INDIRECT("'"&amp;C$707&amp;"'!"&amp;"$A$5:$CA$100"),VLOOKUP($A$700,$A$688:$E$703,COLUMN(C$688) - COLUMN($A$688) +1,FALSE),FALSE),VLOOKUP($A714,INDIRECT("'"&amp;C$707&amp;"'!"&amp;"$A$5:$CA$100"),VLOOKUP('Elec. Analysis'!$A$156,$A$688:$E$703,COLUMN(C$688) - COLUMN($A$688) +1,FALSE),FALSE)))</f>
        <v>9.0299999999999994</v>
      </c>
      <c r="D714" s="706">
        <f ca="1">IF('Elec. Analysis'!$A$156=$A$696,VLOOKUP($A714,INDIRECT("'"&amp;D$707&amp;"'!"&amp;"$A$5:$CA$100"),VLOOKUP($A$695,$A$688:$E$703,COLUMN(D$688) - COLUMN($A$688) +1,FALSE),FALSE) + VLOOKUP($A714,INDIRECT("'"&amp;D$707&amp;"'!"&amp;"$A$5:$CA$100"),VLOOKUP($A$694,$A$688:$E$703,COLUMN(D$688) - COLUMN($A$688) +1,FALSE),FALSE),IF('Elec. Analysis'!$A$156=$A$699,VLOOKUP($A714,INDIRECT("'"&amp;D$707&amp;"'!"&amp;"$A$5:$CA$100"),VLOOKUP($A$698,$A$688:$E$703,COLUMN(D$688) - COLUMN($A$688) +1,FALSE),FALSE) - VLOOKUP($A714,INDIRECT("'"&amp;D$707&amp;"'!"&amp;"$A$5:$CA$100"),VLOOKUP($A$700,$A$688:$E$703,COLUMN(D$688) - COLUMN($A$688) +1,FALSE),FALSE),VLOOKUP($A714,INDIRECT("'"&amp;D$707&amp;"'!"&amp;"$A$5:$CA$100"),VLOOKUP('Elec. Analysis'!$A$156,$A$688:$E$703,COLUMN(D$688) - COLUMN($A$688) +1,FALSE),FALSE)))</f>
        <v>8.7739999999999991</v>
      </c>
      <c r="E714" s="706">
        <f ca="1">IF('Elec. Analysis'!$A$156=$A$696,VLOOKUP($A714,INDIRECT("'"&amp;E$707&amp;"'!"&amp;"$A$5:$CA$100"),VLOOKUP($A$695,$A$688:$E$703,COLUMN(E$688) - COLUMN($A$688) +1,FALSE),FALSE) + VLOOKUP($A714,INDIRECT("'"&amp;E$707&amp;"'!"&amp;"$A$5:$CA$100"),VLOOKUP($A$694,$A$688:$E$703,COLUMN(E$688) - COLUMN($A$688) +1,FALSE),FALSE),IF('Elec. Analysis'!$A$156=$A$699,VLOOKUP($A714,INDIRECT("'"&amp;E$707&amp;"'!"&amp;"$A$5:$CA$100"),VLOOKUP($A$698,$A$688:$E$703,COLUMN(E$688) - COLUMN($A$688) +1,FALSE),FALSE) - VLOOKUP($A714,INDIRECT("'"&amp;E$707&amp;"'!"&amp;"$A$5:$CA$100"),VLOOKUP($A$700,$A$688:$E$703,COLUMN(E$688) - COLUMN($A$688) +1,FALSE),FALSE),VLOOKUP($A714,INDIRECT("'"&amp;E$707&amp;"'!"&amp;"$A$5:$CA$100"),VLOOKUP('Elec. Analysis'!$A$156,$A$688:$E$703,COLUMN(E$688) - COLUMN($A$688) +1,FALSE),FALSE)))</f>
        <v>8.9320000000000004</v>
      </c>
      <c r="F714" s="1374"/>
      <c r="G714" s="708">
        <f>IF(AND($A745&lt;=DATE('Elec. Analysis'!$T$194, 12,1),$A745&gt;=DATE('Elec. Analysis'!$T$193, 1, 1)), $A745, NA())</f>
        <v>42036</v>
      </c>
      <c r="H714" s="1273">
        <f ca="1">IF($G714="",NA(),VLOOKUP($G714, INDIRECT("'" &amp;'Elec. Analysis'!$A$193&amp;"'!"&amp;"$A$5:$CA$100"),VLOOKUP('Elec. Analysis'!$A$194, $K$677:$M$736, 2, FALSE),FALSE))</f>
        <v>89.713420061713649</v>
      </c>
      <c r="I714" s="1374"/>
      <c r="J714" s="1374"/>
      <c r="K714" s="656" t="str">
        <f ca="1">IF(INDIRECT("'"&amp;'Elec. Analysis'!$A$193&amp;"'!"&amp;$M714&amp;"5")=0, "", INDIRECT("'"&amp;'Elec. Analysis'!$A$193&amp;"'!"&amp;$M714&amp;"5"))</f>
        <v>Apartment Consumption</v>
      </c>
      <c r="L714" s="1398">
        <v>40</v>
      </c>
      <c r="M714" s="1020" t="str">
        <f t="shared" si="183"/>
        <v>AN</v>
      </c>
      <c r="N714" s="1374"/>
      <c r="O714" s="1024">
        <v>41030</v>
      </c>
      <c r="P714" s="827">
        <f ca="1">VLOOKUP($O714,INDIRECT("'"&amp;P$709&amp;"'!"&amp;"$A$5:$CA$100"),VLOOKUP('NG Analysis'!$A$157,$O$685:$R$699,COLUMN(P$685) - COLUMN($O$685) + 1,FALSE),FALSE)</f>
        <v>1.448</v>
      </c>
      <c r="Q714" s="827">
        <f ca="1">VLOOKUP($O714,INDIRECT("'"&amp;Q$709&amp;"'!"&amp;"$A$5:$CA$100"),VLOOKUP('NG Analysis'!$A$157,$O$685:$R$699,COLUMN(Q$685) - COLUMN($O$685) + 1,FALSE),FALSE)</f>
        <v>1.331</v>
      </c>
      <c r="R714" s="827">
        <f ca="1">VLOOKUP($O714,INDIRECT("'"&amp;R$709&amp;"'!"&amp;"$A$5:$CA$100"),VLOOKUP('NG Analysis'!$A$157,$O$685:$R$699,COLUMN(R$685) - COLUMN($O$685) + 1,FALSE),FALSE)</f>
        <v>1.107</v>
      </c>
      <c r="S714" s="1374"/>
      <c r="T714" s="708">
        <f>IF(AND($O748&lt;=DATE('NG Analysis'!$T$195, 12,1),$O748&gt;=DATE('NG Analysis'!$T$194, 1, 1)), $O748, NA())</f>
        <v>42064</v>
      </c>
      <c r="U714" s="1273">
        <f ca="1">IF($T714="",NA(),VLOOKUP($T714, INDIRECT("'" &amp;'NG Analysis'!$A$194&amp;"'!"&amp;"$A$5:$CA$100"),VLOOKUP('NG Analysis'!$A$195, $X$676:$Z$735, 2, FALSE),FALSE))</f>
        <v>100.13054963966638</v>
      </c>
      <c r="V714" s="1374"/>
      <c r="W714" s="1374"/>
      <c r="X714" s="656" t="str">
        <f ca="1">IF(INDIRECT("'"&amp;'NG Analysis'!$A$194&amp;"'!"&amp;$Z714&amp;"5")=0, "", INDIRECT("'"&amp;'NG Analysis'!$A$194&amp;"'!"&amp;$Z714&amp;"5"))</f>
        <v>DRT Provider (DERS) Administration Rate</v>
      </c>
      <c r="Y714" s="1398">
        <v>41</v>
      </c>
      <c r="Z714" s="1020" t="str">
        <f t="shared" si="182"/>
        <v>AO</v>
      </c>
      <c r="AA714" s="1439"/>
    </row>
    <row r="715" spans="1:27" x14ac:dyDescent="0.3">
      <c r="A715" s="1036">
        <v>41122</v>
      </c>
      <c r="B715" s="706">
        <f ca="1">IF('Elec. Analysis'!$A$156=$A$696,VLOOKUP($A715,INDIRECT("'"&amp;B$707&amp;"'!"&amp;"$A$5:$CA$100"),VLOOKUP($A$695,$A$688:$E$703,COLUMN(B$688) - COLUMN($A$688) +1,FALSE),FALSE) + VLOOKUP($A715,INDIRECT("'"&amp;B$707&amp;"'!"&amp;"$A$5:$CA$100"),VLOOKUP($A$694,$A$688:$E$703,COLUMN(B$688) - COLUMN($A$688) +1,FALSE),FALSE),IF('Elec. Analysis'!$A$156=$A$699,VLOOKUP($A715,INDIRECT("'"&amp;B$707&amp;"'!"&amp;"$A$5:$CA$100"),VLOOKUP($A$698,$A$688:$E$703,COLUMN(B$688) - COLUMN($A$688) +1,FALSE),FALSE) - VLOOKUP($A715,INDIRECT("'"&amp;B$707&amp;"'!"&amp;"$A$5:$CA$100"),VLOOKUP($A$700,$A$688:$E$703,COLUMN(B$688) - COLUMN($A$688) +1,FALSE),FALSE),VLOOKUP($A715,INDIRECT("'"&amp;B$707&amp;"'!"&amp;"$A$5:$CA$100"),VLOOKUP('Elec. Analysis'!$A$156,$A$688:$E$703,COLUMN(B$688) - COLUMN($A$688) +1,FALSE),FALSE)))</f>
        <v>11.3147</v>
      </c>
      <c r="C715" s="706">
        <f ca="1">IF('Elec. Analysis'!$A$156=$A$696,VLOOKUP($A715,INDIRECT("'"&amp;C$707&amp;"'!"&amp;"$A$5:$CA$100"),VLOOKUP($A$695,$A$688:$E$703,COLUMN(C$688) - COLUMN($A$688) +1,FALSE),FALSE) + VLOOKUP($A715,INDIRECT("'"&amp;C$707&amp;"'!"&amp;"$A$5:$CA$100"),VLOOKUP($A$694,$A$688:$E$703,COLUMN(C$688) - COLUMN($A$688) +1,FALSE),FALSE),IF('Elec. Analysis'!$A$156=$A$699,VLOOKUP($A715,INDIRECT("'"&amp;C$707&amp;"'!"&amp;"$A$5:$CA$100"),VLOOKUP($A$698,$A$688:$E$703,COLUMN(C$688) - COLUMN($A$688) +1,FALSE),FALSE) - VLOOKUP($A715,INDIRECT("'"&amp;C$707&amp;"'!"&amp;"$A$5:$CA$100"),VLOOKUP($A$700,$A$688:$E$703,COLUMN(C$688) - COLUMN($A$688) +1,FALSE),FALSE),VLOOKUP($A715,INDIRECT("'"&amp;C$707&amp;"'!"&amp;"$A$5:$CA$100"),VLOOKUP('Elec. Analysis'!$A$156,$A$688:$E$703,COLUMN(C$688) - COLUMN($A$688) +1,FALSE),FALSE)))</f>
        <v>11.547000000000001</v>
      </c>
      <c r="D715" s="706">
        <f ca="1">IF('Elec. Analysis'!$A$156=$A$696,VLOOKUP($A715,INDIRECT("'"&amp;D$707&amp;"'!"&amp;"$A$5:$CA$100"),VLOOKUP($A$695,$A$688:$E$703,COLUMN(D$688) - COLUMN($A$688) +1,FALSE),FALSE) + VLOOKUP($A715,INDIRECT("'"&amp;D$707&amp;"'!"&amp;"$A$5:$CA$100"),VLOOKUP($A$694,$A$688:$E$703,COLUMN(D$688) - COLUMN($A$688) +1,FALSE),FALSE),IF('Elec. Analysis'!$A$156=$A$699,VLOOKUP($A715,INDIRECT("'"&amp;D$707&amp;"'!"&amp;"$A$5:$CA$100"),VLOOKUP($A$698,$A$688:$E$703,COLUMN(D$688) - COLUMN($A$688) +1,FALSE),FALSE) - VLOOKUP($A715,INDIRECT("'"&amp;D$707&amp;"'!"&amp;"$A$5:$CA$100"),VLOOKUP($A$700,$A$688:$E$703,COLUMN(D$688) - COLUMN($A$688) +1,FALSE),FALSE),VLOOKUP($A715,INDIRECT("'"&amp;D$707&amp;"'!"&amp;"$A$5:$CA$100"),VLOOKUP('Elec. Analysis'!$A$156,$A$688:$E$703,COLUMN(D$688) - COLUMN($A$688) +1,FALSE),FALSE)))</f>
        <v>11.207000000000001</v>
      </c>
      <c r="E715" s="706">
        <f ca="1">IF('Elec. Analysis'!$A$156=$A$696,VLOOKUP($A715,INDIRECT("'"&amp;E$707&amp;"'!"&amp;"$A$5:$CA$100"),VLOOKUP($A$695,$A$688:$E$703,COLUMN(E$688) - COLUMN($A$688) +1,FALSE),FALSE) + VLOOKUP($A715,INDIRECT("'"&amp;E$707&amp;"'!"&amp;"$A$5:$CA$100"),VLOOKUP($A$694,$A$688:$E$703,COLUMN(E$688) - COLUMN($A$688) +1,FALSE),FALSE),IF('Elec. Analysis'!$A$156=$A$699,VLOOKUP($A715,INDIRECT("'"&amp;E$707&amp;"'!"&amp;"$A$5:$CA$100"),VLOOKUP($A$698,$A$688:$E$703,COLUMN(E$688) - COLUMN($A$688) +1,FALSE),FALSE) - VLOOKUP($A715,INDIRECT("'"&amp;E$707&amp;"'!"&amp;"$A$5:$CA$100"),VLOOKUP($A$700,$A$688:$E$703,COLUMN(E$688) - COLUMN($A$688) +1,FALSE),FALSE),VLOOKUP($A715,INDIRECT("'"&amp;E$707&amp;"'!"&amp;"$A$5:$CA$100"),VLOOKUP('Elec. Analysis'!$A$156,$A$688:$E$703,COLUMN(E$688) - COLUMN($A$688) +1,FALSE),FALSE)))</f>
        <v>11.223000000000001</v>
      </c>
      <c r="F715" s="1374"/>
      <c r="G715" s="708">
        <f>IF(AND($A746&lt;=DATE('Elec. Analysis'!$T$194, 12,1),$A746&gt;=DATE('Elec. Analysis'!$T$193, 1, 1)), $A746, NA())</f>
        <v>42064</v>
      </c>
      <c r="H715" s="1273">
        <f ca="1">IF($G715="",NA(),VLOOKUP($G715, INDIRECT("'" &amp;'Elec. Analysis'!$A$193&amp;"'!"&amp;"$A$5:$CA$100"),VLOOKUP('Elec. Analysis'!$A$194, $K$677:$M$736, 2, FALSE),FALSE))</f>
        <v>85.446869439449046</v>
      </c>
      <c r="I715" s="1374"/>
      <c r="J715" s="1374"/>
      <c r="K715" s="656" t="str">
        <f ca="1">IF(INDIRECT("'"&amp;'Elec. Analysis'!$A$193&amp;"'!"&amp;$M715&amp;"5")=0, "", INDIRECT("'"&amp;'Elec. Analysis'!$A$193&amp;"'!"&amp;$M715&amp;"5"))</f>
        <v>2015 Detached Average Consumption</v>
      </c>
      <c r="L715" s="1398">
        <v>41</v>
      </c>
      <c r="M715" s="1020" t="str">
        <f t="shared" si="183"/>
        <v>AO</v>
      </c>
      <c r="N715" s="1374"/>
      <c r="O715" s="1024">
        <v>41061</v>
      </c>
      <c r="P715" s="827">
        <f ca="1">VLOOKUP($O715,INDIRECT("'"&amp;P$709&amp;"'!"&amp;"$A$5:$CA$100"),VLOOKUP('NG Analysis'!$A$157,$O$685:$R$699,COLUMN(P$685) - COLUMN($O$685) + 1,FALSE),FALSE)</f>
        <v>2.7650000000000001</v>
      </c>
      <c r="Q715" s="827">
        <f ca="1">VLOOKUP($O715,INDIRECT("'"&amp;Q$709&amp;"'!"&amp;"$A$5:$CA$100"),VLOOKUP('NG Analysis'!$A$157,$O$685:$R$699,COLUMN(Q$685) - COLUMN($O$685) + 1,FALSE),FALSE)</f>
        <v>2.7480000000000002</v>
      </c>
      <c r="R715" s="827">
        <f ca="1">VLOOKUP($O715,INDIRECT("'"&amp;R$709&amp;"'!"&amp;"$A$5:$CA$100"),VLOOKUP('NG Analysis'!$A$157,$O$685:$R$699,COLUMN(R$685) - COLUMN($O$685) + 1,FALSE),FALSE)</f>
        <v>2.14</v>
      </c>
      <c r="S715" s="1374"/>
      <c r="T715" s="708">
        <f>IF(AND($O749&lt;=DATE('NG Analysis'!$T$195, 12,1),$O749&gt;=DATE('NG Analysis'!$T$194, 1, 1)), $O749, NA())</f>
        <v>42095</v>
      </c>
      <c r="U715" s="1273">
        <f ca="1">IF($T715="",NA(),VLOOKUP($T715, INDIRECT("'" &amp;'NG Analysis'!$A$194&amp;"'!"&amp;"$A$5:$CA$100"),VLOOKUP('NG Analysis'!$A$195, $X$676:$Z$735, 2, FALSE),FALSE))</f>
        <v>85.900388043256001</v>
      </c>
      <c r="V715" s="1374"/>
      <c r="W715" s="1374"/>
      <c r="X715" s="656" t="str">
        <f ca="1">IF(INDIRECT("'"&amp;'NG Analysis'!$A$194&amp;"'!"&amp;$Z715&amp;"5")=0, "", INDIRECT("'"&amp;'NG Analysis'!$A$194&amp;"'!"&amp;$Z715&amp;"5"))</f>
        <v>DRT Provider Administration Charge</v>
      </c>
      <c r="Y715" s="1398">
        <v>42</v>
      </c>
      <c r="Z715" s="1020" t="str">
        <f t="shared" si="182"/>
        <v>AP</v>
      </c>
      <c r="AA715" s="1439"/>
    </row>
    <row r="716" spans="1:27" x14ac:dyDescent="0.3">
      <c r="A716" s="1036">
        <v>41153</v>
      </c>
      <c r="B716" s="706">
        <f ca="1">IF('Elec. Analysis'!$A$156=$A$696,VLOOKUP($A716,INDIRECT("'"&amp;B$707&amp;"'!"&amp;"$A$5:$CA$100"),VLOOKUP($A$695,$A$688:$E$703,COLUMN(B$688) - COLUMN($A$688) +1,FALSE),FALSE) + VLOOKUP($A716,INDIRECT("'"&amp;B$707&amp;"'!"&amp;"$A$5:$CA$100"),VLOOKUP($A$694,$A$688:$E$703,COLUMN(B$688) - COLUMN($A$688) +1,FALSE),FALSE),IF('Elec. Analysis'!$A$156=$A$699,VLOOKUP($A716,INDIRECT("'"&amp;B$707&amp;"'!"&amp;"$A$5:$CA$100"),VLOOKUP($A$698,$A$688:$E$703,COLUMN(B$688) - COLUMN($A$688) +1,FALSE),FALSE) - VLOOKUP($A716,INDIRECT("'"&amp;B$707&amp;"'!"&amp;"$A$5:$CA$100"),VLOOKUP($A$700,$A$688:$E$703,COLUMN(B$688) - COLUMN($A$688) +1,FALSE),FALSE),VLOOKUP($A716,INDIRECT("'"&amp;B$707&amp;"'!"&amp;"$A$5:$CA$100"),VLOOKUP('Elec. Analysis'!$A$156,$A$688:$E$703,COLUMN(B$688) - COLUMN($A$688) +1,FALSE),FALSE)))</f>
        <v>10.763</v>
      </c>
      <c r="C716" s="706">
        <f ca="1">IF('Elec. Analysis'!$A$156=$A$696,VLOOKUP($A716,INDIRECT("'"&amp;C$707&amp;"'!"&amp;"$A$5:$CA$100"),VLOOKUP($A$695,$A$688:$E$703,COLUMN(C$688) - COLUMN($A$688) +1,FALSE),FALSE) + VLOOKUP($A716,INDIRECT("'"&amp;C$707&amp;"'!"&amp;"$A$5:$CA$100"),VLOOKUP($A$694,$A$688:$E$703,COLUMN(C$688) - COLUMN($A$688) +1,FALSE),FALSE),IF('Elec. Analysis'!$A$156=$A$699,VLOOKUP($A716,INDIRECT("'"&amp;C$707&amp;"'!"&amp;"$A$5:$CA$100"),VLOOKUP($A$698,$A$688:$E$703,COLUMN(C$688) - COLUMN($A$688) +1,FALSE),FALSE) - VLOOKUP($A716,INDIRECT("'"&amp;C$707&amp;"'!"&amp;"$A$5:$CA$100"),VLOOKUP($A$700,$A$688:$E$703,COLUMN(C$688) - COLUMN($A$688) +1,FALSE),FALSE),VLOOKUP($A716,INDIRECT("'"&amp;C$707&amp;"'!"&amp;"$A$5:$CA$100"),VLOOKUP('Elec. Analysis'!$A$156,$A$688:$E$703,COLUMN(C$688) - COLUMN($A$688) +1,FALSE),FALSE)))</f>
        <v>10.36</v>
      </c>
      <c r="D716" s="706">
        <f ca="1">IF('Elec. Analysis'!$A$156=$A$696,VLOOKUP($A716,INDIRECT("'"&amp;D$707&amp;"'!"&amp;"$A$5:$CA$100"),VLOOKUP($A$695,$A$688:$E$703,COLUMN(D$688) - COLUMN($A$688) +1,FALSE),FALSE) + VLOOKUP($A716,INDIRECT("'"&amp;D$707&amp;"'!"&amp;"$A$5:$CA$100"),VLOOKUP($A$694,$A$688:$E$703,COLUMN(D$688) - COLUMN($A$688) +1,FALSE),FALSE),IF('Elec. Analysis'!$A$156=$A$699,VLOOKUP($A716,INDIRECT("'"&amp;D$707&amp;"'!"&amp;"$A$5:$CA$100"),VLOOKUP($A$698,$A$688:$E$703,COLUMN(D$688) - COLUMN($A$688) +1,FALSE),FALSE) - VLOOKUP($A716,INDIRECT("'"&amp;D$707&amp;"'!"&amp;"$A$5:$CA$100"),VLOOKUP($A$700,$A$688:$E$703,COLUMN(D$688) - COLUMN($A$688) +1,FALSE),FALSE),VLOOKUP($A716,INDIRECT("'"&amp;D$707&amp;"'!"&amp;"$A$5:$CA$100"),VLOOKUP('Elec. Analysis'!$A$156,$A$688:$E$703,COLUMN(D$688) - COLUMN($A$688) +1,FALSE),FALSE)))</f>
        <v>10.042</v>
      </c>
      <c r="E716" s="706">
        <f ca="1">IF('Elec. Analysis'!$A$156=$A$696,VLOOKUP($A716,INDIRECT("'"&amp;E$707&amp;"'!"&amp;"$A$5:$CA$100"),VLOOKUP($A$695,$A$688:$E$703,COLUMN(E$688) - COLUMN($A$688) +1,FALSE),FALSE) + VLOOKUP($A716,INDIRECT("'"&amp;E$707&amp;"'!"&amp;"$A$5:$CA$100"),VLOOKUP($A$694,$A$688:$E$703,COLUMN(E$688) - COLUMN($A$688) +1,FALSE),FALSE),IF('Elec. Analysis'!$A$156=$A$699,VLOOKUP($A716,INDIRECT("'"&amp;E$707&amp;"'!"&amp;"$A$5:$CA$100"),VLOOKUP($A$698,$A$688:$E$703,COLUMN(E$688) - COLUMN($A$688) +1,FALSE),FALSE) - VLOOKUP($A716,INDIRECT("'"&amp;E$707&amp;"'!"&amp;"$A$5:$CA$100"),VLOOKUP($A$700,$A$688:$E$703,COLUMN(E$688) - COLUMN($A$688) +1,FALSE),FALSE),VLOOKUP($A716,INDIRECT("'"&amp;E$707&amp;"'!"&amp;"$A$5:$CA$100"),VLOOKUP('Elec. Analysis'!$A$156,$A$688:$E$703,COLUMN(E$688) - COLUMN($A$688) +1,FALSE),FALSE)))</f>
        <v>10.808</v>
      </c>
      <c r="F716" s="1374"/>
      <c r="G716" s="708">
        <f>IF(AND($A747&lt;=DATE('Elec. Analysis'!$T$194, 12,1),$A747&gt;=DATE('Elec. Analysis'!$T$193, 1, 1)), $A747, NA())</f>
        <v>42095</v>
      </c>
      <c r="H716" s="1273">
        <f ca="1">IF($G716="",NA(),VLOOKUP($G716, INDIRECT("'" &amp;'Elec. Analysis'!$A$193&amp;"'!"&amp;"$A$5:$CA$100"),VLOOKUP('Elec. Analysis'!$A$194, $K$677:$M$736, 2, FALSE),FALSE))</f>
        <v>75.564647608827087</v>
      </c>
      <c r="I716" s="1374"/>
      <c r="J716" s="1374"/>
      <c r="K716" s="656" t="str">
        <f ca="1">IF(INDIRECT("'"&amp;'Elec. Analysis'!$A$193&amp;"'!"&amp;$M716&amp;"5")=0, "", INDIRECT("'"&amp;'Elec. Analysis'!$A$193&amp;"'!"&amp;$M716&amp;"5"))</f>
        <v>Manually-Entered Consumption</v>
      </c>
      <c r="L716" s="1398">
        <v>42</v>
      </c>
      <c r="M716" s="1020" t="str">
        <f t="shared" si="183"/>
        <v>AP</v>
      </c>
      <c r="N716" s="1374"/>
      <c r="O716" s="1024">
        <v>41091</v>
      </c>
      <c r="P716" s="827">
        <f ca="1">VLOOKUP($O716,INDIRECT("'"&amp;P$709&amp;"'!"&amp;"$A$5:$CA$100"),VLOOKUP('NG Analysis'!$A$157,$O$685:$R$699,COLUMN(P$685) - COLUMN($O$685) + 1,FALSE),FALSE)</f>
        <v>2.097</v>
      </c>
      <c r="Q716" s="827">
        <f ca="1">VLOOKUP($O716,INDIRECT("'"&amp;Q$709&amp;"'!"&amp;"$A$5:$CA$100"),VLOOKUP('NG Analysis'!$A$157,$O$685:$R$699,COLUMN(Q$685) - COLUMN($O$685) + 1,FALSE),FALSE)</f>
        <v>2.21</v>
      </c>
      <c r="R716" s="827">
        <f ca="1">VLOOKUP($O716,INDIRECT("'"&amp;R$709&amp;"'!"&amp;"$A$5:$CA$100"),VLOOKUP('NG Analysis'!$A$157,$O$685:$R$699,COLUMN(R$685) - COLUMN($O$685) + 1,FALSE),FALSE)</f>
        <v>1.0569999999999999</v>
      </c>
      <c r="S716" s="1374"/>
      <c r="T716" s="708">
        <f>IF(AND($O750&lt;=DATE('NG Analysis'!$T$195, 12,1),$O750&gt;=DATE('NG Analysis'!$T$194, 1, 1)), $O750, NA())</f>
        <v>42125</v>
      </c>
      <c r="U716" s="1273">
        <f ca="1">IF($T716="",NA(),VLOOKUP($T716, INDIRECT("'" &amp;'NG Analysis'!$A$194&amp;"'!"&amp;"$A$5:$CA$100"),VLOOKUP('NG Analysis'!$A$195, $X$676:$Z$735, 2, FALSE),FALSE))</f>
        <v>65.22329934745909</v>
      </c>
      <c r="V716" s="1374"/>
      <c r="W716" s="1374"/>
      <c r="X716" s="656" t="str">
        <f ca="1">IF(INDIRECT("'"&amp;'NG Analysis'!$A$194&amp;"'!"&amp;$Z716&amp;"5")=0, "", INDIRECT("'"&amp;'NG Analysis'!$A$194&amp;"'!"&amp;$Z716&amp;"5"))</f>
        <v>Carbon Levy Rate</v>
      </c>
      <c r="Y716" s="1398">
        <v>43</v>
      </c>
      <c r="Z716" s="1020" t="str">
        <f t="shared" si="182"/>
        <v>AQ</v>
      </c>
      <c r="AA716" s="1439"/>
    </row>
    <row r="717" spans="1:27" x14ac:dyDescent="0.3">
      <c r="A717" s="1036">
        <v>41183</v>
      </c>
      <c r="B717" s="706">
        <f ca="1">IF('Elec. Analysis'!$A$156=$A$696,VLOOKUP($A717,INDIRECT("'"&amp;B$707&amp;"'!"&amp;"$A$5:$CA$100"),VLOOKUP($A$695,$A$688:$E$703,COLUMN(B$688) - COLUMN($A$688) +1,FALSE),FALSE) + VLOOKUP($A717,INDIRECT("'"&amp;B$707&amp;"'!"&amp;"$A$5:$CA$100"),VLOOKUP($A$694,$A$688:$E$703,COLUMN(B$688) - COLUMN($A$688) +1,FALSE),FALSE),IF('Elec. Analysis'!$A$156=$A$699,VLOOKUP($A717,INDIRECT("'"&amp;B$707&amp;"'!"&amp;"$A$5:$CA$100"),VLOOKUP($A$698,$A$688:$E$703,COLUMN(B$688) - COLUMN($A$688) +1,FALSE),FALSE) - VLOOKUP($A717,INDIRECT("'"&amp;B$707&amp;"'!"&amp;"$A$5:$CA$100"),VLOOKUP($A$700,$A$688:$E$703,COLUMN(B$688) - COLUMN($A$688) +1,FALSE),FALSE),VLOOKUP($A717,INDIRECT("'"&amp;B$707&amp;"'!"&amp;"$A$5:$CA$100"),VLOOKUP('Elec. Analysis'!$A$156,$A$688:$E$703,COLUMN(B$688) - COLUMN($A$688) +1,FALSE),FALSE)))</f>
        <v>9.6221999999999994</v>
      </c>
      <c r="C717" s="706">
        <f ca="1">IF('Elec. Analysis'!$A$156=$A$696,VLOOKUP($A717,INDIRECT("'"&amp;C$707&amp;"'!"&amp;"$A$5:$CA$100"),VLOOKUP($A$695,$A$688:$E$703,COLUMN(C$688) - COLUMN($A$688) +1,FALSE),FALSE) + VLOOKUP($A717,INDIRECT("'"&amp;C$707&amp;"'!"&amp;"$A$5:$CA$100"),VLOOKUP($A$694,$A$688:$E$703,COLUMN(C$688) - COLUMN($A$688) +1,FALSE),FALSE),IF('Elec. Analysis'!$A$156=$A$699,VLOOKUP($A717,INDIRECT("'"&amp;C$707&amp;"'!"&amp;"$A$5:$CA$100"),VLOOKUP($A$698,$A$688:$E$703,COLUMN(C$688) - COLUMN($A$688) +1,FALSE),FALSE) - VLOOKUP($A717,INDIRECT("'"&amp;C$707&amp;"'!"&amp;"$A$5:$CA$100"),VLOOKUP($A$700,$A$688:$E$703,COLUMN(C$688) - COLUMN($A$688) +1,FALSE),FALSE),VLOOKUP($A717,INDIRECT("'"&amp;C$707&amp;"'!"&amp;"$A$5:$CA$100"),VLOOKUP('Elec. Analysis'!$A$156,$A$688:$E$703,COLUMN(C$688) - COLUMN($A$688) +1,FALSE),FALSE)))</f>
        <v>10.287000000000001</v>
      </c>
      <c r="D717" s="706">
        <f ca="1">IF('Elec. Analysis'!$A$156=$A$696,VLOOKUP($A717,INDIRECT("'"&amp;D$707&amp;"'!"&amp;"$A$5:$CA$100"),VLOOKUP($A$695,$A$688:$E$703,COLUMN(D$688) - COLUMN($A$688) +1,FALSE),FALSE) + VLOOKUP($A717,INDIRECT("'"&amp;D$707&amp;"'!"&amp;"$A$5:$CA$100"),VLOOKUP($A$694,$A$688:$E$703,COLUMN(D$688) - COLUMN($A$688) +1,FALSE),FALSE),IF('Elec. Analysis'!$A$156=$A$699,VLOOKUP($A717,INDIRECT("'"&amp;D$707&amp;"'!"&amp;"$A$5:$CA$100"),VLOOKUP($A$698,$A$688:$E$703,COLUMN(D$688) - COLUMN($A$688) +1,FALSE),FALSE) - VLOOKUP($A717,INDIRECT("'"&amp;D$707&amp;"'!"&amp;"$A$5:$CA$100"),VLOOKUP($A$700,$A$688:$E$703,COLUMN(D$688) - COLUMN($A$688) +1,FALSE),FALSE),VLOOKUP($A717,INDIRECT("'"&amp;D$707&amp;"'!"&amp;"$A$5:$CA$100"),VLOOKUP('Elec. Analysis'!$A$156,$A$688:$E$703,COLUMN(D$688) - COLUMN($A$688) +1,FALSE),FALSE)))</f>
        <v>9.9179999999999993</v>
      </c>
      <c r="E717" s="706">
        <f ca="1">IF('Elec. Analysis'!$A$156=$A$696,VLOOKUP($A717,INDIRECT("'"&amp;E$707&amp;"'!"&amp;"$A$5:$CA$100"),VLOOKUP($A$695,$A$688:$E$703,COLUMN(E$688) - COLUMN($A$688) +1,FALSE),FALSE) + VLOOKUP($A717,INDIRECT("'"&amp;E$707&amp;"'!"&amp;"$A$5:$CA$100"),VLOOKUP($A$694,$A$688:$E$703,COLUMN(E$688) - COLUMN($A$688) +1,FALSE),FALSE),IF('Elec. Analysis'!$A$156=$A$699,VLOOKUP($A717,INDIRECT("'"&amp;E$707&amp;"'!"&amp;"$A$5:$CA$100"),VLOOKUP($A$698,$A$688:$E$703,COLUMN(E$688) - COLUMN($A$688) +1,FALSE),FALSE) - VLOOKUP($A717,INDIRECT("'"&amp;E$707&amp;"'!"&amp;"$A$5:$CA$100"),VLOOKUP($A$700,$A$688:$E$703,COLUMN(E$688) - COLUMN($A$688) +1,FALSE),FALSE),VLOOKUP($A717,INDIRECT("'"&amp;E$707&amp;"'!"&amp;"$A$5:$CA$100"),VLOOKUP('Elec. Analysis'!$A$156,$A$688:$E$703,COLUMN(E$688) - COLUMN($A$688) +1,FALSE),FALSE)))</f>
        <v>10.007999999999999</v>
      </c>
      <c r="F717" s="1374"/>
      <c r="G717" s="708">
        <f>IF(AND($A748&lt;=DATE('Elec. Analysis'!$T$194, 12,1),$A748&gt;=DATE('Elec. Analysis'!$T$193, 1, 1)), $A748, NA())</f>
        <v>42125</v>
      </c>
      <c r="H717" s="1273">
        <f ca="1">IF($G717="",NA(),VLOOKUP($G717, INDIRECT("'" &amp;'Elec. Analysis'!$A$193&amp;"'!"&amp;"$A$5:$CA$100"),VLOOKUP('Elec. Analysis'!$A$194, $K$677:$M$736, 2, FALSE),FALSE))</f>
        <v>71.931584570078343</v>
      </c>
      <c r="I717" s="1374"/>
      <c r="J717" s="1374"/>
      <c r="K717" s="656" t="str">
        <f ca="1">IF(INDIRECT("'"&amp;'Elec. Analysis'!$A$193&amp;"'!"&amp;$M717&amp;"5")=0, "", INDIRECT("'"&amp;'Elec. Analysis'!$A$193&amp;"'!"&amp;$M717&amp;"5"))</f>
        <v>Custom Energy Rate</v>
      </c>
      <c r="L717" s="1398">
        <v>43</v>
      </c>
      <c r="M717" s="1020" t="str">
        <f t="shared" si="183"/>
        <v>AQ</v>
      </c>
      <c r="N717" s="1374"/>
      <c r="O717" s="1024">
        <v>41122</v>
      </c>
      <c r="P717" s="827">
        <f ca="1">VLOOKUP($O717,INDIRECT("'"&amp;P$709&amp;"'!"&amp;"$A$5:$CA$100"),VLOOKUP('NG Analysis'!$A$157,$O$685:$R$699,COLUMN(P$685) - COLUMN($O$685) + 1,FALSE),FALSE)</f>
        <v>2.31</v>
      </c>
      <c r="Q717" s="827">
        <f ca="1">VLOOKUP($O717,INDIRECT("'"&amp;Q$709&amp;"'!"&amp;"$A$5:$CA$100"),VLOOKUP('NG Analysis'!$A$157,$O$685:$R$699,COLUMN(Q$685) - COLUMN($O$685) + 1,FALSE),FALSE)</f>
        <v>2.1859999999999999</v>
      </c>
      <c r="R717" s="827">
        <f ca="1">VLOOKUP($O717,INDIRECT("'"&amp;R$709&amp;"'!"&amp;"$A$5:$CA$100"),VLOOKUP('NG Analysis'!$A$157,$O$685:$R$699,COLUMN(R$685) - COLUMN($O$685) + 1,FALSE),FALSE)</f>
        <v>2.2200000000000002</v>
      </c>
      <c r="S717" s="1374"/>
      <c r="T717" s="708">
        <f>IF(AND($O751&lt;=DATE('NG Analysis'!$T$195, 12,1),$O751&gt;=DATE('NG Analysis'!$T$194, 1, 1)), $O751, NA())</f>
        <v>42156</v>
      </c>
      <c r="U717" s="1273">
        <f ca="1">IF($T717="",NA(),VLOOKUP($T717, INDIRECT("'" &amp;'NG Analysis'!$A$194&amp;"'!"&amp;"$A$5:$CA$100"),VLOOKUP('NG Analysis'!$A$195, $X$676:$Z$735, 2, FALSE),FALSE))</f>
        <v>56.792438954469745</v>
      </c>
      <c r="V717" s="1374"/>
      <c r="W717" s="1374"/>
      <c r="X717" s="656" t="str">
        <f ca="1">IF(INDIRECT("'"&amp;'NG Analysis'!$A$194&amp;"'!"&amp;$Z717&amp;"5")=0, "", INDIRECT("'"&amp;'NG Analysis'!$A$194&amp;"'!"&amp;$Z717&amp;"5"))</f>
        <v>Carbon Levy Charge</v>
      </c>
      <c r="Y717" s="1398">
        <v>44</v>
      </c>
      <c r="Z717" s="1020" t="str">
        <f t="shared" si="182"/>
        <v>AR</v>
      </c>
      <c r="AA717" s="1439"/>
    </row>
    <row r="718" spans="1:27" x14ac:dyDescent="0.3">
      <c r="A718" s="1036">
        <v>41214</v>
      </c>
      <c r="B718" s="706">
        <f ca="1">IF('Elec. Analysis'!$A$156=$A$696,VLOOKUP($A718,INDIRECT("'"&amp;B$707&amp;"'!"&amp;"$A$5:$CA$100"),VLOOKUP($A$695,$A$688:$E$703,COLUMN(B$688) - COLUMN($A$688) +1,FALSE),FALSE) + VLOOKUP($A718,INDIRECT("'"&amp;B$707&amp;"'!"&amp;"$A$5:$CA$100"),VLOOKUP($A$694,$A$688:$E$703,COLUMN(B$688) - COLUMN($A$688) +1,FALSE),FALSE),IF('Elec. Analysis'!$A$156=$A$699,VLOOKUP($A718,INDIRECT("'"&amp;B$707&amp;"'!"&amp;"$A$5:$CA$100"),VLOOKUP($A$698,$A$688:$E$703,COLUMN(B$688) - COLUMN($A$688) +1,FALSE),FALSE) - VLOOKUP($A718,INDIRECT("'"&amp;B$707&amp;"'!"&amp;"$A$5:$CA$100"),VLOOKUP($A$700,$A$688:$E$703,COLUMN(B$688) - COLUMN($A$688) +1,FALSE),FALSE),VLOOKUP($A718,INDIRECT("'"&amp;B$707&amp;"'!"&amp;"$A$5:$CA$100"),VLOOKUP('Elec. Analysis'!$A$156,$A$688:$E$703,COLUMN(B$688) - COLUMN($A$688) +1,FALSE),FALSE)))</f>
        <v>7.3994999999999997</v>
      </c>
      <c r="C718" s="706">
        <f ca="1">IF('Elec. Analysis'!$A$156=$A$696,VLOOKUP($A718,INDIRECT("'"&amp;C$707&amp;"'!"&amp;"$A$5:$CA$100"),VLOOKUP($A$695,$A$688:$E$703,COLUMN(C$688) - COLUMN($A$688) +1,FALSE),FALSE) + VLOOKUP($A718,INDIRECT("'"&amp;C$707&amp;"'!"&amp;"$A$5:$CA$100"),VLOOKUP($A$694,$A$688:$E$703,COLUMN(C$688) - COLUMN($A$688) +1,FALSE),FALSE),IF('Elec. Analysis'!$A$156=$A$699,VLOOKUP($A718,INDIRECT("'"&amp;C$707&amp;"'!"&amp;"$A$5:$CA$100"),VLOOKUP($A$698,$A$688:$E$703,COLUMN(C$688) - COLUMN($A$688) +1,FALSE),FALSE) - VLOOKUP($A718,INDIRECT("'"&amp;C$707&amp;"'!"&amp;"$A$5:$CA$100"),VLOOKUP($A$700,$A$688:$E$703,COLUMN(C$688) - COLUMN($A$688) +1,FALSE),FALSE),VLOOKUP($A718,INDIRECT("'"&amp;C$707&amp;"'!"&amp;"$A$5:$CA$100"),VLOOKUP('Elec. Analysis'!$A$156,$A$688:$E$703,COLUMN(C$688) - COLUMN($A$688) +1,FALSE),FALSE)))</f>
        <v>7.5679999999999996</v>
      </c>
      <c r="D718" s="706">
        <f ca="1">IF('Elec. Analysis'!$A$156=$A$696,VLOOKUP($A718,INDIRECT("'"&amp;D$707&amp;"'!"&amp;"$A$5:$CA$100"),VLOOKUP($A$695,$A$688:$E$703,COLUMN(D$688) - COLUMN($A$688) +1,FALSE),FALSE) + VLOOKUP($A718,INDIRECT("'"&amp;D$707&amp;"'!"&amp;"$A$5:$CA$100"),VLOOKUP($A$694,$A$688:$E$703,COLUMN(D$688) - COLUMN($A$688) +1,FALSE),FALSE),IF('Elec. Analysis'!$A$156=$A$699,VLOOKUP($A718,INDIRECT("'"&amp;D$707&amp;"'!"&amp;"$A$5:$CA$100"),VLOOKUP($A$698,$A$688:$E$703,COLUMN(D$688) - COLUMN($A$688) +1,FALSE),FALSE) - VLOOKUP($A718,INDIRECT("'"&amp;D$707&amp;"'!"&amp;"$A$5:$CA$100"),VLOOKUP($A$700,$A$688:$E$703,COLUMN(D$688) - COLUMN($A$688) +1,FALSE),FALSE),VLOOKUP($A718,INDIRECT("'"&amp;D$707&amp;"'!"&amp;"$A$5:$CA$100"),VLOOKUP('Elec. Analysis'!$A$156,$A$688:$E$703,COLUMN(D$688) - COLUMN($A$688) +1,FALSE),FALSE)))</f>
        <v>7.3689999999999998</v>
      </c>
      <c r="E718" s="706">
        <f ca="1">IF('Elec. Analysis'!$A$156=$A$696,VLOOKUP($A718,INDIRECT("'"&amp;E$707&amp;"'!"&amp;"$A$5:$CA$100"),VLOOKUP($A$695,$A$688:$E$703,COLUMN(E$688) - COLUMN($A$688) +1,FALSE),FALSE) + VLOOKUP($A718,INDIRECT("'"&amp;E$707&amp;"'!"&amp;"$A$5:$CA$100"),VLOOKUP($A$694,$A$688:$E$703,COLUMN(E$688) - COLUMN($A$688) +1,FALSE),FALSE),IF('Elec. Analysis'!$A$156=$A$699,VLOOKUP($A718,INDIRECT("'"&amp;E$707&amp;"'!"&amp;"$A$5:$CA$100"),VLOOKUP($A$698,$A$688:$E$703,COLUMN(E$688) - COLUMN($A$688) +1,FALSE),FALSE) - VLOOKUP($A718,INDIRECT("'"&amp;E$707&amp;"'!"&amp;"$A$5:$CA$100"),VLOOKUP($A$700,$A$688:$E$703,COLUMN(E$688) - COLUMN($A$688) +1,FALSE),FALSE),VLOOKUP($A718,INDIRECT("'"&amp;E$707&amp;"'!"&amp;"$A$5:$CA$100"),VLOOKUP('Elec. Analysis'!$A$156,$A$688:$E$703,COLUMN(E$688) - COLUMN($A$688) +1,FALSE),FALSE)))</f>
        <v>7.5019999999999998</v>
      </c>
      <c r="F718" s="1374"/>
      <c r="G718" s="708">
        <f>IF(AND($A749&lt;=DATE('Elec. Analysis'!$T$194, 12,1),$A749&gt;=DATE('Elec. Analysis'!$T$193, 1, 1)), $A749, NA())</f>
        <v>42156</v>
      </c>
      <c r="H718" s="1273">
        <f ca="1">IF($G718="",NA(),VLOOKUP($G718, INDIRECT("'" &amp;'Elec. Analysis'!$A$193&amp;"'!"&amp;"$A$5:$CA$100"),VLOOKUP('Elec. Analysis'!$A$194, $K$677:$M$736, 2, FALSE),FALSE))</f>
        <v>67.377849207802342</v>
      </c>
      <c r="I718" s="1374"/>
      <c r="J718" s="1374"/>
      <c r="K718" s="656" t="str">
        <f ca="1">IF(INDIRECT("'"&amp;'Elec. Analysis'!$A$193&amp;"'!"&amp;$M718&amp;"5")=0, "", INDIRECT("'"&amp;'Elec. Analysis'!$A$193&amp;"'!"&amp;$M718&amp;"5"))</f>
        <v>Custom Administration Rate</v>
      </c>
      <c r="L718" s="1398">
        <v>44</v>
      </c>
      <c r="M718" s="1020" t="str">
        <f t="shared" si="183"/>
        <v>AR</v>
      </c>
      <c r="N718" s="1374"/>
      <c r="O718" s="1024">
        <v>41153</v>
      </c>
      <c r="P718" s="827">
        <f ca="1">VLOOKUP($O718,INDIRECT("'"&amp;P$709&amp;"'!"&amp;"$A$5:$CA$100"),VLOOKUP('NG Analysis'!$A$157,$O$685:$R$699,COLUMN(P$685) - COLUMN($O$685) + 1,FALSE),FALSE)</f>
        <v>1.8320000000000001</v>
      </c>
      <c r="Q718" s="827">
        <f ca="1">VLOOKUP($O718,INDIRECT("'"&amp;Q$709&amp;"'!"&amp;"$A$5:$CA$100"),VLOOKUP('NG Analysis'!$A$157,$O$685:$R$699,COLUMN(Q$685) - COLUMN($O$685) + 1,FALSE),FALSE)</f>
        <v>1.7010000000000001</v>
      </c>
      <c r="R718" s="827">
        <f ca="1">VLOOKUP($O718,INDIRECT("'"&amp;R$709&amp;"'!"&amp;"$A$5:$CA$100"),VLOOKUP('NG Analysis'!$A$157,$O$685:$R$699,COLUMN(R$685) - COLUMN($O$685) + 1,FALSE),FALSE)</f>
        <v>1.54</v>
      </c>
      <c r="S718" s="1374"/>
      <c r="T718" s="708">
        <f>IF(AND($O752&lt;=DATE('NG Analysis'!$T$195, 12,1),$O752&gt;=DATE('NG Analysis'!$T$194, 1, 1)), $O752, NA())</f>
        <v>42186</v>
      </c>
      <c r="U718" s="1273">
        <f ca="1">IF($T718="",NA(),VLOOKUP($T718, INDIRECT("'" &amp;'NG Analysis'!$A$194&amp;"'!"&amp;"$A$5:$CA$100"),VLOOKUP('NG Analysis'!$A$195, $X$676:$Z$735, 2, FALSE),FALSE))</f>
        <v>47.973447936823277</v>
      </c>
      <c r="V718" s="1374"/>
      <c r="W718" s="1374"/>
      <c r="X718" s="656" t="str">
        <f ca="1">IF(INDIRECT("'"&amp;'NG Analysis'!$A$194&amp;"'!"&amp;$Z718&amp;"5")=0, "", INDIRECT("'"&amp;'NG Analysis'!$A$194&amp;"'!"&amp;$Z718&amp;"5"))</f>
        <v>GST Rate</v>
      </c>
      <c r="Y718" s="1398">
        <v>45</v>
      </c>
      <c r="Z718" s="1020" t="str">
        <f t="shared" si="182"/>
        <v>AS</v>
      </c>
      <c r="AA718" s="1439"/>
    </row>
    <row r="719" spans="1:27" x14ac:dyDescent="0.3">
      <c r="A719" s="1036">
        <v>41244</v>
      </c>
      <c r="B719" s="706">
        <f ca="1">IF('Elec. Analysis'!$A$156=$A$696,VLOOKUP($A719,INDIRECT("'"&amp;B$707&amp;"'!"&amp;"$A$5:$CA$100"),VLOOKUP($A$695,$A$688:$E$703,COLUMN(B$688) - COLUMN($A$688) +1,FALSE),FALSE) + VLOOKUP($A719,INDIRECT("'"&amp;B$707&amp;"'!"&amp;"$A$5:$CA$100"),VLOOKUP($A$694,$A$688:$E$703,COLUMN(B$688) - COLUMN($A$688) +1,FALSE),FALSE),IF('Elec. Analysis'!$A$156=$A$699,VLOOKUP($A719,INDIRECT("'"&amp;B$707&amp;"'!"&amp;"$A$5:$CA$100"),VLOOKUP($A$698,$A$688:$E$703,COLUMN(B$688) - COLUMN($A$688) +1,FALSE),FALSE) - VLOOKUP($A719,INDIRECT("'"&amp;B$707&amp;"'!"&amp;"$A$5:$CA$100"),VLOOKUP($A$700,$A$688:$E$703,COLUMN(B$688) - COLUMN($A$688) +1,FALSE),FALSE),VLOOKUP($A719,INDIRECT("'"&amp;B$707&amp;"'!"&amp;"$A$5:$CA$100"),VLOOKUP('Elec. Analysis'!$A$156,$A$688:$E$703,COLUMN(B$688) - COLUMN($A$688) +1,FALSE),FALSE)))</f>
        <v>8.4816000000000003</v>
      </c>
      <c r="C719" s="706">
        <f ca="1">IF('Elec. Analysis'!$A$156=$A$696,VLOOKUP($A719,INDIRECT("'"&amp;C$707&amp;"'!"&amp;"$A$5:$CA$100"),VLOOKUP($A$695,$A$688:$E$703,COLUMN(C$688) - COLUMN($A$688) +1,FALSE),FALSE) + VLOOKUP($A719,INDIRECT("'"&amp;C$707&amp;"'!"&amp;"$A$5:$CA$100"),VLOOKUP($A$694,$A$688:$E$703,COLUMN(C$688) - COLUMN($A$688) +1,FALSE),FALSE),IF('Elec. Analysis'!$A$156=$A$699,VLOOKUP($A719,INDIRECT("'"&amp;C$707&amp;"'!"&amp;"$A$5:$CA$100"),VLOOKUP($A$698,$A$688:$E$703,COLUMN(C$688) - COLUMN($A$688) +1,FALSE),FALSE) - VLOOKUP($A719,INDIRECT("'"&amp;C$707&amp;"'!"&amp;"$A$5:$CA$100"),VLOOKUP($A$700,$A$688:$E$703,COLUMN(C$688) - COLUMN($A$688) +1,FALSE),FALSE),VLOOKUP($A719,INDIRECT("'"&amp;C$707&amp;"'!"&amp;"$A$5:$CA$100"),VLOOKUP('Elec. Analysis'!$A$156,$A$688:$E$703,COLUMN(C$688) - COLUMN($A$688) +1,FALSE),FALSE)))</f>
        <v>8.5609999999999999</v>
      </c>
      <c r="D719" s="706">
        <f ca="1">IF('Elec. Analysis'!$A$156=$A$696,VLOOKUP($A719,INDIRECT("'"&amp;D$707&amp;"'!"&amp;"$A$5:$CA$100"),VLOOKUP($A$695,$A$688:$E$703,COLUMN(D$688) - COLUMN($A$688) +1,FALSE),FALSE) + VLOOKUP($A719,INDIRECT("'"&amp;D$707&amp;"'!"&amp;"$A$5:$CA$100"),VLOOKUP($A$694,$A$688:$E$703,COLUMN(D$688) - COLUMN($A$688) +1,FALSE),FALSE),IF('Elec. Analysis'!$A$156=$A$699,VLOOKUP($A719,INDIRECT("'"&amp;D$707&amp;"'!"&amp;"$A$5:$CA$100"),VLOOKUP($A$698,$A$688:$E$703,COLUMN(D$688) - COLUMN($A$688) +1,FALSE),FALSE) - VLOOKUP($A719,INDIRECT("'"&amp;D$707&amp;"'!"&amp;"$A$5:$CA$100"),VLOOKUP($A$700,$A$688:$E$703,COLUMN(D$688) - COLUMN($A$688) +1,FALSE),FALSE),VLOOKUP($A719,INDIRECT("'"&amp;D$707&amp;"'!"&amp;"$A$5:$CA$100"),VLOOKUP('Elec. Analysis'!$A$156,$A$688:$E$703,COLUMN(D$688) - COLUMN($A$688) +1,FALSE),FALSE)))</f>
        <v>8.3650000000000002</v>
      </c>
      <c r="E719" s="706">
        <f ca="1">IF('Elec. Analysis'!$A$156=$A$696,VLOOKUP($A719,INDIRECT("'"&amp;E$707&amp;"'!"&amp;"$A$5:$CA$100"),VLOOKUP($A$695,$A$688:$E$703,COLUMN(E$688) - COLUMN($A$688) +1,FALSE),FALSE) + VLOOKUP($A719,INDIRECT("'"&amp;E$707&amp;"'!"&amp;"$A$5:$CA$100"),VLOOKUP($A$694,$A$688:$E$703,COLUMN(E$688) - COLUMN($A$688) +1,FALSE),FALSE),IF('Elec. Analysis'!$A$156=$A$699,VLOOKUP($A719,INDIRECT("'"&amp;E$707&amp;"'!"&amp;"$A$5:$CA$100"),VLOOKUP($A$698,$A$688:$E$703,COLUMN(E$688) - COLUMN($A$688) +1,FALSE),FALSE) - VLOOKUP($A719,INDIRECT("'"&amp;E$707&amp;"'!"&amp;"$A$5:$CA$100"),VLOOKUP($A$700,$A$688:$E$703,COLUMN(E$688) - COLUMN($A$688) +1,FALSE),FALSE),VLOOKUP($A719,INDIRECT("'"&amp;E$707&amp;"'!"&amp;"$A$5:$CA$100"),VLOOKUP('Elec. Analysis'!$A$156,$A$688:$E$703,COLUMN(E$688) - COLUMN($A$688) +1,FALSE),FALSE)))</f>
        <v>8.6319999999999997</v>
      </c>
      <c r="F719" s="1374"/>
      <c r="G719" s="708">
        <f>IF(AND($A750&lt;=DATE('Elec. Analysis'!$T$194, 12,1),$A750&gt;=DATE('Elec. Analysis'!$T$193, 1, 1)), $A750, NA())</f>
        <v>42186</v>
      </c>
      <c r="H719" s="1273">
        <f ca="1">IF($G719="",NA(),VLOOKUP($G719, INDIRECT("'" &amp;'Elec. Analysis'!$A$193&amp;"'!"&amp;"$A$5:$CA$100"),VLOOKUP('Elec. Analysis'!$A$194, $K$677:$M$736, 2, FALSE),FALSE))</f>
        <v>96.213593449055423</v>
      </c>
      <c r="I719" s="1374"/>
      <c r="J719" s="1374"/>
      <c r="K719" s="656" t="str">
        <f ca="1">IF(INDIRECT("'"&amp;'Elec. Analysis'!$A$193&amp;"'!"&amp;$M719&amp;"5")=0, "", INDIRECT("'"&amp;'Elec. Analysis'!$A$193&amp;"'!"&amp;$M719&amp;"5"))</f>
        <v/>
      </c>
      <c r="L719" s="1398">
        <v>45</v>
      </c>
      <c r="M719" s="1020" t="str">
        <f t="shared" si="183"/>
        <v>AS</v>
      </c>
      <c r="N719" s="1374"/>
      <c r="O719" s="1024">
        <v>41183</v>
      </c>
      <c r="P719" s="827">
        <f ca="1">VLOOKUP($O719,INDIRECT("'"&amp;P$709&amp;"'!"&amp;"$A$5:$CA$100"),VLOOKUP('NG Analysis'!$A$157,$O$685:$R$699,COLUMN(P$685) - COLUMN($O$685) + 1,FALSE),FALSE)</f>
        <v>2.5070000000000001</v>
      </c>
      <c r="Q719" s="827">
        <f ca="1">VLOOKUP($O719,INDIRECT("'"&amp;Q$709&amp;"'!"&amp;"$A$5:$CA$100"),VLOOKUP('NG Analysis'!$A$157,$O$685:$R$699,COLUMN(Q$685) - COLUMN($O$685) + 1,FALSE),FALSE)</f>
        <v>2.5830000000000002</v>
      </c>
      <c r="R719" s="827">
        <f ca="1">VLOOKUP($O719,INDIRECT("'"&amp;R$709&amp;"'!"&amp;"$A$5:$CA$100"),VLOOKUP('NG Analysis'!$A$157,$O$685:$R$699,COLUMN(R$685) - COLUMN($O$685) + 1,FALSE),FALSE)</f>
        <v>2.4249999999999998</v>
      </c>
      <c r="S719" s="1374"/>
      <c r="T719" s="708">
        <f>IF(AND($O753&lt;=DATE('NG Analysis'!$T$195, 12,1),$O753&gt;=DATE('NG Analysis'!$T$194, 1, 1)), $O753, NA())</f>
        <v>42217</v>
      </c>
      <c r="U719" s="1273">
        <f ca="1">IF($T719="",NA(),VLOOKUP($T719, INDIRECT("'" &amp;'NG Analysis'!$A$194&amp;"'!"&amp;"$A$5:$CA$100"),VLOOKUP('NG Analysis'!$A$195, $X$676:$Z$735, 2, FALSE),FALSE))</f>
        <v>51.095557892569801</v>
      </c>
      <c r="V719" s="1374"/>
      <c r="W719" s="1374"/>
      <c r="X719" s="656" t="str">
        <f ca="1">IF(INDIRECT("'"&amp;'NG Analysis'!$A$194&amp;"'!"&amp;$Z719&amp;"5")=0, "", INDIRECT("'"&amp;'NG Analysis'!$A$194&amp;"'!"&amp;$Z719&amp;"5"))</f>
        <v>Actual DRT Consumption (ATCO-S)</v>
      </c>
      <c r="Y719" s="1398">
        <v>46</v>
      </c>
      <c r="Z719" s="1020" t="str">
        <f t="shared" si="182"/>
        <v>AT</v>
      </c>
      <c r="AA719" s="1439"/>
    </row>
    <row r="720" spans="1:27" x14ac:dyDescent="0.3">
      <c r="A720" s="1036">
        <v>41275</v>
      </c>
      <c r="B720" s="706">
        <f ca="1">IF('Elec. Analysis'!$A$156=$A$696,VLOOKUP($A720,INDIRECT("'"&amp;B$707&amp;"'!"&amp;"$A$5:$CA$100"),VLOOKUP($A$695,$A$688:$E$703,COLUMN(B$688) - COLUMN($A$688) +1,FALSE),FALSE) + VLOOKUP($A720,INDIRECT("'"&amp;B$707&amp;"'!"&amp;"$A$5:$CA$100"),VLOOKUP($A$694,$A$688:$E$703,COLUMN(B$688) - COLUMN($A$688) +1,FALSE),FALSE),IF('Elec. Analysis'!$A$156=$A$699,VLOOKUP($A720,INDIRECT("'"&amp;B$707&amp;"'!"&amp;"$A$5:$CA$100"),VLOOKUP($A$698,$A$688:$E$703,COLUMN(B$688) - COLUMN($A$688) +1,FALSE),FALSE) - VLOOKUP($A720,INDIRECT("'"&amp;B$707&amp;"'!"&amp;"$A$5:$CA$100"),VLOOKUP($A$700,$A$688:$E$703,COLUMN(B$688) - COLUMN($A$688) +1,FALSE),FALSE),VLOOKUP($A720,INDIRECT("'"&amp;B$707&amp;"'!"&amp;"$A$5:$CA$100"),VLOOKUP('Elec. Analysis'!$A$156,$A$688:$E$703,COLUMN(B$688) - COLUMN($A$688) +1,FALSE),FALSE)))</f>
        <v>9.1424000000000003</v>
      </c>
      <c r="C720" s="706">
        <f ca="1">IF('Elec. Analysis'!$A$156=$A$696,VLOOKUP($A720,INDIRECT("'"&amp;C$707&amp;"'!"&amp;"$A$5:$CA$100"),VLOOKUP($A$695,$A$688:$E$703,COLUMN(C$688) - COLUMN($A$688) +1,FALSE),FALSE) + VLOOKUP($A720,INDIRECT("'"&amp;C$707&amp;"'!"&amp;"$A$5:$CA$100"),VLOOKUP($A$694,$A$688:$E$703,COLUMN(C$688) - COLUMN($A$688) +1,FALSE),FALSE),IF('Elec. Analysis'!$A$156=$A$699,VLOOKUP($A720,INDIRECT("'"&amp;C$707&amp;"'!"&amp;"$A$5:$CA$100"),VLOOKUP($A$698,$A$688:$E$703,COLUMN(C$688) - COLUMN($A$688) +1,FALSE),FALSE) - VLOOKUP($A720,INDIRECT("'"&amp;C$707&amp;"'!"&amp;"$A$5:$CA$100"),VLOOKUP($A$700,$A$688:$E$703,COLUMN(C$688) - COLUMN($A$688) +1,FALSE),FALSE),VLOOKUP($A720,INDIRECT("'"&amp;C$707&amp;"'!"&amp;"$A$5:$CA$100"),VLOOKUP('Elec. Analysis'!$A$156,$A$688:$E$703,COLUMN(C$688) - COLUMN($A$688) +1,FALSE),FALSE)))</f>
        <v>8.8759999999999994</v>
      </c>
      <c r="D720" s="706">
        <f ca="1">IF('Elec. Analysis'!$A$156=$A$696,VLOOKUP($A720,INDIRECT("'"&amp;D$707&amp;"'!"&amp;"$A$5:$CA$100"),VLOOKUP($A$695,$A$688:$E$703,COLUMN(D$688) - COLUMN($A$688) +1,FALSE),FALSE) + VLOOKUP($A720,INDIRECT("'"&amp;D$707&amp;"'!"&amp;"$A$5:$CA$100"),VLOOKUP($A$694,$A$688:$E$703,COLUMN(D$688) - COLUMN($A$688) +1,FALSE),FALSE),IF('Elec. Analysis'!$A$156=$A$699,VLOOKUP($A720,INDIRECT("'"&amp;D$707&amp;"'!"&amp;"$A$5:$CA$100"),VLOOKUP($A$698,$A$688:$E$703,COLUMN(D$688) - COLUMN($A$688) +1,FALSE),FALSE) - VLOOKUP($A720,INDIRECT("'"&amp;D$707&amp;"'!"&amp;"$A$5:$CA$100"),VLOOKUP($A$700,$A$688:$E$703,COLUMN(D$688) - COLUMN($A$688) +1,FALSE),FALSE),VLOOKUP($A720,INDIRECT("'"&amp;D$707&amp;"'!"&amp;"$A$5:$CA$100"),VLOOKUP('Elec. Analysis'!$A$156,$A$688:$E$703,COLUMN(D$688) - COLUMN($A$688) +1,FALSE),FALSE)))</f>
        <v>8.6430000000000007</v>
      </c>
      <c r="E720" s="706">
        <f ca="1">IF('Elec. Analysis'!$A$156=$A$696,VLOOKUP($A720,INDIRECT("'"&amp;E$707&amp;"'!"&amp;"$A$5:$CA$100"),VLOOKUP($A$695,$A$688:$E$703,COLUMN(E$688) - COLUMN($A$688) +1,FALSE),FALSE) + VLOOKUP($A720,INDIRECT("'"&amp;E$707&amp;"'!"&amp;"$A$5:$CA$100"),VLOOKUP($A$694,$A$688:$E$703,COLUMN(E$688) - COLUMN($A$688) +1,FALSE),FALSE),IF('Elec. Analysis'!$A$156=$A$699,VLOOKUP($A720,INDIRECT("'"&amp;E$707&amp;"'!"&amp;"$A$5:$CA$100"),VLOOKUP($A$698,$A$688:$E$703,COLUMN(E$688) - COLUMN($A$688) +1,FALSE),FALSE) - VLOOKUP($A720,INDIRECT("'"&amp;E$707&amp;"'!"&amp;"$A$5:$CA$100"),VLOOKUP($A$700,$A$688:$E$703,COLUMN(E$688) - COLUMN($A$688) +1,FALSE),FALSE),VLOOKUP($A720,INDIRECT("'"&amp;E$707&amp;"'!"&amp;"$A$5:$CA$100"),VLOOKUP('Elec. Analysis'!$A$156,$A$688:$E$703,COLUMN(E$688) - COLUMN($A$688) +1,FALSE),FALSE)))</f>
        <v>9.4450000000000003</v>
      </c>
      <c r="F720" s="1374"/>
      <c r="G720" s="708">
        <f>IF(AND($A751&lt;=DATE('Elec. Analysis'!$T$194, 12,1),$A751&gt;=DATE('Elec. Analysis'!$T$193, 1, 1)), $A751, NA())</f>
        <v>42217</v>
      </c>
      <c r="H720" s="1273">
        <f ca="1">IF($G720="",NA(),VLOOKUP($G720, INDIRECT("'" &amp;'Elec. Analysis'!$A$193&amp;"'!"&amp;"$A$5:$CA$100"),VLOOKUP('Elec. Analysis'!$A$194, $K$677:$M$736, 2, FALSE),FALSE))</f>
        <v>94.564390313877794</v>
      </c>
      <c r="I720" s="1374"/>
      <c r="J720" s="1374"/>
      <c r="K720" s="656" t="str">
        <f ca="1">IF(INDIRECT("'"&amp;'Elec. Analysis'!$A$193&amp;"'!"&amp;$M720&amp;"5")=0, "", INDIRECT("'"&amp;'Elec. Analysis'!$A$193&amp;"'!"&amp;$M720&amp;"5"))</f>
        <v/>
      </c>
      <c r="L720" s="1398">
        <v>46</v>
      </c>
      <c r="M720" s="1020" t="str">
        <f t="shared" si="183"/>
        <v>AT</v>
      </c>
      <c r="N720" s="1374"/>
      <c r="O720" s="1024">
        <v>41214</v>
      </c>
      <c r="P720" s="827">
        <f ca="1">VLOOKUP($O720,INDIRECT("'"&amp;P$709&amp;"'!"&amp;"$A$5:$CA$100"),VLOOKUP('NG Analysis'!$A$157,$O$685:$R$699,COLUMN(P$685) - COLUMN($O$685) + 1,FALSE),FALSE)</f>
        <v>3.5409999999999999</v>
      </c>
      <c r="Q720" s="827">
        <f ca="1">VLOOKUP($O720,INDIRECT("'"&amp;Q$709&amp;"'!"&amp;"$A$5:$CA$100"),VLOOKUP('NG Analysis'!$A$157,$O$685:$R$699,COLUMN(Q$685) - COLUMN($O$685) + 1,FALSE),FALSE)</f>
        <v>3.573</v>
      </c>
      <c r="R720" s="827">
        <f ca="1">VLOOKUP($O720,INDIRECT("'"&amp;R$709&amp;"'!"&amp;"$A$5:$CA$100"),VLOOKUP('NG Analysis'!$A$157,$O$685:$R$699,COLUMN(R$685) - COLUMN($O$685) + 1,FALSE),FALSE)</f>
        <v>3.3730000000000002</v>
      </c>
      <c r="S720" s="1374"/>
      <c r="T720" s="708">
        <f>IF(AND($O754&lt;=DATE('NG Analysis'!$T$195, 12,1),$O754&gt;=DATE('NG Analysis'!$T$194, 1, 1)), $O754, NA())</f>
        <v>42248</v>
      </c>
      <c r="U720" s="1273">
        <f ca="1">IF($T720="",NA(),VLOOKUP($T720, INDIRECT("'" &amp;'NG Analysis'!$A$194&amp;"'!"&amp;"$A$5:$CA$100"),VLOOKUP('NG Analysis'!$A$195, $X$676:$Z$735, 2, FALSE),FALSE))</f>
        <v>67.369676375690318</v>
      </c>
      <c r="V720" s="1374"/>
      <c r="W720" s="1374"/>
      <c r="X720" s="656" t="str">
        <f ca="1">IF(INDIRECT("'"&amp;'NG Analysis'!$A$194&amp;"'!"&amp;$Z720&amp;"5")=0, "", INDIRECT("'"&amp;'NG Analysis'!$A$194&amp;"'!"&amp;$Z720&amp;"5"))</f>
        <v>Provincial DRT Consumption</v>
      </c>
      <c r="Y720" s="1398">
        <v>47</v>
      </c>
      <c r="Z720" s="1020" t="str">
        <f t="shared" si="182"/>
        <v>AU</v>
      </c>
      <c r="AA720" s="1439"/>
    </row>
    <row r="721" spans="1:27" x14ac:dyDescent="0.3">
      <c r="A721" s="1036">
        <v>41306</v>
      </c>
      <c r="B721" s="706">
        <f ca="1">IF('Elec. Analysis'!$A$156=$A$696,VLOOKUP($A721,INDIRECT("'"&amp;B$707&amp;"'!"&amp;"$A$5:$CA$100"),VLOOKUP($A$695,$A$688:$E$703,COLUMN(B$688) - COLUMN($A$688) +1,FALSE),FALSE) + VLOOKUP($A721,INDIRECT("'"&amp;B$707&amp;"'!"&amp;"$A$5:$CA$100"),VLOOKUP($A$694,$A$688:$E$703,COLUMN(B$688) - COLUMN($A$688) +1,FALSE),FALSE),IF('Elec. Analysis'!$A$156=$A$699,VLOOKUP($A721,INDIRECT("'"&amp;B$707&amp;"'!"&amp;"$A$5:$CA$100"),VLOOKUP($A$698,$A$688:$E$703,COLUMN(B$688) - COLUMN($A$688) +1,FALSE),FALSE) - VLOOKUP($A721,INDIRECT("'"&amp;B$707&amp;"'!"&amp;"$A$5:$CA$100"),VLOOKUP($A$700,$A$688:$E$703,COLUMN(B$688) - COLUMN($A$688) +1,FALSE),FALSE),VLOOKUP($A721,INDIRECT("'"&amp;B$707&amp;"'!"&amp;"$A$5:$CA$100"),VLOOKUP('Elec. Analysis'!$A$156,$A$688:$E$703,COLUMN(B$688) - COLUMN($A$688) +1,FALSE),FALSE)))</f>
        <v>7.6902999999999997</v>
      </c>
      <c r="C721" s="706">
        <f ca="1">IF('Elec. Analysis'!$A$156=$A$696,VLOOKUP($A721,INDIRECT("'"&amp;C$707&amp;"'!"&amp;"$A$5:$CA$100"),VLOOKUP($A$695,$A$688:$E$703,COLUMN(C$688) - COLUMN($A$688) +1,FALSE),FALSE) + VLOOKUP($A721,INDIRECT("'"&amp;C$707&amp;"'!"&amp;"$A$5:$CA$100"),VLOOKUP($A$694,$A$688:$E$703,COLUMN(C$688) - COLUMN($A$688) +1,FALSE),FALSE),IF('Elec. Analysis'!$A$156=$A$699,VLOOKUP($A721,INDIRECT("'"&amp;C$707&amp;"'!"&amp;"$A$5:$CA$100"),VLOOKUP($A$698,$A$688:$E$703,COLUMN(C$688) - COLUMN($A$688) +1,FALSE),FALSE) - VLOOKUP($A721,INDIRECT("'"&amp;C$707&amp;"'!"&amp;"$A$5:$CA$100"),VLOOKUP($A$700,$A$688:$E$703,COLUMN(C$688) - COLUMN($A$688) +1,FALSE),FALSE),VLOOKUP($A721,INDIRECT("'"&amp;C$707&amp;"'!"&amp;"$A$5:$CA$100"),VLOOKUP('Elec. Analysis'!$A$156,$A$688:$E$703,COLUMN(C$688) - COLUMN($A$688) +1,FALSE),FALSE)))</f>
        <v>7.5229999999999997</v>
      </c>
      <c r="D721" s="706">
        <f ca="1">IF('Elec. Analysis'!$A$156=$A$696,VLOOKUP($A721,INDIRECT("'"&amp;D$707&amp;"'!"&amp;"$A$5:$CA$100"),VLOOKUP($A$695,$A$688:$E$703,COLUMN(D$688) - COLUMN($A$688) +1,FALSE),FALSE) + VLOOKUP($A721,INDIRECT("'"&amp;D$707&amp;"'!"&amp;"$A$5:$CA$100"),VLOOKUP($A$694,$A$688:$E$703,COLUMN(D$688) - COLUMN($A$688) +1,FALSE),FALSE),IF('Elec. Analysis'!$A$156=$A$699,VLOOKUP($A721,INDIRECT("'"&amp;D$707&amp;"'!"&amp;"$A$5:$CA$100"),VLOOKUP($A$698,$A$688:$E$703,COLUMN(D$688) - COLUMN($A$688) +1,FALSE),FALSE) - VLOOKUP($A721,INDIRECT("'"&amp;D$707&amp;"'!"&amp;"$A$5:$CA$100"),VLOOKUP($A$700,$A$688:$E$703,COLUMN(D$688) - COLUMN($A$688) +1,FALSE),FALSE),VLOOKUP($A721,INDIRECT("'"&amp;D$707&amp;"'!"&amp;"$A$5:$CA$100"),VLOOKUP('Elec. Analysis'!$A$156,$A$688:$E$703,COLUMN(D$688) - COLUMN($A$688) +1,FALSE),FALSE)))</f>
        <v>7.327</v>
      </c>
      <c r="E721" s="706">
        <f ca="1">IF('Elec. Analysis'!$A$156=$A$696,VLOOKUP($A721,INDIRECT("'"&amp;E$707&amp;"'!"&amp;"$A$5:$CA$100"),VLOOKUP($A$695,$A$688:$E$703,COLUMN(E$688) - COLUMN($A$688) +1,FALSE),FALSE) + VLOOKUP($A721,INDIRECT("'"&amp;E$707&amp;"'!"&amp;"$A$5:$CA$100"),VLOOKUP($A$694,$A$688:$E$703,COLUMN(E$688) - COLUMN($A$688) +1,FALSE),FALSE),IF('Elec. Analysis'!$A$156=$A$699,VLOOKUP($A721,INDIRECT("'"&amp;E$707&amp;"'!"&amp;"$A$5:$CA$100"),VLOOKUP($A$698,$A$688:$E$703,COLUMN(E$688) - COLUMN($A$688) +1,FALSE),FALSE) - VLOOKUP($A721,INDIRECT("'"&amp;E$707&amp;"'!"&amp;"$A$5:$CA$100"),VLOOKUP($A$700,$A$688:$E$703,COLUMN(E$688) - COLUMN($A$688) +1,FALSE),FALSE),VLOOKUP($A721,INDIRECT("'"&amp;E$707&amp;"'!"&amp;"$A$5:$CA$100"),VLOOKUP('Elec. Analysis'!$A$156,$A$688:$E$703,COLUMN(E$688) - COLUMN($A$688) +1,FALSE),FALSE)))</f>
        <v>7.7560000000000002</v>
      </c>
      <c r="F721" s="1374"/>
      <c r="G721" s="708">
        <f>IF(AND($A752&lt;=DATE('Elec. Analysis'!$T$194, 12,1),$A752&gt;=DATE('Elec. Analysis'!$T$193, 1, 1)), $A752, NA())</f>
        <v>42248</v>
      </c>
      <c r="H721" s="1273">
        <f ca="1">IF($G721="",NA(),VLOOKUP($G721, INDIRECT("'" &amp;'Elec. Analysis'!$A$193&amp;"'!"&amp;"$A$5:$CA$100"),VLOOKUP('Elec. Analysis'!$A$194, $K$677:$M$736, 2, FALSE),FALSE))</f>
        <v>74.719712869783052</v>
      </c>
      <c r="I721" s="1374"/>
      <c r="J721" s="1374"/>
      <c r="K721" s="656" t="str">
        <f ca="1">IF(INDIRECT("'"&amp;'Elec. Analysis'!$A$193&amp;"'!"&amp;$M721&amp;"5")=0, "", INDIRECT("'"&amp;'Elec. Analysis'!$A$193&amp;"'!"&amp;$M721&amp;"5"))</f>
        <v/>
      </c>
      <c r="L721" s="1398">
        <v>47</v>
      </c>
      <c r="M721" s="1020" t="str">
        <f t="shared" si="183"/>
        <v>AU</v>
      </c>
      <c r="N721" s="1374"/>
      <c r="O721" s="1024">
        <v>41244</v>
      </c>
      <c r="P721" s="827">
        <f ca="1">VLOOKUP($O721,INDIRECT("'"&amp;P$709&amp;"'!"&amp;"$A$5:$CA$100"),VLOOKUP('NG Analysis'!$A$157,$O$685:$R$699,COLUMN(P$685) - COLUMN($O$685) + 1,FALSE),FALSE)</f>
        <v>3.5819999999999999</v>
      </c>
      <c r="Q721" s="827">
        <f ca="1">VLOOKUP($O721,INDIRECT("'"&amp;Q$709&amp;"'!"&amp;"$A$5:$CA$100"),VLOOKUP('NG Analysis'!$A$157,$O$685:$R$699,COLUMN(Q$685) - COLUMN($O$685) + 1,FALSE),FALSE)</f>
        <v>3.5419999999999998</v>
      </c>
      <c r="R721" s="827">
        <f ca="1">VLOOKUP($O721,INDIRECT("'"&amp;R$709&amp;"'!"&amp;"$A$5:$CA$100"),VLOOKUP('NG Analysis'!$A$157,$O$685:$R$699,COLUMN(R$685) - COLUMN($O$685) + 1,FALSE),FALSE)</f>
        <v>3.3809999999999998</v>
      </c>
      <c r="S721" s="1374"/>
      <c r="T721" s="708">
        <f>IF(AND($O755&lt;=DATE('NG Analysis'!$T$195, 12,1),$O755&gt;=DATE('NG Analysis'!$T$194, 1, 1)), $O755, NA())</f>
        <v>42278</v>
      </c>
      <c r="U721" s="1273">
        <f ca="1">IF($T721="",NA(),VLOOKUP($T721, INDIRECT("'" &amp;'NG Analysis'!$A$194&amp;"'!"&amp;"$A$5:$CA$100"),VLOOKUP('NG Analysis'!$A$195, $X$676:$Z$735, 2, FALSE),FALSE))</f>
        <v>77.714134720691305</v>
      </c>
      <c r="V721" s="1374"/>
      <c r="W721" s="1374"/>
      <c r="X721" s="656" t="str">
        <f ca="1">IF(INDIRECT("'"&amp;'NG Analysis'!$A$194&amp;"'!"&amp;$Z721&amp;"5")=0, "", INDIRECT("'"&amp;'NG Analysis'!$A$194&amp;"'!"&amp;$Z721&amp;"5"))</f>
        <v>Detached Home Consumption</v>
      </c>
      <c r="Y721" s="1398">
        <v>48</v>
      </c>
      <c r="Z721" s="1020" t="str">
        <f t="shared" si="182"/>
        <v>AV</v>
      </c>
      <c r="AA721" s="1439"/>
    </row>
    <row r="722" spans="1:27" x14ac:dyDescent="0.3">
      <c r="A722" s="1036">
        <v>41334</v>
      </c>
      <c r="B722" s="706">
        <f ca="1">IF('Elec. Analysis'!$A$156=$A$696,VLOOKUP($A722,INDIRECT("'"&amp;B$707&amp;"'!"&amp;"$A$5:$CA$100"),VLOOKUP($A$695,$A$688:$E$703,COLUMN(B$688) - COLUMN($A$688) +1,FALSE),FALSE) + VLOOKUP($A722,INDIRECT("'"&amp;B$707&amp;"'!"&amp;"$A$5:$CA$100"),VLOOKUP($A$694,$A$688:$E$703,COLUMN(B$688) - COLUMN($A$688) +1,FALSE),FALSE),IF('Elec. Analysis'!$A$156=$A$699,VLOOKUP($A722,INDIRECT("'"&amp;B$707&amp;"'!"&amp;"$A$5:$CA$100"),VLOOKUP($A$698,$A$688:$E$703,COLUMN(B$688) - COLUMN($A$688) +1,FALSE),FALSE) - VLOOKUP($A722,INDIRECT("'"&amp;B$707&amp;"'!"&amp;"$A$5:$CA$100"),VLOOKUP($A$700,$A$688:$E$703,COLUMN(B$688) - COLUMN($A$688) +1,FALSE),FALSE),VLOOKUP($A722,INDIRECT("'"&amp;B$707&amp;"'!"&amp;"$A$5:$CA$100"),VLOOKUP('Elec. Analysis'!$A$156,$A$688:$E$703,COLUMN(B$688) - COLUMN($A$688) +1,FALSE),FALSE)))</f>
        <v>7.2336</v>
      </c>
      <c r="C722" s="706">
        <f ca="1">IF('Elec. Analysis'!$A$156=$A$696,VLOOKUP($A722,INDIRECT("'"&amp;C$707&amp;"'!"&amp;"$A$5:$CA$100"),VLOOKUP($A$695,$A$688:$E$703,COLUMN(C$688) - COLUMN($A$688) +1,FALSE),FALSE) + VLOOKUP($A722,INDIRECT("'"&amp;C$707&amp;"'!"&amp;"$A$5:$CA$100"),VLOOKUP($A$694,$A$688:$E$703,COLUMN(C$688) - COLUMN($A$688) +1,FALSE),FALSE),IF('Elec. Analysis'!$A$156=$A$699,VLOOKUP($A722,INDIRECT("'"&amp;C$707&amp;"'!"&amp;"$A$5:$CA$100"),VLOOKUP($A$698,$A$688:$E$703,COLUMN(C$688) - COLUMN($A$688) +1,FALSE),FALSE) - VLOOKUP($A722,INDIRECT("'"&amp;C$707&amp;"'!"&amp;"$A$5:$CA$100"),VLOOKUP($A$700,$A$688:$E$703,COLUMN(C$688) - COLUMN($A$688) +1,FALSE),FALSE),VLOOKUP($A722,INDIRECT("'"&amp;C$707&amp;"'!"&amp;"$A$5:$CA$100"),VLOOKUP('Elec. Analysis'!$A$156,$A$688:$E$703,COLUMN(C$688) - COLUMN($A$688) +1,FALSE),FALSE)))</f>
        <v>7.2880000000000003</v>
      </c>
      <c r="D722" s="706">
        <f ca="1">IF('Elec. Analysis'!$A$156=$A$696,VLOOKUP($A722,INDIRECT("'"&amp;D$707&amp;"'!"&amp;"$A$5:$CA$100"),VLOOKUP($A$695,$A$688:$E$703,COLUMN(D$688) - COLUMN($A$688) +1,FALSE),FALSE) + VLOOKUP($A722,INDIRECT("'"&amp;D$707&amp;"'!"&amp;"$A$5:$CA$100"),VLOOKUP($A$694,$A$688:$E$703,COLUMN(D$688) - COLUMN($A$688) +1,FALSE),FALSE),IF('Elec. Analysis'!$A$156=$A$699,VLOOKUP($A722,INDIRECT("'"&amp;D$707&amp;"'!"&amp;"$A$5:$CA$100"),VLOOKUP($A$698,$A$688:$E$703,COLUMN(D$688) - COLUMN($A$688) +1,FALSE),FALSE) - VLOOKUP($A722,INDIRECT("'"&amp;D$707&amp;"'!"&amp;"$A$5:$CA$100"),VLOOKUP($A$700,$A$688:$E$703,COLUMN(D$688) - COLUMN($A$688) +1,FALSE),FALSE),VLOOKUP($A722,INDIRECT("'"&amp;D$707&amp;"'!"&amp;"$A$5:$CA$100"),VLOOKUP('Elec. Analysis'!$A$156,$A$688:$E$703,COLUMN(D$688) - COLUMN($A$688) +1,FALSE),FALSE)))</f>
        <v>7.12</v>
      </c>
      <c r="E722" s="706">
        <f ca="1">IF('Elec. Analysis'!$A$156=$A$696,VLOOKUP($A722,INDIRECT("'"&amp;E$707&amp;"'!"&amp;"$A$5:$CA$100"),VLOOKUP($A$695,$A$688:$E$703,COLUMN(E$688) - COLUMN($A$688) +1,FALSE),FALSE) + VLOOKUP($A722,INDIRECT("'"&amp;E$707&amp;"'!"&amp;"$A$5:$CA$100"),VLOOKUP($A$694,$A$688:$E$703,COLUMN(E$688) - COLUMN($A$688) +1,FALSE),FALSE),IF('Elec. Analysis'!$A$156=$A$699,VLOOKUP($A722,INDIRECT("'"&amp;E$707&amp;"'!"&amp;"$A$5:$CA$100"),VLOOKUP($A$698,$A$688:$E$703,COLUMN(E$688) - COLUMN($A$688) +1,FALSE),FALSE) - VLOOKUP($A722,INDIRECT("'"&amp;E$707&amp;"'!"&amp;"$A$5:$CA$100"),VLOOKUP($A$700,$A$688:$E$703,COLUMN(E$688) - COLUMN($A$688) +1,FALSE),FALSE),VLOOKUP($A722,INDIRECT("'"&amp;E$707&amp;"'!"&amp;"$A$5:$CA$100"),VLOOKUP('Elec. Analysis'!$A$156,$A$688:$E$703,COLUMN(E$688) - COLUMN($A$688) +1,FALSE),FALSE)))</f>
        <v>7.3250000000000002</v>
      </c>
      <c r="F722" s="1374"/>
      <c r="G722" s="708">
        <f>IF(AND($A753&lt;=DATE('Elec. Analysis'!$T$194, 12,1),$A753&gt;=DATE('Elec. Analysis'!$T$193, 1, 1)), $A753, NA())</f>
        <v>42278</v>
      </c>
      <c r="H722" s="1273">
        <f ca="1">IF($G722="",NA(),VLOOKUP($G722, INDIRECT("'" &amp;'Elec. Analysis'!$A$193&amp;"'!"&amp;"$A$5:$CA$100"),VLOOKUP('Elec. Analysis'!$A$194, $K$677:$M$736, 2, FALSE),FALSE))</f>
        <v>84.375683962990621</v>
      </c>
      <c r="I722" s="1374"/>
      <c r="J722" s="1374"/>
      <c r="K722" s="656" t="str">
        <f ca="1">IF(INDIRECT("'"&amp;'Elec. Analysis'!$A$193&amp;"'!"&amp;$M722&amp;"5")=0, "", INDIRECT("'"&amp;'Elec. Analysis'!$A$193&amp;"'!"&amp;$M722&amp;"5"))</f>
        <v/>
      </c>
      <c r="L722" s="1398">
        <v>48</v>
      </c>
      <c r="M722" s="1020" t="str">
        <f t="shared" si="183"/>
        <v>AV</v>
      </c>
      <c r="N722" s="1374"/>
      <c r="O722" s="1024">
        <v>41275</v>
      </c>
      <c r="P722" s="827">
        <f ca="1">VLOOKUP($O722,INDIRECT("'"&amp;P$709&amp;"'!"&amp;"$A$5:$CA$100"),VLOOKUP('NG Analysis'!$A$157,$O$685:$R$699,COLUMN(P$685) - COLUMN($O$685) + 1,FALSE),FALSE)</f>
        <v>2.8149999999999999</v>
      </c>
      <c r="Q722" s="827">
        <f ca="1">VLOOKUP($O722,INDIRECT("'"&amp;Q$709&amp;"'!"&amp;"$A$5:$CA$100"),VLOOKUP('NG Analysis'!$A$157,$O$685:$R$699,COLUMN(Q$685) - COLUMN($O$685) + 1,FALSE),FALSE)</f>
        <v>2.9169999999999998</v>
      </c>
      <c r="R722" s="827">
        <f ca="1">VLOOKUP($O722,INDIRECT("'"&amp;R$709&amp;"'!"&amp;"$A$5:$CA$100"),VLOOKUP('NG Analysis'!$A$157,$O$685:$R$699,COLUMN(R$685) - COLUMN($O$685) + 1,FALSE),FALSE)</f>
        <v>2.8519999999999999</v>
      </c>
      <c r="S722" s="1374"/>
      <c r="T722" s="708">
        <f>IF(AND($O756&lt;=DATE('NG Analysis'!$T$195, 12,1),$O756&gt;=DATE('NG Analysis'!$T$194, 1, 1)), $O756, NA())</f>
        <v>42309</v>
      </c>
      <c r="U722" s="1273">
        <f ca="1">IF($T722="",NA(),VLOOKUP($T722, INDIRECT("'" &amp;'NG Analysis'!$A$194&amp;"'!"&amp;"$A$5:$CA$100"),VLOOKUP('NG Analysis'!$A$195, $X$676:$Z$735, 2, FALSE),FALSE))</f>
        <v>106.91253460289242</v>
      </c>
      <c r="V722" s="1374"/>
      <c r="W722" s="1374"/>
      <c r="X722" s="656" t="str">
        <f ca="1">IF(INDIRECT("'"&amp;'NG Analysis'!$A$194&amp;"'!"&amp;$Z722&amp;"5")=0, "", INDIRECT("'"&amp;'NG Analysis'!$A$194&amp;"'!"&amp;$Z722&amp;"5"))</f>
        <v>Attached Home Consumption</v>
      </c>
      <c r="Y722" s="1398">
        <v>49</v>
      </c>
      <c r="Z722" s="1020" t="str">
        <f t="shared" si="182"/>
        <v>AW</v>
      </c>
      <c r="AA722" s="1439"/>
    </row>
    <row r="723" spans="1:27" x14ac:dyDescent="0.3">
      <c r="A723" s="1036">
        <v>41365</v>
      </c>
      <c r="B723" s="706">
        <f ca="1">IF('Elec. Analysis'!$A$156=$A$696,VLOOKUP($A723,INDIRECT("'"&amp;B$707&amp;"'!"&amp;"$A$5:$CA$100"),VLOOKUP($A$695,$A$688:$E$703,COLUMN(B$688) - COLUMN($A$688) +1,FALSE),FALSE) + VLOOKUP($A723,INDIRECT("'"&amp;B$707&amp;"'!"&amp;"$A$5:$CA$100"),VLOOKUP($A$694,$A$688:$E$703,COLUMN(B$688) - COLUMN($A$688) +1,FALSE),FALSE),IF('Elec. Analysis'!$A$156=$A$699,VLOOKUP($A723,INDIRECT("'"&amp;B$707&amp;"'!"&amp;"$A$5:$CA$100"),VLOOKUP($A$698,$A$688:$E$703,COLUMN(B$688) - COLUMN($A$688) +1,FALSE),FALSE) - VLOOKUP($A723,INDIRECT("'"&amp;B$707&amp;"'!"&amp;"$A$5:$CA$100"),VLOOKUP($A$700,$A$688:$E$703,COLUMN(B$688) - COLUMN($A$688) +1,FALSE),FALSE),VLOOKUP($A723,INDIRECT("'"&amp;B$707&amp;"'!"&amp;"$A$5:$CA$100"),VLOOKUP('Elec. Analysis'!$A$156,$A$688:$E$703,COLUMN(B$688) - COLUMN($A$688) +1,FALSE),FALSE)))</f>
        <v>8.3926999999999996</v>
      </c>
      <c r="C723" s="706">
        <f ca="1">IF('Elec. Analysis'!$A$156=$A$696,VLOOKUP($A723,INDIRECT("'"&amp;C$707&amp;"'!"&amp;"$A$5:$CA$100"),VLOOKUP($A$695,$A$688:$E$703,COLUMN(C$688) - COLUMN($A$688) +1,FALSE),FALSE) + VLOOKUP($A723,INDIRECT("'"&amp;C$707&amp;"'!"&amp;"$A$5:$CA$100"),VLOOKUP($A$694,$A$688:$E$703,COLUMN(C$688) - COLUMN($A$688) +1,FALSE),FALSE),IF('Elec. Analysis'!$A$156=$A$699,VLOOKUP($A723,INDIRECT("'"&amp;C$707&amp;"'!"&amp;"$A$5:$CA$100"),VLOOKUP($A$698,$A$688:$E$703,COLUMN(C$688) - COLUMN($A$688) +1,FALSE),FALSE) - VLOOKUP($A723,INDIRECT("'"&amp;C$707&amp;"'!"&amp;"$A$5:$CA$100"),VLOOKUP($A$700,$A$688:$E$703,COLUMN(C$688) - COLUMN($A$688) +1,FALSE),FALSE),VLOOKUP($A723,INDIRECT("'"&amp;C$707&amp;"'!"&amp;"$A$5:$CA$100"),VLOOKUP('Elec. Analysis'!$A$156,$A$688:$E$703,COLUMN(C$688) - COLUMN($A$688) +1,FALSE),FALSE)))</f>
        <v>8.2059999999999995</v>
      </c>
      <c r="D723" s="706">
        <f ca="1">IF('Elec. Analysis'!$A$156=$A$696,VLOOKUP($A723,INDIRECT("'"&amp;D$707&amp;"'!"&amp;"$A$5:$CA$100"),VLOOKUP($A$695,$A$688:$E$703,COLUMN(D$688) - COLUMN($A$688) +1,FALSE),FALSE) + VLOOKUP($A723,INDIRECT("'"&amp;D$707&amp;"'!"&amp;"$A$5:$CA$100"),VLOOKUP($A$694,$A$688:$E$703,COLUMN(D$688) - COLUMN($A$688) +1,FALSE),FALSE),IF('Elec. Analysis'!$A$156=$A$699,VLOOKUP($A723,INDIRECT("'"&amp;D$707&amp;"'!"&amp;"$A$5:$CA$100"),VLOOKUP($A$698,$A$688:$E$703,COLUMN(D$688) - COLUMN($A$688) +1,FALSE),FALSE) - VLOOKUP($A723,INDIRECT("'"&amp;D$707&amp;"'!"&amp;"$A$5:$CA$100"),VLOOKUP($A$700,$A$688:$E$703,COLUMN(D$688) - COLUMN($A$688) +1,FALSE),FALSE),VLOOKUP($A723,INDIRECT("'"&amp;D$707&amp;"'!"&amp;"$A$5:$CA$100"),VLOOKUP('Elec. Analysis'!$A$156,$A$688:$E$703,COLUMN(D$688) - COLUMN($A$688) +1,FALSE),FALSE)))</f>
        <v>8.0039999999999996</v>
      </c>
      <c r="E723" s="706">
        <f ca="1">IF('Elec. Analysis'!$A$156=$A$696,VLOOKUP($A723,INDIRECT("'"&amp;E$707&amp;"'!"&amp;"$A$5:$CA$100"),VLOOKUP($A$695,$A$688:$E$703,COLUMN(E$688) - COLUMN($A$688) +1,FALSE),FALSE) + VLOOKUP($A723,INDIRECT("'"&amp;E$707&amp;"'!"&amp;"$A$5:$CA$100"),VLOOKUP($A$694,$A$688:$E$703,COLUMN(E$688) - COLUMN($A$688) +1,FALSE),FALSE),IF('Elec. Analysis'!$A$156=$A$699,VLOOKUP($A723,INDIRECT("'"&amp;E$707&amp;"'!"&amp;"$A$5:$CA$100"),VLOOKUP($A$698,$A$688:$E$703,COLUMN(E$688) - COLUMN($A$688) +1,FALSE),FALSE) - VLOOKUP($A723,INDIRECT("'"&amp;E$707&amp;"'!"&amp;"$A$5:$CA$100"),VLOOKUP($A$700,$A$688:$E$703,COLUMN(E$688) - COLUMN($A$688) +1,FALSE),FALSE),VLOOKUP($A723,INDIRECT("'"&amp;E$707&amp;"'!"&amp;"$A$5:$CA$100"),VLOOKUP('Elec. Analysis'!$A$156,$A$688:$E$703,COLUMN(E$688) - COLUMN($A$688) +1,FALSE),FALSE)))</f>
        <v>8.4890000000000008</v>
      </c>
      <c r="F723" s="1374"/>
      <c r="G723" s="708">
        <f>IF(AND($A754&lt;=DATE('Elec. Analysis'!$T$194, 12,1),$A754&gt;=DATE('Elec. Analysis'!$T$193, 1, 1)), $A754, NA())</f>
        <v>42309</v>
      </c>
      <c r="H723" s="1273">
        <f ca="1">IF($G723="",NA(),VLOOKUP($G723, INDIRECT("'" &amp;'Elec. Analysis'!$A$193&amp;"'!"&amp;"$A$5:$CA$100"),VLOOKUP('Elec. Analysis'!$A$194, $K$677:$M$736, 2, FALSE),FALSE))</f>
        <v>84.990315900775997</v>
      </c>
      <c r="I723" s="1374"/>
      <c r="J723" s="1374"/>
      <c r="K723" s="656" t="str">
        <f ca="1">IF(INDIRECT("'"&amp;'Elec. Analysis'!$A$193&amp;"'!"&amp;$M723&amp;"5")=0, "", INDIRECT("'"&amp;'Elec. Analysis'!$A$193&amp;"'!"&amp;$M723&amp;"5"))</f>
        <v/>
      </c>
      <c r="L723" s="1398">
        <v>49</v>
      </c>
      <c r="M723" s="1020" t="str">
        <f t="shared" si="183"/>
        <v>AW</v>
      </c>
      <c r="N723" s="1374"/>
      <c r="O723" s="1024">
        <v>41306</v>
      </c>
      <c r="P723" s="827">
        <f ca="1">VLOOKUP($O723,INDIRECT("'"&amp;P$709&amp;"'!"&amp;"$A$5:$CA$100"),VLOOKUP('NG Analysis'!$A$157,$O$685:$R$699,COLUMN(P$685) - COLUMN($O$685) + 1,FALSE),FALSE)</f>
        <v>3.129</v>
      </c>
      <c r="Q723" s="827">
        <f ca="1">VLOOKUP($O723,INDIRECT("'"&amp;Q$709&amp;"'!"&amp;"$A$5:$CA$100"),VLOOKUP('NG Analysis'!$A$157,$O$685:$R$699,COLUMN(Q$685) - COLUMN($O$685) + 1,FALSE),FALSE)</f>
        <v>3.2530000000000001</v>
      </c>
      <c r="R723" s="827">
        <f ca="1">VLOOKUP($O723,INDIRECT("'"&amp;R$709&amp;"'!"&amp;"$A$5:$CA$100"),VLOOKUP('NG Analysis'!$A$157,$O$685:$R$699,COLUMN(R$685) - COLUMN($O$685) + 1,FALSE),FALSE)</f>
        <v>2.8639999999999999</v>
      </c>
      <c r="S723" s="1374"/>
      <c r="T723" s="708">
        <f>IF(AND($O757&lt;=DATE('NG Analysis'!$T$195, 12,1),$O757&gt;=DATE('NG Analysis'!$T$194, 1, 1)), $O757, NA())</f>
        <v>42339</v>
      </c>
      <c r="U723" s="1273">
        <f ca="1">IF($T723="",NA(),VLOOKUP($T723, INDIRECT("'" &amp;'NG Analysis'!$A$194&amp;"'!"&amp;"$A$5:$CA$100"),VLOOKUP('NG Analysis'!$A$195, $X$676:$Z$735, 2, FALSE),FALSE))</f>
        <v>121.49629415484651</v>
      </c>
      <c r="V723" s="1374"/>
      <c r="W723" s="1374"/>
      <c r="X723" s="656" t="str">
        <f ca="1">IF(INDIRECT("'"&amp;'NG Analysis'!$A$194&amp;"'!"&amp;$Z723&amp;"5")=0, "", INDIRECT("'"&amp;'NG Analysis'!$A$194&amp;"'!"&amp;$Z723&amp;"5"))</f>
        <v>2015 Detached Average Consumption</v>
      </c>
      <c r="Y723" s="1398">
        <v>50</v>
      </c>
      <c r="Z723" s="1020" t="str">
        <f t="shared" si="182"/>
        <v>AX</v>
      </c>
      <c r="AA723" s="1439"/>
    </row>
    <row r="724" spans="1:27" x14ac:dyDescent="0.3">
      <c r="A724" s="1036">
        <v>41395</v>
      </c>
      <c r="B724" s="706">
        <f ca="1">IF('Elec. Analysis'!$A$156=$A$696,VLOOKUP($A724,INDIRECT("'"&amp;B$707&amp;"'!"&amp;"$A$5:$CA$100"),VLOOKUP($A$695,$A$688:$E$703,COLUMN(B$688) - COLUMN($A$688) +1,FALSE),FALSE) + VLOOKUP($A724,INDIRECT("'"&amp;B$707&amp;"'!"&amp;"$A$5:$CA$100"),VLOOKUP($A$694,$A$688:$E$703,COLUMN(B$688) - COLUMN($A$688) +1,FALSE),FALSE),IF('Elec. Analysis'!$A$156=$A$699,VLOOKUP($A724,INDIRECT("'"&amp;B$707&amp;"'!"&amp;"$A$5:$CA$100"),VLOOKUP($A$698,$A$688:$E$703,COLUMN(B$688) - COLUMN($A$688) +1,FALSE),FALSE) - VLOOKUP($A724,INDIRECT("'"&amp;B$707&amp;"'!"&amp;"$A$5:$CA$100"),VLOOKUP($A$700,$A$688:$E$703,COLUMN(B$688) - COLUMN($A$688) +1,FALSE),FALSE),VLOOKUP($A724,INDIRECT("'"&amp;B$707&amp;"'!"&amp;"$A$5:$CA$100"),VLOOKUP('Elec. Analysis'!$A$156,$A$688:$E$703,COLUMN(B$688) - COLUMN($A$688) +1,FALSE),FALSE)))</f>
        <v>7.2154999999999996</v>
      </c>
      <c r="C724" s="706">
        <f ca="1">IF('Elec. Analysis'!$A$156=$A$696,VLOOKUP($A724,INDIRECT("'"&amp;C$707&amp;"'!"&amp;"$A$5:$CA$100"),VLOOKUP($A$695,$A$688:$E$703,COLUMN(C$688) - COLUMN($A$688) +1,FALSE),FALSE) + VLOOKUP($A724,INDIRECT("'"&amp;C$707&amp;"'!"&amp;"$A$5:$CA$100"),VLOOKUP($A$694,$A$688:$E$703,COLUMN(C$688) - COLUMN($A$688) +1,FALSE),FALSE),IF('Elec. Analysis'!$A$156=$A$699,VLOOKUP($A724,INDIRECT("'"&amp;C$707&amp;"'!"&amp;"$A$5:$CA$100"),VLOOKUP($A$698,$A$688:$E$703,COLUMN(C$688) - COLUMN($A$688) +1,FALSE),FALSE) - VLOOKUP($A724,INDIRECT("'"&amp;C$707&amp;"'!"&amp;"$A$5:$CA$100"),VLOOKUP($A$700,$A$688:$E$703,COLUMN(C$688) - COLUMN($A$688) +1,FALSE),FALSE),VLOOKUP($A724,INDIRECT("'"&amp;C$707&amp;"'!"&amp;"$A$5:$CA$100"),VLOOKUP('Elec. Analysis'!$A$156,$A$688:$E$703,COLUMN(C$688) - COLUMN($A$688) +1,FALSE),FALSE)))</f>
        <v>7.1</v>
      </c>
      <c r="D724" s="706">
        <f ca="1">IF('Elec. Analysis'!$A$156=$A$696,VLOOKUP($A724,INDIRECT("'"&amp;D$707&amp;"'!"&amp;"$A$5:$CA$100"),VLOOKUP($A$695,$A$688:$E$703,COLUMN(D$688) - COLUMN($A$688) +1,FALSE),FALSE) + VLOOKUP($A724,INDIRECT("'"&amp;D$707&amp;"'!"&amp;"$A$5:$CA$100"),VLOOKUP($A$694,$A$688:$E$703,COLUMN(D$688) - COLUMN($A$688) +1,FALSE),FALSE),IF('Elec. Analysis'!$A$156=$A$699,VLOOKUP($A724,INDIRECT("'"&amp;D$707&amp;"'!"&amp;"$A$5:$CA$100"),VLOOKUP($A$698,$A$688:$E$703,COLUMN(D$688) - COLUMN($A$688) +1,FALSE),FALSE) - VLOOKUP($A724,INDIRECT("'"&amp;D$707&amp;"'!"&amp;"$A$5:$CA$100"),VLOOKUP($A$700,$A$688:$E$703,COLUMN(D$688) - COLUMN($A$688) +1,FALSE),FALSE),VLOOKUP($A724,INDIRECT("'"&amp;D$707&amp;"'!"&amp;"$A$5:$CA$100"),VLOOKUP('Elec. Analysis'!$A$156,$A$688:$E$703,COLUMN(D$688) - COLUMN($A$688) +1,FALSE),FALSE)))</f>
        <v>6.8949999999999996</v>
      </c>
      <c r="E724" s="706">
        <f ca="1">IF('Elec. Analysis'!$A$156=$A$696,VLOOKUP($A724,INDIRECT("'"&amp;E$707&amp;"'!"&amp;"$A$5:$CA$100"),VLOOKUP($A$695,$A$688:$E$703,COLUMN(E$688) - COLUMN($A$688) +1,FALSE),FALSE) + VLOOKUP($A724,INDIRECT("'"&amp;E$707&amp;"'!"&amp;"$A$5:$CA$100"),VLOOKUP($A$694,$A$688:$E$703,COLUMN(E$688) - COLUMN($A$688) +1,FALSE),FALSE),IF('Elec. Analysis'!$A$156=$A$699,VLOOKUP($A724,INDIRECT("'"&amp;E$707&amp;"'!"&amp;"$A$5:$CA$100"),VLOOKUP($A$698,$A$688:$E$703,COLUMN(E$688) - COLUMN($A$688) +1,FALSE),FALSE) - VLOOKUP($A724,INDIRECT("'"&amp;E$707&amp;"'!"&amp;"$A$5:$CA$100"),VLOOKUP($A$700,$A$688:$E$703,COLUMN(E$688) - COLUMN($A$688) +1,FALSE),FALSE),VLOOKUP($A724,INDIRECT("'"&amp;E$707&amp;"'!"&amp;"$A$5:$CA$100"),VLOOKUP('Elec. Analysis'!$A$156,$A$688:$E$703,COLUMN(E$688) - COLUMN($A$688) +1,FALSE),FALSE)))</f>
        <v>7.2270000000000003</v>
      </c>
      <c r="F724" s="1374"/>
      <c r="G724" s="708">
        <f>IF(AND($A755&lt;=DATE('Elec. Analysis'!$T$194, 12,1),$A755&gt;=DATE('Elec. Analysis'!$T$193, 1, 1)), $A755, NA())</f>
        <v>42339</v>
      </c>
      <c r="H724" s="1273">
        <f ca="1">IF($G724="",NA(),VLOOKUP($G724, INDIRECT("'" &amp;'Elec. Analysis'!$A$193&amp;"'!"&amp;"$A$5:$CA$100"),VLOOKUP('Elec. Analysis'!$A$194, $K$677:$M$736, 2, FALSE),FALSE))</f>
        <v>95.604645306803775</v>
      </c>
      <c r="I724" s="1374"/>
      <c r="J724" s="1374"/>
      <c r="K724" s="656" t="str">
        <f ca="1">IF(INDIRECT("'"&amp;'Elec. Analysis'!$A$193&amp;"'!"&amp;$M724&amp;"5")=0, "", INDIRECT("'"&amp;'Elec. Analysis'!$A$193&amp;"'!"&amp;$M724&amp;"5"))</f>
        <v/>
      </c>
      <c r="L724" s="1398">
        <v>50</v>
      </c>
      <c r="M724" s="1020" t="str">
        <f t="shared" si="183"/>
        <v>AX</v>
      </c>
      <c r="N724" s="1374"/>
      <c r="O724" s="1024">
        <v>41334</v>
      </c>
      <c r="P724" s="827">
        <f ca="1">VLOOKUP($O724,INDIRECT("'"&amp;P$709&amp;"'!"&amp;"$A$5:$CA$100"),VLOOKUP('NG Analysis'!$A$157,$O$685:$R$699,COLUMN(P$685) - COLUMN($O$685) + 1,FALSE),FALSE)</f>
        <v>2.931</v>
      </c>
      <c r="Q724" s="827">
        <f ca="1">VLOOKUP($O724,INDIRECT("'"&amp;Q$709&amp;"'!"&amp;"$A$5:$CA$100"),VLOOKUP('NG Analysis'!$A$157,$O$685:$R$699,COLUMN(Q$685) - COLUMN($O$685) + 1,FALSE),FALSE)</f>
        <v>2.8439999999999999</v>
      </c>
      <c r="R724" s="827">
        <f ca="1">VLOOKUP($O724,INDIRECT("'"&amp;R$709&amp;"'!"&amp;"$A$5:$CA$100"),VLOOKUP('NG Analysis'!$A$157,$O$685:$R$699,COLUMN(R$685) - COLUMN($O$685) + 1,FALSE),FALSE)</f>
        <v>2.5939999999999999</v>
      </c>
      <c r="S724" s="1374"/>
      <c r="T724" s="708">
        <f>IF(AND($O758&lt;=DATE('NG Analysis'!$T$195, 12,1),$O758&gt;=DATE('NG Analysis'!$T$194, 1, 1)), $O758, NA())</f>
        <v>42370</v>
      </c>
      <c r="U724" s="1273">
        <f ca="1">IF($T724="",NA(),VLOOKUP($T724, INDIRECT("'" &amp;'NG Analysis'!$A$194&amp;"'!"&amp;"$A$5:$CA$100"),VLOOKUP('NG Analysis'!$A$195, $X$676:$Z$735, 2, FALSE),FALSE))</f>
        <v>113.66527840807856</v>
      </c>
      <c r="V724" s="1374"/>
      <c r="W724" s="1374"/>
      <c r="X724" s="656" t="str">
        <f ca="1">IF(INDIRECT("'"&amp;'NG Analysis'!$A$194&amp;"'!"&amp;$Z724&amp;"5")=0, "", INDIRECT("'"&amp;'NG Analysis'!$A$194&amp;"'!"&amp;$Z724&amp;"5"))</f>
        <v>Manually-Entered Consumption</v>
      </c>
      <c r="Y724" s="1398">
        <v>51</v>
      </c>
      <c r="Z724" s="1020" t="str">
        <f t="shared" si="182"/>
        <v>AY</v>
      </c>
      <c r="AA724" s="1439"/>
    </row>
    <row r="725" spans="1:27" x14ac:dyDescent="0.3">
      <c r="A725" s="1036">
        <v>41426</v>
      </c>
      <c r="B725" s="706">
        <f ca="1">IF('Elec. Analysis'!$A$156=$A$696,VLOOKUP($A725,INDIRECT("'"&amp;B$707&amp;"'!"&amp;"$A$5:$CA$100"),VLOOKUP($A$695,$A$688:$E$703,COLUMN(B$688) - COLUMN($A$688) +1,FALSE),FALSE) + VLOOKUP($A725,INDIRECT("'"&amp;B$707&amp;"'!"&amp;"$A$5:$CA$100"),VLOOKUP($A$694,$A$688:$E$703,COLUMN(B$688) - COLUMN($A$688) +1,FALSE),FALSE),IF('Elec. Analysis'!$A$156=$A$699,VLOOKUP($A725,INDIRECT("'"&amp;B$707&amp;"'!"&amp;"$A$5:$CA$100"),VLOOKUP($A$698,$A$688:$E$703,COLUMN(B$688) - COLUMN($A$688) +1,FALSE),FALSE) - VLOOKUP($A725,INDIRECT("'"&amp;B$707&amp;"'!"&amp;"$A$5:$CA$100"),VLOOKUP($A$700,$A$688:$E$703,COLUMN(B$688) - COLUMN($A$688) +1,FALSE),FALSE),VLOOKUP($A725,INDIRECT("'"&amp;B$707&amp;"'!"&amp;"$A$5:$CA$100"),VLOOKUP('Elec. Analysis'!$A$156,$A$688:$E$703,COLUMN(B$688) - COLUMN($A$688) +1,FALSE),FALSE)))</f>
        <v>7.7211999999999996</v>
      </c>
      <c r="C725" s="706">
        <f ca="1">IF('Elec. Analysis'!$A$156=$A$696,VLOOKUP($A725,INDIRECT("'"&amp;C$707&amp;"'!"&amp;"$A$5:$CA$100"),VLOOKUP($A$695,$A$688:$E$703,COLUMN(C$688) - COLUMN($A$688) +1,FALSE),FALSE) + VLOOKUP($A725,INDIRECT("'"&amp;C$707&amp;"'!"&amp;"$A$5:$CA$100"),VLOOKUP($A$694,$A$688:$E$703,COLUMN(C$688) - COLUMN($A$688) +1,FALSE),FALSE),IF('Elec. Analysis'!$A$156=$A$699,VLOOKUP($A725,INDIRECT("'"&amp;C$707&amp;"'!"&amp;"$A$5:$CA$100"),VLOOKUP($A$698,$A$688:$E$703,COLUMN(C$688) - COLUMN($A$688) +1,FALSE),FALSE) - VLOOKUP($A725,INDIRECT("'"&amp;C$707&amp;"'!"&amp;"$A$5:$CA$100"),VLOOKUP($A$700,$A$688:$E$703,COLUMN(C$688) - COLUMN($A$688) +1,FALSE),FALSE),VLOOKUP($A725,INDIRECT("'"&amp;C$707&amp;"'!"&amp;"$A$5:$CA$100"),VLOOKUP('Elec. Analysis'!$A$156,$A$688:$E$703,COLUMN(C$688) - COLUMN($A$688) +1,FALSE),FALSE)))</f>
        <v>7.0739999999999998</v>
      </c>
      <c r="D725" s="706">
        <f ca="1">IF('Elec. Analysis'!$A$156=$A$696,VLOOKUP($A725,INDIRECT("'"&amp;D$707&amp;"'!"&amp;"$A$5:$CA$100"),VLOOKUP($A$695,$A$688:$E$703,COLUMN(D$688) - COLUMN($A$688) +1,FALSE),FALSE) + VLOOKUP($A725,INDIRECT("'"&amp;D$707&amp;"'!"&amp;"$A$5:$CA$100"),VLOOKUP($A$694,$A$688:$E$703,COLUMN(D$688) - COLUMN($A$688) +1,FALSE),FALSE),IF('Elec. Analysis'!$A$156=$A$699,VLOOKUP($A725,INDIRECT("'"&amp;D$707&amp;"'!"&amp;"$A$5:$CA$100"),VLOOKUP($A$698,$A$688:$E$703,COLUMN(D$688) - COLUMN($A$688) +1,FALSE),FALSE) - VLOOKUP($A725,INDIRECT("'"&amp;D$707&amp;"'!"&amp;"$A$5:$CA$100"),VLOOKUP($A$700,$A$688:$E$703,COLUMN(D$688) - COLUMN($A$688) +1,FALSE),FALSE),VLOOKUP($A725,INDIRECT("'"&amp;D$707&amp;"'!"&amp;"$A$5:$CA$100"),VLOOKUP('Elec. Analysis'!$A$156,$A$688:$E$703,COLUMN(D$688) - COLUMN($A$688) +1,FALSE),FALSE)))</f>
        <v>6.867</v>
      </c>
      <c r="E725" s="706">
        <f ca="1">IF('Elec. Analysis'!$A$156=$A$696,VLOOKUP($A725,INDIRECT("'"&amp;E$707&amp;"'!"&amp;"$A$5:$CA$100"),VLOOKUP($A$695,$A$688:$E$703,COLUMN(E$688) - COLUMN($A$688) +1,FALSE),FALSE) + VLOOKUP($A725,INDIRECT("'"&amp;E$707&amp;"'!"&amp;"$A$5:$CA$100"),VLOOKUP($A$694,$A$688:$E$703,COLUMN(E$688) - COLUMN($A$688) +1,FALSE),FALSE),IF('Elec. Analysis'!$A$156=$A$699,VLOOKUP($A725,INDIRECT("'"&amp;E$707&amp;"'!"&amp;"$A$5:$CA$100"),VLOOKUP($A$698,$A$688:$E$703,COLUMN(E$688) - COLUMN($A$688) +1,FALSE),FALSE) - VLOOKUP($A725,INDIRECT("'"&amp;E$707&amp;"'!"&amp;"$A$5:$CA$100"),VLOOKUP($A$700,$A$688:$E$703,COLUMN(E$688) - COLUMN($A$688) +1,FALSE),FALSE),VLOOKUP($A725,INDIRECT("'"&amp;E$707&amp;"'!"&amp;"$A$5:$CA$100"),VLOOKUP('Elec. Analysis'!$A$156,$A$688:$E$703,COLUMN(E$688) - COLUMN($A$688) +1,FALSE),FALSE)))</f>
        <v>7.7969999999999997</v>
      </c>
      <c r="F725" s="1374"/>
      <c r="G725" s="708">
        <f>IF(AND($A756&lt;=DATE('Elec. Analysis'!$T$194, 12,1),$A756&gt;=DATE('Elec. Analysis'!$T$193, 1, 1)), $A756, NA())</f>
        <v>42370</v>
      </c>
      <c r="H725" s="1273">
        <f ca="1">IF($G725="",NA(),VLOOKUP($G725, INDIRECT("'" &amp;'Elec. Analysis'!$A$193&amp;"'!"&amp;"$A$5:$CA$100"),VLOOKUP('Elec. Analysis'!$A$194, $K$677:$M$736, 2, FALSE),FALSE))</f>
        <v>92.292263290884136</v>
      </c>
      <c r="I725" s="1374"/>
      <c r="J725" s="1374"/>
      <c r="K725" s="656" t="str">
        <f ca="1">IF(INDIRECT("'"&amp;'Elec. Analysis'!$A$193&amp;"'!"&amp;$M725&amp;"5")=0, "", INDIRECT("'"&amp;'Elec. Analysis'!$A$193&amp;"'!"&amp;$M725&amp;"5"))</f>
        <v/>
      </c>
      <c r="L725" s="1398">
        <v>51</v>
      </c>
      <c r="M725" s="1020" t="str">
        <f t="shared" si="183"/>
        <v>AY</v>
      </c>
      <c r="N725" s="1374"/>
      <c r="O725" s="1024">
        <v>41365</v>
      </c>
      <c r="P725" s="827">
        <f ca="1">VLOOKUP($O725,INDIRECT("'"&amp;P$709&amp;"'!"&amp;"$A$5:$CA$100"),VLOOKUP('NG Analysis'!$A$157,$O$685:$R$699,COLUMN(P$685) - COLUMN($O$685) + 1,FALSE),FALSE)</f>
        <v>3.762</v>
      </c>
      <c r="Q725" s="827">
        <f ca="1">VLOOKUP($O725,INDIRECT("'"&amp;Q$709&amp;"'!"&amp;"$A$5:$CA$100"),VLOOKUP('NG Analysis'!$A$157,$O$685:$R$699,COLUMN(Q$685) - COLUMN($O$685) + 1,FALSE),FALSE)</f>
        <v>3.472</v>
      </c>
      <c r="R725" s="827">
        <f ca="1">VLOOKUP($O725,INDIRECT("'"&amp;R$709&amp;"'!"&amp;"$A$5:$CA$100"),VLOOKUP('NG Analysis'!$A$157,$O$685:$R$699,COLUMN(R$685) - COLUMN($O$685) + 1,FALSE),FALSE)</f>
        <v>3.306</v>
      </c>
      <c r="S725" s="1374"/>
      <c r="T725" s="708">
        <f>IF(AND($O759&lt;=DATE('NG Analysis'!$T$195, 12,1),$O759&gt;=DATE('NG Analysis'!$T$194, 1, 1)), $O759, NA())</f>
        <v>42401</v>
      </c>
      <c r="U725" s="1273">
        <f ca="1">IF($T725="",NA(),VLOOKUP($T725, INDIRECT("'" &amp;'NG Analysis'!$A$194&amp;"'!"&amp;"$A$5:$CA$100"),VLOOKUP('NG Analysis'!$A$195, $X$676:$Z$735, 2, FALSE),FALSE))</f>
        <v>102.15330785558639</v>
      </c>
      <c r="V725" s="1374"/>
      <c r="W725" s="1374"/>
      <c r="X725" s="656" t="str">
        <f ca="1">IF(INDIRECT("'"&amp;'NG Analysis'!$A$194&amp;"'!"&amp;$Z725&amp;"5")=0, "", INDIRECT("'"&amp;'NG Analysis'!$A$194&amp;"'!"&amp;$Z725&amp;"5"))</f>
        <v>Custom Energy Rate</v>
      </c>
      <c r="Y725" s="1398">
        <v>52</v>
      </c>
      <c r="Z725" s="1020" t="str">
        <f t="shared" si="182"/>
        <v>AZ</v>
      </c>
      <c r="AA725" s="1439"/>
    </row>
    <row r="726" spans="1:27" x14ac:dyDescent="0.3">
      <c r="A726" s="1036">
        <v>41456</v>
      </c>
      <c r="B726" s="706">
        <f ca="1">IF('Elec. Analysis'!$A$156=$A$696,VLOOKUP($A726,INDIRECT("'"&amp;B$707&amp;"'!"&amp;"$A$5:$CA$100"),VLOOKUP($A$695,$A$688:$E$703,COLUMN(B$688) - COLUMN($A$688) +1,FALSE),FALSE) + VLOOKUP($A726,INDIRECT("'"&amp;B$707&amp;"'!"&amp;"$A$5:$CA$100"),VLOOKUP($A$694,$A$688:$E$703,COLUMN(B$688) - COLUMN($A$688) +1,FALSE),FALSE),IF('Elec. Analysis'!$A$156=$A$699,VLOOKUP($A726,INDIRECT("'"&amp;B$707&amp;"'!"&amp;"$A$5:$CA$100"),VLOOKUP($A$698,$A$688:$E$703,COLUMN(B$688) - COLUMN($A$688) +1,FALSE),FALSE) - VLOOKUP($A726,INDIRECT("'"&amp;B$707&amp;"'!"&amp;"$A$5:$CA$100"),VLOOKUP($A$700,$A$688:$E$703,COLUMN(B$688) - COLUMN($A$688) +1,FALSE),FALSE),VLOOKUP($A726,INDIRECT("'"&amp;B$707&amp;"'!"&amp;"$A$5:$CA$100"),VLOOKUP('Elec. Analysis'!$A$156,$A$688:$E$703,COLUMN(B$688) - COLUMN($A$688) +1,FALSE),FALSE)))</f>
        <v>11.292999999999999</v>
      </c>
      <c r="C726" s="706">
        <f ca="1">IF('Elec. Analysis'!$A$156=$A$696,VLOOKUP($A726,INDIRECT("'"&amp;C$707&amp;"'!"&amp;"$A$5:$CA$100"),VLOOKUP($A$695,$A$688:$E$703,COLUMN(C$688) - COLUMN($A$688) +1,FALSE),FALSE) + VLOOKUP($A726,INDIRECT("'"&amp;C$707&amp;"'!"&amp;"$A$5:$CA$100"),VLOOKUP($A$694,$A$688:$E$703,COLUMN(C$688) - COLUMN($A$688) +1,FALSE),FALSE),IF('Elec. Analysis'!$A$156=$A$699,VLOOKUP($A726,INDIRECT("'"&amp;C$707&amp;"'!"&amp;"$A$5:$CA$100"),VLOOKUP($A$698,$A$688:$E$703,COLUMN(C$688) - COLUMN($A$688) +1,FALSE),FALSE) - VLOOKUP($A726,INDIRECT("'"&amp;C$707&amp;"'!"&amp;"$A$5:$CA$100"),VLOOKUP($A$700,$A$688:$E$703,COLUMN(C$688) - COLUMN($A$688) +1,FALSE),FALSE),VLOOKUP($A726,INDIRECT("'"&amp;C$707&amp;"'!"&amp;"$A$5:$CA$100"),VLOOKUP('Elec. Analysis'!$A$156,$A$688:$E$703,COLUMN(C$688) - COLUMN($A$688) +1,FALSE),FALSE)))</f>
        <v>10.76</v>
      </c>
      <c r="D726" s="706">
        <f ca="1">IF('Elec. Analysis'!$A$156=$A$696,VLOOKUP($A726,INDIRECT("'"&amp;D$707&amp;"'!"&amp;"$A$5:$CA$100"),VLOOKUP($A$695,$A$688:$E$703,COLUMN(D$688) - COLUMN($A$688) +1,FALSE),FALSE) + VLOOKUP($A726,INDIRECT("'"&amp;D$707&amp;"'!"&amp;"$A$5:$CA$100"),VLOOKUP($A$694,$A$688:$E$703,COLUMN(D$688) - COLUMN($A$688) +1,FALSE),FALSE),IF('Elec. Analysis'!$A$156=$A$699,VLOOKUP($A726,INDIRECT("'"&amp;D$707&amp;"'!"&amp;"$A$5:$CA$100"),VLOOKUP($A$698,$A$688:$E$703,COLUMN(D$688) - COLUMN($A$688) +1,FALSE),FALSE) - VLOOKUP($A726,INDIRECT("'"&amp;D$707&amp;"'!"&amp;"$A$5:$CA$100"),VLOOKUP($A$700,$A$688:$E$703,COLUMN(D$688) - COLUMN($A$688) +1,FALSE),FALSE),VLOOKUP($A726,INDIRECT("'"&amp;D$707&amp;"'!"&amp;"$A$5:$CA$100"),VLOOKUP('Elec. Analysis'!$A$156,$A$688:$E$703,COLUMN(D$688) - COLUMN($A$688) +1,FALSE),FALSE)))</f>
        <v>10.465</v>
      </c>
      <c r="E726" s="706">
        <f ca="1">IF('Elec. Analysis'!$A$156=$A$696,VLOOKUP($A726,INDIRECT("'"&amp;E$707&amp;"'!"&amp;"$A$5:$CA$100"),VLOOKUP($A$695,$A$688:$E$703,COLUMN(E$688) - COLUMN($A$688) +1,FALSE),FALSE) + VLOOKUP($A726,INDIRECT("'"&amp;E$707&amp;"'!"&amp;"$A$5:$CA$100"),VLOOKUP($A$694,$A$688:$E$703,COLUMN(E$688) - COLUMN($A$688) +1,FALSE),FALSE),IF('Elec. Analysis'!$A$156=$A$699,VLOOKUP($A726,INDIRECT("'"&amp;E$707&amp;"'!"&amp;"$A$5:$CA$100"),VLOOKUP($A$698,$A$688:$E$703,COLUMN(E$688) - COLUMN($A$688) +1,FALSE),FALSE) - VLOOKUP($A726,INDIRECT("'"&amp;E$707&amp;"'!"&amp;"$A$5:$CA$100"),VLOOKUP($A$700,$A$688:$E$703,COLUMN(E$688) - COLUMN($A$688) +1,FALSE),FALSE),VLOOKUP($A726,INDIRECT("'"&amp;E$707&amp;"'!"&amp;"$A$5:$CA$100"),VLOOKUP('Elec. Analysis'!$A$156,$A$688:$E$703,COLUMN(E$688) - COLUMN($A$688) +1,FALSE),FALSE)))</f>
        <v>11.314</v>
      </c>
      <c r="F726" s="1374"/>
      <c r="G726" s="708">
        <f>IF(AND($A757&lt;=DATE('Elec. Analysis'!$T$194, 12,1),$A757&gt;=DATE('Elec. Analysis'!$T$193, 1, 1)), $A757, NA())</f>
        <v>42401</v>
      </c>
      <c r="H726" s="1273">
        <f ca="1">IF($G726="",NA(),VLOOKUP($G726, INDIRECT("'" &amp;'Elec. Analysis'!$A$193&amp;"'!"&amp;"$A$5:$CA$100"),VLOOKUP('Elec. Analysis'!$A$194, $K$677:$M$736, 2, FALSE),FALSE))</f>
        <v>79.919934134559725</v>
      </c>
      <c r="I726" s="1374"/>
      <c r="J726" s="1374"/>
      <c r="K726" s="656" t="str">
        <f ca="1">IF(INDIRECT("'"&amp;'Elec. Analysis'!$A$193&amp;"'!"&amp;$M726&amp;"5")=0, "", INDIRECT("'"&amp;'Elec. Analysis'!$A$193&amp;"'!"&amp;$M726&amp;"5"))</f>
        <v/>
      </c>
      <c r="L726" s="1398">
        <v>52</v>
      </c>
      <c r="M726" s="1020" t="str">
        <f t="shared" si="183"/>
        <v>AZ</v>
      </c>
      <c r="N726" s="1374"/>
      <c r="O726" s="1024">
        <v>41395</v>
      </c>
      <c r="P726" s="827">
        <f ca="1">VLOOKUP($O726,INDIRECT("'"&amp;P$709&amp;"'!"&amp;"$A$5:$CA$100"),VLOOKUP('NG Analysis'!$A$157,$O$685:$R$699,COLUMN(P$685) - COLUMN($O$685) + 1,FALSE),FALSE)</f>
        <v>4.1879999999999997</v>
      </c>
      <c r="Q726" s="827">
        <f ca="1">VLOOKUP($O726,INDIRECT("'"&amp;Q$709&amp;"'!"&amp;"$A$5:$CA$100"),VLOOKUP('NG Analysis'!$A$157,$O$685:$R$699,COLUMN(Q$685) - COLUMN($O$685) + 1,FALSE),FALSE)</f>
        <v>4.1459999999999999</v>
      </c>
      <c r="R726" s="827">
        <f ca="1">VLOOKUP($O726,INDIRECT("'"&amp;R$709&amp;"'!"&amp;"$A$5:$CA$100"),VLOOKUP('NG Analysis'!$A$157,$O$685:$R$699,COLUMN(R$685) - COLUMN($O$685) + 1,FALSE),FALSE)</f>
        <v>2.8780000000000001</v>
      </c>
      <c r="S726" s="1374"/>
      <c r="T726" s="708">
        <f>IF(AND($O760&lt;=DATE('NG Analysis'!$T$195, 12,1),$O760&gt;=DATE('NG Analysis'!$T$194, 1, 1)), $O760, NA())</f>
        <v>42430</v>
      </c>
      <c r="U726" s="1273">
        <f ca="1">IF($T726="",NA(),VLOOKUP($T726, INDIRECT("'" &amp;'NG Analysis'!$A$194&amp;"'!"&amp;"$A$5:$CA$100"),VLOOKUP('NG Analysis'!$A$195, $X$676:$Z$735, 2, FALSE),FALSE))</f>
        <v>92.032924561641124</v>
      </c>
      <c r="V726" s="1374"/>
      <c r="W726" s="1374"/>
      <c r="X726" s="656" t="str">
        <f ca="1">IF(INDIRECT("'"&amp;'NG Analysis'!$A$194&amp;"'!"&amp;$Z726&amp;"5")=0, "", INDIRECT("'"&amp;'NG Analysis'!$A$194&amp;"'!"&amp;$Z726&amp;"5"))</f>
        <v>Custom Administration Rate</v>
      </c>
      <c r="Y726" s="1398">
        <v>53</v>
      </c>
      <c r="Z726" s="1020" t="str">
        <f t="shared" si="182"/>
        <v>BA</v>
      </c>
      <c r="AA726" s="1439"/>
    </row>
    <row r="727" spans="1:27" x14ac:dyDescent="0.3">
      <c r="A727" s="1036">
        <v>41487</v>
      </c>
      <c r="B727" s="706">
        <f ca="1">IF('Elec. Analysis'!$A$156=$A$696,VLOOKUP($A727,INDIRECT("'"&amp;B$707&amp;"'!"&amp;"$A$5:$CA$100"),VLOOKUP($A$695,$A$688:$E$703,COLUMN(B$688) - COLUMN($A$688) +1,FALSE),FALSE) + VLOOKUP($A727,INDIRECT("'"&amp;B$707&amp;"'!"&amp;"$A$5:$CA$100"),VLOOKUP($A$694,$A$688:$E$703,COLUMN(B$688) - COLUMN($A$688) +1,FALSE),FALSE),IF('Elec. Analysis'!$A$156=$A$699,VLOOKUP($A727,INDIRECT("'"&amp;B$707&amp;"'!"&amp;"$A$5:$CA$100"),VLOOKUP($A$698,$A$688:$E$703,COLUMN(B$688) - COLUMN($A$688) +1,FALSE),FALSE) - VLOOKUP($A727,INDIRECT("'"&amp;B$707&amp;"'!"&amp;"$A$5:$CA$100"),VLOOKUP($A$700,$A$688:$E$703,COLUMN(B$688) - COLUMN($A$688) +1,FALSE),FALSE),VLOOKUP($A727,INDIRECT("'"&amp;B$707&amp;"'!"&amp;"$A$5:$CA$100"),VLOOKUP('Elec. Analysis'!$A$156,$A$688:$E$703,COLUMN(B$688) - COLUMN($A$688) +1,FALSE),FALSE)))</f>
        <v>11.211</v>
      </c>
      <c r="C727" s="706">
        <f ca="1">IF('Elec. Analysis'!$A$156=$A$696,VLOOKUP($A727,INDIRECT("'"&amp;C$707&amp;"'!"&amp;"$A$5:$CA$100"),VLOOKUP($A$695,$A$688:$E$703,COLUMN(C$688) - COLUMN($A$688) +1,FALSE),FALSE) + VLOOKUP($A727,INDIRECT("'"&amp;C$707&amp;"'!"&amp;"$A$5:$CA$100"),VLOOKUP($A$694,$A$688:$E$703,COLUMN(C$688) - COLUMN($A$688) +1,FALSE),FALSE),IF('Elec. Analysis'!$A$156=$A$699,VLOOKUP($A727,INDIRECT("'"&amp;C$707&amp;"'!"&amp;"$A$5:$CA$100"),VLOOKUP($A$698,$A$688:$E$703,COLUMN(C$688) - COLUMN($A$688) +1,FALSE),FALSE) - VLOOKUP($A727,INDIRECT("'"&amp;C$707&amp;"'!"&amp;"$A$5:$CA$100"),VLOOKUP($A$700,$A$688:$E$703,COLUMN(C$688) - COLUMN($A$688) +1,FALSE),FALSE),VLOOKUP($A727,INDIRECT("'"&amp;C$707&amp;"'!"&amp;"$A$5:$CA$100"),VLOOKUP('Elec. Analysis'!$A$156,$A$688:$E$703,COLUMN(C$688) - COLUMN($A$688) +1,FALSE),FALSE)))</f>
        <v>11.406000000000001</v>
      </c>
      <c r="D727" s="706">
        <f ca="1">IF('Elec. Analysis'!$A$156=$A$696,VLOOKUP($A727,INDIRECT("'"&amp;D$707&amp;"'!"&amp;"$A$5:$CA$100"),VLOOKUP($A$695,$A$688:$E$703,COLUMN(D$688) - COLUMN($A$688) +1,FALSE),FALSE) + VLOOKUP($A727,INDIRECT("'"&amp;D$707&amp;"'!"&amp;"$A$5:$CA$100"),VLOOKUP($A$694,$A$688:$E$703,COLUMN(D$688) - COLUMN($A$688) +1,FALSE),FALSE),IF('Elec. Analysis'!$A$156=$A$699,VLOOKUP($A727,INDIRECT("'"&amp;D$707&amp;"'!"&amp;"$A$5:$CA$100"),VLOOKUP($A$698,$A$688:$E$703,COLUMN(D$688) - COLUMN($A$688) +1,FALSE),FALSE) - VLOOKUP($A727,INDIRECT("'"&amp;D$707&amp;"'!"&amp;"$A$5:$CA$100"),VLOOKUP($A$700,$A$688:$E$703,COLUMN(D$688) - COLUMN($A$688) +1,FALSE),FALSE),VLOOKUP($A727,INDIRECT("'"&amp;D$707&amp;"'!"&amp;"$A$5:$CA$100"),VLOOKUP('Elec. Analysis'!$A$156,$A$688:$E$703,COLUMN(D$688) - COLUMN($A$688) +1,FALSE),FALSE)))</f>
        <v>11.106999999999999</v>
      </c>
      <c r="E727" s="706">
        <f ca="1">IF('Elec. Analysis'!$A$156=$A$696,VLOOKUP($A727,INDIRECT("'"&amp;E$707&amp;"'!"&amp;"$A$5:$CA$100"),VLOOKUP($A$695,$A$688:$E$703,COLUMN(E$688) - COLUMN($A$688) +1,FALSE),FALSE) + VLOOKUP($A727,INDIRECT("'"&amp;E$707&amp;"'!"&amp;"$A$5:$CA$100"),VLOOKUP($A$694,$A$688:$E$703,COLUMN(E$688) - COLUMN($A$688) +1,FALSE),FALSE),IF('Elec. Analysis'!$A$156=$A$699,VLOOKUP($A727,INDIRECT("'"&amp;E$707&amp;"'!"&amp;"$A$5:$CA$100"),VLOOKUP($A$698,$A$688:$E$703,COLUMN(E$688) - COLUMN($A$688) +1,FALSE),FALSE) - VLOOKUP($A727,INDIRECT("'"&amp;E$707&amp;"'!"&amp;"$A$5:$CA$100"),VLOOKUP($A$700,$A$688:$E$703,COLUMN(E$688) - COLUMN($A$688) +1,FALSE),FALSE),VLOOKUP($A727,INDIRECT("'"&amp;E$707&amp;"'!"&amp;"$A$5:$CA$100"),VLOOKUP('Elec. Analysis'!$A$156,$A$688:$E$703,COLUMN(E$688) - COLUMN($A$688) +1,FALSE),FALSE)))</f>
        <v>11.141999999999999</v>
      </c>
      <c r="F727" s="1374"/>
      <c r="G727" s="708">
        <f>IF(AND($A758&lt;=DATE('Elec. Analysis'!$T$194, 12,1),$A758&gt;=DATE('Elec. Analysis'!$T$193, 1, 1)), $A758, NA())</f>
        <v>42430</v>
      </c>
      <c r="H727" s="1273">
        <f ca="1">IF($G727="",NA(),VLOOKUP($G727, INDIRECT("'" &amp;'Elec. Analysis'!$A$193&amp;"'!"&amp;"$A$5:$CA$100"),VLOOKUP('Elec. Analysis'!$A$194, $K$677:$M$736, 2, FALSE),FALSE))</f>
        <v>79.626628662128496</v>
      </c>
      <c r="I727" s="1374"/>
      <c r="J727" s="1374"/>
      <c r="K727" s="656" t="str">
        <f ca="1">IF(INDIRECT("'"&amp;'Elec. Analysis'!$A$193&amp;"'!"&amp;$M727&amp;"5")=0, "", INDIRECT("'"&amp;'Elec. Analysis'!$A$193&amp;"'!"&amp;$M727&amp;"5"))</f>
        <v/>
      </c>
      <c r="L727" s="1398">
        <v>53</v>
      </c>
      <c r="M727" s="1020" t="str">
        <f t="shared" si="183"/>
        <v>BA</v>
      </c>
      <c r="N727" s="1374"/>
      <c r="O727" s="1024">
        <v>41426</v>
      </c>
      <c r="P727" s="827">
        <f ca="1">VLOOKUP($O727,INDIRECT("'"&amp;P$709&amp;"'!"&amp;"$A$5:$CA$100"),VLOOKUP('NG Analysis'!$A$157,$O$685:$R$699,COLUMN(P$685) - COLUMN($O$685) + 1,FALSE),FALSE)</f>
        <v>4.5940000000000003</v>
      </c>
      <c r="Q727" s="827">
        <f ca="1">VLOOKUP($O727,INDIRECT("'"&amp;Q$709&amp;"'!"&amp;"$A$5:$CA$100"),VLOOKUP('NG Analysis'!$A$157,$O$685:$R$699,COLUMN(Q$685) - COLUMN($O$685) + 1,FALSE),FALSE)</f>
        <v>4.2889999999999997</v>
      </c>
      <c r="R727" s="827">
        <f ca="1">VLOOKUP($O727,INDIRECT("'"&amp;R$709&amp;"'!"&amp;"$A$5:$CA$100"),VLOOKUP('NG Analysis'!$A$157,$O$685:$R$699,COLUMN(R$685) - COLUMN($O$685) + 1,FALSE),FALSE)</f>
        <v>3.8969999999999998</v>
      </c>
      <c r="S727" s="1374"/>
      <c r="T727" s="708">
        <f>IF(AND($O761&lt;=DATE('NG Analysis'!$T$195, 12,1),$O761&gt;=DATE('NG Analysis'!$T$194, 1, 1)), $O761, NA())</f>
        <v>42461</v>
      </c>
      <c r="U727" s="1273">
        <f ca="1">IF($T727="",NA(),VLOOKUP($T727, INDIRECT("'" &amp;'NG Analysis'!$A$194&amp;"'!"&amp;"$A$5:$CA$100"),VLOOKUP('NG Analysis'!$A$195, $X$676:$Z$735, 2, FALSE),FALSE))</f>
        <v>57.390607796100561</v>
      </c>
      <c r="V727" s="1374"/>
      <c r="W727" s="1374"/>
      <c r="X727" s="656" t="str">
        <f ca="1">IF(INDIRECT("'"&amp;'NG Analysis'!$A$194&amp;"'!"&amp;$Z727&amp;"5")=0, "", INDIRECT("'"&amp;'NG Analysis'!$A$194&amp;"'!"&amp;$Z727&amp;"5"))</f>
        <v/>
      </c>
      <c r="Y727" s="1398">
        <v>54</v>
      </c>
      <c r="Z727" s="1020" t="str">
        <f t="shared" si="182"/>
        <v>BB</v>
      </c>
      <c r="AA727" s="1439"/>
    </row>
    <row r="728" spans="1:27" x14ac:dyDescent="0.3">
      <c r="A728" s="1036">
        <v>41518</v>
      </c>
      <c r="B728" s="706">
        <f ca="1">IF('Elec. Analysis'!$A$156=$A$696,VLOOKUP($A728,INDIRECT("'"&amp;B$707&amp;"'!"&amp;"$A$5:$CA$100"),VLOOKUP($A$695,$A$688:$E$703,COLUMN(B$688) - COLUMN($A$688) +1,FALSE),FALSE) + VLOOKUP($A728,INDIRECT("'"&amp;B$707&amp;"'!"&amp;"$A$5:$CA$100"),VLOOKUP($A$694,$A$688:$E$703,COLUMN(B$688) - COLUMN($A$688) +1,FALSE),FALSE),IF('Elec. Analysis'!$A$156=$A$699,VLOOKUP($A728,INDIRECT("'"&amp;B$707&amp;"'!"&amp;"$A$5:$CA$100"),VLOOKUP($A$698,$A$688:$E$703,COLUMN(B$688) - COLUMN($A$688) +1,FALSE),FALSE) - VLOOKUP($A728,INDIRECT("'"&amp;B$707&amp;"'!"&amp;"$A$5:$CA$100"),VLOOKUP($A$700,$A$688:$E$703,COLUMN(B$688) - COLUMN($A$688) +1,FALSE),FALSE),VLOOKUP($A728,INDIRECT("'"&amp;B$707&amp;"'!"&amp;"$A$5:$CA$100"),VLOOKUP('Elec. Analysis'!$A$156,$A$688:$E$703,COLUMN(B$688) - COLUMN($A$688) +1,FALSE),FALSE)))</f>
        <v>10.948</v>
      </c>
      <c r="C728" s="706">
        <f ca="1">IF('Elec. Analysis'!$A$156=$A$696,VLOOKUP($A728,INDIRECT("'"&amp;C$707&amp;"'!"&amp;"$A$5:$CA$100"),VLOOKUP($A$695,$A$688:$E$703,COLUMN(C$688) - COLUMN($A$688) +1,FALSE),FALSE) + VLOOKUP($A728,INDIRECT("'"&amp;C$707&amp;"'!"&amp;"$A$5:$CA$100"),VLOOKUP($A$694,$A$688:$E$703,COLUMN(C$688) - COLUMN($A$688) +1,FALSE),FALSE),IF('Elec. Analysis'!$A$156=$A$699,VLOOKUP($A728,INDIRECT("'"&amp;C$707&amp;"'!"&amp;"$A$5:$CA$100"),VLOOKUP($A$698,$A$688:$E$703,COLUMN(C$688) - COLUMN($A$688) +1,FALSE),FALSE) - VLOOKUP($A728,INDIRECT("'"&amp;C$707&amp;"'!"&amp;"$A$5:$CA$100"),VLOOKUP($A$700,$A$688:$E$703,COLUMN(C$688) - COLUMN($A$688) +1,FALSE),FALSE),VLOOKUP($A728,INDIRECT("'"&amp;C$707&amp;"'!"&amp;"$A$5:$CA$100"),VLOOKUP('Elec. Analysis'!$A$156,$A$688:$E$703,COLUMN(C$688) - COLUMN($A$688) +1,FALSE),FALSE)))</f>
        <v>10.522</v>
      </c>
      <c r="D728" s="706">
        <f ca="1">IF('Elec. Analysis'!$A$156=$A$696,VLOOKUP($A728,INDIRECT("'"&amp;D$707&amp;"'!"&amp;"$A$5:$CA$100"),VLOOKUP($A$695,$A$688:$E$703,COLUMN(D$688) - COLUMN($A$688) +1,FALSE),FALSE) + VLOOKUP($A728,INDIRECT("'"&amp;D$707&amp;"'!"&amp;"$A$5:$CA$100"),VLOOKUP($A$694,$A$688:$E$703,COLUMN(D$688) - COLUMN($A$688) +1,FALSE),FALSE),IF('Elec. Analysis'!$A$156=$A$699,VLOOKUP($A728,INDIRECT("'"&amp;D$707&amp;"'!"&amp;"$A$5:$CA$100"),VLOOKUP($A$698,$A$688:$E$703,COLUMN(D$688) - COLUMN($A$688) +1,FALSE),FALSE) - VLOOKUP($A728,INDIRECT("'"&amp;D$707&amp;"'!"&amp;"$A$5:$CA$100"),VLOOKUP($A$700,$A$688:$E$703,COLUMN(D$688) - COLUMN($A$688) +1,FALSE),FALSE),VLOOKUP($A728,INDIRECT("'"&amp;D$707&amp;"'!"&amp;"$A$5:$CA$100"),VLOOKUP('Elec. Analysis'!$A$156,$A$688:$E$703,COLUMN(D$688) - COLUMN($A$688) +1,FALSE),FALSE)))</f>
        <v>10.247999999999999</v>
      </c>
      <c r="E728" s="706">
        <f ca="1">IF('Elec. Analysis'!$A$156=$A$696,VLOOKUP($A728,INDIRECT("'"&amp;E$707&amp;"'!"&amp;"$A$5:$CA$100"),VLOOKUP($A$695,$A$688:$E$703,COLUMN(E$688) - COLUMN($A$688) +1,FALSE),FALSE) + VLOOKUP($A728,INDIRECT("'"&amp;E$707&amp;"'!"&amp;"$A$5:$CA$100"),VLOOKUP($A$694,$A$688:$E$703,COLUMN(E$688) - COLUMN($A$688) +1,FALSE),FALSE),IF('Elec. Analysis'!$A$156=$A$699,VLOOKUP($A728,INDIRECT("'"&amp;E$707&amp;"'!"&amp;"$A$5:$CA$100"),VLOOKUP($A$698,$A$688:$E$703,COLUMN(E$688) - COLUMN($A$688) +1,FALSE),FALSE) - VLOOKUP($A728,INDIRECT("'"&amp;E$707&amp;"'!"&amp;"$A$5:$CA$100"),VLOOKUP($A$700,$A$688:$E$703,COLUMN(E$688) - COLUMN($A$688) +1,FALSE),FALSE),VLOOKUP($A728,INDIRECT("'"&amp;E$707&amp;"'!"&amp;"$A$5:$CA$100"),VLOOKUP('Elec. Analysis'!$A$156,$A$688:$E$703,COLUMN(E$688) - COLUMN($A$688) +1,FALSE),FALSE)))</f>
        <v>11.632</v>
      </c>
      <c r="F728" s="1374"/>
      <c r="G728" s="1096">
        <f>IF(AND($A759&lt;=DATE('Elec. Analysis'!$T$194, 12,1),$A759&gt;=DATE('Elec. Analysis'!$T$193, 1, 1)), $A759, NA())</f>
        <v>42461</v>
      </c>
      <c r="H728" s="1274">
        <f ca="1">IF($G728="",NA(),VLOOKUP($G728, INDIRECT("'" &amp;'Elec. Analysis'!$A$193&amp;"'!"&amp;"$A$5:$CA$100"),VLOOKUP('Elec. Analysis'!$A$194, $K$677:$M$736, 2, FALSE),FALSE))</f>
        <v>66.143398610381837</v>
      </c>
      <c r="I728" s="1374"/>
      <c r="J728" s="1374"/>
      <c r="K728" s="656" t="str">
        <f ca="1">IF(INDIRECT("'"&amp;'Elec. Analysis'!$A$193&amp;"'!"&amp;$M728&amp;"5")=0, "", INDIRECT("'"&amp;'Elec. Analysis'!$A$193&amp;"'!"&amp;$M728&amp;"5"))</f>
        <v/>
      </c>
      <c r="L728" s="1398">
        <v>54</v>
      </c>
      <c r="M728" s="1020" t="str">
        <f t="shared" si="183"/>
        <v>BB</v>
      </c>
      <c r="N728" s="1374"/>
      <c r="O728" s="1024">
        <v>41456</v>
      </c>
      <c r="P728" s="827">
        <f ca="1">VLOOKUP($O728,INDIRECT("'"&amp;P$709&amp;"'!"&amp;"$A$5:$CA$100"),VLOOKUP('NG Analysis'!$A$157,$O$685:$R$699,COLUMN(P$685) - COLUMN($O$685) + 1,FALSE),FALSE)</f>
        <v>1.8540000000000001</v>
      </c>
      <c r="Q728" s="827">
        <f ca="1">VLOOKUP($O728,INDIRECT("'"&amp;Q$709&amp;"'!"&amp;"$A$5:$CA$100"),VLOOKUP('NG Analysis'!$A$157,$O$685:$R$699,COLUMN(Q$685) - COLUMN($O$685) + 1,FALSE),FALSE)</f>
        <v>2.9260000000000002</v>
      </c>
      <c r="R728" s="827">
        <f ca="1">VLOOKUP($O728,INDIRECT("'"&amp;R$709&amp;"'!"&amp;"$A$5:$CA$100"),VLOOKUP('NG Analysis'!$A$157,$O$685:$R$699,COLUMN(R$685) - COLUMN($O$685) + 1,FALSE),FALSE)</f>
        <v>3.76</v>
      </c>
      <c r="S728" s="1374"/>
      <c r="T728" s="708">
        <f>IF(AND($O762&lt;=DATE('NG Analysis'!$T$195, 12,1),$O762&gt;=DATE('NG Analysis'!$T$194, 1, 1)), $O762, NA())</f>
        <v>42491</v>
      </c>
      <c r="U728" s="1273">
        <f ca="1">IF($T728="",NA(),VLOOKUP($T728, INDIRECT("'" &amp;'NG Analysis'!$A$194&amp;"'!"&amp;"$A$5:$CA$100"),VLOOKUP('NG Analysis'!$A$195, $X$676:$Z$735, 2, FALSE),FALSE))</f>
        <v>55.699575264630532</v>
      </c>
      <c r="V728" s="1374"/>
      <c r="W728" s="1374"/>
      <c r="X728" s="656" t="str">
        <f ca="1">IF(INDIRECT("'"&amp;'NG Analysis'!$A$194&amp;"'!"&amp;$Z728&amp;"5")=0, "", INDIRECT("'"&amp;'NG Analysis'!$A$194&amp;"'!"&amp;$Z728&amp;"5"))</f>
        <v/>
      </c>
      <c r="Y728" s="1398">
        <v>55</v>
      </c>
      <c r="Z728" s="1020" t="str">
        <f t="shared" si="182"/>
        <v>BC</v>
      </c>
      <c r="AA728" s="1439"/>
    </row>
    <row r="729" spans="1:27" x14ac:dyDescent="0.3">
      <c r="A729" s="1036">
        <v>41548</v>
      </c>
      <c r="B729" s="706">
        <f ca="1">IF('Elec. Analysis'!$A$156=$A$696,VLOOKUP($A729,INDIRECT("'"&amp;B$707&amp;"'!"&amp;"$A$5:$CA$100"),VLOOKUP($A$695,$A$688:$E$703,COLUMN(B$688) - COLUMN($A$688) +1,FALSE),FALSE) + VLOOKUP($A729,INDIRECT("'"&amp;B$707&amp;"'!"&amp;"$A$5:$CA$100"),VLOOKUP($A$694,$A$688:$E$703,COLUMN(B$688) - COLUMN($A$688) +1,FALSE),FALSE),IF('Elec. Analysis'!$A$156=$A$699,VLOOKUP($A729,INDIRECT("'"&amp;B$707&amp;"'!"&amp;"$A$5:$CA$100"),VLOOKUP($A$698,$A$688:$E$703,COLUMN(B$688) - COLUMN($A$688) +1,FALSE),FALSE) - VLOOKUP($A729,INDIRECT("'"&amp;B$707&amp;"'!"&amp;"$A$5:$CA$100"),VLOOKUP($A$700,$A$688:$E$703,COLUMN(B$688) - COLUMN($A$688) +1,FALSE),FALSE),VLOOKUP($A729,INDIRECT("'"&amp;B$707&amp;"'!"&amp;"$A$5:$CA$100"),VLOOKUP('Elec. Analysis'!$A$156,$A$688:$E$703,COLUMN(B$688) - COLUMN($A$688) +1,FALSE),FALSE)))</f>
        <v>8.0594000000000001</v>
      </c>
      <c r="C729" s="706">
        <f ca="1">IF('Elec. Analysis'!$A$156=$A$696,VLOOKUP($A729,INDIRECT("'"&amp;C$707&amp;"'!"&amp;"$A$5:$CA$100"),VLOOKUP($A$695,$A$688:$E$703,COLUMN(C$688) - COLUMN($A$688) +1,FALSE),FALSE) + VLOOKUP($A729,INDIRECT("'"&amp;C$707&amp;"'!"&amp;"$A$5:$CA$100"),VLOOKUP($A$694,$A$688:$E$703,COLUMN(C$688) - COLUMN($A$688) +1,FALSE),FALSE),IF('Elec. Analysis'!$A$156=$A$699,VLOOKUP($A729,INDIRECT("'"&amp;C$707&amp;"'!"&amp;"$A$5:$CA$100"),VLOOKUP($A$698,$A$688:$E$703,COLUMN(C$688) - COLUMN($A$688) +1,FALSE),FALSE) - VLOOKUP($A729,INDIRECT("'"&amp;C$707&amp;"'!"&amp;"$A$5:$CA$100"),VLOOKUP($A$700,$A$688:$E$703,COLUMN(C$688) - COLUMN($A$688) +1,FALSE),FALSE),VLOOKUP($A729,INDIRECT("'"&amp;C$707&amp;"'!"&amp;"$A$5:$CA$100"),VLOOKUP('Elec. Analysis'!$A$156,$A$688:$E$703,COLUMN(C$688) - COLUMN($A$688) +1,FALSE),FALSE)))</f>
        <v>8.2319999999999993</v>
      </c>
      <c r="D729" s="706">
        <f ca="1">IF('Elec. Analysis'!$A$156=$A$696,VLOOKUP($A729,INDIRECT("'"&amp;D$707&amp;"'!"&amp;"$A$5:$CA$100"),VLOOKUP($A$695,$A$688:$E$703,COLUMN(D$688) - COLUMN($A$688) +1,FALSE),FALSE) + VLOOKUP($A729,INDIRECT("'"&amp;D$707&amp;"'!"&amp;"$A$5:$CA$100"),VLOOKUP($A$694,$A$688:$E$703,COLUMN(D$688) - COLUMN($A$688) +1,FALSE),FALSE),IF('Elec. Analysis'!$A$156=$A$699,VLOOKUP($A729,INDIRECT("'"&amp;D$707&amp;"'!"&amp;"$A$5:$CA$100"),VLOOKUP($A$698,$A$688:$E$703,COLUMN(D$688) - COLUMN($A$688) +1,FALSE),FALSE) - VLOOKUP($A729,INDIRECT("'"&amp;D$707&amp;"'!"&amp;"$A$5:$CA$100"),VLOOKUP($A$700,$A$688:$E$703,COLUMN(D$688) - COLUMN($A$688) +1,FALSE),FALSE),VLOOKUP($A729,INDIRECT("'"&amp;D$707&amp;"'!"&amp;"$A$5:$CA$100"),VLOOKUP('Elec. Analysis'!$A$156,$A$688:$E$703,COLUMN(D$688) - COLUMN($A$688) +1,FALSE),FALSE)))</f>
        <v>8.0090000000000003</v>
      </c>
      <c r="E729" s="706">
        <f ca="1">IF('Elec. Analysis'!$A$156=$A$696,VLOOKUP($A729,INDIRECT("'"&amp;E$707&amp;"'!"&amp;"$A$5:$CA$100"),VLOOKUP($A$695,$A$688:$E$703,COLUMN(E$688) - COLUMN($A$688) +1,FALSE),FALSE) + VLOOKUP($A729,INDIRECT("'"&amp;E$707&amp;"'!"&amp;"$A$5:$CA$100"),VLOOKUP($A$694,$A$688:$E$703,COLUMN(E$688) - COLUMN($A$688) +1,FALSE),FALSE),IF('Elec. Analysis'!$A$156=$A$699,VLOOKUP($A729,INDIRECT("'"&amp;E$707&amp;"'!"&amp;"$A$5:$CA$100"),VLOOKUP($A$698,$A$688:$E$703,COLUMN(E$688) - COLUMN($A$688) +1,FALSE),FALSE) - VLOOKUP($A729,INDIRECT("'"&amp;E$707&amp;"'!"&amp;"$A$5:$CA$100"),VLOOKUP($A$700,$A$688:$E$703,COLUMN(E$688) - COLUMN($A$688) +1,FALSE),FALSE),VLOOKUP($A729,INDIRECT("'"&amp;E$707&amp;"'!"&amp;"$A$5:$CA$100"),VLOOKUP('Elec. Analysis'!$A$156,$A$688:$E$703,COLUMN(E$688) - COLUMN($A$688) +1,FALSE),FALSE)))</f>
        <v>8.1880000000000006</v>
      </c>
      <c r="F729" s="1374"/>
      <c r="G729" s="708">
        <f>IF(AND($A760&lt;=DATE('Elec. Analysis'!$T$194, 12,1),$A760&gt;=DATE('Elec. Analysis'!$T$193, 1, 1)), $A760, NA())</f>
        <v>42491</v>
      </c>
      <c r="H729" s="1274">
        <f ca="1">IF($G729="",NA(),VLOOKUP($G729, INDIRECT("'" &amp;'Elec. Analysis'!$A$193&amp;"'!"&amp;"$A$5:$CA$100"),VLOOKUP('Elec. Analysis'!$A$194, $K$677:$M$736, 2, FALSE),FALSE))</f>
        <v>68.482426679410551</v>
      </c>
      <c r="I729" s="1374"/>
      <c r="J729" s="1374"/>
      <c r="K729" s="656" t="str">
        <f ca="1">IF(INDIRECT("'"&amp;'Elec. Analysis'!$A$193&amp;"'!"&amp;$M729&amp;"5")=0, "", INDIRECT("'"&amp;'Elec. Analysis'!$A$193&amp;"'!"&amp;$M729&amp;"5"))</f>
        <v/>
      </c>
      <c r="L729" s="1398">
        <v>55</v>
      </c>
      <c r="M729" s="1020" t="str">
        <f t="shared" si="183"/>
        <v>BC</v>
      </c>
      <c r="N729" s="1374"/>
      <c r="O729" s="1024">
        <v>41487</v>
      </c>
      <c r="P729" s="827">
        <f ca="1">VLOOKUP($O729,INDIRECT("'"&amp;P$709&amp;"'!"&amp;"$A$5:$CA$100"),VLOOKUP('NG Analysis'!$A$157,$O$685:$R$699,COLUMN(P$685) - COLUMN($O$685) + 1,FALSE),FALSE)</f>
        <v>1.778</v>
      </c>
      <c r="Q729" s="827">
        <f ca="1">VLOOKUP($O729,INDIRECT("'"&amp;Q$709&amp;"'!"&amp;"$A$5:$CA$100"),VLOOKUP('NG Analysis'!$A$157,$O$685:$R$699,COLUMN(Q$685) - COLUMN($O$685) + 1,FALSE),FALSE)</f>
        <v>2.0539999999999998</v>
      </c>
      <c r="R729" s="827">
        <f ca="1">VLOOKUP($O729,INDIRECT("'"&amp;R$709&amp;"'!"&amp;"$A$5:$CA$100"),VLOOKUP('NG Analysis'!$A$157,$O$685:$R$699,COLUMN(R$685) - COLUMN($O$685) + 1,FALSE),FALSE)</f>
        <v>2.4569999999999999</v>
      </c>
      <c r="S729" s="1374"/>
      <c r="T729" s="708">
        <f>IF(AND($O763&lt;=DATE('NG Analysis'!$T$195, 12,1),$O763&gt;=DATE('NG Analysis'!$T$194, 1, 1)), $O763, NA())</f>
        <v>42522</v>
      </c>
      <c r="U729" s="1273">
        <f ca="1">IF($T729="",NA(),VLOOKUP($T729, INDIRECT("'" &amp;'NG Analysis'!$A$194&amp;"'!"&amp;"$A$5:$CA$100"),VLOOKUP('NG Analysis'!$A$195, $X$676:$Z$735, 2, FALSE),FALSE))</f>
        <v>45.838776888322961</v>
      </c>
      <c r="V729" s="1374"/>
      <c r="W729" s="1374"/>
      <c r="X729" s="656" t="str">
        <f ca="1">IF(INDIRECT("'"&amp;'NG Analysis'!$A$194&amp;"'!"&amp;$Z729&amp;"5")=0, "", INDIRECT("'"&amp;'NG Analysis'!$A$194&amp;"'!"&amp;$Z729&amp;"5"))</f>
        <v/>
      </c>
      <c r="Y729" s="1398">
        <v>56</v>
      </c>
      <c r="Z729" s="1020" t="str">
        <f t="shared" si="182"/>
        <v>BD</v>
      </c>
      <c r="AA729" s="1439"/>
    </row>
    <row r="730" spans="1:27" x14ac:dyDescent="0.3">
      <c r="A730" s="1036">
        <v>41579</v>
      </c>
      <c r="B730" s="706">
        <f ca="1">IF('Elec. Analysis'!$A$156=$A$696,VLOOKUP($A730,INDIRECT("'"&amp;B$707&amp;"'!"&amp;"$A$5:$CA$100"),VLOOKUP($A$695,$A$688:$E$703,COLUMN(B$688) - COLUMN($A$688) +1,FALSE),FALSE) + VLOOKUP($A730,INDIRECT("'"&amp;B$707&amp;"'!"&amp;"$A$5:$CA$100"),VLOOKUP($A$694,$A$688:$E$703,COLUMN(B$688) - COLUMN($A$688) +1,FALSE),FALSE),IF('Elec. Analysis'!$A$156=$A$699,VLOOKUP($A730,INDIRECT("'"&amp;B$707&amp;"'!"&amp;"$A$5:$CA$100"),VLOOKUP($A$698,$A$688:$E$703,COLUMN(B$688) - COLUMN($A$688) +1,FALSE),FALSE) - VLOOKUP($A730,INDIRECT("'"&amp;B$707&amp;"'!"&amp;"$A$5:$CA$100"),VLOOKUP($A$700,$A$688:$E$703,COLUMN(B$688) - COLUMN($A$688) +1,FALSE),FALSE),VLOOKUP($A730,INDIRECT("'"&amp;B$707&amp;"'!"&amp;"$A$5:$CA$100"),VLOOKUP('Elec. Analysis'!$A$156,$A$688:$E$703,COLUMN(B$688) - COLUMN($A$688) +1,FALSE),FALSE)))</f>
        <v>7.9027000000000003</v>
      </c>
      <c r="C730" s="706">
        <f ca="1">IF('Elec. Analysis'!$A$156=$A$696,VLOOKUP($A730,INDIRECT("'"&amp;C$707&amp;"'!"&amp;"$A$5:$CA$100"),VLOOKUP($A$695,$A$688:$E$703,COLUMN(C$688) - COLUMN($A$688) +1,FALSE),FALSE) + VLOOKUP($A730,INDIRECT("'"&amp;C$707&amp;"'!"&amp;"$A$5:$CA$100"),VLOOKUP($A$694,$A$688:$E$703,COLUMN(C$688) - COLUMN($A$688) +1,FALSE),FALSE),IF('Elec. Analysis'!$A$156=$A$699,VLOOKUP($A730,INDIRECT("'"&amp;C$707&amp;"'!"&amp;"$A$5:$CA$100"),VLOOKUP($A$698,$A$688:$E$703,COLUMN(C$688) - COLUMN($A$688) +1,FALSE),FALSE) - VLOOKUP($A730,INDIRECT("'"&amp;C$707&amp;"'!"&amp;"$A$5:$CA$100"),VLOOKUP($A$700,$A$688:$E$703,COLUMN(C$688) - COLUMN($A$688) +1,FALSE),FALSE),VLOOKUP($A730,INDIRECT("'"&amp;C$707&amp;"'!"&amp;"$A$5:$CA$100"),VLOOKUP('Elec. Analysis'!$A$156,$A$688:$E$703,COLUMN(C$688) - COLUMN($A$688) +1,FALSE),FALSE)))</f>
        <v>8.2439999999999998</v>
      </c>
      <c r="D730" s="706">
        <f ca="1">IF('Elec. Analysis'!$A$156=$A$696,VLOOKUP($A730,INDIRECT("'"&amp;D$707&amp;"'!"&amp;"$A$5:$CA$100"),VLOOKUP($A$695,$A$688:$E$703,COLUMN(D$688) - COLUMN($A$688) +1,FALSE),FALSE) + VLOOKUP($A730,INDIRECT("'"&amp;D$707&amp;"'!"&amp;"$A$5:$CA$100"),VLOOKUP($A$694,$A$688:$E$703,COLUMN(D$688) - COLUMN($A$688) +1,FALSE),FALSE),IF('Elec. Analysis'!$A$156=$A$699,VLOOKUP($A730,INDIRECT("'"&amp;D$707&amp;"'!"&amp;"$A$5:$CA$100"),VLOOKUP($A$698,$A$688:$E$703,COLUMN(D$688) - COLUMN($A$688) +1,FALSE),FALSE) - VLOOKUP($A730,INDIRECT("'"&amp;D$707&amp;"'!"&amp;"$A$5:$CA$100"),VLOOKUP($A$700,$A$688:$E$703,COLUMN(D$688) - COLUMN($A$688) +1,FALSE),FALSE),VLOOKUP($A730,INDIRECT("'"&amp;D$707&amp;"'!"&amp;"$A$5:$CA$100"),VLOOKUP('Elec. Analysis'!$A$156,$A$688:$E$703,COLUMN(D$688) - COLUMN($A$688) +1,FALSE),FALSE)))</f>
        <v>8.0180000000000007</v>
      </c>
      <c r="E730" s="706">
        <f ca="1">IF('Elec. Analysis'!$A$156=$A$696,VLOOKUP($A730,INDIRECT("'"&amp;E$707&amp;"'!"&amp;"$A$5:$CA$100"),VLOOKUP($A$695,$A$688:$E$703,COLUMN(E$688) - COLUMN($A$688) +1,FALSE),FALSE) + VLOOKUP($A730,INDIRECT("'"&amp;E$707&amp;"'!"&amp;"$A$5:$CA$100"),VLOOKUP($A$694,$A$688:$E$703,COLUMN(E$688) - COLUMN($A$688) +1,FALSE),FALSE),IF('Elec. Analysis'!$A$156=$A$699,VLOOKUP($A730,INDIRECT("'"&amp;E$707&amp;"'!"&amp;"$A$5:$CA$100"),VLOOKUP($A$698,$A$688:$E$703,COLUMN(E$688) - COLUMN($A$688) +1,FALSE),FALSE) - VLOOKUP($A730,INDIRECT("'"&amp;E$707&amp;"'!"&amp;"$A$5:$CA$100"),VLOOKUP($A$700,$A$688:$E$703,COLUMN(E$688) - COLUMN($A$688) +1,FALSE),FALSE),VLOOKUP($A730,INDIRECT("'"&amp;E$707&amp;"'!"&amp;"$A$5:$CA$100"),VLOOKUP('Elec. Analysis'!$A$156,$A$688:$E$703,COLUMN(E$688) - COLUMN($A$688) +1,FALSE),FALSE)))</f>
        <v>8.0470000000000006</v>
      </c>
      <c r="F730" s="1374"/>
      <c r="G730" s="708">
        <f>IF(AND($A761&lt;=DATE('Elec. Analysis'!$T$194, 12,1),$A761&gt;=DATE('Elec. Analysis'!$T$193, 1, 1)), $A761, NA())</f>
        <v>42522</v>
      </c>
      <c r="H730" s="1274">
        <f ca="1">IF($G730="",NA(),VLOOKUP($G730, INDIRECT("'" &amp;'Elec. Analysis'!$A$193&amp;"'!"&amp;"$A$5:$CA$100"),VLOOKUP('Elec. Analysis'!$A$194, $K$677:$M$736, 2, FALSE),FALSE))</f>
        <v>66.722339694954314</v>
      </c>
      <c r="I730" s="1374"/>
      <c r="J730" s="1374"/>
      <c r="K730" s="656" t="str">
        <f ca="1">IF(INDIRECT("'"&amp;'Elec. Analysis'!$A$193&amp;"'!"&amp;$M730&amp;"5")=0, "", INDIRECT("'"&amp;'Elec. Analysis'!$A$193&amp;"'!"&amp;$M730&amp;"5"))</f>
        <v/>
      </c>
      <c r="L730" s="1398">
        <v>56</v>
      </c>
      <c r="M730" s="1020" t="str">
        <f t="shared" si="183"/>
        <v>BD</v>
      </c>
      <c r="N730" s="1374"/>
      <c r="O730" s="1024">
        <v>41518</v>
      </c>
      <c r="P730" s="827">
        <f ca="1">VLOOKUP($O730,INDIRECT("'"&amp;P$709&amp;"'!"&amp;"$A$5:$CA$100"),VLOOKUP('NG Analysis'!$A$157,$O$685:$R$699,COLUMN(P$685) - COLUMN($O$685) + 1,FALSE),FALSE)</f>
        <v>2.3220000000000001</v>
      </c>
      <c r="Q730" s="827">
        <f ca="1">VLOOKUP($O730,INDIRECT("'"&amp;Q$709&amp;"'!"&amp;"$A$5:$CA$100"),VLOOKUP('NG Analysis'!$A$157,$O$685:$R$699,COLUMN(Q$685) - COLUMN($O$685) + 1,FALSE),FALSE)</f>
        <v>2.5470000000000002</v>
      </c>
      <c r="R730" s="827">
        <f ca="1">VLOOKUP($O730,INDIRECT("'"&amp;R$709&amp;"'!"&amp;"$A$5:$CA$100"),VLOOKUP('NG Analysis'!$A$157,$O$685:$R$699,COLUMN(R$685) - COLUMN($O$685) + 1,FALSE),FALSE)</f>
        <v>2.3490000000000002</v>
      </c>
      <c r="S730" s="1374"/>
      <c r="T730" s="708">
        <f>IF(AND($O764&lt;=DATE('NG Analysis'!$T$195, 12,1),$O764&gt;=DATE('NG Analysis'!$T$194, 1, 1)), $O764, NA())</f>
        <v>42552</v>
      </c>
      <c r="U730" s="1273">
        <f ca="1">IF($T730="",NA(),VLOOKUP($T730, INDIRECT("'" &amp;'NG Analysis'!$A$194&amp;"'!"&amp;"$A$5:$CA$100"),VLOOKUP('NG Analysis'!$A$195, $X$676:$Z$735, 2, FALSE),FALSE))</f>
        <v>47.819811903232178</v>
      </c>
      <c r="V730" s="1374"/>
      <c r="W730" s="1374"/>
      <c r="X730" s="656" t="str">
        <f ca="1">IF(INDIRECT("'"&amp;'NG Analysis'!$A$194&amp;"'!"&amp;$Z730&amp;"5")=0, "", INDIRECT("'"&amp;'NG Analysis'!$A$194&amp;"'!"&amp;$Z730&amp;"5"))</f>
        <v/>
      </c>
      <c r="Y730" s="1398">
        <v>57</v>
      </c>
      <c r="Z730" s="1020" t="str">
        <f t="shared" si="182"/>
        <v>BE</v>
      </c>
      <c r="AA730" s="1439"/>
    </row>
    <row r="731" spans="1:27" x14ac:dyDescent="0.3">
      <c r="A731" s="1036">
        <v>41609</v>
      </c>
      <c r="B731" s="706">
        <f ca="1">IF('Elec. Analysis'!$A$156=$A$696,VLOOKUP($A731,INDIRECT("'"&amp;B$707&amp;"'!"&amp;"$A$5:$CA$100"),VLOOKUP($A$695,$A$688:$E$703,COLUMN(B$688) - COLUMN($A$688) +1,FALSE),FALSE) + VLOOKUP($A731,INDIRECT("'"&amp;B$707&amp;"'!"&amp;"$A$5:$CA$100"),VLOOKUP($A$694,$A$688:$E$703,COLUMN(B$688) - COLUMN($A$688) +1,FALSE),FALSE),IF('Elec. Analysis'!$A$156=$A$699,VLOOKUP($A731,INDIRECT("'"&amp;B$707&amp;"'!"&amp;"$A$5:$CA$100"),VLOOKUP($A$698,$A$688:$E$703,COLUMN(B$688) - COLUMN($A$688) +1,FALSE),FALSE) - VLOOKUP($A731,INDIRECT("'"&amp;B$707&amp;"'!"&amp;"$A$5:$CA$100"),VLOOKUP($A$700,$A$688:$E$703,COLUMN(B$688) - COLUMN($A$688) +1,FALSE),FALSE),VLOOKUP($A731,INDIRECT("'"&amp;B$707&amp;"'!"&amp;"$A$5:$CA$100"),VLOOKUP('Elec. Analysis'!$A$156,$A$688:$E$703,COLUMN(B$688) - COLUMN($A$688) +1,FALSE),FALSE)))</f>
        <v>7.5796000000000001</v>
      </c>
      <c r="C731" s="706">
        <f ca="1">IF('Elec. Analysis'!$A$156=$A$696,VLOOKUP($A731,INDIRECT("'"&amp;C$707&amp;"'!"&amp;"$A$5:$CA$100"),VLOOKUP($A$695,$A$688:$E$703,COLUMN(C$688) - COLUMN($A$688) +1,FALSE),FALSE) + VLOOKUP($A731,INDIRECT("'"&amp;C$707&amp;"'!"&amp;"$A$5:$CA$100"),VLOOKUP($A$694,$A$688:$E$703,COLUMN(C$688) - COLUMN($A$688) +1,FALSE),FALSE),IF('Elec. Analysis'!$A$156=$A$699,VLOOKUP($A731,INDIRECT("'"&amp;C$707&amp;"'!"&amp;"$A$5:$CA$100"),VLOOKUP($A$698,$A$688:$E$703,COLUMN(C$688) - COLUMN($A$688) +1,FALSE),FALSE) - VLOOKUP($A731,INDIRECT("'"&amp;C$707&amp;"'!"&amp;"$A$5:$CA$100"),VLOOKUP($A$700,$A$688:$E$703,COLUMN(C$688) - COLUMN($A$688) +1,FALSE),FALSE),VLOOKUP($A731,INDIRECT("'"&amp;C$707&amp;"'!"&amp;"$A$5:$CA$100"),VLOOKUP('Elec. Analysis'!$A$156,$A$688:$E$703,COLUMN(C$688) - COLUMN($A$688) +1,FALSE),FALSE)))</f>
        <v>8.1460000000000008</v>
      </c>
      <c r="D731" s="706">
        <f ca="1">IF('Elec. Analysis'!$A$156=$A$696,VLOOKUP($A731,INDIRECT("'"&amp;D$707&amp;"'!"&amp;"$A$5:$CA$100"),VLOOKUP($A$695,$A$688:$E$703,COLUMN(D$688) - COLUMN($A$688) +1,FALSE),FALSE) + VLOOKUP($A731,INDIRECT("'"&amp;D$707&amp;"'!"&amp;"$A$5:$CA$100"),VLOOKUP($A$694,$A$688:$E$703,COLUMN(D$688) - COLUMN($A$688) +1,FALSE),FALSE),IF('Elec. Analysis'!$A$156=$A$699,VLOOKUP($A731,INDIRECT("'"&amp;D$707&amp;"'!"&amp;"$A$5:$CA$100"),VLOOKUP($A$698,$A$688:$E$703,COLUMN(D$688) - COLUMN($A$688) +1,FALSE),FALSE) - VLOOKUP($A731,INDIRECT("'"&amp;D$707&amp;"'!"&amp;"$A$5:$CA$100"),VLOOKUP($A$700,$A$688:$E$703,COLUMN(D$688) - COLUMN($A$688) +1,FALSE),FALSE),VLOOKUP($A731,INDIRECT("'"&amp;D$707&amp;"'!"&amp;"$A$5:$CA$100"),VLOOKUP('Elec. Analysis'!$A$156,$A$688:$E$703,COLUMN(D$688) - COLUMN($A$688) +1,FALSE),FALSE)))</f>
        <v>7.9390000000000001</v>
      </c>
      <c r="E731" s="706">
        <f ca="1">IF('Elec. Analysis'!$A$156=$A$696,VLOOKUP($A731,INDIRECT("'"&amp;E$707&amp;"'!"&amp;"$A$5:$CA$100"),VLOOKUP($A$695,$A$688:$E$703,COLUMN(E$688) - COLUMN($A$688) +1,FALSE),FALSE) + VLOOKUP($A731,INDIRECT("'"&amp;E$707&amp;"'!"&amp;"$A$5:$CA$100"),VLOOKUP($A$694,$A$688:$E$703,COLUMN(E$688) - COLUMN($A$688) +1,FALSE),FALSE),IF('Elec. Analysis'!$A$156=$A$699,VLOOKUP($A731,INDIRECT("'"&amp;E$707&amp;"'!"&amp;"$A$5:$CA$100"),VLOOKUP($A$698,$A$688:$E$703,COLUMN(E$688) - COLUMN($A$688) +1,FALSE),FALSE) - VLOOKUP($A731,INDIRECT("'"&amp;E$707&amp;"'!"&amp;"$A$5:$CA$100"),VLOOKUP($A$700,$A$688:$E$703,COLUMN(E$688) - COLUMN($A$688) +1,FALSE),FALSE),VLOOKUP($A731,INDIRECT("'"&amp;E$707&amp;"'!"&amp;"$A$5:$CA$100"),VLOOKUP('Elec. Analysis'!$A$156,$A$688:$E$703,COLUMN(E$688) - COLUMN($A$688) +1,FALSE),FALSE)))</f>
        <v>7.8019999999999996</v>
      </c>
      <c r="F731" s="1374"/>
      <c r="G731" s="708">
        <f>IF(AND($A762&lt;=DATE('Elec. Analysis'!$T$194, 12,1),$A762&gt;=DATE('Elec. Analysis'!$T$193, 1, 1)), $A762, NA())</f>
        <v>42552</v>
      </c>
      <c r="H731" s="1274">
        <f ca="1">IF($G731="",NA(),VLOOKUP($G731, INDIRECT("'" &amp;'Elec. Analysis'!$A$193&amp;"'!"&amp;"$A$5:$CA$100"),VLOOKUP('Elec. Analysis'!$A$194, $K$677:$M$736, 2, FALSE),FALSE))</f>
        <v>78.629381891768517</v>
      </c>
      <c r="I731" s="1374"/>
      <c r="J731" s="1374"/>
      <c r="K731" s="656" t="str">
        <f ca="1">IF(INDIRECT("'"&amp;'Elec. Analysis'!$A$193&amp;"'!"&amp;$M731&amp;"5")=0, "", INDIRECT("'"&amp;'Elec. Analysis'!$A$193&amp;"'!"&amp;$M731&amp;"5"))</f>
        <v/>
      </c>
      <c r="L731" s="1398">
        <v>57</v>
      </c>
      <c r="M731" s="1020" t="str">
        <f t="shared" si="183"/>
        <v>BE</v>
      </c>
      <c r="N731" s="1374"/>
      <c r="O731" s="1024">
        <v>41548</v>
      </c>
      <c r="P731" s="827">
        <f ca="1">VLOOKUP($O731,INDIRECT("'"&amp;P$709&amp;"'!"&amp;"$A$5:$CA$100"),VLOOKUP('NG Analysis'!$A$157,$O$685:$R$699,COLUMN(P$685) - COLUMN($O$685) + 1,FALSE),FALSE)</f>
        <v>2.427</v>
      </c>
      <c r="Q731" s="827">
        <f ca="1">VLOOKUP($O731,INDIRECT("'"&amp;Q$709&amp;"'!"&amp;"$A$5:$CA$100"),VLOOKUP('NG Analysis'!$A$157,$O$685:$R$699,COLUMN(Q$685) - COLUMN($O$685) + 1,FALSE),FALSE)</f>
        <v>2.3969999999999998</v>
      </c>
      <c r="R731" s="827">
        <f ca="1">VLOOKUP($O731,INDIRECT("'"&amp;R$709&amp;"'!"&amp;"$A$5:$CA$100"),VLOOKUP('NG Analysis'!$A$157,$O$685:$R$699,COLUMN(R$685) - COLUMN($O$685) + 1,FALSE),FALSE)</f>
        <v>2.3690000000000002</v>
      </c>
      <c r="S731" s="1374"/>
      <c r="T731" s="708">
        <f>IF(AND($O765&lt;=DATE('NG Analysis'!$T$195, 12,1),$O765&gt;=DATE('NG Analysis'!$T$194, 1, 1)), $O765, NA())</f>
        <v>42583</v>
      </c>
      <c r="U731" s="1273">
        <f ca="1">IF($T731="",NA(),VLOOKUP($T731, INDIRECT("'" &amp;'NG Analysis'!$A$194&amp;"'!"&amp;"$A$5:$CA$100"),VLOOKUP('NG Analysis'!$A$195, $X$676:$Z$735, 2, FALSE),FALSE))</f>
        <v>51.38175067679682</v>
      </c>
      <c r="V731" s="1374"/>
      <c r="W731" s="1374"/>
      <c r="X731" s="656" t="str">
        <f ca="1">IF(INDIRECT("'"&amp;'NG Analysis'!$A$194&amp;"'!"&amp;$Z731&amp;"5")=0, "", INDIRECT("'"&amp;'NG Analysis'!$A$194&amp;"'!"&amp;$Z731&amp;"5"))</f>
        <v/>
      </c>
      <c r="Y731" s="1398">
        <v>58</v>
      </c>
      <c r="Z731" s="1020" t="str">
        <f t="shared" si="182"/>
        <v>BF</v>
      </c>
      <c r="AA731" s="1439"/>
    </row>
    <row r="732" spans="1:27" x14ac:dyDescent="0.3">
      <c r="A732" s="1036">
        <v>41640</v>
      </c>
      <c r="B732" s="706">
        <f ca="1">IF('Elec. Analysis'!$A$156=$A$696,VLOOKUP($A732,INDIRECT("'"&amp;B$707&amp;"'!"&amp;"$A$5:$CA$100"),VLOOKUP($A$695,$A$688:$E$703,COLUMN(B$688) - COLUMN($A$688) +1,FALSE),FALSE) + VLOOKUP($A732,INDIRECT("'"&amp;B$707&amp;"'!"&amp;"$A$5:$CA$100"),VLOOKUP($A$694,$A$688:$E$703,COLUMN(B$688) - COLUMN($A$688) +1,FALSE),FALSE),IF('Elec. Analysis'!$A$156=$A$699,VLOOKUP($A732,INDIRECT("'"&amp;B$707&amp;"'!"&amp;"$A$5:$CA$100"),VLOOKUP($A$698,$A$688:$E$703,COLUMN(B$688) - COLUMN($A$688) +1,FALSE),FALSE) - VLOOKUP($A732,INDIRECT("'"&amp;B$707&amp;"'!"&amp;"$A$5:$CA$100"),VLOOKUP($A$700,$A$688:$E$703,COLUMN(B$688) - COLUMN($A$688) +1,FALSE),FALSE),VLOOKUP($A732,INDIRECT("'"&amp;B$707&amp;"'!"&amp;"$A$5:$CA$100"),VLOOKUP('Elec. Analysis'!$A$156,$A$688:$E$703,COLUMN(B$688) - COLUMN($A$688) +1,FALSE),FALSE)))</f>
        <v>7.8040000000000003</v>
      </c>
      <c r="C732" s="706">
        <f ca="1">IF('Elec. Analysis'!$A$156=$A$696,VLOOKUP($A732,INDIRECT("'"&amp;C$707&amp;"'!"&amp;"$A$5:$CA$100"),VLOOKUP($A$695,$A$688:$E$703,COLUMN(C$688) - COLUMN($A$688) +1,FALSE),FALSE) + VLOOKUP($A732,INDIRECT("'"&amp;C$707&amp;"'!"&amp;"$A$5:$CA$100"),VLOOKUP($A$694,$A$688:$E$703,COLUMN(C$688) - COLUMN($A$688) +1,FALSE),FALSE),IF('Elec. Analysis'!$A$156=$A$699,VLOOKUP($A732,INDIRECT("'"&amp;C$707&amp;"'!"&amp;"$A$5:$CA$100"),VLOOKUP($A$698,$A$688:$E$703,COLUMN(C$688) - COLUMN($A$688) +1,FALSE),FALSE) - VLOOKUP($A732,INDIRECT("'"&amp;C$707&amp;"'!"&amp;"$A$5:$CA$100"),VLOOKUP($A$700,$A$688:$E$703,COLUMN(C$688) - COLUMN($A$688) +1,FALSE),FALSE),VLOOKUP($A732,INDIRECT("'"&amp;C$707&amp;"'!"&amp;"$A$5:$CA$100"),VLOOKUP('Elec. Analysis'!$A$156,$A$688:$E$703,COLUMN(C$688) - COLUMN($A$688) +1,FALSE),FALSE)))</f>
        <v>8.6890000000000001</v>
      </c>
      <c r="D732" s="706">
        <f ca="1">IF('Elec. Analysis'!$A$156=$A$696,VLOOKUP($A732,INDIRECT("'"&amp;D$707&amp;"'!"&amp;"$A$5:$CA$100"),VLOOKUP($A$695,$A$688:$E$703,COLUMN(D$688) - COLUMN($A$688) +1,FALSE),FALSE) + VLOOKUP($A732,INDIRECT("'"&amp;D$707&amp;"'!"&amp;"$A$5:$CA$100"),VLOOKUP($A$694,$A$688:$E$703,COLUMN(D$688) - COLUMN($A$688) +1,FALSE),FALSE),IF('Elec. Analysis'!$A$156=$A$699,VLOOKUP($A732,INDIRECT("'"&amp;D$707&amp;"'!"&amp;"$A$5:$CA$100"),VLOOKUP($A$698,$A$688:$E$703,COLUMN(D$688) - COLUMN($A$688) +1,FALSE),FALSE) - VLOOKUP($A732,INDIRECT("'"&amp;D$707&amp;"'!"&amp;"$A$5:$CA$100"),VLOOKUP($A$700,$A$688:$E$703,COLUMN(D$688) - COLUMN($A$688) +1,FALSE),FALSE),VLOOKUP($A732,INDIRECT("'"&amp;D$707&amp;"'!"&amp;"$A$5:$CA$100"),VLOOKUP('Elec. Analysis'!$A$156,$A$688:$E$703,COLUMN(D$688) - COLUMN($A$688) +1,FALSE),FALSE)))</f>
        <v>8.4559999999999995</v>
      </c>
      <c r="E732" s="706">
        <f ca="1">IF('Elec. Analysis'!$A$156=$A$696,VLOOKUP($A732,INDIRECT("'"&amp;E$707&amp;"'!"&amp;"$A$5:$CA$100"),VLOOKUP($A$695,$A$688:$E$703,COLUMN(E$688) - COLUMN($A$688) +1,FALSE),FALSE) + VLOOKUP($A732,INDIRECT("'"&amp;E$707&amp;"'!"&amp;"$A$5:$CA$100"),VLOOKUP($A$694,$A$688:$E$703,COLUMN(E$688) - COLUMN($A$688) +1,FALSE),FALSE),IF('Elec. Analysis'!$A$156=$A$699,VLOOKUP($A732,INDIRECT("'"&amp;E$707&amp;"'!"&amp;"$A$5:$CA$100"),VLOOKUP($A$698,$A$688:$E$703,COLUMN(E$688) - COLUMN($A$688) +1,FALSE),FALSE) - VLOOKUP($A732,INDIRECT("'"&amp;E$707&amp;"'!"&amp;"$A$5:$CA$100"),VLOOKUP($A$700,$A$688:$E$703,COLUMN(E$688) - COLUMN($A$688) +1,FALSE),FALSE),VLOOKUP($A732,INDIRECT("'"&amp;E$707&amp;"'!"&amp;"$A$5:$CA$100"),VLOOKUP('Elec. Analysis'!$A$156,$A$688:$E$703,COLUMN(E$688) - COLUMN($A$688) +1,FALSE),FALSE)))</f>
        <v>7.9390000000000001</v>
      </c>
      <c r="F732" s="1374"/>
      <c r="G732" s="708">
        <f>IF(AND($A763&lt;=DATE('Elec. Analysis'!$T$194, 12,1),$A763&gt;=DATE('Elec. Analysis'!$T$193, 1, 1)), $A763, NA())</f>
        <v>42583</v>
      </c>
      <c r="H732" s="1274">
        <f ca="1">IF($G732="",NA(),VLOOKUP($G732, INDIRECT("'" &amp;'Elec. Analysis'!$A$193&amp;"'!"&amp;"$A$5:$CA$100"),VLOOKUP('Elec. Analysis'!$A$194, $K$677:$M$736, 2, FALSE),FALSE))</f>
        <v>76.785878756948549</v>
      </c>
      <c r="I732" s="1374"/>
      <c r="J732" s="1374"/>
      <c r="K732" s="656" t="str">
        <f ca="1">IF(INDIRECT("'"&amp;'Elec. Analysis'!$A$193&amp;"'!"&amp;$M732&amp;"5")=0, "", INDIRECT("'"&amp;'Elec. Analysis'!$A$193&amp;"'!"&amp;$M732&amp;"5"))</f>
        <v/>
      </c>
      <c r="L732" s="1398">
        <v>58</v>
      </c>
      <c r="M732" s="1020" t="str">
        <f t="shared" si="183"/>
        <v>BF</v>
      </c>
      <c r="N732" s="1374"/>
      <c r="O732" s="1024">
        <v>41579</v>
      </c>
      <c r="P732" s="827">
        <f ca="1">VLOOKUP($O732,INDIRECT("'"&amp;P$709&amp;"'!"&amp;"$A$5:$CA$100"),VLOOKUP('NG Analysis'!$A$157,$O$685:$R$699,COLUMN(P$685) - COLUMN($O$685) + 1,FALSE),FALSE)</f>
        <v>3.7210000000000001</v>
      </c>
      <c r="Q732" s="827">
        <f ca="1">VLOOKUP($O732,INDIRECT("'"&amp;Q$709&amp;"'!"&amp;"$A$5:$CA$100"),VLOOKUP('NG Analysis'!$A$157,$O$685:$R$699,COLUMN(Q$685) - COLUMN($O$685) + 1,FALSE),FALSE)</f>
        <v>3.6850000000000001</v>
      </c>
      <c r="R732" s="827">
        <f ca="1">VLOOKUP($O732,INDIRECT("'"&amp;R$709&amp;"'!"&amp;"$A$5:$CA$100"),VLOOKUP('NG Analysis'!$A$157,$O$685:$R$699,COLUMN(R$685) - COLUMN($O$685) + 1,FALSE),FALSE)</f>
        <v>3.637</v>
      </c>
      <c r="S732" s="1374"/>
      <c r="T732" s="708">
        <f>IF(AND($O766&lt;=DATE('NG Analysis'!$T$195, 12,1),$O766&gt;=DATE('NG Analysis'!$T$194, 1, 1)), $O766, NA())</f>
        <v>42614</v>
      </c>
      <c r="U732" s="1273">
        <f ca="1">IF($T732="",NA(),VLOOKUP($T732, INDIRECT("'" &amp;'NG Analysis'!$A$194&amp;"'!"&amp;"$A$5:$CA$100"),VLOOKUP('NG Analysis'!$A$195, $X$676:$Z$735, 2, FALSE),FALSE))</f>
        <v>65.636559674753059</v>
      </c>
      <c r="V732" s="1374"/>
      <c r="W732" s="1374"/>
      <c r="X732" s="656" t="str">
        <f ca="1">IF(INDIRECT("'"&amp;'NG Analysis'!$A$194&amp;"'!"&amp;$Z732&amp;"5")=0, "", INDIRECT("'"&amp;'NG Analysis'!$A$194&amp;"'!"&amp;$Z732&amp;"5"))</f>
        <v/>
      </c>
      <c r="Y732" s="1398">
        <v>59</v>
      </c>
      <c r="Z732" s="1020" t="str">
        <f t="shared" si="182"/>
        <v>BG</v>
      </c>
      <c r="AA732" s="1439"/>
    </row>
    <row r="733" spans="1:27" x14ac:dyDescent="0.3">
      <c r="A733" s="1036">
        <v>41671</v>
      </c>
      <c r="B733" s="706">
        <f ca="1">IF('Elec. Analysis'!$A$156=$A$696,VLOOKUP($A733,INDIRECT("'"&amp;B$707&amp;"'!"&amp;"$A$5:$CA$100"),VLOOKUP($A$695,$A$688:$E$703,COLUMN(B$688) - COLUMN($A$688) +1,FALSE),FALSE) + VLOOKUP($A733,INDIRECT("'"&amp;B$707&amp;"'!"&amp;"$A$5:$CA$100"),VLOOKUP($A$694,$A$688:$E$703,COLUMN(B$688) - COLUMN($A$688) +1,FALSE),FALSE),IF('Elec. Analysis'!$A$156=$A$699,VLOOKUP($A733,INDIRECT("'"&amp;B$707&amp;"'!"&amp;"$A$5:$CA$100"),VLOOKUP($A$698,$A$688:$E$703,COLUMN(B$688) - COLUMN($A$688) +1,FALSE),FALSE) - VLOOKUP($A733,INDIRECT("'"&amp;B$707&amp;"'!"&amp;"$A$5:$CA$100"),VLOOKUP($A$700,$A$688:$E$703,COLUMN(B$688) - COLUMN($A$688) +1,FALSE),FALSE),VLOOKUP($A733,INDIRECT("'"&amp;B$707&amp;"'!"&amp;"$A$5:$CA$100"),VLOOKUP('Elec. Analysis'!$A$156,$A$688:$E$703,COLUMN(B$688) - COLUMN($A$688) +1,FALSE),FALSE)))</f>
        <v>7.1909000000000001</v>
      </c>
      <c r="C733" s="706">
        <f ca="1">IF('Elec. Analysis'!$A$156=$A$696,VLOOKUP($A733,INDIRECT("'"&amp;C$707&amp;"'!"&amp;"$A$5:$CA$100"),VLOOKUP($A$695,$A$688:$E$703,COLUMN(C$688) - COLUMN($A$688) +1,FALSE),FALSE) + VLOOKUP($A733,INDIRECT("'"&amp;C$707&amp;"'!"&amp;"$A$5:$CA$100"),VLOOKUP($A$694,$A$688:$E$703,COLUMN(C$688) - COLUMN($A$688) +1,FALSE),FALSE),IF('Elec. Analysis'!$A$156=$A$699,VLOOKUP($A733,INDIRECT("'"&amp;C$707&amp;"'!"&amp;"$A$5:$CA$100"),VLOOKUP($A$698,$A$688:$E$703,COLUMN(C$688) - COLUMN($A$688) +1,FALSE),FALSE) - VLOOKUP($A733,INDIRECT("'"&amp;C$707&amp;"'!"&amp;"$A$5:$CA$100"),VLOOKUP($A$700,$A$688:$E$703,COLUMN(C$688) - COLUMN($A$688) +1,FALSE),FALSE),VLOOKUP($A733,INDIRECT("'"&amp;C$707&amp;"'!"&amp;"$A$5:$CA$100"),VLOOKUP('Elec. Analysis'!$A$156,$A$688:$E$703,COLUMN(C$688) - COLUMN($A$688) +1,FALSE),FALSE)))</f>
        <v>7.4710000000000001</v>
      </c>
      <c r="D733" s="706">
        <f ca="1">IF('Elec. Analysis'!$A$156=$A$696,VLOOKUP($A733,INDIRECT("'"&amp;D$707&amp;"'!"&amp;"$A$5:$CA$100"),VLOOKUP($A$695,$A$688:$E$703,COLUMN(D$688) - COLUMN($A$688) +1,FALSE),FALSE) + VLOOKUP($A733,INDIRECT("'"&amp;D$707&amp;"'!"&amp;"$A$5:$CA$100"),VLOOKUP($A$694,$A$688:$E$703,COLUMN(D$688) - COLUMN($A$688) +1,FALSE),FALSE),IF('Elec. Analysis'!$A$156=$A$699,VLOOKUP($A733,INDIRECT("'"&amp;D$707&amp;"'!"&amp;"$A$5:$CA$100"),VLOOKUP($A$698,$A$688:$E$703,COLUMN(D$688) - COLUMN($A$688) +1,FALSE),FALSE) - VLOOKUP($A733,INDIRECT("'"&amp;D$707&amp;"'!"&amp;"$A$5:$CA$100"),VLOOKUP($A$700,$A$688:$E$703,COLUMN(D$688) - COLUMN($A$688) +1,FALSE),FALSE),VLOOKUP($A733,INDIRECT("'"&amp;D$707&amp;"'!"&amp;"$A$5:$CA$100"),VLOOKUP('Elec. Analysis'!$A$156,$A$688:$E$703,COLUMN(D$688) - COLUMN($A$688) +1,FALSE),FALSE)))</f>
        <v>7.2830000000000004</v>
      </c>
      <c r="E733" s="706">
        <f ca="1">IF('Elec. Analysis'!$A$156=$A$696,VLOOKUP($A733,INDIRECT("'"&amp;E$707&amp;"'!"&amp;"$A$5:$CA$100"),VLOOKUP($A$695,$A$688:$E$703,COLUMN(E$688) - COLUMN($A$688) +1,FALSE),FALSE) + VLOOKUP($A733,INDIRECT("'"&amp;E$707&amp;"'!"&amp;"$A$5:$CA$100"),VLOOKUP($A$694,$A$688:$E$703,COLUMN(E$688) - COLUMN($A$688) +1,FALSE),FALSE),IF('Elec. Analysis'!$A$156=$A$699,VLOOKUP($A733,INDIRECT("'"&amp;E$707&amp;"'!"&amp;"$A$5:$CA$100"),VLOOKUP($A$698,$A$688:$E$703,COLUMN(E$688) - COLUMN($A$688) +1,FALSE),FALSE) - VLOOKUP($A733,INDIRECT("'"&amp;E$707&amp;"'!"&amp;"$A$5:$CA$100"),VLOOKUP($A$700,$A$688:$E$703,COLUMN(E$688) - COLUMN($A$688) +1,FALSE),FALSE),VLOOKUP($A733,INDIRECT("'"&amp;E$707&amp;"'!"&amp;"$A$5:$CA$100"),VLOOKUP('Elec. Analysis'!$A$156,$A$688:$E$703,COLUMN(E$688) - COLUMN($A$688) +1,FALSE),FALSE)))</f>
        <v>7.319</v>
      </c>
      <c r="F733" s="1374"/>
      <c r="G733" s="708">
        <f>IF(AND($A764&lt;=DATE('Elec. Analysis'!$T$194, 12,1),$A764&gt;=DATE('Elec. Analysis'!$T$193, 1, 1)), $A764, NA())</f>
        <v>42614</v>
      </c>
      <c r="H733" s="1274">
        <f ca="1">IF($G733="",NA(),VLOOKUP($G733, INDIRECT("'" &amp;'Elec. Analysis'!$A$193&amp;"'!"&amp;"$A$5:$CA$100"),VLOOKUP('Elec. Analysis'!$A$194, $K$677:$M$736, 2, FALSE),FALSE))</f>
        <v>67.488154638459207</v>
      </c>
      <c r="I733" s="1374"/>
      <c r="J733" s="1374"/>
      <c r="K733" s="656" t="str">
        <f ca="1">IF(INDIRECT("'"&amp;'Elec. Analysis'!$A$193&amp;"'!"&amp;$M733&amp;"5")=0, "", INDIRECT("'"&amp;'Elec. Analysis'!$A$193&amp;"'!"&amp;$M733&amp;"5"))</f>
        <v/>
      </c>
      <c r="L733" s="1398">
        <v>59</v>
      </c>
      <c r="M733" s="1020" t="str">
        <f t="shared" si="183"/>
        <v>BG</v>
      </c>
      <c r="N733" s="1374"/>
      <c r="O733" s="1024">
        <v>41609</v>
      </c>
      <c r="P733" s="827">
        <f ca="1">VLOOKUP($O733,INDIRECT("'"&amp;P$709&amp;"'!"&amp;"$A$5:$CA$100"),VLOOKUP('NG Analysis'!$A$157,$O$685:$R$699,COLUMN(P$685) - COLUMN($O$685) + 1,FALSE),FALSE)</f>
        <v>3.3010000000000002</v>
      </c>
      <c r="Q733" s="827">
        <f ca="1">VLOOKUP($O733,INDIRECT("'"&amp;Q$709&amp;"'!"&amp;"$A$5:$CA$100"),VLOOKUP('NG Analysis'!$A$157,$O$685:$R$699,COLUMN(Q$685) - COLUMN($O$685) + 1,FALSE),FALSE)</f>
        <v>3.294</v>
      </c>
      <c r="R733" s="827">
        <f ca="1">VLOOKUP($O733,INDIRECT("'"&amp;R$709&amp;"'!"&amp;"$A$5:$CA$100"),VLOOKUP('NG Analysis'!$A$157,$O$685:$R$699,COLUMN(R$685) - COLUMN($O$685) + 1,FALSE),FALSE)</f>
        <v>3.19</v>
      </c>
      <c r="S733" s="1374"/>
      <c r="T733" s="708">
        <f>IF(AND($O767&lt;=DATE('NG Analysis'!$T$195, 12,1),$O767&gt;=DATE('NG Analysis'!$T$194, 1, 1)), $O767, NA())</f>
        <v>42644</v>
      </c>
      <c r="U733" s="1273">
        <f ca="1">IF($T733="",NA(),VLOOKUP($T733, INDIRECT("'" &amp;'NG Analysis'!$A$194&amp;"'!"&amp;"$A$5:$CA$100"),VLOOKUP('NG Analysis'!$A$195, $X$676:$Z$735, 2, FALSE),FALSE))</f>
        <v>106.61550104834454</v>
      </c>
      <c r="V733" s="1374"/>
      <c r="W733" s="1374"/>
      <c r="X733" s="656" t="str">
        <f ca="1">IF(INDIRECT("'"&amp;'NG Analysis'!$A$194&amp;"'!"&amp;$Z733&amp;"5")=0, "", INDIRECT("'"&amp;'NG Analysis'!$A$194&amp;"'!"&amp;$Z733&amp;"5"))</f>
        <v/>
      </c>
      <c r="Y733" s="1398">
        <v>60</v>
      </c>
      <c r="Z733" s="1020" t="str">
        <f t="shared" si="182"/>
        <v>BH</v>
      </c>
      <c r="AA733" s="1439"/>
    </row>
    <row r="734" spans="1:27" x14ac:dyDescent="0.3">
      <c r="A734" s="1036">
        <v>41699</v>
      </c>
      <c r="B734" s="706">
        <f ca="1">IF('Elec. Analysis'!$A$156=$A$696,VLOOKUP($A734,INDIRECT("'"&amp;B$707&amp;"'!"&amp;"$A$5:$CA$100"),VLOOKUP($A$695,$A$688:$E$703,COLUMN(B$688) - COLUMN($A$688) +1,FALSE),FALSE) + VLOOKUP($A734,INDIRECT("'"&amp;B$707&amp;"'!"&amp;"$A$5:$CA$100"),VLOOKUP($A$694,$A$688:$E$703,COLUMN(B$688) - COLUMN($A$688) +1,FALSE),FALSE),IF('Elec. Analysis'!$A$156=$A$699,VLOOKUP($A734,INDIRECT("'"&amp;B$707&amp;"'!"&amp;"$A$5:$CA$100"),VLOOKUP($A$698,$A$688:$E$703,COLUMN(B$688) - COLUMN($A$688) +1,FALSE),FALSE) - VLOOKUP($A734,INDIRECT("'"&amp;B$707&amp;"'!"&amp;"$A$5:$CA$100"),VLOOKUP($A$700,$A$688:$E$703,COLUMN(B$688) - COLUMN($A$688) +1,FALSE),FALSE),VLOOKUP($A734,INDIRECT("'"&amp;B$707&amp;"'!"&amp;"$A$5:$CA$100"),VLOOKUP('Elec. Analysis'!$A$156,$A$688:$E$703,COLUMN(B$688) - COLUMN($A$688) +1,FALSE),FALSE)))</f>
        <v>7.3186999999999998</v>
      </c>
      <c r="C734" s="706">
        <f ca="1">IF('Elec. Analysis'!$A$156=$A$696,VLOOKUP($A734,INDIRECT("'"&amp;C$707&amp;"'!"&amp;"$A$5:$CA$100"),VLOOKUP($A$695,$A$688:$E$703,COLUMN(C$688) - COLUMN($A$688) +1,FALSE),FALSE) + VLOOKUP($A734,INDIRECT("'"&amp;C$707&amp;"'!"&amp;"$A$5:$CA$100"),VLOOKUP($A$694,$A$688:$E$703,COLUMN(C$688) - COLUMN($A$688) +1,FALSE),FALSE),IF('Elec. Analysis'!$A$156=$A$699,VLOOKUP($A734,INDIRECT("'"&amp;C$707&amp;"'!"&amp;"$A$5:$CA$100"),VLOOKUP($A$698,$A$688:$E$703,COLUMN(C$688) - COLUMN($A$688) +1,FALSE),FALSE) - VLOOKUP($A734,INDIRECT("'"&amp;C$707&amp;"'!"&amp;"$A$5:$CA$100"),VLOOKUP($A$700,$A$688:$E$703,COLUMN(C$688) - COLUMN($A$688) +1,FALSE),FALSE),VLOOKUP($A734,INDIRECT("'"&amp;C$707&amp;"'!"&amp;"$A$5:$CA$100"),VLOOKUP('Elec. Analysis'!$A$156,$A$688:$E$703,COLUMN(C$688) - COLUMN($A$688) +1,FALSE),FALSE)))</f>
        <v>6.9909999999999997</v>
      </c>
      <c r="D734" s="706">
        <f ca="1">IF('Elec. Analysis'!$A$156=$A$696,VLOOKUP($A734,INDIRECT("'"&amp;D$707&amp;"'!"&amp;"$A$5:$CA$100"),VLOOKUP($A$695,$A$688:$E$703,COLUMN(D$688) - COLUMN($A$688) +1,FALSE),FALSE) + VLOOKUP($A734,INDIRECT("'"&amp;D$707&amp;"'!"&amp;"$A$5:$CA$100"),VLOOKUP($A$694,$A$688:$E$703,COLUMN(D$688) - COLUMN($A$688) +1,FALSE),FALSE),IF('Elec. Analysis'!$A$156=$A$699,VLOOKUP($A734,INDIRECT("'"&amp;D$707&amp;"'!"&amp;"$A$5:$CA$100"),VLOOKUP($A$698,$A$688:$E$703,COLUMN(D$688) - COLUMN($A$688) +1,FALSE),FALSE) - VLOOKUP($A734,INDIRECT("'"&amp;D$707&amp;"'!"&amp;"$A$5:$CA$100"),VLOOKUP($A$700,$A$688:$E$703,COLUMN(D$688) - COLUMN($A$688) +1,FALSE),FALSE),VLOOKUP($A734,INDIRECT("'"&amp;D$707&amp;"'!"&amp;"$A$5:$CA$100"),VLOOKUP('Elec. Analysis'!$A$156,$A$688:$E$703,COLUMN(D$688) - COLUMN($A$688) +1,FALSE),FALSE)))</f>
        <v>6.8159999999999998</v>
      </c>
      <c r="E734" s="706">
        <f ca="1">IF('Elec. Analysis'!$A$156=$A$696,VLOOKUP($A734,INDIRECT("'"&amp;E$707&amp;"'!"&amp;"$A$5:$CA$100"),VLOOKUP($A$695,$A$688:$E$703,COLUMN(E$688) - COLUMN($A$688) +1,FALSE),FALSE) + VLOOKUP($A734,INDIRECT("'"&amp;E$707&amp;"'!"&amp;"$A$5:$CA$100"),VLOOKUP($A$694,$A$688:$E$703,COLUMN(E$688) - COLUMN($A$688) +1,FALSE),FALSE),IF('Elec. Analysis'!$A$156=$A$699,VLOOKUP($A734,INDIRECT("'"&amp;E$707&amp;"'!"&amp;"$A$5:$CA$100"),VLOOKUP($A$698,$A$688:$E$703,COLUMN(E$688) - COLUMN($A$688) +1,FALSE),FALSE) - VLOOKUP($A734,INDIRECT("'"&amp;E$707&amp;"'!"&amp;"$A$5:$CA$100"),VLOOKUP($A$700,$A$688:$E$703,COLUMN(E$688) - COLUMN($A$688) +1,FALSE),FALSE),VLOOKUP($A734,INDIRECT("'"&amp;E$707&amp;"'!"&amp;"$A$5:$CA$100"),VLOOKUP('Elec. Analysis'!$A$156,$A$688:$E$703,COLUMN(E$688) - COLUMN($A$688) +1,FALSE),FALSE)))</f>
        <v>7.4080000000000004</v>
      </c>
      <c r="F734" s="1374"/>
      <c r="G734" s="708">
        <f>IF(AND($A765&lt;=DATE('Elec. Analysis'!$T$194, 12,1),$A765&gt;=DATE('Elec. Analysis'!$T$193, 1, 1)), $A765, NA())</f>
        <v>42644</v>
      </c>
      <c r="H734" s="1274">
        <f ca="1">IF($G734="",NA(),VLOOKUP($G734, INDIRECT("'" &amp;'Elec. Analysis'!$A$193&amp;"'!"&amp;"$A$5:$CA$100"),VLOOKUP('Elec. Analysis'!$A$194, $K$677:$M$736, 2, FALSE),FALSE))</f>
        <v>71.405808375660001</v>
      </c>
      <c r="I734" s="1374"/>
      <c r="J734" s="1374"/>
      <c r="K734" s="656" t="str">
        <f ca="1">IF(INDIRECT("'"&amp;'Elec. Analysis'!$A$193&amp;"'!"&amp;$M734&amp;"5")=0, "", INDIRECT("'"&amp;'Elec. Analysis'!$A$193&amp;"'!"&amp;$M734&amp;"5"))</f>
        <v/>
      </c>
      <c r="L734" s="1398">
        <v>60</v>
      </c>
      <c r="M734" s="1020" t="str">
        <f t="shared" si="183"/>
        <v>BH</v>
      </c>
      <c r="N734" s="1374"/>
      <c r="O734" s="1024">
        <v>41640</v>
      </c>
      <c r="P734" s="827">
        <f ca="1">VLOOKUP($O734,INDIRECT("'"&amp;P$709&amp;"'!"&amp;"$A$5:$CA$100"),VLOOKUP('NG Analysis'!$A$157,$O$685:$R$699,COLUMN(P$685) - COLUMN($O$685) + 1,FALSE),FALSE)</f>
        <v>4.085</v>
      </c>
      <c r="Q734" s="827">
        <f ca="1">VLOOKUP($O734,INDIRECT("'"&amp;Q$709&amp;"'!"&amp;"$A$5:$CA$100"),VLOOKUP('NG Analysis'!$A$157,$O$685:$R$699,COLUMN(Q$685) - COLUMN($O$685) + 1,FALSE),FALSE)</f>
        <v>4.1070000000000002</v>
      </c>
      <c r="R734" s="827">
        <f ca="1">VLOOKUP($O734,INDIRECT("'"&amp;R$709&amp;"'!"&amp;"$A$5:$CA$100"),VLOOKUP('NG Analysis'!$A$157,$O$685:$R$699,COLUMN(R$685) - COLUMN($O$685) + 1,FALSE),FALSE)</f>
        <v>4.2309999999999999</v>
      </c>
      <c r="S734" s="1374"/>
      <c r="T734" s="708">
        <f>IF(AND($O768&lt;=DATE('NG Analysis'!$T$195, 12,1),$O768&gt;=DATE('NG Analysis'!$T$194, 1, 1)), $O768, NA())</f>
        <v>42675</v>
      </c>
      <c r="U734" s="1273">
        <f ca="1">IF($T734="",NA(),VLOOKUP($T734, INDIRECT("'" &amp;'NG Analysis'!$A$194&amp;"'!"&amp;"$A$5:$CA$100"),VLOOKUP('NG Analysis'!$A$195, $X$676:$Z$735, 2, FALSE),FALSE))</f>
        <v>109.7877683159076</v>
      </c>
      <c r="V734" s="1374"/>
      <c r="W734" s="1374"/>
      <c r="X734" s="656" t="str">
        <f ca="1">IF(INDIRECT("'"&amp;'NG Analysis'!$A$194&amp;"'!"&amp;$Z734&amp;"5")=0, "", INDIRECT("'"&amp;'NG Analysis'!$A$194&amp;"'!"&amp;$Z734&amp;"5"))</f>
        <v/>
      </c>
      <c r="Y734" s="1398">
        <v>61</v>
      </c>
      <c r="Z734" s="1020" t="str">
        <f t="shared" si="182"/>
        <v>BI</v>
      </c>
      <c r="AA734" s="1439"/>
    </row>
    <row r="735" spans="1:27" x14ac:dyDescent="0.3">
      <c r="A735" s="1036">
        <v>41730</v>
      </c>
      <c r="B735" s="706">
        <f ca="1">IF('Elec. Analysis'!$A$156=$A$696,VLOOKUP($A735,INDIRECT("'"&amp;B$707&amp;"'!"&amp;"$A$5:$CA$100"),VLOOKUP($A$695,$A$688:$E$703,COLUMN(B$688) - COLUMN($A$688) +1,FALSE),FALSE) + VLOOKUP($A735,INDIRECT("'"&amp;B$707&amp;"'!"&amp;"$A$5:$CA$100"),VLOOKUP($A$694,$A$688:$E$703,COLUMN(B$688) - COLUMN($A$688) +1,FALSE),FALSE),IF('Elec. Analysis'!$A$156=$A$699,VLOOKUP($A735,INDIRECT("'"&amp;B$707&amp;"'!"&amp;"$A$5:$CA$100"),VLOOKUP($A$698,$A$688:$E$703,COLUMN(B$688) - COLUMN($A$688) +1,FALSE),FALSE) - VLOOKUP($A735,INDIRECT("'"&amp;B$707&amp;"'!"&amp;"$A$5:$CA$100"),VLOOKUP($A$700,$A$688:$E$703,COLUMN(B$688) - COLUMN($A$688) +1,FALSE),FALSE),VLOOKUP($A735,INDIRECT("'"&amp;B$707&amp;"'!"&amp;"$A$5:$CA$100"),VLOOKUP('Elec. Analysis'!$A$156,$A$688:$E$703,COLUMN(B$688) - COLUMN($A$688) +1,FALSE),FALSE)))</f>
        <v>7.0838000000000001</v>
      </c>
      <c r="C735" s="706">
        <f ca="1">IF('Elec. Analysis'!$A$156=$A$696,VLOOKUP($A735,INDIRECT("'"&amp;C$707&amp;"'!"&amp;"$A$5:$CA$100"),VLOOKUP($A$695,$A$688:$E$703,COLUMN(C$688) - COLUMN($A$688) +1,FALSE),FALSE) + VLOOKUP($A735,INDIRECT("'"&amp;C$707&amp;"'!"&amp;"$A$5:$CA$100"),VLOOKUP($A$694,$A$688:$E$703,COLUMN(C$688) - COLUMN($A$688) +1,FALSE),FALSE),IF('Elec. Analysis'!$A$156=$A$699,VLOOKUP($A735,INDIRECT("'"&amp;C$707&amp;"'!"&amp;"$A$5:$CA$100"),VLOOKUP($A$698,$A$688:$E$703,COLUMN(C$688) - COLUMN($A$688) +1,FALSE),FALSE) - VLOOKUP($A735,INDIRECT("'"&amp;C$707&amp;"'!"&amp;"$A$5:$CA$100"),VLOOKUP($A$700,$A$688:$E$703,COLUMN(C$688) - COLUMN($A$688) +1,FALSE),FALSE),VLOOKUP($A735,INDIRECT("'"&amp;C$707&amp;"'!"&amp;"$A$5:$CA$100"),VLOOKUP('Elec. Analysis'!$A$156,$A$688:$E$703,COLUMN(C$688) - COLUMN($A$688) +1,FALSE),FALSE)))</f>
        <v>6.9859999999999998</v>
      </c>
      <c r="D735" s="706">
        <f ca="1">IF('Elec. Analysis'!$A$156=$A$696,VLOOKUP($A735,INDIRECT("'"&amp;D$707&amp;"'!"&amp;"$A$5:$CA$100"),VLOOKUP($A$695,$A$688:$E$703,COLUMN(D$688) - COLUMN($A$688) +1,FALSE),FALSE) + VLOOKUP($A735,INDIRECT("'"&amp;D$707&amp;"'!"&amp;"$A$5:$CA$100"),VLOOKUP($A$694,$A$688:$E$703,COLUMN(D$688) - COLUMN($A$688) +1,FALSE),FALSE),IF('Elec. Analysis'!$A$156=$A$699,VLOOKUP($A735,INDIRECT("'"&amp;D$707&amp;"'!"&amp;"$A$5:$CA$100"),VLOOKUP($A$698,$A$688:$E$703,COLUMN(D$688) - COLUMN($A$688) +1,FALSE),FALSE) - VLOOKUP($A735,INDIRECT("'"&amp;D$707&amp;"'!"&amp;"$A$5:$CA$100"),VLOOKUP($A$700,$A$688:$E$703,COLUMN(D$688) - COLUMN($A$688) +1,FALSE),FALSE),VLOOKUP($A735,INDIRECT("'"&amp;D$707&amp;"'!"&amp;"$A$5:$CA$100"),VLOOKUP('Elec. Analysis'!$A$156,$A$688:$E$703,COLUMN(D$688) - COLUMN($A$688) +1,FALSE),FALSE)))</f>
        <v>6.8040000000000003</v>
      </c>
      <c r="E735" s="706">
        <f ca="1">IF('Elec. Analysis'!$A$156=$A$696,VLOOKUP($A735,INDIRECT("'"&amp;E$707&amp;"'!"&amp;"$A$5:$CA$100"),VLOOKUP($A$695,$A$688:$E$703,COLUMN(E$688) - COLUMN($A$688) +1,FALSE),FALSE) + VLOOKUP($A735,INDIRECT("'"&amp;E$707&amp;"'!"&amp;"$A$5:$CA$100"),VLOOKUP($A$694,$A$688:$E$703,COLUMN(E$688) - COLUMN($A$688) +1,FALSE),FALSE),IF('Elec. Analysis'!$A$156=$A$699,VLOOKUP($A735,INDIRECT("'"&amp;E$707&amp;"'!"&amp;"$A$5:$CA$100"),VLOOKUP($A$698,$A$688:$E$703,COLUMN(E$688) - COLUMN($A$688) +1,FALSE),FALSE) - VLOOKUP($A735,INDIRECT("'"&amp;E$707&amp;"'!"&amp;"$A$5:$CA$100"),VLOOKUP($A$700,$A$688:$E$703,COLUMN(E$688) - COLUMN($A$688) +1,FALSE),FALSE),VLOOKUP($A735,INDIRECT("'"&amp;E$707&amp;"'!"&amp;"$A$5:$CA$100"),VLOOKUP('Elec. Analysis'!$A$156,$A$688:$E$703,COLUMN(E$688) - COLUMN($A$688) +1,FALSE),FALSE)))</f>
        <v>7.1159999999999997</v>
      </c>
      <c r="F735" s="1374"/>
      <c r="G735" s="708">
        <f>IF(AND($A766&lt;=DATE('Elec. Analysis'!$T$194, 12,1),$A766&gt;=DATE('Elec. Analysis'!$T$193, 1, 1)), $A766, NA())</f>
        <v>42675</v>
      </c>
      <c r="H735" s="1274">
        <f ca="1">IF($G735="",NA(),VLOOKUP($G735, INDIRECT("'" &amp;'Elec. Analysis'!$A$193&amp;"'!"&amp;"$A$5:$CA$100"),VLOOKUP('Elec. Analysis'!$A$194, $K$677:$M$736, 2, FALSE),FALSE))</f>
        <v>63.797060121675813</v>
      </c>
      <c r="I735" s="1374"/>
      <c r="J735" s="1374"/>
      <c r="K735" s="656" t="str">
        <f ca="1">IF(INDIRECT("'"&amp;'Elec. Analysis'!$A$193&amp;"'!"&amp;$M735&amp;"5")=0, "", INDIRECT("'"&amp;'Elec. Analysis'!$A$193&amp;"'!"&amp;$M735&amp;"5"))</f>
        <v/>
      </c>
      <c r="L735" s="1398">
        <v>61</v>
      </c>
      <c r="M735" s="1020" t="str">
        <f t="shared" si="183"/>
        <v>BI</v>
      </c>
      <c r="N735" s="1374"/>
      <c r="O735" s="1024">
        <v>41671</v>
      </c>
      <c r="P735" s="827">
        <f ca="1">VLOOKUP($O735,INDIRECT("'"&amp;P$709&amp;"'!"&amp;"$A$5:$CA$100"),VLOOKUP('NG Analysis'!$A$157,$O$685:$R$699,COLUMN(P$685) - COLUMN($O$685) + 1,FALSE),FALSE)</f>
        <v>4.5679999999999996</v>
      </c>
      <c r="Q735" s="827">
        <f ca="1">VLOOKUP($O735,INDIRECT("'"&amp;Q$709&amp;"'!"&amp;"$A$5:$CA$100"),VLOOKUP('NG Analysis'!$A$157,$O$685:$R$699,COLUMN(Q$685) - COLUMN($O$685) + 1,FALSE),FALSE)</f>
        <v>4.4939999999999998</v>
      </c>
      <c r="R735" s="827">
        <f ca="1">VLOOKUP($O735,INDIRECT("'"&amp;R$709&amp;"'!"&amp;"$A$5:$CA$100"),VLOOKUP('NG Analysis'!$A$157,$O$685:$R$699,COLUMN(R$685) - COLUMN($O$685) + 1,FALSE),FALSE)</f>
        <v>4.8639999999999999</v>
      </c>
      <c r="S735" s="1374"/>
      <c r="T735" s="708">
        <f>IF(AND($O769&lt;=DATE('NG Analysis'!$T$195, 12,1),$O769&gt;=DATE('NG Analysis'!$T$194, 1, 1)), $O769, NA())</f>
        <v>42705</v>
      </c>
      <c r="U735" s="1273">
        <f ca="1">IF($T735="",NA(),VLOOKUP($T735, INDIRECT("'" &amp;'NG Analysis'!$A$194&amp;"'!"&amp;"$A$5:$CA$100"),VLOOKUP('NG Analysis'!$A$195, $X$676:$Z$735, 2, FALSE),FALSE))</f>
        <v>158.43155024460896</v>
      </c>
      <c r="V735" s="1374"/>
      <c r="W735" s="1374"/>
      <c r="X735" s="656" t="str">
        <f ca="1">IF(INDIRECT("'"&amp;'NG Analysis'!$A$194&amp;"'!"&amp;$Z735&amp;"5")=0, "", INDIRECT("'"&amp;'NG Analysis'!$A$194&amp;"'!"&amp;$Z735&amp;"5"))</f>
        <v/>
      </c>
      <c r="Y735" s="1398">
        <v>62</v>
      </c>
      <c r="Z735" s="1020" t="str">
        <f t="shared" si="182"/>
        <v>BJ</v>
      </c>
      <c r="AA735" s="1439"/>
    </row>
    <row r="736" spans="1:27" x14ac:dyDescent="0.3">
      <c r="A736" s="1036">
        <v>41760</v>
      </c>
      <c r="B736" s="706">
        <f ca="1">IF('Elec. Analysis'!$A$156=$A$696,VLOOKUP($A736,INDIRECT("'"&amp;B$707&amp;"'!"&amp;"$A$5:$CA$100"),VLOOKUP($A$695,$A$688:$E$703,COLUMN(B$688) - COLUMN($A$688) +1,FALSE),FALSE) + VLOOKUP($A736,INDIRECT("'"&amp;B$707&amp;"'!"&amp;"$A$5:$CA$100"),VLOOKUP($A$694,$A$688:$E$703,COLUMN(B$688) - COLUMN($A$688) +1,FALSE),FALSE),IF('Elec. Analysis'!$A$156=$A$699,VLOOKUP($A736,INDIRECT("'"&amp;B$707&amp;"'!"&amp;"$A$5:$CA$100"),VLOOKUP($A$698,$A$688:$E$703,COLUMN(B$688) - COLUMN($A$688) +1,FALSE),FALSE) - VLOOKUP($A736,INDIRECT("'"&amp;B$707&amp;"'!"&amp;"$A$5:$CA$100"),VLOOKUP($A$700,$A$688:$E$703,COLUMN(B$688) - COLUMN($A$688) +1,FALSE),FALSE),VLOOKUP($A736,INDIRECT("'"&amp;B$707&amp;"'!"&amp;"$A$5:$CA$100"),VLOOKUP('Elec. Analysis'!$A$156,$A$688:$E$703,COLUMN(B$688) - COLUMN($A$688) +1,FALSE),FALSE)))</f>
        <v>10.612</v>
      </c>
      <c r="C736" s="706">
        <f ca="1">IF('Elec. Analysis'!$A$156=$A$696,VLOOKUP($A736,INDIRECT("'"&amp;C$707&amp;"'!"&amp;"$A$5:$CA$100"),VLOOKUP($A$695,$A$688:$E$703,COLUMN(C$688) - COLUMN($A$688) +1,FALSE),FALSE) + VLOOKUP($A736,INDIRECT("'"&amp;C$707&amp;"'!"&amp;"$A$5:$CA$100"),VLOOKUP($A$694,$A$688:$E$703,COLUMN(C$688) - COLUMN($A$688) +1,FALSE),FALSE),IF('Elec. Analysis'!$A$156=$A$699,VLOOKUP($A736,INDIRECT("'"&amp;C$707&amp;"'!"&amp;"$A$5:$CA$100"),VLOOKUP($A$698,$A$688:$E$703,COLUMN(C$688) - COLUMN($A$688) +1,FALSE),FALSE) - VLOOKUP($A736,INDIRECT("'"&amp;C$707&amp;"'!"&amp;"$A$5:$CA$100"),VLOOKUP($A$700,$A$688:$E$703,COLUMN(C$688) - COLUMN($A$688) +1,FALSE),FALSE),VLOOKUP($A736,INDIRECT("'"&amp;C$707&amp;"'!"&amp;"$A$5:$CA$100"),VLOOKUP('Elec. Analysis'!$A$156,$A$688:$E$703,COLUMN(C$688) - COLUMN($A$688) +1,FALSE),FALSE)))</f>
        <v>8.9220000000000006</v>
      </c>
      <c r="D736" s="706">
        <f ca="1">IF('Elec. Analysis'!$A$156=$A$696,VLOOKUP($A736,INDIRECT("'"&amp;D$707&amp;"'!"&amp;"$A$5:$CA$100"),VLOOKUP($A$695,$A$688:$E$703,COLUMN(D$688) - COLUMN($A$688) +1,FALSE),FALSE) + VLOOKUP($A736,INDIRECT("'"&amp;D$707&amp;"'!"&amp;"$A$5:$CA$100"),VLOOKUP($A$694,$A$688:$E$703,COLUMN(D$688) - COLUMN($A$688) +1,FALSE),FALSE),IF('Elec. Analysis'!$A$156=$A$699,VLOOKUP($A736,INDIRECT("'"&amp;D$707&amp;"'!"&amp;"$A$5:$CA$100"),VLOOKUP($A$698,$A$688:$E$703,COLUMN(D$688) - COLUMN($A$688) +1,FALSE),FALSE) - VLOOKUP($A736,INDIRECT("'"&amp;D$707&amp;"'!"&amp;"$A$5:$CA$100"),VLOOKUP($A$700,$A$688:$E$703,COLUMN(D$688) - COLUMN($A$688) +1,FALSE),FALSE),VLOOKUP($A736,INDIRECT("'"&amp;D$707&amp;"'!"&amp;"$A$5:$CA$100"),VLOOKUP('Elec. Analysis'!$A$156,$A$688:$E$703,COLUMN(D$688) - COLUMN($A$688) +1,FALSE),FALSE)))</f>
        <v>8.6679999999999993</v>
      </c>
      <c r="E736" s="706">
        <f ca="1">IF('Elec. Analysis'!$A$156=$A$696,VLOOKUP($A736,INDIRECT("'"&amp;E$707&amp;"'!"&amp;"$A$5:$CA$100"),VLOOKUP($A$695,$A$688:$E$703,COLUMN(E$688) - COLUMN($A$688) +1,FALSE),FALSE) + VLOOKUP($A736,INDIRECT("'"&amp;E$707&amp;"'!"&amp;"$A$5:$CA$100"),VLOOKUP($A$694,$A$688:$E$703,COLUMN(E$688) - COLUMN($A$688) +1,FALSE),FALSE),IF('Elec. Analysis'!$A$156=$A$699,VLOOKUP($A736,INDIRECT("'"&amp;E$707&amp;"'!"&amp;"$A$5:$CA$100"),VLOOKUP($A$698,$A$688:$E$703,COLUMN(E$688) - COLUMN($A$688) +1,FALSE),FALSE) - VLOOKUP($A736,INDIRECT("'"&amp;E$707&amp;"'!"&amp;"$A$5:$CA$100"),VLOOKUP($A$700,$A$688:$E$703,COLUMN(E$688) - COLUMN($A$688) +1,FALSE),FALSE),VLOOKUP($A736,INDIRECT("'"&amp;E$707&amp;"'!"&amp;"$A$5:$CA$100"),VLOOKUP('Elec. Analysis'!$A$156,$A$688:$E$703,COLUMN(E$688) - COLUMN($A$688) +1,FALSE),FALSE)))</f>
        <v>11.224</v>
      </c>
      <c r="F736" s="1374"/>
      <c r="G736" s="1096">
        <f>IF(AND($A767&lt;=DATE('Elec. Analysis'!$T$194, 12,1),$A767&gt;=DATE('Elec. Analysis'!$T$193, 1, 1)), $A767, NA())</f>
        <v>42705</v>
      </c>
      <c r="H736" s="1274">
        <f ca="1">IF($G736="",NA(),VLOOKUP($G736, INDIRECT("'" &amp;'Elec. Analysis'!$A$193&amp;"'!"&amp;"$A$5:$CA$100"),VLOOKUP('Elec. Analysis'!$A$194, $K$677:$M$736, 2, FALSE),FALSE))</f>
        <v>82.098728358227334</v>
      </c>
      <c r="I736" s="1374"/>
      <c r="J736" s="1374"/>
      <c r="K736" s="656" t="str">
        <f ca="1">IF(INDIRECT("'"&amp;'Elec. Analysis'!$A$193&amp;"'!"&amp;$M736&amp;"5")=0, "", INDIRECT("'"&amp;'Elec. Analysis'!$A$193&amp;"'!"&amp;$M736&amp;"5"))</f>
        <v/>
      </c>
      <c r="L736" s="1398">
        <v>62</v>
      </c>
      <c r="M736" s="1020" t="str">
        <f t="shared" si="183"/>
        <v>BJ</v>
      </c>
      <c r="N736" s="1374"/>
      <c r="O736" s="1024">
        <v>41699</v>
      </c>
      <c r="P736" s="827">
        <f ca="1">VLOOKUP($O736,INDIRECT("'"&amp;P$709&amp;"'!"&amp;"$A$5:$CA$100"),VLOOKUP('NG Analysis'!$A$157,$O$685:$R$699,COLUMN(P$685) - COLUMN($O$685) + 1,FALSE),FALSE)</f>
        <v>9.0239999999999991</v>
      </c>
      <c r="Q736" s="827">
        <f ca="1">VLOOKUP($O736,INDIRECT("'"&amp;Q$709&amp;"'!"&amp;"$A$5:$CA$100"),VLOOKUP('NG Analysis'!$A$157,$O$685:$R$699,COLUMN(Q$685) - COLUMN($O$685) + 1,FALSE),FALSE)</f>
        <v>9.3879999999999999</v>
      </c>
      <c r="R736" s="827">
        <f ca="1">VLOOKUP($O736,INDIRECT("'"&amp;R$709&amp;"'!"&amp;"$A$5:$CA$100"),VLOOKUP('NG Analysis'!$A$157,$O$685:$R$699,COLUMN(R$685) - COLUMN($O$685) + 1,FALSE),FALSE)</f>
        <v>7.383</v>
      </c>
      <c r="S736" s="1374"/>
      <c r="T736" s="708">
        <f>IF(AND($O770&lt;=DATE('NG Analysis'!$T$195, 12,1),$O770&gt;=DATE('NG Analysis'!$T$194, 1, 1)), $O770, NA())</f>
        <v>42736</v>
      </c>
      <c r="U736" s="1273">
        <f ca="1">IF($T736="",NA(),VLOOKUP($T736, INDIRECT("'" &amp;'NG Analysis'!$A$194&amp;"'!"&amp;"$A$5:$CA$100"),VLOOKUP('NG Analysis'!$A$195, $X$676:$Z$735, 2, FALSE),FALSE))</f>
        <v>192.15131520131538</v>
      </c>
      <c r="V736" s="1374"/>
      <c r="W736" s="1374"/>
      <c r="X736" s="1374"/>
      <c r="Y736" s="1374"/>
      <c r="Z736" s="911"/>
      <c r="AA736" s="1439"/>
    </row>
    <row r="737" spans="1:27" x14ac:dyDescent="0.3">
      <c r="A737" s="1036">
        <v>41791</v>
      </c>
      <c r="B737" s="706">
        <f ca="1">IF('Elec. Analysis'!$A$156=$A$696,VLOOKUP($A737,INDIRECT("'"&amp;B$707&amp;"'!"&amp;"$A$5:$CA$100"),VLOOKUP($A$695,$A$688:$E$703,COLUMN(B$688) - COLUMN($A$688) +1,FALSE),FALSE) + VLOOKUP($A737,INDIRECT("'"&amp;B$707&amp;"'!"&amp;"$A$5:$CA$100"),VLOOKUP($A$694,$A$688:$E$703,COLUMN(B$688) - COLUMN($A$688) +1,FALSE),FALSE),IF('Elec. Analysis'!$A$156=$A$699,VLOOKUP($A737,INDIRECT("'"&amp;B$707&amp;"'!"&amp;"$A$5:$CA$100"),VLOOKUP($A$698,$A$688:$E$703,COLUMN(B$688) - COLUMN($A$688) +1,FALSE),FALSE) - VLOOKUP($A737,INDIRECT("'"&amp;B$707&amp;"'!"&amp;"$A$5:$CA$100"),VLOOKUP($A$700,$A$688:$E$703,COLUMN(B$688) - COLUMN($A$688) +1,FALSE),FALSE),VLOOKUP($A737,INDIRECT("'"&amp;B$707&amp;"'!"&amp;"$A$5:$CA$100"),VLOOKUP('Elec. Analysis'!$A$156,$A$688:$E$703,COLUMN(B$688) - COLUMN($A$688) +1,FALSE),FALSE)))</f>
        <v>5.4981</v>
      </c>
      <c r="C737" s="706">
        <f ca="1">IF('Elec. Analysis'!$A$156=$A$696,VLOOKUP($A737,INDIRECT("'"&amp;C$707&amp;"'!"&amp;"$A$5:$CA$100"),VLOOKUP($A$695,$A$688:$E$703,COLUMN(C$688) - COLUMN($A$688) +1,FALSE),FALSE) + VLOOKUP($A737,INDIRECT("'"&amp;C$707&amp;"'!"&amp;"$A$5:$CA$100"),VLOOKUP($A$694,$A$688:$E$703,COLUMN(C$688) - COLUMN($A$688) +1,FALSE),FALSE),IF('Elec. Analysis'!$A$156=$A$699,VLOOKUP($A737,INDIRECT("'"&amp;C$707&amp;"'!"&amp;"$A$5:$CA$100"),VLOOKUP($A$698,$A$688:$E$703,COLUMN(C$688) - COLUMN($A$688) +1,FALSE),FALSE) - VLOOKUP($A737,INDIRECT("'"&amp;C$707&amp;"'!"&amp;"$A$5:$CA$100"),VLOOKUP($A$700,$A$688:$E$703,COLUMN(C$688) - COLUMN($A$688) +1,FALSE),FALSE),VLOOKUP($A737,INDIRECT("'"&amp;C$707&amp;"'!"&amp;"$A$5:$CA$100"),VLOOKUP('Elec. Analysis'!$A$156,$A$688:$E$703,COLUMN(C$688) - COLUMN($A$688) +1,FALSE),FALSE)))</f>
        <v>5.9950000000000001</v>
      </c>
      <c r="D737" s="706">
        <f ca="1">IF('Elec. Analysis'!$A$156=$A$696,VLOOKUP($A737,INDIRECT("'"&amp;D$707&amp;"'!"&amp;"$A$5:$CA$100"),VLOOKUP($A$695,$A$688:$E$703,COLUMN(D$688) - COLUMN($A$688) +1,FALSE),FALSE) + VLOOKUP($A737,INDIRECT("'"&amp;D$707&amp;"'!"&amp;"$A$5:$CA$100"),VLOOKUP($A$694,$A$688:$E$703,COLUMN(D$688) - COLUMN($A$688) +1,FALSE),FALSE),IF('Elec. Analysis'!$A$156=$A$699,VLOOKUP($A737,INDIRECT("'"&amp;D$707&amp;"'!"&amp;"$A$5:$CA$100"),VLOOKUP($A$698,$A$688:$E$703,COLUMN(D$688) - COLUMN($A$688) +1,FALSE),FALSE) - VLOOKUP($A737,INDIRECT("'"&amp;D$707&amp;"'!"&amp;"$A$5:$CA$100"),VLOOKUP($A$700,$A$688:$E$703,COLUMN(D$688) - COLUMN($A$688) +1,FALSE),FALSE),VLOOKUP($A737,INDIRECT("'"&amp;D$707&amp;"'!"&amp;"$A$5:$CA$100"),VLOOKUP('Elec. Analysis'!$A$156,$A$688:$E$703,COLUMN(D$688) - COLUMN($A$688) +1,FALSE),FALSE)))</f>
        <v>5.8570000000000002</v>
      </c>
      <c r="E737" s="706">
        <f ca="1">IF('Elec. Analysis'!$A$156=$A$696,VLOOKUP($A737,INDIRECT("'"&amp;E$707&amp;"'!"&amp;"$A$5:$CA$100"),VLOOKUP($A$695,$A$688:$E$703,COLUMN(E$688) - COLUMN($A$688) +1,FALSE),FALSE) + VLOOKUP($A737,INDIRECT("'"&amp;E$707&amp;"'!"&amp;"$A$5:$CA$100"),VLOOKUP($A$694,$A$688:$E$703,COLUMN(E$688) - COLUMN($A$688) +1,FALSE),FALSE),IF('Elec. Analysis'!$A$156=$A$699,VLOOKUP($A737,INDIRECT("'"&amp;E$707&amp;"'!"&amp;"$A$5:$CA$100"),VLOOKUP($A$698,$A$688:$E$703,COLUMN(E$688) - COLUMN($A$688) +1,FALSE),FALSE) - VLOOKUP($A737,INDIRECT("'"&amp;E$707&amp;"'!"&amp;"$A$5:$CA$100"),VLOOKUP($A$700,$A$688:$E$703,COLUMN(E$688) - COLUMN($A$688) +1,FALSE),FALSE),VLOOKUP($A737,INDIRECT("'"&amp;E$707&amp;"'!"&amp;"$A$5:$CA$100"),VLOOKUP('Elec. Analysis'!$A$156,$A$688:$E$703,COLUMN(E$688) - COLUMN($A$688) +1,FALSE),FALSE)))</f>
        <v>5.5279999999999996</v>
      </c>
      <c r="F737" s="1374"/>
      <c r="G737" s="708">
        <f>IF(AND($A768&lt;=DATE('Elec. Analysis'!$T$194, 12,1),$A768&gt;=DATE('Elec. Analysis'!$T$193, 1, 1)), $A768, NA())</f>
        <v>42736</v>
      </c>
      <c r="H737" s="1274">
        <f ca="1">IF($G737="",NA(),VLOOKUP($G737, INDIRECT("'" &amp;'Elec. Analysis'!$A$193&amp;"'!"&amp;"$A$5:$CA$100"),VLOOKUP('Elec. Analysis'!$A$194, $K$677:$M$736, 2, FALSE),FALSE))</f>
        <v>81.172660945086108</v>
      </c>
      <c r="I737" s="1374"/>
      <c r="J737" s="1374"/>
      <c r="K737" s="1374"/>
      <c r="L737" s="1374"/>
      <c r="M737" s="911"/>
      <c r="N737" s="1374"/>
      <c r="O737" s="1024">
        <v>41730</v>
      </c>
      <c r="P737" s="827">
        <f ca="1">VLOOKUP($O737,INDIRECT("'"&amp;P$709&amp;"'!"&amp;"$A$5:$CA$100"),VLOOKUP('NG Analysis'!$A$157,$O$685:$R$699,COLUMN(P$685) - COLUMN($O$685) + 1,FALSE),FALSE)</f>
        <v>5.1890000000000001</v>
      </c>
      <c r="Q737" s="827">
        <f ca="1">VLOOKUP($O737,INDIRECT("'"&amp;Q$709&amp;"'!"&amp;"$A$5:$CA$100"),VLOOKUP('NG Analysis'!$A$157,$O$685:$R$699,COLUMN(Q$685) - COLUMN($O$685) + 1,FALSE),FALSE)</f>
        <v>4.226</v>
      </c>
      <c r="R737" s="827">
        <f ca="1">VLOOKUP($O737,INDIRECT("'"&amp;R$709&amp;"'!"&amp;"$A$5:$CA$100"),VLOOKUP('NG Analysis'!$A$157,$O$685:$R$699,COLUMN(R$685) - COLUMN($O$685) + 1,FALSE),FALSE)</f>
        <v>6.3860000000000001</v>
      </c>
      <c r="S737" s="1374"/>
      <c r="T737" s="708">
        <f>IF(AND($O771&lt;=DATE('NG Analysis'!$T$195, 12,1),$O771&gt;=DATE('NG Analysis'!$T$194, 1, 1)), $O771, NA())</f>
        <v>42767</v>
      </c>
      <c r="U737" s="1273">
        <f ca="1">IF($T737="",NA(),VLOOKUP($T737, INDIRECT("'" &amp;'NG Analysis'!$A$194&amp;"'!"&amp;"$A$5:$CA$100"),VLOOKUP('NG Analysis'!$A$195, $X$676:$Z$735, 2, FALSE),FALSE))</f>
        <v>155.93448000739468</v>
      </c>
      <c r="V737" s="1374"/>
      <c r="W737" s="1374"/>
      <c r="X737" s="1374"/>
      <c r="Y737" s="1374"/>
      <c r="Z737" s="911"/>
      <c r="AA737" s="1439"/>
    </row>
    <row r="738" spans="1:27" x14ac:dyDescent="0.3">
      <c r="A738" s="1036">
        <v>41821</v>
      </c>
      <c r="B738" s="706">
        <f ca="1">IF('Elec. Analysis'!$A$156=$A$696,VLOOKUP($A738,INDIRECT("'"&amp;B$707&amp;"'!"&amp;"$A$5:$CA$100"),VLOOKUP($A$695,$A$688:$E$703,COLUMN(B$688) - COLUMN($A$688) +1,FALSE),FALSE) + VLOOKUP($A738,INDIRECT("'"&amp;B$707&amp;"'!"&amp;"$A$5:$CA$100"),VLOOKUP($A$694,$A$688:$E$703,COLUMN(B$688) - COLUMN($A$688) +1,FALSE),FALSE),IF('Elec. Analysis'!$A$156=$A$699,VLOOKUP($A738,INDIRECT("'"&amp;B$707&amp;"'!"&amp;"$A$5:$CA$100"),VLOOKUP($A$698,$A$688:$E$703,COLUMN(B$688) - COLUMN($A$688) +1,FALSE),FALSE) - VLOOKUP($A738,INDIRECT("'"&amp;B$707&amp;"'!"&amp;"$A$5:$CA$100"),VLOOKUP($A$700,$A$688:$E$703,COLUMN(B$688) - COLUMN($A$688) +1,FALSE),FALSE),VLOOKUP($A738,INDIRECT("'"&amp;B$707&amp;"'!"&amp;"$A$5:$CA$100"),VLOOKUP('Elec. Analysis'!$A$156,$A$688:$E$703,COLUMN(B$688) - COLUMN($A$688) +1,FALSE),FALSE)))</f>
        <v>7.7039999999999997</v>
      </c>
      <c r="C738" s="706">
        <f ca="1">IF('Elec. Analysis'!$A$156=$A$696,VLOOKUP($A738,INDIRECT("'"&amp;C$707&amp;"'!"&amp;"$A$5:$CA$100"),VLOOKUP($A$695,$A$688:$E$703,COLUMN(C$688) - COLUMN($A$688) +1,FALSE),FALSE) + VLOOKUP($A738,INDIRECT("'"&amp;C$707&amp;"'!"&amp;"$A$5:$CA$100"),VLOOKUP($A$694,$A$688:$E$703,COLUMN(C$688) - COLUMN($A$688) +1,FALSE),FALSE),IF('Elec. Analysis'!$A$156=$A$699,VLOOKUP($A738,INDIRECT("'"&amp;C$707&amp;"'!"&amp;"$A$5:$CA$100"),VLOOKUP($A$698,$A$688:$E$703,COLUMN(C$688) - COLUMN($A$688) +1,FALSE),FALSE) - VLOOKUP($A738,INDIRECT("'"&amp;C$707&amp;"'!"&amp;"$A$5:$CA$100"),VLOOKUP($A$700,$A$688:$E$703,COLUMN(C$688) - COLUMN($A$688) +1,FALSE),FALSE),VLOOKUP($A738,INDIRECT("'"&amp;C$707&amp;"'!"&amp;"$A$5:$CA$100"),VLOOKUP('Elec. Analysis'!$A$156,$A$688:$E$703,COLUMN(C$688) - COLUMN($A$688) +1,FALSE),FALSE)))</f>
        <v>7.1980000000000004</v>
      </c>
      <c r="D738" s="706">
        <f ca="1">IF('Elec. Analysis'!$A$156=$A$696,VLOOKUP($A738,INDIRECT("'"&amp;D$707&amp;"'!"&amp;"$A$5:$CA$100"),VLOOKUP($A$695,$A$688:$E$703,COLUMN(D$688) - COLUMN($A$688) +1,FALSE),FALSE) + VLOOKUP($A738,INDIRECT("'"&amp;D$707&amp;"'!"&amp;"$A$5:$CA$100"),VLOOKUP($A$694,$A$688:$E$703,COLUMN(D$688) - COLUMN($A$688) +1,FALSE),FALSE),IF('Elec. Analysis'!$A$156=$A$699,VLOOKUP($A738,INDIRECT("'"&amp;D$707&amp;"'!"&amp;"$A$5:$CA$100"),VLOOKUP($A$698,$A$688:$E$703,COLUMN(D$688) - COLUMN($A$688) +1,FALSE),FALSE) - VLOOKUP($A738,INDIRECT("'"&amp;D$707&amp;"'!"&amp;"$A$5:$CA$100"),VLOOKUP($A$700,$A$688:$E$703,COLUMN(D$688) - COLUMN($A$688) +1,FALSE),FALSE),VLOOKUP($A738,INDIRECT("'"&amp;D$707&amp;"'!"&amp;"$A$5:$CA$100"),VLOOKUP('Elec. Analysis'!$A$156,$A$688:$E$703,COLUMN(D$688) - COLUMN($A$688) +1,FALSE),FALSE)))</f>
        <v>7.032</v>
      </c>
      <c r="E738" s="706">
        <f ca="1">IF('Elec. Analysis'!$A$156=$A$696,VLOOKUP($A738,INDIRECT("'"&amp;E$707&amp;"'!"&amp;"$A$5:$CA$100"),VLOOKUP($A$695,$A$688:$E$703,COLUMN(E$688) - COLUMN($A$688) +1,FALSE),FALSE) + VLOOKUP($A738,INDIRECT("'"&amp;E$707&amp;"'!"&amp;"$A$5:$CA$100"),VLOOKUP($A$694,$A$688:$E$703,COLUMN(E$688) - COLUMN($A$688) +1,FALSE),FALSE),IF('Elec. Analysis'!$A$156=$A$699,VLOOKUP($A738,INDIRECT("'"&amp;E$707&amp;"'!"&amp;"$A$5:$CA$100"),VLOOKUP($A$698,$A$688:$E$703,COLUMN(E$688) - COLUMN($A$688) +1,FALSE),FALSE) - VLOOKUP($A738,INDIRECT("'"&amp;E$707&amp;"'!"&amp;"$A$5:$CA$100"),VLOOKUP($A$700,$A$688:$E$703,COLUMN(E$688) - COLUMN($A$688) +1,FALSE),FALSE),VLOOKUP($A738,INDIRECT("'"&amp;E$707&amp;"'!"&amp;"$A$5:$CA$100"),VLOOKUP('Elec. Analysis'!$A$156,$A$688:$E$703,COLUMN(E$688) - COLUMN($A$688) +1,FALSE),FALSE)))</f>
        <v>7.8280000000000003</v>
      </c>
      <c r="F738" s="1374"/>
      <c r="G738" s="708">
        <f>IF(AND($A769&lt;=DATE('Elec. Analysis'!$T$194, 12,1),$A769&gt;=DATE('Elec. Analysis'!$T$193, 1, 1)), $A769, NA())</f>
        <v>42767</v>
      </c>
      <c r="H738" s="1274">
        <f ca="1">IF($G738="",NA(),VLOOKUP($G738, INDIRECT("'" &amp;'Elec. Analysis'!$A$193&amp;"'!"&amp;"$A$5:$CA$100"),VLOOKUP('Elec. Analysis'!$A$194, $K$677:$M$736, 2, FALSE),FALSE))</f>
        <v>68.651904841888083</v>
      </c>
      <c r="I738" s="1374"/>
      <c r="J738" s="1374"/>
      <c r="K738" s="1374"/>
      <c r="L738" s="1374"/>
      <c r="M738" s="911"/>
      <c r="N738" s="1374"/>
      <c r="O738" s="1024">
        <v>41760</v>
      </c>
      <c r="P738" s="827">
        <f ca="1">VLOOKUP($O738,INDIRECT("'"&amp;P$709&amp;"'!"&amp;"$A$5:$CA$100"),VLOOKUP('NG Analysis'!$A$157,$O$685:$R$699,COLUMN(P$685) - COLUMN($O$685) + 1,FALSE),FALSE)</f>
        <v>2.7480000000000002</v>
      </c>
      <c r="Q738" s="827">
        <f ca="1">VLOOKUP($O738,INDIRECT("'"&amp;Q$709&amp;"'!"&amp;"$A$5:$CA$100"),VLOOKUP('NG Analysis'!$A$157,$O$685:$R$699,COLUMN(Q$685) - COLUMN($O$685) + 1,FALSE),FALSE)</f>
        <v>3.915</v>
      </c>
      <c r="R738" s="827">
        <f ca="1">VLOOKUP($O738,INDIRECT("'"&amp;R$709&amp;"'!"&amp;"$A$5:$CA$100"),VLOOKUP('NG Analysis'!$A$157,$O$685:$R$699,COLUMN(R$685) - COLUMN($O$685) + 1,FALSE),FALSE)</f>
        <v>4.9690000000000003</v>
      </c>
      <c r="S738" s="1374"/>
      <c r="T738" s="708">
        <f>IF(AND($O772&lt;=DATE('NG Analysis'!$T$195, 12,1),$O772&gt;=DATE('NG Analysis'!$T$194, 1, 1)), $O772, NA())</f>
        <v>42795</v>
      </c>
      <c r="U738" s="1273">
        <f ca="1">IF($T738="",NA(),VLOOKUP($T738, INDIRECT("'" &amp;'NG Analysis'!$A$194&amp;"'!"&amp;"$A$5:$CA$100"),VLOOKUP('NG Analysis'!$A$195, $X$676:$Z$735, 2, FALSE),FALSE))</f>
        <v>134.24090970261412</v>
      </c>
      <c r="V738" s="1374"/>
      <c r="W738" s="1374"/>
      <c r="X738" s="1374"/>
      <c r="Y738" s="1374"/>
      <c r="Z738" s="911"/>
      <c r="AA738" s="1439"/>
    </row>
    <row r="739" spans="1:27" x14ac:dyDescent="0.3">
      <c r="A739" s="1036">
        <v>41852</v>
      </c>
      <c r="B739" s="706">
        <f ca="1">IF('Elec. Analysis'!$A$156=$A$696,VLOOKUP($A739,INDIRECT("'"&amp;B$707&amp;"'!"&amp;"$A$5:$CA$100"),VLOOKUP($A$695,$A$688:$E$703,COLUMN(B$688) - COLUMN($A$688) +1,FALSE),FALSE) + VLOOKUP($A739,INDIRECT("'"&amp;B$707&amp;"'!"&amp;"$A$5:$CA$100"),VLOOKUP($A$694,$A$688:$E$703,COLUMN(B$688) - COLUMN($A$688) +1,FALSE),FALSE),IF('Elec. Analysis'!$A$156=$A$699,VLOOKUP($A739,INDIRECT("'"&amp;B$707&amp;"'!"&amp;"$A$5:$CA$100"),VLOOKUP($A$698,$A$688:$E$703,COLUMN(B$688) - COLUMN($A$688) +1,FALSE),FALSE) - VLOOKUP($A739,INDIRECT("'"&amp;B$707&amp;"'!"&amp;"$A$5:$CA$100"),VLOOKUP($A$700,$A$688:$E$703,COLUMN(B$688) - COLUMN($A$688) +1,FALSE),FALSE),VLOOKUP($A739,INDIRECT("'"&amp;B$707&amp;"'!"&amp;"$A$5:$CA$100"),VLOOKUP('Elec. Analysis'!$A$156,$A$688:$E$703,COLUMN(B$688) - COLUMN($A$688) +1,FALSE),FALSE)))</f>
        <v>8.6411999999999995</v>
      </c>
      <c r="C739" s="706">
        <f ca="1">IF('Elec. Analysis'!$A$156=$A$696,VLOOKUP($A739,INDIRECT("'"&amp;C$707&amp;"'!"&amp;"$A$5:$CA$100"),VLOOKUP($A$695,$A$688:$E$703,COLUMN(C$688) - COLUMN($A$688) +1,FALSE),FALSE) + VLOOKUP($A739,INDIRECT("'"&amp;C$707&amp;"'!"&amp;"$A$5:$CA$100"),VLOOKUP($A$694,$A$688:$E$703,COLUMN(C$688) - COLUMN($A$688) +1,FALSE),FALSE),IF('Elec. Analysis'!$A$156=$A$699,VLOOKUP($A739,INDIRECT("'"&amp;C$707&amp;"'!"&amp;"$A$5:$CA$100"),VLOOKUP($A$698,$A$688:$E$703,COLUMN(C$688) - COLUMN($A$688) +1,FALSE),FALSE) - VLOOKUP($A739,INDIRECT("'"&amp;C$707&amp;"'!"&amp;"$A$5:$CA$100"),VLOOKUP($A$700,$A$688:$E$703,COLUMN(C$688) - COLUMN($A$688) +1,FALSE),FALSE),VLOOKUP($A739,INDIRECT("'"&amp;C$707&amp;"'!"&amp;"$A$5:$CA$100"),VLOOKUP('Elec. Analysis'!$A$156,$A$688:$E$703,COLUMN(C$688) - COLUMN($A$688) +1,FALSE),FALSE)))</f>
        <v>8.0210000000000008</v>
      </c>
      <c r="D739" s="706">
        <f ca="1">IF('Elec. Analysis'!$A$156=$A$696,VLOOKUP($A739,INDIRECT("'"&amp;D$707&amp;"'!"&amp;"$A$5:$CA$100"),VLOOKUP($A$695,$A$688:$E$703,COLUMN(D$688) - COLUMN($A$688) +1,FALSE),FALSE) + VLOOKUP($A739,INDIRECT("'"&amp;D$707&amp;"'!"&amp;"$A$5:$CA$100"),VLOOKUP($A$694,$A$688:$E$703,COLUMN(D$688) - COLUMN($A$688) +1,FALSE),FALSE),IF('Elec. Analysis'!$A$156=$A$699,VLOOKUP($A739,INDIRECT("'"&amp;D$707&amp;"'!"&amp;"$A$5:$CA$100"),VLOOKUP($A$698,$A$688:$E$703,COLUMN(D$688) - COLUMN($A$688) +1,FALSE),FALSE) - VLOOKUP($A739,INDIRECT("'"&amp;D$707&amp;"'!"&amp;"$A$5:$CA$100"),VLOOKUP($A$700,$A$688:$E$703,COLUMN(D$688) - COLUMN($A$688) +1,FALSE),FALSE),VLOOKUP($A739,INDIRECT("'"&amp;D$707&amp;"'!"&amp;"$A$5:$CA$100"),VLOOKUP('Elec. Analysis'!$A$156,$A$688:$E$703,COLUMN(D$688) - COLUMN($A$688) +1,FALSE),FALSE)))</f>
        <v>7.827</v>
      </c>
      <c r="E739" s="706">
        <f ca="1">IF('Elec. Analysis'!$A$156=$A$696,VLOOKUP($A739,INDIRECT("'"&amp;E$707&amp;"'!"&amp;"$A$5:$CA$100"),VLOOKUP($A$695,$A$688:$E$703,COLUMN(E$688) - COLUMN($A$688) +1,FALSE),FALSE) + VLOOKUP($A739,INDIRECT("'"&amp;E$707&amp;"'!"&amp;"$A$5:$CA$100"),VLOOKUP($A$694,$A$688:$E$703,COLUMN(E$688) - COLUMN($A$688) +1,FALSE),FALSE),IF('Elec. Analysis'!$A$156=$A$699,VLOOKUP($A739,INDIRECT("'"&amp;E$707&amp;"'!"&amp;"$A$5:$CA$100"),VLOOKUP($A$698,$A$688:$E$703,COLUMN(E$688) - COLUMN($A$688) +1,FALSE),FALSE) - VLOOKUP($A739,INDIRECT("'"&amp;E$707&amp;"'!"&amp;"$A$5:$CA$100"),VLOOKUP($A$700,$A$688:$E$703,COLUMN(E$688) - COLUMN($A$688) +1,FALSE),FALSE),VLOOKUP($A739,INDIRECT("'"&amp;E$707&amp;"'!"&amp;"$A$5:$CA$100"),VLOOKUP('Elec. Analysis'!$A$156,$A$688:$E$703,COLUMN(E$688) - COLUMN($A$688) +1,FALSE),FALSE)))</f>
        <v>8.7750000000000004</v>
      </c>
      <c r="F739" s="1374"/>
      <c r="G739" s="708">
        <f>IF(AND($A770&lt;=DATE('Elec. Analysis'!$T$194, 12,1),$A770&gt;=DATE('Elec. Analysis'!$T$193, 1, 1)), $A770, NA())</f>
        <v>42795</v>
      </c>
      <c r="H739" s="1274">
        <f ca="1">IF($G739="",NA(),VLOOKUP($G739, INDIRECT("'" &amp;'Elec. Analysis'!$A$193&amp;"'!"&amp;"$A$5:$CA$100"),VLOOKUP('Elec. Analysis'!$A$194, $K$677:$M$736, 2, FALSE),FALSE))</f>
        <v>69.307154646758036</v>
      </c>
      <c r="I739" s="1374"/>
      <c r="J739" s="1374"/>
      <c r="K739" s="1374"/>
      <c r="L739" s="1374"/>
      <c r="M739" s="911"/>
      <c r="N739" s="1374"/>
      <c r="O739" s="1024">
        <v>41791</v>
      </c>
      <c r="P739" s="827">
        <f ca="1">VLOOKUP($O739,INDIRECT("'"&amp;P$709&amp;"'!"&amp;"$A$5:$CA$100"),VLOOKUP('NG Analysis'!$A$157,$O$685:$R$699,COLUMN(P$685) - COLUMN($O$685) + 1,FALSE),FALSE)</f>
        <v>3.847</v>
      </c>
      <c r="Q739" s="827">
        <f ca="1">VLOOKUP($O739,INDIRECT("'"&amp;Q$709&amp;"'!"&amp;"$A$5:$CA$100"),VLOOKUP('NG Analysis'!$A$157,$O$685:$R$699,COLUMN(Q$685) - COLUMN($O$685) + 1,FALSE),FALSE)</f>
        <v>2.73</v>
      </c>
      <c r="R739" s="827">
        <f ca="1">VLOOKUP($O739,INDIRECT("'"&amp;R$709&amp;"'!"&amp;"$A$5:$CA$100"),VLOOKUP('NG Analysis'!$A$157,$O$685:$R$699,COLUMN(R$685) - COLUMN($O$685) + 1,FALSE),FALSE)</f>
        <v>3.073</v>
      </c>
      <c r="S739" s="1374"/>
      <c r="T739" s="708">
        <f>IF(AND($O773&lt;=DATE('NG Analysis'!$T$195, 12,1),$O773&gt;=DATE('NG Analysis'!$T$194, 1, 1)), $O773, NA())</f>
        <v>42826</v>
      </c>
      <c r="U739" s="1273">
        <f ca="1">IF($T739="",NA(),VLOOKUP($T739, INDIRECT("'" &amp;'NG Analysis'!$A$194&amp;"'!"&amp;"$A$5:$CA$100"),VLOOKUP('NG Analysis'!$A$195, $X$676:$Z$735, 2, FALSE),FALSE))</f>
        <v>100.21660758273963</v>
      </c>
      <c r="V739" s="1374"/>
      <c r="W739" s="1374"/>
      <c r="X739" s="1374"/>
      <c r="Y739" s="1374"/>
      <c r="Z739" s="911"/>
      <c r="AA739" s="1439"/>
    </row>
    <row r="740" spans="1:27" x14ac:dyDescent="0.3">
      <c r="A740" s="1036">
        <v>41883</v>
      </c>
      <c r="B740" s="706">
        <f ca="1">IF('Elec. Analysis'!$A$156=$A$696,VLOOKUP($A740,INDIRECT("'"&amp;B$707&amp;"'!"&amp;"$A$5:$CA$100"),VLOOKUP($A$695,$A$688:$E$703,COLUMN(B$688) - COLUMN($A$688) +1,FALSE),FALSE) + VLOOKUP($A740,INDIRECT("'"&amp;B$707&amp;"'!"&amp;"$A$5:$CA$100"),VLOOKUP($A$694,$A$688:$E$703,COLUMN(B$688) - COLUMN($A$688) +1,FALSE),FALSE),IF('Elec. Analysis'!$A$156=$A$699,VLOOKUP($A740,INDIRECT("'"&amp;B$707&amp;"'!"&amp;"$A$5:$CA$100"),VLOOKUP($A$698,$A$688:$E$703,COLUMN(B$688) - COLUMN($A$688) +1,FALSE),FALSE) - VLOOKUP($A740,INDIRECT("'"&amp;B$707&amp;"'!"&amp;"$A$5:$CA$100"),VLOOKUP($A$700,$A$688:$E$703,COLUMN(B$688) - COLUMN($A$688) +1,FALSE),FALSE),VLOOKUP($A740,INDIRECT("'"&amp;B$707&amp;"'!"&amp;"$A$5:$CA$100"),VLOOKUP('Elec. Analysis'!$A$156,$A$688:$E$703,COLUMN(B$688) - COLUMN($A$688) +1,FALSE),FALSE)))</f>
        <v>9.0046999999999997</v>
      </c>
      <c r="C740" s="706">
        <f ca="1">IF('Elec. Analysis'!$A$156=$A$696,VLOOKUP($A740,INDIRECT("'"&amp;C$707&amp;"'!"&amp;"$A$5:$CA$100"),VLOOKUP($A$695,$A$688:$E$703,COLUMN(C$688) - COLUMN($A$688) +1,FALSE),FALSE) + VLOOKUP($A740,INDIRECT("'"&amp;C$707&amp;"'!"&amp;"$A$5:$CA$100"),VLOOKUP($A$694,$A$688:$E$703,COLUMN(C$688) - COLUMN($A$688) +1,FALSE),FALSE),IF('Elec. Analysis'!$A$156=$A$699,VLOOKUP($A740,INDIRECT("'"&amp;C$707&amp;"'!"&amp;"$A$5:$CA$100"),VLOOKUP($A$698,$A$688:$E$703,COLUMN(C$688) - COLUMN($A$688) +1,FALSE),FALSE) - VLOOKUP($A740,INDIRECT("'"&amp;C$707&amp;"'!"&amp;"$A$5:$CA$100"),VLOOKUP($A$700,$A$688:$E$703,COLUMN(C$688) - COLUMN($A$688) +1,FALSE),FALSE),VLOOKUP($A740,INDIRECT("'"&amp;C$707&amp;"'!"&amp;"$A$5:$CA$100"),VLOOKUP('Elec. Analysis'!$A$156,$A$688:$E$703,COLUMN(C$688) - COLUMN($A$688) +1,FALSE),FALSE)))</f>
        <v>7.9539999999999997</v>
      </c>
      <c r="D740" s="706">
        <f ca="1">IF('Elec. Analysis'!$A$156=$A$696,VLOOKUP($A740,INDIRECT("'"&amp;D$707&amp;"'!"&amp;"$A$5:$CA$100"),VLOOKUP($A$695,$A$688:$E$703,COLUMN(D$688) - COLUMN($A$688) +1,FALSE),FALSE) + VLOOKUP($A740,INDIRECT("'"&amp;D$707&amp;"'!"&amp;"$A$5:$CA$100"),VLOOKUP($A$694,$A$688:$E$703,COLUMN(D$688) - COLUMN($A$688) +1,FALSE),FALSE),IF('Elec. Analysis'!$A$156=$A$699,VLOOKUP($A740,INDIRECT("'"&amp;D$707&amp;"'!"&amp;"$A$5:$CA$100"),VLOOKUP($A$698,$A$688:$E$703,COLUMN(D$688) - COLUMN($A$688) +1,FALSE),FALSE) - VLOOKUP($A740,INDIRECT("'"&amp;D$707&amp;"'!"&amp;"$A$5:$CA$100"),VLOOKUP($A$700,$A$688:$E$703,COLUMN(D$688) - COLUMN($A$688) +1,FALSE),FALSE),VLOOKUP($A740,INDIRECT("'"&amp;D$707&amp;"'!"&amp;"$A$5:$CA$100"),VLOOKUP('Elec. Analysis'!$A$156,$A$688:$E$703,COLUMN(D$688) - COLUMN($A$688) +1,FALSE),FALSE)))</f>
        <v>7.774</v>
      </c>
      <c r="E740" s="706">
        <f ca="1">IF('Elec. Analysis'!$A$156=$A$696,VLOOKUP($A740,INDIRECT("'"&amp;E$707&amp;"'!"&amp;"$A$5:$CA$100"),VLOOKUP($A$695,$A$688:$E$703,COLUMN(E$688) - COLUMN($A$688) +1,FALSE),FALSE) + VLOOKUP($A740,INDIRECT("'"&amp;E$707&amp;"'!"&amp;"$A$5:$CA$100"),VLOOKUP($A$694,$A$688:$E$703,COLUMN(E$688) - COLUMN($A$688) +1,FALSE),FALSE),IF('Elec. Analysis'!$A$156=$A$699,VLOOKUP($A740,INDIRECT("'"&amp;E$707&amp;"'!"&amp;"$A$5:$CA$100"),VLOOKUP($A$698,$A$688:$E$703,COLUMN(E$688) - COLUMN($A$688) +1,FALSE),FALSE) - VLOOKUP($A740,INDIRECT("'"&amp;E$707&amp;"'!"&amp;"$A$5:$CA$100"),VLOOKUP($A$700,$A$688:$E$703,COLUMN(E$688) - COLUMN($A$688) +1,FALSE),FALSE),VLOOKUP($A740,INDIRECT("'"&amp;E$707&amp;"'!"&amp;"$A$5:$CA$100"),VLOOKUP('Elec. Analysis'!$A$156,$A$688:$E$703,COLUMN(E$688) - COLUMN($A$688) +1,FALSE),FALSE)))</f>
        <v>9.0640000000000001</v>
      </c>
      <c r="F740" s="1374"/>
      <c r="G740" s="708">
        <f>IF(AND($A771&lt;=DATE('Elec. Analysis'!$T$194, 12,1),$A771&gt;=DATE('Elec. Analysis'!$T$193, 1, 1)), $A771, NA())</f>
        <v>42826</v>
      </c>
      <c r="H740" s="1274">
        <f ca="1">IF($G740="",NA(),VLOOKUP($G740, INDIRECT("'" &amp;'Elec. Analysis'!$A$193&amp;"'!"&amp;"$A$5:$CA$100"),VLOOKUP('Elec. Analysis'!$A$194, $K$677:$M$736, 2, FALSE),FALSE))</f>
        <v>66.692254981087331</v>
      </c>
      <c r="I740" s="1374"/>
      <c r="J740" s="1374"/>
      <c r="K740" s="1374"/>
      <c r="L740" s="1374"/>
      <c r="M740" s="911"/>
      <c r="N740" s="1374"/>
      <c r="O740" s="1024">
        <v>41821</v>
      </c>
      <c r="P740" s="827">
        <f ca="1">VLOOKUP($O740,INDIRECT("'"&amp;P$709&amp;"'!"&amp;"$A$5:$CA$100"),VLOOKUP('NG Analysis'!$A$157,$O$685:$R$699,COLUMN(P$685) - COLUMN($O$685) + 1,FALSE),FALSE)</f>
        <v>5.7809999999999997</v>
      </c>
      <c r="Q740" s="827">
        <f ca="1">VLOOKUP($O740,INDIRECT("'"&amp;Q$709&amp;"'!"&amp;"$A$5:$CA$100"),VLOOKUP('NG Analysis'!$A$157,$O$685:$R$699,COLUMN(Q$685) - COLUMN($O$685) + 1,FALSE),FALSE)</f>
        <v>5.1379999999999999</v>
      </c>
      <c r="R740" s="827">
        <f ca="1">VLOOKUP($O740,INDIRECT("'"&amp;R$709&amp;"'!"&amp;"$A$5:$CA$100"),VLOOKUP('NG Analysis'!$A$157,$O$685:$R$699,COLUMN(R$685) - COLUMN($O$685) + 1,FALSE),FALSE)</f>
        <v>3.0009999999999999</v>
      </c>
      <c r="S740" s="1374"/>
      <c r="T740" s="708">
        <f>IF(AND($O774&lt;=DATE('NG Analysis'!$T$195, 12,1),$O774&gt;=DATE('NG Analysis'!$T$194, 1, 1)), $O774, NA())</f>
        <v>42856</v>
      </c>
      <c r="U740" s="1273">
        <f ca="1">IF($T740="",NA(),VLOOKUP($T740, INDIRECT("'" &amp;'NG Analysis'!$A$194&amp;"'!"&amp;"$A$5:$CA$100"),VLOOKUP('NG Analysis'!$A$195, $X$676:$Z$735, 2, FALSE),FALSE))</f>
        <v>66.036502159408244</v>
      </c>
      <c r="V740" s="1374"/>
      <c r="W740" s="1374"/>
      <c r="X740" s="1374"/>
      <c r="Y740" s="1374"/>
      <c r="Z740" s="911"/>
      <c r="AA740" s="1439"/>
    </row>
    <row r="741" spans="1:27" x14ac:dyDescent="0.3">
      <c r="A741" s="1036">
        <v>41913</v>
      </c>
      <c r="B741" s="706">
        <f ca="1">IF('Elec. Analysis'!$A$156=$A$696,VLOOKUP($A741,INDIRECT("'"&amp;B$707&amp;"'!"&amp;"$A$5:$CA$100"),VLOOKUP($A$695,$A$688:$E$703,COLUMN(B$688) - COLUMN($A$688) +1,FALSE),FALSE) + VLOOKUP($A741,INDIRECT("'"&amp;B$707&amp;"'!"&amp;"$A$5:$CA$100"),VLOOKUP($A$694,$A$688:$E$703,COLUMN(B$688) - COLUMN($A$688) +1,FALSE),FALSE),IF('Elec. Analysis'!$A$156=$A$699,VLOOKUP($A741,INDIRECT("'"&amp;B$707&amp;"'!"&amp;"$A$5:$CA$100"),VLOOKUP($A$698,$A$688:$E$703,COLUMN(B$688) - COLUMN($A$688) +1,FALSE),FALSE) - VLOOKUP($A741,INDIRECT("'"&amp;B$707&amp;"'!"&amp;"$A$5:$CA$100"),VLOOKUP($A$700,$A$688:$E$703,COLUMN(B$688) - COLUMN($A$688) +1,FALSE),FALSE),VLOOKUP($A741,INDIRECT("'"&amp;B$707&amp;"'!"&amp;"$A$5:$CA$100"),VLOOKUP('Elec. Analysis'!$A$156,$A$688:$E$703,COLUMN(B$688) - COLUMN($A$688) +1,FALSE),FALSE)))</f>
        <v>8.4507999999999992</v>
      </c>
      <c r="C741" s="706">
        <f ca="1">IF('Elec. Analysis'!$A$156=$A$696,VLOOKUP($A741,INDIRECT("'"&amp;C$707&amp;"'!"&amp;"$A$5:$CA$100"),VLOOKUP($A$695,$A$688:$E$703,COLUMN(C$688) - COLUMN($A$688) +1,FALSE),FALSE) + VLOOKUP($A741,INDIRECT("'"&amp;C$707&amp;"'!"&amp;"$A$5:$CA$100"),VLOOKUP($A$694,$A$688:$E$703,COLUMN(C$688) - COLUMN($A$688) +1,FALSE),FALSE),IF('Elec. Analysis'!$A$156=$A$699,VLOOKUP($A741,INDIRECT("'"&amp;C$707&amp;"'!"&amp;"$A$5:$CA$100"),VLOOKUP($A$698,$A$688:$E$703,COLUMN(C$688) - COLUMN($A$688) +1,FALSE),FALSE) - VLOOKUP($A741,INDIRECT("'"&amp;C$707&amp;"'!"&amp;"$A$5:$CA$100"),VLOOKUP($A$700,$A$688:$E$703,COLUMN(C$688) - COLUMN($A$688) +1,FALSE),FALSE),VLOOKUP($A741,INDIRECT("'"&amp;C$707&amp;"'!"&amp;"$A$5:$CA$100"),VLOOKUP('Elec. Analysis'!$A$156,$A$688:$E$703,COLUMN(C$688) - COLUMN($A$688) +1,FALSE),FALSE)))</f>
        <v>8.7370000000000001</v>
      </c>
      <c r="D741" s="706">
        <f ca="1">IF('Elec. Analysis'!$A$156=$A$696,VLOOKUP($A741,INDIRECT("'"&amp;D$707&amp;"'!"&amp;"$A$5:$CA$100"),VLOOKUP($A$695,$A$688:$E$703,COLUMN(D$688) - COLUMN($A$688) +1,FALSE),FALSE) + VLOOKUP($A741,INDIRECT("'"&amp;D$707&amp;"'!"&amp;"$A$5:$CA$100"),VLOOKUP($A$694,$A$688:$E$703,COLUMN(D$688) - COLUMN($A$688) +1,FALSE),FALSE),IF('Elec. Analysis'!$A$156=$A$699,VLOOKUP($A741,INDIRECT("'"&amp;D$707&amp;"'!"&amp;"$A$5:$CA$100"),VLOOKUP($A$698,$A$688:$E$703,COLUMN(D$688) - COLUMN($A$688) +1,FALSE),FALSE) - VLOOKUP($A741,INDIRECT("'"&amp;D$707&amp;"'!"&amp;"$A$5:$CA$100"),VLOOKUP($A$700,$A$688:$E$703,COLUMN(D$688) - COLUMN($A$688) +1,FALSE),FALSE),VLOOKUP($A741,INDIRECT("'"&amp;D$707&amp;"'!"&amp;"$A$5:$CA$100"),VLOOKUP('Elec. Analysis'!$A$156,$A$688:$E$703,COLUMN(D$688) - COLUMN($A$688) +1,FALSE),FALSE)))</f>
        <v>8.4930000000000003</v>
      </c>
      <c r="E741" s="706">
        <f ca="1">IF('Elec. Analysis'!$A$156=$A$696,VLOOKUP($A741,INDIRECT("'"&amp;E$707&amp;"'!"&amp;"$A$5:$CA$100"),VLOOKUP($A$695,$A$688:$E$703,COLUMN(E$688) - COLUMN($A$688) +1,FALSE),FALSE) + VLOOKUP($A741,INDIRECT("'"&amp;E$707&amp;"'!"&amp;"$A$5:$CA$100"),VLOOKUP($A$694,$A$688:$E$703,COLUMN(E$688) - COLUMN($A$688) +1,FALSE),FALSE),IF('Elec. Analysis'!$A$156=$A$699,VLOOKUP($A741,INDIRECT("'"&amp;E$707&amp;"'!"&amp;"$A$5:$CA$100"),VLOOKUP($A$698,$A$688:$E$703,COLUMN(E$688) - COLUMN($A$688) +1,FALSE),FALSE) - VLOOKUP($A741,INDIRECT("'"&amp;E$707&amp;"'!"&amp;"$A$5:$CA$100"),VLOOKUP($A$700,$A$688:$E$703,COLUMN(E$688) - COLUMN($A$688) +1,FALSE),FALSE),VLOOKUP($A741,INDIRECT("'"&amp;E$707&amp;"'!"&amp;"$A$5:$CA$100"),VLOOKUP('Elec. Analysis'!$A$156,$A$688:$E$703,COLUMN(E$688) - COLUMN($A$688) +1,FALSE),FALSE)))</f>
        <v>8.6340000000000003</v>
      </c>
      <c r="F741" s="1374"/>
      <c r="G741" s="708">
        <f>IF(AND($A772&lt;=DATE('Elec. Analysis'!$T$194, 12,1),$A772&gt;=DATE('Elec. Analysis'!$T$193, 1, 1)), $A772, NA())</f>
        <v>42856</v>
      </c>
      <c r="H741" s="1274">
        <f ca="1">IF($G741="",NA(),VLOOKUP($G741, INDIRECT("'" &amp;'Elec. Analysis'!$A$193&amp;"'!"&amp;"$A$5:$CA$100"),VLOOKUP('Elec. Analysis'!$A$194, $K$677:$M$736, 2, FALSE),FALSE))</f>
        <v>68.701949839346156</v>
      </c>
      <c r="I741" s="1374"/>
      <c r="J741" s="1374"/>
      <c r="K741" s="1374"/>
      <c r="L741" s="1374"/>
      <c r="M741" s="911"/>
      <c r="N741" s="1374"/>
      <c r="O741" s="1024">
        <v>41852</v>
      </c>
      <c r="P741" s="827">
        <f ca="1">VLOOKUP($O741,INDIRECT("'"&amp;P$709&amp;"'!"&amp;"$A$5:$CA$100"),VLOOKUP('NG Analysis'!$A$157,$O$685:$R$699,COLUMN(P$685) - COLUMN($O$685) + 1,FALSE),FALSE)</f>
        <v>3.5630000000000002</v>
      </c>
      <c r="Q741" s="827">
        <f ca="1">VLOOKUP($O741,INDIRECT("'"&amp;Q$709&amp;"'!"&amp;"$A$5:$CA$100"),VLOOKUP('NG Analysis'!$A$157,$O$685:$R$699,COLUMN(Q$685) - COLUMN($O$685) + 1,FALSE),FALSE)</f>
        <v>3.7490000000000001</v>
      </c>
      <c r="R741" s="827">
        <f ca="1">VLOOKUP($O741,INDIRECT("'"&amp;R$709&amp;"'!"&amp;"$A$5:$CA$100"),VLOOKUP('NG Analysis'!$A$157,$O$685:$R$699,COLUMN(R$685) - COLUMN($O$685) + 1,FALSE),FALSE)</f>
        <v>2.6309999999999998</v>
      </c>
      <c r="S741" s="1374"/>
      <c r="T741" s="708">
        <f>IF(AND($O775&lt;=DATE('NG Analysis'!$T$195, 12,1),$O775&gt;=DATE('NG Analysis'!$T$194, 1, 1)), $O775, NA())</f>
        <v>42887</v>
      </c>
      <c r="U741" s="1273">
        <f ca="1">IF($T741="",NA(),VLOOKUP($T741, INDIRECT("'" &amp;'NG Analysis'!$A$194&amp;"'!"&amp;"$A$5:$CA$100"),VLOOKUP('NG Analysis'!$A$195, $X$676:$Z$735, 2, FALSE),FALSE))</f>
        <v>50.967416976199523</v>
      </c>
      <c r="V741" s="1374"/>
      <c r="W741" s="1374"/>
      <c r="X741" s="1374"/>
      <c r="Y741" s="1374"/>
      <c r="Z741" s="911"/>
      <c r="AA741" s="1439"/>
    </row>
    <row r="742" spans="1:27" x14ac:dyDescent="0.3">
      <c r="A742" s="1036">
        <v>41944</v>
      </c>
      <c r="B742" s="706">
        <f ca="1">IF('Elec. Analysis'!$A$156=$A$696,VLOOKUP($A742,INDIRECT("'"&amp;B$707&amp;"'!"&amp;"$A$5:$CA$100"),VLOOKUP($A$695,$A$688:$E$703,COLUMN(B$688) - COLUMN($A$688) +1,FALSE),FALSE) + VLOOKUP($A742,INDIRECT("'"&amp;B$707&amp;"'!"&amp;"$A$5:$CA$100"),VLOOKUP($A$694,$A$688:$E$703,COLUMN(B$688) - COLUMN($A$688) +1,FALSE),FALSE),IF('Elec. Analysis'!$A$156=$A$699,VLOOKUP($A742,INDIRECT("'"&amp;B$707&amp;"'!"&amp;"$A$5:$CA$100"),VLOOKUP($A$698,$A$688:$E$703,COLUMN(B$688) - COLUMN($A$688) +1,FALSE),FALSE) - VLOOKUP($A742,INDIRECT("'"&amp;B$707&amp;"'!"&amp;"$A$5:$CA$100"),VLOOKUP($A$700,$A$688:$E$703,COLUMN(B$688) - COLUMN($A$688) +1,FALSE),FALSE),VLOOKUP($A742,INDIRECT("'"&amp;B$707&amp;"'!"&amp;"$A$5:$CA$100"),VLOOKUP('Elec. Analysis'!$A$156,$A$688:$E$703,COLUMN(B$688) - COLUMN($A$688) +1,FALSE),FALSE)))</f>
        <v>6.3208000000000002</v>
      </c>
      <c r="C742" s="706">
        <f ca="1">IF('Elec. Analysis'!$A$156=$A$696,VLOOKUP($A742,INDIRECT("'"&amp;C$707&amp;"'!"&amp;"$A$5:$CA$100"),VLOOKUP($A$695,$A$688:$E$703,COLUMN(C$688) - COLUMN($A$688) +1,FALSE),FALSE) + VLOOKUP($A742,INDIRECT("'"&amp;C$707&amp;"'!"&amp;"$A$5:$CA$100"),VLOOKUP($A$694,$A$688:$E$703,COLUMN(C$688) - COLUMN($A$688) +1,FALSE),FALSE),IF('Elec. Analysis'!$A$156=$A$699,VLOOKUP($A742,INDIRECT("'"&amp;C$707&amp;"'!"&amp;"$A$5:$CA$100"),VLOOKUP($A$698,$A$688:$E$703,COLUMN(C$688) - COLUMN($A$688) +1,FALSE),FALSE) - VLOOKUP($A742,INDIRECT("'"&amp;C$707&amp;"'!"&amp;"$A$5:$CA$100"),VLOOKUP($A$700,$A$688:$E$703,COLUMN(C$688) - COLUMN($A$688) +1,FALSE),FALSE),VLOOKUP($A742,INDIRECT("'"&amp;C$707&amp;"'!"&amp;"$A$5:$CA$100"),VLOOKUP('Elec. Analysis'!$A$156,$A$688:$E$703,COLUMN(C$688) - COLUMN($A$688) +1,FALSE),FALSE)))</f>
        <v>7.1269999999999998</v>
      </c>
      <c r="D742" s="706">
        <f ca="1">IF('Elec. Analysis'!$A$156=$A$696,VLOOKUP($A742,INDIRECT("'"&amp;D$707&amp;"'!"&amp;"$A$5:$CA$100"),VLOOKUP($A$695,$A$688:$E$703,COLUMN(D$688) - COLUMN($A$688) +1,FALSE),FALSE) + VLOOKUP($A742,INDIRECT("'"&amp;D$707&amp;"'!"&amp;"$A$5:$CA$100"),VLOOKUP($A$694,$A$688:$E$703,COLUMN(D$688) - COLUMN($A$688) +1,FALSE),FALSE),IF('Elec. Analysis'!$A$156=$A$699,VLOOKUP($A742,INDIRECT("'"&amp;D$707&amp;"'!"&amp;"$A$5:$CA$100"),VLOOKUP($A$698,$A$688:$E$703,COLUMN(D$688) - COLUMN($A$688) +1,FALSE),FALSE) - VLOOKUP($A742,INDIRECT("'"&amp;D$707&amp;"'!"&amp;"$A$5:$CA$100"),VLOOKUP($A$700,$A$688:$E$703,COLUMN(D$688) - COLUMN($A$688) +1,FALSE),FALSE),VLOOKUP($A742,INDIRECT("'"&amp;D$707&amp;"'!"&amp;"$A$5:$CA$100"),VLOOKUP('Elec. Analysis'!$A$156,$A$688:$E$703,COLUMN(D$688) - COLUMN($A$688) +1,FALSE),FALSE)))</f>
        <v>6.9420000000000002</v>
      </c>
      <c r="E742" s="706">
        <f ca="1">IF('Elec. Analysis'!$A$156=$A$696,VLOOKUP($A742,INDIRECT("'"&amp;E$707&amp;"'!"&amp;"$A$5:$CA$100"),VLOOKUP($A$695,$A$688:$E$703,COLUMN(E$688) - COLUMN($A$688) +1,FALSE),FALSE) + VLOOKUP($A742,INDIRECT("'"&amp;E$707&amp;"'!"&amp;"$A$5:$CA$100"),VLOOKUP($A$694,$A$688:$E$703,COLUMN(E$688) - COLUMN($A$688) +1,FALSE),FALSE),IF('Elec. Analysis'!$A$156=$A$699,VLOOKUP($A742,INDIRECT("'"&amp;E$707&amp;"'!"&amp;"$A$5:$CA$100"),VLOOKUP($A$698,$A$688:$E$703,COLUMN(E$688) - COLUMN($A$688) +1,FALSE),FALSE) - VLOOKUP($A742,INDIRECT("'"&amp;E$707&amp;"'!"&amp;"$A$5:$CA$100"),VLOOKUP($A$700,$A$688:$E$703,COLUMN(E$688) - COLUMN($A$688) +1,FALSE),FALSE),VLOOKUP($A742,INDIRECT("'"&amp;E$707&amp;"'!"&amp;"$A$5:$CA$100"),VLOOKUP('Elec. Analysis'!$A$156,$A$688:$E$703,COLUMN(E$688) - COLUMN($A$688) +1,FALSE),FALSE)))</f>
        <v>6.2880000000000003</v>
      </c>
      <c r="F742" s="1374"/>
      <c r="G742" s="708">
        <f>IF(AND($A773&lt;=DATE('Elec. Analysis'!$T$194, 12,1),$A773&gt;=DATE('Elec. Analysis'!$T$193, 1, 1)), $A773, NA())</f>
        <v>42887</v>
      </c>
      <c r="H742" s="1274">
        <f ca="1">IF($G742="",NA(),VLOOKUP($G742, INDIRECT("'" &amp;'Elec. Analysis'!$A$193&amp;"'!"&amp;"$A$5:$CA$100"),VLOOKUP('Elec. Analysis'!$A$194, $K$677:$M$736, 2, FALSE),FALSE))</f>
        <v>68.184002802872556</v>
      </c>
      <c r="I742" s="1374"/>
      <c r="J742" s="1374"/>
      <c r="K742" s="1374"/>
      <c r="L742" s="1374"/>
      <c r="M742" s="911"/>
      <c r="N742" s="1374"/>
      <c r="O742" s="1024">
        <v>41883</v>
      </c>
      <c r="P742" s="827">
        <f ca="1">VLOOKUP($O742,INDIRECT("'"&amp;P$709&amp;"'!"&amp;"$A$5:$CA$100"),VLOOKUP('NG Analysis'!$A$157,$O$685:$R$699,COLUMN(P$685) - COLUMN($O$685) + 1,FALSE),FALSE)</f>
        <v>3.35</v>
      </c>
      <c r="Q742" s="827">
        <f ca="1">VLOOKUP($O742,INDIRECT("'"&amp;Q$709&amp;"'!"&amp;"$A$5:$CA$100"),VLOOKUP('NG Analysis'!$A$157,$O$685:$R$699,COLUMN(Q$685) - COLUMN($O$685) + 1,FALSE),FALSE)</f>
        <v>3.7080000000000002</v>
      </c>
      <c r="R742" s="827">
        <f ca="1">VLOOKUP($O742,INDIRECT("'"&amp;R$709&amp;"'!"&amp;"$A$5:$CA$100"),VLOOKUP('NG Analysis'!$A$157,$O$685:$R$699,COLUMN(R$685) - COLUMN($O$685) + 1,FALSE),FALSE)</f>
        <v>5.0789999999999997</v>
      </c>
      <c r="S742" s="1374"/>
      <c r="T742" s="708">
        <f>IF(AND($O776&lt;=DATE('NG Analysis'!$T$195, 12,1),$O776&gt;=DATE('NG Analysis'!$T$194, 1, 1)), $O776, NA())</f>
        <v>42917</v>
      </c>
      <c r="U742" s="1273">
        <f ca="1">IF($T742="",NA(),VLOOKUP($T742, INDIRECT("'" &amp;'NG Analysis'!$A$194&amp;"'!"&amp;"$A$5:$CA$100"),VLOOKUP('NG Analysis'!$A$195, $X$676:$Z$735, 2, FALSE),FALSE))</f>
        <v>52.739315303329278</v>
      </c>
      <c r="V742" s="1374"/>
      <c r="W742" s="1374"/>
      <c r="X742" s="1374"/>
      <c r="Y742" s="1374"/>
      <c r="Z742" s="911"/>
      <c r="AA742" s="1439"/>
    </row>
    <row r="743" spans="1:27" x14ac:dyDescent="0.3">
      <c r="A743" s="1036">
        <v>41974</v>
      </c>
      <c r="B743" s="706">
        <f ca="1">IF('Elec. Analysis'!$A$156=$A$696,VLOOKUP($A743,INDIRECT("'"&amp;B$707&amp;"'!"&amp;"$A$5:$CA$100"),VLOOKUP($A$695,$A$688:$E$703,COLUMN(B$688) - COLUMN($A$688) +1,FALSE),FALSE) + VLOOKUP($A743,INDIRECT("'"&amp;B$707&amp;"'!"&amp;"$A$5:$CA$100"),VLOOKUP($A$694,$A$688:$E$703,COLUMN(B$688) - COLUMN($A$688) +1,FALSE),FALSE),IF('Elec. Analysis'!$A$156=$A$699,VLOOKUP($A743,INDIRECT("'"&amp;B$707&amp;"'!"&amp;"$A$5:$CA$100"),VLOOKUP($A$698,$A$688:$E$703,COLUMN(B$688) - COLUMN($A$688) +1,FALSE),FALSE) - VLOOKUP($A743,INDIRECT("'"&amp;B$707&amp;"'!"&amp;"$A$5:$CA$100"),VLOOKUP($A$700,$A$688:$E$703,COLUMN(B$688) - COLUMN($A$688) +1,FALSE),FALSE),VLOOKUP($A743,INDIRECT("'"&amp;B$707&amp;"'!"&amp;"$A$5:$CA$100"),VLOOKUP('Elec. Analysis'!$A$156,$A$688:$E$703,COLUMN(B$688) - COLUMN($A$688) +1,FALSE),FALSE)))</f>
        <v>7.2981999999999996</v>
      </c>
      <c r="C743" s="706">
        <f ca="1">IF('Elec. Analysis'!$A$156=$A$696,VLOOKUP($A743,INDIRECT("'"&amp;C$707&amp;"'!"&amp;"$A$5:$CA$100"),VLOOKUP($A$695,$A$688:$E$703,COLUMN(C$688) - COLUMN($A$688) +1,FALSE),FALSE) + VLOOKUP($A743,INDIRECT("'"&amp;C$707&amp;"'!"&amp;"$A$5:$CA$100"),VLOOKUP($A$694,$A$688:$E$703,COLUMN(C$688) - COLUMN($A$688) +1,FALSE),FALSE),IF('Elec. Analysis'!$A$156=$A$699,VLOOKUP($A743,INDIRECT("'"&amp;C$707&amp;"'!"&amp;"$A$5:$CA$100"),VLOOKUP($A$698,$A$688:$E$703,COLUMN(C$688) - COLUMN($A$688) +1,FALSE),FALSE) - VLOOKUP($A743,INDIRECT("'"&amp;C$707&amp;"'!"&amp;"$A$5:$CA$100"),VLOOKUP($A$700,$A$688:$E$703,COLUMN(C$688) - COLUMN($A$688) +1,FALSE),FALSE),VLOOKUP($A743,INDIRECT("'"&amp;C$707&amp;"'!"&amp;"$A$5:$CA$100"),VLOOKUP('Elec. Analysis'!$A$156,$A$688:$E$703,COLUMN(C$688) - COLUMN($A$688) +1,FALSE),FALSE)))</f>
        <v>7.5449999999999999</v>
      </c>
      <c r="D743" s="706">
        <f ca="1">IF('Elec. Analysis'!$A$156=$A$696,VLOOKUP($A743,INDIRECT("'"&amp;D$707&amp;"'!"&amp;"$A$5:$CA$100"),VLOOKUP($A$695,$A$688:$E$703,COLUMN(D$688) - COLUMN($A$688) +1,FALSE),FALSE) + VLOOKUP($A743,INDIRECT("'"&amp;D$707&amp;"'!"&amp;"$A$5:$CA$100"),VLOOKUP($A$694,$A$688:$E$703,COLUMN(D$688) - COLUMN($A$688) +1,FALSE),FALSE),IF('Elec. Analysis'!$A$156=$A$699,VLOOKUP($A743,INDIRECT("'"&amp;D$707&amp;"'!"&amp;"$A$5:$CA$100"),VLOOKUP($A$698,$A$688:$E$703,COLUMN(D$688) - COLUMN($A$688) +1,FALSE),FALSE) - VLOOKUP($A743,INDIRECT("'"&amp;D$707&amp;"'!"&amp;"$A$5:$CA$100"),VLOOKUP($A$700,$A$688:$E$703,COLUMN(D$688) - COLUMN($A$688) +1,FALSE),FALSE),VLOOKUP($A743,INDIRECT("'"&amp;D$707&amp;"'!"&amp;"$A$5:$CA$100"),VLOOKUP('Elec. Analysis'!$A$156,$A$688:$E$703,COLUMN(D$688) - COLUMN($A$688) +1,FALSE),FALSE)))</f>
        <v>7.3760000000000003</v>
      </c>
      <c r="E743" s="706">
        <f ca="1">IF('Elec. Analysis'!$A$156=$A$696,VLOOKUP($A743,INDIRECT("'"&amp;E$707&amp;"'!"&amp;"$A$5:$CA$100"),VLOOKUP($A$695,$A$688:$E$703,COLUMN(E$688) - COLUMN($A$688) +1,FALSE),FALSE) + VLOOKUP($A743,INDIRECT("'"&amp;E$707&amp;"'!"&amp;"$A$5:$CA$100"),VLOOKUP($A$694,$A$688:$E$703,COLUMN(E$688) - COLUMN($A$688) +1,FALSE),FALSE),IF('Elec. Analysis'!$A$156=$A$699,VLOOKUP($A743,INDIRECT("'"&amp;E$707&amp;"'!"&amp;"$A$5:$CA$100"),VLOOKUP($A$698,$A$688:$E$703,COLUMN(E$688) - COLUMN($A$688) +1,FALSE),FALSE) - VLOOKUP($A743,INDIRECT("'"&amp;E$707&amp;"'!"&amp;"$A$5:$CA$100"),VLOOKUP($A$700,$A$688:$E$703,COLUMN(E$688) - COLUMN($A$688) +1,FALSE),FALSE),VLOOKUP($A743,INDIRECT("'"&amp;E$707&amp;"'!"&amp;"$A$5:$CA$100"),VLOOKUP('Elec. Analysis'!$A$156,$A$688:$E$703,COLUMN(E$688) - COLUMN($A$688) +1,FALSE),FALSE)))</f>
        <v>7.274</v>
      </c>
      <c r="F743" s="1374"/>
      <c r="G743" s="708">
        <f>IF(AND($A774&lt;=DATE('Elec. Analysis'!$T$194, 12,1),$A774&gt;=DATE('Elec. Analysis'!$T$193, 1, 1)), $A774, NA())</f>
        <v>42917</v>
      </c>
      <c r="H743" s="1274">
        <f ca="1">IF($G743="",NA(),VLOOKUP($G743, INDIRECT("'" &amp;'Elec. Analysis'!$A$193&amp;"'!"&amp;"$A$5:$CA$100"),VLOOKUP('Elec. Analysis'!$A$194, $K$677:$M$736, 2, FALSE),FALSE))</f>
        <v>81.314809741058738</v>
      </c>
      <c r="I743" s="1374"/>
      <c r="J743" s="1374"/>
      <c r="K743" s="1374"/>
      <c r="L743" s="1374"/>
      <c r="M743" s="911"/>
      <c r="N743" s="1374"/>
      <c r="O743" s="1024">
        <v>41913</v>
      </c>
      <c r="P743" s="827">
        <f ca="1">VLOOKUP($O743,INDIRECT("'"&amp;P$709&amp;"'!"&amp;"$A$5:$CA$100"),VLOOKUP('NG Analysis'!$A$157,$O$685:$R$699,COLUMN(P$685) - COLUMN($O$685) + 1,FALSE),FALSE)</f>
        <v>4.149</v>
      </c>
      <c r="Q743" s="827">
        <f ca="1">VLOOKUP($O743,INDIRECT("'"&amp;Q$709&amp;"'!"&amp;"$A$5:$CA$100"),VLOOKUP('NG Analysis'!$A$157,$O$685:$R$699,COLUMN(Q$685) - COLUMN($O$685) + 1,FALSE),FALSE)</f>
        <v>4.18</v>
      </c>
      <c r="R743" s="827">
        <f ca="1">VLOOKUP($O743,INDIRECT("'"&amp;R$709&amp;"'!"&amp;"$A$5:$CA$100"),VLOOKUP('NG Analysis'!$A$157,$O$685:$R$699,COLUMN(R$685) - COLUMN($O$685) + 1,FALSE),FALSE)</f>
        <v>3.9990000000000001</v>
      </c>
      <c r="S743" s="1374"/>
      <c r="T743" s="708">
        <f>IF(AND($O777&lt;=DATE('NG Analysis'!$T$195, 12,1),$O777&gt;=DATE('NG Analysis'!$T$194, 1, 1)), $O777, NA())</f>
        <v>42948</v>
      </c>
      <c r="U743" s="1273">
        <f ca="1">IF($T743="",NA(),VLOOKUP($T743, INDIRECT("'" &amp;'NG Analysis'!$A$194&amp;"'!"&amp;"$A$5:$CA$100"),VLOOKUP('NG Analysis'!$A$195, $X$676:$Z$735, 2, FALSE),FALSE))</f>
        <v>53.567577467174374</v>
      </c>
      <c r="V743" s="1374"/>
      <c r="W743" s="1374"/>
      <c r="X743" s="1374"/>
      <c r="Y743" s="1374"/>
      <c r="Z743" s="911"/>
      <c r="AA743" s="1439"/>
    </row>
    <row r="744" spans="1:27" x14ac:dyDescent="0.3">
      <c r="A744" s="1036">
        <v>42005</v>
      </c>
      <c r="B744" s="706">
        <f ca="1">IF('Elec. Analysis'!$A$156=$A$696,VLOOKUP($A744,INDIRECT("'"&amp;B$707&amp;"'!"&amp;"$A$5:$CA$100"),VLOOKUP($A$695,$A$688:$E$703,COLUMN(B$688) - COLUMN($A$688) +1,FALSE),FALSE) + VLOOKUP($A744,INDIRECT("'"&amp;B$707&amp;"'!"&amp;"$A$5:$CA$100"),VLOOKUP($A$694,$A$688:$E$703,COLUMN(B$688) - COLUMN($A$688) +1,FALSE),FALSE),IF('Elec. Analysis'!$A$156=$A$699,VLOOKUP($A744,INDIRECT("'"&amp;B$707&amp;"'!"&amp;"$A$5:$CA$100"),VLOOKUP($A$698,$A$688:$E$703,COLUMN(B$688) - COLUMN($A$688) +1,FALSE),FALSE) - VLOOKUP($A744,INDIRECT("'"&amp;B$707&amp;"'!"&amp;"$A$5:$CA$100"),VLOOKUP($A$700,$A$688:$E$703,COLUMN(B$688) - COLUMN($A$688) +1,FALSE),FALSE),VLOOKUP($A744,INDIRECT("'"&amp;B$707&amp;"'!"&amp;"$A$5:$CA$100"),VLOOKUP('Elec. Analysis'!$A$156,$A$688:$E$703,COLUMN(B$688) - COLUMN($A$688) +1,FALSE),FALSE)))</f>
        <v>7.4088000000000003</v>
      </c>
      <c r="C744" s="706">
        <f ca="1">IF('Elec. Analysis'!$A$156=$A$696,VLOOKUP($A744,INDIRECT("'"&amp;C$707&amp;"'!"&amp;"$A$5:$CA$100"),VLOOKUP($A$695,$A$688:$E$703,COLUMN(C$688) - COLUMN($A$688) +1,FALSE),FALSE) + VLOOKUP($A744,INDIRECT("'"&amp;C$707&amp;"'!"&amp;"$A$5:$CA$100"),VLOOKUP($A$694,$A$688:$E$703,COLUMN(C$688) - COLUMN($A$688) +1,FALSE),FALSE),IF('Elec. Analysis'!$A$156=$A$699,VLOOKUP($A744,INDIRECT("'"&amp;C$707&amp;"'!"&amp;"$A$5:$CA$100"),VLOOKUP($A$698,$A$688:$E$703,COLUMN(C$688) - COLUMN($A$688) +1,FALSE),FALSE) - VLOOKUP($A744,INDIRECT("'"&amp;C$707&amp;"'!"&amp;"$A$5:$CA$100"),VLOOKUP($A$700,$A$688:$E$703,COLUMN(C$688) - COLUMN($A$688) +1,FALSE),FALSE),VLOOKUP($A744,INDIRECT("'"&amp;C$707&amp;"'!"&amp;"$A$5:$CA$100"),VLOOKUP('Elec. Analysis'!$A$156,$A$688:$E$703,COLUMN(C$688) - COLUMN($A$688) +1,FALSE),FALSE)))</f>
        <v>7.3019999999999996</v>
      </c>
      <c r="D744" s="706">
        <f ca="1">IF('Elec. Analysis'!$A$156=$A$696,VLOOKUP($A744,INDIRECT("'"&amp;D$707&amp;"'!"&amp;"$A$5:$CA$100"),VLOOKUP($A$695,$A$688:$E$703,COLUMN(D$688) - COLUMN($A$688) +1,FALSE),FALSE) + VLOOKUP($A744,INDIRECT("'"&amp;D$707&amp;"'!"&amp;"$A$5:$CA$100"),VLOOKUP($A$694,$A$688:$E$703,COLUMN(D$688) - COLUMN($A$688) +1,FALSE),FALSE),IF('Elec. Analysis'!$A$156=$A$699,VLOOKUP($A744,INDIRECT("'"&amp;D$707&amp;"'!"&amp;"$A$5:$CA$100"),VLOOKUP($A$698,$A$688:$E$703,COLUMN(D$688) - COLUMN($A$688) +1,FALSE),FALSE) - VLOOKUP($A744,INDIRECT("'"&amp;D$707&amp;"'!"&amp;"$A$5:$CA$100"),VLOOKUP($A$700,$A$688:$E$703,COLUMN(D$688) - COLUMN($A$688) +1,FALSE),FALSE),VLOOKUP($A744,INDIRECT("'"&amp;D$707&amp;"'!"&amp;"$A$5:$CA$100"),VLOOKUP('Elec. Analysis'!$A$156,$A$688:$E$703,COLUMN(D$688) - COLUMN($A$688) +1,FALSE),FALSE)))</f>
        <v>7.1390000000000002</v>
      </c>
      <c r="E744" s="706">
        <f ca="1">IF('Elec. Analysis'!$A$156=$A$696,VLOOKUP($A744,INDIRECT("'"&amp;E$707&amp;"'!"&amp;"$A$5:$CA$100"),VLOOKUP($A$695,$A$688:$E$703,COLUMN(E$688) - COLUMN($A$688) +1,FALSE),FALSE) + VLOOKUP($A744,INDIRECT("'"&amp;E$707&amp;"'!"&amp;"$A$5:$CA$100"),VLOOKUP($A$694,$A$688:$E$703,COLUMN(E$688) - COLUMN($A$688) +1,FALSE),FALSE),IF('Elec. Analysis'!$A$156=$A$699,VLOOKUP($A744,INDIRECT("'"&amp;E$707&amp;"'!"&amp;"$A$5:$CA$100"),VLOOKUP($A$698,$A$688:$E$703,COLUMN(E$688) - COLUMN($A$688) +1,FALSE),FALSE) - VLOOKUP($A744,INDIRECT("'"&amp;E$707&amp;"'!"&amp;"$A$5:$CA$100"),VLOOKUP($A$700,$A$688:$E$703,COLUMN(E$688) - COLUMN($A$688) +1,FALSE),FALSE),VLOOKUP($A744,INDIRECT("'"&amp;E$707&amp;"'!"&amp;"$A$5:$CA$100"),VLOOKUP('Elec. Analysis'!$A$156,$A$688:$E$703,COLUMN(E$688) - COLUMN($A$688) +1,FALSE),FALSE)))</f>
        <v>7.423</v>
      </c>
      <c r="F744" s="1374"/>
      <c r="G744" s="708">
        <f>IF(AND($A775&lt;=DATE('Elec. Analysis'!$T$194, 12,1),$A775&gt;=DATE('Elec. Analysis'!$T$193, 1, 1)), $A775, NA())</f>
        <v>42948</v>
      </c>
      <c r="H744" s="1274">
        <f ca="1">IF($G744="",NA(),VLOOKUP($G744, INDIRECT("'" &amp;'Elec. Analysis'!$A$193&amp;"'!"&amp;"$A$5:$CA$100"),VLOOKUP('Elec. Analysis'!$A$194, $K$677:$M$736, 2, FALSE),FALSE))</f>
        <v>76.278948511532576</v>
      </c>
      <c r="I744" s="1374"/>
      <c r="J744" s="1374"/>
      <c r="K744" s="1374"/>
      <c r="L744" s="1374"/>
      <c r="M744" s="911"/>
      <c r="N744" s="1374"/>
      <c r="O744" s="1024">
        <v>41944</v>
      </c>
      <c r="P744" s="827">
        <f ca="1">VLOOKUP($O744,INDIRECT("'"&amp;P$709&amp;"'!"&amp;"$A$5:$CA$100"),VLOOKUP('NG Analysis'!$A$157,$O$685:$R$699,COLUMN(P$685) - COLUMN($O$685) + 1,FALSE),FALSE)</f>
        <v>3.6859999999999999</v>
      </c>
      <c r="Q744" s="827">
        <f ca="1">VLOOKUP($O744,INDIRECT("'"&amp;Q$709&amp;"'!"&amp;"$A$5:$CA$100"),VLOOKUP('NG Analysis'!$A$157,$O$685:$R$699,COLUMN(Q$685) - COLUMN($O$685) + 1,FALSE),FALSE)</f>
        <v>3.6829999999999998</v>
      </c>
      <c r="R744" s="827">
        <f ca="1">VLOOKUP($O744,INDIRECT("'"&amp;R$709&amp;"'!"&amp;"$A$5:$CA$100"),VLOOKUP('NG Analysis'!$A$157,$O$685:$R$699,COLUMN(R$685) - COLUMN($O$685) + 1,FALSE),FALSE)</f>
        <v>3.3450000000000002</v>
      </c>
      <c r="S744" s="1374"/>
      <c r="T744" s="708">
        <f>IF(AND($O778&lt;=DATE('NG Analysis'!$T$195, 12,1),$O778&gt;=DATE('NG Analysis'!$T$194, 1, 1)), $O778, NA())</f>
        <v>42979</v>
      </c>
      <c r="U744" s="1273">
        <f ca="1">IF($T744="",NA(),VLOOKUP($T744, INDIRECT("'" &amp;'NG Analysis'!$A$194&amp;"'!"&amp;"$A$5:$CA$100"),VLOOKUP('NG Analysis'!$A$195, $X$676:$Z$735, 2, FALSE),FALSE))</f>
        <v>61.991489151410498</v>
      </c>
      <c r="V744" s="1374"/>
      <c r="W744" s="1374"/>
      <c r="X744" s="1374"/>
      <c r="Y744" s="1374"/>
      <c r="Z744" s="911"/>
      <c r="AA744" s="1439"/>
    </row>
    <row r="745" spans="1:27" x14ac:dyDescent="0.3">
      <c r="A745" s="1036">
        <v>42036</v>
      </c>
      <c r="B745" s="706">
        <f ca="1">IF('Elec. Analysis'!$A$156=$A$696,VLOOKUP($A745,INDIRECT("'"&amp;B$707&amp;"'!"&amp;"$A$5:$CA$100"),VLOOKUP($A$695,$A$688:$E$703,COLUMN(B$688) - COLUMN($A$688) +1,FALSE),FALSE) + VLOOKUP($A745,INDIRECT("'"&amp;B$707&amp;"'!"&amp;"$A$5:$CA$100"),VLOOKUP($A$694,$A$688:$E$703,COLUMN(B$688) - COLUMN($A$688) +1,FALSE),FALSE),IF('Elec. Analysis'!$A$156=$A$699,VLOOKUP($A745,INDIRECT("'"&amp;B$707&amp;"'!"&amp;"$A$5:$CA$100"),VLOOKUP($A$698,$A$688:$E$703,COLUMN(B$688) - COLUMN($A$688) +1,FALSE),FALSE) - VLOOKUP($A745,INDIRECT("'"&amp;B$707&amp;"'!"&amp;"$A$5:$CA$100"),VLOOKUP($A$700,$A$688:$E$703,COLUMN(B$688) - COLUMN($A$688) +1,FALSE),FALSE),VLOOKUP($A745,INDIRECT("'"&amp;B$707&amp;"'!"&amp;"$A$5:$CA$100"),VLOOKUP('Elec. Analysis'!$A$156,$A$688:$E$703,COLUMN(B$688) - COLUMN($A$688) +1,FALSE),FALSE)))</f>
        <v>5.9298999999999999</v>
      </c>
      <c r="C745" s="706">
        <f ca="1">IF('Elec. Analysis'!$A$156=$A$696,VLOOKUP($A745,INDIRECT("'"&amp;C$707&amp;"'!"&amp;"$A$5:$CA$100"),VLOOKUP($A$695,$A$688:$E$703,COLUMN(C$688) - COLUMN($A$688) +1,FALSE),FALSE) + VLOOKUP($A745,INDIRECT("'"&amp;C$707&amp;"'!"&amp;"$A$5:$CA$100"),VLOOKUP($A$694,$A$688:$E$703,COLUMN(C$688) - COLUMN($A$688) +1,FALSE),FALSE),IF('Elec. Analysis'!$A$156=$A$699,VLOOKUP($A745,INDIRECT("'"&amp;C$707&amp;"'!"&amp;"$A$5:$CA$100"),VLOOKUP($A$698,$A$688:$E$703,COLUMN(C$688) - COLUMN($A$688) +1,FALSE),FALSE) - VLOOKUP($A745,INDIRECT("'"&amp;C$707&amp;"'!"&amp;"$A$5:$CA$100"),VLOOKUP($A$700,$A$688:$E$703,COLUMN(C$688) - COLUMN($A$688) +1,FALSE),FALSE),VLOOKUP($A745,INDIRECT("'"&amp;C$707&amp;"'!"&amp;"$A$5:$CA$100"),VLOOKUP('Elec. Analysis'!$A$156,$A$688:$E$703,COLUMN(C$688) - COLUMN($A$688) +1,FALSE),FALSE)))</f>
        <v>6.5830000000000002</v>
      </c>
      <c r="D745" s="706">
        <f ca="1">IF('Elec. Analysis'!$A$156=$A$696,VLOOKUP($A745,INDIRECT("'"&amp;D$707&amp;"'!"&amp;"$A$5:$CA$100"),VLOOKUP($A$695,$A$688:$E$703,COLUMN(D$688) - COLUMN($A$688) +1,FALSE),FALSE) + VLOOKUP($A745,INDIRECT("'"&amp;D$707&amp;"'!"&amp;"$A$5:$CA$100"),VLOOKUP($A$694,$A$688:$E$703,COLUMN(D$688) - COLUMN($A$688) +1,FALSE),FALSE),IF('Elec. Analysis'!$A$156=$A$699,VLOOKUP($A745,INDIRECT("'"&amp;D$707&amp;"'!"&amp;"$A$5:$CA$100"),VLOOKUP($A$698,$A$688:$E$703,COLUMN(D$688) - COLUMN($A$688) +1,FALSE),FALSE) - VLOOKUP($A745,INDIRECT("'"&amp;D$707&amp;"'!"&amp;"$A$5:$CA$100"),VLOOKUP($A$700,$A$688:$E$703,COLUMN(D$688) - COLUMN($A$688) +1,FALSE),FALSE),VLOOKUP($A745,INDIRECT("'"&amp;D$707&amp;"'!"&amp;"$A$5:$CA$100"),VLOOKUP('Elec. Analysis'!$A$156,$A$688:$E$703,COLUMN(D$688) - COLUMN($A$688) +1,FALSE),FALSE)))</f>
        <v>6.4219999999999997</v>
      </c>
      <c r="E745" s="706">
        <f ca="1">IF('Elec. Analysis'!$A$156=$A$696,VLOOKUP($A745,INDIRECT("'"&amp;E$707&amp;"'!"&amp;"$A$5:$CA$100"),VLOOKUP($A$695,$A$688:$E$703,COLUMN(E$688) - COLUMN($A$688) +1,FALSE),FALSE) + VLOOKUP($A745,INDIRECT("'"&amp;E$707&amp;"'!"&amp;"$A$5:$CA$100"),VLOOKUP($A$694,$A$688:$E$703,COLUMN(E$688) - COLUMN($A$688) +1,FALSE),FALSE),IF('Elec. Analysis'!$A$156=$A$699,VLOOKUP($A745,INDIRECT("'"&amp;E$707&amp;"'!"&amp;"$A$5:$CA$100"),VLOOKUP($A$698,$A$688:$E$703,COLUMN(E$688) - COLUMN($A$688) +1,FALSE),FALSE) - VLOOKUP($A745,INDIRECT("'"&amp;E$707&amp;"'!"&amp;"$A$5:$CA$100"),VLOOKUP($A$700,$A$688:$E$703,COLUMN(E$688) - COLUMN($A$688) +1,FALSE),FALSE),VLOOKUP($A745,INDIRECT("'"&amp;E$707&amp;"'!"&amp;"$A$5:$CA$100"),VLOOKUP('Elec. Analysis'!$A$156,$A$688:$E$703,COLUMN(E$688) - COLUMN($A$688) +1,FALSE),FALSE)))</f>
        <v>5.8730000000000002</v>
      </c>
      <c r="F745" s="1374"/>
      <c r="G745" s="1096">
        <f>IF(AND($A776&lt;=DATE('Elec. Analysis'!$T$194, 12,1),$A776&gt;=DATE('Elec. Analysis'!$T$193, 1, 1)), $A776, NA())</f>
        <v>42979</v>
      </c>
      <c r="H745" s="1274">
        <f ca="1">IF($G745="",NA(),VLOOKUP($G745, INDIRECT("'" &amp;'Elec. Analysis'!$A$193&amp;"'!"&amp;"$A$5:$CA$100"),VLOOKUP('Elec. Analysis'!$A$194, $K$677:$M$736, 2, FALSE),FALSE))</f>
        <v>73.42519585960018</v>
      </c>
      <c r="I745" s="1374"/>
      <c r="J745" s="1374"/>
      <c r="K745" s="1374"/>
      <c r="L745" s="1374"/>
      <c r="M745" s="911"/>
      <c r="N745" s="1374"/>
      <c r="O745" s="1024">
        <v>41974</v>
      </c>
      <c r="P745" s="827">
        <f ca="1">VLOOKUP($O745,INDIRECT("'"&amp;P$709&amp;"'!"&amp;"$A$5:$CA$100"),VLOOKUP('NG Analysis'!$A$157,$O$685:$R$699,COLUMN(P$685) - COLUMN($O$685) + 1,FALSE),FALSE)</f>
        <v>4.1840000000000002</v>
      </c>
      <c r="Q745" s="827">
        <f ca="1">VLOOKUP($O745,INDIRECT("'"&amp;Q$709&amp;"'!"&amp;"$A$5:$CA$100"),VLOOKUP('NG Analysis'!$A$157,$O$685:$R$699,COLUMN(Q$685) - COLUMN($O$685) + 1,FALSE),FALSE)</f>
        <v>4.1820000000000004</v>
      </c>
      <c r="R745" s="827">
        <f ca="1">VLOOKUP($O745,INDIRECT("'"&amp;R$709&amp;"'!"&amp;"$A$5:$CA$100"),VLOOKUP('NG Analysis'!$A$157,$O$685:$R$699,COLUMN(R$685) - COLUMN($O$685) + 1,FALSE),FALSE)</f>
        <v>4.1749999999999998</v>
      </c>
      <c r="S745" s="1374"/>
      <c r="T745" s="708">
        <f>IF(AND($O779&lt;=DATE('NG Analysis'!$T$195, 12,1),$O779&gt;=DATE('NG Analysis'!$T$194, 1, 1)), $O779, NA())</f>
        <v>43009</v>
      </c>
      <c r="U745" s="1273">
        <f ca="1">IF($T745="",NA(),VLOOKUP($T745, INDIRECT("'" &amp;'NG Analysis'!$A$194&amp;"'!"&amp;"$A$5:$CA$100"),VLOOKUP('NG Analysis'!$A$195, $X$676:$Z$735, 2, FALSE),FALSE))</f>
        <v>87.916472197210851</v>
      </c>
      <c r="V745" s="1374"/>
      <c r="W745" s="1374"/>
      <c r="X745" s="1374"/>
      <c r="Y745" s="1374"/>
      <c r="Z745" s="911"/>
      <c r="AA745" s="1439"/>
    </row>
    <row r="746" spans="1:27" x14ac:dyDescent="0.3">
      <c r="A746" s="1036">
        <v>42064</v>
      </c>
      <c r="B746" s="706">
        <f ca="1">IF('Elec. Analysis'!$A$156=$A$696,VLOOKUP($A746,INDIRECT("'"&amp;B$707&amp;"'!"&amp;"$A$5:$CA$100"),VLOOKUP($A$695,$A$688:$E$703,COLUMN(B$688) - COLUMN($A$688) +1,FALSE),FALSE) + VLOOKUP($A746,INDIRECT("'"&amp;B$707&amp;"'!"&amp;"$A$5:$CA$100"),VLOOKUP($A$694,$A$688:$E$703,COLUMN(B$688) - COLUMN($A$688) +1,FALSE),FALSE),IF('Elec. Analysis'!$A$156=$A$699,VLOOKUP($A746,INDIRECT("'"&amp;B$707&amp;"'!"&amp;"$A$5:$CA$100"),VLOOKUP($A$698,$A$688:$E$703,COLUMN(B$688) - COLUMN($A$688) +1,FALSE),FALSE) - VLOOKUP($A746,INDIRECT("'"&amp;B$707&amp;"'!"&amp;"$A$5:$CA$100"),VLOOKUP($A$700,$A$688:$E$703,COLUMN(B$688) - COLUMN($A$688) +1,FALSE),FALSE),VLOOKUP($A746,INDIRECT("'"&amp;B$707&amp;"'!"&amp;"$A$5:$CA$100"),VLOOKUP('Elec. Analysis'!$A$156,$A$688:$E$703,COLUMN(B$688) - COLUMN($A$688) +1,FALSE),FALSE)))</f>
        <v>4.9176000000000002</v>
      </c>
      <c r="C746" s="706">
        <f ca="1">IF('Elec. Analysis'!$A$156=$A$696,VLOOKUP($A746,INDIRECT("'"&amp;C$707&amp;"'!"&amp;"$A$5:$CA$100"),VLOOKUP($A$695,$A$688:$E$703,COLUMN(C$688) - COLUMN($A$688) +1,FALSE),FALSE) + VLOOKUP($A746,INDIRECT("'"&amp;C$707&amp;"'!"&amp;"$A$5:$CA$100"),VLOOKUP($A$694,$A$688:$E$703,COLUMN(C$688) - COLUMN($A$688) +1,FALSE),FALSE),IF('Elec. Analysis'!$A$156=$A$699,VLOOKUP($A746,INDIRECT("'"&amp;C$707&amp;"'!"&amp;"$A$5:$CA$100"),VLOOKUP($A$698,$A$688:$E$703,COLUMN(C$688) - COLUMN($A$688) +1,FALSE),FALSE) - VLOOKUP($A746,INDIRECT("'"&amp;C$707&amp;"'!"&amp;"$A$5:$CA$100"),VLOOKUP($A$700,$A$688:$E$703,COLUMN(C$688) - COLUMN($A$688) +1,FALSE),FALSE),VLOOKUP($A746,INDIRECT("'"&amp;C$707&amp;"'!"&amp;"$A$5:$CA$100"),VLOOKUP('Elec. Analysis'!$A$156,$A$688:$E$703,COLUMN(C$688) - COLUMN($A$688) +1,FALSE),FALSE)))</f>
        <v>5.431</v>
      </c>
      <c r="D746" s="706">
        <f ca="1">IF('Elec. Analysis'!$A$156=$A$696,VLOOKUP($A746,INDIRECT("'"&amp;D$707&amp;"'!"&amp;"$A$5:$CA$100"),VLOOKUP($A$695,$A$688:$E$703,COLUMN(D$688) - COLUMN($A$688) +1,FALSE),FALSE) + VLOOKUP($A746,INDIRECT("'"&amp;D$707&amp;"'!"&amp;"$A$5:$CA$100"),VLOOKUP($A$694,$A$688:$E$703,COLUMN(D$688) - COLUMN($A$688) +1,FALSE),FALSE),IF('Elec. Analysis'!$A$156=$A$699,VLOOKUP($A746,INDIRECT("'"&amp;D$707&amp;"'!"&amp;"$A$5:$CA$100"),VLOOKUP($A$698,$A$688:$E$703,COLUMN(D$688) - COLUMN($A$688) +1,FALSE),FALSE) - VLOOKUP($A746,INDIRECT("'"&amp;D$707&amp;"'!"&amp;"$A$5:$CA$100"),VLOOKUP($A$700,$A$688:$E$703,COLUMN(D$688) - COLUMN($A$688) +1,FALSE),FALSE),VLOOKUP($A746,INDIRECT("'"&amp;D$707&amp;"'!"&amp;"$A$5:$CA$100"),VLOOKUP('Elec. Analysis'!$A$156,$A$688:$E$703,COLUMN(D$688) - COLUMN($A$688) +1,FALSE),FALSE)))</f>
        <v>5.3280000000000003</v>
      </c>
      <c r="E746" s="706">
        <f ca="1">IF('Elec. Analysis'!$A$156=$A$696,VLOOKUP($A746,INDIRECT("'"&amp;E$707&amp;"'!"&amp;"$A$5:$CA$100"),VLOOKUP($A$695,$A$688:$E$703,COLUMN(E$688) - COLUMN($A$688) +1,FALSE),FALSE) + VLOOKUP($A746,INDIRECT("'"&amp;E$707&amp;"'!"&amp;"$A$5:$CA$100"),VLOOKUP($A$694,$A$688:$E$703,COLUMN(E$688) - COLUMN($A$688) +1,FALSE),FALSE),IF('Elec. Analysis'!$A$156=$A$699,VLOOKUP($A746,INDIRECT("'"&amp;E$707&amp;"'!"&amp;"$A$5:$CA$100"),VLOOKUP($A$698,$A$688:$E$703,COLUMN(E$688) - COLUMN($A$688) +1,FALSE),FALSE) - VLOOKUP($A746,INDIRECT("'"&amp;E$707&amp;"'!"&amp;"$A$5:$CA$100"),VLOOKUP($A$700,$A$688:$E$703,COLUMN(E$688) - COLUMN($A$688) +1,FALSE),FALSE),VLOOKUP($A746,INDIRECT("'"&amp;E$707&amp;"'!"&amp;"$A$5:$CA$100"),VLOOKUP('Elec. Analysis'!$A$156,$A$688:$E$703,COLUMN(E$688) - COLUMN($A$688) +1,FALSE),FALSE)))</f>
        <v>4.8949999999999996</v>
      </c>
      <c r="F746" s="1374"/>
      <c r="G746" s="708">
        <f>IF(AND($A777&lt;=DATE('Elec. Analysis'!$T$194, 12,1),$A777&gt;=DATE('Elec. Analysis'!$T$193, 1, 1)), $A777, NA())</f>
        <v>43009</v>
      </c>
      <c r="H746" s="1274">
        <f ca="1">IF($G746="",NA(),VLOOKUP($G746, INDIRECT("'" &amp;'Elec. Analysis'!$A$193&amp;"'!"&amp;"$A$5:$CA$100"),VLOOKUP('Elec. Analysis'!$A$194, $K$677:$M$736, 2, FALSE),FALSE))</f>
        <v>78.635927532328026</v>
      </c>
      <c r="I746" s="1374"/>
      <c r="J746" s="1374"/>
      <c r="K746" s="1374"/>
      <c r="L746" s="1374"/>
      <c r="M746" s="911"/>
      <c r="N746" s="1374"/>
      <c r="O746" s="1024">
        <v>42005</v>
      </c>
      <c r="P746" s="827">
        <f ca="1">VLOOKUP($O746,INDIRECT("'"&amp;P$709&amp;"'!"&amp;"$A$5:$CA$100"),VLOOKUP('NG Analysis'!$A$157,$O$685:$R$699,COLUMN(P$685) - COLUMN($O$685) + 1,FALSE),FALSE)</f>
        <v>3.335</v>
      </c>
      <c r="Q746" s="827">
        <f ca="1">VLOOKUP($O746,INDIRECT("'"&amp;Q$709&amp;"'!"&amp;"$A$5:$CA$100"),VLOOKUP('NG Analysis'!$A$157,$O$685:$R$699,COLUMN(Q$685) - COLUMN($O$685) + 1,FALSE),FALSE)</f>
        <v>3.1059999999999999</v>
      </c>
      <c r="R746" s="827">
        <f ca="1">VLOOKUP($O746,INDIRECT("'"&amp;R$709&amp;"'!"&amp;"$A$5:$CA$100"),VLOOKUP('NG Analysis'!$A$157,$O$685:$R$699,COLUMN(R$685) - COLUMN($O$685) + 1,FALSE),FALSE)</f>
        <v>2.76</v>
      </c>
      <c r="S746" s="1374"/>
      <c r="T746" s="708">
        <f>IF(AND($O780&lt;=DATE('NG Analysis'!$T$195, 12,1),$O780&gt;=DATE('NG Analysis'!$T$194, 1, 1)), $O780, NA())</f>
        <v>43040</v>
      </c>
      <c r="U746" s="1273">
        <f ca="1">IF($T746="",NA(),VLOOKUP($T746, INDIRECT("'" &amp;'NG Analysis'!$A$194&amp;"'!"&amp;"$A$5:$CA$100"),VLOOKUP('NG Analysis'!$A$195, $X$676:$Z$735, 2, FALSE),FALSE))</f>
        <v>129.83186386517079</v>
      </c>
      <c r="V746" s="1374"/>
      <c r="W746" s="1374"/>
      <c r="X746" s="1374"/>
      <c r="Y746" s="1374"/>
      <c r="Z746" s="911"/>
      <c r="AA746" s="1439"/>
    </row>
    <row r="747" spans="1:27" x14ac:dyDescent="0.3">
      <c r="A747" s="1036">
        <v>42095</v>
      </c>
      <c r="B747" s="706">
        <f ca="1">IF('Elec. Analysis'!$A$156=$A$696,VLOOKUP($A747,INDIRECT("'"&amp;B$707&amp;"'!"&amp;"$A$5:$CA$100"),VLOOKUP($A$695,$A$688:$E$703,COLUMN(B$688) - COLUMN($A$688) +1,FALSE),FALSE) + VLOOKUP($A747,INDIRECT("'"&amp;B$707&amp;"'!"&amp;"$A$5:$CA$100"),VLOOKUP($A$694,$A$688:$E$703,COLUMN(B$688) - COLUMN($A$688) +1,FALSE),FALSE),IF('Elec. Analysis'!$A$156=$A$699,VLOOKUP($A747,INDIRECT("'"&amp;B$707&amp;"'!"&amp;"$A$5:$CA$100"),VLOOKUP($A$698,$A$688:$E$703,COLUMN(B$688) - COLUMN($A$688) +1,FALSE),FALSE) - VLOOKUP($A747,INDIRECT("'"&amp;B$707&amp;"'!"&amp;"$A$5:$CA$100"),VLOOKUP($A$700,$A$688:$E$703,COLUMN(B$688) - COLUMN($A$688) +1,FALSE),FALSE),VLOOKUP($A747,INDIRECT("'"&amp;B$707&amp;"'!"&amp;"$A$5:$CA$100"),VLOOKUP('Elec. Analysis'!$A$156,$A$688:$E$703,COLUMN(B$688) - COLUMN($A$688) +1,FALSE),FALSE)))</f>
        <v>5.1140999999999996</v>
      </c>
      <c r="C747" s="706">
        <f ca="1">IF('Elec. Analysis'!$A$156=$A$696,VLOOKUP($A747,INDIRECT("'"&amp;C$707&amp;"'!"&amp;"$A$5:$CA$100"),VLOOKUP($A$695,$A$688:$E$703,COLUMN(C$688) - COLUMN($A$688) +1,FALSE),FALSE) + VLOOKUP($A747,INDIRECT("'"&amp;C$707&amp;"'!"&amp;"$A$5:$CA$100"),VLOOKUP($A$694,$A$688:$E$703,COLUMN(C$688) - COLUMN($A$688) +1,FALSE),FALSE),IF('Elec. Analysis'!$A$156=$A$699,VLOOKUP($A747,INDIRECT("'"&amp;C$707&amp;"'!"&amp;"$A$5:$CA$100"),VLOOKUP($A$698,$A$688:$E$703,COLUMN(C$688) - COLUMN($A$688) +1,FALSE),FALSE) - VLOOKUP($A747,INDIRECT("'"&amp;C$707&amp;"'!"&amp;"$A$5:$CA$100"),VLOOKUP($A$700,$A$688:$E$703,COLUMN(C$688) - COLUMN($A$688) +1,FALSE),FALSE),VLOOKUP($A747,INDIRECT("'"&amp;C$707&amp;"'!"&amp;"$A$5:$CA$100"),VLOOKUP('Elec. Analysis'!$A$156,$A$688:$E$703,COLUMN(C$688) - COLUMN($A$688) +1,FALSE),FALSE)))</f>
        <v>5.8319999999999999</v>
      </c>
      <c r="D747" s="706">
        <f ca="1">IF('Elec. Analysis'!$A$156=$A$696,VLOOKUP($A747,INDIRECT("'"&amp;D$707&amp;"'!"&amp;"$A$5:$CA$100"),VLOOKUP($A$695,$A$688:$E$703,COLUMN(D$688) - COLUMN($A$688) +1,FALSE),FALSE) + VLOOKUP($A747,INDIRECT("'"&amp;D$707&amp;"'!"&amp;"$A$5:$CA$100"),VLOOKUP($A$694,$A$688:$E$703,COLUMN(D$688) - COLUMN($A$688) +1,FALSE),FALSE),IF('Elec. Analysis'!$A$156=$A$699,VLOOKUP($A747,INDIRECT("'"&amp;D$707&amp;"'!"&amp;"$A$5:$CA$100"),VLOOKUP($A$698,$A$688:$E$703,COLUMN(D$688) - COLUMN($A$688) +1,FALSE),FALSE) - VLOOKUP($A747,INDIRECT("'"&amp;D$707&amp;"'!"&amp;"$A$5:$CA$100"),VLOOKUP($A$700,$A$688:$E$703,COLUMN(D$688) - COLUMN($A$688) +1,FALSE),FALSE),VLOOKUP($A747,INDIRECT("'"&amp;D$707&amp;"'!"&amp;"$A$5:$CA$100"),VLOOKUP('Elec. Analysis'!$A$156,$A$688:$E$703,COLUMN(D$688) - COLUMN($A$688) +1,FALSE),FALSE)))</f>
        <v>5.6890000000000001</v>
      </c>
      <c r="E747" s="706">
        <f ca="1">IF('Elec. Analysis'!$A$156=$A$696,VLOOKUP($A747,INDIRECT("'"&amp;E$707&amp;"'!"&amp;"$A$5:$CA$100"),VLOOKUP($A$695,$A$688:$E$703,COLUMN(E$688) - COLUMN($A$688) +1,FALSE),FALSE) + VLOOKUP($A747,INDIRECT("'"&amp;E$707&amp;"'!"&amp;"$A$5:$CA$100"),VLOOKUP($A$694,$A$688:$E$703,COLUMN(E$688) - COLUMN($A$688) +1,FALSE),FALSE),IF('Elec. Analysis'!$A$156=$A$699,VLOOKUP($A747,INDIRECT("'"&amp;E$707&amp;"'!"&amp;"$A$5:$CA$100"),VLOOKUP($A$698,$A$688:$E$703,COLUMN(E$688) - COLUMN($A$688) +1,FALSE),FALSE) - VLOOKUP($A747,INDIRECT("'"&amp;E$707&amp;"'!"&amp;"$A$5:$CA$100"),VLOOKUP($A$700,$A$688:$E$703,COLUMN(E$688) - COLUMN($A$688) +1,FALSE),FALSE),VLOOKUP($A747,INDIRECT("'"&amp;E$707&amp;"'!"&amp;"$A$5:$CA$100"),VLOOKUP('Elec. Analysis'!$A$156,$A$688:$E$703,COLUMN(E$688) - COLUMN($A$688) +1,FALSE),FALSE)))</f>
        <v>5.1769999999999996</v>
      </c>
      <c r="F747" s="1374"/>
      <c r="G747" s="708">
        <f>IF(AND($A778&lt;=DATE('Elec. Analysis'!$T$194, 12,1),$A778&gt;=DATE('Elec. Analysis'!$T$193, 1, 1)), $A778, NA())</f>
        <v>43040</v>
      </c>
      <c r="H747" s="1274">
        <f ca="1">IF($G747="",NA(),VLOOKUP($G747, INDIRECT("'" &amp;'Elec. Analysis'!$A$193&amp;"'!"&amp;"$A$5:$CA$100"),VLOOKUP('Elec. Analysis'!$A$194, $K$677:$M$736, 2, FALSE),FALSE))</f>
        <v>81.538955698710438</v>
      </c>
      <c r="I747" s="1374"/>
      <c r="J747" s="1374"/>
      <c r="K747" s="1374"/>
      <c r="L747" s="1374"/>
      <c r="M747" s="911"/>
      <c r="N747" s="1374"/>
      <c r="O747" s="1024">
        <v>42036</v>
      </c>
      <c r="P747" s="827">
        <f ca="1">VLOOKUP($O747,INDIRECT("'"&amp;P$709&amp;"'!"&amp;"$A$5:$CA$100"),VLOOKUP('NG Analysis'!$A$157,$O$685:$R$699,COLUMN(P$685) - COLUMN($O$685) + 1,FALSE),FALSE)</f>
        <v>2.4609999999999999</v>
      </c>
      <c r="Q747" s="827">
        <f ca="1">VLOOKUP($O747,INDIRECT("'"&amp;Q$709&amp;"'!"&amp;"$A$5:$CA$100"),VLOOKUP('NG Analysis'!$A$157,$O$685:$R$699,COLUMN(Q$685) - COLUMN($O$685) + 1,FALSE),FALSE)</f>
        <v>2.6080000000000001</v>
      </c>
      <c r="R747" s="827">
        <f ca="1">VLOOKUP($O747,INDIRECT("'"&amp;R$709&amp;"'!"&amp;"$A$5:$CA$100"),VLOOKUP('NG Analysis'!$A$157,$O$685:$R$699,COLUMN(R$685) - COLUMN($O$685) + 1,FALSE),FALSE)</f>
        <v>2.7570000000000001</v>
      </c>
      <c r="S747" s="1374"/>
      <c r="T747" s="708">
        <f>IF(AND($O781&lt;=DATE('NG Analysis'!$T$195, 12,1),$O781&gt;=DATE('NG Analysis'!$T$194, 1, 1)), $O781, NA())</f>
        <v>43070</v>
      </c>
      <c r="U747" s="1273">
        <f ca="1">IF($T747="",NA(),VLOOKUP($T747, INDIRECT("'" &amp;'NG Analysis'!$A$194&amp;"'!"&amp;"$A$5:$CA$100"),VLOOKUP('NG Analysis'!$A$195, $X$676:$Z$735, 2, FALSE),FALSE))</f>
        <v>134.75395540569266</v>
      </c>
      <c r="V747" s="1374"/>
      <c r="W747" s="1374"/>
      <c r="X747" s="1374"/>
      <c r="Y747" s="1374"/>
      <c r="Z747" s="911"/>
      <c r="AA747" s="1439"/>
    </row>
    <row r="748" spans="1:27" x14ac:dyDescent="0.3">
      <c r="A748" s="1036">
        <v>42125</v>
      </c>
      <c r="B748" s="706">
        <f ca="1">IF('Elec. Analysis'!$A$156=$A$696,VLOOKUP($A748,INDIRECT("'"&amp;B$707&amp;"'!"&amp;"$A$5:$CA$100"),VLOOKUP($A$695,$A$688:$E$703,COLUMN(B$688) - COLUMN($A$688) +1,FALSE),FALSE) + VLOOKUP($A748,INDIRECT("'"&amp;B$707&amp;"'!"&amp;"$A$5:$CA$100"),VLOOKUP($A$694,$A$688:$E$703,COLUMN(B$688) - COLUMN($A$688) +1,FALSE),FALSE),IF('Elec. Analysis'!$A$156=$A$699,VLOOKUP($A748,INDIRECT("'"&amp;B$707&amp;"'!"&amp;"$A$5:$CA$100"),VLOOKUP($A$698,$A$688:$E$703,COLUMN(B$688) - COLUMN($A$688) +1,FALSE),FALSE) - VLOOKUP($A748,INDIRECT("'"&amp;B$707&amp;"'!"&amp;"$A$5:$CA$100"),VLOOKUP($A$700,$A$688:$E$703,COLUMN(B$688) - COLUMN($A$688) +1,FALSE),FALSE),VLOOKUP($A748,INDIRECT("'"&amp;B$707&amp;"'!"&amp;"$A$5:$CA$100"),VLOOKUP('Elec. Analysis'!$A$156,$A$688:$E$703,COLUMN(B$688) - COLUMN($A$688) +1,FALSE),FALSE)))</f>
        <v>4.5153999999999996</v>
      </c>
      <c r="C748" s="706">
        <f ca="1">IF('Elec. Analysis'!$A$156=$A$696,VLOOKUP($A748,INDIRECT("'"&amp;C$707&amp;"'!"&amp;"$A$5:$CA$100"),VLOOKUP($A$695,$A$688:$E$703,COLUMN(C$688) - COLUMN($A$688) +1,FALSE),FALSE) + VLOOKUP($A748,INDIRECT("'"&amp;C$707&amp;"'!"&amp;"$A$5:$CA$100"),VLOOKUP($A$694,$A$688:$E$703,COLUMN(C$688) - COLUMN($A$688) +1,FALSE),FALSE),IF('Elec. Analysis'!$A$156=$A$699,VLOOKUP($A748,INDIRECT("'"&amp;C$707&amp;"'!"&amp;"$A$5:$CA$100"),VLOOKUP($A$698,$A$688:$E$703,COLUMN(C$688) - COLUMN($A$688) +1,FALSE),FALSE) - VLOOKUP($A748,INDIRECT("'"&amp;C$707&amp;"'!"&amp;"$A$5:$CA$100"),VLOOKUP($A$700,$A$688:$E$703,COLUMN(C$688) - COLUMN($A$688) +1,FALSE),FALSE),VLOOKUP($A748,INDIRECT("'"&amp;C$707&amp;"'!"&amp;"$A$5:$CA$100"),VLOOKUP('Elec. Analysis'!$A$156,$A$688:$E$703,COLUMN(C$688) - COLUMN($A$688) +1,FALSE),FALSE)))</f>
        <v>4.3369999999999997</v>
      </c>
      <c r="D748" s="706">
        <f ca="1">IF('Elec. Analysis'!$A$156=$A$696,VLOOKUP($A748,INDIRECT("'"&amp;D$707&amp;"'!"&amp;"$A$5:$CA$100"),VLOOKUP($A$695,$A$688:$E$703,COLUMN(D$688) - COLUMN($A$688) +1,FALSE),FALSE) + VLOOKUP($A748,INDIRECT("'"&amp;D$707&amp;"'!"&amp;"$A$5:$CA$100"),VLOOKUP($A$694,$A$688:$E$703,COLUMN(D$688) - COLUMN($A$688) +1,FALSE),FALSE),IF('Elec. Analysis'!$A$156=$A$699,VLOOKUP($A748,INDIRECT("'"&amp;D$707&amp;"'!"&amp;"$A$5:$CA$100"),VLOOKUP($A$698,$A$688:$E$703,COLUMN(D$688) - COLUMN($A$688) +1,FALSE),FALSE) - VLOOKUP($A748,INDIRECT("'"&amp;D$707&amp;"'!"&amp;"$A$5:$CA$100"),VLOOKUP($A$700,$A$688:$E$703,COLUMN(D$688) - COLUMN($A$688) +1,FALSE),FALSE),VLOOKUP($A748,INDIRECT("'"&amp;D$707&amp;"'!"&amp;"$A$5:$CA$100"),VLOOKUP('Elec. Analysis'!$A$156,$A$688:$E$703,COLUMN(D$688) - COLUMN($A$688) +1,FALSE),FALSE)))</f>
        <v>4.2290000000000001</v>
      </c>
      <c r="E748" s="706">
        <f ca="1">IF('Elec. Analysis'!$A$156=$A$696,VLOOKUP($A748,INDIRECT("'"&amp;E$707&amp;"'!"&amp;"$A$5:$CA$100"),VLOOKUP($A$695,$A$688:$E$703,COLUMN(E$688) - COLUMN($A$688) +1,FALSE),FALSE) + VLOOKUP($A748,INDIRECT("'"&amp;E$707&amp;"'!"&amp;"$A$5:$CA$100"),VLOOKUP($A$694,$A$688:$E$703,COLUMN(E$688) - COLUMN($A$688) +1,FALSE),FALSE),IF('Elec. Analysis'!$A$156=$A$699,VLOOKUP($A748,INDIRECT("'"&amp;E$707&amp;"'!"&amp;"$A$5:$CA$100"),VLOOKUP($A$698,$A$688:$E$703,COLUMN(E$688) - COLUMN($A$688) +1,FALSE),FALSE) - VLOOKUP($A748,INDIRECT("'"&amp;E$707&amp;"'!"&amp;"$A$5:$CA$100"),VLOOKUP($A$700,$A$688:$E$703,COLUMN(E$688) - COLUMN($A$688) +1,FALSE),FALSE),VLOOKUP($A748,INDIRECT("'"&amp;E$707&amp;"'!"&amp;"$A$5:$CA$100"),VLOOKUP('Elec. Analysis'!$A$156,$A$688:$E$703,COLUMN(E$688) - COLUMN($A$688) +1,FALSE),FALSE)))</f>
        <v>4.5380000000000003</v>
      </c>
      <c r="F748" s="1374"/>
      <c r="G748" s="708">
        <f>IF(AND($A779&lt;=DATE('Elec. Analysis'!$T$194, 12,1),$A779&gt;=DATE('Elec. Analysis'!$T$193, 1, 1)), $A779, NA())</f>
        <v>43070</v>
      </c>
      <c r="H748" s="1274">
        <f ca="1">IF($G748="",NA(),VLOOKUP($G748, INDIRECT("'" &amp;'Elec. Analysis'!$A$193&amp;"'!"&amp;"$A$5:$CA$100"),VLOOKUP('Elec. Analysis'!$A$194, $K$677:$M$736, 2, FALSE),FALSE))</f>
        <v>92.239618493565786</v>
      </c>
      <c r="I748" s="1374"/>
      <c r="J748" s="1374"/>
      <c r="K748" s="1374"/>
      <c r="L748" s="1374"/>
      <c r="M748" s="911"/>
      <c r="N748" s="1374"/>
      <c r="O748" s="1024">
        <v>42064</v>
      </c>
      <c r="P748" s="827">
        <f ca="1">VLOOKUP($O748,INDIRECT("'"&amp;P$709&amp;"'!"&amp;"$A$5:$CA$100"),VLOOKUP('NG Analysis'!$A$157,$O$685:$R$699,COLUMN(P$685) - COLUMN($O$685) + 1,FALSE),FALSE)</f>
        <v>2.68</v>
      </c>
      <c r="Q748" s="827">
        <f ca="1">VLOOKUP($O748,INDIRECT("'"&amp;Q$709&amp;"'!"&amp;"$A$5:$CA$100"),VLOOKUP('NG Analysis'!$A$157,$O$685:$R$699,COLUMN(Q$685) - COLUMN($O$685) + 1,FALSE),FALSE)</f>
        <v>2.97</v>
      </c>
      <c r="R748" s="827">
        <f ca="1">VLOOKUP($O748,INDIRECT("'"&amp;R$709&amp;"'!"&amp;"$A$5:$CA$100"),VLOOKUP('NG Analysis'!$A$157,$O$685:$R$699,COLUMN(R$685) - COLUMN($O$685) + 1,FALSE),FALSE)</f>
        <v>2.3690000000000002</v>
      </c>
      <c r="S748" s="1374"/>
      <c r="T748" s="708">
        <f>IF(AND($O782&lt;=DATE('NG Analysis'!$T$195, 12,1),$O782&gt;=DATE('NG Analysis'!$T$194, 1, 1)), $O782, NA())</f>
        <v>43101</v>
      </c>
      <c r="U748" s="1273">
        <f ca="1">IF($T748="",NA(),VLOOKUP($T748, INDIRECT("'" &amp;'NG Analysis'!$A$194&amp;"'!"&amp;"$A$5:$CA$100"),VLOOKUP('NG Analysis'!$A$195, $X$676:$Z$735, 2, FALSE),FALSE))</f>
        <v>151.08348440722767</v>
      </c>
      <c r="V748" s="1374"/>
      <c r="W748" s="1374"/>
      <c r="X748" s="1374"/>
      <c r="Y748" s="1374"/>
      <c r="Z748" s="911"/>
      <c r="AA748" s="1439"/>
    </row>
    <row r="749" spans="1:27" x14ac:dyDescent="0.3">
      <c r="A749" s="1036">
        <v>42156</v>
      </c>
      <c r="B749" s="706">
        <f ca="1">IF('Elec. Analysis'!$A$156=$A$696,VLOOKUP($A749,INDIRECT("'"&amp;B$707&amp;"'!"&amp;"$A$5:$CA$100"),VLOOKUP($A$695,$A$688:$E$703,COLUMN(B$688) - COLUMN($A$688) +1,FALSE),FALSE) + VLOOKUP($A749,INDIRECT("'"&amp;B$707&amp;"'!"&amp;"$A$5:$CA$100"),VLOOKUP($A$694,$A$688:$E$703,COLUMN(B$688) - COLUMN($A$688) +1,FALSE),FALSE),IF('Elec. Analysis'!$A$156=$A$699,VLOOKUP($A749,INDIRECT("'"&amp;B$707&amp;"'!"&amp;"$A$5:$CA$100"),VLOOKUP($A$698,$A$688:$E$703,COLUMN(B$688) - COLUMN($A$688) +1,FALSE),FALSE) - VLOOKUP($A749,INDIRECT("'"&amp;B$707&amp;"'!"&amp;"$A$5:$CA$100"),VLOOKUP($A$700,$A$688:$E$703,COLUMN(B$688) - COLUMN($A$688) +1,FALSE),FALSE),VLOOKUP($A749,INDIRECT("'"&amp;B$707&amp;"'!"&amp;"$A$5:$CA$100"),VLOOKUP('Elec. Analysis'!$A$156,$A$688:$E$703,COLUMN(B$688) - COLUMN($A$688) +1,FALSE),FALSE)))</f>
        <v>3.8008000000000002</v>
      </c>
      <c r="C749" s="706">
        <f ca="1">IF('Elec. Analysis'!$A$156=$A$696,VLOOKUP($A749,INDIRECT("'"&amp;C$707&amp;"'!"&amp;"$A$5:$CA$100"),VLOOKUP($A$695,$A$688:$E$703,COLUMN(C$688) - COLUMN($A$688) +1,FALSE),FALSE) + VLOOKUP($A749,INDIRECT("'"&amp;C$707&amp;"'!"&amp;"$A$5:$CA$100"),VLOOKUP($A$694,$A$688:$E$703,COLUMN(C$688) - COLUMN($A$688) +1,FALSE),FALSE),IF('Elec. Analysis'!$A$156=$A$699,VLOOKUP($A749,INDIRECT("'"&amp;C$707&amp;"'!"&amp;"$A$5:$CA$100"),VLOOKUP($A$698,$A$688:$E$703,COLUMN(C$688) - COLUMN($A$688) +1,FALSE),FALSE) - VLOOKUP($A749,INDIRECT("'"&amp;C$707&amp;"'!"&amp;"$A$5:$CA$100"),VLOOKUP($A$700,$A$688:$E$703,COLUMN(C$688) - COLUMN($A$688) +1,FALSE),FALSE),VLOOKUP($A749,INDIRECT("'"&amp;C$707&amp;"'!"&amp;"$A$5:$CA$100"),VLOOKUP('Elec. Analysis'!$A$156,$A$688:$E$703,COLUMN(C$688) - COLUMN($A$688) +1,FALSE),FALSE)))</f>
        <v>4.0890000000000004</v>
      </c>
      <c r="D749" s="706">
        <f ca="1">IF('Elec. Analysis'!$A$156=$A$696,VLOOKUP($A749,INDIRECT("'"&amp;D$707&amp;"'!"&amp;"$A$5:$CA$100"),VLOOKUP($A$695,$A$688:$E$703,COLUMN(D$688) - COLUMN($A$688) +1,FALSE),FALSE) + VLOOKUP($A749,INDIRECT("'"&amp;D$707&amp;"'!"&amp;"$A$5:$CA$100"),VLOOKUP($A$694,$A$688:$E$703,COLUMN(D$688) - COLUMN($A$688) +1,FALSE),FALSE),IF('Elec. Analysis'!$A$156=$A$699,VLOOKUP($A749,INDIRECT("'"&amp;D$707&amp;"'!"&amp;"$A$5:$CA$100"),VLOOKUP($A$698,$A$688:$E$703,COLUMN(D$688) - COLUMN($A$688) +1,FALSE),FALSE) - VLOOKUP($A749,INDIRECT("'"&amp;D$707&amp;"'!"&amp;"$A$5:$CA$100"),VLOOKUP($A$700,$A$688:$E$703,COLUMN(D$688) - COLUMN($A$688) +1,FALSE),FALSE),VLOOKUP($A749,INDIRECT("'"&amp;D$707&amp;"'!"&amp;"$A$5:$CA$100"),VLOOKUP('Elec. Analysis'!$A$156,$A$688:$E$703,COLUMN(D$688) - COLUMN($A$688) +1,FALSE),FALSE)))</f>
        <v>3.992</v>
      </c>
      <c r="E749" s="706">
        <f ca="1">IF('Elec. Analysis'!$A$156=$A$696,VLOOKUP($A749,INDIRECT("'"&amp;E$707&amp;"'!"&amp;"$A$5:$CA$100"),VLOOKUP($A$695,$A$688:$E$703,COLUMN(E$688) - COLUMN($A$688) +1,FALSE),FALSE) + VLOOKUP($A749,INDIRECT("'"&amp;E$707&amp;"'!"&amp;"$A$5:$CA$100"),VLOOKUP($A$694,$A$688:$E$703,COLUMN(E$688) - COLUMN($A$688) +1,FALSE),FALSE),IF('Elec. Analysis'!$A$156=$A$699,VLOOKUP($A749,INDIRECT("'"&amp;E$707&amp;"'!"&amp;"$A$5:$CA$100"),VLOOKUP($A$698,$A$688:$E$703,COLUMN(E$688) - COLUMN($A$688) +1,FALSE),FALSE) - VLOOKUP($A749,INDIRECT("'"&amp;E$707&amp;"'!"&amp;"$A$5:$CA$100"),VLOOKUP($A$700,$A$688:$E$703,COLUMN(E$688) - COLUMN($A$688) +1,FALSE),FALSE),VLOOKUP($A749,INDIRECT("'"&amp;E$707&amp;"'!"&amp;"$A$5:$CA$100"),VLOOKUP('Elec. Analysis'!$A$156,$A$688:$E$703,COLUMN(E$688) - COLUMN($A$688) +1,FALSE),FALSE)))</f>
        <v>3.831</v>
      </c>
      <c r="F749" s="1374"/>
      <c r="G749" s="708">
        <f>IF(AND($A780&lt;=DATE('Elec. Analysis'!$T$194, 12,1),$A780&gt;=DATE('Elec. Analysis'!$T$193, 1, 1)), $A780, NA())</f>
        <v>43101</v>
      </c>
      <c r="H749" s="1274">
        <f ca="1">IF($G749="",NA(),VLOOKUP($G749, INDIRECT("'" &amp;'Elec. Analysis'!$A$193&amp;"'!"&amp;"$A$5:$CA$100"),VLOOKUP('Elec. Analysis'!$A$194, $K$677:$M$736, 2, FALSE),FALSE))</f>
        <v>97.04768000615276</v>
      </c>
      <c r="I749" s="1374"/>
      <c r="J749" s="1374"/>
      <c r="K749" s="1374"/>
      <c r="L749" s="1374"/>
      <c r="M749" s="911"/>
      <c r="N749" s="1374"/>
      <c r="O749" s="1024">
        <v>42095</v>
      </c>
      <c r="P749" s="827">
        <f ca="1">VLOOKUP($O749,INDIRECT("'"&amp;P$709&amp;"'!"&amp;"$A$5:$CA$100"),VLOOKUP('NG Analysis'!$A$157,$O$685:$R$699,COLUMN(P$685) - COLUMN($O$685) + 1,FALSE),FALSE)</f>
        <v>2.919</v>
      </c>
      <c r="Q749" s="827">
        <f ca="1">VLOOKUP($O749,INDIRECT("'"&amp;Q$709&amp;"'!"&amp;"$A$5:$CA$100"),VLOOKUP('NG Analysis'!$A$157,$O$685:$R$699,COLUMN(Q$685) - COLUMN($O$685) + 1,FALSE),FALSE)</f>
        <v>2.903</v>
      </c>
      <c r="R749" s="827">
        <f ca="1">VLOOKUP($O749,INDIRECT("'"&amp;R$709&amp;"'!"&amp;"$A$5:$CA$100"),VLOOKUP('NG Analysis'!$A$157,$O$685:$R$699,COLUMN(R$685) - COLUMN($O$685) + 1,FALSE),FALSE)</f>
        <v>3.754</v>
      </c>
      <c r="S749" s="1374"/>
      <c r="T749" s="708">
        <f>IF(AND($O783&lt;=DATE('NG Analysis'!$T$195, 12,1),$O783&gt;=DATE('NG Analysis'!$T$194, 1, 1)), $O783, NA())</f>
        <v>43132</v>
      </c>
      <c r="U749" s="1273">
        <f ca="1">IF($T749="",NA(),VLOOKUP($T749, INDIRECT("'" &amp;'NG Analysis'!$A$194&amp;"'!"&amp;"$A$5:$CA$100"),VLOOKUP('NG Analysis'!$A$195, $X$676:$Z$735, 2, FALSE),FALSE))</f>
        <v>174.28956965864296</v>
      </c>
      <c r="V749" s="1374"/>
      <c r="W749" s="1374"/>
      <c r="X749" s="1374"/>
      <c r="Y749" s="1374"/>
      <c r="Z749" s="911"/>
      <c r="AA749" s="1439"/>
    </row>
    <row r="750" spans="1:27" x14ac:dyDescent="0.3">
      <c r="A750" s="1036">
        <v>42186</v>
      </c>
      <c r="B750" s="706">
        <f ca="1">IF('Elec. Analysis'!$A$156=$A$696,VLOOKUP($A750,INDIRECT("'"&amp;B$707&amp;"'!"&amp;"$A$5:$CA$100"),VLOOKUP($A$695,$A$688:$E$703,COLUMN(B$688) - COLUMN($A$688) +1,FALSE),FALSE) + VLOOKUP($A750,INDIRECT("'"&amp;B$707&amp;"'!"&amp;"$A$5:$CA$100"),VLOOKUP($A$694,$A$688:$E$703,COLUMN(B$688) - COLUMN($A$688) +1,FALSE),FALSE),IF('Elec. Analysis'!$A$156=$A$699,VLOOKUP($A750,INDIRECT("'"&amp;B$707&amp;"'!"&amp;"$A$5:$CA$100"),VLOOKUP($A$698,$A$688:$E$703,COLUMN(B$688) - COLUMN($A$688) +1,FALSE),FALSE) - VLOOKUP($A750,INDIRECT("'"&amp;B$707&amp;"'!"&amp;"$A$5:$CA$100"),VLOOKUP($A$700,$A$688:$E$703,COLUMN(B$688) - COLUMN($A$688) +1,FALSE),FALSE),VLOOKUP($A750,INDIRECT("'"&amp;B$707&amp;"'!"&amp;"$A$5:$CA$100"),VLOOKUP('Elec. Analysis'!$A$156,$A$688:$E$703,COLUMN(B$688) - COLUMN($A$688) +1,FALSE),FALSE)))</f>
        <v>8.2159999999999993</v>
      </c>
      <c r="C750" s="706">
        <f ca="1">IF('Elec. Analysis'!$A$156=$A$696,VLOOKUP($A750,INDIRECT("'"&amp;C$707&amp;"'!"&amp;"$A$5:$CA$100"),VLOOKUP($A$695,$A$688:$E$703,COLUMN(C$688) - COLUMN($A$688) +1,FALSE),FALSE) + VLOOKUP($A750,INDIRECT("'"&amp;C$707&amp;"'!"&amp;"$A$5:$CA$100"),VLOOKUP($A$694,$A$688:$E$703,COLUMN(C$688) - COLUMN($A$688) +1,FALSE),FALSE),IF('Elec. Analysis'!$A$156=$A$699,VLOOKUP($A750,INDIRECT("'"&amp;C$707&amp;"'!"&amp;"$A$5:$CA$100"),VLOOKUP($A$698,$A$688:$E$703,COLUMN(C$688) - COLUMN($A$688) +1,FALSE),FALSE) - VLOOKUP($A750,INDIRECT("'"&amp;C$707&amp;"'!"&amp;"$A$5:$CA$100"),VLOOKUP($A$700,$A$688:$E$703,COLUMN(C$688) - COLUMN($A$688) +1,FALSE),FALSE),VLOOKUP($A750,INDIRECT("'"&amp;C$707&amp;"'!"&amp;"$A$5:$CA$100"),VLOOKUP('Elec. Analysis'!$A$156,$A$688:$E$703,COLUMN(C$688) - COLUMN($A$688) +1,FALSE),FALSE)))</f>
        <v>6.14</v>
      </c>
      <c r="D750" s="706">
        <f ca="1">IF('Elec. Analysis'!$A$156=$A$696,VLOOKUP($A750,INDIRECT("'"&amp;D$707&amp;"'!"&amp;"$A$5:$CA$100"),VLOOKUP($A$695,$A$688:$E$703,COLUMN(D$688) - COLUMN($A$688) +1,FALSE),FALSE) + VLOOKUP($A750,INDIRECT("'"&amp;D$707&amp;"'!"&amp;"$A$5:$CA$100"),VLOOKUP($A$694,$A$688:$E$703,COLUMN(D$688) - COLUMN($A$688) +1,FALSE),FALSE),IF('Elec. Analysis'!$A$156=$A$699,VLOOKUP($A750,INDIRECT("'"&amp;D$707&amp;"'!"&amp;"$A$5:$CA$100"),VLOOKUP($A$698,$A$688:$E$703,COLUMN(D$688) - COLUMN($A$688) +1,FALSE),FALSE) - VLOOKUP($A750,INDIRECT("'"&amp;D$707&amp;"'!"&amp;"$A$5:$CA$100"),VLOOKUP($A$700,$A$688:$E$703,COLUMN(D$688) - COLUMN($A$688) +1,FALSE),FALSE),VLOOKUP($A750,INDIRECT("'"&amp;D$707&amp;"'!"&amp;"$A$5:$CA$100"),VLOOKUP('Elec. Analysis'!$A$156,$A$688:$E$703,COLUMN(D$688) - COLUMN($A$688) +1,FALSE),FALSE)))</f>
        <v>5.9790000000000001</v>
      </c>
      <c r="E750" s="706">
        <f ca="1">IF('Elec. Analysis'!$A$156=$A$696,VLOOKUP($A750,INDIRECT("'"&amp;E$707&amp;"'!"&amp;"$A$5:$CA$100"),VLOOKUP($A$695,$A$688:$E$703,COLUMN(E$688) - COLUMN($A$688) +1,FALSE),FALSE) + VLOOKUP($A750,INDIRECT("'"&amp;E$707&amp;"'!"&amp;"$A$5:$CA$100"),VLOOKUP($A$694,$A$688:$E$703,COLUMN(E$688) - COLUMN($A$688) +1,FALSE),FALSE),IF('Elec. Analysis'!$A$156=$A$699,VLOOKUP($A750,INDIRECT("'"&amp;E$707&amp;"'!"&amp;"$A$5:$CA$100"),VLOOKUP($A$698,$A$688:$E$703,COLUMN(E$688) - COLUMN($A$688) +1,FALSE),FALSE) - VLOOKUP($A750,INDIRECT("'"&amp;E$707&amp;"'!"&amp;"$A$5:$CA$100"),VLOOKUP($A$700,$A$688:$E$703,COLUMN(E$688) - COLUMN($A$688) +1,FALSE),FALSE),VLOOKUP($A750,INDIRECT("'"&amp;E$707&amp;"'!"&amp;"$A$5:$CA$100"),VLOOKUP('Elec. Analysis'!$A$156,$A$688:$E$703,COLUMN(E$688) - COLUMN($A$688) +1,FALSE),FALSE)))</f>
        <v>8.6340000000000003</v>
      </c>
      <c r="F750" s="1374"/>
      <c r="G750" s="708">
        <f>IF(AND($A781&lt;=DATE('Elec. Analysis'!$T$194, 12,1),$A781&gt;=DATE('Elec. Analysis'!$T$193, 1, 1)), $A781, NA())</f>
        <v>43132</v>
      </c>
      <c r="H750" s="1274">
        <f ca="1">IF($G750="",NA(),VLOOKUP($G750, INDIRECT("'" &amp;'Elec. Analysis'!$A$193&amp;"'!"&amp;"$A$5:$CA$100"),VLOOKUP('Elec. Analysis'!$A$194, $K$677:$M$736, 2, FALSE),FALSE))</f>
        <v>90.414418526864011</v>
      </c>
      <c r="I750" s="1374"/>
      <c r="J750" s="1374"/>
      <c r="K750" s="1374"/>
      <c r="L750" s="1374"/>
      <c r="M750" s="911"/>
      <c r="N750" s="1374"/>
      <c r="O750" s="1024">
        <v>42125</v>
      </c>
      <c r="P750" s="827">
        <f ca="1">VLOOKUP($O750,INDIRECT("'"&amp;P$709&amp;"'!"&amp;"$A$5:$CA$100"),VLOOKUP('NG Analysis'!$A$157,$O$685:$R$699,COLUMN(P$685) - COLUMN($O$685) + 1,FALSE),FALSE)</f>
        <v>2.1859999999999999</v>
      </c>
      <c r="Q750" s="827">
        <f ca="1">VLOOKUP($O750,INDIRECT("'"&amp;Q$709&amp;"'!"&amp;"$A$5:$CA$100"),VLOOKUP('NG Analysis'!$A$157,$O$685:$R$699,COLUMN(Q$685) - COLUMN($O$685) + 1,FALSE),FALSE)</f>
        <v>2.2269999999999999</v>
      </c>
      <c r="R750" s="827">
        <f ca="1">VLOOKUP($O750,INDIRECT("'"&amp;R$709&amp;"'!"&amp;"$A$5:$CA$100"),VLOOKUP('NG Analysis'!$A$157,$O$685:$R$699,COLUMN(R$685) - COLUMN($O$685) + 1,FALSE),FALSE)</f>
        <v>2.202</v>
      </c>
      <c r="S750" s="1374"/>
      <c r="T750" s="708">
        <f>IF(AND($O784&lt;=DATE('NG Analysis'!$T$195, 12,1),$O784&gt;=DATE('NG Analysis'!$T$194, 1, 1)), $O784, NA())</f>
        <v>43160</v>
      </c>
      <c r="U750" s="1273">
        <f ca="1">IF($T750="",NA(),VLOOKUP($T750, INDIRECT("'" &amp;'NG Analysis'!$A$194&amp;"'!"&amp;"$A$5:$CA$100"),VLOOKUP('NG Analysis'!$A$195, $X$676:$Z$735, 2, FALSE),FALSE))</f>
        <v>125.75181616504598</v>
      </c>
      <c r="V750" s="1374"/>
      <c r="W750" s="1374"/>
      <c r="X750" s="1374"/>
      <c r="Y750" s="1374"/>
      <c r="Z750" s="911"/>
      <c r="AA750" s="1439"/>
    </row>
    <row r="751" spans="1:27" x14ac:dyDescent="0.3">
      <c r="A751" s="1036">
        <v>42217</v>
      </c>
      <c r="B751" s="706">
        <f ca="1">IF('Elec. Analysis'!$A$156=$A$696,VLOOKUP($A751,INDIRECT("'"&amp;B$707&amp;"'!"&amp;"$A$5:$CA$100"),VLOOKUP($A$695,$A$688:$E$703,COLUMN(B$688) - COLUMN($A$688) +1,FALSE),FALSE) + VLOOKUP($A751,INDIRECT("'"&amp;B$707&amp;"'!"&amp;"$A$5:$CA$100"),VLOOKUP($A$694,$A$688:$E$703,COLUMN(B$688) - COLUMN($A$688) +1,FALSE),FALSE),IF('Elec. Analysis'!$A$156=$A$699,VLOOKUP($A751,INDIRECT("'"&amp;B$707&amp;"'!"&amp;"$A$5:$CA$100"),VLOOKUP($A$698,$A$688:$E$703,COLUMN(B$688) - COLUMN($A$688) +1,FALSE),FALSE) - VLOOKUP($A751,INDIRECT("'"&amp;B$707&amp;"'!"&amp;"$A$5:$CA$100"),VLOOKUP($A$700,$A$688:$E$703,COLUMN(B$688) - COLUMN($A$688) +1,FALSE),FALSE),VLOOKUP($A751,INDIRECT("'"&amp;B$707&amp;"'!"&amp;"$A$5:$CA$100"),VLOOKUP('Elec. Analysis'!$A$156,$A$688:$E$703,COLUMN(B$688) - COLUMN($A$688) +1,FALSE),FALSE)))</f>
        <v>7.8959999999999999</v>
      </c>
      <c r="C751" s="706">
        <f ca="1">IF('Elec. Analysis'!$A$156=$A$696,VLOOKUP($A751,INDIRECT("'"&amp;C$707&amp;"'!"&amp;"$A$5:$CA$100"),VLOOKUP($A$695,$A$688:$E$703,COLUMN(C$688) - COLUMN($A$688) +1,FALSE),FALSE) + VLOOKUP($A751,INDIRECT("'"&amp;C$707&amp;"'!"&amp;"$A$5:$CA$100"),VLOOKUP($A$694,$A$688:$E$703,COLUMN(C$688) - COLUMN($A$688) +1,FALSE),FALSE),IF('Elec. Analysis'!$A$156=$A$699,VLOOKUP($A751,INDIRECT("'"&amp;C$707&amp;"'!"&amp;"$A$5:$CA$100"),VLOOKUP($A$698,$A$688:$E$703,COLUMN(C$688) - COLUMN($A$688) +1,FALSE),FALSE) - VLOOKUP($A751,INDIRECT("'"&amp;C$707&amp;"'!"&amp;"$A$5:$CA$100"),VLOOKUP($A$700,$A$688:$E$703,COLUMN(C$688) - COLUMN($A$688) +1,FALSE),FALSE),VLOOKUP($A751,INDIRECT("'"&amp;C$707&amp;"'!"&amp;"$A$5:$CA$100"),VLOOKUP('Elec. Analysis'!$A$156,$A$688:$E$703,COLUMN(C$688) - COLUMN($A$688) +1,FALSE),FALSE)))</f>
        <v>5.8129999999999997</v>
      </c>
      <c r="D751" s="706">
        <f ca="1">IF('Elec. Analysis'!$A$156=$A$696,VLOOKUP($A751,INDIRECT("'"&amp;D$707&amp;"'!"&amp;"$A$5:$CA$100"),VLOOKUP($A$695,$A$688:$E$703,COLUMN(D$688) - COLUMN($A$688) +1,FALSE),FALSE) + VLOOKUP($A751,INDIRECT("'"&amp;D$707&amp;"'!"&amp;"$A$5:$CA$100"),VLOOKUP($A$694,$A$688:$E$703,COLUMN(D$688) - COLUMN($A$688) +1,FALSE),FALSE),IF('Elec. Analysis'!$A$156=$A$699,VLOOKUP($A751,INDIRECT("'"&amp;D$707&amp;"'!"&amp;"$A$5:$CA$100"),VLOOKUP($A$698,$A$688:$E$703,COLUMN(D$688) - COLUMN($A$688) +1,FALSE),FALSE) - VLOOKUP($A751,INDIRECT("'"&amp;D$707&amp;"'!"&amp;"$A$5:$CA$100"),VLOOKUP($A$700,$A$688:$E$703,COLUMN(D$688) - COLUMN($A$688) +1,FALSE),FALSE),VLOOKUP($A751,INDIRECT("'"&amp;D$707&amp;"'!"&amp;"$A$5:$CA$100"),VLOOKUP('Elec. Analysis'!$A$156,$A$688:$E$703,COLUMN(D$688) - COLUMN($A$688) +1,FALSE),FALSE)))</f>
        <v>5.6740000000000004</v>
      </c>
      <c r="E751" s="706">
        <f ca="1">IF('Elec. Analysis'!$A$156=$A$696,VLOOKUP($A751,INDIRECT("'"&amp;E$707&amp;"'!"&amp;"$A$5:$CA$100"),VLOOKUP($A$695,$A$688:$E$703,COLUMN(E$688) - COLUMN($A$688) +1,FALSE),FALSE) + VLOOKUP($A751,INDIRECT("'"&amp;E$707&amp;"'!"&amp;"$A$5:$CA$100"),VLOOKUP($A$694,$A$688:$E$703,COLUMN(E$688) - COLUMN($A$688) +1,FALSE),FALSE),IF('Elec. Analysis'!$A$156=$A$699,VLOOKUP($A751,INDIRECT("'"&amp;E$707&amp;"'!"&amp;"$A$5:$CA$100"),VLOOKUP($A$698,$A$688:$E$703,COLUMN(E$688) - COLUMN($A$688) +1,FALSE),FALSE) - VLOOKUP($A751,INDIRECT("'"&amp;E$707&amp;"'!"&amp;"$A$5:$CA$100"),VLOOKUP($A$700,$A$688:$E$703,COLUMN(E$688) - COLUMN($A$688) +1,FALSE),FALSE),VLOOKUP($A751,INDIRECT("'"&amp;E$707&amp;"'!"&amp;"$A$5:$CA$100"),VLOOKUP('Elec. Analysis'!$A$156,$A$688:$E$703,COLUMN(E$688) - COLUMN($A$688) +1,FALSE),FALSE)))</f>
        <v>7.82</v>
      </c>
      <c r="F751" s="1374"/>
      <c r="G751" s="708">
        <f>IF(AND($A782&lt;=DATE('Elec. Analysis'!$T$194, 12,1),$A782&gt;=DATE('Elec. Analysis'!$T$193, 1, 1)), $A782, NA())</f>
        <v>43160</v>
      </c>
      <c r="H751" s="1273">
        <f ca="1">IF($G751="",NA(),VLOOKUP($G751, INDIRECT("'" &amp;'Elec. Analysis'!$A$193&amp;"'!"&amp;"$A$5:$CA$100"),VLOOKUP('Elec. Analysis'!$A$194, $K$677:$M$736, 2, FALSE),FALSE))</f>
        <v>91.688336430019945</v>
      </c>
      <c r="I751" s="1374"/>
      <c r="J751" s="1374"/>
      <c r="K751" s="1374"/>
      <c r="L751" s="1374"/>
      <c r="M751" s="911"/>
      <c r="N751" s="1374"/>
      <c r="O751" s="1024">
        <v>42156</v>
      </c>
      <c r="P751" s="827">
        <f ca="1">VLOOKUP($O751,INDIRECT("'"&amp;P$709&amp;"'!"&amp;"$A$5:$CA$100"),VLOOKUP('NG Analysis'!$A$157,$O$685:$R$699,COLUMN(P$685) - COLUMN($O$685) + 1,FALSE),FALSE)</f>
        <v>3.4710000000000001</v>
      </c>
      <c r="Q751" s="827">
        <f ca="1">VLOOKUP($O751,INDIRECT("'"&amp;Q$709&amp;"'!"&amp;"$A$5:$CA$100"),VLOOKUP('NG Analysis'!$A$157,$O$685:$R$699,COLUMN(Q$685) - COLUMN($O$685) + 1,FALSE),FALSE)</f>
        <v>3.7410000000000001</v>
      </c>
      <c r="R751" s="827">
        <f ca="1">VLOOKUP($O751,INDIRECT("'"&amp;R$709&amp;"'!"&amp;"$A$5:$CA$100"),VLOOKUP('NG Analysis'!$A$157,$O$685:$R$699,COLUMN(R$685) - COLUMN($O$685) + 1,FALSE),FALSE)</f>
        <v>1.2090000000000001</v>
      </c>
      <c r="S751" s="1374"/>
      <c r="T751" s="708">
        <f>IF(AND($O785&lt;=DATE('NG Analysis'!$T$195, 12,1),$O785&gt;=DATE('NG Analysis'!$T$194, 1, 1)), $O785, NA())</f>
        <v>43191</v>
      </c>
      <c r="U751" s="1273">
        <f ca="1">IF($T751="",NA(),VLOOKUP($T751, INDIRECT("'" &amp;'NG Analysis'!$A$194&amp;"'!"&amp;"$A$5:$CA$100"),VLOOKUP('NG Analysis'!$A$195, $X$676:$Z$735, 2, FALSE),FALSE))</f>
        <v>105.73382805571367</v>
      </c>
      <c r="V751" s="1374"/>
      <c r="W751" s="1374"/>
      <c r="X751" s="1374"/>
      <c r="Y751" s="1374"/>
      <c r="Z751" s="911"/>
      <c r="AA751" s="1439"/>
    </row>
    <row r="752" spans="1:27" x14ac:dyDescent="0.3">
      <c r="A752" s="1036">
        <v>42248</v>
      </c>
      <c r="B752" s="706">
        <f ca="1">IF('Elec. Analysis'!$A$156=$A$696,VLOOKUP($A752,INDIRECT("'"&amp;B$707&amp;"'!"&amp;"$A$5:$CA$100"),VLOOKUP($A$695,$A$688:$E$703,COLUMN(B$688) - COLUMN($A$688) +1,FALSE),FALSE) + VLOOKUP($A752,INDIRECT("'"&amp;B$707&amp;"'!"&amp;"$A$5:$CA$100"),VLOOKUP($A$694,$A$688:$E$703,COLUMN(B$688) - COLUMN($A$688) +1,FALSE),FALSE),IF('Elec. Analysis'!$A$156=$A$699,VLOOKUP($A752,INDIRECT("'"&amp;B$707&amp;"'!"&amp;"$A$5:$CA$100"),VLOOKUP($A$698,$A$688:$E$703,COLUMN(B$688) - COLUMN($A$688) +1,FALSE),FALSE) - VLOOKUP($A752,INDIRECT("'"&amp;B$707&amp;"'!"&amp;"$A$5:$CA$100"),VLOOKUP($A$700,$A$688:$E$703,COLUMN(B$688) - COLUMN($A$688) +1,FALSE),FALSE),VLOOKUP($A752,INDIRECT("'"&amp;B$707&amp;"'!"&amp;"$A$5:$CA$100"),VLOOKUP('Elec. Analysis'!$A$156,$A$688:$E$703,COLUMN(B$688) - COLUMN($A$688) +1,FALSE),FALSE)))</f>
        <v>5.407</v>
      </c>
      <c r="C752" s="706">
        <f ca="1">IF('Elec. Analysis'!$A$156=$A$696,VLOOKUP($A752,INDIRECT("'"&amp;C$707&amp;"'!"&amp;"$A$5:$CA$100"),VLOOKUP($A$695,$A$688:$E$703,COLUMN(C$688) - COLUMN($A$688) +1,FALSE),FALSE) + VLOOKUP($A752,INDIRECT("'"&amp;C$707&amp;"'!"&amp;"$A$5:$CA$100"),VLOOKUP($A$694,$A$688:$E$703,COLUMN(C$688) - COLUMN($A$688) +1,FALSE),FALSE),IF('Elec. Analysis'!$A$156=$A$699,VLOOKUP($A752,INDIRECT("'"&amp;C$707&amp;"'!"&amp;"$A$5:$CA$100"),VLOOKUP($A$698,$A$688:$E$703,COLUMN(C$688) - COLUMN($A$688) +1,FALSE),FALSE) - VLOOKUP($A752,INDIRECT("'"&amp;C$707&amp;"'!"&amp;"$A$5:$CA$100"),VLOOKUP($A$700,$A$688:$E$703,COLUMN(C$688) - COLUMN($A$688) +1,FALSE),FALSE),VLOOKUP($A752,INDIRECT("'"&amp;C$707&amp;"'!"&amp;"$A$5:$CA$100"),VLOOKUP('Elec. Analysis'!$A$156,$A$688:$E$703,COLUMN(C$688) - COLUMN($A$688) +1,FALSE),FALSE)))</f>
        <v>5.3869999999999996</v>
      </c>
      <c r="D752" s="706">
        <f ca="1">IF('Elec. Analysis'!$A$156=$A$696,VLOOKUP($A752,INDIRECT("'"&amp;D$707&amp;"'!"&amp;"$A$5:$CA$100"),VLOOKUP($A$695,$A$688:$E$703,COLUMN(D$688) - COLUMN($A$688) +1,FALSE),FALSE) + VLOOKUP($A752,INDIRECT("'"&amp;D$707&amp;"'!"&amp;"$A$5:$CA$100"),VLOOKUP($A$694,$A$688:$E$703,COLUMN(D$688) - COLUMN($A$688) +1,FALSE),FALSE),IF('Elec. Analysis'!$A$156=$A$699,VLOOKUP($A752,INDIRECT("'"&amp;D$707&amp;"'!"&amp;"$A$5:$CA$100"),VLOOKUP($A$698,$A$688:$E$703,COLUMN(D$688) - COLUMN($A$688) +1,FALSE),FALSE) - VLOOKUP($A752,INDIRECT("'"&amp;D$707&amp;"'!"&amp;"$A$5:$CA$100"),VLOOKUP($A$700,$A$688:$E$703,COLUMN(D$688) - COLUMN($A$688) +1,FALSE),FALSE),VLOOKUP($A752,INDIRECT("'"&amp;D$707&amp;"'!"&amp;"$A$5:$CA$100"),VLOOKUP('Elec. Analysis'!$A$156,$A$688:$E$703,COLUMN(D$688) - COLUMN($A$688) +1,FALSE),FALSE)))</f>
        <v>5.234</v>
      </c>
      <c r="E752" s="706">
        <f ca="1">IF('Elec. Analysis'!$A$156=$A$696,VLOOKUP($A752,INDIRECT("'"&amp;E$707&amp;"'!"&amp;"$A$5:$CA$100"),VLOOKUP($A$695,$A$688:$E$703,COLUMN(E$688) - COLUMN($A$688) +1,FALSE),FALSE) + VLOOKUP($A752,INDIRECT("'"&amp;E$707&amp;"'!"&amp;"$A$5:$CA$100"),VLOOKUP($A$694,$A$688:$E$703,COLUMN(E$688) - COLUMN($A$688) +1,FALSE),FALSE),IF('Elec. Analysis'!$A$156=$A$699,VLOOKUP($A752,INDIRECT("'"&amp;E$707&amp;"'!"&amp;"$A$5:$CA$100"),VLOOKUP($A$698,$A$688:$E$703,COLUMN(E$688) - COLUMN($A$688) +1,FALSE),FALSE) - VLOOKUP($A752,INDIRECT("'"&amp;E$707&amp;"'!"&amp;"$A$5:$CA$100"),VLOOKUP($A$700,$A$688:$E$703,COLUMN(E$688) - COLUMN($A$688) +1,FALSE),FALSE),VLOOKUP($A752,INDIRECT("'"&amp;E$707&amp;"'!"&amp;"$A$5:$CA$100"),VLOOKUP('Elec. Analysis'!$A$156,$A$688:$E$703,COLUMN(E$688) - COLUMN($A$688) +1,FALSE),FALSE)))</f>
        <v>5.577</v>
      </c>
      <c r="F752" s="1374"/>
      <c r="G752" s="708">
        <f>IF(AND($A783&lt;=DATE('Elec. Analysis'!$T$194, 12,1),$A783&gt;=DATE('Elec. Analysis'!$T$193, 1, 1)), $A783, NA())</f>
        <v>43191</v>
      </c>
      <c r="H752" s="1274">
        <f ca="1">IF($G752="",NA(),VLOOKUP($G752, INDIRECT("'" &amp;'Elec. Analysis'!$A$193&amp;"'!"&amp;"$A$5:$CA$100"),VLOOKUP('Elec. Analysis'!$A$194, $K$677:$M$736, 2, FALSE),FALSE))</f>
        <v>98.143887448812052</v>
      </c>
      <c r="I752" s="1374"/>
      <c r="J752" s="1374"/>
      <c r="K752" s="1374"/>
      <c r="L752" s="1374"/>
      <c r="M752" s="911"/>
      <c r="N752" s="1374"/>
      <c r="O752" s="1024">
        <v>42186</v>
      </c>
      <c r="P752" s="827">
        <f ca="1">VLOOKUP($O752,INDIRECT("'"&amp;P$709&amp;"'!"&amp;"$A$5:$CA$100"),VLOOKUP('NG Analysis'!$A$157,$O$685:$R$699,COLUMN(P$685) - COLUMN($O$685) + 1,FALSE),FALSE)</f>
        <v>1.8220000000000001</v>
      </c>
      <c r="Q752" s="827">
        <f ca="1">VLOOKUP($O752,INDIRECT("'"&amp;Q$709&amp;"'!"&amp;"$A$5:$CA$100"),VLOOKUP('NG Analysis'!$A$157,$O$685:$R$699,COLUMN(Q$685) - COLUMN($O$685) + 1,FALSE),FALSE)</f>
        <v>2.133</v>
      </c>
      <c r="R752" s="827">
        <f ca="1">VLOOKUP($O752,INDIRECT("'"&amp;R$709&amp;"'!"&amp;"$A$5:$CA$100"),VLOOKUP('NG Analysis'!$A$157,$O$685:$R$699,COLUMN(R$685) - COLUMN($O$685) + 1,FALSE),FALSE)</f>
        <v>2.63</v>
      </c>
      <c r="S752" s="1374"/>
      <c r="T752" s="708">
        <f>IF(AND($O786&lt;=DATE('NG Analysis'!$T$195, 12,1),$O786&gt;=DATE('NG Analysis'!$T$194, 1, 1)), $O786, NA())</f>
        <v>43221</v>
      </c>
      <c r="U752" s="1273">
        <f ca="1">IF($T752="",NA(),VLOOKUP($T752, INDIRECT("'" &amp;'NG Analysis'!$A$194&amp;"'!"&amp;"$A$5:$CA$100"),VLOOKUP('NG Analysis'!$A$195, $X$676:$Z$735, 2, FALSE),FALSE))</f>
        <v>54.93378792262952</v>
      </c>
      <c r="V752" s="1374"/>
      <c r="W752" s="1374"/>
      <c r="X752" s="1374"/>
      <c r="Y752" s="1374"/>
      <c r="Z752" s="911"/>
      <c r="AA752" s="1439"/>
    </row>
    <row r="753" spans="1:27" x14ac:dyDescent="0.3">
      <c r="A753" s="1036">
        <v>42278</v>
      </c>
      <c r="B753" s="706">
        <f ca="1">IF('Elec. Analysis'!$A$156=$A$696,VLOOKUP($A753,INDIRECT("'"&amp;B$707&amp;"'!"&amp;"$A$5:$CA$100"),VLOOKUP($A$695,$A$688:$E$703,COLUMN(B$688) - COLUMN($A$688) +1,FALSE),FALSE) + VLOOKUP($A753,INDIRECT("'"&amp;B$707&amp;"'!"&amp;"$A$5:$CA$100"),VLOOKUP($A$694,$A$688:$E$703,COLUMN(B$688) - COLUMN($A$688) +1,FALSE),FALSE),IF('Elec. Analysis'!$A$156=$A$699,VLOOKUP($A753,INDIRECT("'"&amp;B$707&amp;"'!"&amp;"$A$5:$CA$100"),VLOOKUP($A$698,$A$688:$E$703,COLUMN(B$688) - COLUMN($A$688) +1,FALSE),FALSE) - VLOOKUP($A753,INDIRECT("'"&amp;B$707&amp;"'!"&amp;"$A$5:$CA$100"),VLOOKUP($A$700,$A$688:$E$703,COLUMN(B$688) - COLUMN($A$688) +1,FALSE),FALSE),VLOOKUP($A753,INDIRECT("'"&amp;B$707&amp;"'!"&amp;"$A$5:$CA$100"),VLOOKUP('Elec. Analysis'!$A$156,$A$688:$E$703,COLUMN(B$688) - COLUMN($A$688) +1,FALSE),FALSE)))</f>
        <v>5.5547000000000004</v>
      </c>
      <c r="C753" s="706">
        <f ca="1">IF('Elec. Analysis'!$A$156=$A$696,VLOOKUP($A753,INDIRECT("'"&amp;C$707&amp;"'!"&amp;"$A$5:$CA$100"),VLOOKUP($A$695,$A$688:$E$703,COLUMN(C$688) - COLUMN($A$688) +1,FALSE),FALSE) + VLOOKUP($A753,INDIRECT("'"&amp;C$707&amp;"'!"&amp;"$A$5:$CA$100"),VLOOKUP($A$694,$A$688:$E$703,COLUMN(C$688) - COLUMN($A$688) +1,FALSE),FALSE),IF('Elec. Analysis'!$A$156=$A$699,VLOOKUP($A753,INDIRECT("'"&amp;C$707&amp;"'!"&amp;"$A$5:$CA$100"),VLOOKUP($A$698,$A$688:$E$703,COLUMN(C$688) - COLUMN($A$688) +1,FALSE),FALSE) - VLOOKUP($A753,INDIRECT("'"&amp;C$707&amp;"'!"&amp;"$A$5:$CA$100"),VLOOKUP($A$700,$A$688:$E$703,COLUMN(C$688) - COLUMN($A$688) +1,FALSE),FALSE),VLOOKUP($A753,INDIRECT("'"&amp;C$707&amp;"'!"&amp;"$A$5:$CA$100"),VLOOKUP('Elec. Analysis'!$A$156,$A$688:$E$703,COLUMN(C$688) - COLUMN($A$688) +1,FALSE),FALSE)))</f>
        <v>5.4980000000000002</v>
      </c>
      <c r="D753" s="706">
        <f ca="1">IF('Elec. Analysis'!$A$156=$A$696,VLOOKUP($A753,INDIRECT("'"&amp;D$707&amp;"'!"&amp;"$A$5:$CA$100"),VLOOKUP($A$695,$A$688:$E$703,COLUMN(D$688) - COLUMN($A$688) +1,FALSE),FALSE) + VLOOKUP($A753,INDIRECT("'"&amp;D$707&amp;"'!"&amp;"$A$5:$CA$100"),VLOOKUP($A$694,$A$688:$E$703,COLUMN(D$688) - COLUMN($A$688) +1,FALSE),FALSE),IF('Elec. Analysis'!$A$156=$A$699,VLOOKUP($A753,INDIRECT("'"&amp;D$707&amp;"'!"&amp;"$A$5:$CA$100"),VLOOKUP($A$698,$A$688:$E$703,COLUMN(D$688) - COLUMN($A$688) +1,FALSE),FALSE) - VLOOKUP($A753,INDIRECT("'"&amp;D$707&amp;"'!"&amp;"$A$5:$CA$100"),VLOOKUP($A$700,$A$688:$E$703,COLUMN(D$688) - COLUMN($A$688) +1,FALSE),FALSE),VLOOKUP($A753,INDIRECT("'"&amp;D$707&amp;"'!"&amp;"$A$5:$CA$100"),VLOOKUP('Elec. Analysis'!$A$156,$A$688:$E$703,COLUMN(D$688) - COLUMN($A$688) +1,FALSE),FALSE)))</f>
        <v>5.36</v>
      </c>
      <c r="E753" s="706">
        <f ca="1">IF('Elec. Analysis'!$A$156=$A$696,VLOOKUP($A753,INDIRECT("'"&amp;E$707&amp;"'!"&amp;"$A$5:$CA$100"),VLOOKUP($A$695,$A$688:$E$703,COLUMN(E$688) - COLUMN($A$688) +1,FALSE),FALSE) + VLOOKUP($A753,INDIRECT("'"&amp;E$707&amp;"'!"&amp;"$A$5:$CA$100"),VLOOKUP($A$694,$A$688:$E$703,COLUMN(E$688) - COLUMN($A$688) +1,FALSE),FALSE),IF('Elec. Analysis'!$A$156=$A$699,VLOOKUP($A753,INDIRECT("'"&amp;E$707&amp;"'!"&amp;"$A$5:$CA$100"),VLOOKUP($A$698,$A$688:$E$703,COLUMN(E$688) - COLUMN($A$688) +1,FALSE),FALSE) - VLOOKUP($A753,INDIRECT("'"&amp;E$707&amp;"'!"&amp;"$A$5:$CA$100"),VLOOKUP($A$700,$A$688:$E$703,COLUMN(E$688) - COLUMN($A$688) +1,FALSE),FALSE),VLOOKUP($A753,INDIRECT("'"&amp;E$707&amp;"'!"&amp;"$A$5:$CA$100"),VLOOKUP('Elec. Analysis'!$A$156,$A$688:$E$703,COLUMN(E$688) - COLUMN($A$688) +1,FALSE),FALSE)))</f>
        <v>5.5819999999999999</v>
      </c>
      <c r="F753" s="1374"/>
      <c r="G753" s="708">
        <f>IF(AND($A784&lt;=DATE('Elec. Analysis'!$T$194, 12,1),$A784&gt;=DATE('Elec. Analysis'!$T$193, 1, 1)), $A784, NA())</f>
        <v>43221</v>
      </c>
      <c r="H753" s="1274">
        <f ca="1">IF($G753="",NA(),VLOOKUP($G753, INDIRECT("'" &amp;'Elec. Analysis'!$A$193&amp;"'!"&amp;"$A$5:$CA$100"),VLOOKUP('Elec. Analysis'!$A$194, $K$677:$M$736, 2, FALSE),FALSE))</f>
        <v>87.366600450974673</v>
      </c>
      <c r="I753" s="1374"/>
      <c r="J753" s="1374"/>
      <c r="K753" s="1374"/>
      <c r="L753" s="1374"/>
      <c r="M753" s="911"/>
      <c r="N753" s="1374"/>
      <c r="O753" s="1024">
        <v>42217</v>
      </c>
      <c r="P753" s="827">
        <f ca="1">VLOOKUP($O753,INDIRECT("'"&amp;P$709&amp;"'!"&amp;"$A$5:$CA$100"),VLOOKUP('NG Analysis'!$A$157,$O$685:$R$699,COLUMN(P$685) - COLUMN($O$685) + 1,FALSE),FALSE)</f>
        <v>3.2040000000000002</v>
      </c>
      <c r="Q753" s="827">
        <f ca="1">VLOOKUP($O753,INDIRECT("'"&amp;Q$709&amp;"'!"&amp;"$A$5:$CA$100"),VLOOKUP('NG Analysis'!$A$157,$O$685:$R$699,COLUMN(Q$685) - COLUMN($O$685) + 1,FALSE),FALSE)</f>
        <v>2.4449999999999998</v>
      </c>
      <c r="R753" s="827">
        <f ca="1">VLOOKUP($O753,INDIRECT("'"&amp;R$709&amp;"'!"&amp;"$A$5:$CA$100"),VLOOKUP('NG Analysis'!$A$157,$O$685:$R$699,COLUMN(R$685) - COLUMN($O$685) + 1,FALSE),FALSE)</f>
        <v>2.8719999999999999</v>
      </c>
      <c r="S753" s="1374"/>
      <c r="T753" s="708">
        <f>IF(AND($O787&lt;=DATE('NG Analysis'!$T$195, 12,1),$O787&gt;=DATE('NG Analysis'!$T$194, 1, 1)), $O787, NA())</f>
        <v>43252</v>
      </c>
      <c r="U753" s="1273">
        <f ca="1">IF($T753="",NA(),VLOOKUP($T753, INDIRECT("'" &amp;'NG Analysis'!$A$194&amp;"'!"&amp;"$A$5:$CA$100"),VLOOKUP('NG Analysis'!$A$195, $X$676:$Z$735, 2, FALSE),FALSE))</f>
        <v>47.346760186718846</v>
      </c>
      <c r="V753" s="1374"/>
      <c r="W753" s="1374"/>
      <c r="X753" s="1374"/>
      <c r="Y753" s="1374"/>
      <c r="Z753" s="911"/>
      <c r="AA753" s="1439"/>
    </row>
    <row r="754" spans="1:27" x14ac:dyDescent="0.3">
      <c r="A754" s="1036">
        <v>42309</v>
      </c>
      <c r="B754" s="706">
        <f ca="1">IF('Elec. Analysis'!$A$156=$A$696,VLOOKUP($A754,INDIRECT("'"&amp;B$707&amp;"'!"&amp;"$A$5:$CA$100"),VLOOKUP($A$695,$A$688:$E$703,COLUMN(B$688) - COLUMN($A$688) +1,FALSE),FALSE) + VLOOKUP($A754,INDIRECT("'"&amp;B$707&amp;"'!"&amp;"$A$5:$CA$100"),VLOOKUP($A$694,$A$688:$E$703,COLUMN(B$688) - COLUMN($A$688) +1,FALSE),FALSE),IF('Elec. Analysis'!$A$156=$A$699,VLOOKUP($A754,INDIRECT("'"&amp;B$707&amp;"'!"&amp;"$A$5:$CA$100"),VLOOKUP($A$698,$A$688:$E$703,COLUMN(B$688) - COLUMN($A$688) +1,FALSE),FALSE) - VLOOKUP($A754,INDIRECT("'"&amp;B$707&amp;"'!"&amp;"$A$5:$CA$100"),VLOOKUP($A$700,$A$688:$E$703,COLUMN(B$688) - COLUMN($A$688) +1,FALSE),FALSE),VLOOKUP($A754,INDIRECT("'"&amp;B$707&amp;"'!"&amp;"$A$5:$CA$100"),VLOOKUP('Elec. Analysis'!$A$156,$A$688:$E$703,COLUMN(B$688) - COLUMN($A$688) +1,FALSE),FALSE)))</f>
        <v>5.0035999999999996</v>
      </c>
      <c r="C754" s="706">
        <f ca="1">IF('Elec. Analysis'!$A$156=$A$696,VLOOKUP($A754,INDIRECT("'"&amp;C$707&amp;"'!"&amp;"$A$5:$CA$100"),VLOOKUP($A$695,$A$688:$E$703,COLUMN(C$688) - COLUMN($A$688) +1,FALSE),FALSE) + VLOOKUP($A754,INDIRECT("'"&amp;C$707&amp;"'!"&amp;"$A$5:$CA$100"),VLOOKUP($A$694,$A$688:$E$703,COLUMN(C$688) - COLUMN($A$688) +1,FALSE),FALSE),IF('Elec. Analysis'!$A$156=$A$699,VLOOKUP($A754,INDIRECT("'"&amp;C$707&amp;"'!"&amp;"$A$5:$CA$100"),VLOOKUP($A$698,$A$688:$E$703,COLUMN(C$688) - COLUMN($A$688) +1,FALSE),FALSE) - VLOOKUP($A754,INDIRECT("'"&amp;C$707&amp;"'!"&amp;"$A$5:$CA$100"),VLOOKUP($A$700,$A$688:$E$703,COLUMN(C$688) - COLUMN($A$688) +1,FALSE),FALSE),VLOOKUP($A754,INDIRECT("'"&amp;C$707&amp;"'!"&amp;"$A$5:$CA$100"),VLOOKUP('Elec. Analysis'!$A$156,$A$688:$E$703,COLUMN(C$688) - COLUMN($A$688) +1,FALSE),FALSE)))</f>
        <v>5.2119999999999997</v>
      </c>
      <c r="D754" s="706">
        <f ca="1">IF('Elec. Analysis'!$A$156=$A$696,VLOOKUP($A754,INDIRECT("'"&amp;D$707&amp;"'!"&amp;"$A$5:$CA$100"),VLOOKUP($A$695,$A$688:$E$703,COLUMN(D$688) - COLUMN($A$688) +1,FALSE),FALSE) + VLOOKUP($A754,INDIRECT("'"&amp;D$707&amp;"'!"&amp;"$A$5:$CA$100"),VLOOKUP($A$694,$A$688:$E$703,COLUMN(D$688) - COLUMN($A$688) +1,FALSE),FALSE),IF('Elec. Analysis'!$A$156=$A$699,VLOOKUP($A754,INDIRECT("'"&amp;D$707&amp;"'!"&amp;"$A$5:$CA$100"),VLOOKUP($A$698,$A$688:$E$703,COLUMN(D$688) - COLUMN($A$688) +1,FALSE),FALSE) - VLOOKUP($A754,INDIRECT("'"&amp;D$707&amp;"'!"&amp;"$A$5:$CA$100"),VLOOKUP($A$700,$A$688:$E$703,COLUMN(D$688) - COLUMN($A$688) +1,FALSE),FALSE),VLOOKUP($A754,INDIRECT("'"&amp;D$707&amp;"'!"&amp;"$A$5:$CA$100"),VLOOKUP('Elec. Analysis'!$A$156,$A$688:$E$703,COLUMN(D$688) - COLUMN($A$688) +1,FALSE),FALSE)))</f>
        <v>5.0830000000000002</v>
      </c>
      <c r="E754" s="706">
        <f ca="1">IF('Elec. Analysis'!$A$156=$A$696,VLOOKUP($A754,INDIRECT("'"&amp;E$707&amp;"'!"&amp;"$A$5:$CA$100"),VLOOKUP($A$695,$A$688:$E$703,COLUMN(E$688) - COLUMN($A$688) +1,FALSE),FALSE) + VLOOKUP($A754,INDIRECT("'"&amp;E$707&amp;"'!"&amp;"$A$5:$CA$100"),VLOOKUP($A$694,$A$688:$E$703,COLUMN(E$688) - COLUMN($A$688) +1,FALSE),FALSE),IF('Elec. Analysis'!$A$156=$A$699,VLOOKUP($A754,INDIRECT("'"&amp;E$707&amp;"'!"&amp;"$A$5:$CA$100"),VLOOKUP($A$698,$A$688:$E$703,COLUMN(E$688) - COLUMN($A$688) +1,FALSE),FALSE) - VLOOKUP($A754,INDIRECT("'"&amp;E$707&amp;"'!"&amp;"$A$5:$CA$100"),VLOOKUP($A$700,$A$688:$E$703,COLUMN(E$688) - COLUMN($A$688) +1,FALSE),FALSE),VLOOKUP($A754,INDIRECT("'"&amp;E$707&amp;"'!"&amp;"$A$5:$CA$100"),VLOOKUP('Elec. Analysis'!$A$156,$A$688:$E$703,COLUMN(E$688) - COLUMN($A$688) +1,FALSE),FALSE)))</f>
        <v>5.0819999999999999</v>
      </c>
      <c r="F754" s="1374"/>
      <c r="G754" s="708">
        <f>IF(AND($A785&lt;=DATE('Elec. Analysis'!$T$194, 12,1),$A785&gt;=DATE('Elec. Analysis'!$T$193, 1, 1)), $A785, NA())</f>
        <v>43252</v>
      </c>
      <c r="H754" s="1273">
        <f ca="1">IF($G754="",NA(),VLOOKUP($G754, INDIRECT("'" &amp;'Elec. Analysis'!$A$193&amp;"'!"&amp;"$A$5:$CA$100"),VLOOKUP('Elec. Analysis'!$A$194, $K$677:$M$736, 2, FALSE),FALSE))</f>
        <v>82.016944173843683</v>
      </c>
      <c r="I754" s="1374"/>
      <c r="J754" s="1374"/>
      <c r="K754" s="1374"/>
      <c r="L754" s="1374"/>
      <c r="M754" s="911"/>
      <c r="N754" s="1374"/>
      <c r="O754" s="1024">
        <v>42248</v>
      </c>
      <c r="P754" s="827">
        <f ca="1">VLOOKUP($O754,INDIRECT("'"&amp;P$709&amp;"'!"&amp;"$A$5:$CA$100"),VLOOKUP('NG Analysis'!$A$157,$O$685:$R$699,COLUMN(P$685) - COLUMN($O$685) + 1,FALSE),FALSE)</f>
        <v>3.3580000000000001</v>
      </c>
      <c r="Q754" s="827">
        <f ca="1">VLOOKUP($O754,INDIRECT("'"&amp;Q$709&amp;"'!"&amp;"$A$5:$CA$100"),VLOOKUP('NG Analysis'!$A$157,$O$685:$R$699,COLUMN(Q$685) - COLUMN($O$685) + 1,FALSE),FALSE)</f>
        <v>3.0710000000000002</v>
      </c>
      <c r="R754" s="827">
        <f ca="1">VLOOKUP($O754,INDIRECT("'"&amp;R$709&amp;"'!"&amp;"$A$5:$CA$100"),VLOOKUP('NG Analysis'!$A$157,$O$685:$R$699,COLUMN(R$685) - COLUMN($O$685) + 1,FALSE),FALSE)</f>
        <v>2.9590000000000001</v>
      </c>
      <c r="S754" s="1374"/>
      <c r="T754" s="708">
        <f>IF(AND($O788&lt;=DATE('NG Analysis'!$T$195, 12,1),$O788&gt;=DATE('NG Analysis'!$T$194, 1, 1)), $O788, NA())</f>
        <v>43282</v>
      </c>
      <c r="U754" s="1273">
        <f ca="1">IF($T754="",NA(),VLOOKUP($T754, INDIRECT("'" &amp;'NG Analysis'!$A$194&amp;"'!"&amp;"$A$5:$CA$100"),VLOOKUP('NG Analysis'!$A$195, $X$676:$Z$735, 2, FALSE),FALSE))</f>
        <v>50.354486965920238</v>
      </c>
      <c r="V754" s="1374"/>
      <c r="W754" s="1374"/>
      <c r="X754" s="1374"/>
      <c r="Y754" s="1374"/>
      <c r="Z754" s="911"/>
      <c r="AA754" s="1439"/>
    </row>
    <row r="755" spans="1:27" x14ac:dyDescent="0.3">
      <c r="A755" s="1036">
        <v>42339</v>
      </c>
      <c r="B755" s="706">
        <f ca="1">IF('Elec. Analysis'!$A$156=$A$696,VLOOKUP($A755,INDIRECT("'"&amp;B$707&amp;"'!"&amp;"$A$5:$CA$100"),VLOOKUP($A$695,$A$688:$E$703,COLUMN(B$688) - COLUMN($A$688) +1,FALSE),FALSE) + VLOOKUP($A755,INDIRECT("'"&amp;B$707&amp;"'!"&amp;"$A$5:$CA$100"),VLOOKUP($A$694,$A$688:$E$703,COLUMN(B$688) - COLUMN($A$688) +1,FALSE),FALSE),IF('Elec. Analysis'!$A$156=$A$699,VLOOKUP($A755,INDIRECT("'"&amp;B$707&amp;"'!"&amp;"$A$5:$CA$100"),VLOOKUP($A$698,$A$688:$E$703,COLUMN(B$688) - COLUMN($A$688) +1,FALSE),FALSE) - VLOOKUP($A755,INDIRECT("'"&amp;B$707&amp;"'!"&amp;"$A$5:$CA$100"),VLOOKUP($A$700,$A$688:$E$703,COLUMN(B$688) - COLUMN($A$688) +1,FALSE),FALSE),VLOOKUP($A755,INDIRECT("'"&amp;B$707&amp;"'!"&amp;"$A$5:$CA$100"),VLOOKUP('Elec. Analysis'!$A$156,$A$688:$E$703,COLUMN(B$688) - COLUMN($A$688) +1,FALSE),FALSE)))</f>
        <v>5.1921999999999997</v>
      </c>
      <c r="C755" s="706">
        <f ca="1">IF('Elec. Analysis'!$A$156=$A$696,VLOOKUP($A755,INDIRECT("'"&amp;C$707&amp;"'!"&amp;"$A$5:$CA$100"),VLOOKUP($A$695,$A$688:$E$703,COLUMN(C$688) - COLUMN($A$688) +1,FALSE),FALSE) + VLOOKUP($A755,INDIRECT("'"&amp;C$707&amp;"'!"&amp;"$A$5:$CA$100"),VLOOKUP($A$694,$A$688:$E$703,COLUMN(C$688) - COLUMN($A$688) +1,FALSE),FALSE),IF('Elec. Analysis'!$A$156=$A$699,VLOOKUP($A755,INDIRECT("'"&amp;C$707&amp;"'!"&amp;"$A$5:$CA$100"),VLOOKUP($A$698,$A$688:$E$703,COLUMN(C$688) - COLUMN($A$688) +1,FALSE),FALSE) - VLOOKUP($A755,INDIRECT("'"&amp;C$707&amp;"'!"&amp;"$A$5:$CA$100"),VLOOKUP($A$700,$A$688:$E$703,COLUMN(C$688) - COLUMN($A$688) +1,FALSE),FALSE),VLOOKUP($A755,INDIRECT("'"&amp;C$707&amp;"'!"&amp;"$A$5:$CA$100"),VLOOKUP('Elec. Analysis'!$A$156,$A$688:$E$703,COLUMN(C$688) - COLUMN($A$688) +1,FALSE),FALSE)))</f>
        <v>5.4889999999999999</v>
      </c>
      <c r="D755" s="706">
        <f ca="1">IF('Elec. Analysis'!$A$156=$A$696,VLOOKUP($A755,INDIRECT("'"&amp;D$707&amp;"'!"&amp;"$A$5:$CA$100"),VLOOKUP($A$695,$A$688:$E$703,COLUMN(D$688) - COLUMN($A$688) +1,FALSE),FALSE) + VLOOKUP($A755,INDIRECT("'"&amp;D$707&amp;"'!"&amp;"$A$5:$CA$100"),VLOOKUP($A$694,$A$688:$E$703,COLUMN(D$688) - COLUMN($A$688) +1,FALSE),FALSE),IF('Elec. Analysis'!$A$156=$A$699,VLOOKUP($A755,INDIRECT("'"&amp;D$707&amp;"'!"&amp;"$A$5:$CA$100"),VLOOKUP($A$698,$A$688:$E$703,COLUMN(D$688) - COLUMN($A$688) +1,FALSE),FALSE) - VLOOKUP($A755,INDIRECT("'"&amp;D$707&amp;"'!"&amp;"$A$5:$CA$100"),VLOOKUP($A$700,$A$688:$E$703,COLUMN(D$688) - COLUMN($A$688) +1,FALSE),FALSE),VLOOKUP($A755,INDIRECT("'"&amp;D$707&amp;"'!"&amp;"$A$5:$CA$100"),VLOOKUP('Elec. Analysis'!$A$156,$A$688:$E$703,COLUMN(D$688) - COLUMN($A$688) +1,FALSE),FALSE)))</f>
        <v>5.3639999999999999</v>
      </c>
      <c r="E755" s="706">
        <f ca="1">IF('Elec. Analysis'!$A$156=$A$696,VLOOKUP($A755,INDIRECT("'"&amp;E$707&amp;"'!"&amp;"$A$5:$CA$100"),VLOOKUP($A$695,$A$688:$E$703,COLUMN(E$688) - COLUMN($A$688) +1,FALSE),FALSE) + VLOOKUP($A755,INDIRECT("'"&amp;E$707&amp;"'!"&amp;"$A$5:$CA$100"),VLOOKUP($A$694,$A$688:$E$703,COLUMN(E$688) - COLUMN($A$688) +1,FALSE),FALSE),IF('Elec. Analysis'!$A$156=$A$699,VLOOKUP($A755,INDIRECT("'"&amp;E$707&amp;"'!"&amp;"$A$5:$CA$100"),VLOOKUP($A$698,$A$688:$E$703,COLUMN(E$688) - COLUMN($A$688) +1,FALSE),FALSE) - VLOOKUP($A755,INDIRECT("'"&amp;E$707&amp;"'!"&amp;"$A$5:$CA$100"),VLOOKUP($A$700,$A$688:$E$703,COLUMN(E$688) - COLUMN($A$688) +1,FALSE),FALSE),VLOOKUP($A755,INDIRECT("'"&amp;E$707&amp;"'!"&amp;"$A$5:$CA$100"),VLOOKUP('Elec. Analysis'!$A$156,$A$688:$E$703,COLUMN(E$688) - COLUMN($A$688) +1,FALSE),FALSE)))</f>
        <v>5.2080000000000002</v>
      </c>
      <c r="F755" s="1374"/>
      <c r="G755" s="708">
        <f>IF(AND($A786&lt;=DATE('Elec. Analysis'!$T$194, 12,1),$A786&gt;=DATE('Elec. Analysis'!$T$193, 1, 1)), $A786, NA())</f>
        <v>43282</v>
      </c>
      <c r="H755" s="1273">
        <f ca="1">IF($G755="",NA(),VLOOKUP($G755, INDIRECT("'" &amp;'Elec. Analysis'!$A$193&amp;"'!"&amp;"$A$5:$CA$100"),VLOOKUP('Elec. Analysis'!$A$194, $K$677:$M$736, 2, FALSE),FALSE))</f>
        <v>95.772531450151874</v>
      </c>
      <c r="I755" s="1374"/>
      <c r="J755" s="1374"/>
      <c r="K755" s="1374"/>
      <c r="L755" s="1374"/>
      <c r="M755" s="911"/>
      <c r="N755" s="1374"/>
      <c r="O755" s="1024">
        <v>42278</v>
      </c>
      <c r="P755" s="827">
        <f ca="1">VLOOKUP($O755,INDIRECT("'"&amp;P$709&amp;"'!"&amp;"$A$5:$CA$100"),VLOOKUP('NG Analysis'!$A$157,$O$685:$R$699,COLUMN(P$685) - COLUMN($O$685) + 1,FALSE),FALSE)</f>
        <v>2.61</v>
      </c>
      <c r="Q755" s="827">
        <f ca="1">VLOOKUP($O755,INDIRECT("'"&amp;Q$709&amp;"'!"&amp;"$A$5:$CA$100"),VLOOKUP('NG Analysis'!$A$157,$O$685:$R$699,COLUMN(Q$685) - COLUMN($O$685) + 1,FALSE),FALSE)</f>
        <v>2.8279999999999998</v>
      </c>
      <c r="R755" s="827">
        <f ca="1">VLOOKUP($O755,INDIRECT("'"&amp;R$709&amp;"'!"&amp;"$A$5:$CA$100"),VLOOKUP('NG Analysis'!$A$157,$O$685:$R$699,COLUMN(R$685) - COLUMN($O$685) + 1,FALSE),FALSE)</f>
        <v>2.819</v>
      </c>
      <c r="S755" s="1374"/>
      <c r="T755" s="708">
        <f>IF(AND($O789&lt;=DATE('NG Analysis'!$T$195, 12,1),$O789&gt;=DATE('NG Analysis'!$T$194, 1, 1)), $O789, NA())</f>
        <v>43313</v>
      </c>
      <c r="U755" s="1273">
        <f ca="1">IF($T755="",NA(),VLOOKUP($T755, INDIRECT("'" &amp;'NG Analysis'!$A$194&amp;"'!"&amp;"$A$5:$CA$100"),VLOOKUP('NG Analysis'!$A$195, $X$676:$Z$735, 2, FALSE),FALSE))</f>
        <v>51.000696333151538</v>
      </c>
      <c r="V755" s="1374"/>
      <c r="W755" s="1374"/>
      <c r="X755" s="1374"/>
      <c r="Y755" s="1374"/>
      <c r="Z755" s="911"/>
      <c r="AA755" s="1439"/>
    </row>
    <row r="756" spans="1:27" ht="14.5" thickBot="1" x14ac:dyDescent="0.35">
      <c r="A756" s="1036">
        <v>42370</v>
      </c>
      <c r="B756" s="706">
        <f ca="1">IF('Elec. Analysis'!$A$156=$A$696,VLOOKUP($A756,INDIRECT("'"&amp;B$707&amp;"'!"&amp;"$A$5:$CA$100"),VLOOKUP($A$695,$A$688:$E$703,COLUMN(B$688) - COLUMN($A$688) +1,FALSE),FALSE) + VLOOKUP($A756,INDIRECT("'"&amp;B$707&amp;"'!"&amp;"$A$5:$CA$100"),VLOOKUP($A$694,$A$688:$E$703,COLUMN(B$688) - COLUMN($A$688) +1,FALSE),FALSE),IF('Elec. Analysis'!$A$156=$A$699,VLOOKUP($A756,INDIRECT("'"&amp;B$707&amp;"'!"&amp;"$A$5:$CA$100"),VLOOKUP($A$698,$A$688:$E$703,COLUMN(B$688) - COLUMN($A$688) +1,FALSE),FALSE) - VLOOKUP($A756,INDIRECT("'"&amp;B$707&amp;"'!"&amp;"$A$5:$CA$100"),VLOOKUP($A$700,$A$688:$E$703,COLUMN(B$688) - COLUMN($A$688) +1,FALSE),FALSE),VLOOKUP($A756,INDIRECT("'"&amp;B$707&amp;"'!"&amp;"$A$5:$CA$100"),VLOOKUP('Elec. Analysis'!$A$156,$A$688:$E$703,COLUMN(B$688) - COLUMN($A$688) +1,FALSE),FALSE)))</f>
        <v>4.7946999999999997</v>
      </c>
      <c r="C756" s="706">
        <f ca="1">IF('Elec. Analysis'!$A$156=$A$696,VLOOKUP($A756,INDIRECT("'"&amp;C$707&amp;"'!"&amp;"$A$5:$CA$100"),VLOOKUP($A$695,$A$688:$E$703,COLUMN(C$688) - COLUMN($A$688) +1,FALSE),FALSE) + VLOOKUP($A756,INDIRECT("'"&amp;C$707&amp;"'!"&amp;"$A$5:$CA$100"),VLOOKUP($A$694,$A$688:$E$703,COLUMN(C$688) - COLUMN($A$688) +1,FALSE),FALSE),IF('Elec. Analysis'!$A$156=$A$699,VLOOKUP($A756,INDIRECT("'"&amp;C$707&amp;"'!"&amp;"$A$5:$CA$100"),VLOOKUP($A$698,$A$688:$E$703,COLUMN(C$688) - COLUMN($A$688) +1,FALSE),FALSE) - VLOOKUP($A756,INDIRECT("'"&amp;C$707&amp;"'!"&amp;"$A$5:$CA$100"),VLOOKUP($A$700,$A$688:$E$703,COLUMN(C$688) - COLUMN($A$688) +1,FALSE),FALSE),VLOOKUP($A756,INDIRECT("'"&amp;C$707&amp;"'!"&amp;"$A$5:$CA$100"),VLOOKUP('Elec. Analysis'!$A$156,$A$688:$E$703,COLUMN(C$688) - COLUMN($A$688) +1,FALSE),FALSE)))</f>
        <v>5.3040000000000003</v>
      </c>
      <c r="D756" s="706">
        <f ca="1">IF('Elec. Analysis'!$A$156=$A$696,VLOOKUP($A756,INDIRECT("'"&amp;D$707&amp;"'!"&amp;"$A$5:$CA$100"),VLOOKUP($A$695,$A$688:$E$703,COLUMN(D$688) - COLUMN($A$688) +1,FALSE),FALSE) + VLOOKUP($A756,INDIRECT("'"&amp;D$707&amp;"'!"&amp;"$A$5:$CA$100"),VLOOKUP($A$694,$A$688:$E$703,COLUMN(D$688) - COLUMN($A$688) +1,FALSE),FALSE),IF('Elec. Analysis'!$A$156=$A$699,VLOOKUP($A756,INDIRECT("'"&amp;D$707&amp;"'!"&amp;"$A$5:$CA$100"),VLOOKUP($A$698,$A$688:$E$703,COLUMN(D$688) - COLUMN($A$688) +1,FALSE),FALSE) - VLOOKUP($A756,INDIRECT("'"&amp;D$707&amp;"'!"&amp;"$A$5:$CA$100"),VLOOKUP($A$700,$A$688:$E$703,COLUMN(D$688) - COLUMN($A$688) +1,FALSE),FALSE),VLOOKUP($A756,INDIRECT("'"&amp;D$707&amp;"'!"&amp;"$A$5:$CA$100"),VLOOKUP('Elec. Analysis'!$A$156,$A$688:$E$703,COLUMN(D$688) - COLUMN($A$688) +1,FALSE),FALSE)))</f>
        <v>5.1859999999999999</v>
      </c>
      <c r="E756" s="706">
        <f ca="1">IF('Elec. Analysis'!$A$156=$A$696,VLOOKUP($A756,INDIRECT("'"&amp;E$707&amp;"'!"&amp;"$A$5:$CA$100"),VLOOKUP($A$695,$A$688:$E$703,COLUMN(E$688) - COLUMN($A$688) +1,FALSE),FALSE) + VLOOKUP($A756,INDIRECT("'"&amp;E$707&amp;"'!"&amp;"$A$5:$CA$100"),VLOOKUP($A$694,$A$688:$E$703,COLUMN(E$688) - COLUMN($A$688) +1,FALSE),FALSE),IF('Elec. Analysis'!$A$156=$A$699,VLOOKUP($A756,INDIRECT("'"&amp;E$707&amp;"'!"&amp;"$A$5:$CA$100"),VLOOKUP($A$698,$A$688:$E$703,COLUMN(E$688) - COLUMN($A$688) +1,FALSE),FALSE) - VLOOKUP($A756,INDIRECT("'"&amp;E$707&amp;"'!"&amp;"$A$5:$CA$100"),VLOOKUP($A$700,$A$688:$E$703,COLUMN(E$688) - COLUMN($A$688) +1,FALSE),FALSE),VLOOKUP($A756,INDIRECT("'"&amp;E$707&amp;"'!"&amp;"$A$5:$CA$100"),VLOOKUP('Elec. Analysis'!$A$156,$A$688:$E$703,COLUMN(E$688) - COLUMN($A$688) +1,FALSE),FALSE)))</f>
        <v>4.8520000000000003</v>
      </c>
      <c r="F756" s="1374"/>
      <c r="G756" s="708">
        <f>IF(AND($A787&lt;=DATE('Elec. Analysis'!$T$194, 12,1),$A787&gt;=DATE('Elec. Analysis'!$T$193, 1, 1)), $A787, NA())</f>
        <v>43313</v>
      </c>
      <c r="H756" s="1273">
        <f ca="1">IF($G756="",NA(),VLOOKUP($G756, INDIRECT("'" &amp;'Elec. Analysis'!$A$193&amp;"'!"&amp;"$A$5:$CA$100"),VLOOKUP('Elec. Analysis'!$A$194, $K$677:$M$736, 2, FALSE),FALSE))</f>
        <v>97.676571480872184</v>
      </c>
      <c r="I756" s="1374"/>
      <c r="J756" s="1374"/>
      <c r="K756" s="1374"/>
      <c r="L756" s="896" t="s">
        <v>468</v>
      </c>
      <c r="M756" s="911"/>
      <c r="N756" s="1374"/>
      <c r="O756" s="1024">
        <v>42309</v>
      </c>
      <c r="P756" s="827">
        <f ca="1">VLOOKUP($O756,INDIRECT("'"&amp;P$709&amp;"'!"&amp;"$A$5:$CA$100"),VLOOKUP('NG Analysis'!$A$157,$O$685:$R$699,COLUMN(P$685) - COLUMN($O$685) + 1,FALSE),FALSE)</f>
        <v>2.4239999999999999</v>
      </c>
      <c r="Q756" s="827">
        <f ca="1">VLOOKUP($O756,INDIRECT("'"&amp;Q$709&amp;"'!"&amp;"$A$5:$CA$100"),VLOOKUP('NG Analysis'!$A$157,$O$685:$R$699,COLUMN(Q$685) - COLUMN($O$685) + 1,FALSE),FALSE)</f>
        <v>2.5539999999999998</v>
      </c>
      <c r="R756" s="827">
        <f ca="1">VLOOKUP($O756,INDIRECT("'"&amp;R$709&amp;"'!"&amp;"$A$5:$CA$100"),VLOOKUP('NG Analysis'!$A$157,$O$685:$R$699,COLUMN(R$685) - COLUMN($O$685) + 1,FALSE),FALSE)</f>
        <v>2.4769999999999999</v>
      </c>
      <c r="S756" s="1374"/>
      <c r="T756" s="708">
        <f>IF(AND($O790&lt;=DATE('NG Analysis'!$T$195, 12,1),$O790&gt;=DATE('NG Analysis'!$T$194, 1, 1)), $O790, NA())</f>
        <v>43344</v>
      </c>
      <c r="U756" s="1273">
        <f ca="1">IF($T756="",NA(),VLOOKUP($T756, INDIRECT("'" &amp;'NG Analysis'!$A$194&amp;"'!"&amp;"$A$5:$CA$100"),VLOOKUP('NG Analysis'!$A$195, $X$676:$Z$735, 2, FALSE),FALSE))</f>
        <v>70.60316676042919</v>
      </c>
      <c r="V756" s="1374"/>
      <c r="W756" s="1374"/>
      <c r="X756" s="1374"/>
      <c r="Y756" s="896" t="s">
        <v>468</v>
      </c>
      <c r="Z756" s="911"/>
      <c r="AA756" s="1439"/>
    </row>
    <row r="757" spans="1:27" ht="59.25" customHeight="1" x14ac:dyDescent="0.3">
      <c r="A757" s="1036">
        <v>42401</v>
      </c>
      <c r="B757" s="706">
        <f ca="1">IF('Elec. Analysis'!$A$156=$A$696,VLOOKUP($A757,INDIRECT("'"&amp;B$707&amp;"'!"&amp;"$A$5:$CA$100"),VLOOKUP($A$695,$A$688:$E$703,COLUMN(B$688) - COLUMN($A$688) +1,FALSE),FALSE) + VLOOKUP($A757,INDIRECT("'"&amp;B$707&amp;"'!"&amp;"$A$5:$CA$100"),VLOOKUP($A$694,$A$688:$E$703,COLUMN(B$688) - COLUMN($A$688) +1,FALSE),FALSE),IF('Elec. Analysis'!$A$156=$A$699,VLOOKUP($A757,INDIRECT("'"&amp;B$707&amp;"'!"&amp;"$A$5:$CA$100"),VLOOKUP($A$698,$A$688:$E$703,COLUMN(B$688) - COLUMN($A$688) +1,FALSE),FALSE) - VLOOKUP($A757,INDIRECT("'"&amp;B$707&amp;"'!"&amp;"$A$5:$CA$100"),VLOOKUP($A$700,$A$688:$E$703,COLUMN(B$688) - COLUMN($A$688) +1,FALSE),FALSE),VLOOKUP($A757,INDIRECT("'"&amp;B$707&amp;"'!"&amp;"$A$5:$CA$100"),VLOOKUP('Elec. Analysis'!$A$156,$A$688:$E$703,COLUMN(B$688) - COLUMN($A$688) +1,FALSE),FALSE)))</f>
        <v>4.3921000000000001</v>
      </c>
      <c r="C757" s="706">
        <f ca="1">IF('Elec. Analysis'!$A$156=$A$696,VLOOKUP($A757,INDIRECT("'"&amp;C$707&amp;"'!"&amp;"$A$5:$CA$100"),VLOOKUP($A$695,$A$688:$E$703,COLUMN(C$688) - COLUMN($A$688) +1,FALSE),FALSE) + VLOOKUP($A757,INDIRECT("'"&amp;C$707&amp;"'!"&amp;"$A$5:$CA$100"),VLOOKUP($A$694,$A$688:$E$703,COLUMN(C$688) - COLUMN($A$688) +1,FALSE),FALSE),IF('Elec. Analysis'!$A$156=$A$699,VLOOKUP($A757,INDIRECT("'"&amp;C$707&amp;"'!"&amp;"$A$5:$CA$100"),VLOOKUP($A$698,$A$688:$E$703,COLUMN(C$688) - COLUMN($A$688) +1,FALSE),FALSE) - VLOOKUP($A757,INDIRECT("'"&amp;C$707&amp;"'!"&amp;"$A$5:$CA$100"),VLOOKUP($A$700,$A$688:$E$703,COLUMN(C$688) - COLUMN($A$688) +1,FALSE),FALSE),VLOOKUP($A757,INDIRECT("'"&amp;C$707&amp;"'!"&amp;"$A$5:$CA$100"),VLOOKUP('Elec. Analysis'!$A$156,$A$688:$E$703,COLUMN(C$688) - COLUMN($A$688) +1,FALSE),FALSE)))</f>
        <v>4.7530000000000001</v>
      </c>
      <c r="D757" s="706">
        <f ca="1">IF('Elec. Analysis'!$A$156=$A$696,VLOOKUP($A757,INDIRECT("'"&amp;D$707&amp;"'!"&amp;"$A$5:$CA$100"),VLOOKUP($A$695,$A$688:$E$703,COLUMN(D$688) - COLUMN($A$688) +1,FALSE),FALSE) + VLOOKUP($A757,INDIRECT("'"&amp;D$707&amp;"'!"&amp;"$A$5:$CA$100"),VLOOKUP($A$694,$A$688:$E$703,COLUMN(D$688) - COLUMN($A$688) +1,FALSE),FALSE),IF('Elec. Analysis'!$A$156=$A$699,VLOOKUP($A757,INDIRECT("'"&amp;D$707&amp;"'!"&amp;"$A$5:$CA$100"),VLOOKUP($A$698,$A$688:$E$703,COLUMN(D$688) - COLUMN($A$688) +1,FALSE),FALSE) - VLOOKUP($A757,INDIRECT("'"&amp;D$707&amp;"'!"&amp;"$A$5:$CA$100"),VLOOKUP($A$700,$A$688:$E$703,COLUMN(D$688) - COLUMN($A$688) +1,FALSE),FALSE),VLOOKUP($A757,INDIRECT("'"&amp;D$707&amp;"'!"&amp;"$A$5:$CA$100"),VLOOKUP('Elec. Analysis'!$A$156,$A$688:$E$703,COLUMN(D$688) - COLUMN($A$688) +1,FALSE),FALSE)))</f>
        <v>4.66</v>
      </c>
      <c r="E757" s="706">
        <f ca="1">IF('Elec. Analysis'!$A$156=$A$696,VLOOKUP($A757,INDIRECT("'"&amp;E$707&amp;"'!"&amp;"$A$5:$CA$100"),VLOOKUP($A$695,$A$688:$E$703,COLUMN(E$688) - COLUMN($A$688) +1,FALSE),FALSE) + VLOOKUP($A757,INDIRECT("'"&amp;E$707&amp;"'!"&amp;"$A$5:$CA$100"),VLOOKUP($A$694,$A$688:$E$703,COLUMN(E$688) - COLUMN($A$688) +1,FALSE),FALSE),IF('Elec. Analysis'!$A$156=$A$699,VLOOKUP($A757,INDIRECT("'"&amp;E$707&amp;"'!"&amp;"$A$5:$CA$100"),VLOOKUP($A$698,$A$688:$E$703,COLUMN(E$688) - COLUMN($A$688) +1,FALSE),FALSE) - VLOOKUP($A757,INDIRECT("'"&amp;E$707&amp;"'!"&amp;"$A$5:$CA$100"),VLOOKUP($A$700,$A$688:$E$703,COLUMN(E$688) - COLUMN($A$688) +1,FALSE),FALSE),VLOOKUP($A757,INDIRECT("'"&amp;E$707&amp;"'!"&amp;"$A$5:$CA$100"),VLOOKUP('Elec. Analysis'!$A$156,$A$688:$E$703,COLUMN(E$688) - COLUMN($A$688) +1,FALSE),FALSE)))</f>
        <v>4.4610000000000003</v>
      </c>
      <c r="F757" s="1374"/>
      <c r="G757" s="708">
        <f>IF(AND($A788&lt;=DATE('Elec. Analysis'!$T$194, 12,1),$A788&gt;=DATE('Elec. Analysis'!$T$193, 1, 1)), $A788, NA())</f>
        <v>43344</v>
      </c>
      <c r="H757" s="1273">
        <f ca="1">IF($G757="",NA(),VLOOKUP($G757, INDIRECT("'" &amp;'Elec. Analysis'!$A$193&amp;"'!"&amp;"$A$5:$CA$100"),VLOOKUP('Elec. Analysis'!$A$194, $K$677:$M$736, 2, FALSE),FALSE))</f>
        <v>94.427956990055407</v>
      </c>
      <c r="I757" s="1374"/>
      <c r="J757" s="1374"/>
      <c r="K757" s="713"/>
      <c r="L757" s="895" t="str">
        <f>"Monthly Bill vs. Monthly Consumption in the " &amp;'Elec. Analysis'!$A$233 &amp; " Service Zone"</f>
        <v>Monthly Bill vs. Monthly Consumption in the ENMAX Service Zone</v>
      </c>
      <c r="M757" s="911"/>
      <c r="N757" s="1374"/>
      <c r="O757" s="1024">
        <v>42339</v>
      </c>
      <c r="P757" s="827">
        <f ca="1">VLOOKUP($O757,INDIRECT("'"&amp;P$709&amp;"'!"&amp;"$A$5:$CA$100"),VLOOKUP('NG Analysis'!$A$157,$O$685:$R$699,COLUMN(P$685) - COLUMN($O$685) + 1,FALSE),FALSE)</f>
        <v>2.2000000000000002</v>
      </c>
      <c r="Q757" s="827">
        <f ca="1">VLOOKUP($O757,INDIRECT("'"&amp;Q$709&amp;"'!"&amp;"$A$5:$CA$100"),VLOOKUP('NG Analysis'!$A$157,$O$685:$R$699,COLUMN(Q$685) - COLUMN($O$685) + 1,FALSE),FALSE)</f>
        <v>2.2000000000000002</v>
      </c>
      <c r="R757" s="827">
        <f ca="1">VLOOKUP($O757,INDIRECT("'"&amp;R$709&amp;"'!"&amp;"$A$5:$CA$100"),VLOOKUP('NG Analysis'!$A$157,$O$685:$R$699,COLUMN(R$685) - COLUMN($O$685) + 1,FALSE),FALSE)</f>
        <v>2.472</v>
      </c>
      <c r="S757" s="1374"/>
      <c r="T757" s="708">
        <f>IF(AND($O791&lt;=DATE('NG Analysis'!$T$195, 12,1),$O791&gt;=DATE('NG Analysis'!$T$194, 1, 1)), $O791, NA())</f>
        <v>43374</v>
      </c>
      <c r="U757" s="1273">
        <f ca="1">IF($T757="",NA(),VLOOKUP($T757, INDIRECT("'" &amp;'NG Analysis'!$A$194&amp;"'!"&amp;"$A$5:$CA$100"),VLOOKUP('NG Analysis'!$A$195, $X$676:$Z$735, 2, FALSE),FALSE))</f>
        <v>87.287621919425717</v>
      </c>
      <c r="V757" s="1374"/>
      <c r="W757" s="1374"/>
      <c r="X757" s="1374"/>
      <c r="Y757" s="895" t="str">
        <f>"Monthly Bill vs. Monthly Consumption in the " &amp;'NG Analysis'!$A$232 &amp; " Service Zone"</f>
        <v>Monthly Bill vs. Monthly Consumption in the ATCO-S Service Zone</v>
      </c>
      <c r="Z757" s="911"/>
      <c r="AA757" s="1439"/>
    </row>
    <row r="758" spans="1:27" ht="42" x14ac:dyDescent="0.3">
      <c r="A758" s="1036">
        <v>42430</v>
      </c>
      <c r="B758" s="706">
        <f ca="1">IF('Elec. Analysis'!$A$156=$A$696,VLOOKUP($A758,INDIRECT("'"&amp;B$707&amp;"'!"&amp;"$A$5:$CA$100"),VLOOKUP($A$695,$A$688:$E$703,COLUMN(B$688) - COLUMN($A$688) +1,FALSE),FALSE) + VLOOKUP($A758,INDIRECT("'"&amp;B$707&amp;"'!"&amp;"$A$5:$CA$100"),VLOOKUP($A$694,$A$688:$E$703,COLUMN(B$688) - COLUMN($A$688) +1,FALSE),FALSE),IF('Elec. Analysis'!$A$156=$A$699,VLOOKUP($A758,INDIRECT("'"&amp;B$707&amp;"'!"&amp;"$A$5:$CA$100"),VLOOKUP($A$698,$A$688:$E$703,COLUMN(B$688) - COLUMN($A$688) +1,FALSE),FALSE) - VLOOKUP($A758,INDIRECT("'"&amp;B$707&amp;"'!"&amp;"$A$5:$CA$100"),VLOOKUP($A$700,$A$688:$E$703,COLUMN(B$688) - COLUMN($A$688) +1,FALSE),FALSE),VLOOKUP($A758,INDIRECT("'"&amp;B$707&amp;"'!"&amp;"$A$5:$CA$100"),VLOOKUP('Elec. Analysis'!$A$156,$A$688:$E$703,COLUMN(B$688) - COLUMN($A$688) +1,FALSE),FALSE)))</f>
        <v>4.1858000000000004</v>
      </c>
      <c r="C758" s="706">
        <f ca="1">IF('Elec. Analysis'!$A$156=$A$696,VLOOKUP($A758,INDIRECT("'"&amp;C$707&amp;"'!"&amp;"$A$5:$CA$100"),VLOOKUP($A$695,$A$688:$E$703,COLUMN(C$688) - COLUMN($A$688) +1,FALSE),FALSE) + VLOOKUP($A758,INDIRECT("'"&amp;C$707&amp;"'!"&amp;"$A$5:$CA$100"),VLOOKUP($A$694,$A$688:$E$703,COLUMN(C$688) - COLUMN($A$688) +1,FALSE),FALSE),IF('Elec. Analysis'!$A$156=$A$699,VLOOKUP($A758,INDIRECT("'"&amp;C$707&amp;"'!"&amp;"$A$5:$CA$100"),VLOOKUP($A$698,$A$688:$E$703,COLUMN(C$688) - COLUMN($A$688) +1,FALSE),FALSE) - VLOOKUP($A758,INDIRECT("'"&amp;C$707&amp;"'!"&amp;"$A$5:$CA$100"),VLOOKUP($A$700,$A$688:$E$703,COLUMN(C$688) - COLUMN($A$688) +1,FALSE),FALSE),VLOOKUP($A758,INDIRECT("'"&amp;C$707&amp;"'!"&amp;"$A$5:$CA$100"),VLOOKUP('Elec. Analysis'!$A$156,$A$688:$E$703,COLUMN(C$688) - COLUMN($A$688) +1,FALSE),FALSE)))</f>
        <v>4.5209999999999999</v>
      </c>
      <c r="D758" s="706">
        <f ca="1">IF('Elec. Analysis'!$A$156=$A$696,VLOOKUP($A758,INDIRECT("'"&amp;D$707&amp;"'!"&amp;"$A$5:$CA$100"),VLOOKUP($A$695,$A$688:$E$703,COLUMN(D$688) - COLUMN($A$688) +1,FALSE),FALSE) + VLOOKUP($A758,INDIRECT("'"&amp;D$707&amp;"'!"&amp;"$A$5:$CA$100"),VLOOKUP($A$694,$A$688:$E$703,COLUMN(D$688) - COLUMN($A$688) +1,FALSE),FALSE),IF('Elec. Analysis'!$A$156=$A$699,VLOOKUP($A758,INDIRECT("'"&amp;D$707&amp;"'!"&amp;"$A$5:$CA$100"),VLOOKUP($A$698,$A$688:$E$703,COLUMN(D$688) - COLUMN($A$688) +1,FALSE),FALSE) - VLOOKUP($A758,INDIRECT("'"&amp;D$707&amp;"'!"&amp;"$A$5:$CA$100"),VLOOKUP($A$700,$A$688:$E$703,COLUMN(D$688) - COLUMN($A$688) +1,FALSE),FALSE),VLOOKUP($A758,INDIRECT("'"&amp;D$707&amp;"'!"&amp;"$A$5:$CA$100"),VLOOKUP('Elec. Analysis'!$A$156,$A$688:$E$703,COLUMN(D$688) - COLUMN($A$688) +1,FALSE),FALSE)))</f>
        <v>4.4290000000000003</v>
      </c>
      <c r="E758" s="706">
        <f ca="1">IF('Elec. Analysis'!$A$156=$A$696,VLOOKUP($A758,INDIRECT("'"&amp;E$707&amp;"'!"&amp;"$A$5:$CA$100"),VLOOKUP($A$695,$A$688:$E$703,COLUMN(E$688) - COLUMN($A$688) +1,FALSE),FALSE) + VLOOKUP($A758,INDIRECT("'"&amp;E$707&amp;"'!"&amp;"$A$5:$CA$100"),VLOOKUP($A$694,$A$688:$E$703,COLUMN(E$688) - COLUMN($A$688) +1,FALSE),FALSE),IF('Elec. Analysis'!$A$156=$A$699,VLOOKUP($A758,INDIRECT("'"&amp;E$707&amp;"'!"&amp;"$A$5:$CA$100"),VLOOKUP($A$698,$A$688:$E$703,COLUMN(E$688) - COLUMN($A$688) +1,FALSE),FALSE) - VLOOKUP($A758,INDIRECT("'"&amp;E$707&amp;"'!"&amp;"$A$5:$CA$100"),VLOOKUP($A$700,$A$688:$E$703,COLUMN(E$688) - COLUMN($A$688) +1,FALSE),FALSE),VLOOKUP($A758,INDIRECT("'"&amp;E$707&amp;"'!"&amp;"$A$5:$CA$100"),VLOOKUP('Elec. Analysis'!$A$156,$A$688:$E$703,COLUMN(E$688) - COLUMN($A$688) +1,FALSE),FALSE)))</f>
        <v>4.2649999999999997</v>
      </c>
      <c r="F758" s="1374"/>
      <c r="G758" s="708">
        <f>IF(AND($A789&lt;=DATE('Elec. Analysis'!$T$194, 12,1),$A789&gt;=DATE('Elec. Analysis'!$T$193, 1, 1)), $A789, NA())</f>
        <v>43374</v>
      </c>
      <c r="H758" s="1273">
        <f ca="1">IF($G758="",NA(),VLOOKUP($G758, INDIRECT("'" &amp;'Elec. Analysis'!$A$193&amp;"'!"&amp;"$A$5:$CA$100"),VLOOKUP('Elec. Analysis'!$A$194, $K$677:$M$736, 2, FALSE),FALSE))</f>
        <v>99.808261723978561</v>
      </c>
      <c r="I758" s="1374"/>
      <c r="J758" s="1374"/>
      <c r="K758" s="1374"/>
      <c r="L758" s="894" t="str">
        <f>"Monthly Bill vs. Energy Rate in the " &amp;'Elec. Analysis'!$A$233 &amp; " Service Zone"</f>
        <v>Monthly Bill vs. Energy Rate in the ENMAX Service Zone</v>
      </c>
      <c r="M758" s="911"/>
      <c r="N758" s="1374"/>
      <c r="O758" s="1024">
        <v>42370</v>
      </c>
      <c r="P758" s="827">
        <f ca="1">VLOOKUP($O758,INDIRECT("'"&amp;P$709&amp;"'!"&amp;"$A$5:$CA$100"),VLOOKUP('NG Analysis'!$A$157,$O$685:$R$699,COLUMN(P$685) - COLUMN($O$685) + 1,FALSE),FALSE)</f>
        <v>2.004</v>
      </c>
      <c r="Q758" s="827">
        <f ca="1">VLOOKUP($O758,INDIRECT("'"&amp;Q$709&amp;"'!"&amp;"$A$5:$CA$100"),VLOOKUP('NG Analysis'!$A$157,$O$685:$R$699,COLUMN(Q$685) - COLUMN($O$685) + 1,FALSE),FALSE)</f>
        <v>2.004</v>
      </c>
      <c r="R758" s="827">
        <f ca="1">VLOOKUP($O758,INDIRECT("'"&amp;R$709&amp;"'!"&amp;"$A$5:$CA$100"),VLOOKUP('NG Analysis'!$A$157,$O$685:$R$699,COLUMN(R$685) - COLUMN($O$685) + 1,FALSE),FALSE)</f>
        <v>1.6439999999999999</v>
      </c>
      <c r="S758" s="1374"/>
      <c r="T758" s="708">
        <f>IF(AND($O792&lt;=DATE('NG Analysis'!$T$195, 12,1),$O792&gt;=DATE('NG Analysis'!$T$194, 1, 1)), $O792, NA())</f>
        <v>43405</v>
      </c>
      <c r="U758" s="1273">
        <f ca="1">IF($T758="",NA(),VLOOKUP($T758, INDIRECT("'" &amp;'NG Analysis'!$A$194&amp;"'!"&amp;"$A$5:$CA$100"),VLOOKUP('NG Analysis'!$A$195, $X$676:$Z$735, 2, FALSE),FALSE))</f>
        <v>114.4528104862833</v>
      </c>
      <c r="V758" s="1374"/>
      <c r="W758" s="1374"/>
      <c r="X758" s="1374"/>
      <c r="Y758" s="894" t="str">
        <f>"Monthly Bill vs. Energy Rate in the " &amp;'NG Analysis'!$A$232 &amp; " Service Zone"</f>
        <v>Monthly Bill vs. Energy Rate in the ATCO-S Service Zone</v>
      </c>
      <c r="Z758" s="911"/>
      <c r="AA758" s="1439"/>
    </row>
    <row r="759" spans="1:27" ht="42" x14ac:dyDescent="0.3">
      <c r="A759" s="1036">
        <v>42461</v>
      </c>
      <c r="B759" s="706">
        <f ca="1">IF('Elec. Analysis'!$A$156=$A$696,VLOOKUP($A759,INDIRECT("'"&amp;B$707&amp;"'!"&amp;"$A$5:$CA$100"),VLOOKUP($A$695,$A$688:$E$703,COLUMN(B$688) - COLUMN($A$688) +1,FALSE),FALSE) + VLOOKUP($A759,INDIRECT("'"&amp;B$707&amp;"'!"&amp;"$A$5:$CA$100"),VLOOKUP($A$694,$A$688:$E$703,COLUMN(B$688) - COLUMN($A$688) +1,FALSE),FALSE),IF('Elec. Analysis'!$A$156=$A$699,VLOOKUP($A759,INDIRECT("'"&amp;B$707&amp;"'!"&amp;"$A$5:$CA$100"),VLOOKUP($A$698,$A$688:$E$703,COLUMN(B$688) - COLUMN($A$688) +1,FALSE),FALSE) - VLOOKUP($A759,INDIRECT("'"&amp;B$707&amp;"'!"&amp;"$A$5:$CA$100"),VLOOKUP($A$700,$A$688:$E$703,COLUMN(B$688) - COLUMN($A$688) +1,FALSE),FALSE),VLOOKUP($A759,INDIRECT("'"&amp;B$707&amp;"'!"&amp;"$A$5:$CA$100"),VLOOKUP('Elec. Analysis'!$A$156,$A$688:$E$703,COLUMN(B$688) - COLUMN($A$688) +1,FALSE),FALSE)))</f>
        <v>3.3496999999999999</v>
      </c>
      <c r="C759" s="706">
        <f ca="1">IF('Elec. Analysis'!$A$156=$A$696,VLOOKUP($A759,INDIRECT("'"&amp;C$707&amp;"'!"&amp;"$A$5:$CA$100"),VLOOKUP($A$695,$A$688:$E$703,COLUMN(C$688) - COLUMN($A$688) +1,FALSE),FALSE) + VLOOKUP($A759,INDIRECT("'"&amp;C$707&amp;"'!"&amp;"$A$5:$CA$100"),VLOOKUP($A$694,$A$688:$E$703,COLUMN(C$688) - COLUMN($A$688) +1,FALSE),FALSE),IF('Elec. Analysis'!$A$156=$A$699,VLOOKUP($A759,INDIRECT("'"&amp;C$707&amp;"'!"&amp;"$A$5:$CA$100"),VLOOKUP($A$698,$A$688:$E$703,COLUMN(C$688) - COLUMN($A$688) +1,FALSE),FALSE) - VLOOKUP($A759,INDIRECT("'"&amp;C$707&amp;"'!"&amp;"$A$5:$CA$100"),VLOOKUP($A$700,$A$688:$E$703,COLUMN(C$688) - COLUMN($A$688) +1,FALSE),FALSE),VLOOKUP($A759,INDIRECT("'"&amp;C$707&amp;"'!"&amp;"$A$5:$CA$100"),VLOOKUP('Elec. Analysis'!$A$156,$A$688:$E$703,COLUMN(C$688) - COLUMN($A$688) +1,FALSE),FALSE)))</f>
        <v>3.65</v>
      </c>
      <c r="D759" s="706">
        <f ca="1">IF('Elec. Analysis'!$A$156=$A$696,VLOOKUP($A759,INDIRECT("'"&amp;D$707&amp;"'!"&amp;"$A$5:$CA$100"),VLOOKUP($A$695,$A$688:$E$703,COLUMN(D$688) - COLUMN($A$688) +1,FALSE),FALSE) + VLOOKUP($A759,INDIRECT("'"&amp;D$707&amp;"'!"&amp;"$A$5:$CA$100"),VLOOKUP($A$694,$A$688:$E$703,COLUMN(D$688) - COLUMN($A$688) +1,FALSE),FALSE),IF('Elec. Analysis'!$A$156=$A$699,VLOOKUP($A759,INDIRECT("'"&amp;D$707&amp;"'!"&amp;"$A$5:$CA$100"),VLOOKUP($A$698,$A$688:$E$703,COLUMN(D$688) - COLUMN($A$688) +1,FALSE),FALSE) - VLOOKUP($A759,INDIRECT("'"&amp;D$707&amp;"'!"&amp;"$A$5:$CA$100"),VLOOKUP($A$700,$A$688:$E$703,COLUMN(D$688) - COLUMN($A$688) +1,FALSE),FALSE),VLOOKUP($A759,INDIRECT("'"&amp;D$707&amp;"'!"&amp;"$A$5:$CA$100"),VLOOKUP('Elec. Analysis'!$A$156,$A$688:$E$703,COLUMN(D$688) - COLUMN($A$688) +1,FALSE),FALSE)))</f>
        <v>3.5840000000000001</v>
      </c>
      <c r="E759" s="706">
        <f ca="1">IF('Elec. Analysis'!$A$156=$A$696,VLOOKUP($A759,INDIRECT("'"&amp;E$707&amp;"'!"&amp;"$A$5:$CA$100"),VLOOKUP($A$695,$A$688:$E$703,COLUMN(E$688) - COLUMN($A$688) +1,FALSE),FALSE) + VLOOKUP($A759,INDIRECT("'"&amp;E$707&amp;"'!"&amp;"$A$5:$CA$100"),VLOOKUP($A$694,$A$688:$E$703,COLUMN(E$688) - COLUMN($A$688) +1,FALSE),FALSE),IF('Elec. Analysis'!$A$156=$A$699,VLOOKUP($A759,INDIRECT("'"&amp;E$707&amp;"'!"&amp;"$A$5:$CA$100"),VLOOKUP($A$698,$A$688:$E$703,COLUMN(E$688) - COLUMN($A$688) +1,FALSE),FALSE) - VLOOKUP($A759,INDIRECT("'"&amp;E$707&amp;"'!"&amp;"$A$5:$CA$100"),VLOOKUP($A$700,$A$688:$E$703,COLUMN(E$688) - COLUMN($A$688) +1,FALSE),FALSE),VLOOKUP($A759,INDIRECT("'"&amp;E$707&amp;"'!"&amp;"$A$5:$CA$100"),VLOOKUP('Elec. Analysis'!$A$156,$A$688:$E$703,COLUMN(E$688) - COLUMN($A$688) +1,FALSE),FALSE)))</f>
        <v>3.4380000000000002</v>
      </c>
      <c r="F759" s="1374"/>
      <c r="G759" s="708">
        <f>IF(AND($A790&lt;=DATE('Elec. Analysis'!$T$194, 12,1),$A790&gt;=DATE('Elec. Analysis'!$T$193, 1, 1)), $A790, NA())</f>
        <v>43405</v>
      </c>
      <c r="H759" s="1273">
        <f ca="1">IF($G759="",NA(),VLOOKUP($G759, INDIRECT("'" &amp;'Elec. Analysis'!$A$193&amp;"'!"&amp;"$A$5:$CA$100"),VLOOKUP('Elec. Analysis'!$A$194, $K$677:$M$736, 2, FALSE),FALSE))</f>
        <v>103.62204058208933</v>
      </c>
      <c r="I759" s="1374"/>
      <c r="J759" s="1374"/>
      <c r="K759" s="1374"/>
      <c r="L759" s="894" t="str">
        <f>"Monthly Consumption vs. Energy Rate in the " &amp;'Elec. Analysis'!$A$233 &amp; " Service Zone"</f>
        <v>Monthly Consumption vs. Energy Rate in the ENMAX Service Zone</v>
      </c>
      <c r="M759" s="911"/>
      <c r="N759" s="1374"/>
      <c r="O759" s="1024">
        <v>42401</v>
      </c>
      <c r="P759" s="827">
        <f ca="1">VLOOKUP($O759,INDIRECT("'"&amp;P$709&amp;"'!"&amp;"$A$5:$CA$100"),VLOOKUP('NG Analysis'!$A$157,$O$685:$R$699,COLUMN(P$685) - COLUMN($O$685) + 1,FALSE),FALSE)</f>
        <v>2.97</v>
      </c>
      <c r="Q759" s="827">
        <f ca="1">VLOOKUP($O759,INDIRECT("'"&amp;Q$709&amp;"'!"&amp;"$A$5:$CA$100"),VLOOKUP('NG Analysis'!$A$157,$O$685:$R$699,COLUMN(Q$685) - COLUMN($O$685) + 1,FALSE),FALSE)</f>
        <v>2.97</v>
      </c>
      <c r="R759" s="827">
        <f ca="1">VLOOKUP($O759,INDIRECT("'"&amp;R$709&amp;"'!"&amp;"$A$5:$CA$100"),VLOOKUP('NG Analysis'!$A$157,$O$685:$R$699,COLUMN(R$685) - COLUMN($O$685) + 1,FALSE),FALSE)</f>
        <v>2.0099999999999998</v>
      </c>
      <c r="S759" s="1374"/>
      <c r="T759" s="708">
        <f>IF(AND($O793&lt;=DATE('NG Analysis'!$T$195, 12,1),$O793&gt;=DATE('NG Analysis'!$T$194, 1, 1)), $O793, NA())</f>
        <v>43435</v>
      </c>
      <c r="U759" s="1273">
        <f ca="1">IF($T759="",NA(),VLOOKUP($T759, INDIRECT("'" &amp;'NG Analysis'!$A$194&amp;"'!"&amp;"$A$5:$CA$100"),VLOOKUP('NG Analysis'!$A$195, $X$676:$Z$735, 2, FALSE),FALSE))</f>
        <v>125.58640441073138</v>
      </c>
      <c r="V759" s="1374"/>
      <c r="W759" s="1374"/>
      <c r="X759" s="1374"/>
      <c r="Y759" s="894" t="str">
        <f>"Monthly Consumption vs. Energy Rate in the " &amp;'NG Analysis'!$A$232 &amp; " Service Zone"</f>
        <v>Monthly Consumption vs. Energy Rate in the ATCO-S Service Zone</v>
      </c>
      <c r="Z759" s="911"/>
      <c r="AA759" s="1439"/>
    </row>
    <row r="760" spans="1:27" x14ac:dyDescent="0.3">
      <c r="A760" s="1036">
        <v>42491</v>
      </c>
      <c r="B760" s="706">
        <f ca="1">IF('Elec. Analysis'!$A$156=$A$696,VLOOKUP($A760,INDIRECT("'"&amp;B$707&amp;"'!"&amp;"$A$5:$CA$100"),VLOOKUP($A$695,$A$688:$E$703,COLUMN(B$688) - COLUMN($A$688) +1,FALSE),FALSE) + VLOOKUP($A760,INDIRECT("'"&amp;B$707&amp;"'!"&amp;"$A$5:$CA$100"),VLOOKUP($A$694,$A$688:$E$703,COLUMN(B$688) - COLUMN($A$688) +1,FALSE),FALSE),IF('Elec. Analysis'!$A$156=$A$699,VLOOKUP($A760,INDIRECT("'"&amp;B$707&amp;"'!"&amp;"$A$5:$CA$100"),VLOOKUP($A$698,$A$688:$E$703,COLUMN(B$688) - COLUMN($A$688) +1,FALSE),FALSE) - VLOOKUP($A760,INDIRECT("'"&amp;B$707&amp;"'!"&amp;"$A$5:$CA$100"),VLOOKUP($A$700,$A$688:$E$703,COLUMN(B$688) - COLUMN($A$688) +1,FALSE),FALSE),VLOOKUP($A760,INDIRECT("'"&amp;B$707&amp;"'!"&amp;"$A$5:$CA$100"),VLOOKUP('Elec. Analysis'!$A$156,$A$688:$E$703,COLUMN(B$688) - COLUMN($A$688) +1,FALSE),FALSE)))</f>
        <v>3.3043</v>
      </c>
      <c r="C760" s="706">
        <f ca="1">IF('Elec. Analysis'!$A$156=$A$696,VLOOKUP($A760,INDIRECT("'"&amp;C$707&amp;"'!"&amp;"$A$5:$CA$100"),VLOOKUP($A$695,$A$688:$E$703,COLUMN(C$688) - COLUMN($A$688) +1,FALSE),FALSE) + VLOOKUP($A760,INDIRECT("'"&amp;C$707&amp;"'!"&amp;"$A$5:$CA$100"),VLOOKUP($A$694,$A$688:$E$703,COLUMN(C$688) - COLUMN($A$688) +1,FALSE),FALSE),IF('Elec. Analysis'!$A$156=$A$699,VLOOKUP($A760,INDIRECT("'"&amp;C$707&amp;"'!"&amp;"$A$5:$CA$100"),VLOOKUP($A$698,$A$688:$E$703,COLUMN(C$688) - COLUMN($A$688) +1,FALSE),FALSE) - VLOOKUP($A760,INDIRECT("'"&amp;C$707&amp;"'!"&amp;"$A$5:$CA$100"),VLOOKUP($A$700,$A$688:$E$703,COLUMN(C$688) - COLUMN($A$688) +1,FALSE),FALSE),VLOOKUP($A760,INDIRECT("'"&amp;C$707&amp;"'!"&amp;"$A$5:$CA$100"),VLOOKUP('Elec. Analysis'!$A$156,$A$688:$E$703,COLUMN(C$688) - COLUMN($A$688) +1,FALSE),FALSE)))</f>
        <v>3.3460000000000001</v>
      </c>
      <c r="D760" s="706">
        <f ca="1">IF('Elec. Analysis'!$A$156=$A$696,VLOOKUP($A760,INDIRECT("'"&amp;D$707&amp;"'!"&amp;"$A$5:$CA$100"),VLOOKUP($A$695,$A$688:$E$703,COLUMN(D$688) - COLUMN($A$688) +1,FALSE),FALSE) + VLOOKUP($A760,INDIRECT("'"&amp;D$707&amp;"'!"&amp;"$A$5:$CA$100"),VLOOKUP($A$694,$A$688:$E$703,COLUMN(D$688) - COLUMN($A$688) +1,FALSE),FALSE),IF('Elec. Analysis'!$A$156=$A$699,VLOOKUP($A760,INDIRECT("'"&amp;D$707&amp;"'!"&amp;"$A$5:$CA$100"),VLOOKUP($A$698,$A$688:$E$703,COLUMN(D$688) - COLUMN($A$688) +1,FALSE),FALSE) - VLOOKUP($A760,INDIRECT("'"&amp;D$707&amp;"'!"&amp;"$A$5:$CA$100"),VLOOKUP($A$700,$A$688:$E$703,COLUMN(D$688) - COLUMN($A$688) +1,FALSE),FALSE),VLOOKUP($A760,INDIRECT("'"&amp;D$707&amp;"'!"&amp;"$A$5:$CA$100"),VLOOKUP('Elec. Analysis'!$A$156,$A$688:$E$703,COLUMN(D$688) - COLUMN($A$688) +1,FALSE),FALSE)))</f>
        <v>3.294</v>
      </c>
      <c r="E760" s="706">
        <f ca="1">IF('Elec. Analysis'!$A$156=$A$696,VLOOKUP($A760,INDIRECT("'"&amp;E$707&amp;"'!"&amp;"$A$5:$CA$100"),VLOOKUP($A$695,$A$688:$E$703,COLUMN(E$688) - COLUMN($A$688) +1,FALSE),FALSE) + VLOOKUP($A760,INDIRECT("'"&amp;E$707&amp;"'!"&amp;"$A$5:$CA$100"),VLOOKUP($A$694,$A$688:$E$703,COLUMN(E$688) - COLUMN($A$688) +1,FALSE),FALSE),IF('Elec. Analysis'!$A$156=$A$699,VLOOKUP($A760,INDIRECT("'"&amp;E$707&amp;"'!"&amp;"$A$5:$CA$100"),VLOOKUP($A$698,$A$688:$E$703,COLUMN(E$688) - COLUMN($A$688) +1,FALSE),FALSE) - VLOOKUP($A760,INDIRECT("'"&amp;E$707&amp;"'!"&amp;"$A$5:$CA$100"),VLOOKUP($A$700,$A$688:$E$703,COLUMN(E$688) - COLUMN($A$688) +1,FALSE),FALSE),VLOOKUP($A760,INDIRECT("'"&amp;E$707&amp;"'!"&amp;"$A$5:$CA$100"),VLOOKUP('Elec. Analysis'!$A$156,$A$688:$E$703,COLUMN(E$688) - COLUMN($A$688) +1,FALSE),FALSE)))</f>
        <v>3.2810000000000001</v>
      </c>
      <c r="F760" s="1374"/>
      <c r="G760" s="708">
        <f>IF(AND($A791&lt;=DATE('Elec. Analysis'!$T$194, 12,1),$A791&gt;=DATE('Elec. Analysis'!$T$193, 1, 1)), $A791, NA())</f>
        <v>43435</v>
      </c>
      <c r="H760" s="1273">
        <f ca="1">IF($G760="",NA(),VLOOKUP($G760, INDIRECT("'" &amp;'Elec. Analysis'!$A$193&amp;"'!"&amp;"$A$5:$CA$100"),VLOOKUP('Elec. Analysis'!$A$194, $K$677:$M$736, 2, FALSE),FALSE))</f>
        <v>114.01081373421792</v>
      </c>
      <c r="I760" s="1374"/>
      <c r="J760" s="1374"/>
      <c r="K760" s="1374"/>
      <c r="L760" s="1374"/>
      <c r="M760" s="911"/>
      <c r="N760" s="1374"/>
      <c r="O760" s="1024">
        <v>42430</v>
      </c>
      <c r="P760" s="827">
        <f ca="1">VLOOKUP($O760,INDIRECT("'"&amp;P$709&amp;"'!"&amp;"$A$5:$CA$100"),VLOOKUP('NG Analysis'!$A$157,$O$685:$R$699,COLUMN(P$685) - COLUMN($O$685) + 1,FALSE),FALSE)</f>
        <v>2.165</v>
      </c>
      <c r="Q760" s="827">
        <f ca="1">VLOOKUP($O760,INDIRECT("'"&amp;Q$709&amp;"'!"&amp;"$A$5:$CA$100"),VLOOKUP('NG Analysis'!$A$157,$O$685:$R$699,COLUMN(Q$685) - COLUMN($O$685) + 1,FALSE),FALSE)</f>
        <v>2.165</v>
      </c>
      <c r="R760" s="827">
        <f ca="1">VLOOKUP($O760,INDIRECT("'"&amp;R$709&amp;"'!"&amp;"$A$5:$CA$100"),VLOOKUP('NG Analysis'!$A$157,$O$685:$R$699,COLUMN(R$685) - COLUMN($O$685) + 1,FALSE),FALSE)</f>
        <v>1.1259999999999999</v>
      </c>
      <c r="S760" s="1374"/>
      <c r="T760" s="708">
        <f>IF(AND($O794&lt;=DATE('NG Analysis'!$T$195, 12,1),$O794&gt;=DATE('NG Analysis'!$T$194, 1, 1)), $O794, NA())</f>
        <v>43466</v>
      </c>
      <c r="U760" s="1273">
        <f ca="1">IF($T760="",NA(),VLOOKUP($T760, INDIRECT("'" &amp;'NG Analysis'!$A$194&amp;"'!"&amp;"$A$5:$CA$100"),VLOOKUP('NG Analysis'!$A$195, $X$676:$Z$735, 2, FALSE),FALSE))</f>
        <v>120.86879919119347</v>
      </c>
      <c r="V760" s="1374"/>
      <c r="W760" s="1374"/>
      <c r="X760" s="1374"/>
      <c r="Y760" s="1374"/>
      <c r="Z760" s="911"/>
      <c r="AA760" s="1439"/>
    </row>
    <row r="761" spans="1:27" x14ac:dyDescent="0.3">
      <c r="A761" s="1036">
        <v>42522</v>
      </c>
      <c r="B761" s="706">
        <f ca="1">IF('Elec. Analysis'!$A$156=$A$696,VLOOKUP($A761,INDIRECT("'"&amp;B$707&amp;"'!"&amp;"$A$5:$CA$100"),VLOOKUP($A$695,$A$688:$E$703,COLUMN(B$688) - COLUMN($A$688) +1,FALSE),FALSE) + VLOOKUP($A761,INDIRECT("'"&amp;B$707&amp;"'!"&amp;"$A$5:$CA$100"),VLOOKUP($A$694,$A$688:$E$703,COLUMN(B$688) - COLUMN($A$688) +1,FALSE),FALSE),IF('Elec. Analysis'!$A$156=$A$699,VLOOKUP($A761,INDIRECT("'"&amp;B$707&amp;"'!"&amp;"$A$5:$CA$100"),VLOOKUP($A$698,$A$688:$E$703,COLUMN(B$688) - COLUMN($A$688) +1,FALSE),FALSE) - VLOOKUP($A761,INDIRECT("'"&amp;B$707&amp;"'!"&amp;"$A$5:$CA$100"),VLOOKUP($A$700,$A$688:$E$703,COLUMN(B$688) - COLUMN($A$688) +1,FALSE),FALSE),VLOOKUP($A761,INDIRECT("'"&amp;B$707&amp;"'!"&amp;"$A$5:$CA$100"),VLOOKUP('Elec. Analysis'!$A$156,$A$688:$E$703,COLUMN(B$688) - COLUMN($A$688) +1,FALSE),FALSE)))</f>
        <v>3.4636999999999998</v>
      </c>
      <c r="C761" s="706">
        <f ca="1">IF('Elec. Analysis'!$A$156=$A$696,VLOOKUP($A761,INDIRECT("'"&amp;C$707&amp;"'!"&amp;"$A$5:$CA$100"),VLOOKUP($A$695,$A$688:$E$703,COLUMN(C$688) - COLUMN($A$688) +1,FALSE),FALSE) + VLOOKUP($A761,INDIRECT("'"&amp;C$707&amp;"'!"&amp;"$A$5:$CA$100"),VLOOKUP($A$694,$A$688:$E$703,COLUMN(C$688) - COLUMN($A$688) +1,FALSE),FALSE),IF('Elec. Analysis'!$A$156=$A$699,VLOOKUP($A761,INDIRECT("'"&amp;C$707&amp;"'!"&amp;"$A$5:$CA$100"),VLOOKUP($A$698,$A$688:$E$703,COLUMN(C$688) - COLUMN($A$688) +1,FALSE),FALSE) - VLOOKUP($A761,INDIRECT("'"&amp;C$707&amp;"'!"&amp;"$A$5:$CA$100"),VLOOKUP($A$700,$A$688:$E$703,COLUMN(C$688) - COLUMN($A$688) +1,FALSE),FALSE),VLOOKUP($A761,INDIRECT("'"&amp;C$707&amp;"'!"&amp;"$A$5:$CA$100"),VLOOKUP('Elec. Analysis'!$A$156,$A$688:$E$703,COLUMN(C$688) - COLUMN($A$688) +1,FALSE),FALSE)))</f>
        <v>3.6110000000000002</v>
      </c>
      <c r="D761" s="706">
        <f ca="1">IF('Elec. Analysis'!$A$156=$A$696,VLOOKUP($A761,INDIRECT("'"&amp;D$707&amp;"'!"&amp;"$A$5:$CA$100"),VLOOKUP($A$695,$A$688:$E$703,COLUMN(D$688) - COLUMN($A$688) +1,FALSE),FALSE) + VLOOKUP($A761,INDIRECT("'"&amp;D$707&amp;"'!"&amp;"$A$5:$CA$100"),VLOOKUP($A$694,$A$688:$E$703,COLUMN(D$688) - COLUMN($A$688) +1,FALSE),FALSE),IF('Elec. Analysis'!$A$156=$A$699,VLOOKUP($A761,INDIRECT("'"&amp;D$707&amp;"'!"&amp;"$A$5:$CA$100"),VLOOKUP($A$698,$A$688:$E$703,COLUMN(D$688) - COLUMN($A$688) +1,FALSE),FALSE) - VLOOKUP($A761,INDIRECT("'"&amp;D$707&amp;"'!"&amp;"$A$5:$CA$100"),VLOOKUP($A$700,$A$688:$E$703,COLUMN(D$688) - COLUMN($A$688) +1,FALSE),FALSE),VLOOKUP($A761,INDIRECT("'"&amp;D$707&amp;"'!"&amp;"$A$5:$CA$100"),VLOOKUP('Elec. Analysis'!$A$156,$A$688:$E$703,COLUMN(D$688) - COLUMN($A$688) +1,FALSE),FALSE)))</f>
        <v>3.5430000000000001</v>
      </c>
      <c r="E761" s="706">
        <f ca="1">IF('Elec. Analysis'!$A$156=$A$696,VLOOKUP($A761,INDIRECT("'"&amp;E$707&amp;"'!"&amp;"$A$5:$CA$100"),VLOOKUP($A$695,$A$688:$E$703,COLUMN(E$688) - COLUMN($A$688) +1,FALSE),FALSE) + VLOOKUP($A761,INDIRECT("'"&amp;E$707&amp;"'!"&amp;"$A$5:$CA$100"),VLOOKUP($A$694,$A$688:$E$703,COLUMN(E$688) - COLUMN($A$688) +1,FALSE),FALSE),IF('Elec. Analysis'!$A$156=$A$699,VLOOKUP($A761,INDIRECT("'"&amp;E$707&amp;"'!"&amp;"$A$5:$CA$100"),VLOOKUP($A$698,$A$688:$E$703,COLUMN(E$688) - COLUMN($A$688) +1,FALSE),FALSE) - VLOOKUP($A761,INDIRECT("'"&amp;E$707&amp;"'!"&amp;"$A$5:$CA$100"),VLOOKUP($A$700,$A$688:$E$703,COLUMN(E$688) - COLUMN($A$688) +1,FALSE),FALSE),VLOOKUP($A761,INDIRECT("'"&amp;E$707&amp;"'!"&amp;"$A$5:$CA$100"),VLOOKUP('Elec. Analysis'!$A$156,$A$688:$E$703,COLUMN(E$688) - COLUMN($A$688) +1,FALSE),FALSE)))</f>
        <v>3.5790000000000002</v>
      </c>
      <c r="F761" s="1374"/>
      <c r="G761" s="708">
        <f>IF(AND($A792&lt;=DATE('Elec. Analysis'!$T$194, 12,1),$A792&gt;=DATE('Elec. Analysis'!$T$193, 1, 1)), $A792, NA())</f>
        <v>43466</v>
      </c>
      <c r="H761" s="1273">
        <f ca="1">IF($G761="",NA(),VLOOKUP($G761, INDIRECT("'" &amp;'Elec. Analysis'!$A$193&amp;"'!"&amp;"$A$5:$CA$100"),VLOOKUP('Elec. Analysis'!$A$194, $K$677:$M$736, 2, FALSE),FALSE))</f>
        <v>114.90395361763929</v>
      </c>
      <c r="I761" s="1374"/>
      <c r="J761" s="1374"/>
      <c r="K761" s="1374"/>
      <c r="L761" s="1374"/>
      <c r="M761" s="911"/>
      <c r="N761" s="1374"/>
      <c r="O761" s="1074">
        <v>42461</v>
      </c>
      <c r="P761" s="1625">
        <f ca="1">VLOOKUP($O761,INDIRECT("'"&amp;P$709&amp;"'!"&amp;"$A$5:$CA$100"),VLOOKUP('NG Analysis'!$A$157,$O$685:$R$699,COLUMN(P$685) - COLUMN($O$685) + 1,FALSE),FALSE)</f>
        <v>0.86199999999999999</v>
      </c>
      <c r="Q761" s="1625">
        <f ca="1">VLOOKUP($O761,INDIRECT("'"&amp;Q$709&amp;"'!"&amp;"$A$5:$CA$100"),VLOOKUP('NG Analysis'!$A$157,$O$685:$R$699,COLUMN(Q$685) - COLUMN($O$685) + 1,FALSE),FALSE)</f>
        <v>0.86199999999999999</v>
      </c>
      <c r="R761" s="1625">
        <f ca="1">VLOOKUP($O761,INDIRECT("'"&amp;R$709&amp;"'!"&amp;"$A$5:$CA$100"),VLOOKUP('NG Analysis'!$A$157,$O$685:$R$699,COLUMN(R$685) - COLUMN($O$685) + 1,FALSE),FALSE)</f>
        <v>1.179</v>
      </c>
      <c r="S761" s="1374"/>
      <c r="T761" s="708">
        <f>IF(AND($O795&lt;=DATE('NG Analysis'!$T$195, 12,1),$O795&gt;=DATE('NG Analysis'!$T$194, 1, 1)), $O795, NA())</f>
        <v>43497</v>
      </c>
      <c r="U761" s="1273">
        <f ca="1">IF($T761="",NA(),VLOOKUP($T761, INDIRECT("'" &amp;'NG Analysis'!$A$194&amp;"'!"&amp;"$A$5:$CA$100"),VLOOKUP('NG Analysis'!$A$195, $X$676:$Z$735, 2, FALSE),FALSE))</f>
        <v>179.51039671386988</v>
      </c>
      <c r="V761" s="1374"/>
      <c r="W761" s="1374"/>
      <c r="X761" s="1374"/>
      <c r="Y761" s="1374"/>
      <c r="Z761" s="911"/>
      <c r="AA761" s="1439"/>
    </row>
    <row r="762" spans="1:27" x14ac:dyDescent="0.3">
      <c r="A762" s="1036">
        <v>42552</v>
      </c>
      <c r="B762" s="706">
        <f ca="1">IF('Elec. Analysis'!$A$156=$A$696,VLOOKUP($A762,INDIRECT("'"&amp;B$707&amp;"'!"&amp;"$A$5:$CA$100"),VLOOKUP($A$695,$A$688:$E$703,COLUMN(B$688) - COLUMN($A$688) +1,FALSE),FALSE) + VLOOKUP($A762,INDIRECT("'"&amp;B$707&amp;"'!"&amp;"$A$5:$CA$100"),VLOOKUP($A$694,$A$688:$E$703,COLUMN(B$688) - COLUMN($A$688) +1,FALSE),FALSE),IF('Elec. Analysis'!$A$156=$A$699,VLOOKUP($A762,INDIRECT("'"&amp;B$707&amp;"'!"&amp;"$A$5:$CA$100"),VLOOKUP($A$698,$A$688:$E$703,COLUMN(B$688) - COLUMN($A$688) +1,FALSE),FALSE) - VLOOKUP($A762,INDIRECT("'"&amp;B$707&amp;"'!"&amp;"$A$5:$CA$100"),VLOOKUP($A$700,$A$688:$E$703,COLUMN(B$688) - COLUMN($A$688) +1,FALSE),FALSE),VLOOKUP($A762,INDIRECT("'"&amp;B$707&amp;"'!"&amp;"$A$5:$CA$100"),VLOOKUP('Elec. Analysis'!$A$156,$A$688:$E$703,COLUMN(B$688) - COLUMN($A$688) +1,FALSE),FALSE)))</f>
        <v>4.9828000000000001</v>
      </c>
      <c r="C762" s="706">
        <f ca="1">IF('Elec. Analysis'!$A$156=$A$696,VLOOKUP($A762,INDIRECT("'"&amp;C$707&amp;"'!"&amp;"$A$5:$CA$100"),VLOOKUP($A$695,$A$688:$E$703,COLUMN(C$688) - COLUMN($A$688) +1,FALSE),FALSE) + VLOOKUP($A762,INDIRECT("'"&amp;C$707&amp;"'!"&amp;"$A$5:$CA$100"),VLOOKUP($A$694,$A$688:$E$703,COLUMN(C$688) - COLUMN($A$688) +1,FALSE),FALSE),IF('Elec. Analysis'!$A$156=$A$699,VLOOKUP($A762,INDIRECT("'"&amp;C$707&amp;"'!"&amp;"$A$5:$CA$100"),VLOOKUP($A$698,$A$688:$E$703,COLUMN(C$688) - COLUMN($A$688) +1,FALSE),FALSE) - VLOOKUP($A762,INDIRECT("'"&amp;C$707&amp;"'!"&amp;"$A$5:$CA$100"),VLOOKUP($A$700,$A$688:$E$703,COLUMN(C$688) - COLUMN($A$688) +1,FALSE),FALSE),VLOOKUP($A762,INDIRECT("'"&amp;C$707&amp;"'!"&amp;"$A$5:$CA$100"),VLOOKUP('Elec. Analysis'!$A$156,$A$688:$E$703,COLUMN(C$688) - COLUMN($A$688) +1,FALSE),FALSE)))</f>
        <v>4.9749999999999996</v>
      </c>
      <c r="D762" s="706">
        <f ca="1">IF('Elec. Analysis'!$A$156=$A$696,VLOOKUP($A762,INDIRECT("'"&amp;D$707&amp;"'!"&amp;"$A$5:$CA$100"),VLOOKUP($A$695,$A$688:$E$703,COLUMN(D$688) - COLUMN($A$688) +1,FALSE),FALSE) + VLOOKUP($A762,INDIRECT("'"&amp;D$707&amp;"'!"&amp;"$A$5:$CA$100"),VLOOKUP($A$694,$A$688:$E$703,COLUMN(D$688) - COLUMN($A$688) +1,FALSE),FALSE),IF('Elec. Analysis'!$A$156=$A$699,VLOOKUP($A762,INDIRECT("'"&amp;D$707&amp;"'!"&amp;"$A$5:$CA$100"),VLOOKUP($A$698,$A$688:$E$703,COLUMN(D$688) - COLUMN($A$688) +1,FALSE),FALSE) - VLOOKUP($A762,INDIRECT("'"&amp;D$707&amp;"'!"&amp;"$A$5:$CA$100"),VLOOKUP($A$700,$A$688:$E$703,COLUMN(D$688) - COLUMN($A$688) +1,FALSE),FALSE),VLOOKUP($A762,INDIRECT("'"&amp;D$707&amp;"'!"&amp;"$A$5:$CA$100"),VLOOKUP('Elec. Analysis'!$A$156,$A$688:$E$703,COLUMN(D$688) - COLUMN($A$688) +1,FALSE),FALSE)))</f>
        <v>4.8869999999999996</v>
      </c>
      <c r="E762" s="706">
        <f ca="1">IF('Elec. Analysis'!$A$156=$A$696,VLOOKUP($A762,INDIRECT("'"&amp;E$707&amp;"'!"&amp;"$A$5:$CA$100"),VLOOKUP($A$695,$A$688:$E$703,COLUMN(E$688) - COLUMN($A$688) +1,FALSE),FALSE) + VLOOKUP($A762,INDIRECT("'"&amp;E$707&amp;"'!"&amp;"$A$5:$CA$100"),VLOOKUP($A$694,$A$688:$E$703,COLUMN(E$688) - COLUMN($A$688) +1,FALSE),FALSE),IF('Elec. Analysis'!$A$156=$A$699,VLOOKUP($A762,INDIRECT("'"&amp;E$707&amp;"'!"&amp;"$A$5:$CA$100"),VLOOKUP($A$698,$A$688:$E$703,COLUMN(E$688) - COLUMN($A$688) +1,FALSE),FALSE) - VLOOKUP($A762,INDIRECT("'"&amp;E$707&amp;"'!"&amp;"$A$5:$CA$100"),VLOOKUP($A$700,$A$688:$E$703,COLUMN(E$688) - COLUMN($A$688) +1,FALSE),FALSE),VLOOKUP($A762,INDIRECT("'"&amp;E$707&amp;"'!"&amp;"$A$5:$CA$100"),VLOOKUP('Elec. Analysis'!$A$156,$A$688:$E$703,COLUMN(E$688) - COLUMN($A$688) +1,FALSE),FALSE)))</f>
        <v>5.0410000000000004</v>
      </c>
      <c r="F762" s="1374"/>
      <c r="G762" s="708">
        <f>IF(AND($A793&lt;=DATE('Elec. Analysis'!$T$194, 12,1),$A793&gt;=DATE('Elec. Analysis'!$T$193, 1, 1)), $A793, NA())</f>
        <v>43497</v>
      </c>
      <c r="H762" s="1273">
        <f ca="1">IF($G762="",NA(),VLOOKUP($G762, INDIRECT("'" &amp;'Elec. Analysis'!$A$193&amp;"'!"&amp;"$A$5:$CA$100"),VLOOKUP('Elec. Analysis'!$A$194, $K$677:$M$736, 2, FALSE),FALSE))</f>
        <v>116.41903663158469</v>
      </c>
      <c r="I762" s="1374"/>
      <c r="J762" s="1374"/>
      <c r="K762" s="1374"/>
      <c r="L762" s="664" t="s">
        <v>628</v>
      </c>
      <c r="M762" s="911"/>
      <c r="N762" s="1374"/>
      <c r="O762" s="1024">
        <v>42491</v>
      </c>
      <c r="P762" s="1625">
        <f ca="1">VLOOKUP($O762,INDIRECT("'"&amp;P$709&amp;"'!"&amp;"$A$5:$CA$100"),VLOOKUP('NG Analysis'!$A$157,$O$685:$R$699,COLUMN(P$685) - COLUMN($O$685) + 1,FALSE),FALSE)</f>
        <v>0.79500000000000004</v>
      </c>
      <c r="Q762" s="1625">
        <f ca="1">VLOOKUP($O762,INDIRECT("'"&amp;Q$709&amp;"'!"&amp;"$A$5:$CA$100"),VLOOKUP('NG Analysis'!$A$157,$O$685:$R$699,COLUMN(Q$685) - COLUMN($O$685) + 1,FALSE),FALSE)</f>
        <v>0.79500000000000004</v>
      </c>
      <c r="R762" s="1625">
        <f ca="1">VLOOKUP($O762,INDIRECT("'"&amp;R$709&amp;"'!"&amp;"$A$5:$CA$100"),VLOOKUP('NG Analysis'!$A$157,$O$685:$R$699,COLUMN(R$685) - COLUMN($O$685) + 1,FALSE),FALSE)</f>
        <v>1.579</v>
      </c>
      <c r="S762" s="1374"/>
      <c r="T762" s="708">
        <f>IF(AND($O796&lt;=DATE('NG Analysis'!$T$195, 12,1),$O796&gt;=DATE('NG Analysis'!$T$194, 1, 1)), $O796, NA())</f>
        <v>43525</v>
      </c>
      <c r="U762" s="1273">
        <f ca="1">IF($T762="",NA(),VLOOKUP($T762, INDIRECT("'" &amp;'NG Analysis'!$A$194&amp;"'!"&amp;"$A$5:$CA$100"),VLOOKUP('NG Analysis'!$A$195, $X$676:$Z$735, 2, FALSE),FALSE))</f>
        <v>157.23130726227279</v>
      </c>
      <c r="V762" s="1374"/>
      <c r="W762" s="1374"/>
      <c r="X762" s="1374"/>
      <c r="Y762" s="664" t="s">
        <v>628</v>
      </c>
      <c r="Z762" s="911"/>
      <c r="AA762" s="1439"/>
    </row>
    <row r="763" spans="1:27" x14ac:dyDescent="0.3">
      <c r="A763" s="1036">
        <v>42583</v>
      </c>
      <c r="B763" s="706">
        <f ca="1">IF('Elec. Analysis'!$A$156=$A$696,VLOOKUP($A763,INDIRECT("'"&amp;B$707&amp;"'!"&amp;"$A$5:$CA$100"),VLOOKUP($A$695,$A$688:$E$703,COLUMN(B$688) - COLUMN($A$688) +1,FALSE),FALSE) + VLOOKUP($A763,INDIRECT("'"&amp;B$707&amp;"'!"&amp;"$A$5:$CA$100"),VLOOKUP($A$694,$A$688:$E$703,COLUMN(B$688) - COLUMN($A$688) +1,FALSE),FALSE),IF('Elec. Analysis'!$A$156=$A$699,VLOOKUP($A763,INDIRECT("'"&amp;B$707&amp;"'!"&amp;"$A$5:$CA$100"),VLOOKUP($A$698,$A$688:$E$703,COLUMN(B$688) - COLUMN($A$688) +1,FALSE),FALSE) - VLOOKUP($A763,INDIRECT("'"&amp;B$707&amp;"'!"&amp;"$A$5:$CA$100"),VLOOKUP($A$700,$A$688:$E$703,COLUMN(B$688) - COLUMN($A$688) +1,FALSE),FALSE),VLOOKUP($A763,INDIRECT("'"&amp;B$707&amp;"'!"&amp;"$A$5:$CA$100"),VLOOKUP('Elec. Analysis'!$A$156,$A$688:$E$703,COLUMN(B$688) - COLUMN($A$688) +1,FALSE),FALSE)))</f>
        <v>4.8665000000000003</v>
      </c>
      <c r="C763" s="706">
        <f ca="1">IF('Elec. Analysis'!$A$156=$A$696,VLOOKUP($A763,INDIRECT("'"&amp;C$707&amp;"'!"&amp;"$A$5:$CA$100"),VLOOKUP($A$695,$A$688:$E$703,COLUMN(C$688) - COLUMN($A$688) +1,FALSE),FALSE) + VLOOKUP($A763,INDIRECT("'"&amp;C$707&amp;"'!"&amp;"$A$5:$CA$100"),VLOOKUP($A$694,$A$688:$E$703,COLUMN(C$688) - COLUMN($A$688) +1,FALSE),FALSE),IF('Elec. Analysis'!$A$156=$A$699,VLOOKUP($A763,INDIRECT("'"&amp;C$707&amp;"'!"&amp;"$A$5:$CA$100"),VLOOKUP($A$698,$A$688:$E$703,COLUMN(C$688) - COLUMN($A$688) +1,FALSE),FALSE) - VLOOKUP($A763,INDIRECT("'"&amp;C$707&amp;"'!"&amp;"$A$5:$CA$100"),VLOOKUP($A$700,$A$688:$E$703,COLUMN(C$688) - COLUMN($A$688) +1,FALSE),FALSE),VLOOKUP($A763,INDIRECT("'"&amp;C$707&amp;"'!"&amp;"$A$5:$CA$100"),VLOOKUP('Elec. Analysis'!$A$156,$A$688:$E$703,COLUMN(C$688) - COLUMN($A$688) +1,FALSE),FALSE)))</f>
        <v>4.7539999999999996</v>
      </c>
      <c r="D763" s="706">
        <f ca="1">IF('Elec. Analysis'!$A$156=$A$696,VLOOKUP($A763,INDIRECT("'"&amp;D$707&amp;"'!"&amp;"$A$5:$CA$100"),VLOOKUP($A$695,$A$688:$E$703,COLUMN(D$688) - COLUMN($A$688) +1,FALSE),FALSE) + VLOOKUP($A763,INDIRECT("'"&amp;D$707&amp;"'!"&amp;"$A$5:$CA$100"),VLOOKUP($A$694,$A$688:$E$703,COLUMN(D$688) - COLUMN($A$688) +1,FALSE),FALSE),IF('Elec. Analysis'!$A$156=$A$699,VLOOKUP($A763,INDIRECT("'"&amp;D$707&amp;"'!"&amp;"$A$5:$CA$100"),VLOOKUP($A$698,$A$688:$E$703,COLUMN(D$688) - COLUMN($A$688) +1,FALSE),FALSE) - VLOOKUP($A763,INDIRECT("'"&amp;D$707&amp;"'!"&amp;"$A$5:$CA$100"),VLOOKUP($A$700,$A$688:$E$703,COLUMN(D$688) - COLUMN($A$688) +1,FALSE),FALSE),VLOOKUP($A763,INDIRECT("'"&amp;D$707&amp;"'!"&amp;"$A$5:$CA$100"),VLOOKUP('Elec. Analysis'!$A$156,$A$688:$E$703,COLUMN(D$688) - COLUMN($A$688) +1,FALSE),FALSE)))</f>
        <v>4.6779999999999999</v>
      </c>
      <c r="E763" s="706">
        <f ca="1">IF('Elec. Analysis'!$A$156=$A$696,VLOOKUP($A763,INDIRECT("'"&amp;E$707&amp;"'!"&amp;"$A$5:$CA$100"),VLOOKUP($A$695,$A$688:$E$703,COLUMN(E$688) - COLUMN($A$688) +1,FALSE),FALSE) + VLOOKUP($A763,INDIRECT("'"&amp;E$707&amp;"'!"&amp;"$A$5:$CA$100"),VLOOKUP($A$694,$A$688:$E$703,COLUMN(E$688) - COLUMN($A$688) +1,FALSE),FALSE),IF('Elec. Analysis'!$A$156=$A$699,VLOOKUP($A763,INDIRECT("'"&amp;E$707&amp;"'!"&amp;"$A$5:$CA$100"),VLOOKUP($A$698,$A$688:$E$703,COLUMN(E$688) - COLUMN($A$688) +1,FALSE),FALSE) - VLOOKUP($A763,INDIRECT("'"&amp;E$707&amp;"'!"&amp;"$A$5:$CA$100"),VLOOKUP($A$700,$A$688:$E$703,COLUMN(E$688) - COLUMN($A$688) +1,FALSE),FALSE),VLOOKUP($A763,INDIRECT("'"&amp;E$707&amp;"'!"&amp;"$A$5:$CA$100"),VLOOKUP('Elec. Analysis'!$A$156,$A$688:$E$703,COLUMN(E$688) - COLUMN($A$688) +1,FALSE),FALSE)))</f>
        <v>4.9909999999999997</v>
      </c>
      <c r="F763" s="1374"/>
      <c r="G763" s="708">
        <f>IF(AND($A794&lt;=DATE('Elec. Analysis'!$T$194, 12,1),$A794&gt;=DATE('Elec. Analysis'!$T$193, 1, 1)), $A794, NA())</f>
        <v>43525</v>
      </c>
      <c r="H763" s="1273">
        <f ca="1">IF($G763="",NA(),VLOOKUP($G763, INDIRECT("'" &amp;'Elec. Analysis'!$A$193&amp;"'!"&amp;"$A$5:$CA$100"),VLOOKUP('Elec. Analysis'!$A$194, $K$677:$M$736, 2, FALSE),FALSE))</f>
        <v>105.12998929161778</v>
      </c>
      <c r="I763" s="1374"/>
      <c r="J763" s="1374"/>
      <c r="K763" s="1374"/>
      <c r="L763" s="1076" t="str">
        <f>IF(COUNTIF('Service Zone Menu'!$O$3:$O$6,"Custom") = 4, "Custom Energy Rate (¢/kWh)", IF(COUNTIF('Service Zone Menu'!$O$3:$O$6, "Custom") = 0, "RRO Rate (¢/kWh)", "Energy Rate (¢/kWh)"))</f>
        <v>RRO Rate (¢/kWh)</v>
      </c>
      <c r="M763" s="911"/>
      <c r="N763" s="1374"/>
      <c r="O763" s="1024">
        <v>42522</v>
      </c>
      <c r="P763" s="1625">
        <f ca="1">VLOOKUP($O763,INDIRECT("'"&amp;P$709&amp;"'!"&amp;"$A$5:$CA$100"),VLOOKUP('NG Analysis'!$A$157,$O$685:$R$699,COLUMN(P$685) - COLUMN($O$685) + 1,FALSE),FALSE)</f>
        <v>1.3740000000000001</v>
      </c>
      <c r="Q763" s="1625">
        <f ca="1">VLOOKUP($O763,INDIRECT("'"&amp;Q$709&amp;"'!"&amp;"$A$5:$CA$100"),VLOOKUP('NG Analysis'!$A$157,$O$685:$R$699,COLUMN(Q$685) - COLUMN($O$685) + 1,FALSE),FALSE)</f>
        <v>1.3740000000000001</v>
      </c>
      <c r="R763" s="1625">
        <f ca="1">VLOOKUP($O763,INDIRECT("'"&amp;R$709&amp;"'!"&amp;"$A$5:$CA$100"),VLOOKUP('NG Analysis'!$A$157,$O$685:$R$699,COLUMN(R$685) - COLUMN($O$685) + 1,FALSE),FALSE)</f>
        <v>1.8480000000000001</v>
      </c>
      <c r="S763" s="1374"/>
      <c r="T763" s="708">
        <f>IF(AND($O797&lt;=DATE('NG Analysis'!$T$195, 12,1),$O797&gt;=DATE('NG Analysis'!$T$194, 1, 1)), $O797, NA())</f>
        <v>43556</v>
      </c>
      <c r="U763" s="1273">
        <f ca="1">IF($T763="",NA(),VLOOKUP($T763, INDIRECT("'" &amp;'NG Analysis'!$A$194&amp;"'!"&amp;"$A$5:$CA$100"),VLOOKUP('NG Analysis'!$A$195, $X$676:$Z$735, 2, FALSE),FALSE))</f>
        <v>107.54154618141597</v>
      </c>
      <c r="V763" s="1374"/>
      <c r="W763" s="1374"/>
      <c r="X763" s="1374"/>
      <c r="Y763" s="1076" t="str">
        <f>IF(COUNTIF('Service Zone Menu'!$AB$3:$AB$5,"Custom") = 3, "Custom Energy Rate ($/GJ)", IF(COUNTIF('Service Zone Menu'!$AB$3:$AB$5, "Custom") = 0, "DRT Rate ($/GJ)", "Energy Rate ($/GJ)"))</f>
        <v>DRT Rate ($/GJ)</v>
      </c>
      <c r="Z763" s="911"/>
      <c r="AA763" s="1439"/>
    </row>
    <row r="764" spans="1:27" x14ac:dyDescent="0.3">
      <c r="A764" s="1036">
        <v>42614</v>
      </c>
      <c r="B764" s="706">
        <f ca="1">IF('Elec. Analysis'!$A$156=$A$696,VLOOKUP($A764,INDIRECT("'"&amp;B$707&amp;"'!"&amp;"$A$5:$CA$100"),VLOOKUP($A$695,$A$688:$E$703,COLUMN(B$688) - COLUMN($A$688) +1,FALSE),FALSE) + VLOOKUP($A764,INDIRECT("'"&amp;B$707&amp;"'!"&amp;"$A$5:$CA$100"),VLOOKUP($A$694,$A$688:$E$703,COLUMN(B$688) - COLUMN($A$688) +1,FALSE),FALSE),IF('Elec. Analysis'!$A$156=$A$699,VLOOKUP($A764,INDIRECT("'"&amp;B$707&amp;"'!"&amp;"$A$5:$CA$100"),VLOOKUP($A$698,$A$688:$E$703,COLUMN(B$688) - COLUMN($A$688) +1,FALSE),FALSE) - VLOOKUP($A764,INDIRECT("'"&amp;B$707&amp;"'!"&amp;"$A$5:$CA$100"),VLOOKUP($A$700,$A$688:$E$703,COLUMN(B$688) - COLUMN($A$688) +1,FALSE),FALSE),VLOOKUP($A764,INDIRECT("'"&amp;B$707&amp;"'!"&amp;"$A$5:$CA$100"),VLOOKUP('Elec. Analysis'!$A$156,$A$688:$E$703,COLUMN(B$688) - COLUMN($A$688) +1,FALSE),FALSE)))</f>
        <v>3.6665999999999999</v>
      </c>
      <c r="C764" s="706">
        <f ca="1">IF('Elec. Analysis'!$A$156=$A$696,VLOOKUP($A764,INDIRECT("'"&amp;C$707&amp;"'!"&amp;"$A$5:$CA$100"),VLOOKUP($A$695,$A$688:$E$703,COLUMN(C$688) - COLUMN($A$688) +1,FALSE),FALSE) + VLOOKUP($A764,INDIRECT("'"&amp;C$707&amp;"'!"&amp;"$A$5:$CA$100"),VLOOKUP($A$694,$A$688:$E$703,COLUMN(C$688) - COLUMN($A$688) +1,FALSE),FALSE),IF('Elec. Analysis'!$A$156=$A$699,VLOOKUP($A764,INDIRECT("'"&amp;C$707&amp;"'!"&amp;"$A$5:$CA$100"),VLOOKUP($A$698,$A$688:$E$703,COLUMN(C$688) - COLUMN($A$688) +1,FALSE),FALSE) - VLOOKUP($A764,INDIRECT("'"&amp;C$707&amp;"'!"&amp;"$A$5:$CA$100"),VLOOKUP($A$700,$A$688:$E$703,COLUMN(C$688) - COLUMN($A$688) +1,FALSE),FALSE),VLOOKUP($A764,INDIRECT("'"&amp;C$707&amp;"'!"&amp;"$A$5:$CA$100"),VLOOKUP('Elec. Analysis'!$A$156,$A$688:$E$703,COLUMN(C$688) - COLUMN($A$688) +1,FALSE),FALSE)))</f>
        <v>3.9710000000000001</v>
      </c>
      <c r="D764" s="706">
        <f ca="1">IF('Elec. Analysis'!$A$156=$A$696,VLOOKUP($A764,INDIRECT("'"&amp;D$707&amp;"'!"&amp;"$A$5:$CA$100"),VLOOKUP($A$695,$A$688:$E$703,COLUMN(D$688) - COLUMN($A$688) +1,FALSE),FALSE) + VLOOKUP($A764,INDIRECT("'"&amp;D$707&amp;"'!"&amp;"$A$5:$CA$100"),VLOOKUP($A$694,$A$688:$E$703,COLUMN(D$688) - COLUMN($A$688) +1,FALSE),FALSE),IF('Elec. Analysis'!$A$156=$A$699,VLOOKUP($A764,INDIRECT("'"&amp;D$707&amp;"'!"&amp;"$A$5:$CA$100"),VLOOKUP($A$698,$A$688:$E$703,COLUMN(D$688) - COLUMN($A$688) +1,FALSE),FALSE) - VLOOKUP($A764,INDIRECT("'"&amp;D$707&amp;"'!"&amp;"$A$5:$CA$100"),VLOOKUP($A$700,$A$688:$E$703,COLUMN(D$688) - COLUMN($A$688) +1,FALSE),FALSE),VLOOKUP($A764,INDIRECT("'"&amp;D$707&amp;"'!"&amp;"$A$5:$CA$100"),VLOOKUP('Elec. Analysis'!$A$156,$A$688:$E$703,COLUMN(D$688) - COLUMN($A$688) +1,FALSE),FALSE)))</f>
        <v>3.9079999999999999</v>
      </c>
      <c r="E764" s="706">
        <f ca="1">IF('Elec. Analysis'!$A$156=$A$696,VLOOKUP($A764,INDIRECT("'"&amp;E$707&amp;"'!"&amp;"$A$5:$CA$100"),VLOOKUP($A$695,$A$688:$E$703,COLUMN(E$688) - COLUMN($A$688) +1,FALSE),FALSE) + VLOOKUP($A764,INDIRECT("'"&amp;E$707&amp;"'!"&amp;"$A$5:$CA$100"),VLOOKUP($A$694,$A$688:$E$703,COLUMN(E$688) - COLUMN($A$688) +1,FALSE),FALSE),IF('Elec. Analysis'!$A$156=$A$699,VLOOKUP($A764,INDIRECT("'"&amp;E$707&amp;"'!"&amp;"$A$5:$CA$100"),VLOOKUP($A$698,$A$688:$E$703,COLUMN(E$688) - COLUMN($A$688) +1,FALSE),FALSE) - VLOOKUP($A764,INDIRECT("'"&amp;E$707&amp;"'!"&amp;"$A$5:$CA$100"),VLOOKUP($A$700,$A$688:$E$703,COLUMN(E$688) - COLUMN($A$688) +1,FALSE),FALSE),VLOOKUP($A764,INDIRECT("'"&amp;E$707&amp;"'!"&amp;"$A$5:$CA$100"),VLOOKUP('Elec. Analysis'!$A$156,$A$688:$E$703,COLUMN(E$688) - COLUMN($A$688) +1,FALSE),FALSE)))</f>
        <v>3.7250000000000001</v>
      </c>
      <c r="F764" s="1374"/>
      <c r="G764" s="708">
        <f>IF(AND($A795&lt;=DATE('Elec. Analysis'!$T$194, 12,1),$A795&gt;=DATE('Elec. Analysis'!$T$193, 1, 1)), $A795, NA())</f>
        <v>43556</v>
      </c>
      <c r="H764" s="1273">
        <f ca="1">IF($G764="",NA(),VLOOKUP($G764, INDIRECT("'" &amp;'Elec. Analysis'!$A$193&amp;"'!"&amp;"$A$5:$CA$100"),VLOOKUP('Elec. Analysis'!$A$194, $K$677:$M$736, 2, FALSE),FALSE))</f>
        <v>96.677407493638754</v>
      </c>
      <c r="I764" s="1374"/>
      <c r="J764" s="1374"/>
      <c r="K764" s="1374"/>
      <c r="L764" s="1374"/>
      <c r="M764" s="911"/>
      <c r="N764" s="1374"/>
      <c r="O764" s="1024">
        <v>42552</v>
      </c>
      <c r="P764" s="1625">
        <f ca="1">VLOOKUP($O764,INDIRECT("'"&amp;P$709&amp;"'!"&amp;"$A$5:$CA$100"),VLOOKUP('NG Analysis'!$A$157,$O$685:$R$699,COLUMN(P$685) - COLUMN($O$685) + 1,FALSE),FALSE)</f>
        <v>1.631</v>
      </c>
      <c r="Q764" s="1625">
        <f ca="1">VLOOKUP($O764,INDIRECT("'"&amp;Q$709&amp;"'!"&amp;"$A$5:$CA$100"),VLOOKUP('NG Analysis'!$A$157,$O$685:$R$699,COLUMN(Q$685) - COLUMN($O$685) + 1,FALSE),FALSE)</f>
        <v>1.631</v>
      </c>
      <c r="R764" s="1625">
        <f ca="1">VLOOKUP($O764,INDIRECT("'"&amp;R$709&amp;"'!"&amp;"$A$5:$CA$100"),VLOOKUP('NG Analysis'!$A$157,$O$685:$R$699,COLUMN(R$685) - COLUMN($O$685) + 1,FALSE),FALSE)</f>
        <v>3.206</v>
      </c>
      <c r="S764" s="1374"/>
      <c r="T764" s="708">
        <f>IF(AND($O798&lt;=DATE('NG Analysis'!$T$195, 12,1),$O798&gt;=DATE('NG Analysis'!$T$194, 1, 1)), $O798, NA())</f>
        <v>43586</v>
      </c>
      <c r="U764" s="1273">
        <f ca="1">IF($T764="",NA(),VLOOKUP($T764, INDIRECT("'" &amp;'NG Analysis'!$A$194&amp;"'!"&amp;"$A$5:$CA$100"),VLOOKUP('NG Analysis'!$A$195, $X$676:$Z$735, 2, FALSE),FALSE))</f>
        <v>89.294223888593962</v>
      </c>
      <c r="V764" s="1374"/>
      <c r="W764" s="1374"/>
      <c r="X764" s="1374"/>
      <c r="Y764" s="1374"/>
      <c r="Z764" s="911"/>
      <c r="AA764" s="1439"/>
    </row>
    <row r="765" spans="1:27" x14ac:dyDescent="0.3">
      <c r="A765" s="1036">
        <v>42644</v>
      </c>
      <c r="B765" s="706">
        <f ca="1">IF('Elec. Analysis'!$A$156=$A$696,VLOOKUP($A765,INDIRECT("'"&amp;B$707&amp;"'!"&amp;"$A$5:$CA$100"),VLOOKUP($A$695,$A$688:$E$703,COLUMN(B$688) - COLUMN($A$688) +1,FALSE),FALSE) + VLOOKUP($A765,INDIRECT("'"&amp;B$707&amp;"'!"&amp;"$A$5:$CA$100"),VLOOKUP($A$694,$A$688:$E$703,COLUMN(B$688) - COLUMN($A$688) +1,FALSE),FALSE),IF('Elec. Analysis'!$A$156=$A$699,VLOOKUP($A765,INDIRECT("'"&amp;B$707&amp;"'!"&amp;"$A$5:$CA$100"),VLOOKUP($A$698,$A$688:$E$703,COLUMN(B$688) - COLUMN($A$688) +1,FALSE),FALSE) - VLOOKUP($A765,INDIRECT("'"&amp;B$707&amp;"'!"&amp;"$A$5:$CA$100"),VLOOKUP($A$700,$A$688:$E$703,COLUMN(B$688) - COLUMN($A$688) +1,FALSE),FALSE),VLOOKUP($A765,INDIRECT("'"&amp;B$707&amp;"'!"&amp;"$A$5:$CA$100"),VLOOKUP('Elec. Analysis'!$A$156,$A$688:$E$703,COLUMN(B$688) - COLUMN($A$688) +1,FALSE),FALSE)))</f>
        <v>4.1272000000000002</v>
      </c>
      <c r="C765" s="706">
        <f ca="1">IF('Elec. Analysis'!$A$156=$A$696,VLOOKUP($A765,INDIRECT("'"&amp;C$707&amp;"'!"&amp;"$A$5:$CA$100"),VLOOKUP($A$695,$A$688:$E$703,COLUMN(C$688) - COLUMN($A$688) +1,FALSE),FALSE) + VLOOKUP($A765,INDIRECT("'"&amp;C$707&amp;"'!"&amp;"$A$5:$CA$100"),VLOOKUP($A$694,$A$688:$E$703,COLUMN(C$688) - COLUMN($A$688) +1,FALSE),FALSE),IF('Elec. Analysis'!$A$156=$A$699,VLOOKUP($A765,INDIRECT("'"&amp;C$707&amp;"'!"&amp;"$A$5:$CA$100"),VLOOKUP($A$698,$A$688:$E$703,COLUMN(C$688) - COLUMN($A$688) +1,FALSE),FALSE) - VLOOKUP($A765,INDIRECT("'"&amp;C$707&amp;"'!"&amp;"$A$5:$CA$100"),VLOOKUP($A$700,$A$688:$E$703,COLUMN(C$688) - COLUMN($A$688) +1,FALSE),FALSE),VLOOKUP($A765,INDIRECT("'"&amp;C$707&amp;"'!"&amp;"$A$5:$CA$100"),VLOOKUP('Elec. Analysis'!$A$156,$A$688:$E$703,COLUMN(C$688) - COLUMN($A$688) +1,FALSE),FALSE)))</f>
        <v>4.4560000000000004</v>
      </c>
      <c r="D765" s="706">
        <f ca="1">IF('Elec. Analysis'!$A$156=$A$696,VLOOKUP($A765,INDIRECT("'"&amp;D$707&amp;"'!"&amp;"$A$5:$CA$100"),VLOOKUP($A$695,$A$688:$E$703,COLUMN(D$688) - COLUMN($A$688) +1,FALSE),FALSE) + VLOOKUP($A765,INDIRECT("'"&amp;D$707&amp;"'!"&amp;"$A$5:$CA$100"),VLOOKUP($A$694,$A$688:$E$703,COLUMN(D$688) - COLUMN($A$688) +1,FALSE),FALSE),IF('Elec. Analysis'!$A$156=$A$699,VLOOKUP($A765,INDIRECT("'"&amp;D$707&amp;"'!"&amp;"$A$5:$CA$100"),VLOOKUP($A$698,$A$688:$E$703,COLUMN(D$688) - COLUMN($A$688) +1,FALSE),FALSE) - VLOOKUP($A765,INDIRECT("'"&amp;D$707&amp;"'!"&amp;"$A$5:$CA$100"),VLOOKUP($A$700,$A$688:$E$703,COLUMN(D$688) - COLUMN($A$688) +1,FALSE),FALSE),VLOOKUP($A765,INDIRECT("'"&amp;D$707&amp;"'!"&amp;"$A$5:$CA$100"),VLOOKUP('Elec. Analysis'!$A$156,$A$688:$E$703,COLUMN(D$688) - COLUMN($A$688) +1,FALSE),FALSE)))</f>
        <v>4.3849999999999998</v>
      </c>
      <c r="E765" s="706">
        <f ca="1">IF('Elec. Analysis'!$A$156=$A$696,VLOOKUP($A765,INDIRECT("'"&amp;E$707&amp;"'!"&amp;"$A$5:$CA$100"),VLOOKUP($A$695,$A$688:$E$703,COLUMN(E$688) - COLUMN($A$688) +1,FALSE),FALSE) + VLOOKUP($A765,INDIRECT("'"&amp;E$707&amp;"'!"&amp;"$A$5:$CA$100"),VLOOKUP($A$694,$A$688:$E$703,COLUMN(E$688) - COLUMN($A$688) +1,FALSE),FALSE),IF('Elec. Analysis'!$A$156=$A$699,VLOOKUP($A765,INDIRECT("'"&amp;E$707&amp;"'!"&amp;"$A$5:$CA$100"),VLOOKUP($A$698,$A$688:$E$703,COLUMN(E$688) - COLUMN($A$688) +1,FALSE),FALSE) - VLOOKUP($A765,INDIRECT("'"&amp;E$707&amp;"'!"&amp;"$A$5:$CA$100"),VLOOKUP($A$700,$A$688:$E$703,COLUMN(E$688) - COLUMN($A$688) +1,FALSE),FALSE),VLOOKUP($A765,INDIRECT("'"&amp;E$707&amp;"'!"&amp;"$A$5:$CA$100"),VLOOKUP('Elec. Analysis'!$A$156,$A$688:$E$703,COLUMN(E$688) - COLUMN($A$688) +1,FALSE),FALSE)))</f>
        <v>4.1859999999999999</v>
      </c>
      <c r="F765" s="1374"/>
      <c r="G765" s="708">
        <f>IF(AND($A796&lt;=DATE('Elec. Analysis'!$T$194, 12,1),$A796&gt;=DATE('Elec. Analysis'!$T$193, 1, 1)), $A796, NA())</f>
        <v>43586</v>
      </c>
      <c r="H765" s="1273">
        <f ca="1">IF($G765="",NA(),VLOOKUP($G765, INDIRECT("'" &amp;'Elec. Analysis'!$A$193&amp;"'!"&amp;"$A$5:$CA$100"),VLOOKUP('Elec. Analysis'!$A$194, $K$677:$M$736, 2, FALSE),FALSE))</f>
        <v>96.761693219855815</v>
      </c>
      <c r="I765" s="1374"/>
      <c r="J765" s="1374"/>
      <c r="K765" s="1374"/>
      <c r="L765" s="1374"/>
      <c r="M765" s="911"/>
      <c r="N765" s="1374"/>
      <c r="O765" s="1024">
        <v>42583</v>
      </c>
      <c r="P765" s="1625">
        <f ca="1">VLOOKUP($O765,INDIRECT("'"&amp;P$709&amp;"'!"&amp;"$A$5:$CA$100"),VLOOKUP('NG Analysis'!$A$157,$O$685:$R$699,COLUMN(P$685) - COLUMN($O$685) + 1,FALSE),FALSE)</f>
        <v>2.3639999999999999</v>
      </c>
      <c r="Q765" s="1625">
        <f ca="1">VLOOKUP($O765,INDIRECT("'"&amp;Q$709&amp;"'!"&amp;"$A$5:$CA$100"),VLOOKUP('NG Analysis'!$A$157,$O$685:$R$699,COLUMN(Q$685) - COLUMN($O$685) + 1,FALSE),FALSE)</f>
        <v>2.3639999999999999</v>
      </c>
      <c r="R765" s="1625">
        <f ca="1">VLOOKUP($O765,INDIRECT("'"&amp;R$709&amp;"'!"&amp;"$A$5:$CA$100"),VLOOKUP('NG Analysis'!$A$157,$O$685:$R$699,COLUMN(R$685) - COLUMN($O$685) + 1,FALSE),FALSE)</f>
        <v>3.0910000000000002</v>
      </c>
      <c r="S765" s="1374"/>
      <c r="T765" s="708">
        <f>IF(AND($O799&lt;=DATE('NG Analysis'!$T$195, 12,1),$O799&gt;=DATE('NG Analysis'!$T$194, 1, 1)), $O799, NA())</f>
        <v>43617</v>
      </c>
      <c r="U765" s="1273">
        <f ca="1">IF($T765="",NA(),VLOOKUP($T765, INDIRECT("'" &amp;'NG Analysis'!$A$194&amp;"'!"&amp;"$A$5:$CA$100"),VLOOKUP('NG Analysis'!$A$195, $X$676:$Z$735, 2, FALSE),FALSE))</f>
        <v>50.464848392912721</v>
      </c>
      <c r="V765" s="1374"/>
      <c r="W765" s="1374"/>
      <c r="X765" s="1374"/>
      <c r="Y765" s="1374"/>
      <c r="Z765" s="911"/>
      <c r="AA765" s="1439"/>
    </row>
    <row r="766" spans="1:27" x14ac:dyDescent="0.3">
      <c r="A766" s="1036">
        <v>42675</v>
      </c>
      <c r="B766" s="706">
        <f ca="1">IF('Elec. Analysis'!$A$156=$A$696,VLOOKUP($A766,INDIRECT("'"&amp;B$707&amp;"'!"&amp;"$A$5:$CA$100"),VLOOKUP($A$695,$A$688:$E$703,COLUMN(B$688) - COLUMN($A$688) +1,FALSE),FALSE) + VLOOKUP($A766,INDIRECT("'"&amp;B$707&amp;"'!"&amp;"$A$5:$CA$100"),VLOOKUP($A$694,$A$688:$E$703,COLUMN(B$688) - COLUMN($A$688) +1,FALSE),FALSE),IF('Elec. Analysis'!$A$156=$A$699,VLOOKUP($A766,INDIRECT("'"&amp;B$707&amp;"'!"&amp;"$A$5:$CA$100"),VLOOKUP($A$698,$A$688:$E$703,COLUMN(B$688) - COLUMN($A$688) +1,FALSE),FALSE) - VLOOKUP($A766,INDIRECT("'"&amp;B$707&amp;"'!"&amp;"$A$5:$CA$100"),VLOOKUP($A$700,$A$688:$E$703,COLUMN(B$688) - COLUMN($A$688) +1,FALSE),FALSE),VLOOKUP($A766,INDIRECT("'"&amp;B$707&amp;"'!"&amp;"$A$5:$CA$100"),VLOOKUP('Elec. Analysis'!$A$156,$A$688:$E$703,COLUMN(B$688) - COLUMN($A$688) +1,FALSE),FALSE)))</f>
        <v>3.8113999999999999</v>
      </c>
      <c r="C766" s="706">
        <f ca="1">IF('Elec. Analysis'!$A$156=$A$696,VLOOKUP($A766,INDIRECT("'"&amp;C$707&amp;"'!"&amp;"$A$5:$CA$100"),VLOOKUP($A$695,$A$688:$E$703,COLUMN(C$688) - COLUMN($A$688) +1,FALSE),FALSE) + VLOOKUP($A766,INDIRECT("'"&amp;C$707&amp;"'!"&amp;"$A$5:$CA$100"),VLOOKUP($A$694,$A$688:$E$703,COLUMN(C$688) - COLUMN($A$688) +1,FALSE),FALSE),IF('Elec. Analysis'!$A$156=$A$699,VLOOKUP($A766,INDIRECT("'"&amp;C$707&amp;"'!"&amp;"$A$5:$CA$100"),VLOOKUP($A$698,$A$688:$E$703,COLUMN(C$688) - COLUMN($A$688) +1,FALSE),FALSE) - VLOOKUP($A766,INDIRECT("'"&amp;C$707&amp;"'!"&amp;"$A$5:$CA$100"),VLOOKUP($A$700,$A$688:$E$703,COLUMN(C$688) - COLUMN($A$688) +1,FALSE),FALSE),VLOOKUP($A766,INDIRECT("'"&amp;C$707&amp;"'!"&amp;"$A$5:$CA$100"),VLOOKUP('Elec. Analysis'!$A$156,$A$688:$E$703,COLUMN(C$688) - COLUMN($A$688) +1,FALSE),FALSE)))</f>
        <v>3.7360000000000002</v>
      </c>
      <c r="D766" s="706">
        <f ca="1">IF('Elec. Analysis'!$A$156=$A$696,VLOOKUP($A766,INDIRECT("'"&amp;D$707&amp;"'!"&amp;"$A$5:$CA$100"),VLOOKUP($A$695,$A$688:$E$703,COLUMN(D$688) - COLUMN($A$688) +1,FALSE),FALSE) + VLOOKUP($A766,INDIRECT("'"&amp;D$707&amp;"'!"&amp;"$A$5:$CA$100"),VLOOKUP($A$694,$A$688:$E$703,COLUMN(D$688) - COLUMN($A$688) +1,FALSE),FALSE),IF('Elec. Analysis'!$A$156=$A$699,VLOOKUP($A766,INDIRECT("'"&amp;D$707&amp;"'!"&amp;"$A$5:$CA$100"),VLOOKUP($A$698,$A$688:$E$703,COLUMN(D$688) - COLUMN($A$688) +1,FALSE),FALSE) - VLOOKUP($A766,INDIRECT("'"&amp;D$707&amp;"'!"&amp;"$A$5:$CA$100"),VLOOKUP($A$700,$A$688:$E$703,COLUMN(D$688) - COLUMN($A$688) +1,FALSE),FALSE),VLOOKUP($A766,INDIRECT("'"&amp;D$707&amp;"'!"&amp;"$A$5:$CA$100"),VLOOKUP('Elec. Analysis'!$A$156,$A$688:$E$703,COLUMN(D$688) - COLUMN($A$688) +1,FALSE),FALSE)))</f>
        <v>3.6840000000000002</v>
      </c>
      <c r="E766" s="706">
        <f ca="1">IF('Elec. Analysis'!$A$156=$A$696,VLOOKUP($A766,INDIRECT("'"&amp;E$707&amp;"'!"&amp;"$A$5:$CA$100"),VLOOKUP($A$695,$A$688:$E$703,COLUMN(E$688) - COLUMN($A$688) +1,FALSE),FALSE) + VLOOKUP($A766,INDIRECT("'"&amp;E$707&amp;"'!"&amp;"$A$5:$CA$100"),VLOOKUP($A$694,$A$688:$E$703,COLUMN(E$688) - COLUMN($A$688) +1,FALSE),FALSE),IF('Elec. Analysis'!$A$156=$A$699,VLOOKUP($A766,INDIRECT("'"&amp;E$707&amp;"'!"&amp;"$A$5:$CA$100"),VLOOKUP($A$698,$A$688:$E$703,COLUMN(E$688) - COLUMN($A$688) +1,FALSE),FALSE) - VLOOKUP($A766,INDIRECT("'"&amp;E$707&amp;"'!"&amp;"$A$5:$CA$100"),VLOOKUP($A$700,$A$688:$E$703,COLUMN(E$688) - COLUMN($A$688) +1,FALSE),FALSE),VLOOKUP($A766,INDIRECT("'"&amp;E$707&amp;"'!"&amp;"$A$5:$CA$100"),VLOOKUP('Elec. Analysis'!$A$156,$A$688:$E$703,COLUMN(E$688) - COLUMN($A$688) +1,FALSE),FALSE)))</f>
        <v>3.8879999999999999</v>
      </c>
      <c r="F766" s="1374"/>
      <c r="G766" s="708">
        <f>IF(AND($A797&lt;=DATE('Elec. Analysis'!$T$194, 12,1),$A797&gt;=DATE('Elec. Analysis'!$T$193, 1, 1)), $A797, NA())</f>
        <v>43617</v>
      </c>
      <c r="H766" s="1273">
        <f ca="1">IF($G766="",NA(),VLOOKUP($G766, INDIRECT("'" &amp;'Elec. Analysis'!$A$193&amp;"'!"&amp;"$A$5:$CA$100"),VLOOKUP('Elec. Analysis'!$A$194, $K$677:$M$736, 2, FALSE),FALSE))</f>
        <v>93.940632384574229</v>
      </c>
      <c r="I766" s="1374"/>
      <c r="J766" s="1374"/>
      <c r="K766" s="1374"/>
      <c r="L766" s="1374"/>
      <c r="M766" s="911"/>
      <c r="N766" s="1374"/>
      <c r="O766" s="1024">
        <v>42614</v>
      </c>
      <c r="P766" s="1625">
        <f ca="1">VLOOKUP($O766,INDIRECT("'"&amp;P$709&amp;"'!"&amp;"$A$5:$CA$100"),VLOOKUP('NG Analysis'!$A$157,$O$685:$R$699,COLUMN(P$685) - COLUMN($O$685) + 1,FALSE),FALSE)</f>
        <v>2.351</v>
      </c>
      <c r="Q766" s="1625">
        <f ca="1">VLOOKUP($O766,INDIRECT("'"&amp;Q$709&amp;"'!"&amp;"$A$5:$CA$100"),VLOOKUP('NG Analysis'!$A$157,$O$685:$R$699,COLUMN(Q$685) - COLUMN($O$685) + 1,FALSE),FALSE)</f>
        <v>2.351</v>
      </c>
      <c r="R766" s="1625">
        <f ca="1">VLOOKUP($O766,INDIRECT("'"&amp;R$709&amp;"'!"&amp;"$A$5:$CA$100"),VLOOKUP('NG Analysis'!$A$157,$O$685:$R$699,COLUMN(R$685) - COLUMN($O$685) + 1,FALSE),FALSE)</f>
        <v>2.3199999999999998</v>
      </c>
      <c r="S766" s="1374"/>
      <c r="T766" s="1374"/>
      <c r="U766" s="1374"/>
      <c r="V766" s="1374"/>
      <c r="W766" s="1374"/>
      <c r="X766" s="1374"/>
      <c r="Y766" s="1374"/>
      <c r="Z766" s="911"/>
      <c r="AA766" s="1439"/>
    </row>
    <row r="767" spans="1:27" x14ac:dyDescent="0.3">
      <c r="A767" s="1036">
        <v>42705</v>
      </c>
      <c r="B767" s="706">
        <f ca="1">IF('Elec. Analysis'!$A$156=$A$696,VLOOKUP($A767,INDIRECT("'"&amp;B$707&amp;"'!"&amp;"$A$5:$CA$100"),VLOOKUP($A$695,$A$688:$E$703,COLUMN(B$688) - COLUMN($A$688) +1,FALSE),FALSE) + VLOOKUP($A767,INDIRECT("'"&amp;B$707&amp;"'!"&amp;"$A$5:$CA$100"),VLOOKUP($A$694,$A$688:$E$703,COLUMN(B$688) - COLUMN($A$688) +1,FALSE),FALSE),IF('Elec. Analysis'!$A$156=$A$699,VLOOKUP($A767,INDIRECT("'"&amp;B$707&amp;"'!"&amp;"$A$5:$CA$100"),VLOOKUP($A$698,$A$688:$E$703,COLUMN(B$688) - COLUMN($A$688) +1,FALSE),FALSE) - VLOOKUP($A767,INDIRECT("'"&amp;B$707&amp;"'!"&amp;"$A$5:$CA$100"),VLOOKUP($A$700,$A$688:$E$703,COLUMN(B$688) - COLUMN($A$688) +1,FALSE),FALSE),VLOOKUP($A767,INDIRECT("'"&amp;B$707&amp;"'!"&amp;"$A$5:$CA$100"),VLOOKUP('Elec. Analysis'!$A$156,$A$688:$E$703,COLUMN(B$688) - COLUMN($A$688) +1,FALSE),FALSE)))</f>
        <v>4.1670999999999996</v>
      </c>
      <c r="C767" s="706">
        <f ca="1">IF('Elec. Analysis'!$A$156=$A$696,VLOOKUP($A767,INDIRECT("'"&amp;C$707&amp;"'!"&amp;"$A$5:$CA$100"),VLOOKUP($A$695,$A$688:$E$703,COLUMN(C$688) - COLUMN($A$688) +1,FALSE),FALSE) + VLOOKUP($A767,INDIRECT("'"&amp;C$707&amp;"'!"&amp;"$A$5:$CA$100"),VLOOKUP($A$694,$A$688:$E$703,COLUMN(C$688) - COLUMN($A$688) +1,FALSE),FALSE),IF('Elec. Analysis'!$A$156=$A$699,VLOOKUP($A767,INDIRECT("'"&amp;C$707&amp;"'!"&amp;"$A$5:$CA$100"),VLOOKUP($A$698,$A$688:$E$703,COLUMN(C$688) - COLUMN($A$688) +1,FALSE),FALSE) - VLOOKUP($A767,INDIRECT("'"&amp;C$707&amp;"'!"&amp;"$A$5:$CA$100"),VLOOKUP($A$700,$A$688:$E$703,COLUMN(C$688) - COLUMN($A$688) +1,FALSE),FALSE),VLOOKUP($A767,INDIRECT("'"&amp;C$707&amp;"'!"&amp;"$A$5:$CA$100"),VLOOKUP('Elec. Analysis'!$A$156,$A$688:$E$703,COLUMN(C$688) - COLUMN($A$688) +1,FALSE),FALSE)))</f>
        <v>3.9820000000000002</v>
      </c>
      <c r="D767" s="706">
        <f ca="1">IF('Elec. Analysis'!$A$156=$A$696,VLOOKUP($A767,INDIRECT("'"&amp;D$707&amp;"'!"&amp;"$A$5:$CA$100"),VLOOKUP($A$695,$A$688:$E$703,COLUMN(D$688) - COLUMN($A$688) +1,FALSE),FALSE) + VLOOKUP($A767,INDIRECT("'"&amp;D$707&amp;"'!"&amp;"$A$5:$CA$100"),VLOOKUP($A$694,$A$688:$E$703,COLUMN(D$688) - COLUMN($A$688) +1,FALSE),FALSE),IF('Elec. Analysis'!$A$156=$A$699,VLOOKUP($A767,INDIRECT("'"&amp;D$707&amp;"'!"&amp;"$A$5:$CA$100"),VLOOKUP($A$698,$A$688:$E$703,COLUMN(D$688) - COLUMN($A$688) +1,FALSE),FALSE) - VLOOKUP($A767,INDIRECT("'"&amp;D$707&amp;"'!"&amp;"$A$5:$CA$100"),VLOOKUP($A$700,$A$688:$E$703,COLUMN(D$688) - COLUMN($A$688) +1,FALSE),FALSE),VLOOKUP($A767,INDIRECT("'"&amp;D$707&amp;"'!"&amp;"$A$5:$CA$100"),VLOOKUP('Elec. Analysis'!$A$156,$A$688:$E$703,COLUMN(D$688) - COLUMN($A$688) +1,FALSE),FALSE)))</f>
        <v>3.9249999999999998</v>
      </c>
      <c r="E767" s="706">
        <f ca="1">IF('Elec. Analysis'!$A$156=$A$696,VLOOKUP($A767,INDIRECT("'"&amp;E$707&amp;"'!"&amp;"$A$5:$CA$100"),VLOOKUP($A$695,$A$688:$E$703,COLUMN(E$688) - COLUMN($A$688) +1,FALSE),FALSE) + VLOOKUP($A767,INDIRECT("'"&amp;E$707&amp;"'!"&amp;"$A$5:$CA$100"),VLOOKUP($A$694,$A$688:$E$703,COLUMN(E$688) - COLUMN($A$688) +1,FALSE),FALSE),IF('Elec. Analysis'!$A$156=$A$699,VLOOKUP($A767,INDIRECT("'"&amp;E$707&amp;"'!"&amp;"$A$5:$CA$100"),VLOOKUP($A$698,$A$688:$E$703,COLUMN(E$688) - COLUMN($A$688) +1,FALSE),FALSE) - VLOOKUP($A767,INDIRECT("'"&amp;E$707&amp;"'!"&amp;"$A$5:$CA$100"),VLOOKUP($A$700,$A$688:$E$703,COLUMN(E$688) - COLUMN($A$688) +1,FALSE),FALSE),VLOOKUP($A767,INDIRECT("'"&amp;E$707&amp;"'!"&amp;"$A$5:$CA$100"),VLOOKUP('Elec. Analysis'!$A$156,$A$688:$E$703,COLUMN(E$688) - COLUMN($A$688) +1,FALSE),FALSE)))</f>
        <v>4.1760000000000002</v>
      </c>
      <c r="F767" s="1374"/>
      <c r="G767" s="1374"/>
      <c r="H767" s="1374"/>
      <c r="I767" s="1374"/>
      <c r="J767" s="1374"/>
      <c r="K767" s="1374"/>
      <c r="L767" s="1374"/>
      <c r="M767" s="911"/>
      <c r="N767" s="1374"/>
      <c r="O767" s="1024">
        <v>42644</v>
      </c>
      <c r="P767" s="1625">
        <f ca="1">VLOOKUP($O767,INDIRECT("'"&amp;P$709&amp;"'!"&amp;"$A$5:$CA$100"),VLOOKUP('NG Analysis'!$A$157,$O$685:$R$699,COLUMN(P$685) - COLUMN($O$685) + 1,FALSE),FALSE)</f>
        <v>2.6589999999999998</v>
      </c>
      <c r="Q767" s="1625">
        <f ca="1">VLOOKUP($O767,INDIRECT("'"&amp;Q$709&amp;"'!"&amp;"$A$5:$CA$100"),VLOOKUP('NG Analysis'!$A$157,$O$685:$R$699,COLUMN(Q$685) - COLUMN($O$685) + 1,FALSE),FALSE)</f>
        <v>2.6589999999999998</v>
      </c>
      <c r="R767" s="1625">
        <f ca="1">VLOOKUP($O767,INDIRECT("'"&amp;R$709&amp;"'!"&amp;"$A$5:$CA$100"),VLOOKUP('NG Analysis'!$A$157,$O$685:$R$699,COLUMN(R$685) - COLUMN($O$685) + 1,FALSE),FALSE)</f>
        <v>2.605</v>
      </c>
      <c r="S767" s="1374"/>
      <c r="T767" s="1374"/>
      <c r="U767" s="1374"/>
      <c r="V767" s="1374"/>
      <c r="W767" s="1374"/>
      <c r="X767" s="1374"/>
      <c r="Y767" s="1374"/>
      <c r="Z767" s="911"/>
      <c r="AA767" s="1439"/>
    </row>
    <row r="768" spans="1:27" x14ac:dyDescent="0.3">
      <c r="A768" s="1036">
        <v>42736</v>
      </c>
      <c r="B768" s="706">
        <f ca="1">IF('Elec. Analysis'!$A$156=$A$696,VLOOKUP($A768,INDIRECT("'"&amp;B$707&amp;"'!"&amp;"$A$5:$CA$100"),VLOOKUP($A$695,$A$688:$E$703,COLUMN(B$688) - COLUMN($A$688) +1,FALSE),FALSE) + VLOOKUP($A768,INDIRECT("'"&amp;B$707&amp;"'!"&amp;"$A$5:$CA$100"),VLOOKUP($A$694,$A$688:$E$703,COLUMN(B$688) - COLUMN($A$688) +1,FALSE),FALSE),IF('Elec. Analysis'!$A$156=$A$699,VLOOKUP($A768,INDIRECT("'"&amp;B$707&amp;"'!"&amp;"$A$5:$CA$100"),VLOOKUP($A$698,$A$688:$E$703,COLUMN(B$688) - COLUMN($A$688) +1,FALSE),FALSE) - VLOOKUP($A768,INDIRECT("'"&amp;B$707&amp;"'!"&amp;"$A$5:$CA$100"),VLOOKUP($A$700,$A$688:$E$703,COLUMN(B$688) - COLUMN($A$688) +1,FALSE),FALSE),VLOOKUP($A768,INDIRECT("'"&amp;B$707&amp;"'!"&amp;"$A$5:$CA$100"),VLOOKUP('Elec. Analysis'!$A$156,$A$688:$E$703,COLUMN(B$688) - COLUMN($A$688) +1,FALSE),FALSE)))</f>
        <v>4.3943000000000003</v>
      </c>
      <c r="C768" s="706">
        <f ca="1">IF('Elec. Analysis'!$A$156=$A$696,VLOOKUP($A768,INDIRECT("'"&amp;C$707&amp;"'!"&amp;"$A$5:$CA$100"),VLOOKUP($A$695,$A$688:$E$703,COLUMN(C$688) - COLUMN($A$688) +1,FALSE),FALSE) + VLOOKUP($A768,INDIRECT("'"&amp;C$707&amp;"'!"&amp;"$A$5:$CA$100"),VLOOKUP($A$694,$A$688:$E$703,COLUMN(C$688) - COLUMN($A$688) +1,FALSE),FALSE),IF('Elec. Analysis'!$A$156=$A$699,VLOOKUP($A768,INDIRECT("'"&amp;C$707&amp;"'!"&amp;"$A$5:$CA$100"),VLOOKUP($A$698,$A$688:$E$703,COLUMN(C$688) - COLUMN($A$688) +1,FALSE),FALSE) - VLOOKUP($A768,INDIRECT("'"&amp;C$707&amp;"'!"&amp;"$A$5:$CA$100"),VLOOKUP($A$700,$A$688:$E$703,COLUMN(C$688) - COLUMN($A$688) +1,FALSE),FALSE),VLOOKUP($A768,INDIRECT("'"&amp;C$707&amp;"'!"&amp;"$A$5:$CA$100"),VLOOKUP('Elec. Analysis'!$A$156,$A$688:$E$703,COLUMN(C$688) - COLUMN($A$688) +1,FALSE),FALSE)))</f>
        <v>4.1109999999999998</v>
      </c>
      <c r="D768" s="706">
        <f ca="1">IF('Elec. Analysis'!$A$156=$A$696,VLOOKUP($A768,INDIRECT("'"&amp;D$707&amp;"'!"&amp;"$A$5:$CA$100"),VLOOKUP($A$695,$A$688:$E$703,COLUMN(D$688) - COLUMN($A$688) +1,FALSE),FALSE) + VLOOKUP($A768,INDIRECT("'"&amp;D$707&amp;"'!"&amp;"$A$5:$CA$100"),VLOOKUP($A$694,$A$688:$E$703,COLUMN(D$688) - COLUMN($A$688) +1,FALSE),FALSE),IF('Elec. Analysis'!$A$156=$A$699,VLOOKUP($A768,INDIRECT("'"&amp;D$707&amp;"'!"&amp;"$A$5:$CA$100"),VLOOKUP($A$698,$A$688:$E$703,COLUMN(D$688) - COLUMN($A$688) +1,FALSE),FALSE) - VLOOKUP($A768,INDIRECT("'"&amp;D$707&amp;"'!"&amp;"$A$5:$CA$100"),VLOOKUP($A$700,$A$688:$E$703,COLUMN(D$688) - COLUMN($A$688) +1,FALSE),FALSE),VLOOKUP($A768,INDIRECT("'"&amp;D$707&amp;"'!"&amp;"$A$5:$CA$100"),VLOOKUP('Elec. Analysis'!$A$156,$A$688:$E$703,COLUMN(D$688) - COLUMN($A$688) +1,FALSE),FALSE)))</f>
        <v>4.056</v>
      </c>
      <c r="E768" s="706">
        <f ca="1">IF('Elec. Analysis'!$A$156=$A$696,VLOOKUP($A768,INDIRECT("'"&amp;E$707&amp;"'!"&amp;"$A$5:$CA$100"),VLOOKUP($A$695,$A$688:$E$703,COLUMN(E$688) - COLUMN($A$688) +1,FALSE),FALSE) + VLOOKUP($A768,INDIRECT("'"&amp;E$707&amp;"'!"&amp;"$A$5:$CA$100"),VLOOKUP($A$694,$A$688:$E$703,COLUMN(E$688) - COLUMN($A$688) +1,FALSE),FALSE),IF('Elec. Analysis'!$A$156=$A$699,VLOOKUP($A768,INDIRECT("'"&amp;E$707&amp;"'!"&amp;"$A$5:$CA$100"),VLOOKUP($A$698,$A$688:$E$703,COLUMN(E$688) - COLUMN($A$688) +1,FALSE),FALSE) - VLOOKUP($A768,INDIRECT("'"&amp;E$707&amp;"'!"&amp;"$A$5:$CA$100"),VLOOKUP($A$700,$A$688:$E$703,COLUMN(E$688) - COLUMN($A$688) +1,FALSE),FALSE),VLOOKUP($A768,INDIRECT("'"&amp;E$707&amp;"'!"&amp;"$A$5:$CA$100"),VLOOKUP('Elec. Analysis'!$A$156,$A$688:$E$703,COLUMN(E$688) - COLUMN($A$688) +1,FALSE),FALSE)))</f>
        <v>4.3979999999999997</v>
      </c>
      <c r="F768" s="1374"/>
      <c r="G768" s="1374"/>
      <c r="H768" s="1374"/>
      <c r="I768" s="1374"/>
      <c r="J768" s="1374"/>
      <c r="K768" s="1374"/>
      <c r="L768" s="1374"/>
      <c r="M768" s="911"/>
      <c r="N768" s="1374"/>
      <c r="O768" s="1024">
        <v>42675</v>
      </c>
      <c r="P768" s="1625">
        <f ca="1">VLOOKUP($O768,INDIRECT("'"&amp;P$709&amp;"'!"&amp;"$A$5:$CA$100"),VLOOKUP('NG Analysis'!$A$157,$O$685:$R$699,COLUMN(P$685) - COLUMN($O$685) + 1,FALSE),FALSE)</f>
        <v>3.3029999999999999</v>
      </c>
      <c r="Q768" s="1625">
        <f ca="1">VLOOKUP($O768,INDIRECT("'"&amp;Q$709&amp;"'!"&amp;"$A$5:$CA$100"),VLOOKUP('NG Analysis'!$A$157,$O$685:$R$699,COLUMN(Q$685) - COLUMN($O$685) + 1,FALSE),FALSE)</f>
        <v>3.3029999999999999</v>
      </c>
      <c r="R768" s="1625">
        <f ca="1">VLOOKUP($O768,INDIRECT("'"&amp;R$709&amp;"'!"&amp;"$A$5:$CA$100"),VLOOKUP('NG Analysis'!$A$157,$O$685:$R$699,COLUMN(R$685) - COLUMN($O$685) + 1,FALSE),FALSE)</f>
        <v>3.1240000000000001</v>
      </c>
      <c r="S768" s="1374"/>
      <c r="T768" s="1374"/>
      <c r="U768" s="1374"/>
      <c r="V768" s="1374"/>
      <c r="W768" s="1374"/>
      <c r="X768" s="1374"/>
      <c r="Y768" s="1374"/>
      <c r="Z768" s="911"/>
      <c r="AA768" s="1439"/>
    </row>
    <row r="769" spans="1:27" x14ac:dyDescent="0.3">
      <c r="A769" s="1036">
        <v>42767</v>
      </c>
      <c r="B769" s="706">
        <f ca="1">IF('Elec. Analysis'!$A$156=$A$696,VLOOKUP($A769,INDIRECT("'"&amp;B$707&amp;"'!"&amp;"$A$5:$CA$100"),VLOOKUP($A$695,$A$688:$E$703,COLUMN(B$688) - COLUMN($A$688) +1,FALSE),FALSE) + VLOOKUP($A769,INDIRECT("'"&amp;B$707&amp;"'!"&amp;"$A$5:$CA$100"),VLOOKUP($A$694,$A$688:$E$703,COLUMN(B$688) - COLUMN($A$688) +1,FALSE),FALSE),IF('Elec. Analysis'!$A$156=$A$699,VLOOKUP($A769,INDIRECT("'"&amp;B$707&amp;"'!"&amp;"$A$5:$CA$100"),VLOOKUP($A$698,$A$688:$E$703,COLUMN(B$688) - COLUMN($A$688) +1,FALSE),FALSE) - VLOOKUP($A769,INDIRECT("'"&amp;B$707&amp;"'!"&amp;"$A$5:$CA$100"),VLOOKUP($A$700,$A$688:$E$703,COLUMN(B$688) - COLUMN($A$688) +1,FALSE),FALSE),VLOOKUP($A769,INDIRECT("'"&amp;B$707&amp;"'!"&amp;"$A$5:$CA$100"),VLOOKUP('Elec. Analysis'!$A$156,$A$688:$E$703,COLUMN(B$688) - COLUMN($A$688) +1,FALSE),FALSE)))</f>
        <v>3.9241999999999999</v>
      </c>
      <c r="C769" s="706">
        <f ca="1">IF('Elec. Analysis'!$A$156=$A$696,VLOOKUP($A769,INDIRECT("'"&amp;C$707&amp;"'!"&amp;"$A$5:$CA$100"),VLOOKUP($A$695,$A$688:$E$703,COLUMN(C$688) - COLUMN($A$688) +1,FALSE),FALSE) + VLOOKUP($A769,INDIRECT("'"&amp;C$707&amp;"'!"&amp;"$A$5:$CA$100"),VLOOKUP($A$694,$A$688:$E$703,COLUMN(C$688) - COLUMN($A$688) +1,FALSE),FALSE),IF('Elec. Analysis'!$A$156=$A$699,VLOOKUP($A769,INDIRECT("'"&amp;C$707&amp;"'!"&amp;"$A$5:$CA$100"),VLOOKUP($A$698,$A$688:$E$703,COLUMN(C$688) - COLUMN($A$688) +1,FALSE),FALSE) - VLOOKUP($A769,INDIRECT("'"&amp;C$707&amp;"'!"&amp;"$A$5:$CA$100"),VLOOKUP($A$700,$A$688:$E$703,COLUMN(C$688) - COLUMN($A$688) +1,FALSE),FALSE),VLOOKUP($A769,INDIRECT("'"&amp;C$707&amp;"'!"&amp;"$A$5:$CA$100"),VLOOKUP('Elec. Analysis'!$A$156,$A$688:$E$703,COLUMN(C$688) - COLUMN($A$688) +1,FALSE),FALSE)))</f>
        <v>3.8729999999999998</v>
      </c>
      <c r="D769" s="706">
        <f ca="1">IF('Elec. Analysis'!$A$156=$A$696,VLOOKUP($A769,INDIRECT("'"&amp;D$707&amp;"'!"&amp;"$A$5:$CA$100"),VLOOKUP($A$695,$A$688:$E$703,COLUMN(D$688) - COLUMN($A$688) +1,FALSE),FALSE) + VLOOKUP($A769,INDIRECT("'"&amp;D$707&amp;"'!"&amp;"$A$5:$CA$100"),VLOOKUP($A$694,$A$688:$E$703,COLUMN(D$688) - COLUMN($A$688) +1,FALSE),FALSE),IF('Elec. Analysis'!$A$156=$A$699,VLOOKUP($A769,INDIRECT("'"&amp;D$707&amp;"'!"&amp;"$A$5:$CA$100"),VLOOKUP($A$698,$A$688:$E$703,COLUMN(D$688) - COLUMN($A$688) +1,FALSE),FALSE) - VLOOKUP($A769,INDIRECT("'"&amp;D$707&amp;"'!"&amp;"$A$5:$CA$100"),VLOOKUP($A$700,$A$688:$E$703,COLUMN(D$688) - COLUMN($A$688) +1,FALSE),FALSE),VLOOKUP($A769,INDIRECT("'"&amp;D$707&amp;"'!"&amp;"$A$5:$CA$100"),VLOOKUP('Elec. Analysis'!$A$156,$A$688:$E$703,COLUMN(D$688) - COLUMN($A$688) +1,FALSE),FALSE)))</f>
        <v>3.8159999999999998</v>
      </c>
      <c r="E769" s="706">
        <f ca="1">IF('Elec. Analysis'!$A$156=$A$696,VLOOKUP($A769,INDIRECT("'"&amp;E$707&amp;"'!"&amp;"$A$5:$CA$100"),VLOOKUP($A$695,$A$688:$E$703,COLUMN(E$688) - COLUMN($A$688) +1,FALSE),FALSE) + VLOOKUP($A769,INDIRECT("'"&amp;E$707&amp;"'!"&amp;"$A$5:$CA$100"),VLOOKUP($A$694,$A$688:$E$703,COLUMN(E$688) - COLUMN($A$688) +1,FALSE),FALSE),IF('Elec. Analysis'!$A$156=$A$699,VLOOKUP($A769,INDIRECT("'"&amp;E$707&amp;"'!"&amp;"$A$5:$CA$100"),VLOOKUP($A$698,$A$688:$E$703,COLUMN(E$688) - COLUMN($A$688) +1,FALSE),FALSE) - VLOOKUP($A769,INDIRECT("'"&amp;E$707&amp;"'!"&amp;"$A$5:$CA$100"),VLOOKUP($A$700,$A$688:$E$703,COLUMN(E$688) - COLUMN($A$688) +1,FALSE),FALSE),VLOOKUP($A769,INDIRECT("'"&amp;E$707&amp;"'!"&amp;"$A$5:$CA$100"),VLOOKUP('Elec. Analysis'!$A$156,$A$688:$E$703,COLUMN(E$688) - COLUMN($A$688) +1,FALSE),FALSE)))</f>
        <v>3.9769999999999999</v>
      </c>
      <c r="F769" s="1374"/>
      <c r="G769" s="1374"/>
      <c r="H769" s="1374"/>
      <c r="I769" s="1374"/>
      <c r="J769" s="1374"/>
      <c r="K769" s="1374"/>
      <c r="L769" s="1374"/>
      <c r="M769" s="911"/>
      <c r="N769" s="1374"/>
      <c r="O769" s="1024">
        <v>42705</v>
      </c>
      <c r="P769" s="1625">
        <f ca="1">VLOOKUP($O769,INDIRECT("'"&amp;P$709&amp;"'!"&amp;"$A$5:$CA$100"),VLOOKUP('NG Analysis'!$A$157,$O$685:$R$699,COLUMN(P$685) - COLUMN($O$685) + 1,FALSE),FALSE)</f>
        <v>2.5790000000000002</v>
      </c>
      <c r="Q769" s="1625">
        <f ca="1">VLOOKUP($O769,INDIRECT("'"&amp;Q$709&amp;"'!"&amp;"$A$5:$CA$100"),VLOOKUP('NG Analysis'!$A$157,$O$685:$R$699,COLUMN(Q$685) - COLUMN($O$685) + 1,FALSE),FALSE)</f>
        <v>2.5790000000000002</v>
      </c>
      <c r="R769" s="1625">
        <f ca="1">VLOOKUP($O769,INDIRECT("'"&amp;R$709&amp;"'!"&amp;"$A$5:$CA$100"),VLOOKUP('NG Analysis'!$A$157,$O$685:$R$699,COLUMN(R$685) - COLUMN($O$685) + 1,FALSE),FALSE)</f>
        <v>2.5510000000000002</v>
      </c>
      <c r="S769" s="1374"/>
      <c r="T769" s="1374"/>
      <c r="U769" s="1374"/>
      <c r="V769" s="1374"/>
      <c r="W769" s="1374"/>
      <c r="X769" s="1374"/>
      <c r="Y769" s="1374"/>
      <c r="Z769" s="911"/>
      <c r="AA769" s="1439"/>
    </row>
    <row r="770" spans="1:27" x14ac:dyDescent="0.3">
      <c r="A770" s="1036">
        <v>42795</v>
      </c>
      <c r="B770" s="706">
        <f ca="1">IF('Elec. Analysis'!$A$156=$A$696,VLOOKUP($A770,INDIRECT("'"&amp;B$707&amp;"'!"&amp;"$A$5:$CA$100"),VLOOKUP($A$695,$A$688:$E$703,COLUMN(B$688) - COLUMN($A$688) +1,FALSE),FALSE) + VLOOKUP($A770,INDIRECT("'"&amp;B$707&amp;"'!"&amp;"$A$5:$CA$100"),VLOOKUP($A$694,$A$688:$E$703,COLUMN(B$688) - COLUMN($A$688) +1,FALSE),FALSE),IF('Elec. Analysis'!$A$156=$A$699,VLOOKUP($A770,INDIRECT("'"&amp;B$707&amp;"'!"&amp;"$A$5:$CA$100"),VLOOKUP($A$698,$A$688:$E$703,COLUMN(B$688) - COLUMN($A$688) +1,FALSE),FALSE) - VLOOKUP($A770,INDIRECT("'"&amp;B$707&amp;"'!"&amp;"$A$5:$CA$100"),VLOOKUP($A$700,$A$688:$E$703,COLUMN(B$688) - COLUMN($A$688) +1,FALSE),FALSE),VLOOKUP($A770,INDIRECT("'"&amp;B$707&amp;"'!"&amp;"$A$5:$CA$100"),VLOOKUP('Elec. Analysis'!$A$156,$A$688:$E$703,COLUMN(B$688) - COLUMN($A$688) +1,FALSE),FALSE)))</f>
        <v>3.4390000000000001</v>
      </c>
      <c r="C770" s="706">
        <f ca="1">IF('Elec. Analysis'!$A$156=$A$696,VLOOKUP($A770,INDIRECT("'"&amp;C$707&amp;"'!"&amp;"$A$5:$CA$100"),VLOOKUP($A$695,$A$688:$E$703,COLUMN(C$688) - COLUMN($A$688) +1,FALSE),FALSE) + VLOOKUP($A770,INDIRECT("'"&amp;C$707&amp;"'!"&amp;"$A$5:$CA$100"),VLOOKUP($A$694,$A$688:$E$703,COLUMN(C$688) - COLUMN($A$688) +1,FALSE),FALSE),IF('Elec. Analysis'!$A$156=$A$699,VLOOKUP($A770,INDIRECT("'"&amp;C$707&amp;"'!"&amp;"$A$5:$CA$100"),VLOOKUP($A$698,$A$688:$E$703,COLUMN(C$688) - COLUMN($A$688) +1,FALSE),FALSE) - VLOOKUP($A770,INDIRECT("'"&amp;C$707&amp;"'!"&amp;"$A$5:$CA$100"),VLOOKUP($A$700,$A$688:$E$703,COLUMN(C$688) - COLUMN($A$688) +1,FALSE),FALSE),VLOOKUP($A770,INDIRECT("'"&amp;C$707&amp;"'!"&amp;"$A$5:$CA$100"),VLOOKUP('Elec. Analysis'!$A$156,$A$688:$E$703,COLUMN(C$688) - COLUMN($A$688) +1,FALSE),FALSE)))</f>
        <v>3.32</v>
      </c>
      <c r="D770" s="706">
        <f ca="1">IF('Elec. Analysis'!$A$156=$A$696,VLOOKUP($A770,INDIRECT("'"&amp;D$707&amp;"'!"&amp;"$A$5:$CA$100"),VLOOKUP($A$695,$A$688:$E$703,COLUMN(D$688) - COLUMN($A$688) +1,FALSE),FALSE) + VLOOKUP($A770,INDIRECT("'"&amp;D$707&amp;"'!"&amp;"$A$5:$CA$100"),VLOOKUP($A$694,$A$688:$E$703,COLUMN(D$688) - COLUMN($A$688) +1,FALSE),FALSE),IF('Elec. Analysis'!$A$156=$A$699,VLOOKUP($A770,INDIRECT("'"&amp;D$707&amp;"'!"&amp;"$A$5:$CA$100"),VLOOKUP($A$698,$A$688:$E$703,COLUMN(D$688) - COLUMN($A$688) +1,FALSE),FALSE) - VLOOKUP($A770,INDIRECT("'"&amp;D$707&amp;"'!"&amp;"$A$5:$CA$100"),VLOOKUP($A$700,$A$688:$E$703,COLUMN(D$688) - COLUMN($A$688) +1,FALSE),FALSE),VLOOKUP($A770,INDIRECT("'"&amp;D$707&amp;"'!"&amp;"$A$5:$CA$100"),VLOOKUP('Elec. Analysis'!$A$156,$A$688:$E$703,COLUMN(D$688) - COLUMN($A$688) +1,FALSE),FALSE)))</f>
        <v>3.2749999999999999</v>
      </c>
      <c r="E770" s="706">
        <f ca="1">IF('Elec. Analysis'!$A$156=$A$696,VLOOKUP($A770,INDIRECT("'"&amp;E$707&amp;"'!"&amp;"$A$5:$CA$100"),VLOOKUP($A$695,$A$688:$E$703,COLUMN(E$688) - COLUMN($A$688) +1,FALSE),FALSE) + VLOOKUP($A770,INDIRECT("'"&amp;E$707&amp;"'!"&amp;"$A$5:$CA$100"),VLOOKUP($A$694,$A$688:$E$703,COLUMN(E$688) - COLUMN($A$688) +1,FALSE),FALSE),IF('Elec. Analysis'!$A$156=$A$699,VLOOKUP($A770,INDIRECT("'"&amp;E$707&amp;"'!"&amp;"$A$5:$CA$100"),VLOOKUP($A$698,$A$688:$E$703,COLUMN(E$688) - COLUMN($A$688) +1,FALSE),FALSE) - VLOOKUP($A770,INDIRECT("'"&amp;E$707&amp;"'!"&amp;"$A$5:$CA$100"),VLOOKUP($A$700,$A$688:$E$703,COLUMN(E$688) - COLUMN($A$688) +1,FALSE),FALSE),VLOOKUP($A770,INDIRECT("'"&amp;E$707&amp;"'!"&amp;"$A$5:$CA$100"),VLOOKUP('Elec. Analysis'!$A$156,$A$688:$E$703,COLUMN(E$688) - COLUMN($A$688) +1,FALSE),FALSE)))</f>
        <v>3.4620000000000002</v>
      </c>
      <c r="F770" s="1374"/>
      <c r="G770" s="1374"/>
      <c r="H770" s="1374"/>
      <c r="I770" s="1374"/>
      <c r="J770" s="1374"/>
      <c r="K770" s="1374"/>
      <c r="L770" s="1374"/>
      <c r="M770" s="911"/>
      <c r="N770" s="1374"/>
      <c r="O770" s="1024">
        <v>42736</v>
      </c>
      <c r="P770" s="1625">
        <f ca="1">VLOOKUP($O770,INDIRECT("'"&amp;P$709&amp;"'!"&amp;"$A$5:$CA$100"),VLOOKUP('NG Analysis'!$A$157,$O$685:$R$699,COLUMN(P$685) - COLUMN($O$685) + 1,FALSE),FALSE)</f>
        <v>3.7450000000000001</v>
      </c>
      <c r="Q770" s="1625">
        <f ca="1">VLOOKUP($O770,INDIRECT("'"&amp;Q$709&amp;"'!"&amp;"$A$5:$CA$100"),VLOOKUP('NG Analysis'!$A$157,$O$685:$R$699,COLUMN(Q$685) - COLUMN($O$685) + 1,FALSE),FALSE)</f>
        <v>3.7450000000000001</v>
      </c>
      <c r="R770" s="1625">
        <f ca="1">VLOOKUP($O770,INDIRECT("'"&amp;R$709&amp;"'!"&amp;"$A$5:$CA$100"),VLOOKUP('NG Analysis'!$A$157,$O$685:$R$699,COLUMN(R$685) - COLUMN($O$685) + 1,FALSE),FALSE)</f>
        <v>3.0859999999999999</v>
      </c>
      <c r="S770" s="1374"/>
      <c r="T770" s="1374"/>
      <c r="U770" s="1374"/>
      <c r="V770" s="1374"/>
      <c r="W770" s="1374"/>
      <c r="X770" s="1374"/>
      <c r="Y770" s="1374"/>
      <c r="Z770" s="911"/>
      <c r="AA770" s="1439"/>
    </row>
    <row r="771" spans="1:27" x14ac:dyDescent="0.3">
      <c r="A771" s="1036">
        <v>42826</v>
      </c>
      <c r="B771" s="706">
        <f ca="1">IF('Elec. Analysis'!$A$156=$A$696,VLOOKUP($A771,INDIRECT("'"&amp;B$707&amp;"'!"&amp;"$A$5:$CA$100"),VLOOKUP($A$695,$A$688:$E$703,COLUMN(B$688) - COLUMN($A$688) +1,FALSE),FALSE) + VLOOKUP($A771,INDIRECT("'"&amp;B$707&amp;"'!"&amp;"$A$5:$CA$100"),VLOOKUP($A$694,$A$688:$E$703,COLUMN(B$688) - COLUMN($A$688) +1,FALSE),FALSE),IF('Elec. Analysis'!$A$156=$A$699,VLOOKUP($A771,INDIRECT("'"&amp;B$707&amp;"'!"&amp;"$A$5:$CA$100"),VLOOKUP($A$698,$A$688:$E$703,COLUMN(B$688) - COLUMN($A$688) +1,FALSE),FALSE) - VLOOKUP($A771,INDIRECT("'"&amp;B$707&amp;"'!"&amp;"$A$5:$CA$100"),VLOOKUP($A$700,$A$688:$E$703,COLUMN(B$688) - COLUMN($A$688) +1,FALSE),FALSE),VLOOKUP($A771,INDIRECT("'"&amp;B$707&amp;"'!"&amp;"$A$5:$CA$100"),VLOOKUP('Elec. Analysis'!$A$156,$A$688:$E$703,COLUMN(B$688) - COLUMN($A$688) +1,FALSE),FALSE)))</f>
        <v>3.0567000000000002</v>
      </c>
      <c r="C771" s="706">
        <f ca="1">IF('Elec. Analysis'!$A$156=$A$696,VLOOKUP($A771,INDIRECT("'"&amp;C$707&amp;"'!"&amp;"$A$5:$CA$100"),VLOOKUP($A$695,$A$688:$E$703,COLUMN(C$688) - COLUMN($A$688) +1,FALSE),FALSE) + VLOOKUP($A771,INDIRECT("'"&amp;C$707&amp;"'!"&amp;"$A$5:$CA$100"),VLOOKUP($A$694,$A$688:$E$703,COLUMN(C$688) - COLUMN($A$688) +1,FALSE),FALSE),IF('Elec. Analysis'!$A$156=$A$699,VLOOKUP($A771,INDIRECT("'"&amp;C$707&amp;"'!"&amp;"$A$5:$CA$100"),VLOOKUP($A$698,$A$688:$E$703,COLUMN(C$688) - COLUMN($A$688) +1,FALSE),FALSE) - VLOOKUP($A771,INDIRECT("'"&amp;C$707&amp;"'!"&amp;"$A$5:$CA$100"),VLOOKUP($A$700,$A$688:$E$703,COLUMN(C$688) - COLUMN($A$688) +1,FALSE),FALSE),VLOOKUP($A771,INDIRECT("'"&amp;C$707&amp;"'!"&amp;"$A$5:$CA$100"),VLOOKUP('Elec. Analysis'!$A$156,$A$688:$E$703,COLUMN(C$688) - COLUMN($A$688) +1,FALSE),FALSE)))</f>
        <v>3.032</v>
      </c>
      <c r="D771" s="706">
        <f ca="1">IF('Elec. Analysis'!$A$156=$A$696,VLOOKUP($A771,INDIRECT("'"&amp;D$707&amp;"'!"&amp;"$A$5:$CA$100"),VLOOKUP($A$695,$A$688:$E$703,COLUMN(D$688) - COLUMN($A$688) +1,FALSE),FALSE) + VLOOKUP($A771,INDIRECT("'"&amp;D$707&amp;"'!"&amp;"$A$5:$CA$100"),VLOOKUP($A$694,$A$688:$E$703,COLUMN(D$688) - COLUMN($A$688) +1,FALSE),FALSE),IF('Elec. Analysis'!$A$156=$A$699,VLOOKUP($A771,INDIRECT("'"&amp;D$707&amp;"'!"&amp;"$A$5:$CA$100"),VLOOKUP($A$698,$A$688:$E$703,COLUMN(D$688) - COLUMN($A$688) +1,FALSE),FALSE) - VLOOKUP($A771,INDIRECT("'"&amp;D$707&amp;"'!"&amp;"$A$5:$CA$100"),VLOOKUP($A$700,$A$688:$E$703,COLUMN(D$688) - COLUMN($A$688) +1,FALSE),FALSE),VLOOKUP($A771,INDIRECT("'"&amp;D$707&amp;"'!"&amp;"$A$5:$CA$100"),VLOOKUP('Elec. Analysis'!$A$156,$A$688:$E$703,COLUMN(D$688) - COLUMN($A$688) +1,FALSE),FALSE)))</f>
        <v>2.9849999999999999</v>
      </c>
      <c r="E771" s="706">
        <f ca="1">IF('Elec. Analysis'!$A$156=$A$696,VLOOKUP($A771,INDIRECT("'"&amp;E$707&amp;"'!"&amp;"$A$5:$CA$100"),VLOOKUP($A$695,$A$688:$E$703,COLUMN(E$688) - COLUMN($A$688) +1,FALSE),FALSE) + VLOOKUP($A771,INDIRECT("'"&amp;E$707&amp;"'!"&amp;"$A$5:$CA$100"),VLOOKUP($A$694,$A$688:$E$703,COLUMN(E$688) - COLUMN($A$688) +1,FALSE),FALSE),IF('Elec. Analysis'!$A$156=$A$699,VLOOKUP($A771,INDIRECT("'"&amp;E$707&amp;"'!"&amp;"$A$5:$CA$100"),VLOOKUP($A$698,$A$688:$E$703,COLUMN(E$688) - COLUMN($A$688) +1,FALSE),FALSE) - VLOOKUP($A771,INDIRECT("'"&amp;E$707&amp;"'!"&amp;"$A$5:$CA$100"),VLOOKUP($A$700,$A$688:$E$703,COLUMN(E$688) - COLUMN($A$688) +1,FALSE),FALSE),VLOOKUP($A771,INDIRECT("'"&amp;E$707&amp;"'!"&amp;"$A$5:$CA$100"),VLOOKUP('Elec. Analysis'!$A$156,$A$688:$E$703,COLUMN(E$688) - COLUMN($A$688) +1,FALSE),FALSE)))</f>
        <v>3.0830000000000002</v>
      </c>
      <c r="F771" s="1374"/>
      <c r="G771" s="1374"/>
      <c r="H771" s="1374"/>
      <c r="I771" s="1374"/>
      <c r="J771" s="1374"/>
      <c r="K771" s="1374"/>
      <c r="L771" s="1374"/>
      <c r="M771" s="911"/>
      <c r="N771" s="1374"/>
      <c r="O771" s="1074">
        <v>42767</v>
      </c>
      <c r="P771" s="1625">
        <f ca="1">VLOOKUP($O771,INDIRECT("'"&amp;P$709&amp;"'!"&amp;"$A$5:$CA$100"),VLOOKUP('NG Analysis'!$A$157,$O$685:$R$699,COLUMN(P$685) - COLUMN($O$685) + 1,FALSE),FALSE)</f>
        <v>2.6419999999999999</v>
      </c>
      <c r="Q771" s="1625">
        <f ca="1">VLOOKUP($O771,INDIRECT("'"&amp;Q$709&amp;"'!"&amp;"$A$5:$CA$100"),VLOOKUP('NG Analysis'!$A$157,$O$685:$R$699,COLUMN(Q$685) - COLUMN($O$685) + 1,FALSE),FALSE)</f>
        <v>2.6419999999999999</v>
      </c>
      <c r="R771" s="1625">
        <f ca="1">VLOOKUP($O771,INDIRECT("'"&amp;R$709&amp;"'!"&amp;"$A$5:$CA$100"),VLOOKUP('NG Analysis'!$A$157,$O$685:$R$699,COLUMN(R$685) - COLUMN($O$685) + 1,FALSE),FALSE)</f>
        <v>2.2029999999999998</v>
      </c>
      <c r="S771" s="1374"/>
      <c r="T771" s="1374"/>
      <c r="U771" s="1374"/>
      <c r="V771" s="1374"/>
      <c r="W771" s="1374"/>
      <c r="X771" s="1374"/>
      <c r="Y771" s="1374"/>
      <c r="Z771" s="911"/>
      <c r="AA771" s="1439"/>
    </row>
    <row r="772" spans="1:27" x14ac:dyDescent="0.3">
      <c r="A772" s="1036">
        <v>42856</v>
      </c>
      <c r="B772" s="706">
        <f ca="1">IF('Elec. Analysis'!$A$156=$A$696,VLOOKUP($A772,INDIRECT("'"&amp;B$707&amp;"'!"&amp;"$A$5:$CA$100"),VLOOKUP($A$695,$A$688:$E$703,COLUMN(B$688) - COLUMN($A$688) +1,FALSE),FALSE) + VLOOKUP($A772,INDIRECT("'"&amp;B$707&amp;"'!"&amp;"$A$5:$CA$100"),VLOOKUP($A$694,$A$688:$E$703,COLUMN(B$688) - COLUMN($A$688) +1,FALSE),FALSE),IF('Elec. Analysis'!$A$156=$A$699,VLOOKUP($A772,INDIRECT("'"&amp;B$707&amp;"'!"&amp;"$A$5:$CA$100"),VLOOKUP($A$698,$A$688:$E$703,COLUMN(B$688) - COLUMN($A$688) +1,FALSE),FALSE) - VLOOKUP($A772,INDIRECT("'"&amp;B$707&amp;"'!"&amp;"$A$5:$CA$100"),VLOOKUP($A$700,$A$688:$E$703,COLUMN(B$688) - COLUMN($A$688) +1,FALSE),FALSE),VLOOKUP($A772,INDIRECT("'"&amp;B$707&amp;"'!"&amp;"$A$5:$CA$100"),VLOOKUP('Elec. Analysis'!$A$156,$A$688:$E$703,COLUMN(B$688) - COLUMN($A$688) +1,FALSE),FALSE)))</f>
        <v>2.9834999999999998</v>
      </c>
      <c r="C772" s="706">
        <f ca="1">IF('Elec. Analysis'!$A$156=$A$696,VLOOKUP($A772,INDIRECT("'"&amp;C$707&amp;"'!"&amp;"$A$5:$CA$100"),VLOOKUP($A$695,$A$688:$E$703,COLUMN(C$688) - COLUMN($A$688) +1,FALSE),FALSE) + VLOOKUP($A772,INDIRECT("'"&amp;C$707&amp;"'!"&amp;"$A$5:$CA$100"),VLOOKUP($A$694,$A$688:$E$703,COLUMN(C$688) - COLUMN($A$688) +1,FALSE),FALSE),IF('Elec. Analysis'!$A$156=$A$699,VLOOKUP($A772,INDIRECT("'"&amp;C$707&amp;"'!"&amp;"$A$5:$CA$100"),VLOOKUP($A$698,$A$688:$E$703,COLUMN(C$688) - COLUMN($A$688) +1,FALSE),FALSE) - VLOOKUP($A772,INDIRECT("'"&amp;C$707&amp;"'!"&amp;"$A$5:$CA$100"),VLOOKUP($A$700,$A$688:$E$703,COLUMN(C$688) - COLUMN($A$688) +1,FALSE),FALSE),VLOOKUP($A772,INDIRECT("'"&amp;C$707&amp;"'!"&amp;"$A$5:$CA$100"),VLOOKUP('Elec. Analysis'!$A$156,$A$688:$E$703,COLUMN(C$688) - COLUMN($A$688) +1,FALSE),FALSE)))</f>
        <v>2.782</v>
      </c>
      <c r="D772" s="706">
        <f ca="1">IF('Elec. Analysis'!$A$156=$A$696,VLOOKUP($A772,INDIRECT("'"&amp;D$707&amp;"'!"&amp;"$A$5:$CA$100"),VLOOKUP($A$695,$A$688:$E$703,COLUMN(D$688) - COLUMN($A$688) +1,FALSE),FALSE) + VLOOKUP($A772,INDIRECT("'"&amp;D$707&amp;"'!"&amp;"$A$5:$CA$100"),VLOOKUP($A$694,$A$688:$E$703,COLUMN(D$688) - COLUMN($A$688) +1,FALSE),FALSE),IF('Elec. Analysis'!$A$156=$A$699,VLOOKUP($A772,INDIRECT("'"&amp;D$707&amp;"'!"&amp;"$A$5:$CA$100"),VLOOKUP($A$698,$A$688:$E$703,COLUMN(D$688) - COLUMN($A$688) +1,FALSE),FALSE) - VLOOKUP($A772,INDIRECT("'"&amp;D$707&amp;"'!"&amp;"$A$5:$CA$100"),VLOOKUP($A$700,$A$688:$E$703,COLUMN(D$688) - COLUMN($A$688) +1,FALSE),FALSE),VLOOKUP($A772,INDIRECT("'"&amp;D$707&amp;"'!"&amp;"$A$5:$CA$100"),VLOOKUP('Elec. Analysis'!$A$156,$A$688:$E$703,COLUMN(D$688) - COLUMN($A$688) +1,FALSE),FALSE)))</f>
        <v>2.7440000000000002</v>
      </c>
      <c r="E772" s="706">
        <f ca="1">IF('Elec. Analysis'!$A$156=$A$696,VLOOKUP($A772,INDIRECT("'"&amp;E$707&amp;"'!"&amp;"$A$5:$CA$100"),VLOOKUP($A$695,$A$688:$E$703,COLUMN(E$688) - COLUMN($A$688) +1,FALSE),FALSE) + VLOOKUP($A772,INDIRECT("'"&amp;E$707&amp;"'!"&amp;"$A$5:$CA$100"),VLOOKUP($A$694,$A$688:$E$703,COLUMN(E$688) - COLUMN($A$688) +1,FALSE),FALSE),IF('Elec. Analysis'!$A$156=$A$699,VLOOKUP($A772,INDIRECT("'"&amp;E$707&amp;"'!"&amp;"$A$5:$CA$100"),VLOOKUP($A$698,$A$688:$E$703,COLUMN(E$688) - COLUMN($A$688) +1,FALSE),FALSE) - VLOOKUP($A772,INDIRECT("'"&amp;E$707&amp;"'!"&amp;"$A$5:$CA$100"),VLOOKUP($A$700,$A$688:$E$703,COLUMN(E$688) - COLUMN($A$688) +1,FALSE),FALSE),VLOOKUP($A772,INDIRECT("'"&amp;E$707&amp;"'!"&amp;"$A$5:$CA$100"),VLOOKUP('Elec. Analysis'!$A$156,$A$688:$E$703,COLUMN(E$688) - COLUMN($A$688) +1,FALSE),FALSE)))</f>
        <v>3.016</v>
      </c>
      <c r="F772" s="1374"/>
      <c r="G772" s="1374"/>
      <c r="H772" s="1374"/>
      <c r="I772" s="1374"/>
      <c r="J772" s="1374"/>
      <c r="K772" s="1374"/>
      <c r="L772" s="1374"/>
      <c r="M772" s="911"/>
      <c r="N772" s="1374"/>
      <c r="O772" s="1024">
        <v>42795</v>
      </c>
      <c r="P772" s="1625">
        <f ca="1">VLOOKUP($O772,INDIRECT("'"&amp;P$709&amp;"'!"&amp;"$A$5:$CA$100"),VLOOKUP('NG Analysis'!$A$157,$O$685:$R$699,COLUMN(P$685) - COLUMN($O$685) + 1,FALSE),FALSE)</f>
        <v>1.885</v>
      </c>
      <c r="Q772" s="1625">
        <f ca="1">VLOOKUP($O772,INDIRECT("'"&amp;Q$709&amp;"'!"&amp;"$A$5:$CA$100"),VLOOKUP('NG Analysis'!$A$157,$O$685:$R$699,COLUMN(Q$685) - COLUMN($O$685) + 1,FALSE),FALSE)</f>
        <v>1.885</v>
      </c>
      <c r="R772" s="1625">
        <f ca="1">VLOOKUP($O772,INDIRECT("'"&amp;R$709&amp;"'!"&amp;"$A$5:$CA$100"),VLOOKUP('NG Analysis'!$A$157,$O$685:$R$699,COLUMN(R$685) - COLUMN($O$685) + 1,FALSE),FALSE)</f>
        <v>2.968</v>
      </c>
      <c r="S772" s="1374"/>
      <c r="T772" s="1374"/>
      <c r="U772" s="1374"/>
      <c r="V772" s="1374"/>
      <c r="W772" s="1374"/>
      <c r="X772" s="1374"/>
      <c r="Y772" s="1374"/>
      <c r="Z772" s="911"/>
      <c r="AA772" s="1439"/>
    </row>
    <row r="773" spans="1:27" x14ac:dyDescent="0.3">
      <c r="A773" s="1036">
        <v>42887</v>
      </c>
      <c r="B773" s="706">
        <f ca="1">IF('Elec. Analysis'!$A$156=$A$696,VLOOKUP($A773,INDIRECT("'"&amp;B$707&amp;"'!"&amp;"$A$5:$CA$100"),VLOOKUP($A$695,$A$688:$E$703,COLUMN(B$688) - COLUMN($A$688) +1,FALSE),FALSE) + VLOOKUP($A773,INDIRECT("'"&amp;B$707&amp;"'!"&amp;"$A$5:$CA$100"),VLOOKUP($A$694,$A$688:$E$703,COLUMN(B$688) - COLUMN($A$688) +1,FALSE),FALSE),IF('Elec. Analysis'!$A$156=$A$699,VLOOKUP($A773,INDIRECT("'"&amp;B$707&amp;"'!"&amp;"$A$5:$CA$100"),VLOOKUP($A$698,$A$688:$E$703,COLUMN(B$688) - COLUMN($A$688) +1,FALSE),FALSE) - VLOOKUP($A773,INDIRECT("'"&amp;B$707&amp;"'!"&amp;"$A$5:$CA$100"),VLOOKUP($A$700,$A$688:$E$703,COLUMN(B$688) - COLUMN($A$688) +1,FALSE),FALSE),VLOOKUP($A773,INDIRECT("'"&amp;B$707&amp;"'!"&amp;"$A$5:$CA$100"),VLOOKUP('Elec. Analysis'!$A$156,$A$688:$E$703,COLUMN(B$688) - COLUMN($A$688) +1,FALSE),FALSE)))</f>
        <v>3.3946999999999998</v>
      </c>
      <c r="C773" s="706">
        <f ca="1">IF('Elec. Analysis'!$A$156=$A$696,VLOOKUP($A773,INDIRECT("'"&amp;C$707&amp;"'!"&amp;"$A$5:$CA$100"),VLOOKUP($A$695,$A$688:$E$703,COLUMN(C$688) - COLUMN($A$688) +1,FALSE),FALSE) + VLOOKUP($A773,INDIRECT("'"&amp;C$707&amp;"'!"&amp;"$A$5:$CA$100"),VLOOKUP($A$694,$A$688:$E$703,COLUMN(C$688) - COLUMN($A$688) +1,FALSE),FALSE),IF('Elec. Analysis'!$A$156=$A$699,VLOOKUP($A773,INDIRECT("'"&amp;C$707&amp;"'!"&amp;"$A$5:$CA$100"),VLOOKUP($A$698,$A$688:$E$703,COLUMN(C$688) - COLUMN($A$688) +1,FALSE),FALSE) - VLOOKUP($A773,INDIRECT("'"&amp;C$707&amp;"'!"&amp;"$A$5:$CA$100"),VLOOKUP($A$700,$A$688:$E$703,COLUMN(C$688) - COLUMN($A$688) +1,FALSE),FALSE),VLOOKUP($A773,INDIRECT("'"&amp;C$707&amp;"'!"&amp;"$A$5:$CA$100"),VLOOKUP('Elec. Analysis'!$A$156,$A$688:$E$703,COLUMN(C$688) - COLUMN($A$688) +1,FALSE),FALSE)))</f>
        <v>2.823</v>
      </c>
      <c r="D773" s="706">
        <f ca="1">IF('Elec. Analysis'!$A$156=$A$696,VLOOKUP($A773,INDIRECT("'"&amp;D$707&amp;"'!"&amp;"$A$5:$CA$100"),VLOOKUP($A$695,$A$688:$E$703,COLUMN(D$688) - COLUMN($A$688) +1,FALSE),FALSE) + VLOOKUP($A773,INDIRECT("'"&amp;D$707&amp;"'!"&amp;"$A$5:$CA$100"),VLOOKUP($A$694,$A$688:$E$703,COLUMN(D$688) - COLUMN($A$688) +1,FALSE),FALSE),IF('Elec. Analysis'!$A$156=$A$699,VLOOKUP($A773,INDIRECT("'"&amp;D$707&amp;"'!"&amp;"$A$5:$CA$100"),VLOOKUP($A$698,$A$688:$E$703,COLUMN(D$688) - COLUMN($A$688) +1,FALSE),FALSE) - VLOOKUP($A773,INDIRECT("'"&amp;D$707&amp;"'!"&amp;"$A$5:$CA$100"),VLOOKUP($A$700,$A$688:$E$703,COLUMN(D$688) - COLUMN($A$688) +1,FALSE),FALSE),VLOOKUP($A773,INDIRECT("'"&amp;D$707&amp;"'!"&amp;"$A$5:$CA$100"),VLOOKUP('Elec. Analysis'!$A$156,$A$688:$E$703,COLUMN(D$688) - COLUMN($A$688) +1,FALSE),FALSE)))</f>
        <v>2.7890000000000001</v>
      </c>
      <c r="E773" s="706">
        <f ca="1">IF('Elec. Analysis'!$A$156=$A$696,VLOOKUP($A773,INDIRECT("'"&amp;E$707&amp;"'!"&amp;"$A$5:$CA$100"),VLOOKUP($A$695,$A$688:$E$703,COLUMN(E$688) - COLUMN($A$688) +1,FALSE),FALSE) + VLOOKUP($A773,INDIRECT("'"&amp;E$707&amp;"'!"&amp;"$A$5:$CA$100"),VLOOKUP($A$694,$A$688:$E$703,COLUMN(E$688) - COLUMN($A$688) +1,FALSE),FALSE),IF('Elec. Analysis'!$A$156=$A$699,VLOOKUP($A773,INDIRECT("'"&amp;E$707&amp;"'!"&amp;"$A$5:$CA$100"),VLOOKUP($A$698,$A$688:$E$703,COLUMN(E$688) - COLUMN($A$688) +1,FALSE),FALSE) - VLOOKUP($A773,INDIRECT("'"&amp;E$707&amp;"'!"&amp;"$A$5:$CA$100"),VLOOKUP($A$700,$A$688:$E$703,COLUMN(E$688) - COLUMN($A$688) +1,FALSE),FALSE),VLOOKUP($A773,INDIRECT("'"&amp;E$707&amp;"'!"&amp;"$A$5:$CA$100"),VLOOKUP('Elec. Analysis'!$A$156,$A$688:$E$703,COLUMN(E$688) - COLUMN($A$688) +1,FALSE),FALSE)))</f>
        <v>3.4340000000000002</v>
      </c>
      <c r="F773" s="1374"/>
      <c r="G773" s="1374"/>
      <c r="H773" s="1374"/>
      <c r="I773" s="1374"/>
      <c r="J773" s="1374"/>
      <c r="K773" s="1374"/>
      <c r="L773" s="1374"/>
      <c r="M773" s="911"/>
      <c r="N773" s="1374"/>
      <c r="O773" s="1024">
        <v>42826</v>
      </c>
      <c r="P773" s="1625">
        <f ca="1">VLOOKUP($O773,INDIRECT("'"&amp;P$709&amp;"'!"&amp;"$A$5:$CA$100"),VLOOKUP('NG Analysis'!$A$157,$O$685:$R$699,COLUMN(P$685) - COLUMN($O$685) + 1,FALSE),FALSE)</f>
        <v>2.2669999999999999</v>
      </c>
      <c r="Q773" s="1625">
        <f ca="1">VLOOKUP($O773,INDIRECT("'"&amp;Q$709&amp;"'!"&amp;"$A$5:$CA$100"),VLOOKUP('NG Analysis'!$A$157,$O$685:$R$699,COLUMN(Q$685) - COLUMN($O$685) + 1,FALSE),FALSE)</f>
        <v>2.2669999999999999</v>
      </c>
      <c r="R773" s="1625">
        <f ca="1">VLOOKUP($O773,INDIRECT("'"&amp;R$709&amp;"'!"&amp;"$A$5:$CA$100"),VLOOKUP('NG Analysis'!$A$157,$O$685:$R$699,COLUMN(R$685) - COLUMN($O$685) + 1,FALSE),FALSE)</f>
        <v>3.3839999999999999</v>
      </c>
      <c r="S773" s="1374"/>
      <c r="T773" s="1374"/>
      <c r="U773" s="1374"/>
      <c r="V773" s="1374"/>
      <c r="W773" s="1374"/>
      <c r="X773" s="1374"/>
      <c r="Y773" s="1374"/>
      <c r="Z773" s="911"/>
      <c r="AA773" s="1439"/>
    </row>
    <row r="774" spans="1:27" x14ac:dyDescent="0.3">
      <c r="A774" s="1036">
        <v>42917</v>
      </c>
      <c r="B774" s="706">
        <f ca="1">IF('Elec. Analysis'!$A$156=$A$696,VLOOKUP($A774,INDIRECT("'"&amp;B$707&amp;"'!"&amp;"$A$5:$CA$100"),VLOOKUP($A$695,$A$688:$E$703,COLUMN(B$688) - COLUMN($A$688) +1,FALSE),FALSE) + VLOOKUP($A774,INDIRECT("'"&amp;B$707&amp;"'!"&amp;"$A$5:$CA$100"),VLOOKUP($A$694,$A$688:$E$703,COLUMN(B$688) - COLUMN($A$688) +1,FALSE),FALSE),IF('Elec. Analysis'!$A$156=$A$699,VLOOKUP($A774,INDIRECT("'"&amp;B$707&amp;"'!"&amp;"$A$5:$CA$100"),VLOOKUP($A$698,$A$688:$E$703,COLUMN(B$688) - COLUMN($A$688) +1,FALSE),FALSE) - VLOOKUP($A774,INDIRECT("'"&amp;B$707&amp;"'!"&amp;"$A$5:$CA$100"),VLOOKUP($A$700,$A$688:$E$703,COLUMN(B$688) - COLUMN($A$688) +1,FALSE),FALSE),VLOOKUP($A774,INDIRECT("'"&amp;B$707&amp;"'!"&amp;"$A$5:$CA$100"),VLOOKUP('Elec. Analysis'!$A$156,$A$688:$E$703,COLUMN(B$688) - COLUMN($A$688) +1,FALSE),FALSE)))</f>
        <v>4.2127999999999997</v>
      </c>
      <c r="C774" s="706">
        <f ca="1">IF('Elec. Analysis'!$A$156=$A$696,VLOOKUP($A774,INDIRECT("'"&amp;C$707&amp;"'!"&amp;"$A$5:$CA$100"),VLOOKUP($A$695,$A$688:$E$703,COLUMN(C$688) - COLUMN($A$688) +1,FALSE),FALSE) + VLOOKUP($A774,INDIRECT("'"&amp;C$707&amp;"'!"&amp;"$A$5:$CA$100"),VLOOKUP($A$694,$A$688:$E$703,COLUMN(C$688) - COLUMN($A$688) +1,FALSE),FALSE),IF('Elec. Analysis'!$A$156=$A$699,VLOOKUP($A774,INDIRECT("'"&amp;C$707&amp;"'!"&amp;"$A$5:$CA$100"),VLOOKUP($A$698,$A$688:$E$703,COLUMN(C$688) - COLUMN($A$688) +1,FALSE),FALSE) - VLOOKUP($A774,INDIRECT("'"&amp;C$707&amp;"'!"&amp;"$A$5:$CA$100"),VLOOKUP($A$700,$A$688:$E$703,COLUMN(C$688) - COLUMN($A$688) +1,FALSE),FALSE),VLOOKUP($A774,INDIRECT("'"&amp;C$707&amp;"'!"&amp;"$A$5:$CA$100"),VLOOKUP('Elec. Analysis'!$A$156,$A$688:$E$703,COLUMN(C$688) - COLUMN($A$688) +1,FALSE),FALSE)))</f>
        <v>3.4689999999999999</v>
      </c>
      <c r="D774" s="706">
        <f ca="1">IF('Elec. Analysis'!$A$156=$A$696,VLOOKUP($A774,INDIRECT("'"&amp;D$707&amp;"'!"&amp;"$A$5:$CA$100"),VLOOKUP($A$695,$A$688:$E$703,COLUMN(D$688) - COLUMN($A$688) +1,FALSE),FALSE) + VLOOKUP($A774,INDIRECT("'"&amp;D$707&amp;"'!"&amp;"$A$5:$CA$100"),VLOOKUP($A$694,$A$688:$E$703,COLUMN(D$688) - COLUMN($A$688) +1,FALSE),FALSE),IF('Elec. Analysis'!$A$156=$A$699,VLOOKUP($A774,INDIRECT("'"&amp;D$707&amp;"'!"&amp;"$A$5:$CA$100"),VLOOKUP($A$698,$A$688:$E$703,COLUMN(D$688) - COLUMN($A$688) +1,FALSE),FALSE) - VLOOKUP($A774,INDIRECT("'"&amp;D$707&amp;"'!"&amp;"$A$5:$CA$100"),VLOOKUP($A$700,$A$688:$E$703,COLUMN(D$688) - COLUMN($A$688) +1,FALSE),FALSE),VLOOKUP($A774,INDIRECT("'"&amp;D$707&amp;"'!"&amp;"$A$5:$CA$100"),VLOOKUP('Elec. Analysis'!$A$156,$A$688:$E$703,COLUMN(D$688) - COLUMN($A$688) +1,FALSE),FALSE)))</f>
        <v>3.4319999999999999</v>
      </c>
      <c r="E774" s="706">
        <f ca="1">IF('Elec. Analysis'!$A$156=$A$696,VLOOKUP($A774,INDIRECT("'"&amp;E$707&amp;"'!"&amp;"$A$5:$CA$100"),VLOOKUP($A$695,$A$688:$E$703,COLUMN(E$688) - COLUMN($A$688) +1,FALSE),FALSE) + VLOOKUP($A774,INDIRECT("'"&amp;E$707&amp;"'!"&amp;"$A$5:$CA$100"),VLOOKUP($A$694,$A$688:$E$703,COLUMN(E$688) - COLUMN($A$688) +1,FALSE),FALSE),IF('Elec. Analysis'!$A$156=$A$699,VLOOKUP($A774,INDIRECT("'"&amp;E$707&amp;"'!"&amp;"$A$5:$CA$100"),VLOOKUP($A$698,$A$688:$E$703,COLUMN(E$688) - COLUMN($A$688) +1,FALSE),FALSE) - VLOOKUP($A774,INDIRECT("'"&amp;E$707&amp;"'!"&amp;"$A$5:$CA$100"),VLOOKUP($A$700,$A$688:$E$703,COLUMN(E$688) - COLUMN($A$688) +1,FALSE),FALSE),VLOOKUP($A774,INDIRECT("'"&amp;E$707&amp;"'!"&amp;"$A$5:$CA$100"),VLOOKUP('Elec. Analysis'!$A$156,$A$688:$E$703,COLUMN(E$688) - COLUMN($A$688) +1,FALSE),FALSE)))</f>
        <v>4.1989999999999998</v>
      </c>
      <c r="F774" s="1374"/>
      <c r="G774" s="1374"/>
      <c r="H774" s="1374"/>
      <c r="I774" s="1374"/>
      <c r="J774" s="1374"/>
      <c r="K774" s="1374"/>
      <c r="L774" s="1374"/>
      <c r="M774" s="911"/>
      <c r="N774" s="1374"/>
      <c r="O774" s="1024">
        <v>42856</v>
      </c>
      <c r="P774" s="1625">
        <f ca="1">VLOOKUP($O774,INDIRECT("'"&amp;P$709&amp;"'!"&amp;"$A$5:$CA$100"),VLOOKUP('NG Analysis'!$A$157,$O$685:$R$699,COLUMN(P$685) - COLUMN($O$685) + 1,FALSE),FALSE)</f>
        <v>1.952</v>
      </c>
      <c r="Q774" s="1625">
        <f ca="1">VLOOKUP($O774,INDIRECT("'"&amp;Q$709&amp;"'!"&amp;"$A$5:$CA$100"),VLOOKUP('NG Analysis'!$A$157,$O$685:$R$699,COLUMN(Q$685) - COLUMN($O$685) + 1,FALSE),FALSE)</f>
        <v>1.952</v>
      </c>
      <c r="R774" s="1625">
        <f ca="1">VLOOKUP($O774,INDIRECT("'"&amp;R$709&amp;"'!"&amp;"$A$5:$CA$100"),VLOOKUP('NG Analysis'!$A$157,$O$685:$R$699,COLUMN(R$685) - COLUMN($O$685) + 1,FALSE),FALSE)</f>
        <v>3.726</v>
      </c>
      <c r="S774" s="1374"/>
      <c r="T774" s="1374"/>
      <c r="U774" s="1374"/>
      <c r="V774" s="1374"/>
      <c r="W774" s="1374"/>
      <c r="X774" s="1374"/>
      <c r="Y774" s="1374"/>
      <c r="Z774" s="911"/>
      <c r="AA774" s="1439"/>
    </row>
    <row r="775" spans="1:27" x14ac:dyDescent="0.3">
      <c r="A775" s="1036">
        <v>42948</v>
      </c>
      <c r="B775" s="706">
        <f ca="1">IF('Elec. Analysis'!$A$156=$A$696,VLOOKUP($A775,INDIRECT("'"&amp;B$707&amp;"'!"&amp;"$A$5:$CA$100"),VLOOKUP($A$695,$A$688:$E$703,COLUMN(B$688) - COLUMN($A$688) +1,FALSE),FALSE) + VLOOKUP($A775,INDIRECT("'"&amp;B$707&amp;"'!"&amp;"$A$5:$CA$100"),VLOOKUP($A$694,$A$688:$E$703,COLUMN(B$688) - COLUMN($A$688) +1,FALSE),FALSE),IF('Elec. Analysis'!$A$156=$A$699,VLOOKUP($A775,INDIRECT("'"&amp;B$707&amp;"'!"&amp;"$A$5:$CA$100"),VLOOKUP($A$698,$A$688:$E$703,COLUMN(B$688) - COLUMN($A$688) +1,FALSE),FALSE) - VLOOKUP($A775,INDIRECT("'"&amp;B$707&amp;"'!"&amp;"$A$5:$CA$100"),VLOOKUP($A$700,$A$688:$E$703,COLUMN(B$688) - COLUMN($A$688) +1,FALSE),FALSE),VLOOKUP($A775,INDIRECT("'"&amp;B$707&amp;"'!"&amp;"$A$5:$CA$100"),VLOOKUP('Elec. Analysis'!$A$156,$A$688:$E$703,COLUMN(B$688) - COLUMN($A$688) +1,FALSE),FALSE)))</f>
        <v>4.1050000000000004</v>
      </c>
      <c r="C775" s="706">
        <f ca="1">IF('Elec. Analysis'!$A$156=$A$696,VLOOKUP($A775,INDIRECT("'"&amp;C$707&amp;"'!"&amp;"$A$5:$CA$100"),VLOOKUP($A$695,$A$688:$E$703,COLUMN(C$688) - COLUMN($A$688) +1,FALSE),FALSE) + VLOOKUP($A775,INDIRECT("'"&amp;C$707&amp;"'!"&amp;"$A$5:$CA$100"),VLOOKUP($A$694,$A$688:$E$703,COLUMN(C$688) - COLUMN($A$688) +1,FALSE),FALSE),IF('Elec. Analysis'!$A$156=$A$699,VLOOKUP($A775,INDIRECT("'"&amp;C$707&amp;"'!"&amp;"$A$5:$CA$100"),VLOOKUP($A$698,$A$688:$E$703,COLUMN(C$688) - COLUMN($A$688) +1,FALSE),FALSE) - VLOOKUP($A775,INDIRECT("'"&amp;C$707&amp;"'!"&amp;"$A$5:$CA$100"),VLOOKUP($A$700,$A$688:$E$703,COLUMN(C$688) - COLUMN($A$688) +1,FALSE),FALSE),VLOOKUP($A775,INDIRECT("'"&amp;C$707&amp;"'!"&amp;"$A$5:$CA$100"),VLOOKUP('Elec. Analysis'!$A$156,$A$688:$E$703,COLUMN(C$688) - COLUMN($A$688) +1,FALSE),FALSE)))</f>
        <v>3.7149999999999999</v>
      </c>
      <c r="D775" s="706">
        <f ca="1">IF('Elec. Analysis'!$A$156=$A$696,VLOOKUP($A775,INDIRECT("'"&amp;D$707&amp;"'!"&amp;"$A$5:$CA$100"),VLOOKUP($A$695,$A$688:$E$703,COLUMN(D$688) - COLUMN($A$688) +1,FALSE),FALSE) + VLOOKUP($A775,INDIRECT("'"&amp;D$707&amp;"'!"&amp;"$A$5:$CA$100"),VLOOKUP($A$694,$A$688:$E$703,COLUMN(D$688) - COLUMN($A$688) +1,FALSE),FALSE),IF('Elec. Analysis'!$A$156=$A$699,VLOOKUP($A775,INDIRECT("'"&amp;D$707&amp;"'!"&amp;"$A$5:$CA$100"),VLOOKUP($A$698,$A$688:$E$703,COLUMN(D$688) - COLUMN($A$688) +1,FALSE),FALSE) - VLOOKUP($A775,INDIRECT("'"&amp;D$707&amp;"'!"&amp;"$A$5:$CA$100"),VLOOKUP($A$700,$A$688:$E$703,COLUMN(D$688) - COLUMN($A$688) +1,FALSE),FALSE),VLOOKUP($A775,INDIRECT("'"&amp;D$707&amp;"'!"&amp;"$A$5:$CA$100"),VLOOKUP('Elec. Analysis'!$A$156,$A$688:$E$703,COLUMN(D$688) - COLUMN($A$688) +1,FALSE),FALSE)))</f>
        <v>3.6779999999999999</v>
      </c>
      <c r="E775" s="706">
        <f ca="1">IF('Elec. Analysis'!$A$156=$A$696,VLOOKUP($A775,INDIRECT("'"&amp;E$707&amp;"'!"&amp;"$A$5:$CA$100"),VLOOKUP($A$695,$A$688:$E$703,COLUMN(E$688) - COLUMN($A$688) +1,FALSE),FALSE) + VLOOKUP($A775,INDIRECT("'"&amp;E$707&amp;"'!"&amp;"$A$5:$CA$100"),VLOOKUP($A$694,$A$688:$E$703,COLUMN(E$688) - COLUMN($A$688) +1,FALSE),FALSE),IF('Elec. Analysis'!$A$156=$A$699,VLOOKUP($A775,INDIRECT("'"&amp;E$707&amp;"'!"&amp;"$A$5:$CA$100"),VLOOKUP($A$698,$A$688:$E$703,COLUMN(E$688) - COLUMN($A$688) +1,FALSE),FALSE) - VLOOKUP($A775,INDIRECT("'"&amp;E$707&amp;"'!"&amp;"$A$5:$CA$100"),VLOOKUP($A$700,$A$688:$E$703,COLUMN(E$688) - COLUMN($A$688) +1,FALSE),FALSE),VLOOKUP($A775,INDIRECT("'"&amp;E$707&amp;"'!"&amp;"$A$5:$CA$100"),VLOOKUP('Elec. Analysis'!$A$156,$A$688:$E$703,COLUMN(E$688) - COLUMN($A$688) +1,FALSE),FALSE)))</f>
        <v>4.0860000000000003</v>
      </c>
      <c r="F775" s="1374"/>
      <c r="G775" s="1374"/>
      <c r="H775" s="1374"/>
      <c r="I775" s="1374"/>
      <c r="J775" s="1374"/>
      <c r="K775" s="1374"/>
      <c r="L775" s="1374"/>
      <c r="M775" s="911"/>
      <c r="N775" s="1374"/>
      <c r="O775" s="1024">
        <v>42887</v>
      </c>
      <c r="P775" s="1625">
        <f ca="1">VLOOKUP($O775,INDIRECT("'"&amp;P$709&amp;"'!"&amp;"$A$5:$CA$100"),VLOOKUP('NG Analysis'!$A$157,$O$685:$R$699,COLUMN(P$685) - COLUMN($O$685) + 1,FALSE),FALSE)</f>
        <v>1.2350000000000001</v>
      </c>
      <c r="Q775" s="1625">
        <f ca="1">VLOOKUP($O775,INDIRECT("'"&amp;Q$709&amp;"'!"&amp;"$A$5:$CA$100"),VLOOKUP('NG Analysis'!$A$157,$O$685:$R$699,COLUMN(Q$685) - COLUMN($O$685) + 1,FALSE),FALSE)</f>
        <v>1.2350000000000001</v>
      </c>
      <c r="R775" s="1625">
        <f ca="1">VLOOKUP($O775,INDIRECT("'"&amp;R$709&amp;"'!"&amp;"$A$5:$CA$100"),VLOOKUP('NG Analysis'!$A$157,$O$685:$R$699,COLUMN(R$685) - COLUMN($O$685) + 1,FALSE),FALSE)</f>
        <v>4.8040000000000003</v>
      </c>
      <c r="S775" s="1374"/>
      <c r="T775" s="1374"/>
      <c r="U775" s="1374"/>
      <c r="V775" s="1374"/>
      <c r="W775" s="1374"/>
      <c r="X775" s="1374"/>
      <c r="Y775" s="1374"/>
      <c r="Z775" s="911"/>
      <c r="AA775" s="1439"/>
    </row>
    <row r="776" spans="1:27" x14ac:dyDescent="0.3">
      <c r="A776" s="1036">
        <v>42979</v>
      </c>
      <c r="B776" s="706">
        <f ca="1">IF('Elec. Analysis'!$A$156=$A$696,VLOOKUP($A776,INDIRECT("'"&amp;B$707&amp;"'!"&amp;"$A$5:$CA$100"),VLOOKUP($A$695,$A$688:$E$703,COLUMN(B$688) - COLUMN($A$688) +1,FALSE),FALSE) + VLOOKUP($A776,INDIRECT("'"&amp;B$707&amp;"'!"&amp;"$A$5:$CA$100"),VLOOKUP($A$694,$A$688:$E$703,COLUMN(B$688) - COLUMN($A$688) +1,FALSE),FALSE),IF('Elec. Analysis'!$A$156=$A$699,VLOOKUP($A776,INDIRECT("'"&amp;B$707&amp;"'!"&amp;"$A$5:$CA$100"),VLOOKUP($A$698,$A$688:$E$703,COLUMN(B$688) - COLUMN($A$688) +1,FALSE),FALSE) - VLOOKUP($A776,INDIRECT("'"&amp;B$707&amp;"'!"&amp;"$A$5:$CA$100"),VLOOKUP($A$700,$A$688:$E$703,COLUMN(B$688) - COLUMN($A$688) +1,FALSE),FALSE),VLOOKUP($A776,INDIRECT("'"&amp;B$707&amp;"'!"&amp;"$A$5:$CA$100"),VLOOKUP('Elec. Analysis'!$A$156,$A$688:$E$703,COLUMN(B$688) - COLUMN($A$688) +1,FALSE),FALSE)))</f>
        <v>3.766</v>
      </c>
      <c r="C776" s="706">
        <f ca="1">IF('Elec. Analysis'!$A$156=$A$696,VLOOKUP($A776,INDIRECT("'"&amp;C$707&amp;"'!"&amp;"$A$5:$CA$100"),VLOOKUP($A$695,$A$688:$E$703,COLUMN(C$688) - COLUMN($A$688) +1,FALSE),FALSE) + VLOOKUP($A776,INDIRECT("'"&amp;C$707&amp;"'!"&amp;"$A$5:$CA$100"),VLOOKUP($A$694,$A$688:$E$703,COLUMN(C$688) - COLUMN($A$688) +1,FALSE),FALSE),IF('Elec. Analysis'!$A$156=$A$699,VLOOKUP($A776,INDIRECT("'"&amp;C$707&amp;"'!"&amp;"$A$5:$CA$100"),VLOOKUP($A$698,$A$688:$E$703,COLUMN(C$688) - COLUMN($A$688) +1,FALSE),FALSE) - VLOOKUP($A776,INDIRECT("'"&amp;C$707&amp;"'!"&amp;"$A$5:$CA$100"),VLOOKUP($A$700,$A$688:$E$703,COLUMN(C$688) - COLUMN($A$688) +1,FALSE),FALSE),VLOOKUP($A776,INDIRECT("'"&amp;C$707&amp;"'!"&amp;"$A$5:$CA$100"),VLOOKUP('Elec. Analysis'!$A$156,$A$688:$E$703,COLUMN(C$688) - COLUMN($A$688) +1,FALSE),FALSE)))</f>
        <v>3.3650000000000002</v>
      </c>
      <c r="D776" s="706">
        <f ca="1">IF('Elec. Analysis'!$A$156=$A$696,VLOOKUP($A776,INDIRECT("'"&amp;D$707&amp;"'!"&amp;"$A$5:$CA$100"),VLOOKUP($A$695,$A$688:$E$703,COLUMN(D$688) - COLUMN($A$688) +1,FALSE),FALSE) + VLOOKUP($A776,INDIRECT("'"&amp;D$707&amp;"'!"&amp;"$A$5:$CA$100"),VLOOKUP($A$694,$A$688:$E$703,COLUMN(D$688) - COLUMN($A$688) +1,FALSE),FALSE),IF('Elec. Analysis'!$A$156=$A$699,VLOOKUP($A776,INDIRECT("'"&amp;D$707&amp;"'!"&amp;"$A$5:$CA$100"),VLOOKUP($A$698,$A$688:$E$703,COLUMN(D$688) - COLUMN($A$688) +1,FALSE),FALSE) - VLOOKUP($A776,INDIRECT("'"&amp;D$707&amp;"'!"&amp;"$A$5:$CA$100"),VLOOKUP($A$700,$A$688:$E$703,COLUMN(D$688) - COLUMN($A$688) +1,FALSE),FALSE),VLOOKUP($A776,INDIRECT("'"&amp;D$707&amp;"'!"&amp;"$A$5:$CA$100"),VLOOKUP('Elec. Analysis'!$A$156,$A$688:$E$703,COLUMN(D$688) - COLUMN($A$688) +1,FALSE),FALSE)))</f>
        <v>3.32</v>
      </c>
      <c r="E776" s="706">
        <f ca="1">IF('Elec. Analysis'!$A$156=$A$696,VLOOKUP($A776,INDIRECT("'"&amp;E$707&amp;"'!"&amp;"$A$5:$CA$100"),VLOOKUP($A$695,$A$688:$E$703,COLUMN(E$688) - COLUMN($A$688) +1,FALSE),FALSE) + VLOOKUP($A776,INDIRECT("'"&amp;E$707&amp;"'!"&amp;"$A$5:$CA$100"),VLOOKUP($A$694,$A$688:$E$703,COLUMN(E$688) - COLUMN($A$688) +1,FALSE),FALSE),IF('Elec. Analysis'!$A$156=$A$699,VLOOKUP($A776,INDIRECT("'"&amp;E$707&amp;"'!"&amp;"$A$5:$CA$100"),VLOOKUP($A$698,$A$688:$E$703,COLUMN(E$688) - COLUMN($A$688) +1,FALSE),FALSE) - VLOOKUP($A776,INDIRECT("'"&amp;E$707&amp;"'!"&amp;"$A$5:$CA$100"),VLOOKUP($A$700,$A$688:$E$703,COLUMN(E$688) - COLUMN($A$688) +1,FALSE),FALSE),VLOOKUP($A776,INDIRECT("'"&amp;E$707&amp;"'!"&amp;"$A$5:$CA$100"),VLOOKUP('Elec. Analysis'!$A$156,$A$688:$E$703,COLUMN(E$688) - COLUMN($A$688) +1,FALSE),FALSE)))</f>
        <v>3.8250000000000002</v>
      </c>
      <c r="F776" s="1374"/>
      <c r="G776" s="714"/>
      <c r="H776" s="714"/>
      <c r="I776" s="1374"/>
      <c r="J776" s="1374"/>
      <c r="K776" s="1374"/>
      <c r="L776" s="1374"/>
      <c r="M776" s="911"/>
      <c r="N776" s="1374"/>
      <c r="O776" s="1024">
        <v>42917</v>
      </c>
      <c r="P776" s="1625">
        <f ca="1">VLOOKUP($O776,INDIRECT("'"&amp;P$709&amp;"'!"&amp;"$A$5:$CA$100"),VLOOKUP('NG Analysis'!$A$157,$O$685:$R$699,COLUMN(P$685) - COLUMN($O$685) + 1,FALSE),FALSE)</f>
        <v>1.8220000000000001</v>
      </c>
      <c r="Q776" s="1625">
        <f ca="1">VLOOKUP($O776,INDIRECT("'"&amp;Q$709&amp;"'!"&amp;"$A$5:$CA$100"),VLOOKUP('NG Analysis'!$A$157,$O$685:$R$699,COLUMN(Q$685) - COLUMN($O$685) + 1,FALSE),FALSE)</f>
        <v>1.8220000000000001</v>
      </c>
      <c r="R776" s="1625">
        <f ca="1">VLOOKUP($O776,INDIRECT("'"&amp;R$709&amp;"'!"&amp;"$A$5:$CA$100"),VLOOKUP('NG Analysis'!$A$157,$O$685:$R$699,COLUMN(R$685) - COLUMN($O$685) + 1,FALSE),FALSE)</f>
        <v>2.9020000000000001</v>
      </c>
      <c r="S776" s="1374"/>
      <c r="T776" s="1374"/>
      <c r="U776" s="1374"/>
      <c r="V776" s="1374"/>
      <c r="W776" s="1374"/>
      <c r="X776" s="1374"/>
      <c r="Y776" s="1374"/>
      <c r="Z776" s="911"/>
      <c r="AA776" s="1439"/>
    </row>
    <row r="777" spans="1:27" x14ac:dyDescent="0.3">
      <c r="A777" s="1036">
        <v>43009</v>
      </c>
      <c r="B777" s="706">
        <f ca="1">IF('Elec. Analysis'!$A$156=$A$696,VLOOKUP($A777,INDIRECT("'"&amp;B$707&amp;"'!"&amp;"$A$5:$CA$100"),VLOOKUP($A$695,$A$688:$E$703,COLUMN(B$688) - COLUMN($A$688) +1,FALSE),FALSE) + VLOOKUP($A777,INDIRECT("'"&amp;B$707&amp;"'!"&amp;"$A$5:$CA$100"),VLOOKUP($A$694,$A$688:$E$703,COLUMN(B$688) - COLUMN($A$688) +1,FALSE),FALSE),IF('Elec. Analysis'!$A$156=$A$699,VLOOKUP($A777,INDIRECT("'"&amp;B$707&amp;"'!"&amp;"$A$5:$CA$100"),VLOOKUP($A$698,$A$688:$E$703,COLUMN(B$688) - COLUMN($A$688) +1,FALSE),FALSE) - VLOOKUP($A777,INDIRECT("'"&amp;B$707&amp;"'!"&amp;"$A$5:$CA$100"),VLOOKUP($A$700,$A$688:$E$703,COLUMN(B$688) - COLUMN($A$688) +1,FALSE),FALSE),VLOOKUP($A777,INDIRECT("'"&amp;B$707&amp;"'!"&amp;"$A$5:$CA$100"),VLOOKUP('Elec. Analysis'!$A$156,$A$688:$E$703,COLUMN(B$688) - COLUMN($A$688) +1,FALSE),FALSE)))</f>
        <v>3.8519999999999999</v>
      </c>
      <c r="C777" s="706">
        <f ca="1">IF('Elec. Analysis'!$A$156=$A$696,VLOOKUP($A777,INDIRECT("'"&amp;C$707&amp;"'!"&amp;"$A$5:$CA$100"),VLOOKUP($A$695,$A$688:$E$703,COLUMN(C$688) - COLUMN($A$688) +1,FALSE),FALSE) + VLOOKUP($A777,INDIRECT("'"&amp;C$707&amp;"'!"&amp;"$A$5:$CA$100"),VLOOKUP($A$694,$A$688:$E$703,COLUMN(C$688) - COLUMN($A$688) +1,FALSE),FALSE),IF('Elec. Analysis'!$A$156=$A$699,VLOOKUP($A777,INDIRECT("'"&amp;C$707&amp;"'!"&amp;"$A$5:$CA$100"),VLOOKUP($A$698,$A$688:$E$703,COLUMN(C$688) - COLUMN($A$688) +1,FALSE),FALSE) - VLOOKUP($A777,INDIRECT("'"&amp;C$707&amp;"'!"&amp;"$A$5:$CA$100"),VLOOKUP($A$700,$A$688:$E$703,COLUMN(C$688) - COLUMN($A$688) +1,FALSE),FALSE),VLOOKUP($A777,INDIRECT("'"&amp;C$707&amp;"'!"&amp;"$A$5:$CA$100"),VLOOKUP('Elec. Analysis'!$A$156,$A$688:$E$703,COLUMN(C$688) - COLUMN($A$688) +1,FALSE),FALSE)))</f>
        <v>3.444</v>
      </c>
      <c r="D777" s="706">
        <f ca="1">IF('Elec. Analysis'!$A$156=$A$696,VLOOKUP($A777,INDIRECT("'"&amp;D$707&amp;"'!"&amp;"$A$5:$CA$100"),VLOOKUP($A$695,$A$688:$E$703,COLUMN(D$688) - COLUMN($A$688) +1,FALSE),FALSE) + VLOOKUP($A777,INDIRECT("'"&amp;D$707&amp;"'!"&amp;"$A$5:$CA$100"),VLOOKUP($A$694,$A$688:$E$703,COLUMN(D$688) - COLUMN($A$688) +1,FALSE),FALSE),IF('Elec. Analysis'!$A$156=$A$699,VLOOKUP($A777,INDIRECT("'"&amp;D$707&amp;"'!"&amp;"$A$5:$CA$100"),VLOOKUP($A$698,$A$688:$E$703,COLUMN(D$688) - COLUMN($A$688) +1,FALSE),FALSE) - VLOOKUP($A777,INDIRECT("'"&amp;D$707&amp;"'!"&amp;"$A$5:$CA$100"),VLOOKUP($A$700,$A$688:$E$703,COLUMN(D$688) - COLUMN($A$688) +1,FALSE),FALSE),VLOOKUP($A777,INDIRECT("'"&amp;D$707&amp;"'!"&amp;"$A$5:$CA$100"),VLOOKUP('Elec. Analysis'!$A$156,$A$688:$E$703,COLUMN(D$688) - COLUMN($A$688) +1,FALSE),FALSE)))</f>
        <v>3.4049999999999998</v>
      </c>
      <c r="E777" s="706">
        <f ca="1">IF('Elec. Analysis'!$A$156=$A$696,VLOOKUP($A777,INDIRECT("'"&amp;E$707&amp;"'!"&amp;"$A$5:$CA$100"),VLOOKUP($A$695,$A$688:$E$703,COLUMN(E$688) - COLUMN($A$688) +1,FALSE),FALSE) + VLOOKUP($A777,INDIRECT("'"&amp;E$707&amp;"'!"&amp;"$A$5:$CA$100"),VLOOKUP($A$694,$A$688:$E$703,COLUMN(E$688) - COLUMN($A$688) +1,FALSE),FALSE),IF('Elec. Analysis'!$A$156=$A$699,VLOOKUP($A777,INDIRECT("'"&amp;E$707&amp;"'!"&amp;"$A$5:$CA$100"),VLOOKUP($A$698,$A$688:$E$703,COLUMN(E$688) - COLUMN($A$688) +1,FALSE),FALSE) - VLOOKUP($A777,INDIRECT("'"&amp;E$707&amp;"'!"&amp;"$A$5:$CA$100"),VLOOKUP($A$700,$A$688:$E$703,COLUMN(E$688) - COLUMN($A$688) +1,FALSE),FALSE),VLOOKUP($A777,INDIRECT("'"&amp;E$707&amp;"'!"&amp;"$A$5:$CA$100"),VLOOKUP('Elec. Analysis'!$A$156,$A$688:$E$703,COLUMN(E$688) - COLUMN($A$688) +1,FALSE),FALSE)))</f>
        <v>3.8740000000000001</v>
      </c>
      <c r="F777" s="1374"/>
      <c r="G777" s="1374"/>
      <c r="H777" s="1374"/>
      <c r="I777" s="1374"/>
      <c r="J777" s="1374"/>
      <c r="K777" s="1374"/>
      <c r="L777" s="1374"/>
      <c r="M777" s="911"/>
      <c r="N777" s="1374"/>
      <c r="O777" s="1024">
        <v>42948</v>
      </c>
      <c r="P777" s="1625">
        <f ca="1">VLOOKUP($O777,INDIRECT("'"&amp;P$709&amp;"'!"&amp;"$A$5:$CA$100"),VLOOKUP('NG Analysis'!$A$157,$O$685:$R$699,COLUMN(P$685) - COLUMN($O$685) + 1,FALSE),FALSE)</f>
        <v>2.3279999999999998</v>
      </c>
      <c r="Q777" s="1625">
        <f ca="1">VLOOKUP($O777,INDIRECT("'"&amp;Q$709&amp;"'!"&amp;"$A$5:$CA$100"),VLOOKUP('NG Analysis'!$A$157,$O$685:$R$699,COLUMN(Q$685) - COLUMN($O$685) + 1,FALSE),FALSE)</f>
        <v>2.3279999999999998</v>
      </c>
      <c r="R777" s="1625">
        <f ca="1">VLOOKUP($O777,INDIRECT("'"&amp;R$709&amp;"'!"&amp;"$A$5:$CA$100"),VLOOKUP('NG Analysis'!$A$157,$O$685:$R$699,COLUMN(R$685) - COLUMN($O$685) + 1,FALSE),FALSE)</f>
        <v>2.069</v>
      </c>
      <c r="S777" s="1374"/>
      <c r="T777" s="1374"/>
      <c r="U777" s="1374"/>
      <c r="V777" s="1374"/>
      <c r="W777" s="1374"/>
      <c r="X777" s="1374"/>
      <c r="Y777" s="1374"/>
      <c r="Z777" s="911"/>
      <c r="AA777" s="1439"/>
    </row>
    <row r="778" spans="1:27" x14ac:dyDescent="0.3">
      <c r="A778" s="1036">
        <v>43040</v>
      </c>
      <c r="B778" s="706">
        <f ca="1">IF('Elec. Analysis'!$A$156=$A$696,VLOOKUP($A778,INDIRECT("'"&amp;B$707&amp;"'!"&amp;"$A$5:$CA$100"),VLOOKUP($A$695,$A$688:$E$703,COLUMN(B$688) - COLUMN($A$688) +1,FALSE),FALSE) + VLOOKUP($A778,INDIRECT("'"&amp;B$707&amp;"'!"&amp;"$A$5:$CA$100"),VLOOKUP($A$694,$A$688:$E$703,COLUMN(B$688) - COLUMN($A$688) +1,FALSE),FALSE),IF('Elec. Analysis'!$A$156=$A$699,VLOOKUP($A778,INDIRECT("'"&amp;B$707&amp;"'!"&amp;"$A$5:$CA$100"),VLOOKUP($A$698,$A$688:$E$703,COLUMN(B$688) - COLUMN($A$688) +1,FALSE),FALSE) - VLOOKUP($A778,INDIRECT("'"&amp;B$707&amp;"'!"&amp;"$A$5:$CA$100"),VLOOKUP($A$700,$A$688:$E$703,COLUMN(B$688) - COLUMN($A$688) +1,FALSE),FALSE),VLOOKUP($A778,INDIRECT("'"&amp;B$707&amp;"'!"&amp;"$A$5:$CA$100"),VLOOKUP('Elec. Analysis'!$A$156,$A$688:$E$703,COLUMN(B$688) - COLUMN($A$688) +1,FALSE),FALSE)))</f>
        <v>3.653</v>
      </c>
      <c r="C778" s="706">
        <f ca="1">IF('Elec. Analysis'!$A$156=$A$696,VLOOKUP($A778,INDIRECT("'"&amp;C$707&amp;"'!"&amp;"$A$5:$CA$100"),VLOOKUP($A$695,$A$688:$E$703,COLUMN(C$688) - COLUMN($A$688) +1,FALSE),FALSE) + VLOOKUP($A778,INDIRECT("'"&amp;C$707&amp;"'!"&amp;"$A$5:$CA$100"),VLOOKUP($A$694,$A$688:$E$703,COLUMN(C$688) - COLUMN($A$688) +1,FALSE),FALSE),IF('Elec. Analysis'!$A$156=$A$699,VLOOKUP($A778,INDIRECT("'"&amp;C$707&amp;"'!"&amp;"$A$5:$CA$100"),VLOOKUP($A$698,$A$688:$E$703,COLUMN(C$688) - COLUMN($A$688) +1,FALSE),FALSE) - VLOOKUP($A778,INDIRECT("'"&amp;C$707&amp;"'!"&amp;"$A$5:$CA$100"),VLOOKUP($A$700,$A$688:$E$703,COLUMN(C$688) - COLUMN($A$688) +1,FALSE),FALSE),VLOOKUP($A778,INDIRECT("'"&amp;C$707&amp;"'!"&amp;"$A$5:$CA$100"),VLOOKUP('Elec. Analysis'!$A$156,$A$688:$E$703,COLUMN(C$688) - COLUMN($A$688) +1,FALSE),FALSE)))</f>
        <v>3.3330000000000002</v>
      </c>
      <c r="D778" s="706">
        <f ca="1">IF('Elec. Analysis'!$A$156=$A$696,VLOOKUP($A778,INDIRECT("'"&amp;D$707&amp;"'!"&amp;"$A$5:$CA$100"),VLOOKUP($A$695,$A$688:$E$703,COLUMN(D$688) - COLUMN($A$688) +1,FALSE),FALSE) + VLOOKUP($A778,INDIRECT("'"&amp;D$707&amp;"'!"&amp;"$A$5:$CA$100"),VLOOKUP($A$694,$A$688:$E$703,COLUMN(D$688) - COLUMN($A$688) +1,FALSE),FALSE),IF('Elec. Analysis'!$A$156=$A$699,VLOOKUP($A778,INDIRECT("'"&amp;D$707&amp;"'!"&amp;"$A$5:$CA$100"),VLOOKUP($A$698,$A$688:$E$703,COLUMN(D$688) - COLUMN($A$688) +1,FALSE),FALSE) - VLOOKUP($A778,INDIRECT("'"&amp;D$707&amp;"'!"&amp;"$A$5:$CA$100"),VLOOKUP($A$700,$A$688:$E$703,COLUMN(D$688) - COLUMN($A$688) +1,FALSE),FALSE),VLOOKUP($A778,INDIRECT("'"&amp;D$707&amp;"'!"&amp;"$A$5:$CA$100"),VLOOKUP('Elec. Analysis'!$A$156,$A$688:$E$703,COLUMN(D$688) - COLUMN($A$688) +1,FALSE),FALSE)))</f>
        <v>3.2869999999999999</v>
      </c>
      <c r="E778" s="706">
        <f ca="1">IF('Elec. Analysis'!$A$156=$A$696,VLOOKUP($A778,INDIRECT("'"&amp;E$707&amp;"'!"&amp;"$A$5:$CA$100"),VLOOKUP($A$695,$A$688:$E$703,COLUMN(E$688) - COLUMN($A$688) +1,FALSE),FALSE) + VLOOKUP($A778,INDIRECT("'"&amp;E$707&amp;"'!"&amp;"$A$5:$CA$100"),VLOOKUP($A$694,$A$688:$E$703,COLUMN(E$688) - COLUMN($A$688) +1,FALSE),FALSE),IF('Elec. Analysis'!$A$156=$A$699,VLOOKUP($A778,INDIRECT("'"&amp;E$707&amp;"'!"&amp;"$A$5:$CA$100"),VLOOKUP($A$698,$A$688:$E$703,COLUMN(E$688) - COLUMN($A$688) +1,FALSE),FALSE) - VLOOKUP($A778,INDIRECT("'"&amp;E$707&amp;"'!"&amp;"$A$5:$CA$100"),VLOOKUP($A$700,$A$688:$E$703,COLUMN(E$688) - COLUMN($A$688) +1,FALSE),FALSE),VLOOKUP($A778,INDIRECT("'"&amp;E$707&amp;"'!"&amp;"$A$5:$CA$100"),VLOOKUP('Elec. Analysis'!$A$156,$A$688:$E$703,COLUMN(E$688) - COLUMN($A$688) +1,FALSE),FALSE)))</f>
        <v>3.6589999999999998</v>
      </c>
      <c r="F778" s="1374"/>
      <c r="G778" s="1374"/>
      <c r="H778" s="1374"/>
      <c r="I778" s="1374"/>
      <c r="J778" s="1374"/>
      <c r="K778" s="1374"/>
      <c r="L778" s="1374"/>
      <c r="M778" s="911"/>
      <c r="N778" s="1374"/>
      <c r="O778" s="1024">
        <v>42979</v>
      </c>
      <c r="P778" s="1625">
        <f ca="1">VLOOKUP($O778,INDIRECT("'"&amp;P$709&amp;"'!"&amp;"$A$5:$CA$100"),VLOOKUP('NG Analysis'!$A$157,$O$685:$R$699,COLUMN(P$685) - COLUMN($O$685) + 1,FALSE),FALSE)</f>
        <v>1.4339999999999999</v>
      </c>
      <c r="Q778" s="1625">
        <f ca="1">VLOOKUP($O778,INDIRECT("'"&amp;Q$709&amp;"'!"&amp;"$A$5:$CA$100"),VLOOKUP('NG Analysis'!$A$157,$O$685:$R$699,COLUMN(Q$685) - COLUMN($O$685) + 1,FALSE),FALSE)</f>
        <v>1.4339999999999999</v>
      </c>
      <c r="R778" s="1625">
        <f ca="1">VLOOKUP($O778,INDIRECT("'"&amp;R$709&amp;"'!"&amp;"$A$5:$CA$100"),VLOOKUP('NG Analysis'!$A$157,$O$685:$R$699,COLUMN(R$685) - COLUMN($O$685) + 1,FALSE),FALSE)</f>
        <v>1.2110000000000001</v>
      </c>
      <c r="S778" s="1374"/>
      <c r="T778" s="1374"/>
      <c r="U778" s="1374"/>
      <c r="V778" s="1374"/>
      <c r="W778" s="1374"/>
      <c r="X778" s="1374"/>
      <c r="Y778" s="1374"/>
      <c r="Z778" s="911"/>
      <c r="AA778" s="1439"/>
    </row>
    <row r="779" spans="1:27" x14ac:dyDescent="0.3">
      <c r="A779" s="1036">
        <v>43070</v>
      </c>
      <c r="B779" s="706">
        <f ca="1">IF('Elec. Analysis'!$A$156=$A$696,VLOOKUP($A779,INDIRECT("'"&amp;B$707&amp;"'!"&amp;"$A$5:$CA$100"),VLOOKUP($A$695,$A$688:$E$703,COLUMN(B$688) - COLUMN($A$688) +1,FALSE),FALSE) + VLOOKUP($A779,INDIRECT("'"&amp;B$707&amp;"'!"&amp;"$A$5:$CA$100"),VLOOKUP($A$694,$A$688:$E$703,COLUMN(B$688) - COLUMN($A$688) +1,FALSE),FALSE),IF('Elec. Analysis'!$A$156=$A$699,VLOOKUP($A779,INDIRECT("'"&amp;B$707&amp;"'!"&amp;"$A$5:$CA$100"),VLOOKUP($A$698,$A$688:$E$703,COLUMN(B$688) - COLUMN($A$688) +1,FALSE),FALSE) - VLOOKUP($A779,INDIRECT("'"&amp;B$707&amp;"'!"&amp;"$A$5:$CA$100"),VLOOKUP($A$700,$A$688:$E$703,COLUMN(B$688) - COLUMN($A$688) +1,FALSE),FALSE),VLOOKUP($A779,INDIRECT("'"&amp;B$707&amp;"'!"&amp;"$A$5:$CA$100"),VLOOKUP('Elec. Analysis'!$A$156,$A$688:$E$703,COLUMN(B$688) - COLUMN($A$688) +1,FALSE),FALSE)))</f>
        <v>3.996</v>
      </c>
      <c r="C779" s="706">
        <f ca="1">IF('Elec. Analysis'!$A$156=$A$696,VLOOKUP($A779,INDIRECT("'"&amp;C$707&amp;"'!"&amp;"$A$5:$CA$100"),VLOOKUP($A$695,$A$688:$E$703,COLUMN(C$688) - COLUMN($A$688) +1,FALSE),FALSE) + VLOOKUP($A779,INDIRECT("'"&amp;C$707&amp;"'!"&amp;"$A$5:$CA$100"),VLOOKUP($A$694,$A$688:$E$703,COLUMN(C$688) - COLUMN($A$688) +1,FALSE),FALSE),IF('Elec. Analysis'!$A$156=$A$699,VLOOKUP($A779,INDIRECT("'"&amp;C$707&amp;"'!"&amp;"$A$5:$CA$100"),VLOOKUP($A$698,$A$688:$E$703,COLUMN(C$688) - COLUMN($A$688) +1,FALSE),FALSE) - VLOOKUP($A779,INDIRECT("'"&amp;C$707&amp;"'!"&amp;"$A$5:$CA$100"),VLOOKUP($A$700,$A$688:$E$703,COLUMN(C$688) - COLUMN($A$688) +1,FALSE),FALSE),VLOOKUP($A779,INDIRECT("'"&amp;C$707&amp;"'!"&amp;"$A$5:$CA$100"),VLOOKUP('Elec. Analysis'!$A$156,$A$688:$E$703,COLUMN(C$688) - COLUMN($A$688) +1,FALSE),FALSE)))</f>
        <v>3.774</v>
      </c>
      <c r="D779" s="706">
        <f ca="1">IF('Elec. Analysis'!$A$156=$A$696,VLOOKUP($A779,INDIRECT("'"&amp;D$707&amp;"'!"&amp;"$A$5:$CA$100"),VLOOKUP($A$695,$A$688:$E$703,COLUMN(D$688) - COLUMN($A$688) +1,FALSE),FALSE) + VLOOKUP($A779,INDIRECT("'"&amp;D$707&amp;"'!"&amp;"$A$5:$CA$100"),VLOOKUP($A$694,$A$688:$E$703,COLUMN(D$688) - COLUMN($A$688) +1,FALSE),FALSE),IF('Elec. Analysis'!$A$156=$A$699,VLOOKUP($A779,INDIRECT("'"&amp;D$707&amp;"'!"&amp;"$A$5:$CA$100"),VLOOKUP($A$698,$A$688:$E$703,COLUMN(D$688) - COLUMN($A$688) +1,FALSE),FALSE) - VLOOKUP($A779,INDIRECT("'"&amp;D$707&amp;"'!"&amp;"$A$5:$CA$100"),VLOOKUP($A$700,$A$688:$E$703,COLUMN(D$688) - COLUMN($A$688) +1,FALSE),FALSE),VLOOKUP($A779,INDIRECT("'"&amp;D$707&amp;"'!"&amp;"$A$5:$CA$100"),VLOOKUP('Elec. Analysis'!$A$156,$A$688:$E$703,COLUMN(D$688) - COLUMN($A$688) +1,FALSE),FALSE)))</f>
        <v>3.7320000000000002</v>
      </c>
      <c r="E779" s="706">
        <f ca="1">IF('Elec. Analysis'!$A$156=$A$696,VLOOKUP($A779,INDIRECT("'"&amp;E$707&amp;"'!"&amp;"$A$5:$CA$100"),VLOOKUP($A$695,$A$688:$E$703,COLUMN(E$688) - COLUMN($A$688) +1,FALSE),FALSE) + VLOOKUP($A779,INDIRECT("'"&amp;E$707&amp;"'!"&amp;"$A$5:$CA$100"),VLOOKUP($A$694,$A$688:$E$703,COLUMN(E$688) - COLUMN($A$688) +1,FALSE),FALSE),IF('Elec. Analysis'!$A$156=$A$699,VLOOKUP($A779,INDIRECT("'"&amp;E$707&amp;"'!"&amp;"$A$5:$CA$100"),VLOOKUP($A$698,$A$688:$E$703,COLUMN(E$688) - COLUMN($A$688) +1,FALSE),FALSE) - VLOOKUP($A779,INDIRECT("'"&amp;E$707&amp;"'!"&amp;"$A$5:$CA$100"),VLOOKUP($A$700,$A$688:$E$703,COLUMN(E$688) - COLUMN($A$688) +1,FALSE),FALSE),VLOOKUP($A779,INDIRECT("'"&amp;E$707&amp;"'!"&amp;"$A$5:$CA$100"),VLOOKUP('Elec. Analysis'!$A$156,$A$688:$E$703,COLUMN(E$688) - COLUMN($A$688) +1,FALSE),FALSE)))</f>
        <v>4.0270000000000001</v>
      </c>
      <c r="F779" s="1374"/>
      <c r="G779" s="1374"/>
      <c r="H779" s="1374"/>
      <c r="I779" s="1374"/>
      <c r="J779" s="1374"/>
      <c r="K779" s="1374"/>
      <c r="L779" s="1374"/>
      <c r="M779" s="911"/>
      <c r="N779" s="1374"/>
      <c r="O779" s="1024">
        <v>43009</v>
      </c>
      <c r="P779" s="1625">
        <f ca="1">VLOOKUP($O779,INDIRECT("'"&amp;P$709&amp;"'!"&amp;"$A$5:$CA$100"),VLOOKUP('NG Analysis'!$A$157,$O$685:$R$699,COLUMN(P$685) - COLUMN($O$685) + 1,FALSE),FALSE)</f>
        <v>1.6819999999999999</v>
      </c>
      <c r="Q779" s="1625">
        <f ca="1">VLOOKUP($O779,INDIRECT("'"&amp;Q$709&amp;"'!"&amp;"$A$5:$CA$100"),VLOOKUP('NG Analysis'!$A$157,$O$685:$R$699,COLUMN(Q$685) - COLUMN($O$685) + 1,FALSE),FALSE)</f>
        <v>1.6819999999999999</v>
      </c>
      <c r="R779" s="1625">
        <f ca="1">VLOOKUP($O779,INDIRECT("'"&amp;R$709&amp;"'!"&amp;"$A$5:$CA$100"),VLOOKUP('NG Analysis'!$A$157,$O$685:$R$699,COLUMN(R$685) - COLUMN($O$685) + 1,FALSE),FALSE)</f>
        <v>1.5189999999999999</v>
      </c>
      <c r="S779" s="1374"/>
      <c r="T779" s="1374"/>
      <c r="U779" s="1374"/>
      <c r="V779" s="1374"/>
      <c r="W779" s="1374"/>
      <c r="X779" s="1374"/>
      <c r="Y779" s="1374"/>
      <c r="Z779" s="911"/>
      <c r="AA779" s="1439"/>
    </row>
    <row r="780" spans="1:27" x14ac:dyDescent="0.3">
      <c r="A780" s="1036">
        <v>43101</v>
      </c>
      <c r="B780" s="706">
        <f ca="1">IF('Elec. Analysis'!$A$156=$A$696,VLOOKUP($A780,INDIRECT("'"&amp;B$707&amp;"'!"&amp;"$A$5:$CA$100"),VLOOKUP($A$695,$A$688:$E$703,COLUMN(B$688) - COLUMN($A$688) +1,FALSE),FALSE) + VLOOKUP($A780,INDIRECT("'"&amp;B$707&amp;"'!"&amp;"$A$5:$CA$100"),VLOOKUP($A$694,$A$688:$E$703,COLUMN(B$688) - COLUMN($A$688) +1,FALSE),FALSE),IF('Elec. Analysis'!$A$156=$A$699,VLOOKUP($A780,INDIRECT("'"&amp;B$707&amp;"'!"&amp;"$A$5:$CA$100"),VLOOKUP($A$698,$A$688:$E$703,COLUMN(B$688) - COLUMN($A$688) +1,FALSE),FALSE) - VLOOKUP($A780,INDIRECT("'"&amp;B$707&amp;"'!"&amp;"$A$5:$CA$100"),VLOOKUP($A$700,$A$688:$E$703,COLUMN(B$688) - COLUMN($A$688) +1,FALSE),FALSE),VLOOKUP($A780,INDIRECT("'"&amp;B$707&amp;"'!"&amp;"$A$5:$CA$100"),VLOOKUP('Elec. Analysis'!$A$156,$A$688:$E$703,COLUMN(B$688) - COLUMN($A$688) +1,FALSE),FALSE)))</f>
        <v>5.1120000000000001</v>
      </c>
      <c r="C780" s="706">
        <f ca="1">IF('Elec. Analysis'!$A$156=$A$696,VLOOKUP($A780,INDIRECT("'"&amp;C$707&amp;"'!"&amp;"$A$5:$CA$100"),VLOOKUP($A$695,$A$688:$E$703,COLUMN(C$688) - COLUMN($A$688) +1,FALSE),FALSE) + VLOOKUP($A780,INDIRECT("'"&amp;C$707&amp;"'!"&amp;"$A$5:$CA$100"),VLOOKUP($A$694,$A$688:$E$703,COLUMN(C$688) - COLUMN($A$688) +1,FALSE),FALSE),IF('Elec. Analysis'!$A$156=$A$699,VLOOKUP($A780,INDIRECT("'"&amp;C$707&amp;"'!"&amp;"$A$5:$CA$100"),VLOOKUP($A$698,$A$688:$E$703,COLUMN(C$688) - COLUMN($A$688) +1,FALSE),FALSE) - VLOOKUP($A780,INDIRECT("'"&amp;C$707&amp;"'!"&amp;"$A$5:$CA$100"),VLOOKUP($A$700,$A$688:$E$703,COLUMN(C$688) - COLUMN($A$688) +1,FALSE),FALSE),VLOOKUP($A780,INDIRECT("'"&amp;C$707&amp;"'!"&amp;"$A$5:$CA$100"),VLOOKUP('Elec. Analysis'!$A$156,$A$688:$E$703,COLUMN(C$688) - COLUMN($A$688) +1,FALSE),FALSE)))</f>
        <v>4.7720000000000002</v>
      </c>
      <c r="D780" s="706">
        <f ca="1">IF('Elec. Analysis'!$A$156=$A$696,VLOOKUP($A780,INDIRECT("'"&amp;D$707&amp;"'!"&amp;"$A$5:$CA$100"),VLOOKUP($A$695,$A$688:$E$703,COLUMN(D$688) - COLUMN($A$688) +1,FALSE),FALSE) + VLOOKUP($A780,INDIRECT("'"&amp;D$707&amp;"'!"&amp;"$A$5:$CA$100"),VLOOKUP($A$694,$A$688:$E$703,COLUMN(D$688) - COLUMN($A$688) +1,FALSE),FALSE),IF('Elec. Analysis'!$A$156=$A$699,VLOOKUP($A780,INDIRECT("'"&amp;D$707&amp;"'!"&amp;"$A$5:$CA$100"),VLOOKUP($A$698,$A$688:$E$703,COLUMN(D$688) - COLUMN($A$688) +1,FALSE),FALSE) - VLOOKUP($A780,INDIRECT("'"&amp;D$707&amp;"'!"&amp;"$A$5:$CA$100"),VLOOKUP($A$700,$A$688:$E$703,COLUMN(D$688) - COLUMN($A$688) +1,FALSE),FALSE),VLOOKUP($A780,INDIRECT("'"&amp;D$707&amp;"'!"&amp;"$A$5:$CA$100"),VLOOKUP('Elec. Analysis'!$A$156,$A$688:$E$703,COLUMN(D$688) - COLUMN($A$688) +1,FALSE),FALSE)))</f>
        <v>4.7030000000000003</v>
      </c>
      <c r="E780" s="706">
        <f ca="1">IF('Elec. Analysis'!$A$156=$A$696,VLOOKUP($A780,INDIRECT("'"&amp;E$707&amp;"'!"&amp;"$A$5:$CA$100"),VLOOKUP($A$695,$A$688:$E$703,COLUMN(E$688) - COLUMN($A$688) +1,FALSE),FALSE) + VLOOKUP($A780,INDIRECT("'"&amp;E$707&amp;"'!"&amp;"$A$5:$CA$100"),VLOOKUP($A$694,$A$688:$E$703,COLUMN(E$688) - COLUMN($A$688) +1,FALSE),FALSE),IF('Elec. Analysis'!$A$156=$A$699,VLOOKUP($A780,INDIRECT("'"&amp;E$707&amp;"'!"&amp;"$A$5:$CA$100"),VLOOKUP($A$698,$A$688:$E$703,COLUMN(E$688) - COLUMN($A$688) +1,FALSE),FALSE) - VLOOKUP($A780,INDIRECT("'"&amp;E$707&amp;"'!"&amp;"$A$5:$CA$100"),VLOOKUP($A$700,$A$688:$E$703,COLUMN(E$688) - COLUMN($A$688) +1,FALSE),FALSE),VLOOKUP($A780,INDIRECT("'"&amp;E$707&amp;"'!"&amp;"$A$5:$CA$100"),VLOOKUP('Elec. Analysis'!$A$156,$A$688:$E$703,COLUMN(E$688) - COLUMN($A$688) +1,FALSE),FALSE)))</f>
        <v>5.1429999999999998</v>
      </c>
      <c r="F780" s="1374"/>
      <c r="G780" s="1374"/>
      <c r="H780" s="1374"/>
      <c r="I780" s="1374"/>
      <c r="J780" s="1374"/>
      <c r="K780" s="1374"/>
      <c r="L780" s="1374"/>
      <c r="M780" s="911"/>
      <c r="N780" s="1374"/>
      <c r="O780" s="1024">
        <v>43040</v>
      </c>
      <c r="P780" s="1625">
        <f ca="1">VLOOKUP($O780,INDIRECT("'"&amp;P$709&amp;"'!"&amp;"$A$5:$CA$100"),VLOOKUP('NG Analysis'!$A$157,$O$685:$R$699,COLUMN(P$685) - COLUMN($O$685) + 1,FALSE),FALSE)</f>
        <v>1.825</v>
      </c>
      <c r="Q780" s="1625">
        <f ca="1">VLOOKUP($O780,INDIRECT("'"&amp;Q$709&amp;"'!"&amp;"$A$5:$CA$100"),VLOOKUP('NG Analysis'!$A$157,$O$685:$R$699,COLUMN(Q$685) - COLUMN($O$685) + 1,FALSE),FALSE)</f>
        <v>1.825</v>
      </c>
      <c r="R780" s="1625">
        <f ca="1">VLOOKUP($O780,INDIRECT("'"&amp;R$709&amp;"'!"&amp;"$A$5:$CA$100"),VLOOKUP('NG Analysis'!$A$157,$O$685:$R$699,COLUMN(R$685) - COLUMN($O$685) + 1,FALSE),FALSE)</f>
        <v>1.675</v>
      </c>
      <c r="S780" s="1374"/>
      <c r="T780" s="1374"/>
      <c r="U780" s="1374"/>
      <c r="V780" s="1374"/>
      <c r="W780" s="1374"/>
      <c r="X780" s="1374"/>
      <c r="Y780" s="1374"/>
      <c r="Z780" s="911"/>
      <c r="AA780" s="1439"/>
    </row>
    <row r="781" spans="1:27" x14ac:dyDescent="0.3">
      <c r="A781" s="1036">
        <v>43132</v>
      </c>
      <c r="B781" s="706">
        <f ca="1">IF('Elec. Analysis'!$A$156=$A$696,VLOOKUP($A781,INDIRECT("'"&amp;B$707&amp;"'!"&amp;"$A$5:$CA$100"),VLOOKUP($A$695,$A$688:$E$703,COLUMN(B$688) - COLUMN($A$688) +1,FALSE),FALSE) + VLOOKUP($A781,INDIRECT("'"&amp;B$707&amp;"'!"&amp;"$A$5:$CA$100"),VLOOKUP($A$694,$A$688:$E$703,COLUMN(B$688) - COLUMN($A$688) +1,FALSE),FALSE),IF('Elec. Analysis'!$A$156=$A$699,VLOOKUP($A781,INDIRECT("'"&amp;B$707&amp;"'!"&amp;"$A$5:$CA$100"),VLOOKUP($A$698,$A$688:$E$703,COLUMN(B$688) - COLUMN($A$688) +1,FALSE),FALSE) - VLOOKUP($A781,INDIRECT("'"&amp;B$707&amp;"'!"&amp;"$A$5:$CA$100"),VLOOKUP($A$700,$A$688:$E$703,COLUMN(B$688) - COLUMN($A$688) +1,FALSE),FALSE),VLOOKUP($A781,INDIRECT("'"&amp;B$707&amp;"'!"&amp;"$A$5:$CA$100"),VLOOKUP('Elec. Analysis'!$A$156,$A$688:$E$703,COLUMN(B$688) - COLUMN($A$688) +1,FALSE),FALSE)))</f>
        <v>5.1829999999999998</v>
      </c>
      <c r="C781" s="706">
        <f ca="1">IF('Elec. Analysis'!$A$156=$A$696,VLOOKUP($A781,INDIRECT("'"&amp;C$707&amp;"'!"&amp;"$A$5:$CA$100"),VLOOKUP($A$695,$A$688:$E$703,COLUMN(C$688) - COLUMN($A$688) +1,FALSE),FALSE) + VLOOKUP($A781,INDIRECT("'"&amp;C$707&amp;"'!"&amp;"$A$5:$CA$100"),VLOOKUP($A$694,$A$688:$E$703,COLUMN(C$688) - COLUMN($A$688) +1,FALSE),FALSE),IF('Elec. Analysis'!$A$156=$A$699,VLOOKUP($A781,INDIRECT("'"&amp;C$707&amp;"'!"&amp;"$A$5:$CA$100"),VLOOKUP($A$698,$A$688:$E$703,COLUMN(C$688) - COLUMN($A$688) +1,FALSE),FALSE) - VLOOKUP($A781,INDIRECT("'"&amp;C$707&amp;"'!"&amp;"$A$5:$CA$100"),VLOOKUP($A$700,$A$688:$E$703,COLUMN(C$688) - COLUMN($A$688) +1,FALSE),FALSE),VLOOKUP($A781,INDIRECT("'"&amp;C$707&amp;"'!"&amp;"$A$5:$CA$100"),VLOOKUP('Elec. Analysis'!$A$156,$A$688:$E$703,COLUMN(C$688) - COLUMN($A$688) +1,FALSE),FALSE)))</f>
        <v>4.7809999999999997</v>
      </c>
      <c r="D781" s="706">
        <f ca="1">IF('Elec. Analysis'!$A$156=$A$696,VLOOKUP($A781,INDIRECT("'"&amp;D$707&amp;"'!"&amp;"$A$5:$CA$100"),VLOOKUP($A$695,$A$688:$E$703,COLUMN(D$688) - COLUMN($A$688) +1,FALSE),FALSE) + VLOOKUP($A781,INDIRECT("'"&amp;D$707&amp;"'!"&amp;"$A$5:$CA$100"),VLOOKUP($A$694,$A$688:$E$703,COLUMN(D$688) - COLUMN($A$688) +1,FALSE),FALSE),IF('Elec. Analysis'!$A$156=$A$699,VLOOKUP($A781,INDIRECT("'"&amp;D$707&amp;"'!"&amp;"$A$5:$CA$100"),VLOOKUP($A$698,$A$688:$E$703,COLUMN(D$688) - COLUMN($A$688) +1,FALSE),FALSE) - VLOOKUP($A781,INDIRECT("'"&amp;D$707&amp;"'!"&amp;"$A$5:$CA$100"),VLOOKUP($A$700,$A$688:$E$703,COLUMN(D$688) - COLUMN($A$688) +1,FALSE),FALSE),VLOOKUP($A781,INDIRECT("'"&amp;D$707&amp;"'!"&amp;"$A$5:$CA$100"),VLOOKUP('Elec. Analysis'!$A$156,$A$688:$E$703,COLUMN(D$688) - COLUMN($A$688) +1,FALSE),FALSE)))</f>
        <v>4.72</v>
      </c>
      <c r="E781" s="706">
        <f ca="1">IF('Elec. Analysis'!$A$156=$A$696,VLOOKUP($A781,INDIRECT("'"&amp;E$707&amp;"'!"&amp;"$A$5:$CA$100"),VLOOKUP($A$695,$A$688:$E$703,COLUMN(E$688) - COLUMN($A$688) +1,FALSE),FALSE) + VLOOKUP($A781,INDIRECT("'"&amp;E$707&amp;"'!"&amp;"$A$5:$CA$100"),VLOOKUP($A$694,$A$688:$E$703,COLUMN(E$688) - COLUMN($A$688) +1,FALSE),FALSE),IF('Elec. Analysis'!$A$156=$A$699,VLOOKUP($A781,INDIRECT("'"&amp;E$707&amp;"'!"&amp;"$A$5:$CA$100"),VLOOKUP($A$698,$A$688:$E$703,COLUMN(E$688) - COLUMN($A$688) +1,FALSE),FALSE) - VLOOKUP($A781,INDIRECT("'"&amp;E$707&amp;"'!"&amp;"$A$5:$CA$100"),VLOOKUP($A$700,$A$688:$E$703,COLUMN(E$688) - COLUMN($A$688) +1,FALSE),FALSE),VLOOKUP($A781,INDIRECT("'"&amp;E$707&amp;"'!"&amp;"$A$5:$CA$100"),VLOOKUP('Elec. Analysis'!$A$156,$A$688:$E$703,COLUMN(E$688) - COLUMN($A$688) +1,FALSE),FALSE)))</f>
        <v>4.8310000000000004</v>
      </c>
      <c r="F781" s="1374"/>
      <c r="G781" s="1374"/>
      <c r="H781" s="1374"/>
      <c r="I781" s="1374"/>
      <c r="J781" s="1374"/>
      <c r="K781" s="1374"/>
      <c r="L781" s="1374"/>
      <c r="M781" s="911"/>
      <c r="N781" s="1374"/>
      <c r="O781" s="1074">
        <v>43070</v>
      </c>
      <c r="P781" s="1625">
        <f ca="1">VLOOKUP($O781,INDIRECT("'"&amp;P$709&amp;"'!"&amp;"$A$5:$CA$100"),VLOOKUP('NG Analysis'!$A$157,$O$685:$R$699,COLUMN(P$685) - COLUMN($O$685) + 1,FALSE),FALSE)</f>
        <v>2.3029999999999999</v>
      </c>
      <c r="Q781" s="1625">
        <f ca="1">VLOOKUP($O781,INDIRECT("'"&amp;Q$709&amp;"'!"&amp;"$A$5:$CA$100"),VLOOKUP('NG Analysis'!$A$157,$O$685:$R$699,COLUMN(Q$685) - COLUMN($O$685) + 1,FALSE),FALSE)</f>
        <v>2.3029999999999999</v>
      </c>
      <c r="R781" s="1625">
        <f ca="1">VLOOKUP($O781,INDIRECT("'"&amp;R$709&amp;"'!"&amp;"$A$5:$CA$100"),VLOOKUP('NG Analysis'!$A$157,$O$685:$R$699,COLUMN(R$685) - COLUMN($O$685) + 1,FALSE),FALSE)</f>
        <v>2.214</v>
      </c>
      <c r="S781" s="1374"/>
      <c r="T781" s="1374"/>
      <c r="U781" s="1374"/>
      <c r="V781" s="1374"/>
      <c r="W781" s="1374"/>
      <c r="X781" s="1374"/>
      <c r="Y781" s="1374"/>
      <c r="Z781" s="911"/>
      <c r="AA781" s="1439"/>
    </row>
    <row r="782" spans="1:27" x14ac:dyDescent="0.3">
      <c r="A782" s="1036">
        <v>43160</v>
      </c>
      <c r="B782" s="706">
        <f ca="1">IF('Elec. Analysis'!$A$156=$A$696,VLOOKUP($A782,INDIRECT("'"&amp;B$707&amp;"'!"&amp;"$A$5:$CA$100"),VLOOKUP($A$695,$A$688:$E$703,COLUMN(B$688) - COLUMN($A$688) +1,FALSE),FALSE) + VLOOKUP($A782,INDIRECT("'"&amp;B$707&amp;"'!"&amp;"$A$5:$CA$100"),VLOOKUP($A$694,$A$688:$E$703,COLUMN(B$688) - COLUMN($A$688) +1,FALSE),FALSE),IF('Elec. Analysis'!$A$156=$A$699,VLOOKUP($A782,INDIRECT("'"&amp;B$707&amp;"'!"&amp;"$A$5:$CA$100"),VLOOKUP($A$698,$A$688:$E$703,COLUMN(B$688) - COLUMN($A$688) +1,FALSE),FALSE) - VLOOKUP($A782,INDIRECT("'"&amp;B$707&amp;"'!"&amp;"$A$5:$CA$100"),VLOOKUP($A$700,$A$688:$E$703,COLUMN(B$688) - COLUMN($A$688) +1,FALSE),FALSE),VLOOKUP($A782,INDIRECT("'"&amp;B$707&amp;"'!"&amp;"$A$5:$CA$100"),VLOOKUP('Elec. Analysis'!$A$156,$A$688:$E$703,COLUMN(B$688) - COLUMN($A$688) +1,FALSE),FALSE)))</f>
        <v>5.1100000000000003</v>
      </c>
      <c r="C782" s="706">
        <f ca="1">IF('Elec. Analysis'!$A$156=$A$696,VLOOKUP($A782,INDIRECT("'"&amp;C$707&amp;"'!"&amp;"$A$5:$CA$100"),VLOOKUP($A$695,$A$688:$E$703,COLUMN(C$688) - COLUMN($A$688) +1,FALSE),FALSE) + VLOOKUP($A782,INDIRECT("'"&amp;C$707&amp;"'!"&amp;"$A$5:$CA$100"),VLOOKUP($A$694,$A$688:$E$703,COLUMN(C$688) - COLUMN($A$688) +1,FALSE),FALSE),IF('Elec. Analysis'!$A$156=$A$699,VLOOKUP($A782,INDIRECT("'"&amp;C$707&amp;"'!"&amp;"$A$5:$CA$100"),VLOOKUP($A$698,$A$688:$E$703,COLUMN(C$688) - COLUMN($A$688) +1,FALSE),FALSE) - VLOOKUP($A782,INDIRECT("'"&amp;C$707&amp;"'!"&amp;"$A$5:$CA$100"),VLOOKUP($A$700,$A$688:$E$703,COLUMN(C$688) - COLUMN($A$688) +1,FALSE),FALSE),VLOOKUP($A782,INDIRECT("'"&amp;C$707&amp;"'!"&amp;"$A$5:$CA$100"),VLOOKUP('Elec. Analysis'!$A$156,$A$688:$E$703,COLUMN(C$688) - COLUMN($A$688) +1,FALSE),FALSE)))</f>
        <v>4.5650000000000004</v>
      </c>
      <c r="D782" s="706">
        <f ca="1">IF('Elec. Analysis'!$A$156=$A$696,VLOOKUP($A782,INDIRECT("'"&amp;D$707&amp;"'!"&amp;"$A$5:$CA$100"),VLOOKUP($A$695,$A$688:$E$703,COLUMN(D$688) - COLUMN($A$688) +1,FALSE),FALSE) + VLOOKUP($A782,INDIRECT("'"&amp;D$707&amp;"'!"&amp;"$A$5:$CA$100"),VLOOKUP($A$694,$A$688:$E$703,COLUMN(D$688) - COLUMN($A$688) +1,FALSE),FALSE),IF('Elec. Analysis'!$A$156=$A$699,VLOOKUP($A782,INDIRECT("'"&amp;D$707&amp;"'!"&amp;"$A$5:$CA$100"),VLOOKUP($A$698,$A$688:$E$703,COLUMN(D$688) - COLUMN($A$688) +1,FALSE),FALSE) - VLOOKUP($A782,INDIRECT("'"&amp;D$707&amp;"'!"&amp;"$A$5:$CA$100"),VLOOKUP($A$700,$A$688:$E$703,COLUMN(D$688) - COLUMN($A$688) +1,FALSE),FALSE),VLOOKUP($A782,INDIRECT("'"&amp;D$707&amp;"'!"&amp;"$A$5:$CA$100"),VLOOKUP('Elec. Analysis'!$A$156,$A$688:$E$703,COLUMN(D$688) - COLUMN($A$688) +1,FALSE),FALSE)))</f>
        <v>4.5149999999999997</v>
      </c>
      <c r="E782" s="706">
        <f ca="1">IF('Elec. Analysis'!$A$156=$A$696,VLOOKUP($A782,INDIRECT("'"&amp;E$707&amp;"'!"&amp;"$A$5:$CA$100"),VLOOKUP($A$695,$A$688:$E$703,COLUMN(E$688) - COLUMN($A$688) +1,FALSE),FALSE) + VLOOKUP($A782,INDIRECT("'"&amp;E$707&amp;"'!"&amp;"$A$5:$CA$100"),VLOOKUP($A$694,$A$688:$E$703,COLUMN(E$688) - COLUMN($A$688) +1,FALSE),FALSE),IF('Elec. Analysis'!$A$156=$A$699,VLOOKUP($A782,INDIRECT("'"&amp;E$707&amp;"'!"&amp;"$A$5:$CA$100"),VLOOKUP($A$698,$A$688:$E$703,COLUMN(E$688) - COLUMN($A$688) +1,FALSE),FALSE) - VLOOKUP($A782,INDIRECT("'"&amp;E$707&amp;"'!"&amp;"$A$5:$CA$100"),VLOOKUP($A$700,$A$688:$E$703,COLUMN(E$688) - COLUMN($A$688) +1,FALSE),FALSE),VLOOKUP($A782,INDIRECT("'"&amp;E$707&amp;"'!"&amp;"$A$5:$CA$100"),VLOOKUP('Elec. Analysis'!$A$156,$A$688:$E$703,COLUMN(E$688) - COLUMN($A$688) +1,FALSE),FALSE)))</f>
        <v>4.5970000000000004</v>
      </c>
      <c r="F782" s="1374"/>
      <c r="G782" s="1374"/>
      <c r="H782" s="1374"/>
      <c r="I782" s="1374"/>
      <c r="J782" s="1374"/>
      <c r="K782" s="1374"/>
      <c r="L782" s="1374"/>
      <c r="M782" s="911"/>
      <c r="N782" s="1374"/>
      <c r="O782" s="1024">
        <v>43101</v>
      </c>
      <c r="P782" s="1625">
        <f ca="1">VLOOKUP($O782,INDIRECT("'"&amp;P$709&amp;"'!"&amp;"$A$5:$CA$100"),VLOOKUP('NG Analysis'!$A$157,$O$685:$R$699,COLUMN(P$685) - COLUMN($O$685) + 1,FALSE),FALSE)</f>
        <v>1.911</v>
      </c>
      <c r="Q782" s="1625">
        <f ca="1">VLOOKUP($O782,INDIRECT("'"&amp;Q$709&amp;"'!"&amp;"$A$5:$CA$100"),VLOOKUP('NG Analysis'!$A$157,$O$685:$R$699,COLUMN(Q$685) - COLUMN($O$685) + 1,FALSE),FALSE)</f>
        <v>1.911</v>
      </c>
      <c r="R782" s="1625">
        <f ca="1">VLOOKUP($O782,INDIRECT("'"&amp;R$709&amp;"'!"&amp;"$A$5:$CA$100"),VLOOKUP('NG Analysis'!$A$157,$O$685:$R$699,COLUMN(R$685) - COLUMN($O$685) + 1,FALSE),FALSE)</f>
        <v>1.56</v>
      </c>
      <c r="S782" s="1374"/>
      <c r="T782" s="1374"/>
      <c r="U782" s="1374"/>
      <c r="V782" s="1374"/>
      <c r="W782" s="1374"/>
      <c r="X782" s="1374"/>
      <c r="Y782" s="1374"/>
      <c r="Z782" s="911"/>
      <c r="AA782" s="1439"/>
    </row>
    <row r="783" spans="1:27" x14ac:dyDescent="0.3">
      <c r="A783" s="1036">
        <v>43191</v>
      </c>
      <c r="B783" s="706">
        <f ca="1">IF('Elec. Analysis'!$A$156=$A$696,VLOOKUP($A783,INDIRECT("'"&amp;B$707&amp;"'!"&amp;"$A$5:$CA$100"),VLOOKUP($A$695,$A$688:$E$703,COLUMN(B$688) - COLUMN($A$688) +1,FALSE),FALSE) + VLOOKUP($A783,INDIRECT("'"&amp;B$707&amp;"'!"&amp;"$A$5:$CA$100"),VLOOKUP($A$694,$A$688:$E$703,COLUMN(B$688) - COLUMN($A$688) +1,FALSE),FALSE),IF('Elec. Analysis'!$A$156=$A$699,VLOOKUP($A783,INDIRECT("'"&amp;B$707&amp;"'!"&amp;"$A$5:$CA$100"),VLOOKUP($A$698,$A$688:$E$703,COLUMN(B$688) - COLUMN($A$688) +1,FALSE),FALSE) - VLOOKUP($A783,INDIRECT("'"&amp;B$707&amp;"'!"&amp;"$A$5:$CA$100"),VLOOKUP($A$700,$A$688:$E$703,COLUMN(B$688) - COLUMN($A$688) +1,FALSE),FALSE),VLOOKUP($A783,INDIRECT("'"&amp;B$707&amp;"'!"&amp;"$A$5:$CA$100"),VLOOKUP('Elec. Analysis'!$A$156,$A$688:$E$703,COLUMN(B$688) - COLUMN($A$688) +1,FALSE),FALSE)))</f>
        <v>6.8</v>
      </c>
      <c r="C783" s="706">
        <f ca="1">IF('Elec. Analysis'!$A$156=$A$696,VLOOKUP($A783,INDIRECT("'"&amp;C$707&amp;"'!"&amp;"$A$5:$CA$100"),VLOOKUP($A$695,$A$688:$E$703,COLUMN(C$688) - COLUMN($A$688) +1,FALSE),FALSE) + VLOOKUP($A783,INDIRECT("'"&amp;C$707&amp;"'!"&amp;"$A$5:$CA$100"),VLOOKUP($A$694,$A$688:$E$703,COLUMN(C$688) - COLUMN($A$688) +1,FALSE),FALSE),IF('Elec. Analysis'!$A$156=$A$699,VLOOKUP($A783,INDIRECT("'"&amp;C$707&amp;"'!"&amp;"$A$5:$CA$100"),VLOOKUP($A$698,$A$688:$E$703,COLUMN(C$688) - COLUMN($A$688) +1,FALSE),FALSE) - VLOOKUP($A783,INDIRECT("'"&amp;C$707&amp;"'!"&amp;"$A$5:$CA$100"),VLOOKUP($A$700,$A$688:$E$703,COLUMN(C$688) - COLUMN($A$688) +1,FALSE),FALSE),VLOOKUP($A783,INDIRECT("'"&amp;C$707&amp;"'!"&amp;"$A$5:$CA$100"),VLOOKUP('Elec. Analysis'!$A$156,$A$688:$E$703,COLUMN(C$688) - COLUMN($A$688) +1,FALSE),FALSE)))</f>
        <v>6.8</v>
      </c>
      <c r="D783" s="706">
        <f ca="1">IF('Elec. Analysis'!$A$156=$A$696,VLOOKUP($A783,INDIRECT("'"&amp;D$707&amp;"'!"&amp;"$A$5:$CA$100"),VLOOKUP($A$695,$A$688:$E$703,COLUMN(D$688) - COLUMN($A$688) +1,FALSE),FALSE) + VLOOKUP($A783,INDIRECT("'"&amp;D$707&amp;"'!"&amp;"$A$5:$CA$100"),VLOOKUP($A$694,$A$688:$E$703,COLUMN(D$688) - COLUMN($A$688) +1,FALSE),FALSE),IF('Elec. Analysis'!$A$156=$A$699,VLOOKUP($A783,INDIRECT("'"&amp;D$707&amp;"'!"&amp;"$A$5:$CA$100"),VLOOKUP($A$698,$A$688:$E$703,COLUMN(D$688) - COLUMN($A$688) +1,FALSE),FALSE) - VLOOKUP($A783,INDIRECT("'"&amp;D$707&amp;"'!"&amp;"$A$5:$CA$100"),VLOOKUP($A$700,$A$688:$E$703,COLUMN(D$688) - COLUMN($A$688) +1,FALSE),FALSE),VLOOKUP($A783,INDIRECT("'"&amp;D$707&amp;"'!"&amp;"$A$5:$CA$100"),VLOOKUP('Elec. Analysis'!$A$156,$A$688:$E$703,COLUMN(D$688) - COLUMN($A$688) +1,FALSE),FALSE)))</f>
        <v>6.8</v>
      </c>
      <c r="E783" s="706">
        <f ca="1">IF('Elec. Analysis'!$A$156=$A$696,VLOOKUP($A783,INDIRECT("'"&amp;E$707&amp;"'!"&amp;"$A$5:$CA$100"),VLOOKUP($A$695,$A$688:$E$703,COLUMN(E$688) - COLUMN($A$688) +1,FALSE),FALSE) + VLOOKUP($A783,INDIRECT("'"&amp;E$707&amp;"'!"&amp;"$A$5:$CA$100"),VLOOKUP($A$694,$A$688:$E$703,COLUMN(E$688) - COLUMN($A$688) +1,FALSE),FALSE),IF('Elec. Analysis'!$A$156=$A$699,VLOOKUP($A783,INDIRECT("'"&amp;E$707&amp;"'!"&amp;"$A$5:$CA$100"),VLOOKUP($A$698,$A$688:$E$703,COLUMN(E$688) - COLUMN($A$688) +1,FALSE),FALSE) - VLOOKUP($A783,INDIRECT("'"&amp;E$707&amp;"'!"&amp;"$A$5:$CA$100"),VLOOKUP($A$700,$A$688:$E$703,COLUMN(E$688) - COLUMN($A$688) +1,FALSE),FALSE),VLOOKUP($A783,INDIRECT("'"&amp;E$707&amp;"'!"&amp;"$A$5:$CA$100"),VLOOKUP('Elec. Analysis'!$A$156,$A$688:$E$703,COLUMN(E$688) - COLUMN($A$688) +1,FALSE),FALSE)))</f>
        <v>6.8</v>
      </c>
      <c r="F783" s="1374"/>
      <c r="G783" s="1374"/>
      <c r="H783" s="1374"/>
      <c r="I783" s="1374"/>
      <c r="J783" s="1374"/>
      <c r="K783" s="1374"/>
      <c r="L783" s="1374"/>
      <c r="M783" s="911"/>
      <c r="N783" s="1374"/>
      <c r="O783" s="1024">
        <v>43132</v>
      </c>
      <c r="P783" s="1625">
        <f ca="1">VLOOKUP($O783,INDIRECT("'"&amp;P$709&amp;"'!"&amp;"$A$5:$CA$100"),VLOOKUP('NG Analysis'!$A$157,$O$685:$R$699,COLUMN(P$685) - COLUMN($O$685) + 1,FALSE),FALSE)</f>
        <v>2.3279999999999998</v>
      </c>
      <c r="Q783" s="1625">
        <f ca="1">VLOOKUP($O783,INDIRECT("'"&amp;Q$709&amp;"'!"&amp;"$A$5:$CA$100"),VLOOKUP('NG Analysis'!$A$157,$O$685:$R$699,COLUMN(Q$685) - COLUMN($O$685) + 1,FALSE),FALSE)</f>
        <v>2.3279999999999998</v>
      </c>
      <c r="R783" s="1625">
        <f ca="1">VLOOKUP($O783,INDIRECT("'"&amp;R$709&amp;"'!"&amp;"$A$5:$CA$100"),VLOOKUP('NG Analysis'!$A$157,$O$685:$R$699,COLUMN(R$685) - COLUMN($O$685) + 1,FALSE),FALSE)</f>
        <v>2.1429999999999998</v>
      </c>
      <c r="S783" s="1374"/>
      <c r="T783" s="1374"/>
      <c r="U783" s="1374"/>
      <c r="V783" s="1374"/>
      <c r="W783" s="1374"/>
      <c r="X783" s="1374"/>
      <c r="Y783" s="1374"/>
      <c r="Z783" s="911"/>
      <c r="AA783" s="1439"/>
    </row>
    <row r="784" spans="1:27" x14ac:dyDescent="0.3">
      <c r="A784" s="1036">
        <v>43221</v>
      </c>
      <c r="B784" s="706">
        <f ca="1">IF('Elec. Analysis'!$A$156=$A$696,VLOOKUP($A784,INDIRECT("'"&amp;B$707&amp;"'!"&amp;"$A$5:$CA$100"),VLOOKUP($A$695,$A$688:$E$703,COLUMN(B$688) - COLUMN($A$688) +1,FALSE),FALSE) + VLOOKUP($A784,INDIRECT("'"&amp;B$707&amp;"'!"&amp;"$A$5:$CA$100"),VLOOKUP($A$694,$A$688:$E$703,COLUMN(B$688) - COLUMN($A$688) +1,FALSE),FALSE),IF('Elec. Analysis'!$A$156=$A$699,VLOOKUP($A784,INDIRECT("'"&amp;B$707&amp;"'!"&amp;"$A$5:$CA$100"),VLOOKUP($A$698,$A$688:$E$703,COLUMN(B$688) - COLUMN($A$688) +1,FALSE),FALSE) - VLOOKUP($A784,INDIRECT("'"&amp;B$707&amp;"'!"&amp;"$A$5:$CA$100"),VLOOKUP($A$700,$A$688:$E$703,COLUMN(B$688) - COLUMN($A$688) +1,FALSE),FALSE),VLOOKUP($A784,INDIRECT("'"&amp;B$707&amp;"'!"&amp;"$A$5:$CA$100"),VLOOKUP('Elec. Analysis'!$A$156,$A$688:$E$703,COLUMN(B$688) - COLUMN($A$688) +1,FALSE),FALSE)))</f>
        <v>5.5659999999999998</v>
      </c>
      <c r="C784" s="706">
        <f ca="1">IF('Elec. Analysis'!$A$156=$A$696,VLOOKUP($A784,INDIRECT("'"&amp;C$707&amp;"'!"&amp;"$A$5:$CA$100"),VLOOKUP($A$695,$A$688:$E$703,COLUMN(C$688) - COLUMN($A$688) +1,FALSE),FALSE) + VLOOKUP($A784,INDIRECT("'"&amp;C$707&amp;"'!"&amp;"$A$5:$CA$100"),VLOOKUP($A$694,$A$688:$E$703,COLUMN(C$688) - COLUMN($A$688) +1,FALSE),FALSE),IF('Elec. Analysis'!$A$156=$A$699,VLOOKUP($A784,INDIRECT("'"&amp;C$707&amp;"'!"&amp;"$A$5:$CA$100"),VLOOKUP($A$698,$A$688:$E$703,COLUMN(C$688) - COLUMN($A$688) +1,FALSE),FALSE) - VLOOKUP($A784,INDIRECT("'"&amp;C$707&amp;"'!"&amp;"$A$5:$CA$100"),VLOOKUP($A$700,$A$688:$E$703,COLUMN(C$688) - COLUMN($A$688) +1,FALSE),FALSE),VLOOKUP($A784,INDIRECT("'"&amp;C$707&amp;"'!"&amp;"$A$5:$CA$100"),VLOOKUP('Elec. Analysis'!$A$156,$A$688:$E$703,COLUMN(C$688) - COLUMN($A$688) +1,FALSE),FALSE)))</f>
        <v>5.3789999999999996</v>
      </c>
      <c r="D784" s="706">
        <f ca="1">IF('Elec. Analysis'!$A$156=$A$696,VLOOKUP($A784,INDIRECT("'"&amp;D$707&amp;"'!"&amp;"$A$5:$CA$100"),VLOOKUP($A$695,$A$688:$E$703,COLUMN(D$688) - COLUMN($A$688) +1,FALSE),FALSE) + VLOOKUP($A784,INDIRECT("'"&amp;D$707&amp;"'!"&amp;"$A$5:$CA$100"),VLOOKUP($A$694,$A$688:$E$703,COLUMN(D$688) - COLUMN($A$688) +1,FALSE),FALSE),IF('Elec. Analysis'!$A$156=$A$699,VLOOKUP($A784,INDIRECT("'"&amp;D$707&amp;"'!"&amp;"$A$5:$CA$100"),VLOOKUP($A$698,$A$688:$E$703,COLUMN(D$688) - COLUMN($A$688) +1,FALSE),FALSE) - VLOOKUP($A784,INDIRECT("'"&amp;D$707&amp;"'!"&amp;"$A$5:$CA$100"),VLOOKUP($A$700,$A$688:$E$703,COLUMN(D$688) - COLUMN($A$688) +1,FALSE),FALSE),VLOOKUP($A784,INDIRECT("'"&amp;D$707&amp;"'!"&amp;"$A$5:$CA$100"),VLOOKUP('Elec. Analysis'!$A$156,$A$688:$E$703,COLUMN(D$688) - COLUMN($A$688) +1,FALSE),FALSE)))</f>
        <v>5.3120000000000003</v>
      </c>
      <c r="E784" s="706">
        <f ca="1">IF('Elec. Analysis'!$A$156=$A$696,VLOOKUP($A784,INDIRECT("'"&amp;E$707&amp;"'!"&amp;"$A$5:$CA$100"),VLOOKUP($A$695,$A$688:$E$703,COLUMN(E$688) - COLUMN($A$688) +1,FALSE),FALSE) + VLOOKUP($A784,INDIRECT("'"&amp;E$707&amp;"'!"&amp;"$A$5:$CA$100"),VLOOKUP($A$694,$A$688:$E$703,COLUMN(E$688) - COLUMN($A$688) +1,FALSE),FALSE),IF('Elec. Analysis'!$A$156=$A$699,VLOOKUP($A784,INDIRECT("'"&amp;E$707&amp;"'!"&amp;"$A$5:$CA$100"),VLOOKUP($A$698,$A$688:$E$703,COLUMN(E$688) - COLUMN($A$688) +1,FALSE),FALSE) - VLOOKUP($A784,INDIRECT("'"&amp;E$707&amp;"'!"&amp;"$A$5:$CA$100"),VLOOKUP($A$700,$A$688:$E$703,COLUMN(E$688) - COLUMN($A$688) +1,FALSE),FALSE),VLOOKUP($A784,INDIRECT("'"&amp;E$707&amp;"'!"&amp;"$A$5:$CA$100"),VLOOKUP('Elec. Analysis'!$A$156,$A$688:$E$703,COLUMN(E$688) - COLUMN($A$688) +1,FALSE),FALSE)))</f>
        <v>5.7</v>
      </c>
      <c r="F784" s="1374"/>
      <c r="G784" s="1374"/>
      <c r="H784" s="1374"/>
      <c r="I784" s="1374"/>
      <c r="J784" s="1374"/>
      <c r="K784" s="1374"/>
      <c r="L784" s="1374"/>
      <c r="M784" s="911"/>
      <c r="N784" s="1374"/>
      <c r="O784" s="1024">
        <v>43160</v>
      </c>
      <c r="P784" s="827">
        <f ca="1">VLOOKUP($O784,INDIRECT("'"&amp;P$709&amp;"'!"&amp;"$A$5:$CA$100"),VLOOKUP('NG Analysis'!$A$157,$O$685:$R$699,COLUMN(P$685) - COLUMN($O$685) + 1,FALSE),FALSE)</f>
        <v>1.7330000000000001</v>
      </c>
      <c r="Q784" s="827">
        <f ca="1">VLOOKUP($O784,INDIRECT("'"&amp;Q$709&amp;"'!"&amp;"$A$5:$CA$100"),VLOOKUP('NG Analysis'!$A$157,$O$685:$R$699,COLUMN(Q$685) - COLUMN($O$685) + 1,FALSE),FALSE)</f>
        <v>1.7330000000000001</v>
      </c>
      <c r="R784" s="827">
        <f ca="1">VLOOKUP($O784,INDIRECT("'"&amp;R$709&amp;"'!"&amp;"$A$5:$CA$100"),VLOOKUP('NG Analysis'!$A$157,$O$685:$R$699,COLUMN(R$685) - COLUMN($O$685) + 1,FALSE),FALSE)</f>
        <v>1.9810000000000001</v>
      </c>
      <c r="S784" s="1374"/>
      <c r="T784" s="1374"/>
      <c r="U784" s="1374"/>
      <c r="V784" s="1374"/>
      <c r="W784" s="1374"/>
      <c r="X784" s="1374"/>
      <c r="Y784" s="1374"/>
      <c r="Z784" s="911"/>
      <c r="AA784" s="1439"/>
    </row>
    <row r="785" spans="1:27" x14ac:dyDescent="0.3">
      <c r="A785" s="1036">
        <v>43252</v>
      </c>
      <c r="B785" s="706">
        <f ca="1">IF('Elec. Analysis'!$A$156=$A$696,VLOOKUP($A785,INDIRECT("'"&amp;B$707&amp;"'!"&amp;"$A$5:$CA$100"),VLOOKUP($A$695,$A$688:$E$703,COLUMN(B$688) - COLUMN($A$688) +1,FALSE),FALSE) + VLOOKUP($A785,INDIRECT("'"&amp;B$707&amp;"'!"&amp;"$A$5:$CA$100"),VLOOKUP($A$694,$A$688:$E$703,COLUMN(B$688) - COLUMN($A$688) +1,FALSE),FALSE),IF('Elec. Analysis'!$A$156=$A$699,VLOOKUP($A785,INDIRECT("'"&amp;B$707&amp;"'!"&amp;"$A$5:$CA$100"),VLOOKUP($A$698,$A$688:$E$703,COLUMN(B$688) - COLUMN($A$688) +1,FALSE),FALSE) - VLOOKUP($A785,INDIRECT("'"&amp;B$707&amp;"'!"&amp;"$A$5:$CA$100"),VLOOKUP($A$700,$A$688:$E$703,COLUMN(B$688) - COLUMN($A$688) +1,FALSE),FALSE),VLOOKUP($A785,INDIRECT("'"&amp;B$707&amp;"'!"&amp;"$A$5:$CA$100"),VLOOKUP('Elec. Analysis'!$A$156,$A$688:$E$703,COLUMN(B$688) - COLUMN($A$688) +1,FALSE),FALSE)))</f>
        <v>5.0620000000000003</v>
      </c>
      <c r="C785" s="706">
        <f ca="1">IF('Elec. Analysis'!$A$156=$A$696,VLOOKUP($A785,INDIRECT("'"&amp;C$707&amp;"'!"&amp;"$A$5:$CA$100"),VLOOKUP($A$695,$A$688:$E$703,COLUMN(C$688) - COLUMN($A$688) +1,FALSE),FALSE) + VLOOKUP($A785,INDIRECT("'"&amp;C$707&amp;"'!"&amp;"$A$5:$CA$100"),VLOOKUP($A$694,$A$688:$E$703,COLUMN(C$688) - COLUMN($A$688) +1,FALSE),FALSE),IF('Elec. Analysis'!$A$156=$A$699,VLOOKUP($A785,INDIRECT("'"&amp;C$707&amp;"'!"&amp;"$A$5:$CA$100"),VLOOKUP($A$698,$A$688:$E$703,COLUMN(C$688) - COLUMN($A$688) +1,FALSE),FALSE) - VLOOKUP($A785,INDIRECT("'"&amp;C$707&amp;"'!"&amp;"$A$5:$CA$100"),VLOOKUP($A$700,$A$688:$E$703,COLUMN(C$688) - COLUMN($A$688) +1,FALSE),FALSE),VLOOKUP($A785,INDIRECT("'"&amp;C$707&amp;"'!"&amp;"$A$5:$CA$100"),VLOOKUP('Elec. Analysis'!$A$156,$A$688:$E$703,COLUMN(C$688) - COLUMN($A$688) +1,FALSE),FALSE)))</f>
        <v>5.9279999999999999</v>
      </c>
      <c r="D785" s="706">
        <f ca="1">IF('Elec. Analysis'!$A$156=$A$696,VLOOKUP($A785,INDIRECT("'"&amp;D$707&amp;"'!"&amp;"$A$5:$CA$100"),VLOOKUP($A$695,$A$688:$E$703,COLUMN(D$688) - COLUMN($A$688) +1,FALSE),FALSE) + VLOOKUP($A785,INDIRECT("'"&amp;D$707&amp;"'!"&amp;"$A$5:$CA$100"),VLOOKUP($A$694,$A$688:$E$703,COLUMN(D$688) - COLUMN($A$688) +1,FALSE),FALSE),IF('Elec. Analysis'!$A$156=$A$699,VLOOKUP($A785,INDIRECT("'"&amp;D$707&amp;"'!"&amp;"$A$5:$CA$100"),VLOOKUP($A$698,$A$688:$E$703,COLUMN(D$688) - COLUMN($A$688) +1,FALSE),FALSE) - VLOOKUP($A785,INDIRECT("'"&amp;D$707&amp;"'!"&amp;"$A$5:$CA$100"),VLOOKUP($A$700,$A$688:$E$703,COLUMN(D$688) - COLUMN($A$688) +1,FALSE),FALSE),VLOOKUP($A785,INDIRECT("'"&amp;D$707&amp;"'!"&amp;"$A$5:$CA$100"),VLOOKUP('Elec. Analysis'!$A$156,$A$688:$E$703,COLUMN(D$688) - COLUMN($A$688) +1,FALSE),FALSE)))</f>
        <v>5.8419999999999996</v>
      </c>
      <c r="E785" s="706">
        <f ca="1">IF('Elec. Analysis'!$A$156=$A$696,VLOOKUP($A785,INDIRECT("'"&amp;E$707&amp;"'!"&amp;"$A$5:$CA$100"),VLOOKUP($A$695,$A$688:$E$703,COLUMN(E$688) - COLUMN($A$688) +1,FALSE),FALSE) + VLOOKUP($A785,INDIRECT("'"&amp;E$707&amp;"'!"&amp;"$A$5:$CA$100"),VLOOKUP($A$694,$A$688:$E$703,COLUMN(E$688) - COLUMN($A$688) +1,FALSE),FALSE),IF('Elec. Analysis'!$A$156=$A$699,VLOOKUP($A785,INDIRECT("'"&amp;E$707&amp;"'!"&amp;"$A$5:$CA$100"),VLOOKUP($A$698,$A$688:$E$703,COLUMN(E$688) - COLUMN($A$688) +1,FALSE),FALSE) - VLOOKUP($A785,INDIRECT("'"&amp;E$707&amp;"'!"&amp;"$A$5:$CA$100"),VLOOKUP($A$700,$A$688:$E$703,COLUMN(E$688) - COLUMN($A$688) +1,FALSE),FALSE),VLOOKUP($A785,INDIRECT("'"&amp;E$707&amp;"'!"&amp;"$A$5:$CA$100"),VLOOKUP('Elec. Analysis'!$A$156,$A$688:$E$703,COLUMN(E$688) - COLUMN($A$688) +1,FALSE),FALSE)))</f>
        <v>6.3490000000000002</v>
      </c>
      <c r="F785" s="1374"/>
      <c r="G785" s="1374"/>
      <c r="H785" s="1374"/>
      <c r="I785" s="1374"/>
      <c r="J785" s="1374"/>
      <c r="K785" s="1374"/>
      <c r="L785" s="1374"/>
      <c r="M785" s="911"/>
      <c r="N785" s="1374"/>
      <c r="O785" s="1024">
        <v>43191</v>
      </c>
      <c r="P785" s="827">
        <f ca="1">VLOOKUP($O785,INDIRECT("'"&amp;P$709&amp;"'!"&amp;"$A$5:$CA$100"),VLOOKUP('NG Analysis'!$A$157,$O$685:$R$699,COLUMN(P$685) - COLUMN($O$685) + 1,FALSE),FALSE)</f>
        <v>1.9670000000000001</v>
      </c>
      <c r="Q785" s="827">
        <f ca="1">VLOOKUP($O785,INDIRECT("'"&amp;Q$709&amp;"'!"&amp;"$A$5:$CA$100"),VLOOKUP('NG Analysis'!$A$157,$O$685:$R$699,COLUMN(Q$685) - COLUMN($O$685) + 1,FALSE),FALSE)</f>
        <v>1.9670000000000001</v>
      </c>
      <c r="R785" s="827">
        <f ca="1">VLOOKUP($O785,INDIRECT("'"&amp;R$709&amp;"'!"&amp;"$A$5:$CA$100"),VLOOKUP('NG Analysis'!$A$157,$O$685:$R$699,COLUMN(R$685) - COLUMN($O$685) + 1,FALSE),FALSE)</f>
        <v>2.1970000000000001</v>
      </c>
      <c r="S785" s="1374"/>
      <c r="T785" s="1374"/>
      <c r="U785" s="1374"/>
      <c r="V785" s="1374"/>
      <c r="W785" s="1374"/>
      <c r="X785" s="1374"/>
      <c r="Y785" s="1374"/>
      <c r="Z785" s="911"/>
      <c r="AA785" s="1439"/>
    </row>
    <row r="786" spans="1:27" x14ac:dyDescent="0.3">
      <c r="A786" s="1036">
        <v>43282</v>
      </c>
      <c r="B786" s="706">
        <f ca="1">IF('Elec. Analysis'!$A$156=$A$696,VLOOKUP($A786,INDIRECT("'"&amp;B$707&amp;"'!"&amp;"$A$5:$CA$100"),VLOOKUP($A$695,$A$688:$E$703,COLUMN(B$688) - COLUMN($A$688) +1,FALSE),FALSE) + VLOOKUP($A786,INDIRECT("'"&amp;B$707&amp;"'!"&amp;"$A$5:$CA$100"),VLOOKUP($A$694,$A$688:$E$703,COLUMN(B$688) - COLUMN($A$688) +1,FALSE),FALSE),IF('Elec. Analysis'!$A$156=$A$699,VLOOKUP($A786,INDIRECT("'"&amp;B$707&amp;"'!"&amp;"$A$5:$CA$100"),VLOOKUP($A$698,$A$688:$E$703,COLUMN(B$688) - COLUMN($A$688) +1,FALSE),FALSE) - VLOOKUP($A786,INDIRECT("'"&amp;B$707&amp;"'!"&amp;"$A$5:$CA$100"),VLOOKUP($A$700,$A$688:$E$703,COLUMN(B$688) - COLUMN($A$688) +1,FALSE),FALSE),VLOOKUP($A786,INDIRECT("'"&amp;B$707&amp;"'!"&amp;"$A$5:$CA$100"),VLOOKUP('Elec. Analysis'!$A$156,$A$688:$E$703,COLUMN(B$688) - COLUMN($A$688) +1,FALSE),FALSE)))</f>
        <v>6.8</v>
      </c>
      <c r="C786" s="706">
        <f ca="1">IF('Elec. Analysis'!$A$156=$A$696,VLOOKUP($A786,INDIRECT("'"&amp;C$707&amp;"'!"&amp;"$A$5:$CA$100"),VLOOKUP($A$695,$A$688:$E$703,COLUMN(C$688) - COLUMN($A$688) +1,FALSE),FALSE) + VLOOKUP($A786,INDIRECT("'"&amp;C$707&amp;"'!"&amp;"$A$5:$CA$100"),VLOOKUP($A$694,$A$688:$E$703,COLUMN(C$688) - COLUMN($A$688) +1,FALSE),FALSE),IF('Elec. Analysis'!$A$156=$A$699,VLOOKUP($A786,INDIRECT("'"&amp;C$707&amp;"'!"&amp;"$A$5:$CA$100"),VLOOKUP($A$698,$A$688:$E$703,COLUMN(C$688) - COLUMN($A$688) +1,FALSE),FALSE) - VLOOKUP($A786,INDIRECT("'"&amp;C$707&amp;"'!"&amp;"$A$5:$CA$100"),VLOOKUP($A$700,$A$688:$E$703,COLUMN(C$688) - COLUMN($A$688) +1,FALSE),FALSE),VLOOKUP($A786,INDIRECT("'"&amp;C$707&amp;"'!"&amp;"$A$5:$CA$100"),VLOOKUP('Elec. Analysis'!$A$156,$A$688:$E$703,COLUMN(C$688) - COLUMN($A$688) +1,FALSE),FALSE)))</f>
        <v>6.8</v>
      </c>
      <c r="D786" s="706">
        <f ca="1">IF('Elec. Analysis'!$A$156=$A$696,VLOOKUP($A786,INDIRECT("'"&amp;D$707&amp;"'!"&amp;"$A$5:$CA$100"),VLOOKUP($A$695,$A$688:$E$703,COLUMN(D$688) - COLUMN($A$688) +1,FALSE),FALSE) + VLOOKUP($A786,INDIRECT("'"&amp;D$707&amp;"'!"&amp;"$A$5:$CA$100"),VLOOKUP($A$694,$A$688:$E$703,COLUMN(D$688) - COLUMN($A$688) +1,FALSE),FALSE),IF('Elec. Analysis'!$A$156=$A$699,VLOOKUP($A786,INDIRECT("'"&amp;D$707&amp;"'!"&amp;"$A$5:$CA$100"),VLOOKUP($A$698,$A$688:$E$703,COLUMN(D$688) - COLUMN($A$688) +1,FALSE),FALSE) - VLOOKUP($A786,INDIRECT("'"&amp;D$707&amp;"'!"&amp;"$A$5:$CA$100"),VLOOKUP($A$700,$A$688:$E$703,COLUMN(D$688) - COLUMN($A$688) +1,FALSE),FALSE),VLOOKUP($A786,INDIRECT("'"&amp;D$707&amp;"'!"&amp;"$A$5:$CA$100"),VLOOKUP('Elec. Analysis'!$A$156,$A$688:$E$703,COLUMN(D$688) - COLUMN($A$688) +1,FALSE),FALSE)))</f>
        <v>6.8</v>
      </c>
      <c r="E786" s="706">
        <f ca="1">IF('Elec. Analysis'!$A$156=$A$696,VLOOKUP($A786,INDIRECT("'"&amp;E$707&amp;"'!"&amp;"$A$5:$CA$100"),VLOOKUP($A$695,$A$688:$E$703,COLUMN(E$688) - COLUMN($A$688) +1,FALSE),FALSE) + VLOOKUP($A786,INDIRECT("'"&amp;E$707&amp;"'!"&amp;"$A$5:$CA$100"),VLOOKUP($A$694,$A$688:$E$703,COLUMN(E$688) - COLUMN($A$688) +1,FALSE),FALSE),IF('Elec. Analysis'!$A$156=$A$699,VLOOKUP($A786,INDIRECT("'"&amp;E$707&amp;"'!"&amp;"$A$5:$CA$100"),VLOOKUP($A$698,$A$688:$E$703,COLUMN(E$688) - COLUMN($A$688) +1,FALSE),FALSE) - VLOOKUP($A786,INDIRECT("'"&amp;E$707&amp;"'!"&amp;"$A$5:$CA$100"),VLOOKUP($A$700,$A$688:$E$703,COLUMN(E$688) - COLUMN($A$688) +1,FALSE),FALSE),VLOOKUP($A786,INDIRECT("'"&amp;E$707&amp;"'!"&amp;"$A$5:$CA$100"),VLOOKUP('Elec. Analysis'!$A$156,$A$688:$E$703,COLUMN(E$688) - COLUMN($A$688) +1,FALSE),FALSE)))</f>
        <v>6.8</v>
      </c>
      <c r="F786" s="1514"/>
      <c r="G786" s="1514"/>
      <c r="H786" s="1514"/>
      <c r="I786" s="1514"/>
      <c r="J786" s="1514"/>
      <c r="K786" s="1514"/>
      <c r="L786" s="1514"/>
      <c r="M786" s="911"/>
      <c r="N786" s="1514"/>
      <c r="O786" s="1024">
        <v>43221</v>
      </c>
      <c r="P786" s="827">
        <f ca="1">VLOOKUP($O786,INDIRECT("'"&amp;P$709&amp;"'!"&amp;"$A$5:$CA$100"),VLOOKUP('NG Analysis'!$A$157,$O$685:$R$699,COLUMN(P$685) - COLUMN($O$685) + 1,FALSE),FALSE)</f>
        <v>0.98899999999999999</v>
      </c>
      <c r="Q786" s="827">
        <f ca="1">VLOOKUP($O786,INDIRECT("'"&amp;Q$709&amp;"'!"&amp;"$A$5:$CA$100"),VLOOKUP('NG Analysis'!$A$157,$O$685:$R$699,COLUMN(Q$685) - COLUMN($O$685) + 1,FALSE),FALSE)</f>
        <v>0.98899999999999999</v>
      </c>
      <c r="R786" s="827">
        <f ca="1">VLOOKUP($O786,INDIRECT("'"&amp;R$709&amp;"'!"&amp;"$A$5:$CA$100"),VLOOKUP('NG Analysis'!$A$157,$O$685:$R$699,COLUMN(R$685) - COLUMN($O$685) + 1,FALSE),FALSE)</f>
        <v>0.60299999999999998</v>
      </c>
      <c r="S786" s="1514"/>
      <c r="T786" s="1514"/>
      <c r="U786" s="1514"/>
      <c r="V786" s="1514"/>
      <c r="W786" s="1514"/>
      <c r="X786" s="1514"/>
      <c r="Y786" s="1514"/>
      <c r="Z786" s="911"/>
      <c r="AA786" s="1493"/>
    </row>
    <row r="787" spans="1:27" x14ac:dyDescent="0.3">
      <c r="A787" s="1036">
        <v>43313</v>
      </c>
      <c r="B787" s="706">
        <f ca="1">IF('Elec. Analysis'!$A$156=$A$696,VLOOKUP($A787,INDIRECT("'"&amp;B$707&amp;"'!"&amp;"$A$5:$CA$100"),VLOOKUP($A$695,$A$688:$E$703,COLUMN(B$688) - COLUMN($A$688) +1,FALSE),FALSE) + VLOOKUP($A787,INDIRECT("'"&amp;B$707&amp;"'!"&amp;"$A$5:$CA$100"),VLOOKUP($A$694,$A$688:$E$703,COLUMN(B$688) - COLUMN($A$688) +1,FALSE),FALSE),IF('Elec. Analysis'!$A$156=$A$699,VLOOKUP($A787,INDIRECT("'"&amp;B$707&amp;"'!"&amp;"$A$5:$CA$100"),VLOOKUP($A$698,$A$688:$E$703,COLUMN(B$688) - COLUMN($A$688) +1,FALSE),FALSE) - VLOOKUP($A787,INDIRECT("'"&amp;B$707&amp;"'!"&amp;"$A$5:$CA$100"),VLOOKUP($A$700,$A$688:$E$703,COLUMN(B$688) - COLUMN($A$688) +1,FALSE),FALSE),VLOOKUP($A787,INDIRECT("'"&amp;B$707&amp;"'!"&amp;"$A$5:$CA$100"),VLOOKUP('Elec. Analysis'!$A$156,$A$688:$E$703,COLUMN(B$688) - COLUMN($A$688) +1,FALSE),FALSE)))</f>
        <v>6.8</v>
      </c>
      <c r="C787" s="706">
        <f ca="1">IF('Elec. Analysis'!$A$156=$A$696,VLOOKUP($A787,INDIRECT("'"&amp;C$707&amp;"'!"&amp;"$A$5:$CA$100"),VLOOKUP($A$695,$A$688:$E$703,COLUMN(C$688) - COLUMN($A$688) +1,FALSE),FALSE) + VLOOKUP($A787,INDIRECT("'"&amp;C$707&amp;"'!"&amp;"$A$5:$CA$100"),VLOOKUP($A$694,$A$688:$E$703,COLUMN(C$688) - COLUMN($A$688) +1,FALSE),FALSE),IF('Elec. Analysis'!$A$156=$A$699,VLOOKUP($A787,INDIRECT("'"&amp;C$707&amp;"'!"&amp;"$A$5:$CA$100"),VLOOKUP($A$698,$A$688:$E$703,COLUMN(C$688) - COLUMN($A$688) +1,FALSE),FALSE) - VLOOKUP($A787,INDIRECT("'"&amp;C$707&amp;"'!"&amp;"$A$5:$CA$100"),VLOOKUP($A$700,$A$688:$E$703,COLUMN(C$688) - COLUMN($A$688) +1,FALSE),FALSE),VLOOKUP($A787,INDIRECT("'"&amp;C$707&amp;"'!"&amp;"$A$5:$CA$100"),VLOOKUP('Elec. Analysis'!$A$156,$A$688:$E$703,COLUMN(C$688) - COLUMN($A$688) +1,FALSE),FALSE)))</f>
        <v>6.8</v>
      </c>
      <c r="D787" s="706">
        <f ca="1">IF('Elec. Analysis'!$A$156=$A$696,VLOOKUP($A787,INDIRECT("'"&amp;D$707&amp;"'!"&amp;"$A$5:$CA$100"),VLOOKUP($A$695,$A$688:$E$703,COLUMN(D$688) - COLUMN($A$688) +1,FALSE),FALSE) + VLOOKUP($A787,INDIRECT("'"&amp;D$707&amp;"'!"&amp;"$A$5:$CA$100"),VLOOKUP($A$694,$A$688:$E$703,COLUMN(D$688) - COLUMN($A$688) +1,FALSE),FALSE),IF('Elec. Analysis'!$A$156=$A$699,VLOOKUP($A787,INDIRECT("'"&amp;D$707&amp;"'!"&amp;"$A$5:$CA$100"),VLOOKUP($A$698,$A$688:$E$703,COLUMN(D$688) - COLUMN($A$688) +1,FALSE),FALSE) - VLOOKUP($A787,INDIRECT("'"&amp;D$707&amp;"'!"&amp;"$A$5:$CA$100"),VLOOKUP($A$700,$A$688:$E$703,COLUMN(D$688) - COLUMN($A$688) +1,FALSE),FALSE),VLOOKUP($A787,INDIRECT("'"&amp;D$707&amp;"'!"&amp;"$A$5:$CA$100"),VLOOKUP('Elec. Analysis'!$A$156,$A$688:$E$703,COLUMN(D$688) - COLUMN($A$688) +1,FALSE),FALSE)))</f>
        <v>6.8</v>
      </c>
      <c r="E787" s="706">
        <f ca="1">IF('Elec. Analysis'!$A$156=$A$696,VLOOKUP($A787,INDIRECT("'"&amp;E$707&amp;"'!"&amp;"$A$5:$CA$100"),VLOOKUP($A$695,$A$688:$E$703,COLUMN(E$688) - COLUMN($A$688) +1,FALSE),FALSE) + VLOOKUP($A787,INDIRECT("'"&amp;E$707&amp;"'!"&amp;"$A$5:$CA$100"),VLOOKUP($A$694,$A$688:$E$703,COLUMN(E$688) - COLUMN($A$688) +1,FALSE),FALSE),IF('Elec. Analysis'!$A$156=$A$699,VLOOKUP($A787,INDIRECT("'"&amp;E$707&amp;"'!"&amp;"$A$5:$CA$100"),VLOOKUP($A$698,$A$688:$E$703,COLUMN(E$688) - COLUMN($A$688) +1,FALSE),FALSE) - VLOOKUP($A787,INDIRECT("'"&amp;E$707&amp;"'!"&amp;"$A$5:$CA$100"),VLOOKUP($A$700,$A$688:$E$703,COLUMN(E$688) - COLUMN($A$688) +1,FALSE),FALSE),VLOOKUP($A787,INDIRECT("'"&amp;E$707&amp;"'!"&amp;"$A$5:$CA$100"),VLOOKUP('Elec. Analysis'!$A$156,$A$688:$E$703,COLUMN(E$688) - COLUMN($A$688) +1,FALSE),FALSE)))</f>
        <v>6.8</v>
      </c>
      <c r="F787" s="1514"/>
      <c r="G787" s="1514"/>
      <c r="H787" s="1514"/>
      <c r="I787" s="1514"/>
      <c r="J787" s="1514"/>
      <c r="K787" s="1514"/>
      <c r="L787" s="1514"/>
      <c r="M787" s="911"/>
      <c r="N787" s="1514"/>
      <c r="O787" s="1024">
        <v>43252</v>
      </c>
      <c r="P787" s="827">
        <f ca="1">VLOOKUP($O787,INDIRECT("'"&amp;P$709&amp;"'!"&amp;"$A$5:$CA$100"),VLOOKUP('NG Analysis'!$A$157,$O$685:$R$699,COLUMN(P$685) - COLUMN($O$685) + 1,FALSE),FALSE)</f>
        <v>0.54400000000000004</v>
      </c>
      <c r="Q787" s="827">
        <f ca="1">VLOOKUP($O787,INDIRECT("'"&amp;Q$709&amp;"'!"&amp;"$A$5:$CA$100"),VLOOKUP('NG Analysis'!$A$157,$O$685:$R$699,COLUMN(Q$685) - COLUMN($O$685) + 1,FALSE),FALSE)</f>
        <v>0.54400000000000004</v>
      </c>
      <c r="R787" s="827">
        <f ca="1">VLOOKUP($O787,INDIRECT("'"&amp;R$709&amp;"'!"&amp;"$A$5:$CA$100"),VLOOKUP('NG Analysis'!$A$157,$O$685:$R$699,COLUMN(R$685) - COLUMN($O$685) + 1,FALSE),FALSE)</f>
        <v>2.589</v>
      </c>
      <c r="S787" s="1514"/>
      <c r="T787" s="1514"/>
      <c r="U787" s="1514"/>
      <c r="V787" s="1514"/>
      <c r="W787" s="1514"/>
      <c r="X787" s="1514"/>
      <c r="Y787" s="1514"/>
      <c r="Z787" s="911"/>
      <c r="AA787" s="1493"/>
    </row>
    <row r="788" spans="1:27" x14ac:dyDescent="0.3">
      <c r="A788" s="1036">
        <v>43344</v>
      </c>
      <c r="B788" s="706">
        <f ca="1">IF('Elec. Analysis'!$A$156=$A$696,VLOOKUP($A788,INDIRECT("'"&amp;B$707&amp;"'!"&amp;"$A$5:$CA$100"),VLOOKUP($A$695,$A$688:$E$703,COLUMN(B$688) - COLUMN($A$688) +1,FALSE),FALSE) + VLOOKUP($A788,INDIRECT("'"&amp;B$707&amp;"'!"&amp;"$A$5:$CA$100"),VLOOKUP($A$694,$A$688:$E$703,COLUMN(B$688) - COLUMN($A$688) +1,FALSE),FALSE),IF('Elec. Analysis'!$A$156=$A$699,VLOOKUP($A788,INDIRECT("'"&amp;B$707&amp;"'!"&amp;"$A$5:$CA$100"),VLOOKUP($A$698,$A$688:$E$703,COLUMN(B$688) - COLUMN($A$688) +1,FALSE),FALSE) - VLOOKUP($A788,INDIRECT("'"&amp;B$707&amp;"'!"&amp;"$A$5:$CA$100"),VLOOKUP($A$700,$A$688:$E$703,COLUMN(B$688) - COLUMN($A$688) +1,FALSE),FALSE),VLOOKUP($A788,INDIRECT("'"&amp;B$707&amp;"'!"&amp;"$A$5:$CA$100"),VLOOKUP('Elec. Analysis'!$A$156,$A$688:$E$703,COLUMN(B$688) - COLUMN($A$688) +1,FALSE),FALSE)))</f>
        <v>6.8</v>
      </c>
      <c r="C788" s="706">
        <f ca="1">IF('Elec. Analysis'!$A$156=$A$696,VLOOKUP($A788,INDIRECT("'"&amp;C$707&amp;"'!"&amp;"$A$5:$CA$100"),VLOOKUP($A$695,$A$688:$E$703,COLUMN(C$688) - COLUMN($A$688) +1,FALSE),FALSE) + VLOOKUP($A788,INDIRECT("'"&amp;C$707&amp;"'!"&amp;"$A$5:$CA$100"),VLOOKUP($A$694,$A$688:$E$703,COLUMN(C$688) - COLUMN($A$688) +1,FALSE),FALSE),IF('Elec. Analysis'!$A$156=$A$699,VLOOKUP($A788,INDIRECT("'"&amp;C$707&amp;"'!"&amp;"$A$5:$CA$100"),VLOOKUP($A$698,$A$688:$E$703,COLUMN(C$688) - COLUMN($A$688) +1,FALSE),FALSE) - VLOOKUP($A788,INDIRECT("'"&amp;C$707&amp;"'!"&amp;"$A$5:$CA$100"),VLOOKUP($A$700,$A$688:$E$703,COLUMN(C$688) - COLUMN($A$688) +1,FALSE),FALSE),VLOOKUP($A788,INDIRECT("'"&amp;C$707&amp;"'!"&amp;"$A$5:$CA$100"),VLOOKUP('Elec. Analysis'!$A$156,$A$688:$E$703,COLUMN(C$688) - COLUMN($A$688) +1,FALSE),FALSE)))</f>
        <v>6.8</v>
      </c>
      <c r="D788" s="706">
        <f ca="1">IF('Elec. Analysis'!$A$156=$A$696,VLOOKUP($A788,INDIRECT("'"&amp;D$707&amp;"'!"&amp;"$A$5:$CA$100"),VLOOKUP($A$695,$A$688:$E$703,COLUMN(D$688) - COLUMN($A$688) +1,FALSE),FALSE) + VLOOKUP($A788,INDIRECT("'"&amp;D$707&amp;"'!"&amp;"$A$5:$CA$100"),VLOOKUP($A$694,$A$688:$E$703,COLUMN(D$688) - COLUMN($A$688) +1,FALSE),FALSE),IF('Elec. Analysis'!$A$156=$A$699,VLOOKUP($A788,INDIRECT("'"&amp;D$707&amp;"'!"&amp;"$A$5:$CA$100"),VLOOKUP($A$698,$A$688:$E$703,COLUMN(D$688) - COLUMN($A$688) +1,FALSE),FALSE) - VLOOKUP($A788,INDIRECT("'"&amp;D$707&amp;"'!"&amp;"$A$5:$CA$100"),VLOOKUP($A$700,$A$688:$E$703,COLUMN(D$688) - COLUMN($A$688) +1,FALSE),FALSE),VLOOKUP($A788,INDIRECT("'"&amp;D$707&amp;"'!"&amp;"$A$5:$CA$100"),VLOOKUP('Elec. Analysis'!$A$156,$A$688:$E$703,COLUMN(D$688) - COLUMN($A$688) +1,FALSE),FALSE)))</f>
        <v>6.8</v>
      </c>
      <c r="E788" s="706">
        <f ca="1">IF('Elec. Analysis'!$A$156=$A$696,VLOOKUP($A788,INDIRECT("'"&amp;E$707&amp;"'!"&amp;"$A$5:$CA$100"),VLOOKUP($A$695,$A$688:$E$703,COLUMN(E$688) - COLUMN($A$688) +1,FALSE),FALSE) + VLOOKUP($A788,INDIRECT("'"&amp;E$707&amp;"'!"&amp;"$A$5:$CA$100"),VLOOKUP($A$694,$A$688:$E$703,COLUMN(E$688) - COLUMN($A$688) +1,FALSE),FALSE),IF('Elec. Analysis'!$A$156=$A$699,VLOOKUP($A788,INDIRECT("'"&amp;E$707&amp;"'!"&amp;"$A$5:$CA$100"),VLOOKUP($A$698,$A$688:$E$703,COLUMN(E$688) - COLUMN($A$688) +1,FALSE),FALSE) - VLOOKUP($A788,INDIRECT("'"&amp;E$707&amp;"'!"&amp;"$A$5:$CA$100"),VLOOKUP($A$700,$A$688:$E$703,COLUMN(E$688) - COLUMN($A$688) +1,FALSE),FALSE),VLOOKUP($A788,INDIRECT("'"&amp;E$707&amp;"'!"&amp;"$A$5:$CA$100"),VLOOKUP('Elec. Analysis'!$A$156,$A$688:$E$703,COLUMN(E$688) - COLUMN($A$688) +1,FALSE),FALSE)))</f>
        <v>6.8</v>
      </c>
      <c r="F788" s="1514"/>
      <c r="G788" s="1514"/>
      <c r="H788" s="1514"/>
      <c r="I788" s="1514"/>
      <c r="J788" s="1514"/>
      <c r="K788" s="1514"/>
      <c r="L788" s="1514"/>
      <c r="M788" s="911"/>
      <c r="N788" s="1514"/>
      <c r="O788" s="1024">
        <v>43282</v>
      </c>
      <c r="P788" s="827">
        <f ca="1">VLOOKUP($O788,INDIRECT("'"&amp;P$709&amp;"'!"&amp;"$A$5:$CA$100"),VLOOKUP('NG Analysis'!$A$157,$O$685:$R$699,COLUMN(P$685) - COLUMN($O$685) + 1,FALSE),FALSE)</f>
        <v>1.4850000000000001</v>
      </c>
      <c r="Q788" s="827">
        <f ca="1">VLOOKUP($O788,INDIRECT("'"&amp;Q$709&amp;"'!"&amp;"$A$5:$CA$100"),VLOOKUP('NG Analysis'!$A$157,$O$685:$R$699,COLUMN(Q$685) - COLUMN($O$685) + 1,FALSE),FALSE)</f>
        <v>1.4850000000000001</v>
      </c>
      <c r="R788" s="827">
        <f ca="1">VLOOKUP($O788,INDIRECT("'"&amp;R$709&amp;"'!"&amp;"$A$5:$CA$100"),VLOOKUP('NG Analysis'!$A$157,$O$685:$R$699,COLUMN(R$685) - COLUMN($O$685) + 1,FALSE),FALSE)</f>
        <v>3.2229999999999999</v>
      </c>
      <c r="S788" s="1514"/>
      <c r="T788" s="1514"/>
      <c r="U788" s="1514"/>
      <c r="V788" s="1514"/>
      <c r="W788" s="1514"/>
      <c r="X788" s="1514"/>
      <c r="Y788" s="1514"/>
      <c r="Z788" s="911"/>
      <c r="AA788" s="1493"/>
    </row>
    <row r="789" spans="1:27" x14ac:dyDescent="0.3">
      <c r="A789" s="1036">
        <v>43374</v>
      </c>
      <c r="B789" s="706">
        <f ca="1">IF('Elec. Analysis'!$A$156=$A$696,VLOOKUP($A789,INDIRECT("'"&amp;B$707&amp;"'!"&amp;"$A$5:$CA$100"),VLOOKUP($A$695,$A$688:$E$703,COLUMN(B$688) - COLUMN($A$688) +1,FALSE),FALSE) + VLOOKUP($A789,INDIRECT("'"&amp;B$707&amp;"'!"&amp;"$A$5:$CA$100"),VLOOKUP($A$694,$A$688:$E$703,COLUMN(B$688) - COLUMN($A$688) +1,FALSE),FALSE),IF('Elec. Analysis'!$A$156=$A$699,VLOOKUP($A789,INDIRECT("'"&amp;B$707&amp;"'!"&amp;"$A$5:$CA$100"),VLOOKUP($A$698,$A$688:$E$703,COLUMN(B$688) - COLUMN($A$688) +1,FALSE),FALSE) - VLOOKUP($A789,INDIRECT("'"&amp;B$707&amp;"'!"&amp;"$A$5:$CA$100"),VLOOKUP($A$700,$A$688:$E$703,COLUMN(B$688) - COLUMN($A$688) +1,FALSE),FALSE),VLOOKUP($A789,INDIRECT("'"&amp;B$707&amp;"'!"&amp;"$A$5:$CA$100"),VLOOKUP('Elec. Analysis'!$A$156,$A$688:$E$703,COLUMN(B$688) - COLUMN($A$688) +1,FALSE),FALSE)))</f>
        <v>6.4139999999999997</v>
      </c>
      <c r="C789" s="706">
        <f ca="1">IF('Elec. Analysis'!$A$156=$A$696,VLOOKUP($A789,INDIRECT("'"&amp;C$707&amp;"'!"&amp;"$A$5:$CA$100"),VLOOKUP($A$695,$A$688:$E$703,COLUMN(C$688) - COLUMN($A$688) +1,FALSE),FALSE) + VLOOKUP($A789,INDIRECT("'"&amp;C$707&amp;"'!"&amp;"$A$5:$CA$100"),VLOOKUP($A$694,$A$688:$E$703,COLUMN(C$688) - COLUMN($A$688) +1,FALSE),FALSE),IF('Elec. Analysis'!$A$156=$A$699,VLOOKUP($A789,INDIRECT("'"&amp;C$707&amp;"'!"&amp;"$A$5:$CA$100"),VLOOKUP($A$698,$A$688:$E$703,COLUMN(C$688) - COLUMN($A$688) +1,FALSE),FALSE) - VLOOKUP($A789,INDIRECT("'"&amp;C$707&amp;"'!"&amp;"$A$5:$CA$100"),VLOOKUP($A$700,$A$688:$E$703,COLUMN(C$688) - COLUMN($A$688) +1,FALSE),FALSE),VLOOKUP($A789,INDIRECT("'"&amp;C$707&amp;"'!"&amp;"$A$5:$CA$100"),VLOOKUP('Elec. Analysis'!$A$156,$A$688:$E$703,COLUMN(C$688) - COLUMN($A$688) +1,FALSE),FALSE)))</f>
        <v>6.577</v>
      </c>
      <c r="D789" s="706">
        <f ca="1">IF('Elec. Analysis'!$A$156=$A$696,VLOOKUP($A789,INDIRECT("'"&amp;D$707&amp;"'!"&amp;"$A$5:$CA$100"),VLOOKUP($A$695,$A$688:$E$703,COLUMN(D$688) - COLUMN($A$688) +1,FALSE),FALSE) + VLOOKUP($A789,INDIRECT("'"&amp;D$707&amp;"'!"&amp;"$A$5:$CA$100"),VLOOKUP($A$694,$A$688:$E$703,COLUMN(D$688) - COLUMN($A$688) +1,FALSE),FALSE),IF('Elec. Analysis'!$A$156=$A$699,VLOOKUP($A789,INDIRECT("'"&amp;D$707&amp;"'!"&amp;"$A$5:$CA$100"),VLOOKUP($A$698,$A$688:$E$703,COLUMN(D$688) - COLUMN($A$688) +1,FALSE),FALSE) - VLOOKUP($A789,INDIRECT("'"&amp;D$707&amp;"'!"&amp;"$A$5:$CA$100"),VLOOKUP($A$700,$A$688:$E$703,COLUMN(D$688) - COLUMN($A$688) +1,FALSE),FALSE),VLOOKUP($A789,INDIRECT("'"&amp;D$707&amp;"'!"&amp;"$A$5:$CA$100"),VLOOKUP('Elec. Analysis'!$A$156,$A$688:$E$703,COLUMN(D$688) - COLUMN($A$688) +1,FALSE),FALSE)))</f>
        <v>6.4630000000000001</v>
      </c>
      <c r="E789" s="706">
        <f ca="1">IF('Elec. Analysis'!$A$156=$A$696,VLOOKUP($A789,INDIRECT("'"&amp;E$707&amp;"'!"&amp;"$A$5:$CA$100"),VLOOKUP($A$695,$A$688:$E$703,COLUMN(E$688) - COLUMN($A$688) +1,FALSE),FALSE) + VLOOKUP($A789,INDIRECT("'"&amp;E$707&amp;"'!"&amp;"$A$5:$CA$100"),VLOOKUP($A$694,$A$688:$E$703,COLUMN(E$688) - COLUMN($A$688) +1,FALSE),FALSE),IF('Elec. Analysis'!$A$156=$A$699,VLOOKUP($A789,INDIRECT("'"&amp;E$707&amp;"'!"&amp;"$A$5:$CA$100"),VLOOKUP($A$698,$A$688:$E$703,COLUMN(E$688) - COLUMN($A$688) +1,FALSE),FALSE) - VLOOKUP($A789,INDIRECT("'"&amp;E$707&amp;"'!"&amp;"$A$5:$CA$100"),VLOOKUP($A$700,$A$688:$E$703,COLUMN(E$688) - COLUMN($A$688) +1,FALSE),FALSE),VLOOKUP($A789,INDIRECT("'"&amp;E$707&amp;"'!"&amp;"$A$5:$CA$100"),VLOOKUP('Elec. Analysis'!$A$156,$A$688:$E$703,COLUMN(E$688) - COLUMN($A$688) +1,FALSE),FALSE)))</f>
        <v>6.8</v>
      </c>
      <c r="F789" s="1374"/>
      <c r="G789" s="1374"/>
      <c r="H789" s="1374"/>
      <c r="I789" s="1374"/>
      <c r="J789" s="1374"/>
      <c r="K789" s="1374"/>
      <c r="L789" s="1374"/>
      <c r="M789" s="911"/>
      <c r="N789" s="1374"/>
      <c r="O789" s="1024">
        <v>43313</v>
      </c>
      <c r="P789" s="827">
        <f ca="1">VLOOKUP($O789,INDIRECT("'"&amp;P$709&amp;"'!"&amp;"$A$5:$CA$100"),VLOOKUP('NG Analysis'!$A$157,$O$685:$R$699,COLUMN(P$685) - COLUMN($O$685) + 1,FALSE),FALSE)</f>
        <v>1.1599999999999999</v>
      </c>
      <c r="Q789" s="827">
        <f ca="1">VLOOKUP($O789,INDIRECT("'"&amp;Q$709&amp;"'!"&amp;"$A$5:$CA$100"),VLOOKUP('NG Analysis'!$A$157,$O$685:$R$699,COLUMN(Q$685) - COLUMN($O$685) + 1,FALSE),FALSE)</f>
        <v>1.1599999999999999</v>
      </c>
      <c r="R789" s="827">
        <f ca="1">VLOOKUP($O789,INDIRECT("'"&amp;R$709&amp;"'!"&amp;"$A$5:$CA$100"),VLOOKUP('NG Analysis'!$A$157,$O$685:$R$699,COLUMN(R$685) - COLUMN($O$685) + 1,FALSE),FALSE)</f>
        <v>0.94299999999999995</v>
      </c>
      <c r="S789" s="1374"/>
      <c r="T789" s="1374"/>
      <c r="U789" s="1374"/>
      <c r="V789" s="1374"/>
      <c r="W789" s="1374"/>
      <c r="X789" s="1374"/>
      <c r="Y789" s="1374"/>
      <c r="Z789" s="911"/>
      <c r="AA789" s="1439"/>
    </row>
    <row r="790" spans="1:27" x14ac:dyDescent="0.3">
      <c r="A790" s="1036">
        <v>43405</v>
      </c>
      <c r="B790" s="706">
        <f ca="1">IF('Elec. Analysis'!$A$156=$A$696,VLOOKUP($A790,INDIRECT("'"&amp;B$707&amp;"'!"&amp;"$A$5:$CA$100"),VLOOKUP($A$695,$A$688:$E$703,COLUMN(B$688) - COLUMN($A$688) +1,FALSE),FALSE) + VLOOKUP($A790,INDIRECT("'"&amp;B$707&amp;"'!"&amp;"$A$5:$CA$100"),VLOOKUP($A$694,$A$688:$E$703,COLUMN(B$688) - COLUMN($A$688) +1,FALSE),FALSE),IF('Elec. Analysis'!$A$156=$A$699,VLOOKUP($A790,INDIRECT("'"&amp;B$707&amp;"'!"&amp;"$A$5:$CA$100"),VLOOKUP($A$698,$A$688:$E$703,COLUMN(B$688) - COLUMN($A$688) +1,FALSE),FALSE) - VLOOKUP($A790,INDIRECT("'"&amp;B$707&amp;"'!"&amp;"$A$5:$CA$100"),VLOOKUP($A$700,$A$688:$E$703,COLUMN(B$688) - COLUMN($A$688) +1,FALSE),FALSE),VLOOKUP($A790,INDIRECT("'"&amp;B$707&amp;"'!"&amp;"$A$5:$CA$100"),VLOOKUP('Elec. Analysis'!$A$156,$A$688:$E$703,COLUMN(B$688) - COLUMN($A$688) +1,FALSE),FALSE)))</f>
        <v>6.306</v>
      </c>
      <c r="C790" s="706">
        <f ca="1">IF('Elec. Analysis'!$A$156=$A$696,VLOOKUP($A790,INDIRECT("'"&amp;C$707&amp;"'!"&amp;"$A$5:$CA$100"),VLOOKUP($A$695,$A$688:$E$703,COLUMN(C$688) - COLUMN($A$688) +1,FALSE),FALSE) + VLOOKUP($A790,INDIRECT("'"&amp;C$707&amp;"'!"&amp;"$A$5:$CA$100"),VLOOKUP($A$694,$A$688:$E$703,COLUMN(C$688) - COLUMN($A$688) +1,FALSE),FALSE),IF('Elec. Analysis'!$A$156=$A$699,VLOOKUP($A790,INDIRECT("'"&amp;C$707&amp;"'!"&amp;"$A$5:$CA$100"),VLOOKUP($A$698,$A$688:$E$703,COLUMN(C$688) - COLUMN($A$688) +1,FALSE),FALSE) - VLOOKUP($A790,INDIRECT("'"&amp;C$707&amp;"'!"&amp;"$A$5:$CA$100"),VLOOKUP($A$700,$A$688:$E$703,COLUMN(C$688) - COLUMN($A$688) +1,FALSE),FALSE),VLOOKUP($A790,INDIRECT("'"&amp;C$707&amp;"'!"&amp;"$A$5:$CA$100"),VLOOKUP('Elec. Analysis'!$A$156,$A$688:$E$703,COLUMN(C$688) - COLUMN($A$688) +1,FALSE),FALSE)))</f>
        <v>6.2220000000000004</v>
      </c>
      <c r="D790" s="706">
        <f ca="1">IF('Elec. Analysis'!$A$156=$A$696,VLOOKUP($A790,INDIRECT("'"&amp;D$707&amp;"'!"&amp;"$A$5:$CA$100"),VLOOKUP($A$695,$A$688:$E$703,COLUMN(D$688) - COLUMN($A$688) +1,FALSE),FALSE) + VLOOKUP($A790,INDIRECT("'"&amp;D$707&amp;"'!"&amp;"$A$5:$CA$100"),VLOOKUP($A$694,$A$688:$E$703,COLUMN(D$688) - COLUMN($A$688) +1,FALSE),FALSE),IF('Elec. Analysis'!$A$156=$A$699,VLOOKUP($A790,INDIRECT("'"&amp;D$707&amp;"'!"&amp;"$A$5:$CA$100"),VLOOKUP($A$698,$A$688:$E$703,COLUMN(D$688) - COLUMN($A$688) +1,FALSE),FALSE) - VLOOKUP($A790,INDIRECT("'"&amp;D$707&amp;"'!"&amp;"$A$5:$CA$100"),VLOOKUP($A$700,$A$688:$E$703,COLUMN(D$688) - COLUMN($A$688) +1,FALSE),FALSE),VLOOKUP($A790,INDIRECT("'"&amp;D$707&amp;"'!"&amp;"$A$5:$CA$100"),VLOOKUP('Elec. Analysis'!$A$156,$A$688:$E$703,COLUMN(D$688) - COLUMN($A$688) +1,FALSE),FALSE)))</f>
        <v>6.1340000000000003</v>
      </c>
      <c r="E790" s="706">
        <f ca="1">IF('Elec. Analysis'!$A$156=$A$696,VLOOKUP($A790,INDIRECT("'"&amp;E$707&amp;"'!"&amp;"$A$5:$CA$100"),VLOOKUP($A$695,$A$688:$E$703,COLUMN(E$688) - COLUMN($A$688) +1,FALSE),FALSE) + VLOOKUP($A790,INDIRECT("'"&amp;E$707&amp;"'!"&amp;"$A$5:$CA$100"),VLOOKUP($A$694,$A$688:$E$703,COLUMN(E$688) - COLUMN($A$688) +1,FALSE),FALSE),IF('Elec. Analysis'!$A$156=$A$699,VLOOKUP($A790,INDIRECT("'"&amp;E$707&amp;"'!"&amp;"$A$5:$CA$100"),VLOOKUP($A$698,$A$688:$E$703,COLUMN(E$688) - COLUMN($A$688) +1,FALSE),FALSE) - VLOOKUP($A790,INDIRECT("'"&amp;E$707&amp;"'!"&amp;"$A$5:$CA$100"),VLOOKUP($A$700,$A$688:$E$703,COLUMN(E$688) - COLUMN($A$688) +1,FALSE),FALSE),VLOOKUP($A790,INDIRECT("'"&amp;E$707&amp;"'!"&amp;"$A$5:$CA$100"),VLOOKUP('Elec. Analysis'!$A$156,$A$688:$E$703,COLUMN(E$688) - COLUMN($A$688) +1,FALSE),FALSE)))</f>
        <v>6.8</v>
      </c>
      <c r="F790" s="1374"/>
      <c r="G790" s="715"/>
      <c r="H790" s="1374"/>
      <c r="I790" s="1374"/>
      <c r="J790" s="1374"/>
      <c r="K790" s="1374"/>
      <c r="L790" s="1374"/>
      <c r="M790" s="911"/>
      <c r="N790" s="1374"/>
      <c r="O790" s="1024">
        <v>43344</v>
      </c>
      <c r="P790" s="827">
        <f ca="1">VLOOKUP($O790,INDIRECT("'"&amp;P$709&amp;"'!"&amp;"$A$5:$CA$100"),VLOOKUP('NG Analysis'!$A$157,$O$685:$R$699,COLUMN(P$685) - COLUMN($O$685) + 1,FALSE),FALSE)</f>
        <v>1.321</v>
      </c>
      <c r="Q790" s="827">
        <f ca="1">VLOOKUP($O790,INDIRECT("'"&amp;Q$709&amp;"'!"&amp;"$A$5:$CA$100"),VLOOKUP('NG Analysis'!$A$157,$O$685:$R$699,COLUMN(Q$685) - COLUMN($O$685) + 1,FALSE),FALSE)</f>
        <v>1.321</v>
      </c>
      <c r="R790" s="827">
        <f ca="1">VLOOKUP($O790,INDIRECT("'"&amp;R$709&amp;"'!"&amp;"$A$5:$CA$100"),VLOOKUP('NG Analysis'!$A$157,$O$685:$R$699,COLUMN(R$685) - COLUMN($O$685) + 1,FALSE),FALSE)</f>
        <v>0.91900000000000004</v>
      </c>
      <c r="S790" s="1374"/>
      <c r="T790" s="1374"/>
      <c r="U790" s="1374"/>
      <c r="V790" s="1374"/>
      <c r="W790" s="1374"/>
      <c r="X790" s="1374"/>
      <c r="Y790" s="1374"/>
      <c r="Z790" s="911"/>
      <c r="AA790" s="1439"/>
    </row>
    <row r="791" spans="1:27" x14ac:dyDescent="0.3">
      <c r="A791" s="1036">
        <v>43435</v>
      </c>
      <c r="B791" s="706">
        <f ca="1">IF('Elec. Analysis'!$A$156=$A$696,VLOOKUP($A791,INDIRECT("'"&amp;B$707&amp;"'!"&amp;"$A$5:$CA$100"),VLOOKUP($A$695,$A$688:$E$703,COLUMN(B$688) - COLUMN($A$688) +1,FALSE),FALSE) + VLOOKUP($A791,INDIRECT("'"&amp;B$707&amp;"'!"&amp;"$A$5:$CA$100"),VLOOKUP($A$694,$A$688:$E$703,COLUMN(B$688) - COLUMN($A$688) +1,FALSE),FALSE),IF('Elec. Analysis'!$A$156=$A$699,VLOOKUP($A791,INDIRECT("'"&amp;B$707&amp;"'!"&amp;"$A$5:$CA$100"),VLOOKUP($A$698,$A$688:$E$703,COLUMN(B$688) - COLUMN($A$688) +1,FALSE),FALSE) - VLOOKUP($A791,INDIRECT("'"&amp;B$707&amp;"'!"&amp;"$A$5:$CA$100"),VLOOKUP($A$700,$A$688:$E$703,COLUMN(B$688) - COLUMN($A$688) +1,FALSE),FALSE),VLOOKUP($A791,INDIRECT("'"&amp;B$707&amp;"'!"&amp;"$A$5:$CA$100"),VLOOKUP('Elec. Analysis'!$A$156,$A$688:$E$703,COLUMN(B$688) - COLUMN($A$688) +1,FALSE),FALSE)))</f>
        <v>6.8</v>
      </c>
      <c r="C791" s="706">
        <f ca="1">IF('Elec. Analysis'!$A$156=$A$696,VLOOKUP($A791,INDIRECT("'"&amp;C$707&amp;"'!"&amp;"$A$5:$CA$100"),VLOOKUP($A$695,$A$688:$E$703,COLUMN(C$688) - COLUMN($A$688) +1,FALSE),FALSE) + VLOOKUP($A791,INDIRECT("'"&amp;C$707&amp;"'!"&amp;"$A$5:$CA$100"),VLOOKUP($A$694,$A$688:$E$703,COLUMN(C$688) - COLUMN($A$688) +1,FALSE),FALSE),IF('Elec. Analysis'!$A$156=$A$699,VLOOKUP($A791,INDIRECT("'"&amp;C$707&amp;"'!"&amp;"$A$5:$CA$100"),VLOOKUP($A$698,$A$688:$E$703,COLUMN(C$688) - COLUMN($A$688) +1,FALSE),FALSE) - VLOOKUP($A791,INDIRECT("'"&amp;C$707&amp;"'!"&amp;"$A$5:$CA$100"),VLOOKUP($A$700,$A$688:$E$703,COLUMN(C$688) - COLUMN($A$688) +1,FALSE),FALSE),VLOOKUP($A791,INDIRECT("'"&amp;C$707&amp;"'!"&amp;"$A$5:$CA$100"),VLOOKUP('Elec. Analysis'!$A$156,$A$688:$E$703,COLUMN(C$688) - COLUMN($A$688) +1,FALSE),FALSE)))</f>
        <v>6.8</v>
      </c>
      <c r="D791" s="706">
        <f ca="1">IF('Elec. Analysis'!$A$156=$A$696,VLOOKUP($A791,INDIRECT("'"&amp;D$707&amp;"'!"&amp;"$A$5:$CA$100"),VLOOKUP($A$695,$A$688:$E$703,COLUMN(D$688) - COLUMN($A$688) +1,FALSE),FALSE) + VLOOKUP($A791,INDIRECT("'"&amp;D$707&amp;"'!"&amp;"$A$5:$CA$100"),VLOOKUP($A$694,$A$688:$E$703,COLUMN(D$688) - COLUMN($A$688) +1,FALSE),FALSE),IF('Elec. Analysis'!$A$156=$A$699,VLOOKUP($A791,INDIRECT("'"&amp;D$707&amp;"'!"&amp;"$A$5:$CA$100"),VLOOKUP($A$698,$A$688:$E$703,COLUMN(D$688) - COLUMN($A$688) +1,FALSE),FALSE) - VLOOKUP($A791,INDIRECT("'"&amp;D$707&amp;"'!"&amp;"$A$5:$CA$100"),VLOOKUP($A$700,$A$688:$E$703,COLUMN(D$688) - COLUMN($A$688) +1,FALSE),FALSE),VLOOKUP($A791,INDIRECT("'"&amp;D$707&amp;"'!"&amp;"$A$5:$CA$100"),VLOOKUP('Elec. Analysis'!$A$156,$A$688:$E$703,COLUMN(D$688) - COLUMN($A$688) +1,FALSE),FALSE)))</f>
        <v>6.8</v>
      </c>
      <c r="E791" s="706">
        <f ca="1">IF('Elec. Analysis'!$A$156=$A$696,VLOOKUP($A791,INDIRECT("'"&amp;E$707&amp;"'!"&amp;"$A$5:$CA$100"),VLOOKUP($A$695,$A$688:$E$703,COLUMN(E$688) - COLUMN($A$688) +1,FALSE),FALSE) + VLOOKUP($A791,INDIRECT("'"&amp;E$707&amp;"'!"&amp;"$A$5:$CA$100"),VLOOKUP($A$694,$A$688:$E$703,COLUMN(E$688) - COLUMN($A$688) +1,FALSE),FALSE),IF('Elec. Analysis'!$A$156=$A$699,VLOOKUP($A791,INDIRECT("'"&amp;E$707&amp;"'!"&amp;"$A$5:$CA$100"),VLOOKUP($A$698,$A$688:$E$703,COLUMN(E$688) - COLUMN($A$688) +1,FALSE),FALSE) - VLOOKUP($A791,INDIRECT("'"&amp;E$707&amp;"'!"&amp;"$A$5:$CA$100"),VLOOKUP($A$700,$A$688:$E$703,COLUMN(E$688) - COLUMN($A$688) +1,FALSE),FALSE),VLOOKUP($A791,INDIRECT("'"&amp;E$707&amp;"'!"&amp;"$A$5:$CA$100"),VLOOKUP('Elec. Analysis'!$A$156,$A$688:$E$703,COLUMN(E$688) - COLUMN($A$688) +1,FALSE),FALSE)))</f>
        <v>6.8</v>
      </c>
      <c r="F791" s="1540"/>
      <c r="G791" s="715"/>
      <c r="H791" s="1540"/>
      <c r="I791" s="1540"/>
      <c r="J791" s="1540"/>
      <c r="K791" s="1540"/>
      <c r="L791" s="1540"/>
      <c r="M791" s="911"/>
      <c r="N791" s="1540"/>
      <c r="O791" s="1024">
        <v>43374</v>
      </c>
      <c r="P791" s="827">
        <f ca="1">VLOOKUP($O791,INDIRECT("'"&amp;P$709&amp;"'!"&amp;"$A$5:$CA$100"),VLOOKUP('NG Analysis'!$A$157,$O$685:$R$699,COLUMN(P$685) - COLUMN($O$685) + 1,FALSE),FALSE)</f>
        <v>1.3220000000000001</v>
      </c>
      <c r="Q791" s="827">
        <f ca="1">VLOOKUP($O791,INDIRECT("'"&amp;Q$709&amp;"'!"&amp;"$A$5:$CA$100"),VLOOKUP('NG Analysis'!$A$157,$O$685:$R$699,COLUMN(Q$685) - COLUMN($O$685) + 1,FALSE),FALSE)</f>
        <v>1.3220000000000001</v>
      </c>
      <c r="R791" s="827">
        <f ca="1">VLOOKUP($O791,INDIRECT("'"&amp;R$709&amp;"'!"&amp;"$A$5:$CA$100"),VLOOKUP('NG Analysis'!$A$157,$O$685:$R$699,COLUMN(R$685) - COLUMN($O$685) + 1,FALSE),FALSE)</f>
        <v>1.254</v>
      </c>
      <c r="S791" s="1540"/>
      <c r="T791" s="1540"/>
      <c r="U791" s="1540"/>
      <c r="V791" s="1540"/>
      <c r="W791" s="1540"/>
      <c r="X791" s="1540"/>
      <c r="Y791" s="1540"/>
      <c r="Z791" s="911"/>
      <c r="AA791" s="1493"/>
    </row>
    <row r="792" spans="1:27" x14ac:dyDescent="0.3">
      <c r="A792" s="1036">
        <v>43466</v>
      </c>
      <c r="B792" s="706">
        <f ca="1">IF('Elec. Analysis'!$A$156=$A$696,VLOOKUP($A792,INDIRECT("'"&amp;B$707&amp;"'!"&amp;"$A$5:$CA$100"),VLOOKUP($A$695,$A$688:$E$703,COLUMN(B$688) - COLUMN($A$688) +1,FALSE),FALSE) + VLOOKUP($A792,INDIRECT("'"&amp;B$707&amp;"'!"&amp;"$A$5:$CA$100"),VLOOKUP($A$694,$A$688:$E$703,COLUMN(B$688) - COLUMN($A$688) +1,FALSE),FALSE),IF('Elec. Analysis'!$A$156=$A$699,VLOOKUP($A792,INDIRECT("'"&amp;B$707&amp;"'!"&amp;"$A$5:$CA$100"),VLOOKUP($A$698,$A$688:$E$703,COLUMN(B$688) - COLUMN($A$688) +1,FALSE),FALSE) - VLOOKUP($A792,INDIRECT("'"&amp;B$707&amp;"'!"&amp;"$A$5:$CA$100"),VLOOKUP($A$700,$A$688:$E$703,COLUMN(B$688) - COLUMN($A$688) +1,FALSE),FALSE),VLOOKUP($A792,INDIRECT("'"&amp;B$707&amp;"'!"&amp;"$A$5:$CA$100"),VLOOKUP('Elec. Analysis'!$A$156,$A$688:$E$703,COLUMN(B$688) - COLUMN($A$688) +1,FALSE),FALSE)))</f>
        <v>6.8</v>
      </c>
      <c r="C792" s="706">
        <f ca="1">IF('Elec. Analysis'!$A$156=$A$696,VLOOKUP($A792,INDIRECT("'"&amp;C$707&amp;"'!"&amp;"$A$5:$CA$100"),VLOOKUP($A$695,$A$688:$E$703,COLUMN(C$688) - COLUMN($A$688) +1,FALSE),FALSE) + VLOOKUP($A792,INDIRECT("'"&amp;C$707&amp;"'!"&amp;"$A$5:$CA$100"),VLOOKUP($A$694,$A$688:$E$703,COLUMN(C$688) - COLUMN($A$688) +1,FALSE),FALSE),IF('Elec. Analysis'!$A$156=$A$699,VLOOKUP($A792,INDIRECT("'"&amp;C$707&amp;"'!"&amp;"$A$5:$CA$100"),VLOOKUP($A$698,$A$688:$E$703,COLUMN(C$688) - COLUMN($A$688) +1,FALSE),FALSE) - VLOOKUP($A792,INDIRECT("'"&amp;C$707&amp;"'!"&amp;"$A$5:$CA$100"),VLOOKUP($A$700,$A$688:$E$703,COLUMN(C$688) - COLUMN($A$688) +1,FALSE),FALSE),VLOOKUP($A792,INDIRECT("'"&amp;C$707&amp;"'!"&amp;"$A$5:$CA$100"),VLOOKUP('Elec. Analysis'!$A$156,$A$688:$E$703,COLUMN(C$688) - COLUMN($A$688) +1,FALSE),FALSE)))</f>
        <v>6.8</v>
      </c>
      <c r="D792" s="706">
        <f ca="1">IF('Elec. Analysis'!$A$156=$A$696,VLOOKUP($A792,INDIRECT("'"&amp;D$707&amp;"'!"&amp;"$A$5:$CA$100"),VLOOKUP($A$695,$A$688:$E$703,COLUMN(D$688) - COLUMN($A$688) +1,FALSE),FALSE) + VLOOKUP($A792,INDIRECT("'"&amp;D$707&amp;"'!"&amp;"$A$5:$CA$100"),VLOOKUP($A$694,$A$688:$E$703,COLUMN(D$688) - COLUMN($A$688) +1,FALSE),FALSE),IF('Elec. Analysis'!$A$156=$A$699,VLOOKUP($A792,INDIRECT("'"&amp;D$707&amp;"'!"&amp;"$A$5:$CA$100"),VLOOKUP($A$698,$A$688:$E$703,COLUMN(D$688) - COLUMN($A$688) +1,FALSE),FALSE) - VLOOKUP($A792,INDIRECT("'"&amp;D$707&amp;"'!"&amp;"$A$5:$CA$100"),VLOOKUP($A$700,$A$688:$E$703,COLUMN(D$688) - COLUMN($A$688) +1,FALSE),FALSE),VLOOKUP($A792,INDIRECT("'"&amp;D$707&amp;"'!"&amp;"$A$5:$CA$100"),VLOOKUP('Elec. Analysis'!$A$156,$A$688:$E$703,COLUMN(D$688) - COLUMN($A$688) +1,FALSE),FALSE)))</f>
        <v>6.8</v>
      </c>
      <c r="E792" s="706">
        <f ca="1">IF('Elec. Analysis'!$A$156=$A$696,VLOOKUP($A792,INDIRECT("'"&amp;E$707&amp;"'!"&amp;"$A$5:$CA$100"),VLOOKUP($A$695,$A$688:$E$703,COLUMN(E$688) - COLUMN($A$688) +1,FALSE),FALSE) + VLOOKUP($A792,INDIRECT("'"&amp;E$707&amp;"'!"&amp;"$A$5:$CA$100"),VLOOKUP($A$694,$A$688:$E$703,COLUMN(E$688) - COLUMN($A$688) +1,FALSE),FALSE),IF('Elec. Analysis'!$A$156=$A$699,VLOOKUP($A792,INDIRECT("'"&amp;E$707&amp;"'!"&amp;"$A$5:$CA$100"),VLOOKUP($A$698,$A$688:$E$703,COLUMN(E$688) - COLUMN($A$688) +1,FALSE),FALSE) - VLOOKUP($A792,INDIRECT("'"&amp;E$707&amp;"'!"&amp;"$A$5:$CA$100"),VLOOKUP($A$700,$A$688:$E$703,COLUMN(E$688) - COLUMN($A$688) +1,FALSE),FALSE),VLOOKUP($A792,INDIRECT("'"&amp;E$707&amp;"'!"&amp;"$A$5:$CA$100"),VLOOKUP('Elec. Analysis'!$A$156,$A$688:$E$703,COLUMN(E$688) - COLUMN($A$688) +1,FALSE),FALSE)))</f>
        <v>6.8</v>
      </c>
      <c r="F792" s="1540"/>
      <c r="G792" s="715"/>
      <c r="H792" s="1540"/>
      <c r="I792" s="1540"/>
      <c r="J792" s="1540"/>
      <c r="K792" s="1540"/>
      <c r="L792" s="1540"/>
      <c r="M792" s="911"/>
      <c r="N792" s="1540"/>
      <c r="O792" s="1024">
        <v>43405</v>
      </c>
      <c r="P792" s="827">
        <f ca="1">VLOOKUP($O792,INDIRECT("'"&amp;P$709&amp;"'!"&amp;"$A$5:$CA$100"),VLOOKUP('NG Analysis'!$A$157,$O$685:$R$699,COLUMN(P$685) - COLUMN($O$685) + 1,FALSE),FALSE)</f>
        <v>2.3690000000000002</v>
      </c>
      <c r="Q792" s="827">
        <f ca="1">VLOOKUP($O792,INDIRECT("'"&amp;Q$709&amp;"'!"&amp;"$A$5:$CA$100"),VLOOKUP('NG Analysis'!$A$157,$O$685:$R$699,COLUMN(Q$685) - COLUMN($O$685) + 1,FALSE),FALSE)</f>
        <v>2.3690000000000002</v>
      </c>
      <c r="R792" s="827">
        <f ca="1">VLOOKUP($O792,INDIRECT("'"&amp;R$709&amp;"'!"&amp;"$A$5:$CA$100"),VLOOKUP('NG Analysis'!$A$157,$O$685:$R$699,COLUMN(R$685) - COLUMN($O$685) + 1,FALSE),FALSE)</f>
        <v>2.2010000000000001</v>
      </c>
      <c r="S792" s="1540"/>
      <c r="T792" s="1540"/>
      <c r="U792" s="1540"/>
      <c r="V792" s="1540"/>
      <c r="W792" s="1540"/>
      <c r="X792" s="1540"/>
      <c r="Y792" s="1540"/>
      <c r="Z792" s="911"/>
      <c r="AA792" s="1493"/>
    </row>
    <row r="793" spans="1:27" x14ac:dyDescent="0.3">
      <c r="A793" s="1036">
        <v>43497</v>
      </c>
      <c r="B793" s="706">
        <f ca="1">IF('Elec. Analysis'!$A$156=$A$696,VLOOKUP($A793,INDIRECT("'"&amp;B$707&amp;"'!"&amp;"$A$5:$CA$100"),VLOOKUP($A$695,$A$688:$E$703,COLUMN(B$688) - COLUMN($A$688) +1,FALSE),FALSE) + VLOOKUP($A793,INDIRECT("'"&amp;B$707&amp;"'!"&amp;"$A$5:$CA$100"),VLOOKUP($A$694,$A$688:$E$703,COLUMN(B$688) - COLUMN($A$688) +1,FALSE),FALSE),IF('Elec. Analysis'!$A$156=$A$699,VLOOKUP($A793,INDIRECT("'"&amp;B$707&amp;"'!"&amp;"$A$5:$CA$100"),VLOOKUP($A$698,$A$688:$E$703,COLUMN(B$688) - COLUMN($A$688) +1,FALSE),FALSE) - VLOOKUP($A793,INDIRECT("'"&amp;B$707&amp;"'!"&amp;"$A$5:$CA$100"),VLOOKUP($A$700,$A$688:$E$703,COLUMN(B$688) - COLUMN($A$688) +1,FALSE),FALSE),VLOOKUP($A793,INDIRECT("'"&amp;B$707&amp;"'!"&amp;"$A$5:$CA$100"),VLOOKUP('Elec. Analysis'!$A$156,$A$688:$E$703,COLUMN(B$688) - COLUMN($A$688) +1,FALSE),FALSE)))</f>
        <v>6.8</v>
      </c>
      <c r="C793" s="706">
        <f ca="1">IF('Elec. Analysis'!$A$156=$A$696,VLOOKUP($A793,INDIRECT("'"&amp;C$707&amp;"'!"&amp;"$A$5:$CA$100"),VLOOKUP($A$695,$A$688:$E$703,COLUMN(C$688) - COLUMN($A$688) +1,FALSE),FALSE) + VLOOKUP($A793,INDIRECT("'"&amp;C$707&amp;"'!"&amp;"$A$5:$CA$100"),VLOOKUP($A$694,$A$688:$E$703,COLUMN(C$688) - COLUMN($A$688) +1,FALSE),FALSE),IF('Elec. Analysis'!$A$156=$A$699,VLOOKUP($A793,INDIRECT("'"&amp;C$707&amp;"'!"&amp;"$A$5:$CA$100"),VLOOKUP($A$698,$A$688:$E$703,COLUMN(C$688) - COLUMN($A$688) +1,FALSE),FALSE) - VLOOKUP($A793,INDIRECT("'"&amp;C$707&amp;"'!"&amp;"$A$5:$CA$100"),VLOOKUP($A$700,$A$688:$E$703,COLUMN(C$688) - COLUMN($A$688) +1,FALSE),FALSE),VLOOKUP($A793,INDIRECT("'"&amp;C$707&amp;"'!"&amp;"$A$5:$CA$100"),VLOOKUP('Elec. Analysis'!$A$156,$A$688:$E$703,COLUMN(C$688) - COLUMN($A$688) +1,FALSE),FALSE)))</f>
        <v>6.8</v>
      </c>
      <c r="D793" s="706">
        <f ca="1">IF('Elec. Analysis'!$A$156=$A$696,VLOOKUP($A793,INDIRECT("'"&amp;D$707&amp;"'!"&amp;"$A$5:$CA$100"),VLOOKUP($A$695,$A$688:$E$703,COLUMN(D$688) - COLUMN($A$688) +1,FALSE),FALSE) + VLOOKUP($A793,INDIRECT("'"&amp;D$707&amp;"'!"&amp;"$A$5:$CA$100"),VLOOKUP($A$694,$A$688:$E$703,COLUMN(D$688) - COLUMN($A$688) +1,FALSE),FALSE),IF('Elec. Analysis'!$A$156=$A$699,VLOOKUP($A793,INDIRECT("'"&amp;D$707&amp;"'!"&amp;"$A$5:$CA$100"),VLOOKUP($A$698,$A$688:$E$703,COLUMN(D$688) - COLUMN($A$688) +1,FALSE),FALSE) - VLOOKUP($A793,INDIRECT("'"&amp;D$707&amp;"'!"&amp;"$A$5:$CA$100"),VLOOKUP($A$700,$A$688:$E$703,COLUMN(D$688) - COLUMN($A$688) +1,FALSE),FALSE),VLOOKUP($A793,INDIRECT("'"&amp;D$707&amp;"'!"&amp;"$A$5:$CA$100"),VLOOKUP('Elec. Analysis'!$A$156,$A$688:$E$703,COLUMN(D$688) - COLUMN($A$688) +1,FALSE),FALSE)))</f>
        <v>6.8</v>
      </c>
      <c r="E793" s="706">
        <f ca="1">IF('Elec. Analysis'!$A$156=$A$696,VLOOKUP($A793,INDIRECT("'"&amp;E$707&amp;"'!"&amp;"$A$5:$CA$100"),VLOOKUP($A$695,$A$688:$E$703,COLUMN(E$688) - COLUMN($A$688) +1,FALSE),FALSE) + VLOOKUP($A793,INDIRECT("'"&amp;E$707&amp;"'!"&amp;"$A$5:$CA$100"),VLOOKUP($A$694,$A$688:$E$703,COLUMN(E$688) - COLUMN($A$688) +1,FALSE),FALSE),IF('Elec. Analysis'!$A$156=$A$699,VLOOKUP($A793,INDIRECT("'"&amp;E$707&amp;"'!"&amp;"$A$5:$CA$100"),VLOOKUP($A$698,$A$688:$E$703,COLUMN(E$688) - COLUMN($A$688) +1,FALSE),FALSE) - VLOOKUP($A793,INDIRECT("'"&amp;E$707&amp;"'!"&amp;"$A$5:$CA$100"),VLOOKUP($A$700,$A$688:$E$703,COLUMN(E$688) - COLUMN($A$688) +1,FALSE),FALSE),VLOOKUP($A793,INDIRECT("'"&amp;E$707&amp;"'!"&amp;"$A$5:$CA$100"),VLOOKUP('Elec. Analysis'!$A$156,$A$688:$E$703,COLUMN(E$688) - COLUMN($A$688) +1,FALSE),FALSE)))</f>
        <v>6.8</v>
      </c>
      <c r="F793" s="1540"/>
      <c r="G793" s="715"/>
      <c r="H793" s="1540"/>
      <c r="I793" s="1540"/>
      <c r="J793" s="1540"/>
      <c r="K793" s="1540"/>
      <c r="L793" s="1540"/>
      <c r="M793" s="911"/>
      <c r="N793" s="1540"/>
      <c r="O793" s="1024">
        <v>43435</v>
      </c>
      <c r="P793" s="827">
        <f ca="1">VLOOKUP($O793,INDIRECT("'"&amp;P$709&amp;"'!"&amp;"$A$5:$CA$100"),VLOOKUP('NG Analysis'!$A$157,$O$685:$R$699,COLUMN(P$685) - COLUMN($O$685) + 1,FALSE),FALSE)</f>
        <v>2.004</v>
      </c>
      <c r="Q793" s="827">
        <f ca="1">VLOOKUP($O793,INDIRECT("'"&amp;Q$709&amp;"'!"&amp;"$A$5:$CA$100"),VLOOKUP('NG Analysis'!$A$157,$O$685:$R$699,COLUMN(Q$685) - COLUMN($O$685) + 1,FALSE),FALSE)</f>
        <v>2.004</v>
      </c>
      <c r="R793" s="827">
        <f ca="1">VLOOKUP($O793,INDIRECT("'"&amp;R$709&amp;"'!"&amp;"$A$5:$CA$100"),VLOOKUP('NG Analysis'!$A$157,$O$685:$R$699,COLUMN(R$685) - COLUMN($O$685) + 1,FALSE),FALSE)</f>
        <v>1.9339999999999999</v>
      </c>
      <c r="S793" s="1540"/>
      <c r="T793" s="1540"/>
      <c r="U793" s="1540"/>
      <c r="V793" s="1540"/>
      <c r="W793" s="1540"/>
      <c r="X793" s="1540"/>
      <c r="Y793" s="1540"/>
      <c r="Z793" s="911"/>
      <c r="AA793" s="1493"/>
    </row>
    <row r="794" spans="1:27" x14ac:dyDescent="0.3">
      <c r="A794" s="1036">
        <v>43525</v>
      </c>
      <c r="B794" s="706">
        <f ca="1">IF('Elec. Analysis'!$A$156=$A$696,VLOOKUP($A794,INDIRECT("'"&amp;B$707&amp;"'!"&amp;"$A$5:$CA$100"),VLOOKUP($A$695,$A$688:$E$703,COLUMN(B$688) - COLUMN($A$688) +1,FALSE),FALSE) + VLOOKUP($A794,INDIRECT("'"&amp;B$707&amp;"'!"&amp;"$A$5:$CA$100"),VLOOKUP($A$694,$A$688:$E$703,COLUMN(B$688) - COLUMN($A$688) +1,FALSE),FALSE),IF('Elec. Analysis'!$A$156=$A$699,VLOOKUP($A794,INDIRECT("'"&amp;B$707&amp;"'!"&amp;"$A$5:$CA$100"),VLOOKUP($A$698,$A$688:$E$703,COLUMN(B$688) - COLUMN($A$688) +1,FALSE),FALSE) - VLOOKUP($A794,INDIRECT("'"&amp;B$707&amp;"'!"&amp;"$A$5:$CA$100"),VLOOKUP($A$700,$A$688:$E$703,COLUMN(B$688) - COLUMN($A$688) +1,FALSE),FALSE),VLOOKUP($A794,INDIRECT("'"&amp;B$707&amp;"'!"&amp;"$A$5:$CA$100"),VLOOKUP('Elec. Analysis'!$A$156,$A$688:$E$703,COLUMN(B$688) - COLUMN($A$688) +1,FALSE),FALSE)))</f>
        <v>5.9139999999999997</v>
      </c>
      <c r="C794" s="706">
        <f ca="1">IF('Elec. Analysis'!$A$156=$A$696,VLOOKUP($A794,INDIRECT("'"&amp;C$707&amp;"'!"&amp;"$A$5:$CA$100"),VLOOKUP($A$695,$A$688:$E$703,COLUMN(C$688) - COLUMN($A$688) +1,FALSE),FALSE) + VLOOKUP($A794,INDIRECT("'"&amp;C$707&amp;"'!"&amp;"$A$5:$CA$100"),VLOOKUP($A$694,$A$688:$E$703,COLUMN(C$688) - COLUMN($A$688) +1,FALSE),FALSE),IF('Elec. Analysis'!$A$156=$A$699,VLOOKUP($A794,INDIRECT("'"&amp;C$707&amp;"'!"&amp;"$A$5:$CA$100"),VLOOKUP($A$698,$A$688:$E$703,COLUMN(C$688) - COLUMN($A$688) +1,FALSE),FALSE) - VLOOKUP($A794,INDIRECT("'"&amp;C$707&amp;"'!"&amp;"$A$5:$CA$100"),VLOOKUP($A$700,$A$688:$E$703,COLUMN(C$688) - COLUMN($A$688) +1,FALSE),FALSE),VLOOKUP($A794,INDIRECT("'"&amp;C$707&amp;"'!"&amp;"$A$5:$CA$100"),VLOOKUP('Elec. Analysis'!$A$156,$A$688:$E$703,COLUMN(C$688) - COLUMN($A$688) +1,FALSE),FALSE)))</f>
        <v>5.9909999999999997</v>
      </c>
      <c r="D794" s="706">
        <f ca="1">IF('Elec. Analysis'!$A$156=$A$696,VLOOKUP($A794,INDIRECT("'"&amp;D$707&amp;"'!"&amp;"$A$5:$CA$100"),VLOOKUP($A$695,$A$688:$E$703,COLUMN(D$688) - COLUMN($A$688) +1,FALSE),FALSE) + VLOOKUP($A794,INDIRECT("'"&amp;D$707&amp;"'!"&amp;"$A$5:$CA$100"),VLOOKUP($A$694,$A$688:$E$703,COLUMN(D$688) - COLUMN($A$688) +1,FALSE),FALSE),IF('Elec. Analysis'!$A$156=$A$699,VLOOKUP($A794,INDIRECT("'"&amp;D$707&amp;"'!"&amp;"$A$5:$CA$100"),VLOOKUP($A$698,$A$688:$E$703,COLUMN(D$688) - COLUMN($A$688) +1,FALSE),FALSE) - VLOOKUP($A794,INDIRECT("'"&amp;D$707&amp;"'!"&amp;"$A$5:$CA$100"),VLOOKUP($A$700,$A$688:$E$703,COLUMN(D$688) - COLUMN($A$688) +1,FALSE),FALSE),VLOOKUP($A794,INDIRECT("'"&amp;D$707&amp;"'!"&amp;"$A$5:$CA$100"),VLOOKUP('Elec. Analysis'!$A$156,$A$688:$E$703,COLUMN(D$688) - COLUMN($A$688) +1,FALSE),FALSE)))</f>
        <v>5.9180000000000001</v>
      </c>
      <c r="E794" s="706">
        <f ca="1">IF('Elec. Analysis'!$A$156=$A$696,VLOOKUP($A794,INDIRECT("'"&amp;E$707&amp;"'!"&amp;"$A$5:$CA$100"),VLOOKUP($A$695,$A$688:$E$703,COLUMN(E$688) - COLUMN($A$688) +1,FALSE),FALSE) + VLOOKUP($A794,INDIRECT("'"&amp;E$707&amp;"'!"&amp;"$A$5:$CA$100"),VLOOKUP($A$694,$A$688:$E$703,COLUMN(E$688) - COLUMN($A$688) +1,FALSE),FALSE),IF('Elec. Analysis'!$A$156=$A$699,VLOOKUP($A794,INDIRECT("'"&amp;E$707&amp;"'!"&amp;"$A$5:$CA$100"),VLOOKUP($A$698,$A$688:$E$703,COLUMN(E$688) - COLUMN($A$688) +1,FALSE),FALSE) - VLOOKUP($A794,INDIRECT("'"&amp;E$707&amp;"'!"&amp;"$A$5:$CA$100"),VLOOKUP($A$700,$A$688:$E$703,COLUMN(E$688) - COLUMN($A$688) +1,FALSE),FALSE),VLOOKUP($A794,INDIRECT("'"&amp;E$707&amp;"'!"&amp;"$A$5:$CA$100"),VLOOKUP('Elec. Analysis'!$A$156,$A$688:$E$703,COLUMN(E$688) - COLUMN($A$688) +1,FALSE),FALSE)))</f>
        <v>5.9630000000000001</v>
      </c>
      <c r="F794" s="1583"/>
      <c r="G794" s="715"/>
      <c r="H794" s="1583"/>
      <c r="I794" s="1583"/>
      <c r="J794" s="1583"/>
      <c r="K794" s="1583"/>
      <c r="L794" s="1583"/>
      <c r="M794" s="911"/>
      <c r="N794" s="1583"/>
      <c r="O794" s="1024">
        <v>43466</v>
      </c>
      <c r="P794" s="827">
        <f ca="1">VLOOKUP($O794,INDIRECT("'"&amp;P$709&amp;"'!"&amp;"$A$5:$CA$100"),VLOOKUP('NG Analysis'!$A$157,$O$685:$R$699,COLUMN(P$685) - COLUMN($O$685) + 1,FALSE),FALSE)</f>
        <v>1.5149999999999999</v>
      </c>
      <c r="Q794" s="827">
        <f ca="1">VLOOKUP($O794,INDIRECT("'"&amp;Q$709&amp;"'!"&amp;"$A$5:$CA$100"),VLOOKUP('NG Analysis'!$A$157,$O$685:$R$699,COLUMN(Q$685) - COLUMN($O$685) + 1,FALSE),FALSE)</f>
        <v>1.5149999999999999</v>
      </c>
      <c r="R794" s="827">
        <f ca="1">VLOOKUP($O794,INDIRECT("'"&amp;R$709&amp;"'!"&amp;"$A$5:$CA$100"),VLOOKUP('NG Analysis'!$A$157,$O$685:$R$699,COLUMN(R$685) - COLUMN($O$685) + 1,FALSE),FALSE)</f>
        <v>1.179</v>
      </c>
      <c r="S794" s="1583"/>
      <c r="T794" s="1583"/>
      <c r="U794" s="1583"/>
      <c r="V794" s="1583"/>
      <c r="W794" s="1583"/>
      <c r="X794" s="1583"/>
      <c r="Y794" s="1583"/>
      <c r="Z794" s="911"/>
      <c r="AA794" s="1493"/>
    </row>
    <row r="795" spans="1:27" x14ac:dyDescent="0.3">
      <c r="A795" s="1036">
        <v>43556</v>
      </c>
      <c r="B795" s="706">
        <f ca="1">IF('Elec. Analysis'!$A$156=$A$696,VLOOKUP($A795,INDIRECT("'"&amp;B$707&amp;"'!"&amp;"$A$5:$CA$100"),VLOOKUP($A$695,$A$688:$E$703,COLUMN(B$688) - COLUMN($A$688) +1,FALSE),FALSE) + VLOOKUP($A795,INDIRECT("'"&amp;B$707&amp;"'!"&amp;"$A$5:$CA$100"),VLOOKUP($A$694,$A$688:$E$703,COLUMN(B$688) - COLUMN($A$688) +1,FALSE),FALSE),IF('Elec. Analysis'!$A$156=$A$699,VLOOKUP($A795,INDIRECT("'"&amp;B$707&amp;"'!"&amp;"$A$5:$CA$100"),VLOOKUP($A$698,$A$688:$E$703,COLUMN(B$688) - COLUMN($A$688) +1,FALSE),FALSE) - VLOOKUP($A795,INDIRECT("'"&amp;B$707&amp;"'!"&amp;"$A$5:$CA$100"),VLOOKUP($A$700,$A$688:$E$703,COLUMN(B$688) - COLUMN($A$688) +1,FALSE),FALSE),VLOOKUP($A795,INDIRECT("'"&amp;B$707&amp;"'!"&amp;"$A$5:$CA$100"),VLOOKUP('Elec. Analysis'!$A$156,$A$688:$E$703,COLUMN(B$688) - COLUMN($A$688) +1,FALSE),FALSE)))</f>
        <v>6.0670000000000002</v>
      </c>
      <c r="C795" s="706">
        <f ca="1">IF('Elec. Analysis'!$A$156=$A$696,VLOOKUP($A795,INDIRECT("'"&amp;C$707&amp;"'!"&amp;"$A$5:$CA$100"),VLOOKUP($A$695,$A$688:$E$703,COLUMN(C$688) - COLUMN($A$688) +1,FALSE),FALSE) + VLOOKUP($A795,INDIRECT("'"&amp;C$707&amp;"'!"&amp;"$A$5:$CA$100"),VLOOKUP($A$694,$A$688:$E$703,COLUMN(C$688) - COLUMN($A$688) +1,FALSE),FALSE),IF('Elec. Analysis'!$A$156=$A$699,VLOOKUP($A795,INDIRECT("'"&amp;C$707&amp;"'!"&amp;"$A$5:$CA$100"),VLOOKUP($A$698,$A$688:$E$703,COLUMN(C$688) - COLUMN($A$688) +1,FALSE),FALSE) - VLOOKUP($A795,INDIRECT("'"&amp;C$707&amp;"'!"&amp;"$A$5:$CA$100"),VLOOKUP($A$700,$A$688:$E$703,COLUMN(C$688) - COLUMN($A$688) +1,FALSE),FALSE),VLOOKUP($A795,INDIRECT("'"&amp;C$707&amp;"'!"&amp;"$A$5:$CA$100"),VLOOKUP('Elec. Analysis'!$A$156,$A$688:$E$703,COLUMN(C$688) - COLUMN($A$688) +1,FALSE),FALSE)))</f>
        <v>6.8</v>
      </c>
      <c r="D795" s="706">
        <f ca="1">IF('Elec. Analysis'!$A$156=$A$696,VLOOKUP($A795,INDIRECT("'"&amp;D$707&amp;"'!"&amp;"$A$5:$CA$100"),VLOOKUP($A$695,$A$688:$E$703,COLUMN(D$688) - COLUMN($A$688) +1,FALSE),FALSE) + VLOOKUP($A795,INDIRECT("'"&amp;D$707&amp;"'!"&amp;"$A$5:$CA$100"),VLOOKUP($A$694,$A$688:$E$703,COLUMN(D$688) - COLUMN($A$688) +1,FALSE),FALSE),IF('Elec. Analysis'!$A$156=$A$699,VLOOKUP($A795,INDIRECT("'"&amp;D$707&amp;"'!"&amp;"$A$5:$CA$100"),VLOOKUP($A$698,$A$688:$E$703,COLUMN(D$688) - COLUMN($A$688) +1,FALSE),FALSE) - VLOOKUP($A795,INDIRECT("'"&amp;D$707&amp;"'!"&amp;"$A$5:$CA$100"),VLOOKUP($A$700,$A$688:$E$703,COLUMN(D$688) - COLUMN($A$688) +1,FALSE),FALSE),VLOOKUP($A795,INDIRECT("'"&amp;D$707&amp;"'!"&amp;"$A$5:$CA$100"),VLOOKUP('Elec. Analysis'!$A$156,$A$688:$E$703,COLUMN(D$688) - COLUMN($A$688) +1,FALSE),FALSE)))</f>
        <v>6.8</v>
      </c>
      <c r="E795" s="706">
        <f ca="1">IF('Elec. Analysis'!$A$156=$A$696,VLOOKUP($A795,INDIRECT("'"&amp;E$707&amp;"'!"&amp;"$A$5:$CA$100"),VLOOKUP($A$695,$A$688:$E$703,COLUMN(E$688) - COLUMN($A$688) +1,FALSE),FALSE) + VLOOKUP($A795,INDIRECT("'"&amp;E$707&amp;"'!"&amp;"$A$5:$CA$100"),VLOOKUP($A$694,$A$688:$E$703,COLUMN(E$688) - COLUMN($A$688) +1,FALSE),FALSE),IF('Elec. Analysis'!$A$156=$A$699,VLOOKUP($A795,INDIRECT("'"&amp;E$707&amp;"'!"&amp;"$A$5:$CA$100"),VLOOKUP($A$698,$A$688:$E$703,COLUMN(E$688) - COLUMN($A$688) +1,FALSE),FALSE) - VLOOKUP($A795,INDIRECT("'"&amp;E$707&amp;"'!"&amp;"$A$5:$CA$100"),VLOOKUP($A$700,$A$688:$E$703,COLUMN(E$688) - COLUMN($A$688) +1,FALSE),FALSE),VLOOKUP($A795,INDIRECT("'"&amp;E$707&amp;"'!"&amp;"$A$5:$CA$100"),VLOOKUP('Elec. Analysis'!$A$156,$A$688:$E$703,COLUMN(E$688) - COLUMN($A$688) +1,FALSE),FALSE)))</f>
        <v>5.9260000000000002</v>
      </c>
      <c r="F795" s="1583"/>
      <c r="G795" s="715"/>
      <c r="H795" s="1583"/>
      <c r="I795" s="1583"/>
      <c r="J795" s="1583"/>
      <c r="K795" s="1583"/>
      <c r="L795" s="1583"/>
      <c r="M795" s="911"/>
      <c r="N795" s="1583"/>
      <c r="O795" s="1024">
        <v>43497</v>
      </c>
      <c r="P795" s="827">
        <f ca="1">VLOOKUP($O795,INDIRECT("'"&amp;P$709&amp;"'!"&amp;"$A$5:$CA$100"),VLOOKUP('NG Analysis'!$A$157,$O$685:$R$699,COLUMN(P$685) - COLUMN($O$685) + 1,FALSE),FALSE)</f>
        <v>1.99</v>
      </c>
      <c r="Q795" s="827">
        <f ca="1">VLOOKUP($O795,INDIRECT("'"&amp;Q$709&amp;"'!"&amp;"$A$5:$CA$100"),VLOOKUP('NG Analysis'!$A$157,$O$685:$R$699,COLUMN(Q$685) - COLUMN($O$685) + 1,FALSE),FALSE)</f>
        <v>1.99</v>
      </c>
      <c r="R795" s="827">
        <f ca="1">VLOOKUP($O795,INDIRECT("'"&amp;R$709&amp;"'!"&amp;"$A$5:$CA$100"),VLOOKUP('NG Analysis'!$A$157,$O$685:$R$699,COLUMN(R$685) - COLUMN($O$685) + 1,FALSE),FALSE)</f>
        <v>2.327</v>
      </c>
      <c r="S795" s="1583"/>
      <c r="T795" s="1583"/>
      <c r="U795" s="1583"/>
      <c r="V795" s="1583"/>
      <c r="W795" s="1583"/>
      <c r="X795" s="1583"/>
      <c r="Y795" s="1583"/>
      <c r="Z795" s="911"/>
      <c r="AA795" s="1493"/>
    </row>
    <row r="796" spans="1:27" x14ac:dyDescent="0.3">
      <c r="A796" s="1036">
        <v>43586</v>
      </c>
      <c r="B796" s="706">
        <f ca="1">IF('Elec. Analysis'!$A$156=$A$696,VLOOKUP($A796,INDIRECT("'"&amp;B$707&amp;"'!"&amp;"$A$5:$CA$100"),VLOOKUP($A$695,$A$688:$E$703,COLUMN(B$688) - COLUMN($A$688) +1,FALSE),FALSE) + VLOOKUP($A796,INDIRECT("'"&amp;B$707&amp;"'!"&amp;"$A$5:$CA$100"),VLOOKUP($A$694,$A$688:$E$703,COLUMN(B$688) - COLUMN($A$688) +1,FALSE),FALSE),IF('Elec. Analysis'!$A$156=$A$699,VLOOKUP($A796,INDIRECT("'"&amp;B$707&amp;"'!"&amp;"$A$5:$CA$100"),VLOOKUP($A$698,$A$688:$E$703,COLUMN(B$688) - COLUMN($A$688) +1,FALSE),FALSE) - VLOOKUP($A796,INDIRECT("'"&amp;B$707&amp;"'!"&amp;"$A$5:$CA$100"),VLOOKUP($A$700,$A$688:$E$703,COLUMN(B$688) - COLUMN($A$688) +1,FALSE),FALSE),VLOOKUP($A796,INDIRECT("'"&amp;B$707&amp;"'!"&amp;"$A$5:$CA$100"),VLOOKUP('Elec. Analysis'!$A$156,$A$688:$E$703,COLUMN(B$688) - COLUMN($A$688) +1,FALSE),FALSE)))</f>
        <v>6.39</v>
      </c>
      <c r="C796" s="706">
        <f ca="1">IF('Elec. Analysis'!$A$156=$A$696,VLOOKUP($A796,INDIRECT("'"&amp;C$707&amp;"'!"&amp;"$A$5:$CA$100"),VLOOKUP($A$695,$A$688:$E$703,COLUMN(C$688) - COLUMN($A$688) +1,FALSE),FALSE) + VLOOKUP($A796,INDIRECT("'"&amp;C$707&amp;"'!"&amp;"$A$5:$CA$100"),VLOOKUP($A$694,$A$688:$E$703,COLUMN(C$688) - COLUMN($A$688) +1,FALSE),FALSE),IF('Elec. Analysis'!$A$156=$A$699,VLOOKUP($A796,INDIRECT("'"&amp;C$707&amp;"'!"&amp;"$A$5:$CA$100"),VLOOKUP($A$698,$A$688:$E$703,COLUMN(C$688) - COLUMN($A$688) +1,FALSE),FALSE) - VLOOKUP($A796,INDIRECT("'"&amp;C$707&amp;"'!"&amp;"$A$5:$CA$100"),VLOOKUP($A$700,$A$688:$E$703,COLUMN(C$688) - COLUMN($A$688) +1,FALSE),FALSE),VLOOKUP($A796,INDIRECT("'"&amp;C$707&amp;"'!"&amp;"$A$5:$CA$100"),VLOOKUP('Elec. Analysis'!$A$156,$A$688:$E$703,COLUMN(C$688) - COLUMN($A$688) +1,FALSE),FALSE)))</f>
        <v>6.8</v>
      </c>
      <c r="D796" s="706">
        <f ca="1">IF('Elec. Analysis'!$A$156=$A$696,VLOOKUP($A796,INDIRECT("'"&amp;D$707&amp;"'!"&amp;"$A$5:$CA$100"),VLOOKUP($A$695,$A$688:$E$703,COLUMN(D$688) - COLUMN($A$688) +1,FALSE),FALSE) + VLOOKUP($A796,INDIRECT("'"&amp;D$707&amp;"'!"&amp;"$A$5:$CA$100"),VLOOKUP($A$694,$A$688:$E$703,COLUMN(D$688) - COLUMN($A$688) +1,FALSE),FALSE),IF('Elec. Analysis'!$A$156=$A$699,VLOOKUP($A796,INDIRECT("'"&amp;D$707&amp;"'!"&amp;"$A$5:$CA$100"),VLOOKUP($A$698,$A$688:$E$703,COLUMN(D$688) - COLUMN($A$688) +1,FALSE),FALSE) - VLOOKUP($A796,INDIRECT("'"&amp;D$707&amp;"'!"&amp;"$A$5:$CA$100"),VLOOKUP($A$700,$A$688:$E$703,COLUMN(D$688) - COLUMN($A$688) +1,FALSE),FALSE),VLOOKUP($A796,INDIRECT("'"&amp;D$707&amp;"'!"&amp;"$A$5:$CA$100"),VLOOKUP('Elec. Analysis'!$A$156,$A$688:$E$703,COLUMN(D$688) - COLUMN($A$688) +1,FALSE),FALSE)))</f>
        <v>6.8</v>
      </c>
      <c r="E796" s="706">
        <f ca="1">IF('Elec. Analysis'!$A$156=$A$696,VLOOKUP($A796,INDIRECT("'"&amp;E$707&amp;"'!"&amp;"$A$5:$CA$100"),VLOOKUP($A$695,$A$688:$E$703,COLUMN(E$688) - COLUMN($A$688) +1,FALSE),FALSE) + VLOOKUP($A796,INDIRECT("'"&amp;E$707&amp;"'!"&amp;"$A$5:$CA$100"),VLOOKUP($A$694,$A$688:$E$703,COLUMN(E$688) - COLUMN($A$688) +1,FALSE),FALSE),IF('Elec. Analysis'!$A$156=$A$699,VLOOKUP($A796,INDIRECT("'"&amp;E$707&amp;"'!"&amp;"$A$5:$CA$100"),VLOOKUP($A$698,$A$688:$E$703,COLUMN(E$688) - COLUMN($A$688) +1,FALSE),FALSE) - VLOOKUP($A796,INDIRECT("'"&amp;E$707&amp;"'!"&amp;"$A$5:$CA$100"),VLOOKUP($A$700,$A$688:$E$703,COLUMN(E$688) - COLUMN($A$688) +1,FALSE),FALSE),VLOOKUP($A796,INDIRECT("'"&amp;E$707&amp;"'!"&amp;"$A$5:$CA$100"),VLOOKUP('Elec. Analysis'!$A$156,$A$688:$E$703,COLUMN(E$688) - COLUMN($A$688) +1,FALSE),FALSE)))</f>
        <v>6.2149999999999999</v>
      </c>
      <c r="F796" s="1583"/>
      <c r="G796" s="715"/>
      <c r="H796" s="1583"/>
      <c r="I796" s="1583"/>
      <c r="J796" s="1583"/>
      <c r="K796" s="1583"/>
      <c r="L796" s="1583"/>
      <c r="M796" s="911"/>
      <c r="N796" s="1583"/>
      <c r="O796" s="1024">
        <v>43525</v>
      </c>
      <c r="P796" s="827">
        <f ca="1">VLOOKUP($O796,INDIRECT("'"&amp;P$709&amp;"'!"&amp;"$A$5:$CA$100"),VLOOKUP('NG Analysis'!$A$157,$O$685:$R$699,COLUMN(P$685) - COLUMN($O$685) + 1,FALSE),FALSE)</f>
        <v>3.18</v>
      </c>
      <c r="Q796" s="827">
        <f ca="1">VLOOKUP($O796,INDIRECT("'"&amp;Q$709&amp;"'!"&amp;"$A$5:$CA$100"),VLOOKUP('NG Analysis'!$A$157,$O$685:$R$699,COLUMN(Q$685) - COLUMN($O$685) + 1,FALSE),FALSE)</f>
        <v>3.18</v>
      </c>
      <c r="R796" s="827">
        <f ca="1">VLOOKUP($O796,INDIRECT("'"&amp;R$709&amp;"'!"&amp;"$A$5:$CA$100"),VLOOKUP('NG Analysis'!$A$157,$O$685:$R$699,COLUMN(R$685) - COLUMN($O$685) + 1,FALSE),FALSE)</f>
        <v>3.0870000000000002</v>
      </c>
      <c r="S796" s="1583"/>
      <c r="T796" s="1583"/>
      <c r="U796" s="1583"/>
      <c r="V796" s="1583"/>
      <c r="W796" s="1583"/>
      <c r="X796" s="1583"/>
      <c r="Y796" s="1583"/>
      <c r="Z796" s="911"/>
      <c r="AA796" s="1493"/>
    </row>
    <row r="797" spans="1:27" x14ac:dyDescent="0.3">
      <c r="A797" s="1036">
        <v>43617</v>
      </c>
      <c r="B797" s="706">
        <f ca="1">IF('Elec. Analysis'!$A$156=$A$696,VLOOKUP($A797,INDIRECT("'"&amp;B$707&amp;"'!"&amp;"$A$5:$CA$100"),VLOOKUP($A$695,$A$688:$E$703,COLUMN(B$688) - COLUMN($A$688) +1,FALSE),FALSE) + VLOOKUP($A797,INDIRECT("'"&amp;B$707&amp;"'!"&amp;"$A$5:$CA$100"),VLOOKUP($A$694,$A$688:$E$703,COLUMN(B$688) - COLUMN($A$688) +1,FALSE),FALSE),IF('Elec. Analysis'!$A$156=$A$699,VLOOKUP($A797,INDIRECT("'"&amp;B$707&amp;"'!"&amp;"$A$5:$CA$100"),VLOOKUP($A$698,$A$688:$E$703,COLUMN(B$688) - COLUMN($A$688) +1,FALSE),FALSE) - VLOOKUP($A797,INDIRECT("'"&amp;B$707&amp;"'!"&amp;"$A$5:$CA$100"),VLOOKUP($A$700,$A$688:$E$703,COLUMN(B$688) - COLUMN($A$688) +1,FALSE),FALSE),VLOOKUP($A797,INDIRECT("'"&amp;B$707&amp;"'!"&amp;"$A$5:$CA$100"),VLOOKUP('Elec. Analysis'!$A$156,$A$688:$E$703,COLUMN(B$688) - COLUMN($A$688) +1,FALSE),FALSE)))</f>
        <v>6.391</v>
      </c>
      <c r="C797" s="706">
        <f ca="1">IF('Elec. Analysis'!$A$156=$A$696,VLOOKUP($A797,INDIRECT("'"&amp;C$707&amp;"'!"&amp;"$A$5:$CA$100"),VLOOKUP($A$695,$A$688:$E$703,COLUMN(C$688) - COLUMN($A$688) +1,FALSE),FALSE) + VLOOKUP($A797,INDIRECT("'"&amp;C$707&amp;"'!"&amp;"$A$5:$CA$100"),VLOOKUP($A$694,$A$688:$E$703,COLUMN(C$688) - COLUMN($A$688) +1,FALSE),FALSE),IF('Elec. Analysis'!$A$156=$A$699,VLOOKUP($A797,INDIRECT("'"&amp;C$707&amp;"'!"&amp;"$A$5:$CA$100"),VLOOKUP($A$698,$A$688:$E$703,COLUMN(C$688) - COLUMN($A$688) +1,FALSE),FALSE) - VLOOKUP($A797,INDIRECT("'"&amp;C$707&amp;"'!"&amp;"$A$5:$CA$100"),VLOOKUP($A$700,$A$688:$E$703,COLUMN(C$688) - COLUMN($A$688) +1,FALSE),FALSE),VLOOKUP($A797,INDIRECT("'"&amp;C$707&amp;"'!"&amp;"$A$5:$CA$100"),VLOOKUP('Elec. Analysis'!$A$156,$A$688:$E$703,COLUMN(C$688) - COLUMN($A$688) +1,FALSE),FALSE)))</f>
        <v>6.8</v>
      </c>
      <c r="D797" s="706">
        <f ca="1">IF('Elec. Analysis'!$A$156=$A$696,VLOOKUP($A797,INDIRECT("'"&amp;D$707&amp;"'!"&amp;"$A$5:$CA$100"),VLOOKUP($A$695,$A$688:$E$703,COLUMN(D$688) - COLUMN($A$688) +1,FALSE),FALSE) + VLOOKUP($A797,INDIRECT("'"&amp;D$707&amp;"'!"&amp;"$A$5:$CA$100"),VLOOKUP($A$694,$A$688:$E$703,COLUMN(D$688) - COLUMN($A$688) +1,FALSE),FALSE),IF('Elec. Analysis'!$A$156=$A$699,VLOOKUP($A797,INDIRECT("'"&amp;D$707&amp;"'!"&amp;"$A$5:$CA$100"),VLOOKUP($A$698,$A$688:$E$703,COLUMN(D$688) - COLUMN($A$688) +1,FALSE),FALSE) - VLOOKUP($A797,INDIRECT("'"&amp;D$707&amp;"'!"&amp;"$A$5:$CA$100"),VLOOKUP($A$700,$A$688:$E$703,COLUMN(D$688) - COLUMN($A$688) +1,FALSE),FALSE),VLOOKUP($A797,INDIRECT("'"&amp;D$707&amp;"'!"&amp;"$A$5:$CA$100"),VLOOKUP('Elec. Analysis'!$A$156,$A$688:$E$703,COLUMN(D$688) - COLUMN($A$688) +1,FALSE),FALSE)))</f>
        <v>6.8</v>
      </c>
      <c r="E797" s="706">
        <f ca="1">IF('Elec. Analysis'!$A$156=$A$696,VLOOKUP($A797,INDIRECT("'"&amp;E$707&amp;"'!"&amp;"$A$5:$CA$100"),VLOOKUP($A$695,$A$688:$E$703,COLUMN(E$688) - COLUMN($A$688) +1,FALSE),FALSE) + VLOOKUP($A797,INDIRECT("'"&amp;E$707&amp;"'!"&amp;"$A$5:$CA$100"),VLOOKUP($A$694,$A$688:$E$703,COLUMN(E$688) - COLUMN($A$688) +1,FALSE),FALSE),IF('Elec. Analysis'!$A$156=$A$699,VLOOKUP($A797,INDIRECT("'"&amp;E$707&amp;"'!"&amp;"$A$5:$CA$100"),VLOOKUP($A$698,$A$688:$E$703,COLUMN(E$688) - COLUMN($A$688) +1,FALSE),FALSE) - VLOOKUP($A797,INDIRECT("'"&amp;E$707&amp;"'!"&amp;"$A$5:$CA$100"),VLOOKUP($A$700,$A$688:$E$703,COLUMN(E$688) - COLUMN($A$688) +1,FALSE),FALSE),VLOOKUP($A797,INDIRECT("'"&amp;E$707&amp;"'!"&amp;"$A$5:$CA$100"),VLOOKUP('Elec. Analysis'!$A$156,$A$688:$E$703,COLUMN(E$688) - COLUMN($A$688) +1,FALSE),FALSE)))</f>
        <v>6.351</v>
      </c>
      <c r="F797" s="1609"/>
      <c r="G797" s="715"/>
      <c r="H797" s="1609"/>
      <c r="I797" s="1609"/>
      <c r="J797" s="1609"/>
      <c r="K797" s="1609"/>
      <c r="L797" s="1609"/>
      <c r="M797" s="911"/>
      <c r="N797" s="1609"/>
      <c r="O797" s="1024">
        <v>43556</v>
      </c>
      <c r="P797" s="827">
        <f ca="1">VLOOKUP($O797,INDIRECT("'"&amp;P$709&amp;"'!"&amp;"$A$5:$CA$100"),VLOOKUP('NG Analysis'!$A$157,$O$685:$R$699,COLUMN(P$685) - COLUMN($O$685) + 1,FALSE),FALSE)</f>
        <v>2.89</v>
      </c>
      <c r="Q797" s="827">
        <f ca="1">VLOOKUP($O797,INDIRECT("'"&amp;Q$709&amp;"'!"&amp;"$A$5:$CA$100"),VLOOKUP('NG Analysis'!$A$157,$O$685:$R$699,COLUMN(Q$685) - COLUMN($O$685) + 1,FALSE),FALSE)</f>
        <v>2.89</v>
      </c>
      <c r="R797" s="827">
        <f ca="1">VLOOKUP($O797,INDIRECT("'"&amp;R$709&amp;"'!"&amp;"$A$5:$CA$100"),VLOOKUP('NG Analysis'!$A$157,$O$685:$R$699,COLUMN(R$685) - COLUMN($O$685) + 1,FALSE),FALSE)</f>
        <v>2.3090000000000002</v>
      </c>
      <c r="S797" s="1609"/>
      <c r="T797" s="1609"/>
      <c r="U797" s="1609"/>
      <c r="V797" s="1609"/>
      <c r="W797" s="1609"/>
      <c r="X797" s="1609"/>
      <c r="Y797" s="1609"/>
      <c r="Z797" s="911"/>
      <c r="AA797" s="1493"/>
    </row>
    <row r="798" spans="1:27" x14ac:dyDescent="0.3">
      <c r="A798" s="1608"/>
      <c r="B798" s="1609"/>
      <c r="C798" s="1609"/>
      <c r="D798" s="1609"/>
      <c r="E798" s="1609"/>
      <c r="F798" s="1609"/>
      <c r="G798" s="715"/>
      <c r="H798" s="1609"/>
      <c r="I798" s="1609"/>
      <c r="J798" s="1609"/>
      <c r="K798" s="1609"/>
      <c r="L798" s="1609"/>
      <c r="M798" s="911"/>
      <c r="N798" s="1609"/>
      <c r="O798" s="1024">
        <v>43586</v>
      </c>
      <c r="P798" s="827">
        <f ca="1">VLOOKUP($O798,INDIRECT("'"&amp;P$709&amp;"'!"&amp;"$A$5:$CA$100"),VLOOKUP('NG Analysis'!$A$157,$O$685:$R$699,COLUMN(P$685) - COLUMN($O$685) + 1,FALSE),FALSE)</f>
        <v>2.2850000000000001</v>
      </c>
      <c r="Q798" s="827">
        <f ca="1">VLOOKUP($O798,INDIRECT("'"&amp;Q$709&amp;"'!"&amp;"$A$5:$CA$100"),VLOOKUP('NG Analysis'!$A$157,$O$685:$R$699,COLUMN(Q$685) - COLUMN($O$685) + 1,FALSE),FALSE)</f>
        <v>2.2850000000000001</v>
      </c>
      <c r="R798" s="827">
        <f ca="1">VLOOKUP($O798,INDIRECT("'"&amp;R$709&amp;"'!"&amp;"$A$5:$CA$100"),VLOOKUP('NG Analysis'!$A$157,$O$685:$R$699,COLUMN(R$685) - COLUMN($O$685) + 1,FALSE),FALSE)</f>
        <v>1.891</v>
      </c>
      <c r="S798" s="1609"/>
      <c r="T798" s="1609"/>
      <c r="U798" s="1609"/>
      <c r="V798" s="1609"/>
      <c r="W798" s="1609"/>
      <c r="X798" s="1609"/>
      <c r="Y798" s="1609"/>
      <c r="Z798" s="911"/>
      <c r="AA798" s="1493"/>
    </row>
    <row r="799" spans="1:27" x14ac:dyDescent="0.3">
      <c r="A799" s="1608"/>
      <c r="B799" s="1609"/>
      <c r="C799" s="1609"/>
      <c r="D799" s="1609"/>
      <c r="E799" s="1609"/>
      <c r="F799" s="1609"/>
      <c r="G799" s="715"/>
      <c r="H799" s="1609"/>
      <c r="I799" s="1609"/>
      <c r="J799" s="1609"/>
      <c r="K799" s="1609"/>
      <c r="L799" s="1609"/>
      <c r="M799" s="911"/>
      <c r="N799" s="1609"/>
      <c r="O799" s="1024">
        <v>43617</v>
      </c>
      <c r="P799" s="827">
        <f ca="1">VLOOKUP($O799,INDIRECT("'"&amp;P$709&amp;"'!"&amp;"$A$5:$CA$100"),VLOOKUP('NG Analysis'!$A$157,$O$685:$R$699,COLUMN(P$685) - COLUMN($O$685) + 1,FALSE),FALSE)</f>
        <v>0.36499999999999999</v>
      </c>
      <c r="Q799" s="827">
        <f ca="1">VLOOKUP($O799,INDIRECT("'"&amp;Q$709&amp;"'!"&amp;"$A$5:$CA$100"),VLOOKUP('NG Analysis'!$A$157,$O$685:$R$699,COLUMN(Q$685) - COLUMN($O$685) + 1,FALSE),FALSE)</f>
        <v>0.36499999999999999</v>
      </c>
      <c r="R799" s="827">
        <f ca="1">VLOOKUP($O799,INDIRECT("'"&amp;R$709&amp;"'!"&amp;"$A$5:$CA$100"),VLOOKUP('NG Analysis'!$A$157,$O$685:$R$699,COLUMN(R$685) - COLUMN($O$685) + 1,FALSE),FALSE)</f>
        <v>2.581</v>
      </c>
      <c r="S799" s="1609"/>
      <c r="T799" s="1609"/>
      <c r="U799" s="1609"/>
      <c r="V799" s="1609"/>
      <c r="W799" s="1609"/>
      <c r="X799" s="1609"/>
      <c r="Y799" s="1609"/>
      <c r="Z799" s="911"/>
      <c r="AA799" s="1493"/>
    </row>
    <row r="800" spans="1:27" x14ac:dyDescent="0.3">
      <c r="A800" s="936"/>
      <c r="B800" s="918"/>
      <c r="C800" s="918"/>
      <c r="D800" s="918"/>
      <c r="E800" s="918"/>
      <c r="F800" s="918"/>
      <c r="G800" s="1025" t="str">
        <f>IF(AND($A800&lt;=DATE('Elec. Analysis'!$T$194, 12,1),$A800&gt;=DATE('Elec. Analysis'!$T$193, 1, 1)), $A800, "")</f>
        <v/>
      </c>
      <c r="H800" s="918"/>
      <c r="I800" s="918"/>
      <c r="J800" s="918"/>
      <c r="K800" s="918"/>
      <c r="L800" s="918"/>
      <c r="M800" s="919"/>
      <c r="N800" s="1374"/>
      <c r="O800" s="917"/>
      <c r="P800" s="918"/>
      <c r="Q800" s="918"/>
      <c r="R800" s="918"/>
      <c r="S800" s="918"/>
      <c r="T800" s="918"/>
      <c r="U800" s="918"/>
      <c r="V800" s="918"/>
      <c r="W800" s="918"/>
      <c r="X800" s="918"/>
      <c r="Y800" s="918"/>
      <c r="Z800" s="919"/>
      <c r="AA800" s="1439"/>
    </row>
    <row r="801" spans="1:27" x14ac:dyDescent="0.3">
      <c r="A801" s="1373"/>
      <c r="B801" s="1374"/>
      <c r="C801" s="1374"/>
      <c r="D801" s="1374"/>
      <c r="E801" s="1374"/>
      <c r="F801" s="1374"/>
      <c r="G801" s="715"/>
      <c r="H801" s="1374"/>
      <c r="I801" s="1374"/>
      <c r="J801" s="1374"/>
      <c r="K801" s="1374"/>
      <c r="L801" s="1374"/>
      <c r="M801" s="1374"/>
      <c r="N801" s="1374"/>
      <c r="O801" s="1374"/>
      <c r="P801" s="1374"/>
      <c r="Q801" s="1374"/>
      <c r="R801" s="1374"/>
      <c r="S801" s="1374"/>
      <c r="T801" s="1374"/>
      <c r="U801" s="1374"/>
      <c r="V801" s="1374"/>
      <c r="W801" s="1374"/>
      <c r="X801" s="1374"/>
      <c r="Y801" s="1374"/>
      <c r="Z801" s="1374"/>
      <c r="AA801" s="1439"/>
    </row>
    <row r="802" spans="1:27" ht="14.5" thickBot="1" x14ac:dyDescent="0.35">
      <c r="A802" s="1386"/>
      <c r="B802" s="1378"/>
      <c r="C802" s="1378"/>
      <c r="D802" s="1378"/>
      <c r="E802" s="1378"/>
      <c r="F802" s="1378"/>
      <c r="G802" s="1038"/>
      <c r="H802" s="1378"/>
      <c r="I802" s="1378"/>
      <c r="J802" s="1378"/>
      <c r="K802" s="1378"/>
      <c r="L802" s="1378"/>
      <c r="M802" s="1378"/>
      <c r="N802" s="1378"/>
      <c r="O802" s="1378"/>
      <c r="P802" s="1378"/>
      <c r="Q802" s="1378"/>
      <c r="R802" s="1378"/>
      <c r="S802" s="1378"/>
      <c r="T802" s="1378"/>
      <c r="U802" s="1378"/>
      <c r="V802" s="1378"/>
      <c r="W802" s="1378"/>
      <c r="X802" s="1378"/>
      <c r="Y802" s="1378"/>
      <c r="Z802" s="1378"/>
      <c r="AA802" s="1440"/>
    </row>
    <row r="803" spans="1:27" ht="14.5" thickBot="1" x14ac:dyDescent="0.35">
      <c r="A803" s="1374"/>
      <c r="B803" s="1374"/>
      <c r="C803" s="1374"/>
      <c r="D803" s="1374"/>
      <c r="E803" s="1374"/>
      <c r="F803" s="1374"/>
      <c r="G803" s="715"/>
      <c r="H803" s="1374"/>
      <c r="I803" s="1374"/>
      <c r="J803" s="1374"/>
      <c r="K803" s="1374"/>
      <c r="L803" s="1374"/>
      <c r="M803" s="1374"/>
    </row>
    <row r="804" spans="1:27" x14ac:dyDescent="0.3">
      <c r="A804" s="1376"/>
      <c r="B804" s="1377"/>
      <c r="C804" s="1377"/>
      <c r="D804" s="1377"/>
      <c r="E804" s="1377"/>
      <c r="F804" s="1377"/>
      <c r="G804" s="1039"/>
      <c r="H804" s="1377"/>
      <c r="I804" s="1377"/>
      <c r="J804" s="1377"/>
      <c r="K804" s="1377"/>
      <c r="L804" s="1377"/>
      <c r="M804" s="1377"/>
      <c r="N804" s="1377"/>
      <c r="O804" s="1377"/>
      <c r="P804" s="1377"/>
      <c r="Q804" s="1377"/>
      <c r="R804" s="1377"/>
      <c r="S804" s="1377"/>
      <c r="T804" s="1377"/>
      <c r="U804" s="1377"/>
      <c r="V804" s="1377"/>
      <c r="W804" s="1377"/>
      <c r="X804" s="1377"/>
      <c r="Y804" s="1377"/>
      <c r="Z804" s="645"/>
    </row>
    <row r="805" spans="1:27" x14ac:dyDescent="0.3">
      <c r="A805" s="2681" t="s">
        <v>513</v>
      </c>
      <c r="B805" s="2682"/>
      <c r="C805" s="2682"/>
      <c r="D805" s="2682"/>
      <c r="E805" s="2682"/>
      <c r="F805" s="1374"/>
      <c r="G805" s="715"/>
      <c r="H805" s="1374"/>
      <c r="I805" s="1374"/>
      <c r="J805" s="1374"/>
      <c r="K805" s="1374"/>
      <c r="L805" s="1374"/>
      <c r="M805" s="1374"/>
      <c r="N805" s="1374"/>
      <c r="O805" s="1374"/>
      <c r="P805" s="1374"/>
      <c r="Q805" s="1374"/>
      <c r="R805" s="1374"/>
      <c r="S805" s="1374"/>
      <c r="T805" s="1374"/>
      <c r="U805" s="1374"/>
      <c r="V805" s="1374"/>
      <c r="W805" s="1374"/>
      <c r="X805" s="1374"/>
      <c r="Y805" s="1374"/>
      <c r="Z805" s="1439"/>
    </row>
    <row r="806" spans="1:27" x14ac:dyDescent="0.3">
      <c r="A806" s="2681"/>
      <c r="B806" s="2682"/>
      <c r="C806" s="2682"/>
      <c r="D806" s="2682"/>
      <c r="E806" s="2682"/>
      <c r="F806" s="1374"/>
      <c r="G806" s="715"/>
      <c r="H806" s="1374"/>
      <c r="I806" s="1374"/>
      <c r="J806" s="1374"/>
      <c r="K806" s="1374"/>
      <c r="L806" s="1374"/>
      <c r="M806" s="1374"/>
      <c r="N806" s="1374"/>
      <c r="O806" s="1374"/>
      <c r="P806" s="1374"/>
      <c r="Q806" s="1374"/>
      <c r="R806" s="1374"/>
      <c r="S806" s="1374"/>
      <c r="T806" s="1374"/>
      <c r="U806" s="1374"/>
      <c r="V806" s="1374"/>
      <c r="W806" s="1374"/>
      <c r="X806" s="1374"/>
      <c r="Y806" s="1374"/>
      <c r="Z806" s="1439"/>
    </row>
    <row r="807" spans="1:27" x14ac:dyDescent="0.3">
      <c r="A807" s="2681"/>
      <c r="B807" s="2682"/>
      <c r="C807" s="2682"/>
      <c r="D807" s="2682"/>
      <c r="E807" s="2682"/>
      <c r="F807" s="1374"/>
      <c r="G807" s="715"/>
      <c r="H807" s="1374"/>
      <c r="I807" s="1374"/>
      <c r="J807" s="1374"/>
      <c r="K807" s="1374"/>
      <c r="L807" s="1374"/>
      <c r="M807" s="1374"/>
      <c r="N807" s="1374"/>
      <c r="O807" s="1374"/>
      <c r="P807" s="1374"/>
      <c r="Q807" s="1374"/>
      <c r="R807" s="1374"/>
      <c r="S807" s="1374"/>
      <c r="T807" s="1374"/>
      <c r="U807" s="1374"/>
      <c r="V807" s="1374"/>
      <c r="W807" s="1374"/>
      <c r="X807" s="1374"/>
      <c r="Y807" s="1374"/>
      <c r="Z807" s="1439"/>
    </row>
    <row r="808" spans="1:27" x14ac:dyDescent="0.3">
      <c r="A808" s="1373"/>
      <c r="B808" s="1374"/>
      <c r="C808" s="1374"/>
      <c r="D808" s="1374"/>
      <c r="E808" s="1374"/>
      <c r="F808" s="1374"/>
      <c r="G808" s="715"/>
      <c r="H808" s="1374"/>
      <c r="I808" s="1374"/>
      <c r="J808" s="1374"/>
      <c r="K808" s="1374"/>
      <c r="L808" s="1374"/>
      <c r="M808" s="1374"/>
      <c r="N808" s="1374"/>
      <c r="O808" s="1374"/>
      <c r="P808" s="1374"/>
      <c r="Q808" s="1374"/>
      <c r="R808" s="1374"/>
      <c r="S808" s="1374"/>
      <c r="T808" s="1374"/>
      <c r="U808" s="1374"/>
      <c r="V808" s="1374"/>
      <c r="W808" s="1374"/>
      <c r="X808" s="1374"/>
      <c r="Y808" s="1374"/>
      <c r="Z808" s="1439"/>
    </row>
    <row r="809" spans="1:27" x14ac:dyDescent="0.3">
      <c r="A809" s="1373"/>
      <c r="B809" s="1374"/>
      <c r="C809" s="1374"/>
      <c r="D809" s="1374"/>
      <c r="E809" s="1374"/>
      <c r="F809" s="1374"/>
      <c r="G809" s="1374"/>
      <c r="H809" s="1374"/>
      <c r="I809" s="1374"/>
      <c r="J809" s="1374"/>
      <c r="K809" s="1374"/>
      <c r="L809" s="1374"/>
      <c r="M809" s="1374"/>
      <c r="N809" s="1374"/>
      <c r="O809" s="1374"/>
      <c r="P809" s="1374"/>
      <c r="Q809" s="1374"/>
      <c r="R809" s="1374"/>
      <c r="S809" s="1374"/>
      <c r="T809" s="1374"/>
      <c r="U809" s="1374"/>
      <c r="V809" s="1374"/>
      <c r="W809" s="1374"/>
      <c r="X809" s="1374"/>
      <c r="Y809" s="1374"/>
      <c r="Z809" s="1439"/>
    </row>
    <row r="810" spans="1:27" ht="16.5" customHeight="1" x14ac:dyDescent="0.3">
      <c r="A810" s="2606" t="s">
        <v>509</v>
      </c>
      <c r="B810" s="2607"/>
      <c r="C810" s="2607"/>
      <c r="D810" s="2607"/>
      <c r="E810" s="2607"/>
      <c r="F810" s="2607"/>
      <c r="G810" s="2607"/>
      <c r="H810" s="2607"/>
      <c r="I810" s="2607"/>
      <c r="J810" s="2607"/>
      <c r="K810" s="2607"/>
      <c r="L810" s="2607"/>
      <c r="M810" s="716"/>
      <c r="N810" s="716"/>
      <c r="O810" s="2683" t="s">
        <v>510</v>
      </c>
      <c r="P810" s="2684"/>
      <c r="Q810" s="2684"/>
      <c r="R810" s="2684"/>
      <c r="S810" s="2684"/>
      <c r="T810" s="2684"/>
      <c r="U810" s="2684"/>
      <c r="V810" s="2684"/>
      <c r="W810" s="2684"/>
      <c r="X810" s="2684"/>
      <c r="Y810" s="2684"/>
      <c r="Z810" s="2685"/>
    </row>
    <row r="811" spans="1:27" ht="16.5" customHeight="1" x14ac:dyDescent="0.3">
      <c r="A811" s="2606"/>
      <c r="B811" s="2607"/>
      <c r="C811" s="2607"/>
      <c r="D811" s="2607"/>
      <c r="E811" s="2607"/>
      <c r="F811" s="2607"/>
      <c r="G811" s="2607"/>
      <c r="H811" s="2607"/>
      <c r="I811" s="2607"/>
      <c r="J811" s="2607"/>
      <c r="K811" s="2607"/>
      <c r="L811" s="2607"/>
      <c r="M811" s="716"/>
      <c r="N811" s="716"/>
      <c r="O811" s="2686"/>
      <c r="P811" s="2687"/>
      <c r="Q811" s="2687"/>
      <c r="R811" s="2687"/>
      <c r="S811" s="2687"/>
      <c r="T811" s="2687"/>
      <c r="U811" s="2687"/>
      <c r="V811" s="2687"/>
      <c r="W811" s="2687"/>
      <c r="X811" s="2687"/>
      <c r="Y811" s="2687"/>
      <c r="Z811" s="2688"/>
    </row>
    <row r="812" spans="1:27" s="719" customFormat="1" ht="16.5" customHeight="1" x14ac:dyDescent="0.3">
      <c r="A812" s="1040"/>
      <c r="B812" s="2619" t="str">
        <f>'Elec. Analysis'!$A$121</f>
        <v>ENMAX</v>
      </c>
      <c r="C812" s="2619"/>
      <c r="D812" s="2619"/>
      <c r="E812" s="2619"/>
      <c r="F812" s="2619"/>
      <c r="G812" s="2619"/>
      <c r="H812" s="2619"/>
      <c r="I812" s="2619"/>
      <c r="J812" s="2619"/>
      <c r="K812" s="2619"/>
      <c r="L812" s="2619"/>
      <c r="M812" s="718"/>
      <c r="N812" s="718"/>
      <c r="O812" s="1438"/>
      <c r="P812" s="2689" t="str">
        <f>'NG Analysis'!$A$122</f>
        <v>ATCO-S</v>
      </c>
      <c r="Q812" s="2690"/>
      <c r="R812" s="2690"/>
      <c r="S812" s="2690"/>
      <c r="T812" s="2690"/>
      <c r="U812" s="2690"/>
      <c r="V812" s="2690"/>
      <c r="W812" s="2690"/>
      <c r="X812" s="2690"/>
      <c r="Y812" s="2690"/>
      <c r="Z812" s="2691"/>
      <c r="AA812" s="575"/>
    </row>
    <row r="813" spans="1:27" s="719" customFormat="1" ht="16.5" customHeight="1" x14ac:dyDescent="0.3">
      <c r="A813" s="1040"/>
      <c r="B813" s="720">
        <v>7</v>
      </c>
      <c r="C813" s="720">
        <v>8</v>
      </c>
      <c r="D813" s="720">
        <v>9</v>
      </c>
      <c r="E813" s="720">
        <v>10</v>
      </c>
      <c r="F813" s="720">
        <v>11</v>
      </c>
      <c r="G813" s="720">
        <v>12</v>
      </c>
      <c r="H813" s="720">
        <v>13</v>
      </c>
      <c r="I813" s="720"/>
      <c r="J813" s="720"/>
      <c r="K813" s="1399"/>
      <c r="L813" s="1399"/>
      <c r="M813" s="721"/>
      <c r="N813" s="721"/>
      <c r="O813" s="717"/>
      <c r="P813" s="720">
        <v>7</v>
      </c>
      <c r="Q813" s="720">
        <v>8</v>
      </c>
      <c r="R813" s="720">
        <v>9</v>
      </c>
      <c r="S813" s="720">
        <v>10</v>
      </c>
      <c r="T813" s="720">
        <v>11</v>
      </c>
      <c r="U813" s="720">
        <v>12</v>
      </c>
      <c r="V813" s="720">
        <v>13</v>
      </c>
      <c r="W813" s="720"/>
      <c r="X813" s="720"/>
      <c r="Y813" s="720"/>
      <c r="Z813" s="1070"/>
    </row>
    <row r="814" spans="1:27" x14ac:dyDescent="0.3">
      <c r="A814" s="1072"/>
      <c r="B814" s="1406" t="s">
        <v>375</v>
      </c>
      <c r="C814" s="1406" t="s">
        <v>58</v>
      </c>
      <c r="D814" s="1406" t="s">
        <v>376</v>
      </c>
      <c r="E814" s="1406" t="s">
        <v>8</v>
      </c>
      <c r="F814" s="1406" t="s">
        <v>9</v>
      </c>
      <c r="G814" s="1406" t="s">
        <v>377</v>
      </c>
      <c r="H814" s="1406" t="s">
        <v>21</v>
      </c>
      <c r="I814" s="1406" t="s">
        <v>378</v>
      </c>
      <c r="J814" s="1406" t="s">
        <v>70</v>
      </c>
      <c r="K814" s="1406" t="s">
        <v>379</v>
      </c>
      <c r="L814" s="1406" t="s">
        <v>380</v>
      </c>
      <c r="M814" s="1374"/>
      <c r="N814" s="1374"/>
      <c r="O814" s="1076"/>
      <c r="P814" s="1406" t="s">
        <v>375</v>
      </c>
      <c r="Q814" s="1406" t="s">
        <v>376</v>
      </c>
      <c r="R814" s="1406" t="s">
        <v>8</v>
      </c>
      <c r="S814" s="1406" t="s">
        <v>9</v>
      </c>
      <c r="T814" s="1406" t="s">
        <v>377</v>
      </c>
      <c r="U814" s="1406" t="s">
        <v>576</v>
      </c>
      <c r="V814" s="1406" t="s">
        <v>21</v>
      </c>
      <c r="W814" s="1406" t="s">
        <v>378</v>
      </c>
      <c r="X814" s="1406" t="s">
        <v>70</v>
      </c>
      <c r="Y814" s="1406" t="s">
        <v>379</v>
      </c>
      <c r="Z814" s="1041" t="s">
        <v>380</v>
      </c>
    </row>
    <row r="815" spans="1:27" x14ac:dyDescent="0.3">
      <c r="A815" s="1036">
        <v>40909</v>
      </c>
      <c r="B815" s="1538">
        <f ca="1">IF(VLOOKUP($A815, INDIRECT("'"&amp;$B$812&amp;"'!$A$5:$CA$100"),B$813, FALSE)=0,NA(),VLOOKUP($A815, INDIRECT("'"&amp;$B$812&amp;"'!$A$5:$CA$100"),B$813, FALSE)/VLOOKUP($A815, INDIRECT("'"&amp;$B$812&amp;"'!$A$5:$CA$100"),6, FALSE))</f>
        <v>0.61363489722414766</v>
      </c>
      <c r="C815" s="1538">
        <f t="shared" ref="C815:D815" ca="1" si="184">IF(VLOOKUP($A815, INDIRECT("'"&amp;$B$812&amp;"'!$A$5:$CA$100"),C$813, FALSE)=0,NA(),VLOOKUP($A815, INDIRECT("'"&amp;$B$812&amp;"'!$A$5:$CA$100"),C$813, FALSE)/VLOOKUP($A815, INDIRECT("'"&amp;$B$812&amp;"'!$A$5:$CA$100"),6, FALSE))</f>
        <v>7.8141690687474397E-2</v>
      </c>
      <c r="D815" s="1538">
        <f t="shared" ca="1" si="184"/>
        <v>8.8458665635838776E-2</v>
      </c>
      <c r="E815" s="1538">
        <f ca="1">IF(VLOOKUP($A815, INDIRECT("'"&amp;$B$812&amp;"'!$A$5:$CA$100"),E$813, FALSE)=0,NA(),VLOOKUP($A815, INDIRECT("'"&amp;$B$812&amp;"'!$A$5:$CA$100"),E$813, FALSE)/VLOOKUP($A815, INDIRECT("'"&amp;$B$812&amp;"'!$A$5:$CA$100"),6, FALSE))</f>
        <v>9.1114341339984445E-2</v>
      </c>
      <c r="F815" s="1538">
        <f ca="1">IF(VLOOKUP($A815, INDIRECT("'"&amp;$B$812&amp;"'!$A$5:$CA$100"),F$813, FALSE)=0,NA(),VLOOKUP($A815, INDIRECT("'"&amp;$B$812&amp;"'!$A$5:$CA$100"),F$813, FALSE)/VLOOKUP($A815, INDIRECT("'"&amp;$B$812&amp;"'!$A$5:$CA$100"),6, FALSE))</f>
        <v>3.9875829620716001E-2</v>
      </c>
      <c r="G815" s="1538">
        <f ca="1">IF(VLOOKUP($A815, INDIRECT("'"&amp;$B$812&amp;"'!$A$5:$CA$100"),G$813, FALSE)=0,NA(),VLOOKUP($A815, INDIRECT("'"&amp;$B$812&amp;"'!$A$5:$CA$100"),G$813, FALSE)/VLOOKUP($A815, INDIRECT("'"&amp;$B$812&amp;"'!$A$5:$CA$100"),6, FALSE))</f>
        <v>4.1155527872791059E-2</v>
      </c>
      <c r="H815" s="1538">
        <f ca="1">IF(VLOOKUP($A815, INDIRECT("'"&amp;$B$812&amp;"'!$A$5:$CA$100"),H$813, FALSE)=0,NA(),VLOOKUP($A815, INDIRECT("'"&amp;$B$812&amp;"'!$A$5:$CA$100"),H$813, FALSE)/VLOOKUP($A815, INDIRECT("'"&amp;$B$812&amp;"'!$A$5:$CA$100"),6, FALSE))</f>
        <v>4.7619047619047616E-2</v>
      </c>
      <c r="I815" s="1071">
        <f ca="1">SUM(E815:H815)</f>
        <v>0.21976474645253913</v>
      </c>
      <c r="J815" s="1071">
        <f ca="1">SUM(B815:H815)</f>
        <v>1</v>
      </c>
      <c r="K815" s="1071">
        <f ca="1">IF($F815&gt;=0, $F815, 0)</f>
        <v>3.9875829620716001E-2</v>
      </c>
      <c r="L815" s="1071">
        <f ca="1">IF($F815&lt;0, $F815, 0)</f>
        <v>0</v>
      </c>
      <c r="M815" s="1374"/>
      <c r="N815" s="1374"/>
      <c r="O815" s="722">
        <v>40909</v>
      </c>
      <c r="P815" s="1538">
        <f ca="1">IF(VLOOKUP($O815, INDIRECT("'"&amp;$P$812&amp;"'!$A$5:$CA$100"),P$813, FALSE)=0,NA(),VLOOKUP($O815, INDIRECT("'"&amp;$P$812&amp;"'!$A$5:$CA$100"),P$813, FALSE)/VLOOKUP($O815, INDIRECT("'"&amp;$P$812&amp;"'!$A$5:$CA$100"),6, FALSE))</f>
        <v>0.45301774939410444</v>
      </c>
      <c r="Q815" s="1538">
        <f ca="1">IF(VLOOKUP($O815, INDIRECT("'"&amp;$P$812&amp;"'!$A$5:$CA$100"),Q$813, FALSE)=0,NA(),VLOOKUP($O815, INDIRECT("'"&amp;$P$812&amp;"'!$A$5:$CA$100"),Q$813, FALSE)/VLOOKUP($O815, INDIRECT("'"&amp;$P$812&amp;"'!$A$5:$CA$100"),6, FALSE))</f>
        <v>0.28591916811198653</v>
      </c>
      <c r="R815" s="1538">
        <f t="shared" ref="R815:S815" ca="1" si="185">IF(VLOOKUP($O815, INDIRECT("'"&amp;$P$812&amp;"'!$A$5:$CA$100"),R$813, FALSE)=0,NA(),VLOOKUP($O815, INDIRECT("'"&amp;$P$812&amp;"'!$A$5:$CA$100"),R$813, FALSE)/VLOOKUP($O815, INDIRECT("'"&amp;$P$812&amp;"'!$A$5:$CA$100"),6, FALSE))</f>
        <v>8.8983949312462701E-2</v>
      </c>
      <c r="S815" s="1538">
        <f t="shared" ca="1" si="185"/>
        <v>6.1998719869810821E-2</v>
      </c>
      <c r="T815" s="1538">
        <f ca="1">IF(VLOOKUP($O815, INDIRECT("'"&amp;$P$812&amp;"'!$A$5:$CA$100"),T$813, FALSE)=0,NA(),VLOOKUP($O815, INDIRECT("'"&amp;$P$812&amp;"'!$A$5:$CA$100"),T$813, FALSE)/VLOOKUP($O815, INDIRECT("'"&amp;$P$812&amp;"'!$A$5:$CA$100"),6, FALSE))</f>
        <v>6.2461365692587846E-2</v>
      </c>
      <c r="U815" s="1538">
        <f ca="1">IF(VLOOKUP($O815, INDIRECT("'"&amp;$P$812&amp;"'!$A$5:$CA$100"),U$813, FALSE)=0,VLOOKUP($O815, INDIRECT("'"&amp;$P$812&amp;"'!$A$5:$CA$100"),U$813, FALSE),VLOOKUP($O815, INDIRECT("'"&amp;$P$812&amp;"'!$A$5:$CA$100"),U$813, FALSE)/VLOOKUP($O815, INDIRECT("'"&amp;$P$812&amp;"'!$A$5:$CA$100"),6, FALSE))</f>
        <v>0</v>
      </c>
      <c r="V815" s="1538">
        <f t="shared" ref="V815:V846" ca="1" si="186">IF(VLOOKUP($O815, INDIRECT("'"&amp;$P$812&amp;"'!$A$5:$CA$100"),V$813, FALSE)=0,NA(),VLOOKUP($O815, INDIRECT("'"&amp;$P$812&amp;"'!$A$5:$CA$100"),V$813, FALSE)/VLOOKUP($O815, INDIRECT("'"&amp;$P$812&amp;"'!$A$5:$CA$100"),6, FALSE))</f>
        <v>4.7619047619047623E-2</v>
      </c>
      <c r="W815" s="1071">
        <f t="shared" ref="W815:W846" ca="1" si="187">SUM(R815:V815)</f>
        <v>0.26106308249390897</v>
      </c>
      <c r="X815" s="1071">
        <f t="shared" ref="X815:X846" ca="1" si="188">SUM(P815:V815)</f>
        <v>1</v>
      </c>
      <c r="Y815" s="1071">
        <f t="shared" ref="Y815:Y846" ca="1" si="189">IF($S815&gt;=0, $S815, 0)</f>
        <v>6.1998719869810821E-2</v>
      </c>
      <c r="Z815" s="1042">
        <f t="shared" ref="Z815:Z846" ca="1" si="190">IF($S815&lt;0, $S815, 0)</f>
        <v>0</v>
      </c>
    </row>
    <row r="816" spans="1:27" x14ac:dyDescent="0.3">
      <c r="A816" s="1036">
        <v>40940</v>
      </c>
      <c r="B816" s="1538">
        <f t="shared" ref="B816:H867" ca="1" si="191">IF(VLOOKUP($A816, INDIRECT("'"&amp;$B$812&amp;"'!$A$5:$CA$100"),B$813, FALSE)=0,NA(),VLOOKUP($A816, INDIRECT("'"&amp;$B$812&amp;"'!$A$5:$CA$100"),B$813, FALSE)/VLOOKUP($A816, INDIRECT("'"&amp;$B$812&amp;"'!$A$5:$CA$100"),6, FALSE))</f>
        <v>0.59057689081818088</v>
      </c>
      <c r="C816" s="1538">
        <f t="shared" ca="1" si="191"/>
        <v>8.3962001650798035E-2</v>
      </c>
      <c r="D816" s="1538">
        <f t="shared" ca="1" si="191"/>
        <v>9.8098701428137189E-2</v>
      </c>
      <c r="E816" s="1538">
        <f t="shared" ca="1" si="191"/>
        <v>9.0600221016551366E-2</v>
      </c>
      <c r="F816" s="1538">
        <f t="shared" ca="1" si="191"/>
        <v>4.2845943605596577E-2</v>
      </c>
      <c r="G816" s="1538">
        <f ca="1">IF(VLOOKUP($A816, INDIRECT("'"&amp;$B$812&amp;"'!$A$5:$CA$100"),G$813, FALSE)=0,NA(),VLOOKUP($A816, INDIRECT("'"&amp;$B$812&amp;"'!$A$5:$CA$100"),G$813, FALSE)/VLOOKUP($A816, INDIRECT("'"&amp;$B$812&amp;"'!$A$5:$CA$100"),6, FALSE))</f>
        <v>4.629719386168818E-2</v>
      </c>
      <c r="H816" s="1538">
        <f t="shared" ca="1" si="191"/>
        <v>4.7619047619047616E-2</v>
      </c>
      <c r="I816" s="1071">
        <f t="shared" ref="I816:I879" ca="1" si="192">SUM(E816:H816)</f>
        <v>0.22736240610288375</v>
      </c>
      <c r="J816" s="1071">
        <f t="shared" ref="J816:J879" ca="1" si="193">SUM(B816:H816)</f>
        <v>0.99999999999999978</v>
      </c>
      <c r="K816" s="1071">
        <f t="shared" ref="K816:K879" ca="1" si="194">IF($F816&gt;=0, $F816, 0)</f>
        <v>4.2845943605596577E-2</v>
      </c>
      <c r="L816" s="1071">
        <f t="shared" ref="L816:L879" ca="1" si="195">IF($F816&lt;0, $F816, 0)</f>
        <v>0</v>
      </c>
      <c r="M816" s="1374"/>
      <c r="N816" s="1374"/>
      <c r="O816" s="722">
        <v>40940</v>
      </c>
      <c r="P816" s="1538">
        <f t="shared" ref="P816:T867" ca="1" si="196">IF(VLOOKUP($O816, INDIRECT("'"&amp;$P$812&amp;"'!$A$5:$CA$100"),P$813, FALSE)=0,NA(),VLOOKUP($O816, INDIRECT("'"&amp;$P$812&amp;"'!$A$5:$CA$100"),P$813, FALSE)/VLOOKUP($O816, INDIRECT("'"&amp;$P$812&amp;"'!$A$5:$CA$100"),6, FALSE))</f>
        <v>0.37382664418572575</v>
      </c>
      <c r="Q816" s="1538">
        <f t="shared" ca="1" si="196"/>
        <v>0.34186628019209792</v>
      </c>
      <c r="R816" s="1538">
        <f t="shared" ca="1" si="196"/>
        <v>8.7717454935078348E-2</v>
      </c>
      <c r="S816" s="1538">
        <f t="shared" ca="1" si="196"/>
        <v>7.38431236426835E-2</v>
      </c>
      <c r="T816" s="1538">
        <f t="shared" ca="1" si="196"/>
        <v>7.512744942536688E-2</v>
      </c>
      <c r="U816" s="1538">
        <f t="shared" ref="U816:U879" ca="1" si="197">IF(VLOOKUP($O816, INDIRECT("'"&amp;$P$812&amp;"'!$A$5:$CA$100"),U$813, FALSE)=0,VLOOKUP($O816, INDIRECT("'"&amp;$P$812&amp;"'!$A$5:$CA$100"),U$813, FALSE),VLOOKUP($O816, INDIRECT("'"&amp;$P$812&amp;"'!$A$5:$CA$100"),U$813, FALSE)/VLOOKUP($O816, INDIRECT("'"&amp;$P$812&amp;"'!$A$5:$CA$100"),6, FALSE))</f>
        <v>0</v>
      </c>
      <c r="V816" s="1538">
        <f t="shared" ca="1" si="186"/>
        <v>4.7619047619047623E-2</v>
      </c>
      <c r="W816" s="1071">
        <f t="shared" ca="1" si="187"/>
        <v>0.28430707562217633</v>
      </c>
      <c r="X816" s="1071">
        <f t="shared" ca="1" si="188"/>
        <v>1</v>
      </c>
      <c r="Y816" s="1071">
        <f t="shared" ca="1" si="189"/>
        <v>7.38431236426835E-2</v>
      </c>
      <c r="Z816" s="1042">
        <f t="shared" ca="1" si="190"/>
        <v>0</v>
      </c>
    </row>
    <row r="817" spans="1:26" x14ac:dyDescent="0.3">
      <c r="A817" s="1036">
        <v>40969</v>
      </c>
      <c r="B817" s="1538">
        <f t="shared" ca="1" si="191"/>
        <v>0.48029432107817938</v>
      </c>
      <c r="C817" s="1538">
        <f t="shared" ca="1" si="191"/>
        <v>0.11374991933736435</v>
      </c>
      <c r="D817" s="1538">
        <f t="shared" ca="1" si="191"/>
        <v>0.14264373493943636</v>
      </c>
      <c r="E817" s="1538">
        <f t="shared" ca="1" si="191"/>
        <v>8.829502972001782E-2</v>
      </c>
      <c r="F817" s="1538">
        <f t="shared" ca="1" si="191"/>
        <v>5.8046765599275692E-2</v>
      </c>
      <c r="G817" s="1538">
        <f t="shared" ca="1" si="191"/>
        <v>6.9351181706678852E-2</v>
      </c>
      <c r="H817" s="1538">
        <f t="shared" ca="1" si="191"/>
        <v>4.7619047619047623E-2</v>
      </c>
      <c r="I817" s="1071">
        <f t="shared" ca="1" si="192"/>
        <v>0.26331202464501996</v>
      </c>
      <c r="J817" s="1071">
        <f t="shared" ca="1" si="193"/>
        <v>1</v>
      </c>
      <c r="K817" s="1071">
        <f t="shared" ca="1" si="194"/>
        <v>5.8046765599275692E-2</v>
      </c>
      <c r="L817" s="1071">
        <f t="shared" ca="1" si="195"/>
        <v>0</v>
      </c>
      <c r="M817" s="1374"/>
      <c r="N817" s="1374"/>
      <c r="O817" s="722">
        <v>40969</v>
      </c>
      <c r="P817" s="1538">
        <f t="shared" ca="1" si="196"/>
        <v>0.33545535983454333</v>
      </c>
      <c r="Q817" s="1538">
        <f t="shared" ca="1" si="196"/>
        <v>0.36765874162046397</v>
      </c>
      <c r="R817" s="1538">
        <f t="shared" ca="1" si="196"/>
        <v>8.6397884962686314E-2</v>
      </c>
      <c r="S817" s="1538">
        <f t="shared" ca="1" si="196"/>
        <v>7.4544629082223132E-2</v>
      </c>
      <c r="T817" s="1538">
        <f t="shared" ca="1" si="196"/>
        <v>8.8324336881035734E-2</v>
      </c>
      <c r="U817" s="1538">
        <f t="shared" ca="1" si="197"/>
        <v>0</v>
      </c>
      <c r="V817" s="1538">
        <f t="shared" ca="1" si="186"/>
        <v>4.7619047619047623E-2</v>
      </c>
      <c r="W817" s="1071">
        <f t="shared" ca="1" si="187"/>
        <v>0.29688589854499281</v>
      </c>
      <c r="X817" s="1071">
        <f t="shared" ca="1" si="188"/>
        <v>1</v>
      </c>
      <c r="Y817" s="1071">
        <f t="shared" ca="1" si="189"/>
        <v>7.4544629082223132E-2</v>
      </c>
      <c r="Z817" s="1042">
        <f t="shared" ca="1" si="190"/>
        <v>0</v>
      </c>
    </row>
    <row r="818" spans="1:26" x14ac:dyDescent="0.3">
      <c r="A818" s="1036">
        <v>41000</v>
      </c>
      <c r="B818" s="1538">
        <f t="shared" ca="1" si="191"/>
        <v>0.44527371265214272</v>
      </c>
      <c r="C818" s="1538">
        <f t="shared" ca="1" si="191"/>
        <v>0.12076870497977497</v>
      </c>
      <c r="D818" s="1538">
        <f t="shared" ca="1" si="191"/>
        <v>0.15874323944408303</v>
      </c>
      <c r="E818" s="1538">
        <f t="shared" ca="1" si="191"/>
        <v>8.7370608754657977E-2</v>
      </c>
      <c r="F818" s="1538">
        <f t="shared" ca="1" si="191"/>
        <v>6.1628463127941478E-2</v>
      </c>
      <c r="G818" s="1538">
        <f t="shared" ca="1" si="191"/>
        <v>7.8596223422352202E-2</v>
      </c>
      <c r="H818" s="1538">
        <f t="shared" ca="1" si="191"/>
        <v>4.7619047619047623E-2</v>
      </c>
      <c r="I818" s="1071">
        <f t="shared" ca="1" si="192"/>
        <v>0.27521434292399927</v>
      </c>
      <c r="J818" s="1071">
        <f t="shared" ca="1" si="193"/>
        <v>1</v>
      </c>
      <c r="K818" s="1071">
        <f t="shared" ca="1" si="194"/>
        <v>6.1628463127941478E-2</v>
      </c>
      <c r="L818" s="1071">
        <f t="shared" ca="1" si="195"/>
        <v>0</v>
      </c>
      <c r="M818" s="1374"/>
      <c r="N818" s="1374"/>
      <c r="O818" s="722">
        <v>41000</v>
      </c>
      <c r="P818" s="1538">
        <f t="shared" ca="1" si="196"/>
        <v>0.262725298198972</v>
      </c>
      <c r="Q818" s="1538">
        <f t="shared" ca="1" si="196"/>
        <v>0.417873080694247</v>
      </c>
      <c r="R818" s="1538">
        <f t="shared" ca="1" si="196"/>
        <v>8.4608201504459551E-2</v>
      </c>
      <c r="S818" s="1538">
        <f t="shared" ca="1" si="196"/>
        <v>8.0951589643770555E-2</v>
      </c>
      <c r="T818" s="1538">
        <f t="shared" ca="1" si="196"/>
        <v>0.10622278233950326</v>
      </c>
      <c r="U818" s="1538">
        <f t="shared" ca="1" si="197"/>
        <v>0</v>
      </c>
      <c r="V818" s="1538">
        <f t="shared" ca="1" si="186"/>
        <v>4.7619047619047623E-2</v>
      </c>
      <c r="W818" s="1071">
        <f t="shared" ca="1" si="187"/>
        <v>0.319401621106781</v>
      </c>
      <c r="X818" s="1071">
        <f t="shared" ca="1" si="188"/>
        <v>1</v>
      </c>
      <c r="Y818" s="1071">
        <f t="shared" ca="1" si="189"/>
        <v>8.0951589643770555E-2</v>
      </c>
      <c r="Z818" s="1042">
        <f t="shared" ca="1" si="190"/>
        <v>0</v>
      </c>
    </row>
    <row r="819" spans="1:26" x14ac:dyDescent="0.3">
      <c r="A819" s="1036">
        <v>41030</v>
      </c>
      <c r="B819" s="1538">
        <f t="shared" ca="1" si="191"/>
        <v>0.41379128415767902</v>
      </c>
      <c r="C819" s="1538">
        <f t="shared" ca="1" si="191"/>
        <v>0.12682066899031411</v>
      </c>
      <c r="D819" s="1538">
        <f t="shared" ca="1" si="191"/>
        <v>0.17342253186262518</v>
      </c>
      <c r="E819" s="1538">
        <f t="shared" ca="1" si="191"/>
        <v>8.6519266657343261E-2</v>
      </c>
      <c r="F819" s="1538">
        <f t="shared" ca="1" si="191"/>
        <v>6.4716790032975369E-2</v>
      </c>
      <c r="G819" s="1538">
        <f t="shared" ca="1" si="191"/>
        <v>8.7110410680015335E-2</v>
      </c>
      <c r="H819" s="1538">
        <f t="shared" ca="1" si="191"/>
        <v>4.7619047619047616E-2</v>
      </c>
      <c r="I819" s="1071">
        <f t="shared" ca="1" si="192"/>
        <v>0.28596551498938161</v>
      </c>
      <c r="J819" s="1071">
        <f t="shared" ca="1" si="193"/>
        <v>1</v>
      </c>
      <c r="K819" s="1071">
        <f t="shared" ca="1" si="194"/>
        <v>6.4716790032975369E-2</v>
      </c>
      <c r="L819" s="1071">
        <f t="shared" ca="1" si="195"/>
        <v>0</v>
      </c>
      <c r="M819" s="1374"/>
      <c r="N819" s="1374"/>
      <c r="O819" s="722">
        <v>41030</v>
      </c>
      <c r="P819" s="1538">
        <f t="shared" ca="1" si="196"/>
        <v>0.1944487593296228</v>
      </c>
      <c r="Q819" s="1538">
        <f t="shared" ca="1" si="196"/>
        <v>0.5352737495962917</v>
      </c>
      <c r="R819" s="1538">
        <f t="shared" ca="1" si="196"/>
        <v>8.0507365298441089E-2</v>
      </c>
      <c r="S819" s="1538">
        <f t="shared" ca="1" si="196"/>
        <v>-5.0837573647885921E-3</v>
      </c>
      <c r="T819" s="1538">
        <f t="shared" ca="1" si="196"/>
        <v>0.14723483552138528</v>
      </c>
      <c r="U819" s="1538">
        <f t="shared" ca="1" si="197"/>
        <v>0</v>
      </c>
      <c r="V819" s="1538">
        <f t="shared" ca="1" si="186"/>
        <v>4.7619047619047616E-2</v>
      </c>
      <c r="W819" s="1071">
        <f t="shared" ca="1" si="187"/>
        <v>0.27027749107408539</v>
      </c>
      <c r="X819" s="1071">
        <f t="shared" ca="1" si="188"/>
        <v>0.99999999999999978</v>
      </c>
      <c r="Y819" s="1071">
        <f t="shared" ca="1" si="189"/>
        <v>0</v>
      </c>
      <c r="Z819" s="1042">
        <f t="shared" ca="1" si="190"/>
        <v>-5.0837573647885921E-3</v>
      </c>
    </row>
    <row r="820" spans="1:26" x14ac:dyDescent="0.3">
      <c r="A820" s="1036">
        <v>41061</v>
      </c>
      <c r="B820" s="1538">
        <f t="shared" ca="1" si="191"/>
        <v>0.45264084584451236</v>
      </c>
      <c r="C820" s="1538">
        <f t="shared" ca="1" si="191"/>
        <v>0.11478948731118797</v>
      </c>
      <c r="D820" s="1538">
        <f t="shared" ca="1" si="191"/>
        <v>0.15896175891774619</v>
      </c>
      <c r="E820" s="1538">
        <f t="shared" ca="1" si="191"/>
        <v>8.7210094881756323E-2</v>
      </c>
      <c r="F820" s="1538">
        <f t="shared" ca="1" si="191"/>
        <v>5.8577258797447421E-2</v>
      </c>
      <c r="G820" s="1538">
        <f t="shared" ca="1" si="191"/>
        <v>8.0201506628302097E-2</v>
      </c>
      <c r="H820" s="1538">
        <f t="shared" ca="1" si="191"/>
        <v>4.7619047619047623E-2</v>
      </c>
      <c r="I820" s="1071">
        <f t="shared" ca="1" si="192"/>
        <v>0.27360790792655348</v>
      </c>
      <c r="J820" s="1071">
        <f t="shared" ca="1" si="193"/>
        <v>1</v>
      </c>
      <c r="K820" s="1071">
        <f t="shared" ca="1" si="194"/>
        <v>5.8577258797447421E-2</v>
      </c>
      <c r="L820" s="1071">
        <f t="shared" ca="1" si="195"/>
        <v>0</v>
      </c>
      <c r="M820" s="1374"/>
      <c r="N820" s="1374"/>
      <c r="O820" s="722">
        <v>41061</v>
      </c>
      <c r="P820" s="1538">
        <f t="shared" ca="1" si="196"/>
        <v>0.23411288569391914</v>
      </c>
      <c r="Q820" s="1538">
        <f t="shared" ca="1" si="196"/>
        <v>0.50927267585280012</v>
      </c>
      <c r="R820" s="1538">
        <f t="shared" ca="1" si="196"/>
        <v>8.0064131324905183E-2</v>
      </c>
      <c r="S820" s="1538">
        <f t="shared" ca="1" si="196"/>
        <v>-2.2736314697887658E-2</v>
      </c>
      <c r="T820" s="1538">
        <f t="shared" ca="1" si="196"/>
        <v>0.15166757420721572</v>
      </c>
      <c r="U820" s="1538">
        <f t="shared" ca="1" si="197"/>
        <v>0</v>
      </c>
      <c r="V820" s="1538">
        <f t="shared" ca="1" si="186"/>
        <v>4.7619047619047616E-2</v>
      </c>
      <c r="W820" s="1071">
        <f t="shared" ca="1" si="187"/>
        <v>0.25661443845328086</v>
      </c>
      <c r="X820" s="1071">
        <f t="shared" ca="1" si="188"/>
        <v>1.0000000000000002</v>
      </c>
      <c r="Y820" s="1071">
        <f t="shared" ca="1" si="189"/>
        <v>0</v>
      </c>
      <c r="Z820" s="1042">
        <f t="shared" ca="1" si="190"/>
        <v>-2.2736314697887658E-2</v>
      </c>
    </row>
    <row r="821" spans="1:26" x14ac:dyDescent="0.3">
      <c r="A821" s="1036">
        <v>41091</v>
      </c>
      <c r="B821" s="1538">
        <f t="shared" ca="1" si="191"/>
        <v>0.49289380313408476</v>
      </c>
      <c r="C821" s="1538">
        <f t="shared" ca="1" si="191"/>
        <v>0.10619926593453803</v>
      </c>
      <c r="D821" s="1538">
        <f t="shared" ca="1" si="191"/>
        <v>0.14087544862129067</v>
      </c>
      <c r="E821" s="1538">
        <f t="shared" ca="1" si="191"/>
        <v>8.8231417397247838E-2</v>
      </c>
      <c r="F821" s="1538">
        <f t="shared" ca="1" si="191"/>
        <v>5.4193655102596307E-2</v>
      </c>
      <c r="G821" s="1538">
        <f t="shared" ca="1" si="191"/>
        <v>6.9987362191194835E-2</v>
      </c>
      <c r="H821" s="1538">
        <f t="shared" ca="1" si="191"/>
        <v>4.7619047619047623E-2</v>
      </c>
      <c r="I821" s="1071">
        <f t="shared" ca="1" si="192"/>
        <v>0.2600314823100866</v>
      </c>
      <c r="J821" s="1071">
        <f t="shared" ca="1" si="193"/>
        <v>1</v>
      </c>
      <c r="K821" s="1071">
        <f t="shared" ca="1" si="194"/>
        <v>5.4193655102596307E-2</v>
      </c>
      <c r="L821" s="1071">
        <f t="shared" ca="1" si="195"/>
        <v>0</v>
      </c>
      <c r="M821" s="1374"/>
      <c r="N821" s="1374"/>
      <c r="O821" s="722">
        <v>41091</v>
      </c>
      <c r="P821" s="1538">
        <f t="shared" ca="1" si="196"/>
        <v>0.15061975591270207</v>
      </c>
      <c r="Q821" s="1538">
        <f t="shared" ca="1" si="196"/>
        <v>0.58081360254923553</v>
      </c>
      <c r="R821" s="1538">
        <f t="shared" ca="1" si="196"/>
        <v>7.7309199469822301E-2</v>
      </c>
      <c r="S821" s="1538">
        <f t="shared" ca="1" si="196"/>
        <v>-3.5580977995490225E-2</v>
      </c>
      <c r="T821" s="1538">
        <f t="shared" ca="1" si="196"/>
        <v>0.17921937244468275</v>
      </c>
      <c r="U821" s="1538">
        <f t="shared" ca="1" si="197"/>
        <v>0</v>
      </c>
      <c r="V821" s="1538">
        <f t="shared" ca="1" si="186"/>
        <v>4.7619047619047623E-2</v>
      </c>
      <c r="W821" s="1071">
        <f t="shared" ca="1" si="187"/>
        <v>0.26856664153806248</v>
      </c>
      <c r="X821" s="1071">
        <f t="shared" ca="1" si="188"/>
        <v>1</v>
      </c>
      <c r="Y821" s="1071">
        <f t="shared" ca="1" si="189"/>
        <v>0</v>
      </c>
      <c r="Z821" s="1042">
        <f t="shared" ca="1" si="190"/>
        <v>-3.5580977995490225E-2</v>
      </c>
    </row>
    <row r="822" spans="1:26" x14ac:dyDescent="0.3">
      <c r="A822" s="1036">
        <v>41122</v>
      </c>
      <c r="B822" s="1538">
        <f t="shared" ca="1" si="191"/>
        <v>0.53608867260746695</v>
      </c>
      <c r="C822" s="1538">
        <f t="shared" ca="1" si="191"/>
        <v>9.2215382068982193E-2</v>
      </c>
      <c r="D822" s="1538">
        <f t="shared" ca="1" si="191"/>
        <v>0.12528328250420229</v>
      </c>
      <c r="E822" s="1538">
        <f t="shared" ca="1" si="191"/>
        <v>8.8951658833594946E-2</v>
      </c>
      <c r="F822" s="1538">
        <f t="shared" ca="1" si="191"/>
        <v>4.7057656821103175E-2</v>
      </c>
      <c r="G822" s="1538">
        <f t="shared" ca="1" si="191"/>
        <v>6.2784299545602856E-2</v>
      </c>
      <c r="H822" s="1538">
        <f t="shared" ca="1" si="191"/>
        <v>4.7619047619047623E-2</v>
      </c>
      <c r="I822" s="1071">
        <f t="shared" ca="1" si="192"/>
        <v>0.24641266281934859</v>
      </c>
      <c r="J822" s="1071">
        <f t="shared" ca="1" si="193"/>
        <v>1</v>
      </c>
      <c r="K822" s="1071">
        <f t="shared" ca="1" si="194"/>
        <v>4.7057656821103175E-2</v>
      </c>
      <c r="L822" s="1071">
        <f t="shared" ca="1" si="195"/>
        <v>0</v>
      </c>
      <c r="M822" s="1374"/>
      <c r="N822" s="1374"/>
      <c r="O822" s="722">
        <v>41122</v>
      </c>
      <c r="P822" s="1538">
        <f t="shared" ca="1" si="196"/>
        <v>0.16598103319332938</v>
      </c>
      <c r="Q822" s="1538">
        <f t="shared" ca="1" si="196"/>
        <v>0.55794067217814702</v>
      </c>
      <c r="R822" s="1538">
        <f t="shared" ca="1" si="196"/>
        <v>7.8240108845890818E-2</v>
      </c>
      <c r="S822" s="1538">
        <f t="shared" ca="1" si="196"/>
        <v>-1.9690302618183733E-2</v>
      </c>
      <c r="T822" s="1538">
        <f t="shared" ca="1" si="196"/>
        <v>0.16990944078176873</v>
      </c>
      <c r="U822" s="1538">
        <f t="shared" ca="1" si="197"/>
        <v>0</v>
      </c>
      <c r="V822" s="1538">
        <f t="shared" ca="1" si="186"/>
        <v>4.7619047619047616E-2</v>
      </c>
      <c r="W822" s="1071">
        <f t="shared" ca="1" si="187"/>
        <v>0.2760782946285234</v>
      </c>
      <c r="X822" s="1071">
        <f t="shared" ca="1" si="188"/>
        <v>0.99999999999999978</v>
      </c>
      <c r="Y822" s="1071">
        <f t="shared" ca="1" si="189"/>
        <v>0</v>
      </c>
      <c r="Z822" s="1042">
        <f t="shared" ca="1" si="190"/>
        <v>-1.9690302618183733E-2</v>
      </c>
    </row>
    <row r="823" spans="1:26" x14ac:dyDescent="0.3">
      <c r="A823" s="1036">
        <v>41153</v>
      </c>
      <c r="B823" s="1538">
        <f t="shared" ca="1" si="191"/>
        <v>0.52785841626219787</v>
      </c>
      <c r="C823" s="1538">
        <f t="shared" ca="1" si="191"/>
        <v>9.5453947372583448E-2</v>
      </c>
      <c r="D823" s="1538">
        <f t="shared" ca="1" si="191"/>
        <v>0.12779449463902753</v>
      </c>
      <c r="E823" s="1538">
        <f t="shared" ca="1" si="191"/>
        <v>8.8859686492026774E-2</v>
      </c>
      <c r="F823" s="1538">
        <f t="shared" ca="1" si="191"/>
        <v>4.8710301870446421E-2</v>
      </c>
      <c r="G823" s="1538">
        <f t="shared" ca="1" si="191"/>
        <v>6.3704105744670517E-2</v>
      </c>
      <c r="H823" s="1538">
        <f t="shared" ca="1" si="191"/>
        <v>4.7619047619047623E-2</v>
      </c>
      <c r="I823" s="1071">
        <f t="shared" ca="1" si="192"/>
        <v>0.24889314172619131</v>
      </c>
      <c r="J823" s="1071">
        <f t="shared" ca="1" si="193"/>
        <v>1.0000000000000002</v>
      </c>
      <c r="K823" s="1071">
        <f t="shared" ca="1" si="194"/>
        <v>4.8710301870446421E-2</v>
      </c>
      <c r="L823" s="1071">
        <f t="shared" ca="1" si="195"/>
        <v>0</v>
      </c>
      <c r="M823" s="1374"/>
      <c r="N823" s="1374"/>
      <c r="O823" s="722">
        <v>41153</v>
      </c>
      <c r="P823" s="1538">
        <f t="shared" ca="1" si="196"/>
        <v>0.14452766063373357</v>
      </c>
      <c r="Q823" s="1538">
        <f t="shared" ca="1" si="196"/>
        <v>0.57367842212071674</v>
      </c>
      <c r="R823" s="1538">
        <f t="shared" ca="1" si="196"/>
        <v>7.7909351902183982E-2</v>
      </c>
      <c r="S823" s="1538">
        <f t="shared" ca="1" si="196"/>
        <v>-1.6951790205539514E-2</v>
      </c>
      <c r="T823" s="1538">
        <f t="shared" ca="1" si="196"/>
        <v>0.17321730792985768</v>
      </c>
      <c r="U823" s="1538">
        <f t="shared" ca="1" si="197"/>
        <v>0</v>
      </c>
      <c r="V823" s="1538">
        <f t="shared" ca="1" si="186"/>
        <v>4.7619047619047616E-2</v>
      </c>
      <c r="W823" s="1071">
        <f t="shared" ca="1" si="187"/>
        <v>0.28179391724554975</v>
      </c>
      <c r="X823" s="1071">
        <f t="shared" ca="1" si="188"/>
        <v>1</v>
      </c>
      <c r="Y823" s="1071">
        <f t="shared" ca="1" si="189"/>
        <v>0</v>
      </c>
      <c r="Z823" s="1042">
        <f t="shared" ca="1" si="190"/>
        <v>-1.6951790205539514E-2</v>
      </c>
    </row>
    <row r="824" spans="1:26" x14ac:dyDescent="0.3">
      <c r="A824" s="1036">
        <v>41183</v>
      </c>
      <c r="B824" s="1538">
        <f t="shared" ca="1" si="191"/>
        <v>0.55023933696651095</v>
      </c>
      <c r="C824" s="1538">
        <f t="shared" ca="1" si="191"/>
        <v>0.11129791747603669</v>
      </c>
      <c r="D824" s="1538">
        <f t="shared" ca="1" si="191"/>
        <v>0.13650505043805641</v>
      </c>
      <c r="E824" s="1538">
        <f t="shared" ca="1" si="191"/>
        <v>8.8652970298845918E-2</v>
      </c>
      <c r="F824" s="1538">
        <f t="shared" ca="1" si="191"/>
        <v>-8.5776538156527926E-5</v>
      </c>
      <c r="G824" s="1538">
        <f t="shared" ca="1" si="191"/>
        <v>6.5771453739659064E-2</v>
      </c>
      <c r="H824" s="1538">
        <f t="shared" ca="1" si="191"/>
        <v>4.7619047619047616E-2</v>
      </c>
      <c r="I824" s="1071">
        <f t="shared" ca="1" si="192"/>
        <v>0.20195769511939607</v>
      </c>
      <c r="J824" s="1071">
        <f t="shared" ca="1" si="193"/>
        <v>1</v>
      </c>
      <c r="K824" s="1071">
        <f t="shared" ca="1" si="194"/>
        <v>0</v>
      </c>
      <c r="L824" s="1071">
        <f t="shared" ca="1" si="195"/>
        <v>-8.5776538156527926E-5</v>
      </c>
      <c r="M824" s="1374"/>
      <c r="N824" s="1374"/>
      <c r="O824" s="722">
        <v>41183</v>
      </c>
      <c r="P824" s="1538">
        <f t="shared" ca="1" si="196"/>
        <v>0.39235491592484123</v>
      </c>
      <c r="Q824" s="1538">
        <f t="shared" ca="1" si="196"/>
        <v>0.35134877278191418</v>
      </c>
      <c r="R824" s="1538">
        <f t="shared" ca="1" si="196"/>
        <v>8.6771842646578584E-2</v>
      </c>
      <c r="S824" s="1538">
        <f t="shared" ca="1" si="196"/>
        <v>3.7320997581080609E-2</v>
      </c>
      <c r="T824" s="1538">
        <f t="shared" ca="1" si="196"/>
        <v>8.4584423446537854E-2</v>
      </c>
      <c r="U824" s="1538">
        <f t="shared" ca="1" si="197"/>
        <v>0</v>
      </c>
      <c r="V824" s="1538">
        <f t="shared" ca="1" si="186"/>
        <v>4.7619047619047616E-2</v>
      </c>
      <c r="W824" s="1071">
        <f t="shared" ca="1" si="187"/>
        <v>0.25629631129324465</v>
      </c>
      <c r="X824" s="1071">
        <f t="shared" ca="1" si="188"/>
        <v>1</v>
      </c>
      <c r="Y824" s="1071">
        <f t="shared" ca="1" si="189"/>
        <v>3.7320997581080609E-2</v>
      </c>
      <c r="Z824" s="1042">
        <f t="shared" ca="1" si="190"/>
        <v>0</v>
      </c>
    </row>
    <row r="825" spans="1:26" x14ac:dyDescent="0.3">
      <c r="A825" s="1036">
        <v>41214</v>
      </c>
      <c r="B825" s="1538">
        <f t="shared" ca="1" si="191"/>
        <v>0.50473365790153646</v>
      </c>
      <c r="C825" s="1538">
        <f t="shared" ca="1" si="191"/>
        <v>0.13276074307368882</v>
      </c>
      <c r="D825" s="1538">
        <f t="shared" ca="1" si="191"/>
        <v>0.15434488874832278</v>
      </c>
      <c r="E825" s="1538">
        <f t="shared" ca="1" si="191"/>
        <v>8.7961977581820991E-2</v>
      </c>
      <c r="F825" s="1538">
        <f t="shared" ca="1" si="191"/>
        <v>-1.0231778996584148E-4</v>
      </c>
      <c r="G825" s="1538">
        <f t="shared" ca="1" si="191"/>
        <v>7.26820028655491E-2</v>
      </c>
      <c r="H825" s="1538">
        <f t="shared" ca="1" si="191"/>
        <v>4.7619047619047616E-2</v>
      </c>
      <c r="I825" s="1071">
        <f t="shared" ca="1" si="192"/>
        <v>0.20816071027645186</v>
      </c>
      <c r="J825" s="1071">
        <f t="shared" ca="1" si="193"/>
        <v>1</v>
      </c>
      <c r="K825" s="1071">
        <f t="shared" ca="1" si="194"/>
        <v>0</v>
      </c>
      <c r="L825" s="1071">
        <f t="shared" ca="1" si="195"/>
        <v>-1.0231778996584148E-4</v>
      </c>
      <c r="M825" s="1374"/>
      <c r="N825" s="1374"/>
      <c r="O825" s="722">
        <v>41214</v>
      </c>
      <c r="P825" s="1538">
        <f t="shared" ca="1" si="196"/>
        <v>0.49944138406091865</v>
      </c>
      <c r="Q825" s="1538">
        <f t="shared" ca="1" si="196"/>
        <v>0.26498769644630804</v>
      </c>
      <c r="R825" s="1538">
        <f t="shared" ca="1" si="196"/>
        <v>8.9393716612934188E-2</v>
      </c>
      <c r="S825" s="1538">
        <f t="shared" ca="1" si="196"/>
        <v>4.0194831400371785E-2</v>
      </c>
      <c r="T825" s="1538">
        <f t="shared" ca="1" si="196"/>
        <v>5.8363323860419633E-2</v>
      </c>
      <c r="U825" s="1538">
        <f t="shared" ca="1" si="197"/>
        <v>0</v>
      </c>
      <c r="V825" s="1538">
        <f t="shared" ca="1" si="186"/>
        <v>4.7619047619047623E-2</v>
      </c>
      <c r="W825" s="1071">
        <f t="shared" ca="1" si="187"/>
        <v>0.2355709194927732</v>
      </c>
      <c r="X825" s="1071">
        <f t="shared" ca="1" si="188"/>
        <v>1</v>
      </c>
      <c r="Y825" s="1071">
        <f t="shared" ca="1" si="189"/>
        <v>4.0194831400371785E-2</v>
      </c>
      <c r="Z825" s="1042">
        <f t="shared" ca="1" si="190"/>
        <v>0</v>
      </c>
    </row>
    <row r="826" spans="1:26" x14ac:dyDescent="0.3">
      <c r="A826" s="1036">
        <v>41244</v>
      </c>
      <c r="B826" s="1538">
        <f t="shared" ca="1" si="191"/>
        <v>0.54341932220041544</v>
      </c>
      <c r="C826" s="1538">
        <f t="shared" ca="1" si="191"/>
        <v>0.12470017765500242</v>
      </c>
      <c r="D826" s="1538">
        <f t="shared" ca="1" si="191"/>
        <v>0.13425161232603136</v>
      </c>
      <c r="E826" s="1538">
        <f t="shared" ca="1" si="191"/>
        <v>8.9132753234783674E-2</v>
      </c>
      <c r="F826" s="1538">
        <f t="shared" ca="1" si="191"/>
        <v>-9.6105567734932961E-5</v>
      </c>
      <c r="G826" s="1538">
        <f t="shared" ca="1" si="191"/>
        <v>6.0973192532454416E-2</v>
      </c>
      <c r="H826" s="1538">
        <f t="shared" ca="1" si="191"/>
        <v>4.7619047619047623E-2</v>
      </c>
      <c r="I826" s="1071">
        <f t="shared" ca="1" si="192"/>
        <v>0.19762888781855079</v>
      </c>
      <c r="J826" s="1071">
        <f t="shared" ca="1" si="193"/>
        <v>0.99999999999999989</v>
      </c>
      <c r="K826" s="1071">
        <f t="shared" ca="1" si="194"/>
        <v>0</v>
      </c>
      <c r="L826" s="1071">
        <f t="shared" ca="1" si="195"/>
        <v>-9.6105567734932961E-5</v>
      </c>
      <c r="M826" s="1374"/>
      <c r="N826" s="1374"/>
      <c r="O826" s="722">
        <v>41244</v>
      </c>
      <c r="P826" s="1538">
        <f t="shared" ca="1" si="196"/>
        <v>0.55755888187396785</v>
      </c>
      <c r="Q826" s="1538">
        <f t="shared" ca="1" si="196"/>
        <v>0.25393859305812538</v>
      </c>
      <c r="R826" s="1538">
        <f t="shared" ca="1" si="196"/>
        <v>9.0142148590943855E-2</v>
      </c>
      <c r="S826" s="1538">
        <f t="shared" ca="1" si="196"/>
        <v>-1.3700156626183873E-4</v>
      </c>
      <c r="T826" s="1538">
        <f t="shared" ca="1" si="196"/>
        <v>5.0878330424177241E-2</v>
      </c>
      <c r="U826" s="1538">
        <f t="shared" ca="1" si="197"/>
        <v>0</v>
      </c>
      <c r="V826" s="1538">
        <f t="shared" ca="1" si="186"/>
        <v>4.7619047619047623E-2</v>
      </c>
      <c r="W826" s="1071">
        <f t="shared" ca="1" si="187"/>
        <v>0.18850252506790688</v>
      </c>
      <c r="X826" s="1071">
        <f t="shared" ca="1" si="188"/>
        <v>1</v>
      </c>
      <c r="Y826" s="1071">
        <f t="shared" ca="1" si="189"/>
        <v>0</v>
      </c>
      <c r="Z826" s="1042">
        <f t="shared" ca="1" si="190"/>
        <v>-1.3700156626183873E-4</v>
      </c>
    </row>
    <row r="827" spans="1:26" x14ac:dyDescent="0.3">
      <c r="A827" s="1036">
        <v>41275</v>
      </c>
      <c r="B827" s="1538">
        <f t="shared" ca="1" si="191"/>
        <v>0.5498623575371363</v>
      </c>
      <c r="C827" s="1538">
        <f t="shared" ca="1" si="191"/>
        <v>0.11705866145372419</v>
      </c>
      <c r="D827" s="1538">
        <f t="shared" ca="1" si="191"/>
        <v>0.13395217606911916</v>
      </c>
      <c r="E827" s="1538">
        <f t="shared" ca="1" si="191"/>
        <v>8.896698893980616E-2</v>
      </c>
      <c r="F827" s="1538">
        <f t="shared" ca="1" si="191"/>
        <v>-9.0216303848626589E-5</v>
      </c>
      <c r="G827" s="1538">
        <f t="shared" ca="1" si="191"/>
        <v>6.263098468501517E-2</v>
      </c>
      <c r="H827" s="1538">
        <f t="shared" ca="1" si="191"/>
        <v>4.7619047619047623E-2</v>
      </c>
      <c r="I827" s="1071">
        <f t="shared" ca="1" si="192"/>
        <v>0.19912680494002033</v>
      </c>
      <c r="J827" s="1071">
        <f t="shared" ca="1" si="193"/>
        <v>1</v>
      </c>
      <c r="K827" s="1071">
        <f t="shared" ca="1" si="194"/>
        <v>0</v>
      </c>
      <c r="L827" s="1071">
        <f t="shared" ca="1" si="195"/>
        <v>-9.0216303848626589E-5</v>
      </c>
      <c r="M827" s="1374"/>
      <c r="N827" s="1374"/>
      <c r="O827" s="722">
        <v>41275</v>
      </c>
      <c r="P827" s="1538">
        <f t="shared" ca="1" si="196"/>
        <v>0.43512465984872833</v>
      </c>
      <c r="Q827" s="1538">
        <f t="shared" ca="1" si="196"/>
        <v>0.29852170059332944</v>
      </c>
      <c r="R827" s="1538">
        <f t="shared" ca="1" si="196"/>
        <v>8.941325319269075E-2</v>
      </c>
      <c r="S827" s="1538">
        <f t="shared" ca="1" si="196"/>
        <v>7.1153398268029966E-2</v>
      </c>
      <c r="T827" s="1538">
        <f t="shared" ca="1" si="196"/>
        <v>5.8167940478173828E-2</v>
      </c>
      <c r="U827" s="1538">
        <f t="shared" ca="1" si="197"/>
        <v>0</v>
      </c>
      <c r="V827" s="1538">
        <f t="shared" ca="1" si="186"/>
        <v>4.7619047619047616E-2</v>
      </c>
      <c r="W827" s="1071">
        <f t="shared" ca="1" si="187"/>
        <v>0.26635363955794217</v>
      </c>
      <c r="X827" s="1071">
        <f t="shared" ca="1" si="188"/>
        <v>1</v>
      </c>
      <c r="Y827" s="1071">
        <f t="shared" ca="1" si="189"/>
        <v>7.1153398268029966E-2</v>
      </c>
      <c r="Z827" s="1042">
        <f t="shared" ca="1" si="190"/>
        <v>0</v>
      </c>
    </row>
    <row r="828" spans="1:26" x14ac:dyDescent="0.3">
      <c r="A828" s="1036">
        <v>41306</v>
      </c>
      <c r="B828" s="1538">
        <f t="shared" ca="1" si="191"/>
        <v>0.50838232584528453</v>
      </c>
      <c r="C828" s="1538">
        <f t="shared" ca="1" si="191"/>
        <v>0.12866396899895677</v>
      </c>
      <c r="D828" s="1538">
        <f t="shared" ca="1" si="191"/>
        <v>0.1540637749565866</v>
      </c>
      <c r="E828" s="1538">
        <f t="shared" ca="1" si="191"/>
        <v>8.7881312030608671E-2</v>
      </c>
      <c r="F828" s="1538">
        <f t="shared" ca="1" si="191"/>
        <v>-9.9160434413208916E-5</v>
      </c>
      <c r="G828" s="1538">
        <f t="shared" ca="1" si="191"/>
        <v>7.3488730983928968E-2</v>
      </c>
      <c r="H828" s="1538">
        <f t="shared" ca="1" si="191"/>
        <v>4.7619047619047616E-2</v>
      </c>
      <c r="I828" s="1071">
        <f t="shared" ca="1" si="192"/>
        <v>0.20888993019917204</v>
      </c>
      <c r="J828" s="1071">
        <f t="shared" ca="1" si="193"/>
        <v>1</v>
      </c>
      <c r="K828" s="1071">
        <f t="shared" ca="1" si="194"/>
        <v>0</v>
      </c>
      <c r="L828" s="1071">
        <f t="shared" ca="1" si="195"/>
        <v>-9.9160434413208916E-5</v>
      </c>
      <c r="M828" s="1374"/>
      <c r="N828" s="1374"/>
      <c r="O828" s="722">
        <v>41306</v>
      </c>
      <c r="P828" s="1538">
        <f t="shared" ca="1" si="196"/>
        <v>0.43024172340874639</v>
      </c>
      <c r="Q828" s="1538">
        <f t="shared" ca="1" si="196"/>
        <v>0.30623916534897438</v>
      </c>
      <c r="R828" s="1538">
        <f t="shared" ca="1" si="196"/>
        <v>8.8832104841053333E-2</v>
      </c>
      <c r="S828" s="1538">
        <f t="shared" ca="1" si="196"/>
        <v>6.3088011701805113E-2</v>
      </c>
      <c r="T828" s="1538">
        <f t="shared" ca="1" si="196"/>
        <v>6.3979947080373162E-2</v>
      </c>
      <c r="U828" s="1538">
        <f t="shared" ca="1" si="197"/>
        <v>0</v>
      </c>
      <c r="V828" s="1538">
        <f t="shared" ca="1" si="186"/>
        <v>4.7619047619047623E-2</v>
      </c>
      <c r="W828" s="1071">
        <f t="shared" ca="1" si="187"/>
        <v>0.26351911124227922</v>
      </c>
      <c r="X828" s="1071">
        <f t="shared" ca="1" si="188"/>
        <v>1</v>
      </c>
      <c r="Y828" s="1071">
        <f t="shared" ca="1" si="189"/>
        <v>6.3088011701805113E-2</v>
      </c>
      <c r="Z828" s="1042">
        <f t="shared" ca="1" si="190"/>
        <v>0</v>
      </c>
    </row>
    <row r="829" spans="1:26" x14ac:dyDescent="0.3">
      <c r="A829" s="1036">
        <v>41334</v>
      </c>
      <c r="B829" s="1538">
        <f t="shared" ca="1" si="191"/>
        <v>0.49300040817826685</v>
      </c>
      <c r="C829" s="1538">
        <f t="shared" ca="1" si="191"/>
        <v>0.13264856979061057</v>
      </c>
      <c r="D829" s="1538">
        <f t="shared" ca="1" si="191"/>
        <v>0.16167599243202696</v>
      </c>
      <c r="E829" s="1538">
        <f t="shared" ca="1" si="191"/>
        <v>8.746044630980096E-2</v>
      </c>
      <c r="F829" s="1538">
        <f t="shared" ca="1" si="191"/>
        <v>-1.0223133878945258E-4</v>
      </c>
      <c r="G829" s="1538">
        <f t="shared" ca="1" si="191"/>
        <v>7.7697767009036633E-2</v>
      </c>
      <c r="H829" s="1538">
        <f t="shared" ca="1" si="191"/>
        <v>4.7619047619047616E-2</v>
      </c>
      <c r="I829" s="1071">
        <f t="shared" ca="1" si="192"/>
        <v>0.21267502959909576</v>
      </c>
      <c r="J829" s="1071">
        <f t="shared" ca="1" si="193"/>
        <v>1.0000000000000002</v>
      </c>
      <c r="K829" s="1071">
        <f t="shared" ca="1" si="194"/>
        <v>0</v>
      </c>
      <c r="L829" s="1071">
        <f t="shared" ca="1" si="195"/>
        <v>-1.0223133878945258E-4</v>
      </c>
      <c r="M829" s="1374"/>
      <c r="N829" s="1374"/>
      <c r="O829" s="722">
        <v>41334</v>
      </c>
      <c r="P829" s="1538">
        <f t="shared" ca="1" si="196"/>
        <v>0.40571698020797148</v>
      </c>
      <c r="Q829" s="1538">
        <f t="shared" ca="1" si="196"/>
        <v>0.31745655252740368</v>
      </c>
      <c r="R829" s="1538">
        <f t="shared" ca="1" si="196"/>
        <v>8.8712962972337495E-2</v>
      </c>
      <c r="S829" s="1538">
        <f t="shared" ca="1" si="196"/>
        <v>7.5322983667302723E-2</v>
      </c>
      <c r="T829" s="1538">
        <f t="shared" ca="1" si="196"/>
        <v>6.5171473005937147E-2</v>
      </c>
      <c r="U829" s="1538">
        <f t="shared" ca="1" si="197"/>
        <v>0</v>
      </c>
      <c r="V829" s="1538">
        <f t="shared" ca="1" si="186"/>
        <v>4.7619047619047623E-2</v>
      </c>
      <c r="W829" s="1071">
        <f t="shared" ca="1" si="187"/>
        <v>0.27682646726462501</v>
      </c>
      <c r="X829" s="1071">
        <f t="shared" ca="1" si="188"/>
        <v>1.0000000000000002</v>
      </c>
      <c r="Y829" s="1071">
        <f t="shared" ca="1" si="189"/>
        <v>7.5322983667302723E-2</v>
      </c>
      <c r="Z829" s="1042">
        <f t="shared" ca="1" si="190"/>
        <v>0</v>
      </c>
    </row>
    <row r="830" spans="1:26" x14ac:dyDescent="0.3">
      <c r="A830" s="1036">
        <v>41365</v>
      </c>
      <c r="B830" s="1538">
        <f t="shared" ca="1" si="191"/>
        <v>0.49612947653762768</v>
      </c>
      <c r="C830" s="1538">
        <f t="shared" ca="1" si="191"/>
        <v>0.11505436869960615</v>
      </c>
      <c r="D830" s="1538">
        <f t="shared" ca="1" si="191"/>
        <v>0.14582006863893585</v>
      </c>
      <c r="E830" s="1538">
        <f t="shared" ca="1" si="191"/>
        <v>8.8110690773282235E-2</v>
      </c>
      <c r="F830" s="1538">
        <f t="shared" ca="1" si="191"/>
        <v>3.6071610635821649E-2</v>
      </c>
      <c r="G830" s="1538">
        <f t="shared" ca="1" si="191"/>
        <v>7.1194737095679028E-2</v>
      </c>
      <c r="H830" s="1538">
        <f t="shared" ca="1" si="191"/>
        <v>4.7619047619047623E-2</v>
      </c>
      <c r="I830" s="1071">
        <f t="shared" ca="1" si="192"/>
        <v>0.24299608612383053</v>
      </c>
      <c r="J830" s="1071">
        <f t="shared" ca="1" si="193"/>
        <v>1.0000000000000002</v>
      </c>
      <c r="K830" s="1071">
        <f t="shared" ca="1" si="194"/>
        <v>3.6071610635821649E-2</v>
      </c>
      <c r="L830" s="1071">
        <f t="shared" ca="1" si="195"/>
        <v>0</v>
      </c>
      <c r="M830" s="1374"/>
      <c r="N830" s="1374"/>
      <c r="O830" s="722">
        <v>41365</v>
      </c>
      <c r="P830" s="1538">
        <f t="shared" ca="1" si="196"/>
        <v>0.41713181376561687</v>
      </c>
      <c r="Q830" s="1538">
        <f t="shared" ca="1" si="196"/>
        <v>0.31606040785113115</v>
      </c>
      <c r="R830" s="1538">
        <f t="shared" ca="1" si="196"/>
        <v>8.850526120783675E-2</v>
      </c>
      <c r="S830" s="1538">
        <f t="shared" ca="1" si="196"/>
        <v>6.3434791955139902E-2</v>
      </c>
      <c r="T830" s="1538">
        <f t="shared" ca="1" si="196"/>
        <v>6.7248677601227755E-2</v>
      </c>
      <c r="U830" s="1538">
        <f t="shared" ca="1" si="197"/>
        <v>0</v>
      </c>
      <c r="V830" s="1538">
        <f t="shared" ca="1" si="186"/>
        <v>4.7619047619047616E-2</v>
      </c>
      <c r="W830" s="1071">
        <f t="shared" ca="1" si="187"/>
        <v>0.26680777838325204</v>
      </c>
      <c r="X830" s="1071">
        <f t="shared" ca="1" si="188"/>
        <v>1</v>
      </c>
      <c r="Y830" s="1071">
        <f t="shared" ca="1" si="189"/>
        <v>6.3434791955139902E-2</v>
      </c>
      <c r="Z830" s="1042">
        <f t="shared" ca="1" si="190"/>
        <v>0</v>
      </c>
    </row>
    <row r="831" spans="1:26" x14ac:dyDescent="0.3">
      <c r="A831" s="1036">
        <v>41395</v>
      </c>
      <c r="B831" s="1538">
        <f t="shared" ca="1" si="191"/>
        <v>0.45000460052400876</v>
      </c>
      <c r="C831" s="1538">
        <f t="shared" ca="1" si="191"/>
        <v>0.12138368151893539</v>
      </c>
      <c r="D831" s="1538">
        <f t="shared" ca="1" si="191"/>
        <v>0.17013083465692611</v>
      </c>
      <c r="E831" s="1538">
        <f t="shared" ca="1" si="191"/>
        <v>8.6610791450323549E-2</v>
      </c>
      <c r="F831" s="1538">
        <f t="shared" ca="1" si="191"/>
        <v>3.8055963861097664E-2</v>
      </c>
      <c r="G831" s="1538">
        <f t="shared" ca="1" si="191"/>
        <v>8.6195080369660837E-2</v>
      </c>
      <c r="H831" s="1538">
        <f t="shared" ca="1" si="191"/>
        <v>4.7619047619047616E-2</v>
      </c>
      <c r="I831" s="1071">
        <f t="shared" ca="1" si="192"/>
        <v>0.25848088330012964</v>
      </c>
      <c r="J831" s="1071">
        <f t="shared" ca="1" si="193"/>
        <v>1</v>
      </c>
      <c r="K831" s="1071">
        <f t="shared" ca="1" si="194"/>
        <v>3.8055963861097664E-2</v>
      </c>
      <c r="L831" s="1071">
        <f t="shared" ca="1" si="195"/>
        <v>0</v>
      </c>
      <c r="M831" s="1374"/>
      <c r="N831" s="1374"/>
      <c r="O831" s="722">
        <v>41395</v>
      </c>
      <c r="P831" s="1538">
        <f t="shared" ca="1" si="196"/>
        <v>0.31519536065251247</v>
      </c>
      <c r="Q831" s="1538">
        <f t="shared" ca="1" si="196"/>
        <v>0.40891907261284699</v>
      </c>
      <c r="R831" s="1538">
        <f t="shared" ca="1" si="196"/>
        <v>8.4908740166790828E-2</v>
      </c>
      <c r="S831" s="1538">
        <f t="shared" ca="1" si="196"/>
        <v>4.0140653744458896E-2</v>
      </c>
      <c r="T831" s="1538">
        <f t="shared" ca="1" si="196"/>
        <v>0.10321712520434319</v>
      </c>
      <c r="U831" s="1538">
        <f t="shared" ca="1" si="197"/>
        <v>0</v>
      </c>
      <c r="V831" s="1538">
        <f t="shared" ca="1" si="186"/>
        <v>4.7619047619047616E-2</v>
      </c>
      <c r="W831" s="1071">
        <f t="shared" ca="1" si="187"/>
        <v>0.27588556673464054</v>
      </c>
      <c r="X831" s="1071">
        <f t="shared" ca="1" si="188"/>
        <v>1</v>
      </c>
      <c r="Y831" s="1071">
        <f t="shared" ca="1" si="189"/>
        <v>4.0140653744458896E-2</v>
      </c>
      <c r="Z831" s="1042">
        <f t="shared" ca="1" si="190"/>
        <v>0</v>
      </c>
    </row>
    <row r="832" spans="1:26" x14ac:dyDescent="0.3">
      <c r="A832" s="1036">
        <v>41426</v>
      </c>
      <c r="B832" s="1538">
        <f ca="1">IF(VLOOKUP($A832, INDIRECT("'"&amp;$B$812&amp;"'!$A$5:$CA$100"),B$813, FALSE)=0,NA(),VLOOKUP($A832, INDIRECT("'"&amp;$B$812&amp;"'!$A$5:$CA$100"),B$813, FALSE)/VLOOKUP($A832, INDIRECT("'"&amp;$B$812&amp;"'!$A$5:$CA$100"),6, FALSE))</f>
        <v>0.47558730599046545</v>
      </c>
      <c r="C832" s="1538">
        <f t="shared" ca="1" si="191"/>
        <v>0.11988234648101884</v>
      </c>
      <c r="D832" s="1538">
        <f t="shared" ca="1" si="191"/>
        <v>0.16277190734246949</v>
      </c>
      <c r="E832" s="1538">
        <f t="shared" ca="1" si="191"/>
        <v>8.7074912809101082E-2</v>
      </c>
      <c r="F832" s="1538">
        <f t="shared" ca="1" si="191"/>
        <v>2.5511030727010123E-2</v>
      </c>
      <c r="G832" s="1538">
        <f t="shared" ca="1" si="191"/>
        <v>8.1553449030887556E-2</v>
      </c>
      <c r="H832" s="1538">
        <f t="shared" ca="1" si="191"/>
        <v>4.7619047619047623E-2</v>
      </c>
      <c r="I832" s="1071">
        <f t="shared" ca="1" si="192"/>
        <v>0.24175844018604636</v>
      </c>
      <c r="J832" s="1071">
        <f t="shared" ca="1" si="193"/>
        <v>1.0000000000000002</v>
      </c>
      <c r="K832" s="1071">
        <f t="shared" ca="1" si="194"/>
        <v>2.5511030727010123E-2</v>
      </c>
      <c r="L832" s="1071">
        <f t="shared" ca="1" si="195"/>
        <v>0</v>
      </c>
      <c r="M832" s="1374"/>
      <c r="N832" s="1374"/>
      <c r="O832" s="722">
        <v>41426</v>
      </c>
      <c r="P832" s="1538">
        <f t="shared" ca="1" si="196"/>
        <v>0.27271899728240967</v>
      </c>
      <c r="Q832" s="1538">
        <f t="shared" ca="1" si="196"/>
        <v>0.44598997673883417</v>
      </c>
      <c r="R832" s="1538">
        <f t="shared" ca="1" si="196"/>
        <v>8.3578554086687198E-2</v>
      </c>
      <c r="S832" s="1538">
        <f t="shared" ca="1" si="196"/>
        <v>3.3573240980441205E-2</v>
      </c>
      <c r="T832" s="1538">
        <f t="shared" ca="1" si="196"/>
        <v>0.11652018329258036</v>
      </c>
      <c r="U832" s="1538">
        <f t="shared" ca="1" si="197"/>
        <v>0</v>
      </c>
      <c r="V832" s="1538">
        <f t="shared" ca="1" si="186"/>
        <v>4.7619047619047623E-2</v>
      </c>
      <c r="W832" s="1071">
        <f t="shared" ca="1" si="187"/>
        <v>0.28129102597875638</v>
      </c>
      <c r="X832" s="1071">
        <f t="shared" ca="1" si="188"/>
        <v>1.0000000000000002</v>
      </c>
      <c r="Y832" s="1071">
        <f t="shared" ca="1" si="189"/>
        <v>3.3573240980441205E-2</v>
      </c>
      <c r="Z832" s="1042">
        <f t="shared" ca="1" si="190"/>
        <v>0</v>
      </c>
    </row>
    <row r="833" spans="1:26" x14ac:dyDescent="0.3">
      <c r="A833" s="1036">
        <v>41456</v>
      </c>
      <c r="B833" s="1538">
        <f t="shared" ca="1" si="191"/>
        <v>0.56476383097831084</v>
      </c>
      <c r="C833" s="1538">
        <f t="shared" ca="1" si="191"/>
        <v>9.7334618279738452E-2</v>
      </c>
      <c r="D833" s="1538">
        <f t="shared" ca="1" si="191"/>
        <v>0.13294305478249269</v>
      </c>
      <c r="E833" s="1538">
        <f t="shared" ca="1" si="191"/>
        <v>8.8555195811525697E-2</v>
      </c>
      <c r="F833" s="1538">
        <f t="shared" ca="1" si="191"/>
        <v>2.0349659101844336E-3</v>
      </c>
      <c r="G833" s="1538">
        <f t="shared" ca="1" si="191"/>
        <v>6.6749286618700443E-2</v>
      </c>
      <c r="H833" s="1538">
        <f t="shared" ca="1" si="191"/>
        <v>4.7619047619047623E-2</v>
      </c>
      <c r="I833" s="1071">
        <f t="shared" ca="1" si="192"/>
        <v>0.2049584959594582</v>
      </c>
      <c r="J833" s="1071">
        <f t="shared" ca="1" si="193"/>
        <v>1.0000000000000002</v>
      </c>
      <c r="K833" s="1071">
        <f t="shared" ca="1" si="194"/>
        <v>2.0349659101844336E-3</v>
      </c>
      <c r="L833" s="1071">
        <f t="shared" ca="1" si="195"/>
        <v>0</v>
      </c>
      <c r="M833" s="1374"/>
      <c r="N833" s="1374"/>
      <c r="O833" s="722">
        <v>41456</v>
      </c>
      <c r="P833" s="1538">
        <f t="shared" ca="1" si="196"/>
        <v>0.17750997635637247</v>
      </c>
      <c r="Q833" s="1538">
        <f t="shared" ca="1" si="196"/>
        <v>0.52226979099643744</v>
      </c>
      <c r="R833" s="1538">
        <f t="shared" ca="1" si="196"/>
        <v>8.1304273513473371E-2</v>
      </c>
      <c r="S833" s="1538">
        <f t="shared" ca="1" si="196"/>
        <v>3.2031875432728868E-2</v>
      </c>
      <c r="T833" s="1538">
        <f t="shared" ca="1" si="196"/>
        <v>0.13926503608194016</v>
      </c>
      <c r="U833" s="1538">
        <f t="shared" ca="1" si="197"/>
        <v>0</v>
      </c>
      <c r="V833" s="1538">
        <f t="shared" ca="1" si="186"/>
        <v>4.7619047619047616E-2</v>
      </c>
      <c r="W833" s="1071">
        <f t="shared" ca="1" si="187"/>
        <v>0.30022023264719</v>
      </c>
      <c r="X833" s="1071">
        <f t="shared" ca="1" si="188"/>
        <v>1</v>
      </c>
      <c r="Y833" s="1071">
        <f t="shared" ca="1" si="189"/>
        <v>3.2031875432728868E-2</v>
      </c>
      <c r="Z833" s="1042">
        <f t="shared" ca="1" si="190"/>
        <v>0</v>
      </c>
    </row>
    <row r="834" spans="1:26" x14ac:dyDescent="0.3">
      <c r="A834" s="1036">
        <v>41487</v>
      </c>
      <c r="B834" s="1538">
        <f t="shared" ca="1" si="191"/>
        <v>0.56509117860506186</v>
      </c>
      <c r="C834" s="1538">
        <f t="shared" ca="1" si="191"/>
        <v>9.8103377122382637E-2</v>
      </c>
      <c r="D834" s="1538">
        <f t="shared" ca="1" si="191"/>
        <v>0.13224884938617756</v>
      </c>
      <c r="E834" s="1538">
        <f t="shared" ca="1" si="191"/>
        <v>8.8621154636018037E-2</v>
      </c>
      <c r="F834" s="1538">
        <f t="shared" ca="1" si="191"/>
        <v>2.2267536264143238E-3</v>
      </c>
      <c r="G834" s="1538">
        <f t="shared" ca="1" si="191"/>
        <v>6.6089639004898074E-2</v>
      </c>
      <c r="H834" s="1538">
        <f t="shared" ca="1" si="191"/>
        <v>4.7619047619047623E-2</v>
      </c>
      <c r="I834" s="1071">
        <f t="shared" ca="1" si="192"/>
        <v>0.20455659488637806</v>
      </c>
      <c r="J834" s="1071">
        <f t="shared" ca="1" si="193"/>
        <v>1</v>
      </c>
      <c r="K834" s="1071">
        <f t="shared" ca="1" si="194"/>
        <v>2.2267536264143238E-3</v>
      </c>
      <c r="L834" s="1071">
        <f t="shared" ca="1" si="195"/>
        <v>0</v>
      </c>
      <c r="M834" s="1374"/>
      <c r="N834" s="1374"/>
      <c r="O834" s="722">
        <v>41487</v>
      </c>
      <c r="P834" s="1538">
        <f t="shared" ca="1" si="196"/>
        <v>0.11971946311762212</v>
      </c>
      <c r="Q834" s="1538">
        <f t="shared" ca="1" si="196"/>
        <v>0.56873663243716066</v>
      </c>
      <c r="R834" s="1538">
        <f t="shared" ca="1" si="196"/>
        <v>7.9906576150922268E-2</v>
      </c>
      <c r="S834" s="1538">
        <f t="shared" ca="1" si="196"/>
        <v>3.0775012914364408E-2</v>
      </c>
      <c r="T834" s="1538">
        <f t="shared" ca="1" si="196"/>
        <v>0.15324326776088287</v>
      </c>
      <c r="U834" s="1538">
        <f t="shared" ca="1" si="197"/>
        <v>0</v>
      </c>
      <c r="V834" s="1538">
        <f t="shared" ca="1" si="186"/>
        <v>4.7619047619047616E-2</v>
      </c>
      <c r="W834" s="1071">
        <f t="shared" ca="1" si="187"/>
        <v>0.31154390444521718</v>
      </c>
      <c r="X834" s="1071">
        <f t="shared" ca="1" si="188"/>
        <v>1</v>
      </c>
      <c r="Y834" s="1071">
        <f t="shared" ca="1" si="189"/>
        <v>3.0775012914364408E-2</v>
      </c>
      <c r="Z834" s="1042">
        <f t="shared" ca="1" si="190"/>
        <v>0</v>
      </c>
    </row>
    <row r="835" spans="1:26" x14ac:dyDescent="0.3">
      <c r="A835" s="1036">
        <v>41518</v>
      </c>
      <c r="B835" s="1538">
        <f t="shared" ca="1" si="191"/>
        <v>0.55663403928660282</v>
      </c>
      <c r="C835" s="1538">
        <f t="shared" ca="1" si="191"/>
        <v>9.8956597612670338E-2</v>
      </c>
      <c r="D835" s="1538">
        <f t="shared" ca="1" si="191"/>
        <v>0.13094753517511581</v>
      </c>
      <c r="E835" s="1538">
        <f t="shared" ca="1" si="191"/>
        <v>8.873047774177388E-2</v>
      </c>
      <c r="F835" s="1538">
        <f t="shared" ca="1" si="191"/>
        <v>1.2115993018085254E-2</v>
      </c>
      <c r="G835" s="1538">
        <f t="shared" ca="1" si="191"/>
        <v>6.4996309546704253E-2</v>
      </c>
      <c r="H835" s="1538">
        <f t="shared" ca="1" si="191"/>
        <v>4.7619047619047623E-2</v>
      </c>
      <c r="I835" s="1071">
        <f t="shared" ca="1" si="192"/>
        <v>0.21346182792561103</v>
      </c>
      <c r="J835" s="1071">
        <f t="shared" ca="1" si="193"/>
        <v>1</v>
      </c>
      <c r="K835" s="1071">
        <f t="shared" ca="1" si="194"/>
        <v>1.2115993018085254E-2</v>
      </c>
      <c r="L835" s="1071">
        <f t="shared" ca="1" si="195"/>
        <v>0</v>
      </c>
      <c r="M835" s="1374"/>
      <c r="N835" s="1374"/>
      <c r="O835" s="722">
        <v>41518</v>
      </c>
      <c r="P835" s="1538">
        <f t="shared" ca="1" si="196"/>
        <v>0.21429709022236582</v>
      </c>
      <c r="Q835" s="1538">
        <f t="shared" ca="1" si="196"/>
        <v>0.48669808412084131</v>
      </c>
      <c r="R835" s="1538">
        <f t="shared" ca="1" si="196"/>
        <v>8.2816111081982668E-2</v>
      </c>
      <c r="S835" s="1538">
        <f t="shared" ca="1" si="196"/>
        <v>4.4424367348806108E-2</v>
      </c>
      <c r="T835" s="1538">
        <f t="shared" ca="1" si="196"/>
        <v>0.12414529960695668</v>
      </c>
      <c r="U835" s="1538">
        <f t="shared" ca="1" si="197"/>
        <v>0</v>
      </c>
      <c r="V835" s="1538">
        <f t="shared" ca="1" si="186"/>
        <v>4.761904761904763E-2</v>
      </c>
      <c r="W835" s="1071">
        <f t="shared" ca="1" si="187"/>
        <v>0.29900482565679309</v>
      </c>
      <c r="X835" s="1071">
        <f t="shared" ca="1" si="188"/>
        <v>1</v>
      </c>
      <c r="Y835" s="1071">
        <f t="shared" ca="1" si="189"/>
        <v>4.4424367348806108E-2</v>
      </c>
      <c r="Z835" s="1042">
        <f t="shared" ca="1" si="190"/>
        <v>0</v>
      </c>
    </row>
    <row r="836" spans="1:26" x14ac:dyDescent="0.3">
      <c r="A836" s="1036">
        <v>41548</v>
      </c>
      <c r="B836" s="1538">
        <f t="shared" ca="1" si="191"/>
        <v>0.46434553214361962</v>
      </c>
      <c r="C836" s="1538">
        <f t="shared" ca="1" si="191"/>
        <v>0.11213684755827069</v>
      </c>
      <c r="D836" s="1538">
        <f t="shared" ca="1" si="191"/>
        <v>0.14174544052167903</v>
      </c>
      <c r="E836" s="1538">
        <f t="shared" ca="1" si="191"/>
        <v>8.831685615420104E-2</v>
      </c>
      <c r="F836" s="1538">
        <f t="shared" ca="1" si="191"/>
        <v>7.6703378284090712E-2</v>
      </c>
      <c r="G836" s="1538">
        <f t="shared" ca="1" si="191"/>
        <v>6.9132897719091341E-2</v>
      </c>
      <c r="H836" s="1538">
        <f t="shared" ca="1" si="191"/>
        <v>4.7619047619047623E-2</v>
      </c>
      <c r="I836" s="1071">
        <f t="shared" ca="1" si="192"/>
        <v>0.28177217977643071</v>
      </c>
      <c r="J836" s="1071">
        <f t="shared" ca="1" si="193"/>
        <v>1</v>
      </c>
      <c r="K836" s="1071">
        <f t="shared" ca="1" si="194"/>
        <v>7.6703378284090712E-2</v>
      </c>
      <c r="L836" s="1071">
        <f t="shared" ca="1" si="195"/>
        <v>0</v>
      </c>
      <c r="M836" s="1374"/>
      <c r="N836" s="1374"/>
      <c r="O836" s="722">
        <v>41548</v>
      </c>
      <c r="P836" s="1538">
        <f t="shared" ca="1" si="196"/>
        <v>0.31792406733204404</v>
      </c>
      <c r="Q836" s="1538">
        <f t="shared" ca="1" si="196"/>
        <v>0.39130377474542616</v>
      </c>
      <c r="R836" s="1538">
        <f t="shared" ca="1" si="196"/>
        <v>8.6575638840518901E-2</v>
      </c>
      <c r="S836" s="1538">
        <f t="shared" ca="1" si="196"/>
        <v>7.0030833354743124E-2</v>
      </c>
      <c r="T836" s="1538">
        <f t="shared" ca="1" si="196"/>
        <v>8.654663810822022E-2</v>
      </c>
      <c r="U836" s="1538">
        <f t="shared" ca="1" si="197"/>
        <v>0</v>
      </c>
      <c r="V836" s="1538">
        <f t="shared" ca="1" si="186"/>
        <v>4.7619047619047623E-2</v>
      </c>
      <c r="W836" s="1071">
        <f t="shared" ca="1" si="187"/>
        <v>0.29077215792252986</v>
      </c>
      <c r="X836" s="1071">
        <f t="shared" ca="1" si="188"/>
        <v>1.0000000000000002</v>
      </c>
      <c r="Y836" s="1071">
        <f t="shared" ca="1" si="189"/>
        <v>7.0030833354743124E-2</v>
      </c>
      <c r="Z836" s="1042">
        <f t="shared" ca="1" si="190"/>
        <v>0</v>
      </c>
    </row>
    <row r="837" spans="1:26" x14ac:dyDescent="0.3">
      <c r="A837" s="1036">
        <v>41579</v>
      </c>
      <c r="B837" s="1538">
        <f t="shared" ca="1" si="191"/>
        <v>0.46984643907487972</v>
      </c>
      <c r="C837" s="1538">
        <f t="shared" ca="1" si="191"/>
        <v>0.1157151510713349</v>
      </c>
      <c r="D837" s="1538">
        <f t="shared" ca="1" si="191"/>
        <v>0.13508318691543256</v>
      </c>
      <c r="E837" s="1538">
        <f t="shared" ca="1" si="191"/>
        <v>8.8857310221978486E-2</v>
      </c>
      <c r="F837" s="1538">
        <f t="shared" ca="1" si="191"/>
        <v>7.9150994513316641E-2</v>
      </c>
      <c r="G837" s="1538">
        <f t="shared" ca="1" si="191"/>
        <v>6.3727870584010152E-2</v>
      </c>
      <c r="H837" s="1538">
        <f t="shared" ca="1" si="191"/>
        <v>4.7619047619047616E-2</v>
      </c>
      <c r="I837" s="1071">
        <f t="shared" ca="1" si="192"/>
        <v>0.27935522293835291</v>
      </c>
      <c r="J837" s="1071">
        <f ca="1">SUM(B837:H837)</f>
        <v>1</v>
      </c>
      <c r="K837" s="1071">
        <f t="shared" ca="1" si="194"/>
        <v>7.9150994513316641E-2</v>
      </c>
      <c r="L837" s="1071">
        <f t="shared" ca="1" si="195"/>
        <v>0</v>
      </c>
      <c r="M837" s="1374"/>
      <c r="N837" s="1374"/>
      <c r="O837" s="722">
        <v>41579</v>
      </c>
      <c r="P837" s="1538">
        <f t="shared" ca="1" si="196"/>
        <v>0.4764740455110526</v>
      </c>
      <c r="Q837" s="1538">
        <f t="shared" ca="1" si="196"/>
        <v>0.26651302232002699</v>
      </c>
      <c r="R837" s="1538">
        <f t="shared" ca="1" si="196"/>
        <v>9.0130761116335459E-2</v>
      </c>
      <c r="S837" s="1538">
        <f t="shared" ca="1" si="196"/>
        <v>6.8270908013523965E-2</v>
      </c>
      <c r="T837" s="1538">
        <f t="shared" ca="1" si="196"/>
        <v>5.0992215420013427E-2</v>
      </c>
      <c r="U837" s="1538">
        <f t="shared" ca="1" si="197"/>
        <v>0</v>
      </c>
      <c r="V837" s="1538">
        <f t="shared" ca="1" si="186"/>
        <v>4.7619047619047623E-2</v>
      </c>
      <c r="W837" s="1071">
        <f t="shared" ca="1" si="187"/>
        <v>0.25701293216892046</v>
      </c>
      <c r="X837" s="1071">
        <f t="shared" ca="1" si="188"/>
        <v>1</v>
      </c>
      <c r="Y837" s="1071">
        <f t="shared" ca="1" si="189"/>
        <v>6.8270908013523965E-2</v>
      </c>
      <c r="Z837" s="1042">
        <f t="shared" ca="1" si="190"/>
        <v>0</v>
      </c>
    </row>
    <row r="838" spans="1:26" x14ac:dyDescent="0.3">
      <c r="A838" s="1036">
        <v>41609</v>
      </c>
      <c r="B838" s="1538">
        <f t="shared" ca="1" si="191"/>
        <v>0.46461116643301226</v>
      </c>
      <c r="C838" s="1538">
        <f t="shared" ca="1" si="191"/>
        <v>0.11930348741735339</v>
      </c>
      <c r="D838" s="1538">
        <f t="shared" ca="1" si="191"/>
        <v>0.12772176910453908</v>
      </c>
      <c r="E838" s="1538">
        <f t="shared" ca="1" si="191"/>
        <v>8.9445578910807219E-2</v>
      </c>
      <c r="F838" s="1538">
        <f t="shared" ca="1" si="191"/>
        <v>9.3454296314287089E-2</v>
      </c>
      <c r="G838" s="1538">
        <f t="shared" ca="1" si="191"/>
        <v>5.7844654200953458E-2</v>
      </c>
      <c r="H838" s="1538">
        <f t="shared" ca="1" si="191"/>
        <v>4.7619047619047623E-2</v>
      </c>
      <c r="I838" s="1071">
        <f t="shared" ca="1" si="192"/>
        <v>0.28836357704509541</v>
      </c>
      <c r="J838" s="1071">
        <f t="shared" ca="1" si="193"/>
        <v>1.0000000000000002</v>
      </c>
      <c r="K838" s="1071">
        <f t="shared" ca="1" si="194"/>
        <v>9.3454296314287089E-2</v>
      </c>
      <c r="L838" s="1071">
        <f t="shared" ca="1" si="195"/>
        <v>0</v>
      </c>
      <c r="M838" s="1374"/>
      <c r="N838" s="1374"/>
      <c r="O838" s="722">
        <v>41609</v>
      </c>
      <c r="P838" s="1538">
        <f t="shared" ca="1" si="196"/>
        <v>0.48388152147631058</v>
      </c>
      <c r="Q838" s="1538">
        <f t="shared" ca="1" si="196"/>
        <v>0.2558371452425332</v>
      </c>
      <c r="R838" s="1538">
        <f t="shared" ca="1" si="196"/>
        <v>9.0799889335431844E-2</v>
      </c>
      <c r="S838" s="1538">
        <f t="shared" ca="1" si="196"/>
        <v>7.756206537325197E-2</v>
      </c>
      <c r="T838" s="1538">
        <f t="shared" ca="1" si="196"/>
        <v>4.4300330953424602E-2</v>
      </c>
      <c r="U838" s="1538">
        <f t="shared" ca="1" si="197"/>
        <v>0</v>
      </c>
      <c r="V838" s="1538">
        <f t="shared" ca="1" si="186"/>
        <v>4.7619047619047616E-2</v>
      </c>
      <c r="W838" s="1071">
        <f t="shared" ca="1" si="187"/>
        <v>0.26028133328115605</v>
      </c>
      <c r="X838" s="1071">
        <f t="shared" ca="1" si="188"/>
        <v>0.99999999999999978</v>
      </c>
      <c r="Y838" s="1071">
        <f t="shared" ca="1" si="189"/>
        <v>7.756206537325197E-2</v>
      </c>
      <c r="Z838" s="1042">
        <f t="shared" ca="1" si="190"/>
        <v>0</v>
      </c>
    </row>
    <row r="839" spans="1:26" x14ac:dyDescent="0.3">
      <c r="A839" s="1036">
        <v>41640</v>
      </c>
      <c r="B839" s="1538">
        <f t="shared" ca="1" si="191"/>
        <v>0.44602557740850729</v>
      </c>
      <c r="C839" s="1538">
        <f t="shared" ca="1" si="191"/>
        <v>0.11123777310484079</v>
      </c>
      <c r="D839" s="1538">
        <f t="shared" ca="1" si="191"/>
        <v>0.15727067854230428</v>
      </c>
      <c r="E839" s="1538">
        <f t="shared" ca="1" si="191"/>
        <v>8.9139215131268629E-2</v>
      </c>
      <c r="F839" s="1538">
        <f t="shared" ca="1" si="191"/>
        <v>8.7799140442715112E-2</v>
      </c>
      <c r="G839" s="1538">
        <f t="shared" ca="1" si="191"/>
        <v>6.0908567751316318E-2</v>
      </c>
      <c r="H839" s="1538">
        <f t="shared" ca="1" si="191"/>
        <v>4.7619047619047623E-2</v>
      </c>
      <c r="I839" s="1071">
        <f t="shared" ca="1" si="192"/>
        <v>0.28546597094434767</v>
      </c>
      <c r="J839" s="1071">
        <f t="shared" ca="1" si="193"/>
        <v>1</v>
      </c>
      <c r="K839" s="1071">
        <f t="shared" ca="1" si="194"/>
        <v>8.7799140442715112E-2</v>
      </c>
      <c r="L839" s="1071">
        <f t="shared" ca="1" si="195"/>
        <v>0</v>
      </c>
      <c r="M839" s="1374"/>
      <c r="N839" s="1374"/>
      <c r="O839" s="722">
        <v>41640</v>
      </c>
      <c r="P839" s="1538">
        <f t="shared" ca="1" si="196"/>
        <v>0.49888522423797771</v>
      </c>
      <c r="Q839" s="1538">
        <f t="shared" ca="1" si="196"/>
        <v>0.25137888784812457</v>
      </c>
      <c r="R839" s="1538">
        <f t="shared" ca="1" si="196"/>
        <v>9.0479983554489649E-2</v>
      </c>
      <c r="S839" s="1538">
        <f t="shared" ca="1" si="196"/>
        <v>6.4137180033516483E-2</v>
      </c>
      <c r="T839" s="1538">
        <f t="shared" ca="1" si="196"/>
        <v>4.7499676706843873E-2</v>
      </c>
      <c r="U839" s="1538">
        <f t="shared" ca="1" si="197"/>
        <v>0</v>
      </c>
      <c r="V839" s="1538">
        <f t="shared" ca="1" si="186"/>
        <v>4.7619047619047616E-2</v>
      </c>
      <c r="W839" s="1071">
        <f t="shared" ca="1" si="187"/>
        <v>0.24973588791389764</v>
      </c>
      <c r="X839" s="1071">
        <f t="shared" ca="1" si="188"/>
        <v>0.99999999999999978</v>
      </c>
      <c r="Y839" s="1071">
        <f t="shared" ca="1" si="189"/>
        <v>6.4137180033516483E-2</v>
      </c>
      <c r="Z839" s="1042">
        <f t="shared" ca="1" si="190"/>
        <v>0</v>
      </c>
    </row>
    <row r="840" spans="1:26" x14ac:dyDescent="0.3">
      <c r="A840" s="1036">
        <v>41671</v>
      </c>
      <c r="B840" s="1538">
        <f t="shared" ca="1" si="191"/>
        <v>0.43346482649647428</v>
      </c>
      <c r="C840" s="1538">
        <f t="shared" ca="1" si="191"/>
        <v>0.11732225337719726</v>
      </c>
      <c r="D840" s="1538">
        <f t="shared" ca="1" si="191"/>
        <v>0.1592883528946703</v>
      </c>
      <c r="E840" s="1538">
        <f t="shared" ca="1" si="191"/>
        <v>8.9177415575366986E-2</v>
      </c>
      <c r="F840" s="1538">
        <f t="shared" ca="1" si="191"/>
        <v>9.2601575110748832E-2</v>
      </c>
      <c r="G840" s="1538">
        <f t="shared" ca="1" si="191"/>
        <v>6.0526528926494655E-2</v>
      </c>
      <c r="H840" s="1538">
        <f t="shared" ca="1" si="191"/>
        <v>4.7619047619047616E-2</v>
      </c>
      <c r="I840" s="1071">
        <f t="shared" ca="1" si="192"/>
        <v>0.28992456723165805</v>
      </c>
      <c r="J840" s="1071">
        <f t="shared" ca="1" si="193"/>
        <v>1</v>
      </c>
      <c r="K840" s="1071">
        <f t="shared" ca="1" si="194"/>
        <v>9.2601575110748832E-2</v>
      </c>
      <c r="L840" s="1071">
        <f t="shared" ca="1" si="195"/>
        <v>0</v>
      </c>
      <c r="M840" s="1374"/>
      <c r="N840" s="1374"/>
      <c r="O840" s="722">
        <v>41671</v>
      </c>
      <c r="P840" s="1538">
        <f t="shared" ca="1" si="196"/>
        <v>0.55960971867322484</v>
      </c>
      <c r="Q840" s="1538">
        <f t="shared" ca="1" si="196"/>
        <v>0.20246004632442752</v>
      </c>
      <c r="R840" s="1538">
        <f t="shared" ca="1" si="196"/>
        <v>9.1970613504756396E-2</v>
      </c>
      <c r="S840" s="1538">
        <f t="shared" ca="1" si="196"/>
        <v>6.5748538375492396E-2</v>
      </c>
      <c r="T840" s="1538">
        <f t="shared" ca="1" si="196"/>
        <v>3.2592035503051238E-2</v>
      </c>
      <c r="U840" s="1538">
        <f t="shared" ca="1" si="197"/>
        <v>0</v>
      </c>
      <c r="V840" s="1538">
        <f t="shared" ca="1" si="186"/>
        <v>4.7619047619047623E-2</v>
      </c>
      <c r="W840" s="1071">
        <f t="shared" ca="1" si="187"/>
        <v>0.23793023500234764</v>
      </c>
      <c r="X840" s="1071">
        <f t="shared" ca="1" si="188"/>
        <v>1</v>
      </c>
      <c r="Y840" s="1071">
        <f t="shared" ca="1" si="189"/>
        <v>6.5748538375492396E-2</v>
      </c>
      <c r="Z840" s="1042">
        <f t="shared" ca="1" si="190"/>
        <v>0</v>
      </c>
    </row>
    <row r="841" spans="1:26" x14ac:dyDescent="0.3">
      <c r="A841" s="1036">
        <v>41699</v>
      </c>
      <c r="B841" s="1538">
        <f t="shared" ca="1" si="191"/>
        <v>0.42089131675122482</v>
      </c>
      <c r="C841" s="1538">
        <f t="shared" ca="1" si="191"/>
        <v>0.11192981947516756</v>
      </c>
      <c r="D841" s="1538">
        <f t="shared" ca="1" si="191"/>
        <v>0.15943400041229375</v>
      </c>
      <c r="E841" s="1538">
        <f t="shared" ca="1" si="191"/>
        <v>8.9034506519746523E-2</v>
      </c>
      <c r="F841" s="1538">
        <f t="shared" ca="1" si="191"/>
        <v>0.10913556110880725</v>
      </c>
      <c r="G841" s="1538">
        <f t="shared" ca="1" si="191"/>
        <v>6.1955748113712558E-2</v>
      </c>
      <c r="H841" s="1538">
        <f t="shared" ca="1" si="191"/>
        <v>4.7619047619047623E-2</v>
      </c>
      <c r="I841" s="1071">
        <f t="shared" ca="1" si="192"/>
        <v>0.30774486336131396</v>
      </c>
      <c r="J841" s="1071">
        <f t="shared" ca="1" si="193"/>
        <v>1</v>
      </c>
      <c r="K841" s="1071">
        <f t="shared" ca="1" si="194"/>
        <v>0.10913556110880725</v>
      </c>
      <c r="L841" s="1071">
        <f t="shared" ca="1" si="195"/>
        <v>0</v>
      </c>
      <c r="M841" s="1374"/>
      <c r="N841" s="1374"/>
      <c r="O841" s="722">
        <v>41699</v>
      </c>
      <c r="P841" s="1538">
        <f t="shared" ca="1" si="196"/>
        <v>0.66508737860080414</v>
      </c>
      <c r="Q841" s="1538">
        <f t="shared" ca="1" si="196"/>
        <v>0.13323434518084304</v>
      </c>
      <c r="R841" s="1538">
        <f t="shared" ca="1" si="196"/>
        <v>9.284933363768702E-2</v>
      </c>
      <c r="S841" s="1538">
        <f t="shared" ca="1" si="196"/>
        <v>3.7405851715085703E-2</v>
      </c>
      <c r="T841" s="1538">
        <f t="shared" ca="1" si="196"/>
        <v>2.3804043246532264E-2</v>
      </c>
      <c r="U841" s="1538">
        <f t="shared" ca="1" si="197"/>
        <v>0</v>
      </c>
      <c r="V841" s="1538">
        <f t="shared" ca="1" si="186"/>
        <v>4.7619047619047623E-2</v>
      </c>
      <c r="W841" s="1071">
        <f t="shared" ca="1" si="187"/>
        <v>0.2016782762183526</v>
      </c>
      <c r="X841" s="1071">
        <f t="shared" ca="1" si="188"/>
        <v>0.99999999999999978</v>
      </c>
      <c r="Y841" s="1071">
        <f t="shared" ca="1" si="189"/>
        <v>3.7405851715085703E-2</v>
      </c>
      <c r="Z841" s="1042">
        <f t="shared" ca="1" si="190"/>
        <v>0</v>
      </c>
    </row>
    <row r="842" spans="1:26" x14ac:dyDescent="0.3">
      <c r="A842" s="1036">
        <v>41730</v>
      </c>
      <c r="B842" s="1538">
        <f t="shared" ca="1" si="191"/>
        <v>0.44291607642456704</v>
      </c>
      <c r="C842" s="1538">
        <f t="shared" ca="1" si="191"/>
        <v>0.12169281452682668</v>
      </c>
      <c r="D842" s="1538">
        <f t="shared" ca="1" si="191"/>
        <v>0.19542504652178949</v>
      </c>
      <c r="E842" s="1538">
        <f t="shared" ca="1" si="191"/>
        <v>8.7248750126902919E-2</v>
      </c>
      <c r="F842" s="1538">
        <f t="shared" ca="1" si="191"/>
        <v>2.5283345397230102E-2</v>
      </c>
      <c r="G842" s="1538">
        <f t="shared" ca="1" si="191"/>
        <v>7.9814919383636315E-2</v>
      </c>
      <c r="H842" s="1538">
        <f t="shared" ca="1" si="191"/>
        <v>4.7619047619047623E-2</v>
      </c>
      <c r="I842" s="1071">
        <f t="shared" ca="1" si="192"/>
        <v>0.23996606252681696</v>
      </c>
      <c r="J842" s="1071">
        <f t="shared" ca="1" si="193"/>
        <v>1.0000000000000002</v>
      </c>
      <c r="K842" s="1071">
        <f t="shared" ca="1" si="194"/>
        <v>2.5283345397230102E-2</v>
      </c>
      <c r="L842" s="1071">
        <f t="shared" ca="1" si="195"/>
        <v>0</v>
      </c>
      <c r="M842" s="1374"/>
      <c r="N842" s="1374"/>
      <c r="O842" s="722">
        <v>41730</v>
      </c>
      <c r="P842" s="1538">
        <f t="shared" ca="1" si="196"/>
        <v>0.43515328743331239</v>
      </c>
      <c r="Q842" s="1538">
        <f t="shared" ca="1" si="196"/>
        <v>0.28771724215079791</v>
      </c>
      <c r="R842" s="1538">
        <f t="shared" ca="1" si="196"/>
        <v>8.9028212107070764E-2</v>
      </c>
      <c r="S842" s="1538">
        <f t="shared" ca="1" si="196"/>
        <v>7.8463512783763387E-2</v>
      </c>
      <c r="T842" s="1538">
        <f t="shared" ca="1" si="196"/>
        <v>6.2018697906007933E-2</v>
      </c>
      <c r="U842" s="1538">
        <f t="shared" ca="1" si="197"/>
        <v>0</v>
      </c>
      <c r="V842" s="1538">
        <f t="shared" ca="1" si="186"/>
        <v>4.761904761904763E-2</v>
      </c>
      <c r="W842" s="1071">
        <f t="shared" ca="1" si="187"/>
        <v>0.2771294704158897</v>
      </c>
      <c r="X842" s="1071">
        <f t="shared" ca="1" si="188"/>
        <v>1</v>
      </c>
      <c r="Y842" s="1071">
        <f t="shared" ca="1" si="189"/>
        <v>7.8463512783763387E-2</v>
      </c>
      <c r="Z842" s="1042">
        <f t="shared" ca="1" si="190"/>
        <v>0</v>
      </c>
    </row>
    <row r="843" spans="1:26" x14ac:dyDescent="0.3">
      <c r="A843" s="1036">
        <v>41760</v>
      </c>
      <c r="B843" s="1538">
        <f t="shared" ca="1" si="191"/>
        <v>0.5230308099302069</v>
      </c>
      <c r="C843" s="1538">
        <f t="shared" ca="1" si="191"/>
        <v>9.592676831578982E-2</v>
      </c>
      <c r="D843" s="1538">
        <f t="shared" ca="1" si="191"/>
        <v>0.15868226707952518</v>
      </c>
      <c r="E843" s="1538">
        <f t="shared" ca="1" si="191"/>
        <v>8.8677164219750235E-2</v>
      </c>
      <c r="F843" s="1538">
        <f t="shared" ca="1" si="191"/>
        <v>2.053445008177085E-2</v>
      </c>
      <c r="G843" s="1538">
        <f t="shared" ca="1" si="191"/>
        <v>6.5529492753909346E-2</v>
      </c>
      <c r="H843" s="1538">
        <f t="shared" ca="1" si="191"/>
        <v>4.7619047619047623E-2</v>
      </c>
      <c r="I843" s="1071">
        <f t="shared" ca="1" si="192"/>
        <v>0.22236015467447806</v>
      </c>
      <c r="J843" s="1071">
        <f t="shared" ca="1" si="193"/>
        <v>1</v>
      </c>
      <c r="K843" s="1071">
        <f t="shared" ca="1" si="194"/>
        <v>2.053445008177085E-2</v>
      </c>
      <c r="L843" s="1071">
        <f t="shared" ca="1" si="195"/>
        <v>0</v>
      </c>
      <c r="M843" s="1374"/>
      <c r="N843" s="1374"/>
      <c r="O843" s="722">
        <v>41760</v>
      </c>
      <c r="P843" s="1538">
        <f t="shared" ca="1" si="196"/>
        <v>0.36055871953648749</v>
      </c>
      <c r="Q843" s="1538">
        <f t="shared" ca="1" si="196"/>
        <v>0.35172736695775797</v>
      </c>
      <c r="R843" s="1538">
        <f t="shared" ca="1" si="196"/>
        <v>8.6931728063984207E-2</v>
      </c>
      <c r="S843" s="1538">
        <f t="shared" ca="1" si="196"/>
        <v>7.0177712461507905E-2</v>
      </c>
      <c r="T843" s="1538">
        <f t="shared" ca="1" si="196"/>
        <v>8.2985425361214796E-2</v>
      </c>
      <c r="U843" s="1538">
        <f t="shared" ca="1" si="197"/>
        <v>0</v>
      </c>
      <c r="V843" s="1538">
        <f t="shared" ca="1" si="186"/>
        <v>4.7619047619047623E-2</v>
      </c>
      <c r="W843" s="1071">
        <f t="shared" ca="1" si="187"/>
        <v>0.28771391350575454</v>
      </c>
      <c r="X843" s="1071">
        <f t="shared" ca="1" si="188"/>
        <v>1</v>
      </c>
      <c r="Y843" s="1071">
        <f t="shared" ca="1" si="189"/>
        <v>7.0177712461507905E-2</v>
      </c>
      <c r="Z843" s="1042">
        <f t="shared" ca="1" si="190"/>
        <v>0</v>
      </c>
    </row>
    <row r="844" spans="1:26" x14ac:dyDescent="0.3">
      <c r="A844" s="1036">
        <v>41791</v>
      </c>
      <c r="B844" s="1538">
        <f t="shared" ca="1" si="191"/>
        <v>0.38534460720842995</v>
      </c>
      <c r="C844" s="1538">
        <f t="shared" ca="1" si="191"/>
        <v>0.13641007057160967</v>
      </c>
      <c r="D844" s="1538">
        <f t="shared" ca="1" si="191"/>
        <v>0.23189373876053265</v>
      </c>
      <c r="E844" s="1538">
        <f t="shared" ca="1" si="191"/>
        <v>8.5559808782906657E-2</v>
      </c>
      <c r="F844" s="1538">
        <f t="shared" ca="1" si="191"/>
        <v>1.6466874034645092E-2</v>
      </c>
      <c r="G844" s="1538">
        <f t="shared" ca="1" si="191"/>
        <v>9.6705853022828456E-2</v>
      </c>
      <c r="H844" s="1538">
        <f t="shared" ca="1" si="191"/>
        <v>4.7619047619047623E-2</v>
      </c>
      <c r="I844" s="1071">
        <f t="shared" ca="1" si="192"/>
        <v>0.24635158345942781</v>
      </c>
      <c r="J844" s="1071">
        <f t="shared" ca="1" si="193"/>
        <v>1</v>
      </c>
      <c r="K844" s="1071">
        <f t="shared" ca="1" si="194"/>
        <v>1.6466874034645092E-2</v>
      </c>
      <c r="L844" s="1071">
        <f t="shared" ca="1" si="195"/>
        <v>0</v>
      </c>
      <c r="M844" s="1374"/>
      <c r="N844" s="1374"/>
      <c r="O844" s="722">
        <v>41791</v>
      </c>
      <c r="P844" s="1538">
        <f t="shared" ca="1" si="196"/>
        <v>0.22218106699119719</v>
      </c>
      <c r="Q844" s="1538">
        <f t="shared" ca="1" si="196"/>
        <v>0.46619123843745963</v>
      </c>
      <c r="R844" s="1538">
        <f t="shared" ca="1" si="196"/>
        <v>8.3368071267026403E-2</v>
      </c>
      <c r="S844" s="1538">
        <f t="shared" ca="1" si="196"/>
        <v>6.2015374742597905E-2</v>
      </c>
      <c r="T844" s="1538">
        <f t="shared" ca="1" si="196"/>
        <v>0.11862520094267144</v>
      </c>
      <c r="U844" s="1538">
        <f t="shared" ca="1" si="197"/>
        <v>0</v>
      </c>
      <c r="V844" s="1538">
        <f t="shared" ca="1" si="186"/>
        <v>4.761904761904763E-2</v>
      </c>
      <c r="W844" s="1071">
        <f t="shared" ca="1" si="187"/>
        <v>0.31162769457134337</v>
      </c>
      <c r="X844" s="1071">
        <f t="shared" ca="1" si="188"/>
        <v>1.0000000000000002</v>
      </c>
      <c r="Y844" s="1071">
        <f t="shared" ca="1" si="189"/>
        <v>6.2015374742597905E-2</v>
      </c>
      <c r="Z844" s="1042">
        <f t="shared" ca="1" si="190"/>
        <v>0</v>
      </c>
    </row>
    <row r="845" spans="1:26" x14ac:dyDescent="0.3">
      <c r="A845" s="1036">
        <v>41821</v>
      </c>
      <c r="B845" s="1538">
        <f t="shared" ca="1" si="191"/>
        <v>0.45689856701444614</v>
      </c>
      <c r="C845" s="1538">
        <f t="shared" ca="1" si="191"/>
        <v>0.11542856710542788</v>
      </c>
      <c r="D845" s="1538">
        <f t="shared" ca="1" si="191"/>
        <v>0.18957532984583006</v>
      </c>
      <c r="E845" s="1538">
        <f t="shared" ca="1" si="191"/>
        <v>8.7422157537513034E-2</v>
      </c>
      <c r="F845" s="1538">
        <f t="shared" ca="1" si="191"/>
        <v>2.4975641682478029E-2</v>
      </c>
      <c r="G845" s="1538">
        <f t="shared" ca="1" si="191"/>
        <v>7.8080689195257291E-2</v>
      </c>
      <c r="H845" s="1538">
        <f t="shared" ca="1" si="191"/>
        <v>4.7619047619047616E-2</v>
      </c>
      <c r="I845" s="1071">
        <f t="shared" ca="1" si="192"/>
        <v>0.23809753603429595</v>
      </c>
      <c r="J845" s="1071">
        <f t="shared" ca="1" si="193"/>
        <v>1</v>
      </c>
      <c r="K845" s="1071">
        <f t="shared" ca="1" si="194"/>
        <v>2.4975641682478029E-2</v>
      </c>
      <c r="L845" s="1071">
        <f t="shared" ca="1" si="195"/>
        <v>0</v>
      </c>
      <c r="M845" s="1374"/>
      <c r="N845" s="1374"/>
      <c r="O845" s="722">
        <v>41821</v>
      </c>
      <c r="P845" s="1538">
        <f t="shared" ca="1" si="196"/>
        <v>0.25043629245853982</v>
      </c>
      <c r="Q845" s="1538">
        <f t="shared" ca="1" si="196"/>
        <v>0.45857382096773269</v>
      </c>
      <c r="R845" s="1538">
        <f t="shared" ca="1" si="196"/>
        <v>8.2897431880018871E-2</v>
      </c>
      <c r="S845" s="1538">
        <f t="shared" ca="1" si="196"/>
        <v>3.7141388644104198E-2</v>
      </c>
      <c r="T845" s="1538">
        <f t="shared" ca="1" si="196"/>
        <v>0.12333201843055684</v>
      </c>
      <c r="U845" s="1538">
        <f t="shared" ca="1" si="197"/>
        <v>0</v>
      </c>
      <c r="V845" s="1538">
        <f t="shared" ca="1" si="186"/>
        <v>4.7619047619047623E-2</v>
      </c>
      <c r="W845" s="1071">
        <f t="shared" ca="1" si="187"/>
        <v>0.29098988657372754</v>
      </c>
      <c r="X845" s="1071">
        <f t="shared" ca="1" si="188"/>
        <v>1</v>
      </c>
      <c r="Y845" s="1071">
        <f t="shared" ca="1" si="189"/>
        <v>3.7141388644104198E-2</v>
      </c>
      <c r="Z845" s="1042">
        <f t="shared" ca="1" si="190"/>
        <v>0</v>
      </c>
    </row>
    <row r="846" spans="1:26" x14ac:dyDescent="0.3">
      <c r="A846" s="1036">
        <v>41852</v>
      </c>
      <c r="B846" s="1538">
        <f t="shared" ca="1" si="191"/>
        <v>0.48088251965394824</v>
      </c>
      <c r="C846" s="1538">
        <f t="shared" ca="1" si="191"/>
        <v>0.10831153636097759</v>
      </c>
      <c r="D846" s="1538">
        <f t="shared" ca="1" si="191"/>
        <v>0.17831066755593133</v>
      </c>
      <c r="E846" s="1538">
        <f t="shared" ca="1" si="191"/>
        <v>8.7879625546405465E-2</v>
      </c>
      <c r="F846" s="1538">
        <f t="shared" ca="1" si="191"/>
        <v>2.3491005919741063E-2</v>
      </c>
      <c r="G846" s="1538">
        <f t="shared" ca="1" si="191"/>
        <v>7.350559734394882E-2</v>
      </c>
      <c r="H846" s="1538">
        <f t="shared" ca="1" si="191"/>
        <v>4.7619047619047623E-2</v>
      </c>
      <c r="I846" s="1071">
        <f t="shared" ca="1" si="192"/>
        <v>0.23249527642914297</v>
      </c>
      <c r="J846" s="1071">
        <f t="shared" ca="1" si="193"/>
        <v>1.0000000000000002</v>
      </c>
      <c r="K846" s="1071">
        <f t="shared" ca="1" si="194"/>
        <v>2.3491005919741063E-2</v>
      </c>
      <c r="L846" s="1071">
        <f t="shared" ca="1" si="195"/>
        <v>0</v>
      </c>
      <c r="M846" s="1374"/>
      <c r="N846" s="1374"/>
      <c r="O846" s="722">
        <v>41852</v>
      </c>
      <c r="P846" s="1538">
        <f t="shared" ca="1" si="196"/>
        <v>0.22670611769595381</v>
      </c>
      <c r="Q846" s="1538">
        <f t="shared" ca="1" si="196"/>
        <v>0.47206668522406492</v>
      </c>
      <c r="R846" s="1538">
        <f t="shared" ca="1" si="196"/>
        <v>8.2753032064890902E-2</v>
      </c>
      <c r="S846" s="1538">
        <f t="shared" ca="1" si="196"/>
        <v>4.6078970841375515E-2</v>
      </c>
      <c r="T846" s="1538">
        <f t="shared" ca="1" si="196"/>
        <v>0.12477614655466726</v>
      </c>
      <c r="U846" s="1538">
        <f t="shared" ca="1" si="197"/>
        <v>0</v>
      </c>
      <c r="V846" s="1538">
        <f t="shared" ca="1" si="186"/>
        <v>4.7619047619047623E-2</v>
      </c>
      <c r="W846" s="1071">
        <f t="shared" ca="1" si="187"/>
        <v>0.3012271970799813</v>
      </c>
      <c r="X846" s="1071">
        <f t="shared" ca="1" si="188"/>
        <v>1</v>
      </c>
      <c r="Y846" s="1071">
        <f t="shared" ca="1" si="189"/>
        <v>4.6078970841375515E-2</v>
      </c>
      <c r="Z846" s="1042">
        <f t="shared" ca="1" si="190"/>
        <v>0</v>
      </c>
    </row>
    <row r="847" spans="1:26" x14ac:dyDescent="0.3">
      <c r="A847" s="1036">
        <v>41883</v>
      </c>
      <c r="B847" s="1538">
        <f t="shared" ca="1" si="191"/>
        <v>0.49148591791697954</v>
      </c>
      <c r="C847" s="1538">
        <f t="shared" ca="1" si="191"/>
        <v>0.10623108399411607</v>
      </c>
      <c r="D847" s="1538">
        <f t="shared" ca="1" si="191"/>
        <v>0.17282459115423321</v>
      </c>
      <c r="E847" s="1538">
        <f t="shared" ca="1" si="191"/>
        <v>8.8137031886102696E-2</v>
      </c>
      <c r="F847" s="1538">
        <f t="shared" ca="1" si="191"/>
        <v>2.2771025171419119E-2</v>
      </c>
      <c r="G847" s="1538">
        <f t="shared" ca="1" si="191"/>
        <v>7.093130225810193E-2</v>
      </c>
      <c r="H847" s="1538">
        <f t="shared" ca="1" si="191"/>
        <v>4.761904761904763E-2</v>
      </c>
      <c r="I847" s="1071">
        <f t="shared" ca="1" si="192"/>
        <v>0.22945840693467134</v>
      </c>
      <c r="J847" s="1071">
        <f t="shared" ca="1" si="193"/>
        <v>1.0000000000000002</v>
      </c>
      <c r="K847" s="1071">
        <f t="shared" ca="1" si="194"/>
        <v>2.2771025171419119E-2</v>
      </c>
      <c r="L847" s="1071">
        <f t="shared" ca="1" si="195"/>
        <v>0</v>
      </c>
      <c r="M847" s="1374"/>
      <c r="N847" s="1374"/>
      <c r="O847" s="722">
        <v>41883</v>
      </c>
      <c r="P847" s="1538">
        <f t="shared" ca="1" si="196"/>
        <v>0.31870609659386179</v>
      </c>
      <c r="Q847" s="1538">
        <f t="shared" ca="1" si="196"/>
        <v>0.38766169749581403</v>
      </c>
      <c r="R847" s="1538">
        <f t="shared" ca="1" si="196"/>
        <v>8.5753914044900861E-2</v>
      </c>
      <c r="S847" s="1538">
        <f t="shared" ca="1" si="196"/>
        <v>6.5494618555696507E-2</v>
      </c>
      <c r="T847" s="1538">
        <f t="shared" ca="1" si="196"/>
        <v>9.4764625690679338E-2</v>
      </c>
      <c r="U847" s="1538">
        <f t="shared" ca="1" si="197"/>
        <v>0</v>
      </c>
      <c r="V847" s="1538">
        <f t="shared" ref="V847:V878" ca="1" si="198">IF(VLOOKUP($O847, INDIRECT("'"&amp;$P$812&amp;"'!$A$5:$CA$100"),V$813, FALSE)=0,NA(),VLOOKUP($O847, INDIRECT("'"&amp;$P$812&amp;"'!$A$5:$CA$100"),V$813, FALSE)/VLOOKUP($O847, INDIRECT("'"&amp;$P$812&amp;"'!$A$5:$CA$100"),6, FALSE))</f>
        <v>4.7619047619047623E-2</v>
      </c>
      <c r="W847" s="1071">
        <f t="shared" ref="W847:W878" ca="1" si="199">SUM(R847:V847)</f>
        <v>0.29363220591032435</v>
      </c>
      <c r="X847" s="1071">
        <f t="shared" ref="X847:X878" ca="1" si="200">SUM(P847:V847)</f>
        <v>1</v>
      </c>
      <c r="Y847" s="1071">
        <f t="shared" ref="Y847:Y878" ca="1" si="201">IF($S847&gt;=0, $S847, 0)</f>
        <v>6.5494618555696507E-2</v>
      </c>
      <c r="Z847" s="1042">
        <f t="shared" ref="Z847:Z878" ca="1" si="202">IF($S847&lt;0, $S847, 0)</f>
        <v>0</v>
      </c>
    </row>
    <row r="848" spans="1:26" x14ac:dyDescent="0.3">
      <c r="A848" s="1036">
        <v>41913</v>
      </c>
      <c r="B848" s="1538">
        <f t="shared" ca="1" si="191"/>
        <v>0.47370388521544476</v>
      </c>
      <c r="C848" s="1538">
        <f t="shared" ca="1" si="191"/>
        <v>0.10909853171236099</v>
      </c>
      <c r="D848" s="1538">
        <f t="shared" ca="1" si="191"/>
        <v>0.17294306237427284</v>
      </c>
      <c r="E848" s="1538">
        <f t="shared" ca="1" si="191"/>
        <v>8.8201975935317381E-2</v>
      </c>
      <c r="F848" s="1538">
        <f t="shared" ca="1" si="191"/>
        <v>3.8151693833091409E-2</v>
      </c>
      <c r="G848" s="1538">
        <f t="shared" ref="C848:H863" ca="1" si="203">IF(VLOOKUP($A848, INDIRECT("'"&amp;$B$812&amp;"'!$A$5:$CA$100"),G$813, FALSE)=0,NA(),VLOOKUP($A848, INDIRECT("'"&amp;$B$812&amp;"'!$A$5:$CA$100"),G$813, FALSE)/VLOOKUP($A848, INDIRECT("'"&amp;$B$812&amp;"'!$A$5:$CA$100"),6, FALSE))</f>
        <v>7.0281803310465102E-2</v>
      </c>
      <c r="H848" s="1538">
        <f t="shared" ca="1" si="203"/>
        <v>4.7619047619047623E-2</v>
      </c>
      <c r="I848" s="1071">
        <f t="shared" ca="1" si="192"/>
        <v>0.2442545206979215</v>
      </c>
      <c r="J848" s="1071">
        <f t="shared" ca="1" si="193"/>
        <v>1</v>
      </c>
      <c r="K848" s="1071">
        <f t="shared" ca="1" si="194"/>
        <v>3.8151693833091409E-2</v>
      </c>
      <c r="L848" s="1071">
        <f t="shared" ca="1" si="195"/>
        <v>0</v>
      </c>
      <c r="M848" s="1374"/>
      <c r="N848" s="1374"/>
      <c r="O848" s="722">
        <v>41913</v>
      </c>
      <c r="P848" s="1538">
        <f t="shared" ca="1" si="196"/>
        <v>0.37876704157954844</v>
      </c>
      <c r="Q848" s="1538">
        <f t="shared" ca="1" si="196"/>
        <v>0.31916709192843062</v>
      </c>
      <c r="R848" s="1538">
        <f t="shared" ca="1" si="196"/>
        <v>8.7849324998084677E-2</v>
      </c>
      <c r="S848" s="1538">
        <f t="shared" ca="1" si="196"/>
        <v>9.2788863774511385E-2</v>
      </c>
      <c r="T848" s="1538">
        <f t="shared" ca="1" si="196"/>
        <v>7.3808630100377498E-2</v>
      </c>
      <c r="U848" s="1538">
        <f t="shared" ca="1" si="197"/>
        <v>0</v>
      </c>
      <c r="V848" s="1538">
        <f t="shared" ca="1" si="198"/>
        <v>4.7619047619047623E-2</v>
      </c>
      <c r="W848" s="1071">
        <f t="shared" ca="1" si="199"/>
        <v>0.30206586649202122</v>
      </c>
      <c r="X848" s="1071">
        <f t="shared" ca="1" si="200"/>
        <v>1.0000000000000002</v>
      </c>
      <c r="Y848" s="1071">
        <f t="shared" ca="1" si="201"/>
        <v>9.2788863774511385E-2</v>
      </c>
      <c r="Z848" s="1042">
        <f t="shared" ca="1" si="202"/>
        <v>0</v>
      </c>
    </row>
    <row r="849" spans="1:26" x14ac:dyDescent="0.3">
      <c r="A849" s="1036">
        <v>41944</v>
      </c>
      <c r="B849" s="1538">
        <f t="shared" ca="1" si="191"/>
        <v>0.43316358130320864</v>
      </c>
      <c r="C849" s="1538">
        <f t="shared" ca="1" si="203"/>
        <v>0.13337967951690211</v>
      </c>
      <c r="D849" s="1538">
        <f t="shared" ca="1" si="203"/>
        <v>0.18410350583832891</v>
      </c>
      <c r="E849" s="1538">
        <f t="shared" ca="1" si="203"/>
        <v>8.8179121293004828E-2</v>
      </c>
      <c r="F849" s="1538">
        <f t="shared" ca="1" si="203"/>
        <v>4.3044694124682106E-2</v>
      </c>
      <c r="G849" s="1538">
        <f t="shared" ca="1" si="203"/>
        <v>7.0510370304825806E-2</v>
      </c>
      <c r="H849" s="1538">
        <f t="shared" ca="1" si="203"/>
        <v>4.7619047619047616E-2</v>
      </c>
      <c r="I849" s="1071">
        <f t="shared" ca="1" si="192"/>
        <v>0.24935323334156034</v>
      </c>
      <c r="J849" s="1071">
        <f t="shared" ca="1" si="193"/>
        <v>1</v>
      </c>
      <c r="K849" s="1071">
        <f t="shared" ca="1" si="194"/>
        <v>4.3044694124682106E-2</v>
      </c>
      <c r="L849" s="1071">
        <f t="shared" ca="1" si="195"/>
        <v>0</v>
      </c>
      <c r="M849" s="1374"/>
      <c r="N849" s="1374"/>
      <c r="O849" s="722">
        <v>41944</v>
      </c>
      <c r="P849" s="1538">
        <f t="shared" ca="1" si="196"/>
        <v>0.48207902613422948</v>
      </c>
      <c r="Q849" s="1538">
        <f t="shared" ca="1" si="196"/>
        <v>0.27925719730978399</v>
      </c>
      <c r="R849" s="1538">
        <f t="shared" ca="1" si="196"/>
        <v>8.9867306099021549E-2</v>
      </c>
      <c r="S849" s="1538">
        <f t="shared" ca="1" si="196"/>
        <v>4.7550420111536089E-2</v>
      </c>
      <c r="T849" s="1538">
        <f t="shared" ca="1" si="196"/>
        <v>5.362700272638142E-2</v>
      </c>
      <c r="U849" s="1538">
        <f t="shared" ca="1" si="197"/>
        <v>0</v>
      </c>
      <c r="V849" s="1538">
        <f t="shared" ca="1" si="198"/>
        <v>4.7619047619047623E-2</v>
      </c>
      <c r="W849" s="1071">
        <f t="shared" ca="1" si="199"/>
        <v>0.2386637765559867</v>
      </c>
      <c r="X849" s="1071">
        <f t="shared" ca="1" si="200"/>
        <v>1.0000000000000002</v>
      </c>
      <c r="Y849" s="1071">
        <f t="shared" ca="1" si="201"/>
        <v>4.7550420111536089E-2</v>
      </c>
      <c r="Z849" s="1042">
        <f t="shared" ca="1" si="202"/>
        <v>0</v>
      </c>
    </row>
    <row r="850" spans="1:26" x14ac:dyDescent="0.3">
      <c r="A850" s="1036">
        <v>41974</v>
      </c>
      <c r="B850" s="1538">
        <f t="shared" ca="1" si="191"/>
        <v>0.46375918193750526</v>
      </c>
      <c r="C850" s="1538">
        <f t="shared" ca="1" si="203"/>
        <v>0.12367631687333404</v>
      </c>
      <c r="D850" s="1538">
        <f t="shared" ca="1" si="203"/>
        <v>0.17086230155340615</v>
      </c>
      <c r="E850" s="1538">
        <f t="shared" ca="1" si="203"/>
        <v>8.8683448275090782E-2</v>
      </c>
      <c r="F850" s="1538">
        <f t="shared" ca="1" si="203"/>
        <v>3.9933057197327648E-2</v>
      </c>
      <c r="G850" s="1538">
        <f t="shared" ca="1" si="203"/>
        <v>6.546664654428859E-2</v>
      </c>
      <c r="H850" s="1538">
        <f t="shared" ca="1" si="203"/>
        <v>4.7619047619047623E-2</v>
      </c>
      <c r="I850" s="1071">
        <f t="shared" ca="1" si="192"/>
        <v>0.24170219963575462</v>
      </c>
      <c r="J850" s="1071">
        <f t="shared" ca="1" si="193"/>
        <v>1.0000000000000002</v>
      </c>
      <c r="K850" s="1071">
        <f t="shared" ca="1" si="194"/>
        <v>3.9933057197327648E-2</v>
      </c>
      <c r="L850" s="1071">
        <f t="shared" ca="1" si="195"/>
        <v>0</v>
      </c>
      <c r="M850" s="1374"/>
      <c r="N850" s="1374"/>
      <c r="O850" s="722">
        <v>41974</v>
      </c>
      <c r="P850" s="1538">
        <f t="shared" ca="1" si="196"/>
        <v>0.51043447999424518</v>
      </c>
      <c r="Q850" s="1538">
        <f t="shared" ca="1" si="196"/>
        <v>0.25758375172736864</v>
      </c>
      <c r="R850" s="1538">
        <f t="shared" ca="1" si="196"/>
        <v>9.0311500838479303E-2</v>
      </c>
      <c r="S850" s="1538">
        <f t="shared" ca="1" si="196"/>
        <v>4.486656430430247E-2</v>
      </c>
      <c r="T850" s="1538">
        <f t="shared" ca="1" si="196"/>
        <v>4.9184655516556826E-2</v>
      </c>
      <c r="U850" s="1538">
        <f t="shared" ca="1" si="197"/>
        <v>0</v>
      </c>
      <c r="V850" s="1538">
        <f t="shared" ca="1" si="198"/>
        <v>4.761904761904763E-2</v>
      </c>
      <c r="W850" s="1071">
        <f t="shared" ca="1" si="199"/>
        <v>0.23198176827838624</v>
      </c>
      <c r="X850" s="1071">
        <f t="shared" ca="1" si="200"/>
        <v>1</v>
      </c>
      <c r="Y850" s="1071">
        <f t="shared" ca="1" si="201"/>
        <v>4.486656430430247E-2</v>
      </c>
      <c r="Z850" s="1042">
        <f t="shared" ca="1" si="202"/>
        <v>0</v>
      </c>
    </row>
    <row r="851" spans="1:26" x14ac:dyDescent="0.3">
      <c r="A851" s="1036">
        <v>42005</v>
      </c>
      <c r="B851" s="1538">
        <f t="shared" ca="1" si="191"/>
        <v>0.44007559268959273</v>
      </c>
      <c r="C851" s="1538">
        <f t="shared" ca="1" si="203"/>
        <v>0.11560834764762906</v>
      </c>
      <c r="D851" s="1538">
        <f t="shared" ca="1" si="203"/>
        <v>0.16993055213477476</v>
      </c>
      <c r="E851" s="1538">
        <f t="shared" ca="1" si="203"/>
        <v>8.8956481257996253E-2</v>
      </c>
      <c r="F851" s="1538">
        <f t="shared" ca="1" si="203"/>
        <v>7.507390768998598E-2</v>
      </c>
      <c r="G851" s="1538">
        <f t="shared" ca="1" si="203"/>
        <v>6.2736070960973597E-2</v>
      </c>
      <c r="H851" s="1538">
        <f t="shared" ca="1" si="203"/>
        <v>4.7619047619047623E-2</v>
      </c>
      <c r="I851" s="1071">
        <f t="shared" ca="1" si="192"/>
        <v>0.27438550752800345</v>
      </c>
      <c r="J851" s="1071">
        <f t="shared" ca="1" si="193"/>
        <v>1</v>
      </c>
      <c r="K851" s="1071">
        <f t="shared" ca="1" si="194"/>
        <v>7.507390768998598E-2</v>
      </c>
      <c r="L851" s="1071">
        <f t="shared" ca="1" si="195"/>
        <v>0</v>
      </c>
      <c r="M851" s="1374"/>
      <c r="N851" s="1374"/>
      <c r="O851" s="722">
        <v>42005</v>
      </c>
      <c r="P851" s="1538">
        <f t="shared" ca="1" si="196"/>
        <v>0.41039652249244779</v>
      </c>
      <c r="Q851" s="1538">
        <f t="shared" ca="1" si="196"/>
        <v>0.29777986249878219</v>
      </c>
      <c r="R851" s="1538">
        <f t="shared" ca="1" si="196"/>
        <v>8.9864304576154172E-2</v>
      </c>
      <c r="S851" s="1538">
        <f t="shared" ca="1" si="196"/>
        <v>0.10068324215687226</v>
      </c>
      <c r="T851" s="1538">
        <f t="shared" ca="1" si="196"/>
        <v>5.3657020656695857E-2</v>
      </c>
      <c r="U851" s="1538">
        <f t="shared" ca="1" si="197"/>
        <v>0</v>
      </c>
      <c r="V851" s="1538">
        <f t="shared" ca="1" si="198"/>
        <v>4.7619047619047623E-2</v>
      </c>
      <c r="W851" s="1071">
        <f t="shared" ca="1" si="199"/>
        <v>0.29182361500876991</v>
      </c>
      <c r="X851" s="1071">
        <f t="shared" ca="1" si="200"/>
        <v>0.99999999999999989</v>
      </c>
      <c r="Y851" s="1071">
        <f t="shared" ca="1" si="201"/>
        <v>0.10068324215687226</v>
      </c>
      <c r="Z851" s="1042">
        <f t="shared" ca="1" si="202"/>
        <v>0</v>
      </c>
    </row>
    <row r="852" spans="1:26" x14ac:dyDescent="0.3">
      <c r="A852" s="1036">
        <v>42036</v>
      </c>
      <c r="B852" s="1538">
        <f t="shared" ca="1" si="191"/>
        <v>0.38946957090057827</v>
      </c>
      <c r="C852" s="1538">
        <f t="shared" ca="1" si="203"/>
        <v>0.12783092899438361</v>
      </c>
      <c r="D852" s="1538">
        <f t="shared" ca="1" si="203"/>
        <v>0.1918799961364572</v>
      </c>
      <c r="E852" s="1538">
        <f t="shared" ca="1" si="203"/>
        <v>8.8079843488884743E-2</v>
      </c>
      <c r="F852" s="1538">
        <f t="shared" ca="1" si="203"/>
        <v>8.3617375155662213E-2</v>
      </c>
      <c r="G852" s="1538">
        <f t="shared" ca="1" si="203"/>
        <v>7.1503237704986317E-2</v>
      </c>
      <c r="H852" s="1538">
        <f t="shared" ca="1" si="203"/>
        <v>4.7619047619047623E-2</v>
      </c>
      <c r="I852" s="1071">
        <f t="shared" ca="1" si="192"/>
        <v>0.29081950396858092</v>
      </c>
      <c r="J852" s="1071">
        <f t="shared" ca="1" si="193"/>
        <v>1</v>
      </c>
      <c r="K852" s="1071">
        <f t="shared" ca="1" si="194"/>
        <v>8.3617375155662213E-2</v>
      </c>
      <c r="L852" s="1071">
        <f t="shared" ca="1" si="195"/>
        <v>0</v>
      </c>
      <c r="M852" s="1374"/>
      <c r="N852" s="1374"/>
      <c r="O852" s="722">
        <v>42036</v>
      </c>
      <c r="P852" s="1538">
        <f t="shared" ca="1" si="196"/>
        <v>0.37828337592404515</v>
      </c>
      <c r="Q852" s="1538">
        <f t="shared" ca="1" si="196"/>
        <v>0.3176205361090047</v>
      </c>
      <c r="R852" s="1538">
        <f t="shared" ca="1" si="196"/>
        <v>8.9594368528579271E-2</v>
      </c>
      <c r="S852" s="1538">
        <f t="shared" ca="1" si="196"/>
        <v>0.11052604772013896</v>
      </c>
      <c r="T852" s="1538">
        <f t="shared" ca="1" si="196"/>
        <v>5.6356624099184342E-2</v>
      </c>
      <c r="U852" s="1538">
        <f t="shared" ca="1" si="197"/>
        <v>0</v>
      </c>
      <c r="V852" s="1538">
        <f t="shared" ca="1" si="198"/>
        <v>4.7619047619047623E-2</v>
      </c>
      <c r="W852" s="1071">
        <f t="shared" ca="1" si="199"/>
        <v>0.3040960879669502</v>
      </c>
      <c r="X852" s="1071">
        <f t="shared" ca="1" si="200"/>
        <v>1</v>
      </c>
      <c r="Y852" s="1071">
        <f t="shared" ca="1" si="201"/>
        <v>0.11052604772013896</v>
      </c>
      <c r="Z852" s="1042">
        <f t="shared" ca="1" si="202"/>
        <v>0</v>
      </c>
    </row>
    <row r="853" spans="1:26" x14ac:dyDescent="0.3">
      <c r="A853" s="1036">
        <v>42064</v>
      </c>
      <c r="B853" s="1538">
        <f t="shared" ca="1" si="191"/>
        <v>0.34057065692738764</v>
      </c>
      <c r="C853" s="1538">
        <f t="shared" ca="1" si="203"/>
        <v>0.13479190450174361</v>
      </c>
      <c r="D853" s="1538">
        <f t="shared" ca="1" si="203"/>
        <v>0.21673760037591816</v>
      </c>
      <c r="E853" s="1538">
        <f t="shared" ca="1" si="203"/>
        <v>8.6918557094843515E-2</v>
      </c>
      <c r="F853" s="1538">
        <f t="shared" ca="1" si="203"/>
        <v>9.0245086573380068E-2</v>
      </c>
      <c r="G853" s="1538">
        <f t="shared" ca="1" si="203"/>
        <v>8.3117146907679545E-2</v>
      </c>
      <c r="H853" s="1538">
        <f t="shared" ca="1" si="203"/>
        <v>4.7619047619047623E-2</v>
      </c>
      <c r="I853" s="1071">
        <f t="shared" ca="1" si="192"/>
        <v>0.30789983819495076</v>
      </c>
      <c r="J853" s="1071">
        <f t="shared" ca="1" si="193"/>
        <v>1.0000000000000002</v>
      </c>
      <c r="K853" s="1071">
        <f t="shared" ca="1" si="194"/>
        <v>9.0245086573380068E-2</v>
      </c>
      <c r="L853" s="1071">
        <f t="shared" ca="1" si="195"/>
        <v>0</v>
      </c>
      <c r="M853" s="1374"/>
      <c r="N853" s="1374"/>
      <c r="O853" s="722">
        <v>42064</v>
      </c>
      <c r="P853" s="1538">
        <f t="shared" ca="1" si="196"/>
        <v>0.36015183051326383</v>
      </c>
      <c r="Q853" s="1538">
        <f t="shared" ca="1" si="196"/>
        <v>0.34537082191205148</v>
      </c>
      <c r="R853" s="1538">
        <f t="shared" ca="1" si="196"/>
        <v>8.8326158218822046E-2</v>
      </c>
      <c r="S853" s="1538">
        <f t="shared" ca="1" si="196"/>
        <v>8.9492273036629197E-2</v>
      </c>
      <c r="T853" s="1538">
        <f t="shared" ca="1" si="196"/>
        <v>6.9039868700185761E-2</v>
      </c>
      <c r="U853" s="1538">
        <f t="shared" ca="1" si="197"/>
        <v>0</v>
      </c>
      <c r="V853" s="1538">
        <f t="shared" ca="1" si="198"/>
        <v>4.7619047619047623E-2</v>
      </c>
      <c r="W853" s="1071">
        <f t="shared" ca="1" si="199"/>
        <v>0.29447734757468463</v>
      </c>
      <c r="X853" s="1071">
        <f t="shared" ca="1" si="200"/>
        <v>1</v>
      </c>
      <c r="Y853" s="1071">
        <f t="shared" ca="1" si="201"/>
        <v>8.9492273036629197E-2</v>
      </c>
      <c r="Z853" s="1042">
        <f t="shared" ca="1" si="202"/>
        <v>0</v>
      </c>
    </row>
    <row r="854" spans="1:26" x14ac:dyDescent="0.3">
      <c r="A854" s="1036">
        <v>42095</v>
      </c>
      <c r="B854" s="1538">
        <f t="shared" ca="1" si="191"/>
        <v>0.36169522040551122</v>
      </c>
      <c r="C854" s="1538">
        <f t="shared" ca="1" si="203"/>
        <v>0.1376522569905255</v>
      </c>
      <c r="D854" s="1538">
        <f t="shared" ca="1" si="203"/>
        <v>0.23267380993762582</v>
      </c>
      <c r="E854" s="1538">
        <f t="shared" ca="1" si="203"/>
        <v>8.6134819200881146E-2</v>
      </c>
      <c r="F854" s="1538">
        <f t="shared" ca="1" si="203"/>
        <v>4.3269614564457416E-2</v>
      </c>
      <c r="G854" s="1538">
        <f t="shared" ca="1" si="203"/>
        <v>9.0955231281951085E-2</v>
      </c>
      <c r="H854" s="1538">
        <f t="shared" ca="1" si="203"/>
        <v>4.7619047619047616E-2</v>
      </c>
      <c r="I854" s="1071">
        <f t="shared" ca="1" si="192"/>
        <v>0.26797871266633727</v>
      </c>
      <c r="J854" s="1071">
        <f t="shared" ca="1" si="193"/>
        <v>0.99999999999999978</v>
      </c>
      <c r="K854" s="1071">
        <f t="shared" ca="1" si="194"/>
        <v>4.3269614564457416E-2</v>
      </c>
      <c r="L854" s="1071">
        <f t="shared" ca="1" si="195"/>
        <v>0</v>
      </c>
      <c r="M854" s="1374"/>
      <c r="N854" s="1374"/>
      <c r="O854" s="722">
        <v>42095</v>
      </c>
      <c r="P854" s="1538">
        <f t="shared" ca="1" si="196"/>
        <v>0.33097462539363959</v>
      </c>
      <c r="Q854" s="1538">
        <f t="shared" ca="1" si="196"/>
        <v>0.3719429933960165</v>
      </c>
      <c r="R854" s="1538">
        <f t="shared" ca="1" si="196"/>
        <v>8.7442134113169867E-2</v>
      </c>
      <c r="S854" s="1538">
        <f t="shared" ca="1" si="196"/>
        <v>8.4140294020153647E-2</v>
      </c>
      <c r="T854" s="1538">
        <f t="shared" ca="1" si="196"/>
        <v>7.7880905457972827E-2</v>
      </c>
      <c r="U854" s="1538">
        <f t="shared" ca="1" si="197"/>
        <v>0</v>
      </c>
      <c r="V854" s="1538">
        <f t="shared" ca="1" si="198"/>
        <v>4.7619047619047623E-2</v>
      </c>
      <c r="W854" s="1071">
        <f t="shared" ca="1" si="199"/>
        <v>0.29708238121034397</v>
      </c>
      <c r="X854" s="1071">
        <f t="shared" ca="1" si="200"/>
        <v>1</v>
      </c>
      <c r="Y854" s="1071">
        <f t="shared" ca="1" si="201"/>
        <v>8.4140294020153647E-2</v>
      </c>
      <c r="Z854" s="1042">
        <f t="shared" ca="1" si="202"/>
        <v>0</v>
      </c>
    </row>
    <row r="855" spans="1:26" x14ac:dyDescent="0.3">
      <c r="A855" s="1036">
        <v>42125</v>
      </c>
      <c r="B855" s="1538">
        <f t="shared" ca="1" si="191"/>
        <v>0.3311600258441838</v>
      </c>
      <c r="C855" s="1538">
        <f t="shared" ca="1" si="203"/>
        <v>0.14274189624408357</v>
      </c>
      <c r="D855" s="1538">
        <f t="shared" ca="1" si="203"/>
        <v>0.24951843933842757</v>
      </c>
      <c r="E855" s="1538">
        <f t="shared" ca="1" si="203"/>
        <v>8.535700270671702E-2</v>
      </c>
      <c r="F855" s="1538">
        <f t="shared" ca="1" si="203"/>
        <v>4.4869491919092792E-2</v>
      </c>
      <c r="G855" s="1538">
        <f t="shared" ca="1" si="203"/>
        <v>9.8734096328447735E-2</v>
      </c>
      <c r="H855" s="1538">
        <f t="shared" ca="1" si="203"/>
        <v>4.7619047619047623E-2</v>
      </c>
      <c r="I855" s="1071">
        <f t="shared" ca="1" si="192"/>
        <v>0.2765796385733052</v>
      </c>
      <c r="J855" s="1071">
        <f t="shared" ca="1" si="193"/>
        <v>1.0000000000000002</v>
      </c>
      <c r="K855" s="1071">
        <f t="shared" ca="1" si="194"/>
        <v>4.4869491919092792E-2</v>
      </c>
      <c r="L855" s="1071">
        <f t="shared" ca="1" si="195"/>
        <v>0</v>
      </c>
      <c r="M855" s="1374"/>
      <c r="N855" s="1374"/>
      <c r="O855" s="722">
        <v>42125</v>
      </c>
      <c r="P855" s="1538">
        <f t="shared" ca="1" si="196"/>
        <v>0.2237861158999048</v>
      </c>
      <c r="Q855" s="1538">
        <f t="shared" ca="1" si="196"/>
        <v>0.46381367503732607</v>
      </c>
      <c r="R855" s="1538">
        <f t="shared" ref="Q855:T870" ca="1" si="204">IF(VLOOKUP($O855, INDIRECT("'"&amp;$P$812&amp;"'!$A$5:$CA$100"),R$813, FALSE)=0,NA(),VLOOKUP($O855, INDIRECT("'"&amp;$P$812&amp;"'!$A$5:$CA$100"),R$813, FALSE)/VLOOKUP($O855, INDIRECT("'"&amp;$P$812&amp;"'!$A$5:$CA$100"),6, FALSE))</f>
        <v>8.4631504468520066E-2</v>
      </c>
      <c r="S855" s="1538">
        <f t="shared" ca="1" si="204"/>
        <v>7.4159925251068584E-2</v>
      </c>
      <c r="T855" s="1538">
        <f t="shared" ca="1" si="204"/>
        <v>0.10598973172413288</v>
      </c>
      <c r="U855" s="1538">
        <f t="shared" ca="1" si="197"/>
        <v>0</v>
      </c>
      <c r="V855" s="1538">
        <f t="shared" ca="1" si="198"/>
        <v>4.7619047619047623E-2</v>
      </c>
      <c r="W855" s="1071">
        <f t="shared" ca="1" si="199"/>
        <v>0.31240020906276916</v>
      </c>
      <c r="X855" s="1071">
        <f t="shared" ca="1" si="200"/>
        <v>1</v>
      </c>
      <c r="Y855" s="1071">
        <f t="shared" ca="1" si="201"/>
        <v>7.4159925251068584E-2</v>
      </c>
      <c r="Z855" s="1042">
        <f t="shared" ca="1" si="202"/>
        <v>0</v>
      </c>
    </row>
    <row r="856" spans="1:26" x14ac:dyDescent="0.3">
      <c r="A856" s="1036">
        <v>42156</v>
      </c>
      <c r="B856" s="1538">
        <f t="shared" ca="1" si="191"/>
        <v>0.30148478474346829</v>
      </c>
      <c r="C856" s="1538">
        <f t="shared" ca="1" si="203"/>
        <v>0.15438324472379825</v>
      </c>
      <c r="D856" s="1538">
        <f t="shared" ca="1" si="203"/>
        <v>0.26094751119053755</v>
      </c>
      <c r="E856" s="1538">
        <f t="shared" ca="1" si="203"/>
        <v>8.502975999638708E-2</v>
      </c>
      <c r="F856" s="1538">
        <f t="shared" ca="1" si="203"/>
        <v>4.8528833747120047E-2</v>
      </c>
      <c r="G856" s="1538">
        <f t="shared" ca="1" si="203"/>
        <v>0.10200681797964112</v>
      </c>
      <c r="H856" s="1538">
        <f t="shared" ca="1" si="203"/>
        <v>4.7619047619047616E-2</v>
      </c>
      <c r="I856" s="1071">
        <f t="shared" ca="1" si="192"/>
        <v>0.28318445934219583</v>
      </c>
      <c r="J856" s="1071">
        <f t="shared" ca="1" si="193"/>
        <v>1</v>
      </c>
      <c r="K856" s="1071">
        <f t="shared" ca="1" si="194"/>
        <v>4.8528833747120047E-2</v>
      </c>
      <c r="L856" s="1071">
        <f t="shared" ca="1" si="195"/>
        <v>0</v>
      </c>
      <c r="M856" s="1374"/>
      <c r="N856" s="1374"/>
      <c r="O856" s="722">
        <v>42156</v>
      </c>
      <c r="P856" s="1538">
        <f t="shared" ca="1" si="196"/>
        <v>0.2294174282582469</v>
      </c>
      <c r="Q856" s="1538">
        <f t="shared" ca="1" si="204"/>
        <v>0.47645733732911782</v>
      </c>
      <c r="R856" s="1538">
        <f t="shared" ca="1" si="204"/>
        <v>8.345084681341608E-2</v>
      </c>
      <c r="S856" s="1538">
        <f t="shared" ca="1" si="204"/>
        <v>4.5257969006839399E-2</v>
      </c>
      <c r="T856" s="1538">
        <f t="shared" ca="1" si="204"/>
        <v>0.11779737097333229</v>
      </c>
      <c r="U856" s="1538">
        <f t="shared" ca="1" si="197"/>
        <v>0</v>
      </c>
      <c r="V856" s="1538">
        <f t="shared" ca="1" si="198"/>
        <v>4.7619047619047623E-2</v>
      </c>
      <c r="W856" s="1071">
        <f t="shared" ca="1" si="199"/>
        <v>0.29412523441263538</v>
      </c>
      <c r="X856" s="1071">
        <f t="shared" ca="1" si="200"/>
        <v>1.0000000000000002</v>
      </c>
      <c r="Y856" s="1071">
        <f t="shared" ca="1" si="201"/>
        <v>4.5257969006839399E-2</v>
      </c>
      <c r="Z856" s="1042">
        <f t="shared" ca="1" si="202"/>
        <v>0</v>
      </c>
    </row>
    <row r="857" spans="1:26" x14ac:dyDescent="0.3">
      <c r="A857" s="1036">
        <v>42186</v>
      </c>
      <c r="B857" s="1538">
        <f t="shared" ca="1" si="191"/>
        <v>0.46564246884869881</v>
      </c>
      <c r="C857" s="1538">
        <f t="shared" ca="1" si="203"/>
        <v>0.11030671094452561</v>
      </c>
      <c r="D857" s="1538">
        <f t="shared" ca="1" si="203"/>
        <v>0.18818659578531377</v>
      </c>
      <c r="E857" s="1538">
        <f t="shared" ca="1" si="203"/>
        <v>8.7848590791116316E-2</v>
      </c>
      <c r="F857" s="1538">
        <f t="shared" ca="1" si="203"/>
        <v>2.6580613180384582E-2</v>
      </c>
      <c r="G857" s="1538">
        <f t="shared" ca="1" si="203"/>
        <v>7.3815972830913165E-2</v>
      </c>
      <c r="H857" s="1538">
        <f t="shared" ca="1" si="203"/>
        <v>4.7619047619047616E-2</v>
      </c>
      <c r="I857" s="1071">
        <f t="shared" ca="1" si="192"/>
        <v>0.23586422442146168</v>
      </c>
      <c r="J857" s="1071">
        <f t="shared" ca="1" si="193"/>
        <v>1</v>
      </c>
      <c r="K857" s="1071">
        <f t="shared" ca="1" si="194"/>
        <v>2.6580613180384582E-2</v>
      </c>
      <c r="L857" s="1071">
        <f t="shared" ca="1" si="195"/>
        <v>0</v>
      </c>
      <c r="M857" s="1374"/>
      <c r="N857" s="1374"/>
      <c r="O857" s="722">
        <v>42186</v>
      </c>
      <c r="P857" s="1538">
        <f t="shared" ca="1" si="196"/>
        <v>0.11861534804327489</v>
      </c>
      <c r="Q857" s="1538">
        <f t="shared" ca="1" si="204"/>
        <v>0.56780438361932672</v>
      </c>
      <c r="R857" s="1538">
        <f t="shared" ca="1" si="204"/>
        <v>8.0820766127562477E-2</v>
      </c>
      <c r="S857" s="1538">
        <f t="shared" ca="1" si="204"/>
        <v>4.1039909449571907E-2</v>
      </c>
      <c r="T857" s="1538">
        <f t="shared" ca="1" si="204"/>
        <v>0.14410054514121645</v>
      </c>
      <c r="U857" s="1538">
        <f t="shared" ca="1" si="197"/>
        <v>0</v>
      </c>
      <c r="V857" s="1538">
        <f t="shared" ca="1" si="198"/>
        <v>4.7619047619047623E-2</v>
      </c>
      <c r="W857" s="1071">
        <f t="shared" ca="1" si="199"/>
        <v>0.31358026833739844</v>
      </c>
      <c r="X857" s="1071">
        <f t="shared" ca="1" si="200"/>
        <v>1.0000000000000002</v>
      </c>
      <c r="Y857" s="1071">
        <f t="shared" ca="1" si="201"/>
        <v>4.1039909449571907E-2</v>
      </c>
      <c r="Z857" s="1042">
        <f t="shared" ca="1" si="202"/>
        <v>0</v>
      </c>
    </row>
    <row r="858" spans="1:26" x14ac:dyDescent="0.3">
      <c r="A858" s="1036">
        <v>42217</v>
      </c>
      <c r="B858" s="1538">
        <f t="shared" ca="1" si="191"/>
        <v>0.45778079262304788</v>
      </c>
      <c r="C858" s="1538">
        <f t="shared" ca="1" si="203"/>
        <v>0.11283925489896633</v>
      </c>
      <c r="D858" s="1538">
        <f t="shared" ca="1" si="203"/>
        <v>0.19174683361009093</v>
      </c>
      <c r="E858" s="1538">
        <f t="shared" ca="1" si="203"/>
        <v>8.7719867307649385E-2</v>
      </c>
      <c r="F858" s="1538">
        <f t="shared" ca="1" si="203"/>
        <v>2.71908804128938E-2</v>
      </c>
      <c r="G858" s="1538">
        <f t="shared" ca="1" si="203"/>
        <v>7.5103323528304206E-2</v>
      </c>
      <c r="H858" s="1538">
        <f t="shared" ca="1" si="203"/>
        <v>4.7619047619047616E-2</v>
      </c>
      <c r="I858" s="1071">
        <f t="shared" ca="1" si="192"/>
        <v>0.23763311886789501</v>
      </c>
      <c r="J858" s="1071">
        <f t="shared" ca="1" si="193"/>
        <v>1</v>
      </c>
      <c r="K858" s="1071">
        <f t="shared" ca="1" si="194"/>
        <v>2.71908804128938E-2</v>
      </c>
      <c r="L858" s="1071">
        <f t="shared" ca="1" si="195"/>
        <v>0</v>
      </c>
      <c r="M858" s="1374"/>
      <c r="N858" s="1374"/>
      <c r="O858" s="722">
        <v>42217</v>
      </c>
      <c r="P858" s="1538">
        <f t="shared" ca="1" si="196"/>
        <v>0.1499484765716716</v>
      </c>
      <c r="Q858" s="1538">
        <f t="shared" ca="1" si="204"/>
        <v>0.54017524596781152</v>
      </c>
      <c r="R858" s="1538">
        <f t="shared" ca="1" si="204"/>
        <v>8.1701189541976735E-2</v>
      </c>
      <c r="S858" s="1538">
        <f t="shared" ca="1" si="204"/>
        <v>4.5260521762737684E-2</v>
      </c>
      <c r="T858" s="1538">
        <f t="shared" ca="1" si="204"/>
        <v>0.1352955185367547</v>
      </c>
      <c r="U858" s="1538">
        <f t="shared" ca="1" si="197"/>
        <v>0</v>
      </c>
      <c r="V858" s="1538">
        <f t="shared" ca="1" si="198"/>
        <v>4.7619047619047616E-2</v>
      </c>
      <c r="W858" s="1071">
        <f t="shared" ca="1" si="199"/>
        <v>0.30987627746051677</v>
      </c>
      <c r="X858" s="1071">
        <f t="shared" ca="1" si="200"/>
        <v>0.99999999999999978</v>
      </c>
      <c r="Y858" s="1071">
        <f t="shared" ca="1" si="201"/>
        <v>4.5260521762737684E-2</v>
      </c>
      <c r="Z858" s="1042">
        <f t="shared" ca="1" si="202"/>
        <v>0</v>
      </c>
    </row>
    <row r="859" spans="1:26" x14ac:dyDescent="0.3">
      <c r="A859" s="1036">
        <v>42248</v>
      </c>
      <c r="B859" s="1538">
        <f t="shared" ca="1" si="191"/>
        <v>0.37570803783141127</v>
      </c>
      <c r="C859" s="1538">
        <f t="shared" ca="1" si="203"/>
        <v>0.13523960681177652</v>
      </c>
      <c r="D859" s="1538">
        <f t="shared" ca="1" si="203"/>
        <v>0.23349067322569733</v>
      </c>
      <c r="E859" s="1538">
        <f t="shared" ca="1" si="203"/>
        <v>8.6031975767767929E-2</v>
      </c>
      <c r="F859" s="1538">
        <f t="shared" ca="1" si="203"/>
        <v>2.9926900562869341E-2</v>
      </c>
      <c r="G859" s="1538">
        <f t="shared" ca="1" si="203"/>
        <v>9.1983758181429912E-2</v>
      </c>
      <c r="H859" s="1538">
        <f t="shared" ca="1" si="203"/>
        <v>4.7619047619047623E-2</v>
      </c>
      <c r="I859" s="1071">
        <f t="shared" ca="1" si="192"/>
        <v>0.2555616821311148</v>
      </c>
      <c r="J859" s="1071">
        <f t="shared" ca="1" si="193"/>
        <v>0.99999999999999989</v>
      </c>
      <c r="K859" s="1071">
        <f t="shared" ca="1" si="194"/>
        <v>2.9926900562869341E-2</v>
      </c>
      <c r="L859" s="1071">
        <f t="shared" ca="1" si="195"/>
        <v>0</v>
      </c>
      <c r="M859" s="1374"/>
      <c r="N859" s="1374"/>
      <c r="O859" s="722">
        <v>42248</v>
      </c>
      <c r="P859" s="1538">
        <f t="shared" ca="1" si="196"/>
        <v>0.28369894436112836</v>
      </c>
      <c r="Q859" s="1538">
        <f t="shared" ca="1" si="204"/>
        <v>0.43318150330163735</v>
      </c>
      <c r="R859" s="1538">
        <f t="shared" ca="1" si="204"/>
        <v>8.530013374622411E-2</v>
      </c>
      <c r="S859" s="1538">
        <f t="shared" ca="1" si="204"/>
        <v>5.0897533851402665E-2</v>
      </c>
      <c r="T859" s="1538">
        <f t="shared" ca="1" si="204"/>
        <v>9.9302837120559789E-2</v>
      </c>
      <c r="U859" s="1538">
        <f t="shared" ca="1" si="197"/>
        <v>0</v>
      </c>
      <c r="V859" s="1538">
        <f t="shared" ca="1" si="198"/>
        <v>4.7619047619047616E-2</v>
      </c>
      <c r="W859" s="1071">
        <f t="shared" ca="1" si="199"/>
        <v>0.28311955233723418</v>
      </c>
      <c r="X859" s="1071">
        <f t="shared" ca="1" si="200"/>
        <v>1</v>
      </c>
      <c r="Y859" s="1071">
        <f t="shared" ca="1" si="201"/>
        <v>5.0897533851402665E-2</v>
      </c>
      <c r="Z859" s="1042">
        <f t="shared" ca="1" si="202"/>
        <v>0</v>
      </c>
    </row>
    <row r="860" spans="1:26" x14ac:dyDescent="0.3">
      <c r="A860" s="1036">
        <v>42278</v>
      </c>
      <c r="B860" s="1538">
        <f t="shared" ca="1" si="191"/>
        <v>0.37631500399954754</v>
      </c>
      <c r="C860" s="1538">
        <f t="shared" ca="1" si="203"/>
        <v>0.13185624647313429</v>
      </c>
      <c r="D860" s="1538">
        <f t="shared" ca="1" si="203"/>
        <v>0.21736520785347779</v>
      </c>
      <c r="E860" s="1538">
        <f t="shared" ca="1" si="203"/>
        <v>8.6813045810903169E-2</v>
      </c>
      <c r="F860" s="1538">
        <f t="shared" ca="1" si="203"/>
        <v>5.5859093527154312E-2</v>
      </c>
      <c r="G860" s="1538">
        <f t="shared" ca="1" si="203"/>
        <v>8.4172354716735287E-2</v>
      </c>
      <c r="H860" s="1538">
        <f t="shared" ca="1" si="203"/>
        <v>4.7619047619047623E-2</v>
      </c>
      <c r="I860" s="1071">
        <f t="shared" ca="1" si="192"/>
        <v>0.27446354167384041</v>
      </c>
      <c r="J860" s="1071">
        <f t="shared" ca="1" si="193"/>
        <v>1.0000000000000002</v>
      </c>
      <c r="K860" s="1071">
        <f t="shared" ca="1" si="194"/>
        <v>5.5859093527154312E-2</v>
      </c>
      <c r="L860" s="1071">
        <f t="shared" ca="1" si="195"/>
        <v>0</v>
      </c>
      <c r="M860" s="1374"/>
      <c r="N860" s="1374"/>
      <c r="O860" s="722">
        <v>42278</v>
      </c>
      <c r="P860" s="1538">
        <f t="shared" ca="1" si="196"/>
        <v>0.30360281351081991</v>
      </c>
      <c r="Q860" s="1538">
        <f t="shared" ca="1" si="204"/>
        <v>0.40710595356229073</v>
      </c>
      <c r="R860" s="1538">
        <f t="shared" ca="1" si="204"/>
        <v>8.6334902624800508E-2</v>
      </c>
      <c r="S860" s="1538">
        <f t="shared" ca="1" si="204"/>
        <v>6.6383065733374533E-2</v>
      </c>
      <c r="T860" s="1538">
        <f t="shared" ca="1" si="204"/>
        <v>8.8954216949666709E-2</v>
      </c>
      <c r="U860" s="1538">
        <f t="shared" ca="1" si="197"/>
        <v>0</v>
      </c>
      <c r="V860" s="1538">
        <f t="shared" ca="1" si="198"/>
        <v>4.7619047619047623E-2</v>
      </c>
      <c r="W860" s="1071">
        <f t="shared" ca="1" si="199"/>
        <v>0.28929123292688935</v>
      </c>
      <c r="X860" s="1071">
        <f t="shared" ca="1" si="200"/>
        <v>1</v>
      </c>
      <c r="Y860" s="1071">
        <f t="shared" ca="1" si="201"/>
        <v>6.6383065733374533E-2</v>
      </c>
      <c r="Z860" s="1042">
        <f t="shared" ca="1" si="202"/>
        <v>0</v>
      </c>
    </row>
    <row r="861" spans="1:26" x14ac:dyDescent="0.3">
      <c r="A861" s="1036">
        <v>42309</v>
      </c>
      <c r="B861" s="1538">
        <f t="shared" ca="1" si="191"/>
        <v>0.36569827060275173</v>
      </c>
      <c r="C861" s="1538">
        <f t="shared" ca="1" si="203"/>
        <v>0.14224928932651204</v>
      </c>
      <c r="D861" s="1538">
        <f t="shared" ca="1" si="203"/>
        <v>0.21594847757976565</v>
      </c>
      <c r="E861" s="1538">
        <f t="shared" ca="1" si="203"/>
        <v>8.7143447856250333E-2</v>
      </c>
      <c r="F861" s="1538">
        <f t="shared" ca="1" si="203"/>
        <v>6.047343014398894E-2</v>
      </c>
      <c r="G861" s="1538">
        <f t="shared" ca="1" si="203"/>
        <v>8.0868036871683716E-2</v>
      </c>
      <c r="H861" s="1538">
        <f t="shared" ca="1" si="203"/>
        <v>4.7619047619047623E-2</v>
      </c>
      <c r="I861" s="1071">
        <f t="shared" ca="1" si="192"/>
        <v>0.27610396249097058</v>
      </c>
      <c r="J861" s="1071">
        <f t="shared" ca="1" si="193"/>
        <v>1.0000000000000002</v>
      </c>
      <c r="K861" s="1071">
        <f t="shared" ca="1" si="194"/>
        <v>6.047343014398894E-2</v>
      </c>
      <c r="L861" s="1071">
        <f t="shared" ca="1" si="195"/>
        <v>0</v>
      </c>
      <c r="M861" s="1374"/>
      <c r="N861" s="1374"/>
      <c r="O861" s="722">
        <v>42309</v>
      </c>
      <c r="P861" s="1538">
        <f t="shared" ca="1" si="196"/>
        <v>0.36107269479272153</v>
      </c>
      <c r="Q861" s="1538">
        <f t="shared" ca="1" si="204"/>
        <v>0.33741571518422941</v>
      </c>
      <c r="R861" s="1538">
        <f t="shared" ca="1" si="204"/>
        <v>8.8972635400259417E-2</v>
      </c>
      <c r="S861" s="1538">
        <f t="shared" ca="1" si="204"/>
        <v>0.1023453920055819</v>
      </c>
      <c r="T861" s="1538">
        <f t="shared" ca="1" si="204"/>
        <v>6.257451499816008E-2</v>
      </c>
      <c r="U861" s="1538">
        <f t="shared" ca="1" si="197"/>
        <v>0</v>
      </c>
      <c r="V861" s="1538">
        <f t="shared" ca="1" si="198"/>
        <v>4.7619047619047623E-2</v>
      </c>
      <c r="W861" s="1071">
        <f t="shared" ca="1" si="199"/>
        <v>0.301511590023049</v>
      </c>
      <c r="X861" s="1071">
        <f t="shared" ca="1" si="200"/>
        <v>1</v>
      </c>
      <c r="Y861" s="1071">
        <f t="shared" ca="1" si="201"/>
        <v>0.1023453920055819</v>
      </c>
      <c r="Z861" s="1042">
        <f t="shared" ca="1" si="202"/>
        <v>0</v>
      </c>
    </row>
    <row r="862" spans="1:26" x14ac:dyDescent="0.3">
      <c r="A862" s="1036">
        <v>42339</v>
      </c>
      <c r="B862" s="1538">
        <f t="shared" ca="1" si="191"/>
        <v>0.38198752777401024</v>
      </c>
      <c r="C862" s="1538">
        <f t="shared" ca="1" si="203"/>
        <v>0.14318830655725051</v>
      </c>
      <c r="D862" s="1538">
        <f t="shared" ca="1" si="203"/>
        <v>0.20409337336704633</v>
      </c>
      <c r="E862" s="1538">
        <f t="shared" ca="1" si="203"/>
        <v>8.7801578374690117E-2</v>
      </c>
      <c r="F862" s="1538">
        <f t="shared" ca="1" si="203"/>
        <v>6.1024026997373276E-2</v>
      </c>
      <c r="G862" s="1538">
        <f t="shared" ca="1" si="203"/>
        <v>7.428613931058195E-2</v>
      </c>
      <c r="H862" s="1538">
        <f t="shared" ca="1" si="203"/>
        <v>4.7619047619047616E-2</v>
      </c>
      <c r="I862" s="1071">
        <f t="shared" ca="1" si="192"/>
        <v>0.27073079230169295</v>
      </c>
      <c r="J862" s="1071">
        <f t="shared" ca="1" si="193"/>
        <v>1</v>
      </c>
      <c r="K862" s="1071">
        <f t="shared" ca="1" si="194"/>
        <v>6.1024026997373276E-2</v>
      </c>
      <c r="L862" s="1071">
        <f ca="1">IF($F862&lt;0, $F862, 0)</f>
        <v>0</v>
      </c>
      <c r="M862" s="1374"/>
      <c r="N862" s="1374"/>
      <c r="O862" s="722">
        <v>42339</v>
      </c>
      <c r="P862" s="1538">
        <f t="shared" ca="1" si="196"/>
        <v>0.35379854836947727</v>
      </c>
      <c r="Q862" s="1538">
        <f t="shared" ca="1" si="204"/>
        <v>0.33181685352387141</v>
      </c>
      <c r="R862" s="1538">
        <f t="shared" ca="1" si="204"/>
        <v>8.9540150338503238E-2</v>
      </c>
      <c r="S862" s="1538">
        <f t="shared" ca="1" si="204"/>
        <v>0.12032654534790452</v>
      </c>
      <c r="T862" s="1538">
        <f t="shared" ca="1" si="204"/>
        <v>5.6898854801195921E-2</v>
      </c>
      <c r="U862" s="1538">
        <f t="shared" ca="1" si="197"/>
        <v>0</v>
      </c>
      <c r="V862" s="1538">
        <f t="shared" ca="1" si="198"/>
        <v>4.7619047619047616E-2</v>
      </c>
      <c r="W862" s="1071">
        <f t="shared" ca="1" si="199"/>
        <v>0.31438459810665131</v>
      </c>
      <c r="X862" s="1071">
        <f t="shared" ca="1" si="200"/>
        <v>1</v>
      </c>
      <c r="Y862" s="1071">
        <f t="shared" ca="1" si="201"/>
        <v>0.12032654534790452</v>
      </c>
      <c r="Z862" s="1042">
        <f t="shared" ca="1" si="202"/>
        <v>0</v>
      </c>
    </row>
    <row r="863" spans="1:26" x14ac:dyDescent="0.3">
      <c r="A863" s="1036">
        <v>42370</v>
      </c>
      <c r="B863" s="1538">
        <f t="shared" ca="1" si="191"/>
        <v>0.33706758335135484</v>
      </c>
      <c r="C863" s="1538">
        <f t="shared" ca="1" si="203"/>
        <v>0.13682496036806097</v>
      </c>
      <c r="D863" s="1538">
        <f t="shared" ca="1" si="203"/>
        <v>0.20616088574327895</v>
      </c>
      <c r="E863" s="1538">
        <f t="shared" ca="1" si="203"/>
        <v>8.753498839507165E-2</v>
      </c>
      <c r="F863" s="1538">
        <f t="shared" ca="1" si="203"/>
        <v>0.10784025546144252</v>
      </c>
      <c r="G863" s="1538">
        <f t="shared" ca="1" si="203"/>
        <v>7.6952279061743262E-2</v>
      </c>
      <c r="H863" s="1538">
        <f t="shared" ca="1" si="203"/>
        <v>4.7619047619047623E-2</v>
      </c>
      <c r="I863" s="1071">
        <f t="shared" ca="1" si="192"/>
        <v>0.31994657053730508</v>
      </c>
      <c r="J863" s="1071">
        <f ca="1">SUM(B863:H863)</f>
        <v>0.99999999999999989</v>
      </c>
      <c r="K863" s="1071">
        <f t="shared" ca="1" si="194"/>
        <v>0.10784025546144252</v>
      </c>
      <c r="L863" s="1071">
        <f t="shared" ca="1" si="195"/>
        <v>0</v>
      </c>
      <c r="M863" s="1374"/>
      <c r="N863" s="1374"/>
      <c r="O863" s="722">
        <v>42370</v>
      </c>
      <c r="P863" s="1538">
        <f t="shared" ca="1" si="196"/>
        <v>0.31921948595120331</v>
      </c>
      <c r="Q863" s="1538">
        <f t="shared" ca="1" si="204"/>
        <v>0.34365530643433051</v>
      </c>
      <c r="R863" s="1538">
        <f t="shared" ca="1" si="204"/>
        <v>8.9148178637086961E-2</v>
      </c>
      <c r="S863" s="1538">
        <f t="shared" ca="1" si="204"/>
        <v>0.13953905673316072</v>
      </c>
      <c r="T863" s="1538">
        <f t="shared" ca="1" si="204"/>
        <v>6.0818924625170939E-2</v>
      </c>
      <c r="U863" s="1538">
        <f t="shared" ca="1" si="197"/>
        <v>0</v>
      </c>
      <c r="V863" s="1538">
        <f t="shared" ca="1" si="198"/>
        <v>4.7619047619047616E-2</v>
      </c>
      <c r="W863" s="1071">
        <f t="shared" ca="1" si="199"/>
        <v>0.33712520761446624</v>
      </c>
      <c r="X863" s="1071">
        <f t="shared" ca="1" si="200"/>
        <v>1</v>
      </c>
      <c r="Y863" s="1071">
        <f t="shared" ca="1" si="201"/>
        <v>0.13953905673316072</v>
      </c>
      <c r="Z863" s="1042">
        <f t="shared" ca="1" si="202"/>
        <v>0</v>
      </c>
    </row>
    <row r="864" spans="1:26" x14ac:dyDescent="0.3">
      <c r="A864" s="1036">
        <v>42401</v>
      </c>
      <c r="B864" s="1538">
        <f t="shared" ca="1" si="191"/>
        <v>0.31438270551180103</v>
      </c>
      <c r="C864" s="1538">
        <f t="shared" ref="C864:H879" ca="1" si="205">IF(VLOOKUP($A864, INDIRECT("'"&amp;$B$812&amp;"'!$A$5:$CA$100"),C$813, FALSE)=0,NA(),VLOOKUP($A864, INDIRECT("'"&amp;$B$812&amp;"'!$A$5:$CA$100"),C$813, FALSE)/VLOOKUP($A864, INDIRECT("'"&amp;$B$812&amp;"'!$A$5:$CA$100"),6, FALSE))</f>
        <v>0.13931446454716837</v>
      </c>
      <c r="D864" s="1538">
        <f t="shared" ca="1" si="205"/>
        <v>0.21883236661093805</v>
      </c>
      <c r="E864" s="1538">
        <f t="shared" ca="1" si="205"/>
        <v>8.6917076879401575E-2</v>
      </c>
      <c r="F864" s="1538">
        <f t="shared" ca="1" si="205"/>
        <v>0.10980238843721743</v>
      </c>
      <c r="G864" s="1538">
        <f t="shared" ca="1" si="205"/>
        <v>8.3131950394425849E-2</v>
      </c>
      <c r="H864" s="1538">
        <f t="shared" ca="1" si="205"/>
        <v>4.7619047619047616E-2</v>
      </c>
      <c r="I864" s="1071">
        <f t="shared" ca="1" si="192"/>
        <v>0.32747046333009244</v>
      </c>
      <c r="J864" s="1071">
        <f t="shared" ca="1" si="193"/>
        <v>1</v>
      </c>
      <c r="K864" s="1071">
        <f t="shared" ca="1" si="194"/>
        <v>0.10980238843721743</v>
      </c>
      <c r="L864" s="1071">
        <f t="shared" ca="1" si="195"/>
        <v>0</v>
      </c>
      <c r="M864" s="1374"/>
      <c r="N864" s="1374"/>
      <c r="O864" s="722">
        <v>42401</v>
      </c>
      <c r="P864" s="1538">
        <f t="shared" ca="1" si="196"/>
        <v>0.36661375412863828</v>
      </c>
      <c r="Q864" s="1538">
        <f t="shared" ca="1" si="204"/>
        <v>0.32542843459157866</v>
      </c>
      <c r="R864" s="1538">
        <f t="shared" ca="1" si="204"/>
        <v>8.8899412540995898E-2</v>
      </c>
      <c r="S864" s="1538">
        <f t="shared" ca="1" si="204"/>
        <v>0.10813254162178018</v>
      </c>
      <c r="T864" s="1538">
        <f t="shared" ca="1" si="204"/>
        <v>6.3306809497959332E-2</v>
      </c>
      <c r="U864" s="1538">
        <f t="shared" ca="1" si="197"/>
        <v>0</v>
      </c>
      <c r="V864" s="1538">
        <f t="shared" ca="1" si="198"/>
        <v>4.7619047619047616E-2</v>
      </c>
      <c r="W864" s="1071">
        <f t="shared" ca="1" si="199"/>
        <v>0.307957811279783</v>
      </c>
      <c r="X864" s="1071">
        <f t="shared" ca="1" si="200"/>
        <v>1</v>
      </c>
      <c r="Y864" s="1071">
        <f t="shared" ca="1" si="201"/>
        <v>0.10813254162178018</v>
      </c>
      <c r="Z864" s="1042">
        <f t="shared" ca="1" si="202"/>
        <v>0</v>
      </c>
    </row>
    <row r="865" spans="1:26" x14ac:dyDescent="0.3">
      <c r="A865" s="1036">
        <v>42430</v>
      </c>
      <c r="B865" s="1538">
        <f t="shared" ca="1" si="191"/>
        <v>0.29863788273291419</v>
      </c>
      <c r="C865" s="1538">
        <f t="shared" ca="1" si="205"/>
        <v>0.13885969495988121</v>
      </c>
      <c r="D865" s="1538">
        <f t="shared" ca="1" si="205"/>
        <v>0.22993582022800751</v>
      </c>
      <c r="E865" s="1538">
        <f t="shared" ca="1" si="205"/>
        <v>8.6311074049465503E-2</v>
      </c>
      <c r="F865" s="1538">
        <f t="shared" ca="1" si="205"/>
        <v>0.10944395625980465</v>
      </c>
      <c r="G865" s="1538">
        <f t="shared" ca="1" si="205"/>
        <v>8.9192524150879374E-2</v>
      </c>
      <c r="H865" s="1538">
        <f t="shared" ca="1" si="205"/>
        <v>4.7619047619047623E-2</v>
      </c>
      <c r="I865" s="1071">
        <f t="shared" ca="1" si="192"/>
        <v>0.33256660207919714</v>
      </c>
      <c r="J865" s="1071">
        <f t="shared" ca="1" si="193"/>
        <v>1</v>
      </c>
      <c r="K865" s="1071">
        <f t="shared" ca="1" si="194"/>
        <v>0.10944395625980465</v>
      </c>
      <c r="L865" s="1071">
        <f t="shared" ca="1" si="195"/>
        <v>0</v>
      </c>
      <c r="M865" s="1374"/>
      <c r="N865" s="1374"/>
      <c r="O865" s="722">
        <v>42430</v>
      </c>
      <c r="P865" s="1538">
        <f t="shared" ca="1" si="196"/>
        <v>0.28745353632306164</v>
      </c>
      <c r="Q865" s="1538">
        <f t="shared" ca="1" si="204"/>
        <v>0.37569434366184579</v>
      </c>
      <c r="R865" s="1538">
        <f t="shared" ca="1" si="204"/>
        <v>8.7718757488026905E-2</v>
      </c>
      <c r="S865" s="1538">
        <f t="shared" ca="1" si="204"/>
        <v>0.1263998921845518</v>
      </c>
      <c r="T865" s="1538">
        <f t="shared" ca="1" si="204"/>
        <v>7.5114422723466343E-2</v>
      </c>
      <c r="U865" s="1538">
        <f t="shared" ca="1" si="197"/>
        <v>0</v>
      </c>
      <c r="V865" s="1538">
        <f t="shared" ca="1" si="198"/>
        <v>4.7619047619047623E-2</v>
      </c>
      <c r="W865" s="1071">
        <f t="shared" ca="1" si="199"/>
        <v>0.33685212001509268</v>
      </c>
      <c r="X865" s="1071">
        <f t="shared" ca="1" si="200"/>
        <v>1.0000000000000002</v>
      </c>
      <c r="Y865" s="1071">
        <f t="shared" ca="1" si="201"/>
        <v>0.1263998921845518</v>
      </c>
      <c r="Z865" s="1042">
        <f t="shared" ca="1" si="202"/>
        <v>0</v>
      </c>
    </row>
    <row r="866" spans="1:26" x14ac:dyDescent="0.3">
      <c r="A866" s="1036">
        <v>42461</v>
      </c>
      <c r="B866" s="1538">
        <f t="shared" ca="1" si="191"/>
        <v>0.2567722908854323</v>
      </c>
      <c r="C866" s="1538">
        <f t="shared" ca="1" si="205"/>
        <v>0.14919422925943121</v>
      </c>
      <c r="D866" s="1538">
        <f t="shared" ca="1" si="205"/>
        <v>0.26212892404100796</v>
      </c>
      <c r="E866" s="1538">
        <f t="shared" ca="1" si="205"/>
        <v>8.4839399284790881E-2</v>
      </c>
      <c r="F866" s="1538">
        <f t="shared" ca="1" si="205"/>
        <v>9.5535512472912296E-2</v>
      </c>
      <c r="G866" s="1538">
        <f t="shared" ca="1" si="205"/>
        <v>0.10391059643737777</v>
      </c>
      <c r="H866" s="1538">
        <f t="shared" ca="1" si="205"/>
        <v>4.7619047619047616E-2</v>
      </c>
      <c r="I866" s="1071">
        <f ca="1">SUM(E866:H866)</f>
        <v>0.33190455581412853</v>
      </c>
      <c r="J866" s="1071">
        <f t="shared" ca="1" si="193"/>
        <v>1</v>
      </c>
      <c r="K866" s="1071">
        <f t="shared" ca="1" si="194"/>
        <v>9.5535512472912296E-2</v>
      </c>
      <c r="L866" s="1071">
        <f t="shared" ca="1" si="195"/>
        <v>0</v>
      </c>
      <c r="M866" s="1374"/>
      <c r="N866" s="1374"/>
      <c r="O866" s="722">
        <v>42461</v>
      </c>
      <c r="P866" s="1538">
        <f t="shared" ca="1" si="196"/>
        <v>0.10506553781097108</v>
      </c>
      <c r="Q866" s="1538">
        <f t="shared" ca="1" si="204"/>
        <v>0.51890485826351174</v>
      </c>
      <c r="R866" s="1538">
        <f t="shared" ca="1" si="204"/>
        <v>8.2214628116126259E-2</v>
      </c>
      <c r="S866" s="1538">
        <f t="shared" ca="1" si="204"/>
        <v>0.11603525753601449</v>
      </c>
      <c r="T866" s="1538">
        <f t="shared" ca="1" si="204"/>
        <v>0.13016067065432879</v>
      </c>
      <c r="U866" s="1538">
        <f t="shared" ca="1" si="197"/>
        <v>0</v>
      </c>
      <c r="V866" s="1538">
        <f t="shared" ca="1" si="198"/>
        <v>4.7619047619047616E-2</v>
      </c>
      <c r="W866" s="1071">
        <f t="shared" ca="1" si="199"/>
        <v>0.37602960392551715</v>
      </c>
      <c r="X866" s="1071">
        <f t="shared" ca="1" si="200"/>
        <v>1</v>
      </c>
      <c r="Y866" s="1071">
        <f t="shared" ca="1" si="201"/>
        <v>0.11603525753601449</v>
      </c>
      <c r="Z866" s="1042">
        <f t="shared" ca="1" si="202"/>
        <v>0</v>
      </c>
    </row>
    <row r="867" spans="1:26" x14ac:dyDescent="0.3">
      <c r="A867" s="1036">
        <v>42491</v>
      </c>
      <c r="B867" s="1538">
        <f t="shared" ca="1" si="191"/>
        <v>0.25510104384188909</v>
      </c>
      <c r="C867" s="1538">
        <f t="shared" ca="1" si="205"/>
        <v>0.15025971056788689</v>
      </c>
      <c r="D867" s="1538">
        <f t="shared" ca="1" si="205"/>
        <v>0.26223574698121571</v>
      </c>
      <c r="E867" s="1538">
        <f ca="1">IF(VLOOKUP($A867, INDIRECT("'"&amp;$B$812&amp;"'!$A$5:$CA$100"),E$813, FALSE)=0,NA(),VLOOKUP($A867, INDIRECT("'"&amp;$B$812&amp;"'!$A$5:$CA$100"),E$813, FALSE)/VLOOKUP($A867, INDIRECT("'"&amp;$B$812&amp;"'!$A$5:$CA$100"),6, FALSE))</f>
        <v>8.4859767351341903E-2</v>
      </c>
      <c r="F867" s="1538">
        <f t="shared" ca="1" si="205"/>
        <v>9.6217786199844585E-2</v>
      </c>
      <c r="G867" s="1538">
        <f t="shared" ca="1" si="205"/>
        <v>0.10370689743877415</v>
      </c>
      <c r="H867" s="1538">
        <f t="shared" ca="1" si="205"/>
        <v>4.7619047619047616E-2</v>
      </c>
      <c r="I867" s="1071">
        <f t="shared" ca="1" si="192"/>
        <v>0.33240349860900825</v>
      </c>
      <c r="J867" s="1071">
        <f t="shared" ca="1" si="193"/>
        <v>1</v>
      </c>
      <c r="K867" s="1071">
        <f t="shared" ca="1" si="194"/>
        <v>9.6217786199844585E-2</v>
      </c>
      <c r="L867" s="1071">
        <f t="shared" ca="1" si="195"/>
        <v>0</v>
      </c>
      <c r="M867" s="1374"/>
      <c r="N867" s="1374"/>
      <c r="O867" s="722">
        <v>42491</v>
      </c>
      <c r="P867" s="1538">
        <f t="shared" ca="1" si="196"/>
        <v>8.8350383716900197E-2</v>
      </c>
      <c r="Q867" s="1538">
        <f t="shared" ca="1" si="204"/>
        <v>0.53827713241277997</v>
      </c>
      <c r="R867" s="1538">
        <f t="shared" ca="1" si="204"/>
        <v>8.1372496544727127E-2</v>
      </c>
      <c r="S867" s="1538">
        <f t="shared" ca="1" si="204"/>
        <v>0.10579819534401129</v>
      </c>
      <c r="T867" s="1538">
        <f t="shared" ca="1" si="204"/>
        <v>0.13858274436253373</v>
      </c>
      <c r="U867" s="1538">
        <f t="shared" ca="1" si="197"/>
        <v>0</v>
      </c>
      <c r="V867" s="1538">
        <f t="shared" ca="1" si="198"/>
        <v>4.7619047619047623E-2</v>
      </c>
      <c r="W867" s="1071">
        <f t="shared" ca="1" si="199"/>
        <v>0.37337248387031979</v>
      </c>
      <c r="X867" s="1071">
        <f t="shared" ca="1" si="200"/>
        <v>0.99999999999999989</v>
      </c>
      <c r="Y867" s="1071">
        <f t="shared" ca="1" si="201"/>
        <v>0.10579819534401129</v>
      </c>
      <c r="Z867" s="1042">
        <f t="shared" ca="1" si="202"/>
        <v>0</v>
      </c>
    </row>
    <row r="868" spans="1:26" x14ac:dyDescent="0.3">
      <c r="A868" s="1036">
        <v>42522</v>
      </c>
      <c r="B868" s="1538">
        <f t="shared" ref="B868:H890" ca="1" si="206">IF(VLOOKUP($A868, INDIRECT("'"&amp;$B$812&amp;"'!$A$5:$CA$100"),B$813, FALSE)=0,NA(),VLOOKUP($A868, INDIRECT("'"&amp;$B$812&amp;"'!$A$5:$CA$100"),B$813, FALSE)/VLOOKUP($A868, INDIRECT("'"&amp;$B$812&amp;"'!$A$5:$CA$100"),6, FALSE))</f>
        <v>0.26264467087252469</v>
      </c>
      <c r="C868" s="1538">
        <f t="shared" ca="1" si="205"/>
        <v>0.14758360219395292</v>
      </c>
      <c r="D868" s="1538">
        <f t="shared" ca="1" si="205"/>
        <v>0.2597099902348195</v>
      </c>
      <c r="E868" s="1538">
        <f t="shared" ca="1" si="205"/>
        <v>8.4929553046470541E-2</v>
      </c>
      <c r="F868" s="1538">
        <f t="shared" ca="1" si="205"/>
        <v>9.4504158359103724E-2</v>
      </c>
      <c r="G868" s="1538">
        <f t="shared" ca="1" si="205"/>
        <v>0.10300897767408104</v>
      </c>
      <c r="H868" s="1538">
        <f t="shared" ca="1" si="205"/>
        <v>4.7619047619047616E-2</v>
      </c>
      <c r="I868" s="1071">
        <f t="shared" ca="1" si="192"/>
        <v>0.33006173669870292</v>
      </c>
      <c r="J868" s="1071">
        <f t="shared" ca="1" si="193"/>
        <v>1</v>
      </c>
      <c r="K868" s="1071">
        <f t="shared" ca="1" si="194"/>
        <v>9.4504158359103724E-2</v>
      </c>
      <c r="L868" s="1071">
        <f t="shared" ca="1" si="195"/>
        <v>0</v>
      </c>
      <c r="M868" s="1374"/>
      <c r="N868" s="1374"/>
      <c r="O868" s="722">
        <v>42522</v>
      </c>
      <c r="P868" s="1538">
        <f t="shared" ref="P868:T890" ca="1" si="207">IF(VLOOKUP($O868, INDIRECT("'"&amp;$P$812&amp;"'!$A$5:$CA$100"),P$813, FALSE)=0,NA(),VLOOKUP($O868, INDIRECT("'"&amp;$P$812&amp;"'!$A$5:$CA$100"),P$813, FALSE)/VLOOKUP($O868, INDIRECT("'"&amp;$P$812&amp;"'!$A$5:$CA$100"),6, FALSE))</f>
        <v>7.8797008766515728E-2</v>
      </c>
      <c r="Q868" s="1538">
        <f t="shared" ca="1" si="204"/>
        <v>0.5770908465470117</v>
      </c>
      <c r="R868" s="1538">
        <f t="shared" ca="1" si="204"/>
        <v>7.8934744062749071E-2</v>
      </c>
      <c r="S868" s="1538">
        <f t="shared" ca="1" si="204"/>
        <v>5.4595889625708119E-2</v>
      </c>
      <c r="T868" s="1538">
        <f t="shared" ca="1" si="204"/>
        <v>0.16296246337896766</v>
      </c>
      <c r="U868" s="1538">
        <f t="shared" ca="1" si="197"/>
        <v>0</v>
      </c>
      <c r="V868" s="1538">
        <f t="shared" ca="1" si="198"/>
        <v>4.7619047619047616E-2</v>
      </c>
      <c r="W868" s="1071">
        <f t="shared" ca="1" si="199"/>
        <v>0.3441121446864725</v>
      </c>
      <c r="X868" s="1071">
        <f t="shared" ca="1" si="200"/>
        <v>1</v>
      </c>
      <c r="Y868" s="1071">
        <f t="shared" ca="1" si="201"/>
        <v>5.4595889625708119E-2</v>
      </c>
      <c r="Z868" s="1042">
        <f t="shared" ca="1" si="202"/>
        <v>0</v>
      </c>
    </row>
    <row r="869" spans="1:26" x14ac:dyDescent="0.3">
      <c r="A869" s="1036">
        <v>42552</v>
      </c>
      <c r="B869" s="1538">
        <f t="shared" ca="1" si="206"/>
        <v>0.33288524601836661</v>
      </c>
      <c r="C869" s="1538">
        <f t="shared" ca="1" si="205"/>
        <v>0.13002620099653747</v>
      </c>
      <c r="D869" s="1538">
        <f t="shared" ca="1" si="205"/>
        <v>0.22800955303134038</v>
      </c>
      <c r="E869" s="1538">
        <f t="shared" ca="1" si="205"/>
        <v>8.6197962450208651E-2</v>
      </c>
      <c r="F869" s="1538">
        <f t="shared" ca="1" si="205"/>
        <v>8.4938247930430949E-2</v>
      </c>
      <c r="G869" s="1538">
        <f t="shared" ca="1" si="205"/>
        <v>9.0323741954068421E-2</v>
      </c>
      <c r="H869" s="1538">
        <f t="shared" ca="1" si="205"/>
        <v>4.7619047619047616E-2</v>
      </c>
      <c r="I869" s="1071">
        <f t="shared" ca="1" si="192"/>
        <v>0.3090789999537556</v>
      </c>
      <c r="J869" s="1071">
        <f t="shared" ca="1" si="193"/>
        <v>1</v>
      </c>
      <c r="K869" s="1071">
        <f t="shared" ca="1" si="194"/>
        <v>8.4938247930430949E-2</v>
      </c>
      <c r="L869" s="1071">
        <f t="shared" ca="1" si="195"/>
        <v>0</v>
      </c>
      <c r="M869" s="1374"/>
      <c r="N869" s="1374"/>
      <c r="O869" s="722">
        <v>42552</v>
      </c>
      <c r="P869" s="1538">
        <f t="shared" ca="1" si="207"/>
        <v>8.2829828018155277E-2</v>
      </c>
      <c r="Q869" s="1538">
        <f t="shared" ca="1" si="204"/>
        <v>0.56703543582783822</v>
      </c>
      <c r="R869" s="1538">
        <f t="shared" ca="1" si="204"/>
        <v>7.908913133023017E-2</v>
      </c>
      <c r="S869" s="1538">
        <f t="shared" ca="1" si="204"/>
        <v>6.2008105463008938E-2</v>
      </c>
      <c r="T869" s="1538">
        <f t="shared" ca="1" si="204"/>
        <v>0.16141845174171979</v>
      </c>
      <c r="U869" s="1538">
        <f t="shared" ca="1" si="197"/>
        <v>0</v>
      </c>
      <c r="V869" s="1538">
        <f t="shared" ca="1" si="198"/>
        <v>4.7619047619047616E-2</v>
      </c>
      <c r="W869" s="1071">
        <f t="shared" ca="1" si="199"/>
        <v>0.35013473615400653</v>
      </c>
      <c r="X869" s="1071">
        <f t="shared" ca="1" si="200"/>
        <v>1</v>
      </c>
      <c r="Y869" s="1071">
        <f t="shared" ca="1" si="201"/>
        <v>6.2008105463008938E-2</v>
      </c>
      <c r="Z869" s="1042">
        <f t="shared" ca="1" si="202"/>
        <v>0</v>
      </c>
    </row>
    <row r="870" spans="1:26" x14ac:dyDescent="0.3">
      <c r="A870" s="1036">
        <v>42583</v>
      </c>
      <c r="B870" s="1538">
        <f t="shared" ca="1" si="206"/>
        <v>0.32607583860349232</v>
      </c>
      <c r="C870" s="1538">
        <f t="shared" ca="1" si="205"/>
        <v>0.13041023418760445</v>
      </c>
      <c r="D870" s="1538">
        <f t="shared" ca="1" si="205"/>
        <v>0.23223236955269708</v>
      </c>
      <c r="E870" s="1538">
        <f t="shared" ca="1" si="205"/>
        <v>8.5981129462298161E-2</v>
      </c>
      <c r="F870" s="1538">
        <f t="shared" ca="1" si="205"/>
        <v>8.5189113572481268E-2</v>
      </c>
      <c r="G870" s="1538">
        <f t="shared" ca="1" si="205"/>
        <v>9.2492267002379169E-2</v>
      </c>
      <c r="H870" s="1538">
        <f t="shared" ca="1" si="205"/>
        <v>4.7619047619047616E-2</v>
      </c>
      <c r="I870" s="1071">
        <f t="shared" ca="1" si="192"/>
        <v>0.31128155765620619</v>
      </c>
      <c r="J870" s="1071">
        <f t="shared" ca="1" si="193"/>
        <v>1.0000000000000002</v>
      </c>
      <c r="K870" s="1071">
        <f t="shared" ca="1" si="194"/>
        <v>8.5189113572481268E-2</v>
      </c>
      <c r="L870" s="1071">
        <f t="shared" ca="1" si="195"/>
        <v>0</v>
      </c>
      <c r="M870" s="1374"/>
      <c r="N870" s="1374"/>
      <c r="O870" s="722">
        <v>42583</v>
      </c>
      <c r="P870" s="1538">
        <f t="shared" ca="1" si="207"/>
        <v>0.12520604336081514</v>
      </c>
      <c r="Q870" s="1538">
        <f t="shared" ca="1" si="204"/>
        <v>0.53206983796810359</v>
      </c>
      <c r="R870" s="1538">
        <f t="shared" ca="1" si="204"/>
        <v>8.020803227716107E-2</v>
      </c>
      <c r="S870" s="1538">
        <f t="shared" ca="1" si="204"/>
        <v>6.4668603614025072E-2</v>
      </c>
      <c r="T870" s="1538">
        <f t="shared" ca="1" si="204"/>
        <v>0.15022843516084744</v>
      </c>
      <c r="U870" s="1538">
        <f t="shared" ca="1" si="197"/>
        <v>0</v>
      </c>
      <c r="V870" s="1538">
        <f t="shared" ca="1" si="198"/>
        <v>4.7619047619047623E-2</v>
      </c>
      <c r="W870" s="1071">
        <f t="shared" ca="1" si="199"/>
        <v>0.34272411867108121</v>
      </c>
      <c r="X870" s="1071">
        <f t="shared" ca="1" si="200"/>
        <v>1</v>
      </c>
      <c r="Y870" s="1071">
        <f t="shared" ca="1" si="201"/>
        <v>6.4668603614025072E-2</v>
      </c>
      <c r="Z870" s="1042">
        <f t="shared" ca="1" si="202"/>
        <v>0</v>
      </c>
    </row>
    <row r="871" spans="1:26" x14ac:dyDescent="0.3">
      <c r="A871" s="1036">
        <v>42614</v>
      </c>
      <c r="B871" s="1538">
        <f t="shared" ca="1" si="206"/>
        <v>0.27140094331996129</v>
      </c>
      <c r="C871" s="1538">
        <f t="shared" ca="1" si="205"/>
        <v>0.14406470735385388</v>
      </c>
      <c r="D871" s="1538">
        <f t="shared" ca="1" si="205"/>
        <v>0.25592002245310108</v>
      </c>
      <c r="E871" s="1538">
        <f t="shared" ca="1" si="205"/>
        <v>8.5046430911995596E-2</v>
      </c>
      <c r="F871" s="1538">
        <f t="shared" ca="1" si="205"/>
        <v>9.4108754523809193E-2</v>
      </c>
      <c r="G871" s="1538">
        <f t="shared" ca="1" si="205"/>
        <v>0.10184009381823149</v>
      </c>
      <c r="H871" s="1538">
        <f t="shared" ca="1" si="205"/>
        <v>4.7619047619047623E-2</v>
      </c>
      <c r="I871" s="1071">
        <f t="shared" ca="1" si="192"/>
        <v>0.3286143268730839</v>
      </c>
      <c r="J871" s="1071">
        <f t="shared" ca="1" si="193"/>
        <v>1</v>
      </c>
      <c r="K871" s="1071">
        <f t="shared" ca="1" si="194"/>
        <v>9.4108754523809193E-2</v>
      </c>
      <c r="L871" s="1071">
        <f t="shared" ca="1" si="195"/>
        <v>0</v>
      </c>
      <c r="M871" s="1374"/>
      <c r="N871" s="1374"/>
      <c r="O871" s="722">
        <v>42614</v>
      </c>
      <c r="P871" s="1538">
        <f t="shared" ca="1" si="207"/>
        <v>0.20262166248580249</v>
      </c>
      <c r="Q871" s="1538">
        <f t="shared" ca="1" si="207"/>
        <v>0.43817901842261181</v>
      </c>
      <c r="R871" s="1538">
        <f t="shared" ca="1" si="207"/>
        <v>8.3849695575762093E-2</v>
      </c>
      <c r="S871" s="1538">
        <f t="shared" ca="1" si="207"/>
        <v>0.11392205154669004</v>
      </c>
      <c r="T871" s="1538">
        <f t="shared" ca="1" si="207"/>
        <v>0.1138085243500859</v>
      </c>
      <c r="U871" s="1538">
        <f t="shared" ca="1" si="197"/>
        <v>0</v>
      </c>
      <c r="V871" s="1538">
        <f t="shared" ca="1" si="198"/>
        <v>4.7619047619047623E-2</v>
      </c>
      <c r="W871" s="1071">
        <f t="shared" ca="1" si="199"/>
        <v>0.35919931909158564</v>
      </c>
      <c r="X871" s="1071">
        <f t="shared" ca="1" si="200"/>
        <v>1</v>
      </c>
      <c r="Y871" s="1071">
        <f t="shared" ca="1" si="201"/>
        <v>0.11392205154669004</v>
      </c>
      <c r="Z871" s="1042">
        <f t="shared" ca="1" si="202"/>
        <v>0</v>
      </c>
    </row>
    <row r="872" spans="1:26" x14ac:dyDescent="0.3">
      <c r="A872" s="1036">
        <v>42644</v>
      </c>
      <c r="B872" s="1538">
        <f t="shared" ca="1" si="206"/>
        <v>0.33605380474711249</v>
      </c>
      <c r="C872" s="1538">
        <f t="shared" ca="1" si="205"/>
        <v>0.15847584807600915</v>
      </c>
      <c r="D872" s="1538">
        <f t="shared" ca="1" si="205"/>
        <v>0.25806685092293991</v>
      </c>
      <c r="E872" s="1538">
        <f t="shared" ca="1" si="205"/>
        <v>8.5284309229144789E-2</v>
      </c>
      <c r="F872" s="1538">
        <f t="shared" ca="1" si="205"/>
        <v>1.5039042870903203E-2</v>
      </c>
      <c r="G872" s="1538">
        <f t="shared" ca="1" si="205"/>
        <v>9.9461096534842725E-2</v>
      </c>
      <c r="H872" s="1538">
        <f t="shared" ca="1" si="205"/>
        <v>4.7619047619047616E-2</v>
      </c>
      <c r="I872" s="1071">
        <f t="shared" ca="1" si="192"/>
        <v>0.24740349625393832</v>
      </c>
      <c r="J872" s="1071">
        <f t="shared" ca="1" si="193"/>
        <v>0.99999999999999978</v>
      </c>
      <c r="K872" s="1071">
        <f t="shared" ca="1" si="194"/>
        <v>1.5039042870903203E-2</v>
      </c>
      <c r="L872" s="1071">
        <f t="shared" ca="1" si="195"/>
        <v>0</v>
      </c>
      <c r="M872" s="1374"/>
      <c r="N872" s="1374"/>
      <c r="O872" s="722">
        <v>42644</v>
      </c>
      <c r="P872" s="1538">
        <f t="shared" ca="1" si="207"/>
        <v>0.31870342467219076</v>
      </c>
      <c r="Q872" s="1538">
        <f t="shared" ca="1" si="207"/>
        <v>0.32830512901850351</v>
      </c>
      <c r="R872" s="1538">
        <f t="shared" ca="1" si="207"/>
        <v>8.7990139950193072E-2</v>
      </c>
      <c r="S872" s="1538">
        <f t="shared" ca="1" si="207"/>
        <v>0.14498190490690319</v>
      </c>
      <c r="T872" s="1538">
        <f t="shared" ca="1" si="207"/>
        <v>7.2400353833162012E-2</v>
      </c>
      <c r="U872" s="1538">
        <f t="shared" ca="1" si="197"/>
        <v>0</v>
      </c>
      <c r="V872" s="1538">
        <f t="shared" ca="1" si="198"/>
        <v>4.7619047619047623E-2</v>
      </c>
      <c r="W872" s="1071">
        <f t="shared" ca="1" si="199"/>
        <v>0.3529914463093059</v>
      </c>
      <c r="X872" s="1071">
        <f t="shared" ca="1" si="200"/>
        <v>1.0000000000000002</v>
      </c>
      <c r="Y872" s="1071">
        <f t="shared" ca="1" si="201"/>
        <v>0.14498190490690319</v>
      </c>
      <c r="Z872" s="1042">
        <f t="shared" ca="1" si="202"/>
        <v>0</v>
      </c>
    </row>
    <row r="873" spans="1:26" x14ac:dyDescent="0.3">
      <c r="A873" s="1036">
        <v>42675</v>
      </c>
      <c r="B873" s="1538">
        <f t="shared" ca="1" si="206"/>
        <v>0.34430041918703713</v>
      </c>
      <c r="C873" s="1538">
        <f t="shared" ca="1" si="205"/>
        <v>0.17581778503010184</v>
      </c>
      <c r="D873" s="1538">
        <f t="shared" ca="1" si="205"/>
        <v>0.28143043891769887</v>
      </c>
      <c r="E873" s="1538">
        <f t="shared" ca="1" si="205"/>
        <v>8.5524620860544104E-2</v>
      </c>
      <c r="F873" s="1538">
        <f t="shared" ca="1" si="205"/>
        <v>-3.1750075533180815E-2</v>
      </c>
      <c r="G873" s="1538">
        <f t="shared" ca="1" si="205"/>
        <v>9.70577639187514E-2</v>
      </c>
      <c r="H873" s="1538">
        <f t="shared" ca="1" si="205"/>
        <v>4.761904761904763E-2</v>
      </c>
      <c r="I873" s="1071">
        <f t="shared" ca="1" si="192"/>
        <v>0.1984513568651623</v>
      </c>
      <c r="J873" s="1071">
        <f t="shared" ca="1" si="193"/>
        <v>1.0000000000000002</v>
      </c>
      <c r="K873" s="1071">
        <f t="shared" ca="1" si="194"/>
        <v>0</v>
      </c>
      <c r="L873" s="1071">
        <f t="shared" ca="1" si="195"/>
        <v>-3.1750075533180815E-2</v>
      </c>
      <c r="M873" s="1374"/>
      <c r="N873" s="1374"/>
      <c r="O873" s="722">
        <v>42675</v>
      </c>
      <c r="P873" s="1538">
        <f t="shared" ca="1" si="207"/>
        <v>0.35871036355841918</v>
      </c>
      <c r="Q873" s="1538">
        <f t="shared" ca="1" si="207"/>
        <v>0.30545665741348416</v>
      </c>
      <c r="R873" s="1538">
        <f t="shared" ca="1" si="207"/>
        <v>8.8426099437248454E-2</v>
      </c>
      <c r="S873" s="1538">
        <f t="shared" ca="1" si="207"/>
        <v>0.13174746541197097</v>
      </c>
      <c r="T873" s="1538">
        <f t="shared" ca="1" si="207"/>
        <v>6.8040366559829604E-2</v>
      </c>
      <c r="U873" s="1538">
        <f t="shared" ca="1" si="197"/>
        <v>0</v>
      </c>
      <c r="V873" s="1538">
        <f t="shared" ca="1" si="198"/>
        <v>4.7619047619047623E-2</v>
      </c>
      <c r="W873" s="1071">
        <f t="shared" ca="1" si="199"/>
        <v>0.33583297902809661</v>
      </c>
      <c r="X873" s="1071">
        <f t="shared" ca="1" si="200"/>
        <v>0.99999999999999989</v>
      </c>
      <c r="Y873" s="1071">
        <f t="shared" ca="1" si="201"/>
        <v>0.13174746541197097</v>
      </c>
      <c r="Z873" s="1042">
        <f t="shared" ca="1" si="202"/>
        <v>0</v>
      </c>
    </row>
    <row r="874" spans="1:26" x14ac:dyDescent="0.3">
      <c r="A874" s="1036">
        <v>42705</v>
      </c>
      <c r="B874" s="1538">
        <f t="shared" ca="1" si="206"/>
        <v>0.38521582310869679</v>
      </c>
      <c r="C874" s="1538">
        <f t="shared" ca="1" si="205"/>
        <v>0.17992022186087606</v>
      </c>
      <c r="D874" s="1538">
        <f t="shared" ca="1" si="205"/>
        <v>0.243690918651192</v>
      </c>
      <c r="E874" s="1538">
        <f t="shared" ca="1" si="205"/>
        <v>8.7436681780721226E-2</v>
      </c>
      <c r="F874" s="1538">
        <f t="shared" ca="1" si="205"/>
        <v>-2.1818126710582891E-2</v>
      </c>
      <c r="G874" s="1538">
        <f t="shared" ca="1" si="205"/>
        <v>7.7935433690049336E-2</v>
      </c>
      <c r="H874" s="1538">
        <f t="shared" ca="1" si="205"/>
        <v>4.7619047619047623E-2</v>
      </c>
      <c r="I874" s="1071">
        <f t="shared" ca="1" si="192"/>
        <v>0.19117303637923527</v>
      </c>
      <c r="J874" s="1071">
        <f t="shared" ca="1" si="193"/>
        <v>1</v>
      </c>
      <c r="K874" s="1071">
        <f t="shared" ca="1" si="194"/>
        <v>0</v>
      </c>
      <c r="L874" s="1071">
        <f t="shared" ca="1" si="195"/>
        <v>-2.1818126710582891E-2</v>
      </c>
      <c r="M874" s="1374"/>
      <c r="N874" s="1374"/>
      <c r="O874" s="722">
        <v>42705</v>
      </c>
      <c r="P874" s="1538">
        <f t="shared" ca="1" si="207"/>
        <v>0.37400200446518295</v>
      </c>
      <c r="Q874" s="1538">
        <f t="shared" ca="1" si="207"/>
        <v>0.269973387454995</v>
      </c>
      <c r="R874" s="1538">
        <f t="shared" ca="1" si="207"/>
        <v>9.0357826595846333E-2</v>
      </c>
      <c r="S874" s="1538">
        <f t="shared" ca="1" si="207"/>
        <v>0.16932637761939298</v>
      </c>
      <c r="T874" s="1538">
        <f t="shared" ca="1" si="207"/>
        <v>4.872135624553519E-2</v>
      </c>
      <c r="U874" s="1538">
        <f t="shared" ca="1" si="197"/>
        <v>0</v>
      </c>
      <c r="V874" s="1538">
        <f t="shared" ca="1" si="198"/>
        <v>4.7619047619047623E-2</v>
      </c>
      <c r="W874" s="1071">
        <f t="shared" ca="1" si="199"/>
        <v>0.35602460807982211</v>
      </c>
      <c r="X874" s="1071">
        <f t="shared" ca="1" si="200"/>
        <v>1</v>
      </c>
      <c r="Y874" s="1071">
        <f t="shared" ca="1" si="201"/>
        <v>0.16932637761939298</v>
      </c>
      <c r="Z874" s="1042">
        <f t="shared" ca="1" si="202"/>
        <v>0</v>
      </c>
    </row>
    <row r="875" spans="1:26" x14ac:dyDescent="0.3">
      <c r="A875" s="1036">
        <v>42736</v>
      </c>
      <c r="B875" s="1538">
        <f t="shared" ca="1" si="206"/>
        <v>0.35068877847576435</v>
      </c>
      <c r="C875" s="1538">
        <f t="shared" ca="1" si="205"/>
        <v>0.1553252098280454</v>
      </c>
      <c r="D875" s="1538">
        <f t="shared" ca="1" si="205"/>
        <v>0.27092904697200038</v>
      </c>
      <c r="E875" s="1538">
        <f t="shared" ca="1" si="205"/>
        <v>8.7347776268751662E-2</v>
      </c>
      <c r="F875" s="1538">
        <f t="shared" ca="1" si="205"/>
        <v>9.2655720036828211E-3</v>
      </c>
      <c r="G875" s="1538">
        <f t="shared" ca="1" si="205"/>
        <v>7.8824568832707886E-2</v>
      </c>
      <c r="H875" s="1538">
        <f t="shared" ca="1" si="205"/>
        <v>4.7619047619047623E-2</v>
      </c>
      <c r="I875" s="1071">
        <f t="shared" ca="1" si="192"/>
        <v>0.22305696472418998</v>
      </c>
      <c r="J875" s="1071">
        <f t="shared" ca="1" si="193"/>
        <v>1.0000000000000002</v>
      </c>
      <c r="K875" s="1071">
        <f t="shared" ca="1" si="194"/>
        <v>9.2655720036828211E-3</v>
      </c>
      <c r="L875" s="1071">
        <f t="shared" ca="1" si="195"/>
        <v>0</v>
      </c>
      <c r="M875" s="1374"/>
      <c r="N875" s="1374"/>
      <c r="O875" s="722">
        <v>42736</v>
      </c>
      <c r="P875" s="1538">
        <f t="shared" ca="1" si="207"/>
        <v>0.39386065420237243</v>
      </c>
      <c r="Q875" s="1538">
        <f t="shared" ca="1" si="207"/>
        <v>0.217542373591498</v>
      </c>
      <c r="R875" s="1538">
        <f t="shared" ca="1" si="207"/>
        <v>8.0581035515396984E-2</v>
      </c>
      <c r="S875" s="1538">
        <f t="shared" ca="1" si="207"/>
        <v>0.11389882202968474</v>
      </c>
      <c r="T875" s="1538">
        <f t="shared" ca="1" si="207"/>
        <v>4.017146586747463E-2</v>
      </c>
      <c r="U875" s="1538">
        <f t="shared" ca="1" si="197"/>
        <v>0.10632660117452562</v>
      </c>
      <c r="V875" s="1538">
        <f t="shared" ca="1" si="198"/>
        <v>4.7619047619047616E-2</v>
      </c>
      <c r="W875" s="1071">
        <f t="shared" ca="1" si="199"/>
        <v>0.3885969722061296</v>
      </c>
      <c r="X875" s="1071">
        <f t="shared" ca="1" si="200"/>
        <v>1</v>
      </c>
      <c r="Y875" s="1071">
        <f t="shared" ca="1" si="201"/>
        <v>0.11389882202968474</v>
      </c>
      <c r="Z875" s="1042">
        <f t="shared" ca="1" si="202"/>
        <v>0</v>
      </c>
    </row>
    <row r="876" spans="1:26" x14ac:dyDescent="0.3">
      <c r="A876" s="1036">
        <v>42767</v>
      </c>
      <c r="B876" s="1538">
        <f t="shared" ca="1" si="206"/>
        <v>0.32492044961106159</v>
      </c>
      <c r="C876" s="1538">
        <f t="shared" ca="1" si="205"/>
        <v>0.16115199813414433</v>
      </c>
      <c r="D876" s="1538">
        <f t="shared" ca="1" si="205"/>
        <v>0.28689948451941505</v>
      </c>
      <c r="E876" s="1538">
        <f t="shared" ca="1" si="205"/>
        <v>8.6812160971664332E-2</v>
      </c>
      <c r="F876" s="1538">
        <f t="shared" ca="1" si="205"/>
        <v>8.4156552391084025E-3</v>
      </c>
      <c r="G876" s="1538">
        <f t="shared" ca="1" si="205"/>
        <v>8.4181203905558805E-2</v>
      </c>
      <c r="H876" s="1538">
        <f t="shared" ca="1" si="205"/>
        <v>4.7619047619047623E-2</v>
      </c>
      <c r="I876" s="1071">
        <f t="shared" ca="1" si="192"/>
        <v>0.22702806773537915</v>
      </c>
      <c r="J876" s="1071">
        <f t="shared" ca="1" si="193"/>
        <v>1</v>
      </c>
      <c r="K876" s="1071">
        <f t="shared" ca="1" si="194"/>
        <v>8.4156552391084025E-3</v>
      </c>
      <c r="L876" s="1071">
        <f t="shared" ca="1" si="195"/>
        <v>0</v>
      </c>
      <c r="M876" s="1374"/>
      <c r="N876" s="1374"/>
      <c r="O876" s="722">
        <v>42767</v>
      </c>
      <c r="P876" s="1538">
        <f t="shared" ca="1" si="207"/>
        <v>0.32111174673531517</v>
      </c>
      <c r="Q876" s="1538">
        <f t="shared" ca="1" si="207"/>
        <v>0.24574219189261323</v>
      </c>
      <c r="R876" s="1538">
        <f t="shared" ca="1" si="207"/>
        <v>7.847211205392636E-2</v>
      </c>
      <c r="S876" s="1538">
        <f t="shared" ca="1" si="207"/>
        <v>0.13946570182145374</v>
      </c>
      <c r="T876" s="1538">
        <f t="shared" ca="1" si="207"/>
        <v>4.4711086346453814E-2</v>
      </c>
      <c r="U876" s="1538">
        <f t="shared" ca="1" si="197"/>
        <v>0.12287811353118987</v>
      </c>
      <c r="V876" s="1538">
        <f t="shared" ca="1" si="198"/>
        <v>4.7619047619047616E-2</v>
      </c>
      <c r="W876" s="1071">
        <f t="shared" ca="1" si="199"/>
        <v>0.4331460613720714</v>
      </c>
      <c r="X876" s="1071">
        <f t="shared" ca="1" si="200"/>
        <v>0.99999999999999978</v>
      </c>
      <c r="Y876" s="1071">
        <f t="shared" ca="1" si="201"/>
        <v>0.13946570182145374</v>
      </c>
      <c r="Z876" s="1042">
        <f t="shared" ca="1" si="202"/>
        <v>0</v>
      </c>
    </row>
    <row r="877" spans="1:26" x14ac:dyDescent="0.3">
      <c r="A877" s="1036">
        <v>42795</v>
      </c>
      <c r="B877" s="1538">
        <f t="shared" ca="1" si="206"/>
        <v>0.29320596478733191</v>
      </c>
      <c r="C877" s="1538">
        <f t="shared" ca="1" si="205"/>
        <v>0.16593974099028319</v>
      </c>
      <c r="D877" s="1538">
        <f t="shared" ca="1" si="205"/>
        <v>0.30906486818354134</v>
      </c>
      <c r="E877" s="1538">
        <f t="shared" ca="1" si="205"/>
        <v>8.5998407296003263E-2</v>
      </c>
      <c r="F877" s="1538">
        <f t="shared" ca="1" si="205"/>
        <v>5.8524980100700414E-3</v>
      </c>
      <c r="G877" s="1538">
        <f t="shared" ca="1" si="205"/>
        <v>9.2319473113722697E-2</v>
      </c>
      <c r="H877" s="1538">
        <f t="shared" ca="1" si="205"/>
        <v>4.761904761904763E-2</v>
      </c>
      <c r="I877" s="1071">
        <f t="shared" ca="1" si="192"/>
        <v>0.23178942603884362</v>
      </c>
      <c r="J877" s="1071">
        <f t="shared" ca="1" si="193"/>
        <v>1</v>
      </c>
      <c r="K877" s="1071">
        <f t="shared" ca="1" si="194"/>
        <v>5.8524980100700414E-3</v>
      </c>
      <c r="L877" s="1071">
        <f t="shared" ca="1" si="195"/>
        <v>0</v>
      </c>
      <c r="M877" s="1374"/>
      <c r="N877" s="1374"/>
      <c r="O877" s="722">
        <v>42795</v>
      </c>
      <c r="P877" s="1538">
        <f t="shared" ca="1" si="207"/>
        <v>0.24050827798390495</v>
      </c>
      <c r="Q877" s="1538">
        <f t="shared" ca="1" si="207"/>
        <v>0.29289185952376418</v>
      </c>
      <c r="R877" s="1538">
        <f t="shared" ca="1" si="207"/>
        <v>7.6581682678928314E-2</v>
      </c>
      <c r="S877" s="1538">
        <f t="shared" ca="1" si="207"/>
        <v>0.15590393701013747</v>
      </c>
      <c r="T877" s="1538">
        <f t="shared" ca="1" si="207"/>
        <v>5.7501100201868535E-2</v>
      </c>
      <c r="U877" s="1538">
        <f t="shared" ca="1" si="197"/>
        <v>0.12899409498234901</v>
      </c>
      <c r="V877" s="1538">
        <f t="shared" ca="1" si="198"/>
        <v>4.7619047619047623E-2</v>
      </c>
      <c r="W877" s="1071">
        <f t="shared" ca="1" si="199"/>
        <v>0.46659986249233093</v>
      </c>
      <c r="X877" s="1071">
        <f t="shared" ca="1" si="200"/>
        <v>1</v>
      </c>
      <c r="Y877" s="1071">
        <f t="shared" ca="1" si="201"/>
        <v>0.15590393701013747</v>
      </c>
      <c r="Z877" s="1042">
        <f t="shared" ca="1" si="202"/>
        <v>0</v>
      </c>
    </row>
    <row r="878" spans="1:26" x14ac:dyDescent="0.3">
      <c r="A878" s="1036">
        <v>42826</v>
      </c>
      <c r="B878" s="1538">
        <f t="shared" ca="1" si="206"/>
        <v>0.23923075018250026</v>
      </c>
      <c r="C878" s="1538">
        <f t="shared" ca="1" si="205"/>
        <v>0.15232597542454288</v>
      </c>
      <c r="D878" s="1538">
        <f t="shared" ca="1" si="205"/>
        <v>0.30330749318651812</v>
      </c>
      <c r="E878" s="1538">
        <f t="shared" ca="1" si="205"/>
        <v>8.59459229276099E-2</v>
      </c>
      <c r="F878" s="1538">
        <f t="shared" ca="1" si="205"/>
        <v>7.872644662146927E-2</v>
      </c>
      <c r="G878" s="1538">
        <f t="shared" ca="1" si="205"/>
        <v>9.2844364038312019E-2</v>
      </c>
      <c r="H878" s="1538">
        <f t="shared" ca="1" si="205"/>
        <v>4.7619047619047623E-2</v>
      </c>
      <c r="I878" s="1071">
        <f t="shared" ca="1" si="192"/>
        <v>0.30513578120643881</v>
      </c>
      <c r="J878" s="1071">
        <f t="shared" ca="1" si="193"/>
        <v>1</v>
      </c>
      <c r="K878" s="1071">
        <f t="shared" ca="1" si="194"/>
        <v>7.872644662146927E-2</v>
      </c>
      <c r="L878" s="1071">
        <f t="shared" ca="1" si="195"/>
        <v>0</v>
      </c>
      <c r="M878" s="1374"/>
      <c r="N878" s="1374"/>
      <c r="O878" s="722">
        <v>42826</v>
      </c>
      <c r="P878" s="1538">
        <f t="shared" ca="1" si="207"/>
        <v>0.23589587751907112</v>
      </c>
      <c r="Q878" s="1538">
        <f t="shared" ca="1" si="207"/>
        <v>0.33023581685598352</v>
      </c>
      <c r="R878" s="1538">
        <f t="shared" ca="1" si="207"/>
        <v>7.7257184135142876E-2</v>
      </c>
      <c r="S878" s="1538">
        <f t="shared" ca="1" si="207"/>
        <v>0.12925250126079485</v>
      </c>
      <c r="T878" s="1538">
        <f t="shared" ca="1" si="207"/>
        <v>7.4538543861931345E-2</v>
      </c>
      <c r="U878" s="1538">
        <f t="shared" ca="1" si="197"/>
        <v>0.10520102874802863</v>
      </c>
      <c r="V878" s="1538">
        <f t="shared" ca="1" si="198"/>
        <v>4.7619047619047623E-2</v>
      </c>
      <c r="W878" s="1071">
        <f t="shared" ca="1" si="199"/>
        <v>0.43386830562494533</v>
      </c>
      <c r="X878" s="1071">
        <f t="shared" ca="1" si="200"/>
        <v>1</v>
      </c>
      <c r="Y878" s="1071">
        <f t="shared" ca="1" si="201"/>
        <v>0.12925250126079485</v>
      </c>
      <c r="Z878" s="1042">
        <f t="shared" ca="1" si="202"/>
        <v>0</v>
      </c>
    </row>
    <row r="879" spans="1:26" x14ac:dyDescent="0.3">
      <c r="A879" s="1036">
        <v>42856</v>
      </c>
      <c r="B879" s="1538">
        <f t="shared" ca="1" si="206"/>
        <v>0.21704010139692215</v>
      </c>
      <c r="C879" s="1538">
        <f t="shared" ca="1" si="205"/>
        <v>0.1415871122335611</v>
      </c>
      <c r="D879" s="1538">
        <f t="shared" ca="1" si="205"/>
        <v>0.29846179736340434</v>
      </c>
      <c r="E879" s="1538">
        <f t="shared" ca="1" si="205"/>
        <v>8.591708913759652E-2</v>
      </c>
      <c r="F879" s="1538">
        <f t="shared" ca="1" si="205"/>
        <v>0.1162421243580164</v>
      </c>
      <c r="G879" s="1538">
        <f t="shared" ca="1" si="205"/>
        <v>9.3132727891451855E-2</v>
      </c>
      <c r="H879" s="1538">
        <f t="shared" ca="1" si="205"/>
        <v>4.7619047619047623E-2</v>
      </c>
      <c r="I879" s="1071">
        <f t="shared" ca="1" si="192"/>
        <v>0.34291098900611239</v>
      </c>
      <c r="J879" s="1071">
        <f t="shared" ca="1" si="193"/>
        <v>1</v>
      </c>
      <c r="K879" s="1071">
        <f t="shared" ca="1" si="194"/>
        <v>0.1162421243580164</v>
      </c>
      <c r="L879" s="1071">
        <f t="shared" ca="1" si="195"/>
        <v>0</v>
      </c>
      <c r="M879" s="1374"/>
      <c r="N879" s="1374"/>
      <c r="O879" s="722">
        <v>42856</v>
      </c>
      <c r="P879" s="1538">
        <f t="shared" ca="1" si="207"/>
        <v>0.15230581286934453</v>
      </c>
      <c r="Q879" s="1538">
        <f t="shared" ca="1" si="207"/>
        <v>0.44923550008290269</v>
      </c>
      <c r="R879" s="1538">
        <f t="shared" ca="1" si="207"/>
        <v>7.5653915947690636E-2</v>
      </c>
      <c r="S879" s="1538">
        <f t="shared" ca="1" si="207"/>
        <v>7.9412025910854847E-2</v>
      </c>
      <c r="T879" s="1538">
        <f t="shared" ca="1" si="207"/>
        <v>0.11688989797440796</v>
      </c>
      <c r="U879" s="1538">
        <f t="shared" ca="1" si="197"/>
        <v>7.8883799595751702E-2</v>
      </c>
      <c r="V879" s="1538">
        <f t="shared" ref="V879:V904" ca="1" si="208">IF(VLOOKUP($O879, INDIRECT("'"&amp;$P$812&amp;"'!$A$5:$CA$100"),V$813, FALSE)=0,NA(),VLOOKUP($O879, INDIRECT("'"&amp;$P$812&amp;"'!$A$5:$CA$100"),V$813, FALSE)/VLOOKUP($O879, INDIRECT("'"&amp;$P$812&amp;"'!$A$5:$CA$100"),6, FALSE))</f>
        <v>4.7619047619047623E-2</v>
      </c>
      <c r="W879" s="1071">
        <f t="shared" ref="W879:W889" ca="1" si="209">SUM(R879:V879)</f>
        <v>0.39845868704775278</v>
      </c>
      <c r="X879" s="1071">
        <f t="shared" ref="X879:X889" ca="1" si="210">SUM(P879:V879)</f>
        <v>1</v>
      </c>
      <c r="Y879" s="1071">
        <f t="shared" ref="Y879:Y904" ca="1" si="211">IF($S879&gt;=0, $S879, 0)</f>
        <v>7.9412025910854847E-2</v>
      </c>
      <c r="Z879" s="1042">
        <f t="shared" ref="Z879:Z904" ca="1" si="212">IF($S879&lt;0, $S879, 0)</f>
        <v>0</v>
      </c>
    </row>
    <row r="880" spans="1:26" x14ac:dyDescent="0.3">
      <c r="A880" s="1036">
        <v>42887</v>
      </c>
      <c r="B880" s="1538">
        <f t="shared" ca="1" si="206"/>
        <v>0.23746108186039255</v>
      </c>
      <c r="C880" s="1538">
        <f t="shared" ca="1" si="206"/>
        <v>0.13614472666947949</v>
      </c>
      <c r="D880" s="1538">
        <f t="shared" ca="1" si="206"/>
        <v>0.290039061374121</v>
      </c>
      <c r="E880" s="1538">
        <f t="shared" ca="1" si="206"/>
        <v>8.6149032025004665E-2</v>
      </c>
      <c r="F880" s="1538">
        <f t="shared" ca="1" si="206"/>
        <v>0.11177396020405965</v>
      </c>
      <c r="G880" s="1538">
        <f t="shared" ca="1" si="206"/>
        <v>9.0813090247895134E-2</v>
      </c>
      <c r="H880" s="1538">
        <f t="shared" ca="1" si="206"/>
        <v>4.7619047619047623E-2</v>
      </c>
      <c r="I880" s="1071">
        <f t="shared" ref="I880:I889" ca="1" si="213">SUM(E880:H880)</f>
        <v>0.33635513009600709</v>
      </c>
      <c r="J880" s="1071">
        <f t="shared" ref="J880:J889" ca="1" si="214">SUM(B880:H880)</f>
        <v>1</v>
      </c>
      <c r="K880" s="1071">
        <f t="shared" ref="K880:K900" ca="1" si="215">IF($F880&gt;=0, $F880, 0)</f>
        <v>0.11177396020405965</v>
      </c>
      <c r="L880" s="1071">
        <f t="shared" ref="L880:L904" ca="1" si="216">IF($F880&lt;0, $F880, 0)</f>
        <v>0</v>
      </c>
      <c r="M880" s="1374"/>
      <c r="N880" s="1374"/>
      <c r="O880" s="722">
        <v>42887</v>
      </c>
      <c r="P880" s="1538">
        <f t="shared" ca="1" si="207"/>
        <v>7.3593750111369052E-2</v>
      </c>
      <c r="Q880" s="1538">
        <f t="shared" ca="1" si="207"/>
        <v>0.53245674457127812</v>
      </c>
      <c r="R880" s="1538">
        <f t="shared" ca="1" si="207"/>
        <v>7.4550405275147891E-2</v>
      </c>
      <c r="S880" s="1538">
        <f t="shared" ca="1" si="207"/>
        <v>6.4970254868638916E-2</v>
      </c>
      <c r="T880" s="1538">
        <f t="shared" ca="1" si="207"/>
        <v>0.1465642256010011</v>
      </c>
      <c r="U880" s="1538">
        <f t="shared" ref="U880:U904" ca="1" si="217">IF(VLOOKUP($O880, INDIRECT("'"&amp;$P$812&amp;"'!$A$5:$CA$100"),U$813, FALSE)=0,VLOOKUP($O880, INDIRECT("'"&amp;$P$812&amp;"'!$A$5:$CA$100"),U$813, FALSE),VLOOKUP($O880, INDIRECT("'"&amp;$P$812&amp;"'!$A$5:$CA$100"),U$813, FALSE)/VLOOKUP($O880, INDIRECT("'"&amp;$P$812&amp;"'!$A$5:$CA$100"),6, FALSE))</f>
        <v>6.0245571953517485E-2</v>
      </c>
      <c r="V880" s="1538">
        <f t="shared" ca="1" si="208"/>
        <v>4.7619047619047616E-2</v>
      </c>
      <c r="W880" s="1071">
        <f t="shared" ca="1" si="209"/>
        <v>0.39394950531735301</v>
      </c>
      <c r="X880" s="1071">
        <f t="shared" ca="1" si="210"/>
        <v>1.0000000000000002</v>
      </c>
      <c r="Y880" s="1071">
        <f t="shared" ca="1" si="211"/>
        <v>6.4970254868638916E-2</v>
      </c>
      <c r="Z880" s="1042">
        <f t="shared" ca="1" si="212"/>
        <v>0</v>
      </c>
    </row>
    <row r="881" spans="1:26" x14ac:dyDescent="0.3">
      <c r="A881" s="1036">
        <v>42917</v>
      </c>
      <c r="B881" s="1538">
        <f t="shared" ca="1" si="206"/>
        <v>0.28664678689876816</v>
      </c>
      <c r="C881" s="1538">
        <f t="shared" ca="1" si="206"/>
        <v>0.13242989017780868</v>
      </c>
      <c r="D881" s="1538">
        <f t="shared" ca="1" si="206"/>
        <v>0.25877679523124347</v>
      </c>
      <c r="E881" s="1538">
        <f t="shared" ca="1" si="206"/>
        <v>8.7361554581883855E-2</v>
      </c>
      <c r="F881" s="1538">
        <f t="shared" ca="1" si="206"/>
        <v>0.10847915219158424</v>
      </c>
      <c r="G881" s="1538">
        <f t="shared" ca="1" si="206"/>
        <v>7.8686773299664003E-2</v>
      </c>
      <c r="H881" s="1538">
        <f t="shared" ca="1" si="206"/>
        <v>4.7619047619047623E-2</v>
      </c>
      <c r="I881" s="1071">
        <f t="shared" ca="1" si="213"/>
        <v>0.32214652769217972</v>
      </c>
      <c r="J881" s="1071">
        <f t="shared" ca="1" si="214"/>
        <v>1</v>
      </c>
      <c r="K881" s="1071">
        <f t="shared" ca="1" si="215"/>
        <v>0.10847915219158424</v>
      </c>
      <c r="L881" s="1071">
        <f t="shared" ca="1" si="216"/>
        <v>0</v>
      </c>
      <c r="M881" s="1374"/>
      <c r="N881" s="1374"/>
      <c r="O881" s="722">
        <v>42917</v>
      </c>
      <c r="P881" s="1538">
        <f t="shared" ca="1" si="207"/>
        <v>8.9202465468042183E-2</v>
      </c>
      <c r="Q881" s="1538">
        <f t="shared" ca="1" si="207"/>
        <v>0.52321734010408449</v>
      </c>
      <c r="R881" s="1538">
        <f t="shared" ca="1" si="207"/>
        <v>7.5645437807044733E-2</v>
      </c>
      <c r="S881" s="1538">
        <f t="shared" ca="1" si="207"/>
        <v>6.8457222394072564E-2</v>
      </c>
      <c r="T881" s="1538">
        <f t="shared" ca="1" si="207"/>
        <v>0.14636139956698913</v>
      </c>
      <c r="U881" s="1538">
        <f t="shared" ca="1" si="217"/>
        <v>4.9497087040719347E-2</v>
      </c>
      <c r="V881" s="1538">
        <f t="shared" ca="1" si="208"/>
        <v>4.7619047619047616E-2</v>
      </c>
      <c r="W881" s="1071">
        <f t="shared" ca="1" si="209"/>
        <v>0.38758019442787339</v>
      </c>
      <c r="X881" s="1071">
        <f t="shared" ca="1" si="210"/>
        <v>1</v>
      </c>
      <c r="Y881" s="1071">
        <f t="shared" ca="1" si="211"/>
        <v>6.8457222394072564E-2</v>
      </c>
      <c r="Z881" s="1042">
        <f t="shared" ca="1" si="212"/>
        <v>0</v>
      </c>
    </row>
    <row r="882" spans="1:26" x14ac:dyDescent="0.3">
      <c r="A882" s="1036">
        <v>42948</v>
      </c>
      <c r="B882" s="1538">
        <f t="shared" ca="1" si="206"/>
        <v>0.27460837371871455</v>
      </c>
      <c r="C882" s="1538">
        <f t="shared" ca="1" si="206"/>
        <v>0.13019982406059291</v>
      </c>
      <c r="D882" s="1538">
        <f t="shared" ca="1" si="206"/>
        <v>0.27019663198122418</v>
      </c>
      <c r="E882" s="1538">
        <f t="shared" ca="1" si="206"/>
        <v>8.6842118990149972E-2</v>
      </c>
      <c r="F882" s="1538">
        <f t="shared" ca="1" si="206"/>
        <v>0.10665240687448149</v>
      </c>
      <c r="G882" s="1538">
        <f t="shared" ca="1" si="206"/>
        <v>8.388159675578942E-2</v>
      </c>
      <c r="H882" s="1538">
        <f t="shared" ca="1" si="206"/>
        <v>4.7619047619047623E-2</v>
      </c>
      <c r="I882" s="1071">
        <f t="shared" ca="1" si="213"/>
        <v>0.3249951702394685</v>
      </c>
      <c r="J882" s="1071">
        <f t="shared" ca="1" si="214"/>
        <v>1</v>
      </c>
      <c r="K882" s="1071">
        <f t="shared" ca="1" si="215"/>
        <v>0.10665240687448149</v>
      </c>
      <c r="L882" s="1071">
        <f t="shared" ca="1" si="216"/>
        <v>0</v>
      </c>
      <c r="M882" s="1374"/>
      <c r="N882" s="1374"/>
      <c r="O882" s="722">
        <v>42948</v>
      </c>
      <c r="P882" s="1538">
        <f t="shared" ca="1" si="207"/>
        <v>0.11768337455683545</v>
      </c>
      <c r="Q882" s="1538">
        <f t="shared" ca="1" si="207"/>
        <v>0.51702123476847095</v>
      </c>
      <c r="R882" s="1538">
        <f t="shared" ca="1" si="207"/>
        <v>7.5710710530220923E-2</v>
      </c>
      <c r="S882" s="1538">
        <f t="shared" ca="1" si="207"/>
        <v>4.675993190080447E-2</v>
      </c>
      <c r="T882" s="1538">
        <f t="shared" ca="1" si="207"/>
        <v>0.14409835883898464</v>
      </c>
      <c r="U882" s="1538">
        <f t="shared" ca="1" si="217"/>
        <v>5.1107341785636022E-2</v>
      </c>
      <c r="V882" s="1538">
        <f t="shared" ca="1" si="208"/>
        <v>4.7619047619047623E-2</v>
      </c>
      <c r="W882" s="1071">
        <f t="shared" ca="1" si="209"/>
        <v>0.36529539067469369</v>
      </c>
      <c r="X882" s="1071">
        <f t="shared" ca="1" si="210"/>
        <v>1.0000000000000002</v>
      </c>
      <c r="Y882" s="1071">
        <f t="shared" ca="1" si="211"/>
        <v>4.675993190080447E-2</v>
      </c>
      <c r="Z882" s="1042">
        <f t="shared" ca="1" si="212"/>
        <v>0</v>
      </c>
    </row>
    <row r="883" spans="1:26" x14ac:dyDescent="0.3">
      <c r="A883" s="1036">
        <v>42979</v>
      </c>
      <c r="B883" s="1538">
        <f t="shared" ca="1" si="206"/>
        <v>0.26153068044764161</v>
      </c>
      <c r="C883" s="1538">
        <f t="shared" ca="1" si="206"/>
        <v>0.13516122234605546</v>
      </c>
      <c r="D883" s="1538">
        <f t="shared" ca="1" si="206"/>
        <v>0.27384460778540393</v>
      </c>
      <c r="E883" s="1538">
        <f t="shared" ca="1" si="206"/>
        <v>8.6797210208069325E-2</v>
      </c>
      <c r="F883" s="1538">
        <f t="shared" ca="1" si="206"/>
        <v>0.11071650659524031</v>
      </c>
      <c r="G883" s="1538">
        <f t="shared" ca="1" si="206"/>
        <v>8.4330724998541634E-2</v>
      </c>
      <c r="H883" s="1538">
        <f t="shared" ca="1" si="206"/>
        <v>4.7619047619047623E-2</v>
      </c>
      <c r="I883" s="1071">
        <f t="shared" ca="1" si="213"/>
        <v>0.32946348942089893</v>
      </c>
      <c r="J883" s="1071">
        <f t="shared" ca="1" si="214"/>
        <v>1</v>
      </c>
      <c r="K883" s="1071">
        <f t="shared" ca="1" si="215"/>
        <v>0.11071650659524031</v>
      </c>
      <c r="L883" s="1071">
        <f t="shared" ca="1" si="216"/>
        <v>0</v>
      </c>
      <c r="M883" s="1374"/>
      <c r="N883" s="1374"/>
      <c r="O883" s="722">
        <v>42979</v>
      </c>
      <c r="P883" s="1538">
        <f t="shared" ca="1" si="207"/>
        <v>0.12331601568532809</v>
      </c>
      <c r="Q883" s="1538">
        <f t="shared" ca="1" si="207"/>
        <v>0.4675919914134572</v>
      </c>
      <c r="R883" s="1538">
        <f t="shared" ca="1" si="207"/>
        <v>7.4487312393376554E-2</v>
      </c>
      <c r="S883" s="1538">
        <f t="shared" ca="1" si="207"/>
        <v>7.9544849727286246E-2</v>
      </c>
      <c r="T883" s="1538">
        <f t="shared" ca="1" si="207"/>
        <v>0.12050041227038397</v>
      </c>
      <c r="U883" s="1538">
        <f t="shared" ca="1" si="217"/>
        <v>8.6940370891120416E-2</v>
      </c>
      <c r="V883" s="1538">
        <f t="shared" ca="1" si="208"/>
        <v>4.7619047619047623E-2</v>
      </c>
      <c r="W883" s="1071">
        <f t="shared" ca="1" si="209"/>
        <v>0.40909199290121473</v>
      </c>
      <c r="X883" s="1071">
        <f t="shared" ca="1" si="210"/>
        <v>1.0000000000000002</v>
      </c>
      <c r="Y883" s="1071">
        <f t="shared" ca="1" si="211"/>
        <v>7.9544849727286246E-2</v>
      </c>
      <c r="Z883" s="1042">
        <f t="shared" ca="1" si="212"/>
        <v>0</v>
      </c>
    </row>
    <row r="884" spans="1:26" x14ac:dyDescent="0.3">
      <c r="A884" s="1036">
        <v>43009</v>
      </c>
      <c r="B884" s="1538">
        <f t="shared" ca="1" si="206"/>
        <v>0.26998681673020386</v>
      </c>
      <c r="C884" s="1538">
        <f t="shared" ca="1" si="206"/>
        <v>0.13641623608566866</v>
      </c>
      <c r="D884" s="1538">
        <f t="shared" ca="1" si="206"/>
        <v>0.26732144082138826</v>
      </c>
      <c r="E884" s="1538">
        <f t="shared" ca="1" si="206"/>
        <v>8.70935172710188E-2</v>
      </c>
      <c r="F884" s="1538">
        <f t="shared" ca="1" si="206"/>
        <v>0.11019555380665279</v>
      </c>
      <c r="G884" s="1538">
        <f t="shared" ca="1" si="206"/>
        <v>8.1367387666020127E-2</v>
      </c>
      <c r="H884" s="1538">
        <f t="shared" ca="1" si="206"/>
        <v>4.7619047619047623E-2</v>
      </c>
      <c r="I884" s="1071">
        <f t="shared" ca="1" si="213"/>
        <v>0.32627550636273933</v>
      </c>
      <c r="J884" s="1071">
        <f t="shared" ca="1" si="214"/>
        <v>1.0000000000000002</v>
      </c>
      <c r="K884" s="1071">
        <f t="shared" ca="1" si="215"/>
        <v>0.11019555380665279</v>
      </c>
      <c r="L884" s="1071">
        <f t="shared" ca="1" si="216"/>
        <v>0</v>
      </c>
      <c r="M884" s="1374"/>
      <c r="N884" s="1374"/>
      <c r="O884" s="722">
        <v>43009</v>
      </c>
      <c r="P884" s="1538">
        <f t="shared" ca="1" si="207"/>
        <v>0.18985071113812416</v>
      </c>
      <c r="Q884" s="1538">
        <f t="shared" ca="1" si="207"/>
        <v>0.381170737990074</v>
      </c>
      <c r="R884" s="1538">
        <f t="shared" ca="1" si="207"/>
        <v>7.5040056694270746E-2</v>
      </c>
      <c r="S884" s="1538">
        <f t="shared" ca="1" si="207"/>
        <v>0.10440660392554392</v>
      </c>
      <c r="T884" s="1538">
        <f t="shared" ca="1" si="207"/>
        <v>8.7799246342426432E-2</v>
      </c>
      <c r="U884" s="1538">
        <f t="shared" ca="1" si="217"/>
        <v>0.11411359629051339</v>
      </c>
      <c r="V884" s="1538">
        <f t="shared" ca="1" si="208"/>
        <v>4.7619047619047623E-2</v>
      </c>
      <c r="W884" s="1071">
        <f t="shared" ca="1" si="209"/>
        <v>0.42897855087180209</v>
      </c>
      <c r="X884" s="1071">
        <f t="shared" ca="1" si="210"/>
        <v>1.0000000000000002</v>
      </c>
      <c r="Y884" s="1071">
        <f t="shared" ca="1" si="211"/>
        <v>0.10440660392554392</v>
      </c>
      <c r="Z884" s="1042">
        <f t="shared" ca="1" si="212"/>
        <v>0</v>
      </c>
    </row>
    <row r="885" spans="1:26" x14ac:dyDescent="0.3">
      <c r="A885" s="1036">
        <v>43040</v>
      </c>
      <c r="B885" s="1538">
        <f t="shared" ca="1" si="206"/>
        <v>0.27032224509687486</v>
      </c>
      <c r="C885" s="1538">
        <f t="shared" ca="1" si="206"/>
        <v>0.14402633058638037</v>
      </c>
      <c r="D885" s="1538">
        <f t="shared" ca="1" si="206"/>
        <v>0.25811401785432331</v>
      </c>
      <c r="E885" s="1538">
        <f t="shared" ca="1" si="206"/>
        <v>8.7636290941548442E-2</v>
      </c>
      <c r="F885" s="1538">
        <f t="shared" ca="1" si="206"/>
        <v>0.11634290548625971</v>
      </c>
      <c r="G885" s="1538">
        <f t="shared" ca="1" si="206"/>
        <v>7.593916241556585E-2</v>
      </c>
      <c r="H885" s="1538">
        <f t="shared" ca="1" si="206"/>
        <v>4.7619047619047623E-2</v>
      </c>
      <c r="I885" s="1071">
        <f t="shared" ca="1" si="213"/>
        <v>0.32753740646242163</v>
      </c>
      <c r="J885" s="1071">
        <f t="shared" ca="1" si="214"/>
        <v>1.0000000000000002</v>
      </c>
      <c r="K885" s="1071">
        <f t="shared" ca="1" si="215"/>
        <v>0.11634290548625971</v>
      </c>
      <c r="L885" s="1071">
        <f t="shared" ca="1" si="216"/>
        <v>0</v>
      </c>
      <c r="M885" s="1374"/>
      <c r="N885" s="1374"/>
      <c r="O885" s="722">
        <v>43040</v>
      </c>
      <c r="P885" s="1538">
        <f t="shared" ca="1" si="207"/>
        <v>0.25140214446703579</v>
      </c>
      <c r="Q885" s="1538">
        <f t="shared" ca="1" si="207"/>
        <v>0.30119924033514178</v>
      </c>
      <c r="R885" s="1538">
        <f t="shared" ca="1" si="207"/>
        <v>7.5550709677010219E-2</v>
      </c>
      <c r="S885" s="1538">
        <f t="shared" ca="1" si="207"/>
        <v>0.12742300472986748</v>
      </c>
      <c r="T885" s="1538">
        <f t="shared" ca="1" si="207"/>
        <v>5.7535952867144594E-2</v>
      </c>
      <c r="U885" s="1538">
        <f t="shared" ca="1" si="217"/>
        <v>0.13926990030475242</v>
      </c>
      <c r="V885" s="1538">
        <f t="shared" ca="1" si="208"/>
        <v>4.7619047619047623E-2</v>
      </c>
      <c r="W885" s="1071">
        <f t="shared" ca="1" si="209"/>
        <v>0.44739861519782237</v>
      </c>
      <c r="X885" s="1071">
        <f t="shared" ca="1" si="210"/>
        <v>1</v>
      </c>
      <c r="Y885" s="1071">
        <f t="shared" ca="1" si="211"/>
        <v>0.12742300472986748</v>
      </c>
      <c r="Z885" s="1042">
        <f t="shared" ca="1" si="212"/>
        <v>0</v>
      </c>
    </row>
    <row r="886" spans="1:26" x14ac:dyDescent="0.3">
      <c r="A886" s="1036">
        <v>43070</v>
      </c>
      <c r="B886" s="1538">
        <f t="shared" ca="1" si="206"/>
        <v>0.29403279096013862</v>
      </c>
      <c r="C886" s="1538">
        <f t="shared" ca="1" si="206"/>
        <v>0.1432122174789083</v>
      </c>
      <c r="D886" s="1538">
        <f t="shared" ca="1" si="206"/>
        <v>0.24179008179972686</v>
      </c>
      <c r="E886" s="1538">
        <f t="shared" ca="1" si="206"/>
        <v>8.8293432440335218E-2</v>
      </c>
      <c r="F886" s="1538">
        <f t="shared" ca="1" si="206"/>
        <v>0.11568527376064311</v>
      </c>
      <c r="G886" s="1538">
        <f t="shared" ca="1" si="206"/>
        <v>6.9367155941200284E-2</v>
      </c>
      <c r="H886" s="1538">
        <f t="shared" ca="1" si="206"/>
        <v>4.7619047619047616E-2</v>
      </c>
      <c r="I886" s="1071">
        <f t="shared" ca="1" si="213"/>
        <v>0.32096490976122621</v>
      </c>
      <c r="J886" s="1071">
        <f t="shared" ca="1" si="214"/>
        <v>0.99999999999999978</v>
      </c>
      <c r="K886" s="1071">
        <f t="shared" ca="1" si="215"/>
        <v>0.11568527376064311</v>
      </c>
      <c r="L886" s="1071">
        <f t="shared" ca="1" si="216"/>
        <v>0</v>
      </c>
      <c r="M886" s="1374"/>
      <c r="N886" s="1374"/>
      <c r="O886" s="722">
        <v>43070</v>
      </c>
      <c r="P886" s="1538">
        <f t="shared" ca="1" si="207"/>
        <v>0.28707287905148027</v>
      </c>
      <c r="Q886" s="1538">
        <f t="shared" ca="1" si="207"/>
        <v>0.28979952459702524</v>
      </c>
      <c r="R886" s="1538">
        <f t="shared" ca="1" si="207"/>
        <v>7.69006682476603E-2</v>
      </c>
      <c r="S886" s="1538">
        <f t="shared" ca="1" si="207"/>
        <v>0.11530282810361238</v>
      </c>
      <c r="T886" s="1538">
        <f t="shared" ca="1" si="207"/>
        <v>5.7282177556577399E-2</v>
      </c>
      <c r="U886" s="1538">
        <f t="shared" ca="1" si="217"/>
        <v>0.12602287482459684</v>
      </c>
      <c r="V886" s="1538">
        <f t="shared" ca="1" si="208"/>
        <v>4.761904761904763E-2</v>
      </c>
      <c r="W886" s="1071">
        <f t="shared" ca="1" si="209"/>
        <v>0.42312759635149455</v>
      </c>
      <c r="X886" s="1071">
        <f t="shared" ca="1" si="210"/>
        <v>1</v>
      </c>
      <c r="Y886" s="1071">
        <f t="shared" ca="1" si="211"/>
        <v>0.11530282810361238</v>
      </c>
      <c r="Z886" s="1042">
        <f t="shared" ca="1" si="212"/>
        <v>0</v>
      </c>
    </row>
    <row r="887" spans="1:26" x14ac:dyDescent="0.3">
      <c r="A887" s="1036">
        <v>43101</v>
      </c>
      <c r="B887" s="1538">
        <f t="shared" ca="1" si="206"/>
        <v>0.3350024053062105</v>
      </c>
      <c r="C887" s="1538">
        <f ca="1">IF(VLOOKUP($A887, INDIRECT("'"&amp;$B$812&amp;"'!$A$5:$CA$100"),C$813, FALSE)=0,NA(),VLOOKUP($A887, INDIRECT("'"&amp;$B$812&amp;"'!$A$5:$CA$100"),C$813, FALSE)/VLOOKUP($A887, INDIRECT("'"&amp;$B$812&amp;"'!$A$5:$CA$100"),6, FALSE))</f>
        <v>0.12754600576046118</v>
      </c>
      <c r="D887" s="1538">
        <f t="shared" ca="1" si="206"/>
        <v>0.22538656360730333</v>
      </c>
      <c r="E887" s="1538">
        <f t="shared" ca="1" si="206"/>
        <v>8.8637069233566623E-2</v>
      </c>
      <c r="F887" s="1538">
        <f t="shared" ca="1" si="206"/>
        <v>0.10987842976856871</v>
      </c>
      <c r="G887" s="1538">
        <f t="shared" ca="1" si="206"/>
        <v>6.5930478704842255E-2</v>
      </c>
      <c r="H887" s="1538">
        <f t="shared" ca="1" si="206"/>
        <v>4.7619047619047623E-2</v>
      </c>
      <c r="I887" s="1071">
        <f t="shared" ca="1" si="213"/>
        <v>0.3120650253260252</v>
      </c>
      <c r="J887" s="1071">
        <f t="shared" ca="1" si="214"/>
        <v>1.0000000000000002</v>
      </c>
      <c r="K887" s="1071">
        <f t="shared" ca="1" si="215"/>
        <v>0.10987842976856871</v>
      </c>
      <c r="L887" s="1071">
        <f t="shared" ca="1" si="216"/>
        <v>0</v>
      </c>
      <c r="M887" s="1374"/>
      <c r="N887" s="1374"/>
      <c r="O887" s="722">
        <v>43101</v>
      </c>
      <c r="P887" s="1538">
        <f t="shared" ca="1" si="207"/>
        <v>0.245129344198981</v>
      </c>
      <c r="Q887" s="1538">
        <f t="shared" ca="1" si="207"/>
        <v>0.27225478896539113</v>
      </c>
      <c r="R887" s="1538">
        <f t="shared" ca="1" si="207"/>
        <v>7.0663653426884507E-2</v>
      </c>
      <c r="S887" s="1538">
        <f t="shared" ca="1" si="207"/>
        <v>0.11865235132603737</v>
      </c>
      <c r="T887" s="1538">
        <f t="shared" ca="1" si="207"/>
        <v>5.1090958288957301E-2</v>
      </c>
      <c r="U887" s="1538">
        <f t="shared" ca="1" si="217"/>
        <v>0.19458985617470126</v>
      </c>
      <c r="V887" s="1538">
        <f t="shared" ca="1" si="208"/>
        <v>4.761904761904763E-2</v>
      </c>
      <c r="W887" s="1071">
        <f t="shared" ca="1" si="209"/>
        <v>0.48261586683562802</v>
      </c>
      <c r="X887" s="1071">
        <f t="shared" ca="1" si="210"/>
        <v>1.0000000000000002</v>
      </c>
      <c r="Y887" s="1071">
        <f t="shared" ca="1" si="211"/>
        <v>0.11865235132603737</v>
      </c>
      <c r="Z887" s="1042">
        <f t="shared" ca="1" si="212"/>
        <v>0</v>
      </c>
    </row>
    <row r="888" spans="1:26" x14ac:dyDescent="0.3">
      <c r="A888" s="1036">
        <v>43132</v>
      </c>
      <c r="B888" s="1538">
        <f t="shared" ca="1" si="206"/>
        <v>0.34072508468609825</v>
      </c>
      <c r="C888" s="1538">
        <f t="shared" ca="1" si="206"/>
        <v>0.12794775850367604</v>
      </c>
      <c r="D888" s="1538">
        <f t="shared" ca="1" si="206"/>
        <v>0.22072637037810891</v>
      </c>
      <c r="E888" s="1538">
        <f t="shared" ca="1" si="206"/>
        <v>8.883819813553237E-2</v>
      </c>
      <c r="F888" s="1538">
        <f t="shared" ca="1" si="206"/>
        <v>0.11022453202646748</v>
      </c>
      <c r="G888" s="1538">
        <f t="shared" ca="1" si="206"/>
        <v>6.3919008651069073E-2</v>
      </c>
      <c r="H888" s="1538">
        <f t="shared" ca="1" si="206"/>
        <v>4.7619047619047623E-2</v>
      </c>
      <c r="I888" s="1071">
        <f t="shared" ca="1" si="213"/>
        <v>0.31060078643211653</v>
      </c>
      <c r="J888" s="1071">
        <f t="shared" ca="1" si="214"/>
        <v>0.99999999999999978</v>
      </c>
      <c r="K888" s="1071">
        <f t="shared" ca="1" si="215"/>
        <v>0.11022453202646748</v>
      </c>
      <c r="L888" s="1071">
        <f t="shared" ca="1" si="216"/>
        <v>0</v>
      </c>
      <c r="M888" s="1374"/>
      <c r="N888" s="1374"/>
      <c r="O888" s="722">
        <v>43132</v>
      </c>
      <c r="P888" s="1538">
        <f t="shared" ca="1" si="207"/>
        <v>0.2956750267381501</v>
      </c>
      <c r="Q888" s="1538">
        <f t="shared" ca="1" si="207"/>
        <v>0.23458533480148316</v>
      </c>
      <c r="R888" s="1538">
        <f t="shared" ca="1" si="207"/>
        <v>7.1964238585572521E-2</v>
      </c>
      <c r="S888" s="1538">
        <f t="shared" ca="1" si="207"/>
        <v>0.11748256002267563</v>
      </c>
      <c r="T888" s="1538">
        <f t="shared" ca="1" si="207"/>
        <v>4.0002393795882898E-2</v>
      </c>
      <c r="U888" s="1538">
        <f t="shared" ca="1" si="217"/>
        <v>0.192671398437188</v>
      </c>
      <c r="V888" s="1538">
        <f t="shared" ca="1" si="208"/>
        <v>4.7619047619047623E-2</v>
      </c>
      <c r="W888" s="1071">
        <f t="shared" ca="1" si="209"/>
        <v>0.46973963846036665</v>
      </c>
      <c r="X888" s="1071">
        <f t="shared" ca="1" si="210"/>
        <v>1</v>
      </c>
      <c r="Y888" s="1071">
        <f t="shared" ca="1" si="211"/>
        <v>0.11748256002267563</v>
      </c>
      <c r="Z888" s="1042">
        <f t="shared" ca="1" si="212"/>
        <v>0</v>
      </c>
    </row>
    <row r="889" spans="1:26" x14ac:dyDescent="0.3">
      <c r="A889" s="1036">
        <v>43160</v>
      </c>
      <c r="B889" s="1538">
        <f t="shared" ca="1" si="206"/>
        <v>0.3282261995160633</v>
      </c>
      <c r="C889" s="1538">
        <f t="shared" ca="1" si="206"/>
        <v>0.12501500041450372</v>
      </c>
      <c r="D889" s="1538">
        <f t="shared" ca="1" si="206"/>
        <v>0.23340577588378583</v>
      </c>
      <c r="E889" s="1538">
        <f t="shared" ca="1" si="206"/>
        <v>8.8251728742083341E-2</v>
      </c>
      <c r="F889" s="1538">
        <f t="shared" ca="1" si="206"/>
        <v>0.10769801736371494</v>
      </c>
      <c r="G889" s="1538">
        <f t="shared" ca="1" si="206"/>
        <v>6.9784230460801344E-2</v>
      </c>
      <c r="H889" s="1538">
        <f t="shared" ca="1" si="206"/>
        <v>4.7619047619047623E-2</v>
      </c>
      <c r="I889" s="1071">
        <f t="shared" ca="1" si="213"/>
        <v>0.31335302418564726</v>
      </c>
      <c r="J889" s="1071">
        <f t="shared" ca="1" si="214"/>
        <v>1.0000000000000002</v>
      </c>
      <c r="K889" s="1071">
        <f t="shared" ca="1" si="215"/>
        <v>0.10769801736371494</v>
      </c>
      <c r="L889" s="1071">
        <f t="shared" ca="1" si="216"/>
        <v>0</v>
      </c>
      <c r="M889" s="1374"/>
      <c r="N889" s="1374"/>
      <c r="O889" s="722">
        <v>43160</v>
      </c>
      <c r="P889" s="1538">
        <f t="shared" ca="1" si="207"/>
        <v>0.23274286073635397</v>
      </c>
      <c r="Q889" s="1538">
        <f t="shared" ca="1" si="207"/>
        <v>0.31112999656690427</v>
      </c>
      <c r="R889" s="1538">
        <f t="shared" ca="1" si="207"/>
        <v>6.8720234571182398E-2</v>
      </c>
      <c r="S889" s="1538">
        <f t="shared" ca="1" si="207"/>
        <v>7.4671108233936995E-2</v>
      </c>
      <c r="T889" s="1538">
        <f t="shared" ca="1" si="207"/>
        <v>6.1382811281779137E-2</v>
      </c>
      <c r="U889" s="1538">
        <f t="shared" ca="1" si="217"/>
        <v>0.20373394099079567</v>
      </c>
      <c r="V889" s="1538">
        <f t="shared" ca="1" si="208"/>
        <v>4.7619047619047623E-2</v>
      </c>
      <c r="W889" s="1071">
        <f t="shared" ca="1" si="209"/>
        <v>0.45612714269674182</v>
      </c>
      <c r="X889" s="1071">
        <f t="shared" ca="1" si="210"/>
        <v>1</v>
      </c>
      <c r="Y889" s="1071">
        <f t="shared" ca="1" si="211"/>
        <v>7.4671108233936995E-2</v>
      </c>
      <c r="Z889" s="1042">
        <f t="shared" ca="1" si="212"/>
        <v>0</v>
      </c>
    </row>
    <row r="890" spans="1:26" x14ac:dyDescent="0.3">
      <c r="A890" s="1036">
        <v>43191</v>
      </c>
      <c r="B890" s="1538">
        <f t="shared" ca="1" si="206"/>
        <v>0.36583827483969333</v>
      </c>
      <c r="C890" s="1538">
        <f t="shared" ca="1" si="206"/>
        <v>0.10471044622360222</v>
      </c>
      <c r="D890" s="1538">
        <f ca="1">IF(VLOOKUP($A890, INDIRECT("'"&amp;$B$812&amp;"'!$A$5:$CA$100"),D$813, FALSE)=0,NA(),VLOOKUP($A890, INDIRECT("'"&amp;$B$812&amp;"'!$A$5:$CA$100"),D$813, FALSE)/VLOOKUP($A890, INDIRECT("'"&amp;$B$812&amp;"'!$A$5:$CA$100"),6, FALSE))</f>
        <v>0.21109948673463894</v>
      </c>
      <c r="E890" s="1538">
        <f t="shared" ca="1" si="206"/>
        <v>8.8920987476295191E-2</v>
      </c>
      <c r="F890" s="1538">
        <f t="shared" ca="1" si="206"/>
        <v>0.11872071638114001</v>
      </c>
      <c r="G890" s="1538">
        <f t="shared" ca="1" si="206"/>
        <v>6.3091040725582637E-2</v>
      </c>
      <c r="H890" s="1538">
        <f t="shared" ca="1" si="206"/>
        <v>4.7619047619047623E-2</v>
      </c>
      <c r="I890" s="1071">
        <f ca="1">SUM(E890:H890)</f>
        <v>0.31835179220206544</v>
      </c>
      <c r="J890" s="1071">
        <f t="shared" ref="J890:J892" ca="1" si="218">SUM(B890:H890)</f>
        <v>1</v>
      </c>
      <c r="K890" s="1071">
        <f t="shared" ca="1" si="215"/>
        <v>0.11872071638114001</v>
      </c>
      <c r="L890" s="1071">
        <f t="shared" ca="1" si="216"/>
        <v>0</v>
      </c>
      <c r="M890" s="1483"/>
      <c r="N890" s="1483"/>
      <c r="O890" s="722">
        <v>43191</v>
      </c>
      <c r="P890" s="1538">
        <f t="shared" ca="1" si="207"/>
        <v>0.24388266399311528</v>
      </c>
      <c r="Q890" s="1538">
        <f t="shared" ca="1" si="207"/>
        <v>0.31146579159612969</v>
      </c>
      <c r="R890" s="1538">
        <f t="shared" ca="1" si="207"/>
        <v>6.9358096164880798E-2</v>
      </c>
      <c r="S890" s="1538">
        <f t="shared" ca="1" si="207"/>
        <v>6.8936838424083421E-2</v>
      </c>
      <c r="T890" s="1538">
        <f t="shared" ca="1" si="207"/>
        <v>7.0649101970127096E-2</v>
      </c>
      <c r="U890" s="1538">
        <f t="shared" ca="1" si="217"/>
        <v>0.18808846023261608</v>
      </c>
      <c r="V890" s="1538">
        <f t="shared" ca="1" si="208"/>
        <v>4.7619047619047623E-2</v>
      </c>
      <c r="W890" s="1071">
        <f ca="1">SUM(R890:V890)</f>
        <v>0.444651544410755</v>
      </c>
      <c r="X890" s="1071">
        <f t="shared" ref="X890:X892" ca="1" si="219">SUM(P890:V890)</f>
        <v>0.99999999999999989</v>
      </c>
      <c r="Y890" s="1071">
        <f t="shared" ca="1" si="211"/>
        <v>6.8936838424083421E-2</v>
      </c>
      <c r="Z890" s="1042">
        <f t="shared" ca="1" si="212"/>
        <v>0</v>
      </c>
    </row>
    <row r="891" spans="1:26" x14ac:dyDescent="0.3">
      <c r="A891" s="1036">
        <v>43221</v>
      </c>
      <c r="B891" s="1538">
        <f t="shared" ref="B891:H904" ca="1" si="220">IF(VLOOKUP($A891, INDIRECT("'"&amp;$B$812&amp;"'!$A$5:$CA$100"),B$813, FALSE)=0,NA(),VLOOKUP($A891, INDIRECT("'"&amp;$B$812&amp;"'!$A$5:$CA$100"),B$813, FALSE)/VLOOKUP($A891, INDIRECT("'"&amp;$B$812&amp;"'!$A$5:$CA$100"),6, FALSE))</f>
        <v>0.31525075239530082</v>
      </c>
      <c r="C891" s="1538">
        <f t="shared" ca="1" si="220"/>
        <v>0.11023581375978692</v>
      </c>
      <c r="D891" s="1538">
        <f t="shared" ca="1" si="220"/>
        <v>0.23883151177365414</v>
      </c>
      <c r="E891" s="1538">
        <f t="shared" ca="1" si="220"/>
        <v>8.7906560365709957E-2</v>
      </c>
      <c r="F891" s="1538">
        <f t="shared" ca="1" si="220"/>
        <v>0.1269200891793586</v>
      </c>
      <c r="G891" s="1538">
        <f t="shared" ca="1" si="220"/>
        <v>7.3236224907142058E-2</v>
      </c>
      <c r="H891" s="1538">
        <f t="shared" ca="1" si="220"/>
        <v>4.7619047619047616E-2</v>
      </c>
      <c r="I891" s="1071">
        <f t="shared" ref="I891:I892" ca="1" si="221">SUM(E891:H891)</f>
        <v>0.33568192207125824</v>
      </c>
      <c r="J891" s="1071">
        <f t="shared" ca="1" si="218"/>
        <v>1.0000000000000002</v>
      </c>
      <c r="K891" s="1071">
        <f t="shared" ca="1" si="215"/>
        <v>0.1269200891793586</v>
      </c>
      <c r="L891" s="1071">
        <f t="shared" ca="1" si="216"/>
        <v>0</v>
      </c>
      <c r="M891" s="1483"/>
      <c r="N891" s="1483"/>
      <c r="O891" s="722">
        <v>43221</v>
      </c>
      <c r="P891" s="1538">
        <f t="shared" ref="P891:T904" ca="1" si="222">IF(VLOOKUP($O891, INDIRECT("'"&amp;$P$812&amp;"'!$A$5:$CA$100"),P$813, FALSE)=0,NA(),VLOOKUP($O891, INDIRECT("'"&amp;$P$812&amp;"'!$A$5:$CA$100"),P$813, FALSE)/VLOOKUP($O891, INDIRECT("'"&amp;$P$812&amp;"'!$A$5:$CA$100"),6, FALSE))</f>
        <v>7.9301447426242205E-2</v>
      </c>
      <c r="Q891" s="1538">
        <f t="shared" ca="1" si="222"/>
        <v>0.49732797696518188</v>
      </c>
      <c r="R891" s="1538">
        <f t="shared" ca="1" si="222"/>
        <v>6.9016590010286469E-2</v>
      </c>
      <c r="S891" s="1538">
        <f t="shared" ca="1" si="222"/>
        <v>4.4582006844277725E-2</v>
      </c>
      <c r="T891" s="1538">
        <f t="shared" ca="1" si="222"/>
        <v>0.14051461389976755</v>
      </c>
      <c r="U891" s="1538">
        <f t="shared" ca="1" si="217"/>
        <v>0.12163831723519658</v>
      </c>
      <c r="V891" s="1538">
        <f t="shared" ca="1" si="208"/>
        <v>4.7619047619047623E-2</v>
      </c>
      <c r="W891" s="1071">
        <f t="shared" ref="W891:W892" ca="1" si="223">SUM(R891:V891)</f>
        <v>0.42337057560857594</v>
      </c>
      <c r="X891" s="1071">
        <f t="shared" ca="1" si="219"/>
        <v>1</v>
      </c>
      <c r="Y891" s="1071">
        <f t="shared" ca="1" si="211"/>
        <v>4.4582006844277725E-2</v>
      </c>
      <c r="Z891" s="1042">
        <f t="shared" ca="1" si="212"/>
        <v>0</v>
      </c>
    </row>
    <row r="892" spans="1:26" x14ac:dyDescent="0.3">
      <c r="A892" s="1036">
        <v>43252</v>
      </c>
      <c r="B892" s="1538">
        <f t="shared" ca="1" si="220"/>
        <v>0.29706542733676183</v>
      </c>
      <c r="C892" s="1538">
        <f ca="1">IF(VLOOKUP($A892, INDIRECT("'"&amp;$B$812&amp;"'!$A$5:$CA$100"),C$813, FALSE)=0,NA(),VLOOKUP($A892, INDIRECT("'"&amp;$B$812&amp;"'!$A$5:$CA$100"),C$813, FALSE)/VLOOKUP($A892, INDIRECT("'"&amp;$B$812&amp;"'!$A$5:$CA$100"),6, FALSE))</f>
        <v>0.11421936808090466</v>
      </c>
      <c r="D892" s="1538">
        <f t="shared" ca="1" si="220"/>
        <v>0.24652206706686799</v>
      </c>
      <c r="E892" s="1538">
        <f t="shared" ca="1" si="220"/>
        <v>8.7680543721208551E-2</v>
      </c>
      <c r="F892" s="1538">
        <f t="shared" ca="1" si="220"/>
        <v>0.13139695138772969</v>
      </c>
      <c r="G892" s="1538">
        <f t="shared" ca="1" si="220"/>
        <v>7.5496594787479457E-2</v>
      </c>
      <c r="H892" s="1538">
        <f t="shared" ca="1" si="220"/>
        <v>4.7619047619047623E-2</v>
      </c>
      <c r="I892" s="1071">
        <f t="shared" ca="1" si="221"/>
        <v>0.34219313751546532</v>
      </c>
      <c r="J892" s="1071">
        <f t="shared" ca="1" si="218"/>
        <v>0.99999999999999989</v>
      </c>
      <c r="K892" s="1071">
        <f t="shared" ca="1" si="215"/>
        <v>0.13139695138772969</v>
      </c>
      <c r="L892" s="1071">
        <f t="shared" ca="1" si="216"/>
        <v>0</v>
      </c>
      <c r="M892" s="1483"/>
      <c r="N892" s="1483"/>
      <c r="O892" s="722">
        <v>43252</v>
      </c>
      <c r="P892" s="1538">
        <f t="shared" ca="1" si="222"/>
        <v>3.7889217032864499E-2</v>
      </c>
      <c r="Q892" s="1538">
        <f t="shared" ca="1" si="222"/>
        <v>0.54344771614827581</v>
      </c>
      <c r="R892" s="1538">
        <f t="shared" ca="1" si="222"/>
        <v>6.888888173022488E-2</v>
      </c>
      <c r="S892" s="1538">
        <f t="shared" ca="1" si="222"/>
        <v>3.872500858506004E-2</v>
      </c>
      <c r="T892" s="1538">
        <f t="shared" ca="1" si="222"/>
        <v>0.15777214682780757</v>
      </c>
      <c r="U892" s="1538">
        <f t="shared" ca="1" si="217"/>
        <v>0.10565798205671954</v>
      </c>
      <c r="V892" s="1538">
        <f t="shared" ca="1" si="208"/>
        <v>4.7619047619047623E-2</v>
      </c>
      <c r="W892" s="1071">
        <f t="shared" ca="1" si="223"/>
        <v>0.41866306681885967</v>
      </c>
      <c r="X892" s="1071">
        <f t="shared" ca="1" si="219"/>
        <v>1</v>
      </c>
      <c r="Y892" s="1071">
        <f t="shared" ca="1" si="211"/>
        <v>3.872500858506004E-2</v>
      </c>
      <c r="Z892" s="1042">
        <f t="shared" ca="1" si="212"/>
        <v>0</v>
      </c>
    </row>
    <row r="893" spans="1:26" x14ac:dyDescent="0.3">
      <c r="A893" s="1036">
        <v>43282</v>
      </c>
      <c r="B893" s="1538">
        <f t="shared" ca="1" si="220"/>
        <v>0.36603794151304547</v>
      </c>
      <c r="C893" s="1538">
        <f ca="1">IF(VLOOKUP($A893, INDIRECT("'"&amp;$B$812&amp;"'!$A$5:$CA$100"),C$813, FALSE)=0,NA(),VLOOKUP($A893, INDIRECT("'"&amp;$B$812&amp;"'!$A$5:$CA$100"),C$813, FALSE)/VLOOKUP($A893, INDIRECT("'"&amp;$B$812&amp;"'!$A$5:$CA$100"),6, FALSE))</f>
        <v>0.10476759493630006</v>
      </c>
      <c r="D893" s="1538">
        <f t="shared" ca="1" si="220"/>
        <v>0.22018009623891821</v>
      </c>
      <c r="E893" s="1538">
        <f t="shared" ca="1" si="220"/>
        <v>8.8549295017970028E-2</v>
      </c>
      <c r="F893" s="1538">
        <f t="shared" ca="1" si="220"/>
        <v>0.10603772480921625</v>
      </c>
      <c r="G893" s="1538">
        <f t="shared" ca="1" si="220"/>
        <v>6.6808299865502338E-2</v>
      </c>
      <c r="H893" s="1538">
        <f t="shared" ca="1" si="220"/>
        <v>4.7619047619047616E-2</v>
      </c>
      <c r="I893" s="1538">
        <f t="shared" ref="I893:I904" ca="1" si="224">SUM(E893:H893)</f>
        <v>0.30901436731173626</v>
      </c>
      <c r="J893" s="1538">
        <f t="shared" ref="J893:J904" ca="1" si="225">SUM(B893:H893)</f>
        <v>1</v>
      </c>
      <c r="K893" s="1538">
        <f t="shared" ca="1" si="215"/>
        <v>0.10603772480921625</v>
      </c>
      <c r="L893" s="1538">
        <f t="shared" ca="1" si="216"/>
        <v>0</v>
      </c>
      <c r="M893" s="1514"/>
      <c r="N893" s="1514"/>
      <c r="O893" s="722">
        <v>43282</v>
      </c>
      <c r="P893" s="1538">
        <f t="shared" ca="1" si="222"/>
        <v>8.6380835561731012E-2</v>
      </c>
      <c r="Q893" s="1538">
        <f t="shared" ca="1" si="222"/>
        <v>0.52104461491125609</v>
      </c>
      <c r="R893" s="1538">
        <f t="shared" ca="1" si="222"/>
        <v>7.1078154363700394E-2</v>
      </c>
      <c r="S893" s="1538">
        <f t="shared" ca="1" si="222"/>
        <v>3.2341915536917468E-2</v>
      </c>
      <c r="T893" s="1538">
        <f t="shared" ca="1" si="222"/>
        <v>0.15329319123485849</v>
      </c>
      <c r="U893" s="1538">
        <f t="shared" ca="1" si="217"/>
        <v>8.8242240772488822E-2</v>
      </c>
      <c r="V893" s="1538">
        <f t="shared" ca="1" si="208"/>
        <v>4.7619047619047616E-2</v>
      </c>
      <c r="W893" s="1538">
        <f t="shared" ref="W893:W901" ca="1" si="226">SUM(R893:V893)</f>
        <v>0.39257454952701276</v>
      </c>
      <c r="X893" s="1538">
        <f t="shared" ref="X893:X901" ca="1" si="227">SUM(P893:V893)</f>
        <v>1</v>
      </c>
      <c r="Y893" s="1538">
        <f t="shared" ca="1" si="211"/>
        <v>3.2341915536917468E-2</v>
      </c>
      <c r="Z893" s="1539">
        <f t="shared" ca="1" si="212"/>
        <v>0</v>
      </c>
    </row>
    <row r="894" spans="1:26" x14ac:dyDescent="0.3">
      <c r="A894" s="1036">
        <v>43313</v>
      </c>
      <c r="B894" s="1538">
        <f t="shared" ca="1" si="220"/>
        <v>0.3686039361047847</v>
      </c>
      <c r="C894" s="1538">
        <f t="shared" ca="1" si="220"/>
        <v>0.10550203541775623</v>
      </c>
      <c r="D894" s="1538">
        <f t="shared" ca="1" si="220"/>
        <v>0.2174131559675441</v>
      </c>
      <c r="E894" s="1538">
        <f t="shared" ca="1" si="220"/>
        <v>8.8679514810469345E-2</v>
      </c>
      <c r="F894" s="1538">
        <f t="shared" ca="1" si="220"/>
        <v>0.10667632534942306</v>
      </c>
      <c r="G894" s="1538">
        <f t="shared" ca="1" si="220"/>
        <v>6.5505984730974978E-2</v>
      </c>
      <c r="H894" s="1538">
        <f t="shared" ca="1" si="220"/>
        <v>4.7619047619047623E-2</v>
      </c>
      <c r="I894" s="1538">
        <f t="shared" ca="1" si="224"/>
        <v>0.30848087250991502</v>
      </c>
      <c r="J894" s="1538">
        <f t="shared" ca="1" si="225"/>
        <v>1</v>
      </c>
      <c r="K894" s="1538">
        <f t="shared" ca="1" si="215"/>
        <v>0.10667632534942306</v>
      </c>
      <c r="L894" s="1538">
        <f t="shared" ca="1" si="216"/>
        <v>0</v>
      </c>
      <c r="M894" s="1514"/>
      <c r="N894" s="1514"/>
      <c r="O894" s="722">
        <v>43313</v>
      </c>
      <c r="P894" s="1538">
        <f t="shared" ca="1" si="222"/>
        <v>7.5597996355043454E-2</v>
      </c>
      <c r="Q894" s="1538">
        <f t="shared" ca="1" si="222"/>
        <v>0.52012295312481016</v>
      </c>
      <c r="R894" s="1538">
        <f t="shared" ca="1" si="222"/>
        <v>7.0210295066216233E-2</v>
      </c>
      <c r="S894" s="1538">
        <f t="shared" ca="1" si="222"/>
        <v>3.6234901701210492E-2</v>
      </c>
      <c r="T894" s="1538">
        <f t="shared" ca="1" si="222"/>
        <v>0.15135087469349875</v>
      </c>
      <c r="U894" s="1538">
        <f t="shared" ca="1" si="217"/>
        <v>9.8863931440173219E-2</v>
      </c>
      <c r="V894" s="1538">
        <f t="shared" ca="1" si="208"/>
        <v>4.7619047619047623E-2</v>
      </c>
      <c r="W894" s="1538">
        <f t="shared" ca="1" si="226"/>
        <v>0.40427905052014629</v>
      </c>
      <c r="X894" s="1538">
        <f t="shared" ca="1" si="227"/>
        <v>1</v>
      </c>
      <c r="Y894" s="1538">
        <f t="shared" ca="1" si="211"/>
        <v>3.6234901701210492E-2</v>
      </c>
      <c r="Z894" s="1539">
        <f t="shared" ca="1" si="212"/>
        <v>0</v>
      </c>
    </row>
    <row r="895" spans="1:26" x14ac:dyDescent="0.3">
      <c r="A895" s="1036">
        <v>43344</v>
      </c>
      <c r="B895" s="1538">
        <f ca="1">IF(VLOOKUP($A895, INDIRECT("'"&amp;$B$812&amp;"'!$A$5:$CA$100"),B$813, FALSE)=0,NA(),VLOOKUP($A895, INDIRECT("'"&amp;$B$812&amp;"'!$A$5:$CA$100"),B$813, FALSE)/VLOOKUP($A895, INDIRECT("'"&amp;$B$812&amp;"'!$A$5:$CA$100"),6, FALSE))</f>
        <v>0.36847031672892316</v>
      </c>
      <c r="C895" s="1538">
        <f ca="1">IF(VLOOKUP($A895, INDIRECT("'"&amp;$B$812&amp;"'!$A$5:$CA$100"),C$813, FALSE)=0,NA(),VLOOKUP($A895, INDIRECT("'"&amp;$B$812&amp;"'!$A$5:$CA$100"),C$813, FALSE)/VLOOKUP($A895, INDIRECT("'"&amp;$B$812&amp;"'!$A$5:$CA$100"),6, FALSE))</f>
        <v>0.10546379080139751</v>
      </c>
      <c r="D895" s="1538">
        <f t="shared" ca="1" si="220"/>
        <v>0.2175572392143667</v>
      </c>
      <c r="E895" s="1538">
        <f t="shared" ca="1" si="220"/>
        <v>8.8672733857986213E-2</v>
      </c>
      <c r="F895" s="1538">
        <f t="shared" ca="1" si="220"/>
        <v>0.10664307141900482</v>
      </c>
      <c r="G895" s="1538">
        <f t="shared" ca="1" si="220"/>
        <v>6.5573800359273945E-2</v>
      </c>
      <c r="H895" s="1538">
        <f t="shared" ca="1" si="220"/>
        <v>4.7619047619047616E-2</v>
      </c>
      <c r="I895" s="1538">
        <f t="shared" ca="1" si="224"/>
        <v>0.30850865325531263</v>
      </c>
      <c r="J895" s="1538">
        <f t="shared" ca="1" si="225"/>
        <v>1</v>
      </c>
      <c r="K895" s="1538">
        <f t="shared" ca="1" si="215"/>
        <v>0.10664307141900482</v>
      </c>
      <c r="L895" s="1538">
        <f t="shared" ca="1" si="216"/>
        <v>0</v>
      </c>
      <c r="M895" s="1514"/>
      <c r="N895" s="1514"/>
      <c r="O895" s="722">
        <v>43344</v>
      </c>
      <c r="P895" s="1538">
        <f t="shared" ca="1" si="222"/>
        <v>0.14733295366364851</v>
      </c>
      <c r="Q895" s="1538">
        <f t="shared" ca="1" si="222"/>
        <v>0.41201919587345531</v>
      </c>
      <c r="R895" s="1538">
        <f t="shared" ca="1" si="222"/>
        <v>6.7732426318921332E-2</v>
      </c>
      <c r="S895" s="1538">
        <f t="shared" ca="1" si="222"/>
        <v>5.0300652613403093E-2</v>
      </c>
      <c r="T895" s="1538">
        <f t="shared" ca="1" si="222"/>
        <v>0.10580261966644101</v>
      </c>
      <c r="U895" s="1538">
        <f t="shared" ca="1" si="217"/>
        <v>0.1691931042450831</v>
      </c>
      <c r="V895" s="1538">
        <f t="shared" ca="1" si="208"/>
        <v>4.7619047619047623E-2</v>
      </c>
      <c r="W895" s="1538">
        <f t="shared" ca="1" si="226"/>
        <v>0.44064785046289617</v>
      </c>
      <c r="X895" s="1538">
        <f t="shared" ca="1" si="227"/>
        <v>1</v>
      </c>
      <c r="Y895" s="1538">
        <f t="shared" ca="1" si="211"/>
        <v>5.0300652613403093E-2</v>
      </c>
      <c r="Z895" s="1539">
        <f t="shared" ca="1" si="212"/>
        <v>0</v>
      </c>
    </row>
    <row r="896" spans="1:26" x14ac:dyDescent="0.3">
      <c r="A896" s="1036">
        <v>43374</v>
      </c>
      <c r="B896" s="1538">
        <f t="shared" ref="B896:C904" ca="1" si="228">IF(VLOOKUP($A896, INDIRECT("'"&amp;$B$812&amp;"'!$A$5:$CA$100"),B$813, FALSE)=0,NA(),VLOOKUP($A896, INDIRECT("'"&amp;$B$812&amp;"'!$A$5:$CA$100"),B$813, FALSE)/VLOOKUP($A896, INDIRECT("'"&amp;$B$812&amp;"'!$A$5:$CA$100"),6, FALSE))</f>
        <v>0.35032550575273252</v>
      </c>
      <c r="C896" s="1538">
        <f t="shared" ca="1" si="228"/>
        <v>0.10630472900632106</v>
      </c>
      <c r="D896" s="1538">
        <f t="shared" ca="1" si="220"/>
        <v>0.21444817217287357</v>
      </c>
      <c r="E896" s="1538">
        <f t="shared" ca="1" si="220"/>
        <v>8.8819408941993652E-2</v>
      </c>
      <c r="F896" s="1538">
        <f t="shared" ca="1" si="220"/>
        <v>0.12837621900860968</v>
      </c>
      <c r="G896" s="1538">
        <f t="shared" ca="1" si="220"/>
        <v>6.4106917498421956E-2</v>
      </c>
      <c r="H896" s="1538">
        <f t="shared" ca="1" si="220"/>
        <v>4.7619047619047623E-2</v>
      </c>
      <c r="I896" s="1538">
        <f t="shared" ca="1" si="224"/>
        <v>0.32892159306807289</v>
      </c>
      <c r="J896" s="1538">
        <f t="shared" ca="1" si="225"/>
        <v>1</v>
      </c>
      <c r="K896" s="1538">
        <f t="shared" ca="1" si="215"/>
        <v>0.12837621900860968</v>
      </c>
      <c r="L896" s="1538">
        <f t="shared" ca="1" si="216"/>
        <v>0</v>
      </c>
      <c r="M896" s="1540"/>
      <c r="N896" s="1540"/>
      <c r="O896" s="722">
        <v>43374</v>
      </c>
      <c r="P896" s="1538">
        <f t="shared" ca="1" si="222"/>
        <v>0.1687395689948861</v>
      </c>
      <c r="Q896" s="1538">
        <f t="shared" ca="1" si="222"/>
        <v>0.36963725553094762</v>
      </c>
      <c r="R896" s="1538">
        <f t="shared" ca="1" si="222"/>
        <v>6.6209188440837272E-2</v>
      </c>
      <c r="S896" s="1538">
        <f t="shared" ca="1" si="222"/>
        <v>5.756546567072137E-2</v>
      </c>
      <c r="T896" s="1538">
        <f t="shared" ca="1" si="222"/>
        <v>9.6600180123860985E-2</v>
      </c>
      <c r="U896" s="1538">
        <f t="shared" ca="1" si="217"/>
        <v>0.19362929361969908</v>
      </c>
      <c r="V896" s="1538">
        <f t="shared" ca="1" si="208"/>
        <v>4.7619047619047623E-2</v>
      </c>
      <c r="W896" s="1538">
        <f t="shared" ca="1" si="226"/>
        <v>0.46162317547416631</v>
      </c>
      <c r="X896" s="1538">
        <f t="shared" ca="1" si="227"/>
        <v>1</v>
      </c>
      <c r="Y896" s="1538">
        <f t="shared" ca="1" si="211"/>
        <v>5.756546567072137E-2</v>
      </c>
      <c r="Z896" s="1539">
        <f t="shared" ca="1" si="212"/>
        <v>0</v>
      </c>
    </row>
    <row r="897" spans="1:26" x14ac:dyDescent="0.3">
      <c r="A897" s="1036">
        <v>43405</v>
      </c>
      <c r="B897" s="1538">
        <f t="shared" ca="1" si="228"/>
        <v>0.35545258136663027</v>
      </c>
      <c r="C897" s="1538">
        <f t="shared" ca="1" si="228"/>
        <v>0.10970779560955793</v>
      </c>
      <c r="D897" s="1538">
        <f t="shared" ca="1" si="220"/>
        <v>0.20572460325153094</v>
      </c>
      <c r="E897" s="1538">
        <f t="shared" ca="1" si="220"/>
        <v>8.9254498835621615E-2</v>
      </c>
      <c r="F897" s="1538">
        <f t="shared" ca="1" si="220"/>
        <v>0.13248584637553565</v>
      </c>
      <c r="G897" s="1538">
        <f t="shared" ca="1" si="220"/>
        <v>5.9755626942076104E-2</v>
      </c>
      <c r="H897" s="1538">
        <f t="shared" ca="1" si="220"/>
        <v>4.7619047619047623E-2</v>
      </c>
      <c r="I897" s="1538">
        <f t="shared" ca="1" si="224"/>
        <v>0.32911501977228097</v>
      </c>
      <c r="J897" s="1538">
        <f t="shared" ca="1" si="225"/>
        <v>1.0000000000000002</v>
      </c>
      <c r="K897" s="1538">
        <f t="shared" ca="1" si="215"/>
        <v>0.13248584637553565</v>
      </c>
      <c r="L897" s="1538">
        <f t="shared" ca="1" si="216"/>
        <v>0</v>
      </c>
      <c r="M897" s="1540"/>
      <c r="N897" s="1540"/>
      <c r="O897" s="722">
        <v>43405</v>
      </c>
      <c r="P897" s="1538">
        <f t="shared" ca="1" si="222"/>
        <v>0.28379950842474966</v>
      </c>
      <c r="Q897" s="1538">
        <f t="shared" ca="1" si="222"/>
        <v>0.29159585020029211</v>
      </c>
      <c r="R897" s="1538">
        <f t="shared" ca="1" si="222"/>
        <v>6.9928993591482469E-2</v>
      </c>
      <c r="S897" s="1538">
        <f t="shared" ca="1" si="222"/>
        <v>5.4028526086771667E-2</v>
      </c>
      <c r="T897" s="1538">
        <f t="shared" ca="1" si="222"/>
        <v>7.1295759058515581E-2</v>
      </c>
      <c r="U897" s="1538">
        <f t="shared" ca="1" si="217"/>
        <v>0.18173231501914103</v>
      </c>
      <c r="V897" s="1538">
        <f t="shared" ca="1" si="208"/>
        <v>4.7619047619047623E-2</v>
      </c>
      <c r="W897" s="1538">
        <f t="shared" ca="1" si="226"/>
        <v>0.4246046413749584</v>
      </c>
      <c r="X897" s="1538">
        <f t="shared" ca="1" si="227"/>
        <v>1</v>
      </c>
      <c r="Y897" s="1538">
        <f t="shared" ca="1" si="211"/>
        <v>5.4028526086771667E-2</v>
      </c>
      <c r="Z897" s="1539">
        <f t="shared" ca="1" si="212"/>
        <v>0</v>
      </c>
    </row>
    <row r="898" spans="1:26" x14ac:dyDescent="0.3">
      <c r="A898" s="1036">
        <v>43435</v>
      </c>
      <c r="B898" s="1538">
        <f t="shared" ca="1" si="228"/>
        <v>0.3745079265524594</v>
      </c>
      <c r="C898" s="1538">
        <f t="shared" ca="1" si="228"/>
        <v>0.10719187903662525</v>
      </c>
      <c r="D898" s="1538">
        <f t="shared" ca="1" si="220"/>
        <v>0.19549466158271198</v>
      </c>
      <c r="E898" s="1538">
        <f t="shared" ca="1" si="220"/>
        <v>8.9617929587522613E-2</v>
      </c>
      <c r="F898" s="1538">
        <f t="shared" ca="1" si="220"/>
        <v>0.12944756331895596</v>
      </c>
      <c r="G898" s="1538">
        <f t="shared" ca="1" si="220"/>
        <v>5.6120992302677128E-2</v>
      </c>
      <c r="H898" s="1538">
        <f t="shared" ca="1" si="220"/>
        <v>4.7619047619047616E-2</v>
      </c>
      <c r="I898" s="1538">
        <f t="shared" ca="1" si="224"/>
        <v>0.32280553282820335</v>
      </c>
      <c r="J898" s="1538">
        <f t="shared" ca="1" si="225"/>
        <v>1</v>
      </c>
      <c r="K898" s="1538">
        <f t="shared" ca="1" si="215"/>
        <v>0.12944756331895596</v>
      </c>
      <c r="L898" s="1538">
        <f t="shared" ca="1" si="216"/>
        <v>0</v>
      </c>
      <c r="M898" s="1540"/>
      <c r="N898" s="1540"/>
      <c r="O898" s="722">
        <v>43435</v>
      </c>
      <c r="P898" s="1538">
        <f t="shared" ca="1" si="222"/>
        <v>0.26618171872556229</v>
      </c>
      <c r="Q898" s="1538">
        <f t="shared" ca="1" si="222"/>
        <v>0.28928994208278647</v>
      </c>
      <c r="R898" s="1538">
        <f t="shared" ca="1" si="222"/>
        <v>6.8368254717721177E-2</v>
      </c>
      <c r="S898" s="1538">
        <f t="shared" ca="1" si="222"/>
        <v>5.9904169234146015E-2</v>
      </c>
      <c r="T898" s="1538">
        <f t="shared" ca="1" si="222"/>
        <v>6.7141025651336228E-2</v>
      </c>
      <c r="U898" s="1538">
        <f t="shared" ca="1" si="217"/>
        <v>0.20149584196940018</v>
      </c>
      <c r="V898" s="1538">
        <f t="shared" ca="1" si="208"/>
        <v>4.7619047619047623E-2</v>
      </c>
      <c r="W898" s="1538">
        <f t="shared" ca="1" si="226"/>
        <v>0.44452833919165119</v>
      </c>
      <c r="X898" s="1538">
        <f t="shared" ca="1" si="227"/>
        <v>1</v>
      </c>
      <c r="Y898" s="1538">
        <f t="shared" ca="1" si="211"/>
        <v>5.9904169234146015E-2</v>
      </c>
      <c r="Z898" s="1539">
        <f t="shared" ca="1" si="212"/>
        <v>0</v>
      </c>
    </row>
    <row r="899" spans="1:26" x14ac:dyDescent="0.3">
      <c r="A899" s="1036">
        <v>43466</v>
      </c>
      <c r="B899" s="1538">
        <f t="shared" ca="1" si="228"/>
        <v>0.35748107303076337</v>
      </c>
      <c r="C899" s="1538">
        <f t="shared" ca="1" si="228"/>
        <v>0.10231844300584922</v>
      </c>
      <c r="D899" s="1538">
        <f t="shared" ca="1" si="220"/>
        <v>0.19556964506628541</v>
      </c>
      <c r="E899" s="1538">
        <f t="shared" ca="1" si="220"/>
        <v>8.9661548091280713E-2</v>
      </c>
      <c r="F899" s="1538">
        <f t="shared" ca="1" si="220"/>
        <v>0.15166547518225687</v>
      </c>
      <c r="G899" s="1538">
        <f t="shared" ca="1" si="220"/>
        <v>5.5684768004516771E-2</v>
      </c>
      <c r="H899" s="1538">
        <f t="shared" ca="1" si="220"/>
        <v>4.7619047619047623E-2</v>
      </c>
      <c r="I899" s="1538">
        <f t="shared" ca="1" si="224"/>
        <v>0.34463083889710194</v>
      </c>
      <c r="J899" s="1538">
        <f t="shared" ca="1" si="225"/>
        <v>1</v>
      </c>
      <c r="K899" s="1538">
        <f t="shared" ca="1" si="215"/>
        <v>0.15166547518225687</v>
      </c>
      <c r="L899" s="1538">
        <f t="shared" ca="1" si="216"/>
        <v>0</v>
      </c>
      <c r="M899" s="1583"/>
      <c r="N899" s="1583"/>
      <c r="O899" s="722">
        <v>43466</v>
      </c>
      <c r="P899" s="1538">
        <f t="shared" ca="1" si="222"/>
        <v>0.21109881727150387</v>
      </c>
      <c r="Q899" s="1538">
        <f t="shared" ca="1" si="222"/>
        <v>0.33018294306149559</v>
      </c>
      <c r="R899" s="1538">
        <f t="shared" ca="1" si="222"/>
        <v>6.7118145122889106E-2</v>
      </c>
      <c r="S899" s="1538">
        <f t="shared" ca="1" si="222"/>
        <v>6.2841958144850329E-2</v>
      </c>
      <c r="T899" s="1538">
        <f t="shared" ca="1" si="222"/>
        <v>6.9761593202080543E-2</v>
      </c>
      <c r="U899" s="1538">
        <f t="shared" ca="1" si="217"/>
        <v>0.2113774955781329</v>
      </c>
      <c r="V899" s="1538">
        <f t="shared" ca="1" si="208"/>
        <v>4.7619047619047616E-2</v>
      </c>
      <c r="W899" s="1538">
        <f t="shared" ca="1" si="226"/>
        <v>0.45871823966700048</v>
      </c>
      <c r="X899" s="1538">
        <f t="shared" ca="1" si="227"/>
        <v>1</v>
      </c>
      <c r="Y899" s="1538">
        <f t="shared" ca="1" si="211"/>
        <v>6.2841958144850329E-2</v>
      </c>
      <c r="Z899" s="1539">
        <f t="shared" ca="1" si="212"/>
        <v>0</v>
      </c>
    </row>
    <row r="900" spans="1:26" x14ac:dyDescent="0.3">
      <c r="A900" s="1036">
        <v>43497</v>
      </c>
      <c r="B900" s="1538">
        <f t="shared" ca="1" si="228"/>
        <v>0.36879616159815687</v>
      </c>
      <c r="C900" s="1538">
        <f t="shared" ca="1" si="228"/>
        <v>0.10555705431154301</v>
      </c>
      <c r="D900" s="1538">
        <f t="shared" ca="1" si="220"/>
        <v>0.18206417483042528</v>
      </c>
      <c r="E900" s="1538">
        <f t="shared" ca="1" si="220"/>
        <v>9.0265833906407342E-2</v>
      </c>
      <c r="F900" s="1538">
        <f t="shared" ca="1" si="220"/>
        <v>0.15605636179279417</v>
      </c>
      <c r="G900" s="1538">
        <f t="shared" ca="1" si="220"/>
        <v>4.9641365941625507E-2</v>
      </c>
      <c r="H900" s="1538">
        <f t="shared" ca="1" si="220"/>
        <v>4.7619047619047623E-2</v>
      </c>
      <c r="I900" s="1538">
        <f t="shared" ca="1" si="224"/>
        <v>0.34358260925987461</v>
      </c>
      <c r="J900" s="1538">
        <f t="shared" ca="1" si="225"/>
        <v>0.99999999999999978</v>
      </c>
      <c r="K900" s="1538">
        <f t="shared" ca="1" si="215"/>
        <v>0.15605636179279417</v>
      </c>
      <c r="L900" s="1538">
        <f t="shared" ca="1" si="216"/>
        <v>0</v>
      </c>
      <c r="M900" s="1583"/>
      <c r="N900" s="1583"/>
      <c r="O900" s="722">
        <v>43497</v>
      </c>
      <c r="P900" s="1538">
        <f t="shared" ca="1" si="222"/>
        <v>0.28945045381509338</v>
      </c>
      <c r="Q900" s="1538">
        <f t="shared" ca="1" si="222"/>
        <v>0.2511352259636061</v>
      </c>
      <c r="R900" s="1538">
        <f t="shared" ca="1" si="222"/>
        <v>6.8924097614051313E-2</v>
      </c>
      <c r="S900" s="1538">
        <f t="shared" ca="1" si="222"/>
        <v>7.9793236639404172E-2</v>
      </c>
      <c r="T900" s="1538">
        <f t="shared" ca="1" si="222"/>
        <v>4.2426511998296695E-2</v>
      </c>
      <c r="U900" s="1538">
        <f t="shared" ca="1" si="217"/>
        <v>0.22065142635050083</v>
      </c>
      <c r="V900" s="1538">
        <f t="shared" ca="1" si="208"/>
        <v>4.7619047619047623E-2</v>
      </c>
      <c r="W900" s="1538">
        <f t="shared" ca="1" si="226"/>
        <v>0.45941432022130063</v>
      </c>
      <c r="X900" s="1538">
        <f t="shared" ca="1" si="227"/>
        <v>1</v>
      </c>
      <c r="Y900" s="1538">
        <f t="shared" ca="1" si="211"/>
        <v>7.9793236639404172E-2</v>
      </c>
      <c r="Z900" s="1539">
        <f t="shared" ca="1" si="212"/>
        <v>0</v>
      </c>
    </row>
    <row r="901" spans="1:26" x14ac:dyDescent="0.3">
      <c r="A901" s="1036">
        <v>43525</v>
      </c>
      <c r="B901" s="1538">
        <f ca="1">IF(VLOOKUP($A901, INDIRECT("'"&amp;$B$812&amp;"'!$A$5:$CA$100"),B$813, FALSE)=0,NA(),VLOOKUP($A901, INDIRECT("'"&amp;$B$812&amp;"'!$A$5:$CA$100"),B$813, FALSE)/VLOOKUP($A901, INDIRECT("'"&amp;$B$812&amp;"'!$A$5:$CA$100"),6, FALSE))</f>
        <v>0.32530603074943548</v>
      </c>
      <c r="C901" s="1538">
        <f t="shared" ca="1" si="228"/>
        <v>0.10705835773547959</v>
      </c>
      <c r="D901" s="1538">
        <f t="shared" ca="1" si="220"/>
        <v>0.21118316077628912</v>
      </c>
      <c r="E901" s="1538">
        <f t="shared" ca="1" si="220"/>
        <v>8.9143891849068721E-2</v>
      </c>
      <c r="F901" s="1538">
        <f t="shared" ca="1" si="220"/>
        <v>0.15882771490683115</v>
      </c>
      <c r="G901" s="1538">
        <f t="shared" ca="1" si="220"/>
        <v>6.0861796363848357E-2</v>
      </c>
      <c r="H901" s="1538">
        <f t="shared" ca="1" si="220"/>
        <v>4.7619047619047616E-2</v>
      </c>
      <c r="I901" s="1538">
        <f t="shared" ca="1" si="224"/>
        <v>0.35645245073879583</v>
      </c>
      <c r="J901" s="1538">
        <f t="shared" ca="1" si="225"/>
        <v>1</v>
      </c>
      <c r="K901" s="1538">
        <f ca="1">IF($F901&gt;=0, $F901, 0)</f>
        <v>0.15882771490683115</v>
      </c>
      <c r="L901" s="1538">
        <f t="shared" ca="1" si="216"/>
        <v>0</v>
      </c>
      <c r="M901" s="1583"/>
      <c r="N901" s="1583"/>
      <c r="O901" s="722">
        <v>43525</v>
      </c>
      <c r="P901" s="1538">
        <f t="shared" ca="1" si="222"/>
        <v>0.31942293014950335</v>
      </c>
      <c r="Q901" s="1538">
        <f t="shared" ca="1" si="222"/>
        <v>0.2482953326316191</v>
      </c>
      <c r="R901" s="1538">
        <f t="shared" ca="1" si="222"/>
        <v>7.4630698118088271E-2</v>
      </c>
      <c r="S901" s="1538">
        <f t="shared" ca="1" si="222"/>
        <v>0.10402519462741282</v>
      </c>
      <c r="T901" s="1538">
        <f t="shared" ca="1" si="222"/>
        <v>5.3627996528292143E-2</v>
      </c>
      <c r="U901" s="1538">
        <f t="shared" ca="1" si="217"/>
        <v>0.15237880032603662</v>
      </c>
      <c r="V901" s="1538">
        <f t="shared" ca="1" si="208"/>
        <v>4.7619047619047623E-2</v>
      </c>
      <c r="W901" s="1538">
        <f t="shared" ca="1" si="226"/>
        <v>0.43228173721887747</v>
      </c>
      <c r="X901" s="1538">
        <f t="shared" ca="1" si="227"/>
        <v>1</v>
      </c>
      <c r="Y901" s="1538">
        <f t="shared" ca="1" si="211"/>
        <v>0.10402519462741282</v>
      </c>
      <c r="Z901" s="1539">
        <f t="shared" ca="1" si="212"/>
        <v>0</v>
      </c>
    </row>
    <row r="902" spans="1:26" x14ac:dyDescent="0.3">
      <c r="A902" s="1036">
        <v>43556</v>
      </c>
      <c r="B902" s="1538">
        <f t="shared" ref="B902:B904" ca="1" si="229">IF(VLOOKUP($A902, INDIRECT("'"&amp;$B$812&amp;"'!$A$5:$CA$100"),B$813, FALSE)=0,NA(),VLOOKUP($A902, INDIRECT("'"&amp;$B$812&amp;"'!$A$5:$CA$100"),B$813, FALSE)/VLOOKUP($A902, INDIRECT("'"&amp;$B$812&amp;"'!$A$5:$CA$100"),6, FALSE))</f>
        <v>0.32118380025813853</v>
      </c>
      <c r="C902" s="1538">
        <f t="shared" ca="1" si="228"/>
        <v>0.10303610193545655</v>
      </c>
      <c r="D902" s="1538">
        <f t="shared" ca="1" si="220"/>
        <v>0.2170578345411811</v>
      </c>
      <c r="E902" s="1538">
        <f ca="1">IF(VLOOKUP($A902, INDIRECT("'"&amp;$B$812&amp;"'!$A$5:$CA$100"),E$813, FALSE)=0,NA(),VLOOKUP($A902, INDIRECT("'"&amp;$B$812&amp;"'!$A$5:$CA$100"),E$813, FALSE)/VLOOKUP($A902, INDIRECT("'"&amp;$B$812&amp;"'!$A$5:$CA$100"),6, FALSE))</f>
        <v>8.8825294571475921E-2</v>
      </c>
      <c r="F902" s="1538">
        <f t="shared" ca="1" si="220"/>
        <v>0.15822986516869736</v>
      </c>
      <c r="G902" s="1538">
        <f t="shared" ca="1" si="220"/>
        <v>6.4048055906002918E-2</v>
      </c>
      <c r="H902" s="1538">
        <f t="shared" ca="1" si="220"/>
        <v>4.7619047619047623E-2</v>
      </c>
      <c r="I902" s="1538">
        <f t="shared" ca="1" si="224"/>
        <v>0.35872226326522383</v>
      </c>
      <c r="J902" s="1538">
        <f t="shared" ca="1" si="225"/>
        <v>1</v>
      </c>
      <c r="K902" s="1538">
        <f t="shared" ref="K902:K904" ca="1" si="230">IF($F902&gt;=0, $F902, 0)</f>
        <v>0.15822986516869736</v>
      </c>
      <c r="L902" s="1538">
        <f t="shared" ca="1" si="216"/>
        <v>0</v>
      </c>
      <c r="M902" s="1609"/>
      <c r="N902" s="1609"/>
      <c r="O902" s="722">
        <v>43556</v>
      </c>
      <c r="P902" s="1538">
        <f t="shared" ca="1" si="222"/>
        <v>0.25779723559546769</v>
      </c>
      <c r="Q902" s="1538">
        <f t="shared" ca="1" si="222"/>
        <v>0.30744060583754995</v>
      </c>
      <c r="R902" s="1538">
        <f t="shared" ca="1" si="222"/>
        <v>7.4111534559569633E-2</v>
      </c>
      <c r="S902" s="1538">
        <f t="shared" ca="1" si="222"/>
        <v>0.10183267665491771</v>
      </c>
      <c r="T902" s="1538">
        <f t="shared" ca="1" si="222"/>
        <v>7.5877651844753868E-2</v>
      </c>
      <c r="U902" s="1538">
        <f t="shared" ca="1" si="217"/>
        <v>0.1353212478886936</v>
      </c>
      <c r="V902" s="1538">
        <f t="shared" ca="1" si="208"/>
        <v>4.7619047619047623E-2</v>
      </c>
      <c r="W902" s="1538">
        <f t="shared" ref="W902:W904" ca="1" si="231">SUM(R902:V902)</f>
        <v>0.43476215856698242</v>
      </c>
      <c r="X902" s="1538">
        <f t="shared" ref="X902:X904" ca="1" si="232">SUM(P902:V902)</f>
        <v>1.0000000000000002</v>
      </c>
      <c r="Y902" s="1538">
        <f t="shared" ca="1" si="211"/>
        <v>0.10183267665491771</v>
      </c>
      <c r="Z902" s="1539">
        <f t="shared" ca="1" si="212"/>
        <v>0</v>
      </c>
    </row>
    <row r="903" spans="1:26" x14ac:dyDescent="0.3">
      <c r="A903" s="1036">
        <v>43586</v>
      </c>
      <c r="B903" s="1538">
        <f t="shared" ca="1" si="229"/>
        <v>0.32565846835364315</v>
      </c>
      <c r="C903" s="1538">
        <f t="shared" ca="1" si="228"/>
        <v>9.9190778866462534E-2</v>
      </c>
      <c r="D903" s="1538">
        <f t="shared" ca="1" si="220"/>
        <v>0.22022961053135634</v>
      </c>
      <c r="E903" s="1538">
        <f t="shared" ca="1" si="220"/>
        <v>8.8617584716391071E-2</v>
      </c>
      <c r="F903" s="1538">
        <f t="shared" ca="1" si="220"/>
        <v>0.15255916849868262</v>
      </c>
      <c r="G903" s="1538">
        <f t="shared" ca="1" si="220"/>
        <v>6.6125341414416533E-2</v>
      </c>
      <c r="H903" s="1538">
        <f t="shared" ca="1" si="220"/>
        <v>4.7619047619047616E-2</v>
      </c>
      <c r="I903" s="1538">
        <f t="shared" ca="1" si="224"/>
        <v>0.35492114224853782</v>
      </c>
      <c r="J903" s="1538">
        <f t="shared" ca="1" si="225"/>
        <v>0.99999999999999978</v>
      </c>
      <c r="K903" s="1538">
        <f t="shared" ca="1" si="230"/>
        <v>0.15255916849868262</v>
      </c>
      <c r="L903" s="1538">
        <f t="shared" ca="1" si="216"/>
        <v>0</v>
      </c>
      <c r="M903" s="1609"/>
      <c r="N903" s="1609"/>
      <c r="O903" s="722">
        <v>43586</v>
      </c>
      <c r="P903" s="1538">
        <f t="shared" ca="1" si="222"/>
        <v>0.19207744254746736</v>
      </c>
      <c r="Q903" s="1538">
        <f t="shared" ca="1" si="222"/>
        <v>0.36026456993134831</v>
      </c>
      <c r="R903" s="1538">
        <f t="shared" ca="1" si="222"/>
        <v>7.3859287301418872E-2</v>
      </c>
      <c r="S903" s="1538">
        <f t="shared" ca="1" si="222"/>
        <v>0.11245805324052607</v>
      </c>
      <c r="T903" s="1538">
        <f t="shared" ca="1" si="222"/>
        <v>9.4429400165009614E-2</v>
      </c>
      <c r="U903" s="1538">
        <f t="shared" ca="1" si="217"/>
        <v>0.11929219919518218</v>
      </c>
      <c r="V903" s="1538">
        <f t="shared" ca="1" si="208"/>
        <v>4.7619047619047623E-2</v>
      </c>
      <c r="W903" s="1538">
        <f t="shared" ca="1" si="231"/>
        <v>0.44765798752118435</v>
      </c>
      <c r="X903" s="1538">
        <f t="shared" ca="1" si="232"/>
        <v>1</v>
      </c>
      <c r="Y903" s="1538">
        <f t="shared" ca="1" si="211"/>
        <v>0.11245805324052607</v>
      </c>
      <c r="Z903" s="1539">
        <f t="shared" ca="1" si="212"/>
        <v>0</v>
      </c>
    </row>
    <row r="904" spans="1:26" x14ac:dyDescent="0.3">
      <c r="A904" s="1036">
        <v>43617</v>
      </c>
      <c r="B904" s="1538">
        <f t="shared" ca="1" si="229"/>
        <v>0.3260643796059044</v>
      </c>
      <c r="C904" s="1538">
        <f t="shared" ca="1" si="228"/>
        <v>9.9298873732901222E-2</v>
      </c>
      <c r="D904" s="1538">
        <f t="shared" ca="1" si="220"/>
        <v>0.21975446190469355</v>
      </c>
      <c r="E904" s="1538">
        <f t="shared" ca="1" si="220"/>
        <v>8.863871998184468E-2</v>
      </c>
      <c r="F904" s="1538">
        <f t="shared" ca="1" si="220"/>
        <v>0.15271054741936915</v>
      </c>
      <c r="G904" s="1538">
        <f t="shared" ca="1" si="220"/>
        <v>6.5913969736239225E-2</v>
      </c>
      <c r="H904" s="1538">
        <f t="shared" ca="1" si="220"/>
        <v>4.7619047619047616E-2</v>
      </c>
      <c r="I904" s="1538">
        <f t="shared" ca="1" si="224"/>
        <v>0.35488228475650069</v>
      </c>
      <c r="J904" s="1538">
        <f t="shared" ca="1" si="225"/>
        <v>1</v>
      </c>
      <c r="K904" s="1538">
        <f t="shared" ca="1" si="230"/>
        <v>0.15271054741936915</v>
      </c>
      <c r="L904" s="1538">
        <f t="shared" ca="1" si="216"/>
        <v>0</v>
      </c>
      <c r="M904" s="1609"/>
      <c r="N904" s="1609"/>
      <c r="O904" s="722">
        <v>43617</v>
      </c>
      <c r="P904" s="1538">
        <f t="shared" ca="1" si="222"/>
        <v>2.7079038896573277E-2</v>
      </c>
      <c r="Q904" s="1538">
        <f t="shared" ca="1" si="222"/>
        <v>0.55907687327703004</v>
      </c>
      <c r="R904" s="1538">
        <f t="shared" ca="1" si="222"/>
        <v>7.9061307921139537E-2</v>
      </c>
      <c r="S904" s="1538">
        <f t="shared" ca="1" si="222"/>
        <v>0.12546702141001093</v>
      </c>
      <c r="T904" s="1538">
        <f t="shared" ca="1" si="222"/>
        <v>0.16169671087619852</v>
      </c>
      <c r="U904" s="1538">
        <f t="shared" ca="1" si="217"/>
        <v>0</v>
      </c>
      <c r="V904" s="1538">
        <f t="shared" ca="1" si="208"/>
        <v>4.7619047619047623E-2</v>
      </c>
      <c r="W904" s="1538">
        <f t="shared" ca="1" si="231"/>
        <v>0.41384408782639659</v>
      </c>
      <c r="X904" s="1538">
        <f t="shared" ca="1" si="232"/>
        <v>0.99999999999999989</v>
      </c>
      <c r="Y904" s="1538">
        <f t="shared" ca="1" si="211"/>
        <v>0.12546702141001093</v>
      </c>
      <c r="Z904" s="1539">
        <f t="shared" ca="1" si="212"/>
        <v>0</v>
      </c>
    </row>
    <row r="905" spans="1:26" x14ac:dyDescent="0.3">
      <c r="A905" s="724"/>
      <c r="B905" s="725"/>
      <c r="C905" s="725"/>
      <c r="D905" s="725"/>
      <c r="E905" s="725"/>
      <c r="F905" s="725"/>
      <c r="G905" s="725"/>
      <c r="H905" s="725"/>
      <c r="I905" s="725"/>
      <c r="J905" s="725"/>
      <c r="K905" s="725"/>
      <c r="L905" s="725"/>
      <c r="M905" s="1374"/>
      <c r="N905" s="1374"/>
      <c r="O905" s="724"/>
      <c r="P905" s="725"/>
      <c r="Q905" s="725"/>
      <c r="R905" s="725"/>
      <c r="S905" s="725"/>
      <c r="T905" s="725"/>
      <c r="U905" s="725"/>
      <c r="V905" s="725"/>
      <c r="W905" s="725"/>
      <c r="X905" s="725"/>
      <c r="Y905" s="725"/>
      <c r="Z905" s="1230"/>
    </row>
    <row r="906" spans="1:26" x14ac:dyDescent="0.3">
      <c r="A906" s="1037"/>
      <c r="B906" s="589"/>
      <c r="C906" s="589"/>
      <c r="D906" s="589"/>
      <c r="E906" s="589"/>
      <c r="F906" s="589"/>
      <c r="G906" s="589"/>
      <c r="H906" s="589"/>
      <c r="I906" s="589"/>
      <c r="J906" s="589"/>
      <c r="K906" s="589"/>
      <c r="L906" s="589"/>
      <c r="M906" s="1374"/>
      <c r="N906" s="1374"/>
      <c r="O906" s="723"/>
      <c r="P906" s="589"/>
      <c r="Q906" s="589"/>
      <c r="R906" s="589"/>
      <c r="S906" s="589"/>
      <c r="T906" s="589"/>
      <c r="U906" s="589"/>
      <c r="V906" s="589"/>
      <c r="W906" s="589"/>
      <c r="X906" s="589"/>
      <c r="Y906" s="589"/>
      <c r="Z906" s="1439"/>
    </row>
    <row r="907" spans="1:26" x14ac:dyDescent="0.3">
      <c r="A907" s="1037"/>
      <c r="B907" s="589"/>
      <c r="C907" s="589"/>
      <c r="D907" s="589"/>
      <c r="E907" s="589"/>
      <c r="F907" s="589"/>
      <c r="G907" s="589"/>
      <c r="H907" s="589"/>
      <c r="I907" s="589"/>
      <c r="J907" s="589"/>
      <c r="K907" s="589"/>
      <c r="L907" s="589"/>
      <c r="M907" s="1374"/>
      <c r="N907" s="1374"/>
      <c r="O907" s="723"/>
      <c r="P907" s="589"/>
      <c r="Q907" s="589"/>
      <c r="R907" s="589"/>
      <c r="S907" s="589"/>
      <c r="T907" s="589"/>
      <c r="U907" s="589"/>
      <c r="V907" s="589"/>
      <c r="W907" s="589"/>
      <c r="X907" s="589"/>
      <c r="Y907" s="589"/>
      <c r="Z907" s="1439"/>
    </row>
    <row r="908" spans="1:26" x14ac:dyDescent="0.3">
      <c r="A908" s="1044" t="s">
        <v>382</v>
      </c>
      <c r="B908" s="2694" t="str">
        <f>"Bill Component Shares of Total Bill (%) in the " &amp; $B$812 &amp; " Zone, 2012-2019"</f>
        <v>Bill Component Shares of Total Bill (%) in the ENMAX Zone, 2012-2019</v>
      </c>
      <c r="C908" s="2694"/>
      <c r="D908" s="589"/>
      <c r="E908" s="589"/>
      <c r="F908" s="589"/>
      <c r="G908" s="589"/>
      <c r="H908" s="589"/>
      <c r="I908" s="589"/>
      <c r="J908" s="589"/>
      <c r="K908" s="589"/>
      <c r="L908" s="589"/>
      <c r="M908" s="1374"/>
      <c r="N908" s="1374"/>
      <c r="O908" s="723"/>
      <c r="P908" s="589"/>
      <c r="Q908" s="589"/>
      <c r="R908" s="589"/>
      <c r="S908" s="589"/>
      <c r="T908" s="589"/>
      <c r="U908" s="589"/>
      <c r="V908" s="589"/>
      <c r="W908" s="589"/>
      <c r="X908" s="589"/>
      <c r="Y908" s="589"/>
      <c r="Z908" s="1439"/>
    </row>
    <row r="909" spans="1:26" x14ac:dyDescent="0.3">
      <c r="A909" s="2692"/>
      <c r="B909" s="2595" t="str">
        <f>"Primary Bill Component Shares of Total Bill (%) in the " &amp; $B$812 &amp; " Zone, 2012-2019"</f>
        <v>Primary Bill Component Shares of Total Bill (%) in the ENMAX Zone, 2012-2019</v>
      </c>
      <c r="C909" s="2596"/>
      <c r="D909" s="589"/>
      <c r="E909" s="589"/>
      <c r="F909" s="589"/>
      <c r="G909" s="589"/>
      <c r="H909" s="589"/>
      <c r="I909" s="589"/>
      <c r="J909" s="589"/>
      <c r="K909" s="589"/>
      <c r="L909" s="589"/>
      <c r="M909" s="1374"/>
      <c r="N909" s="1374"/>
      <c r="O909" s="723"/>
      <c r="P909" s="589"/>
      <c r="Q909" s="589"/>
      <c r="R909" s="589"/>
      <c r="S909" s="589"/>
      <c r="T909" s="589"/>
      <c r="U909" s="589"/>
      <c r="V909" s="589"/>
      <c r="W909" s="589"/>
      <c r="X909" s="589"/>
      <c r="Y909" s="589"/>
      <c r="Z909" s="1439"/>
    </row>
    <row r="910" spans="1:26" x14ac:dyDescent="0.3">
      <c r="A910" s="2693"/>
      <c r="B910" s="2597"/>
      <c r="C910" s="2598"/>
      <c r="D910" s="589"/>
      <c r="E910" s="589"/>
      <c r="F910" s="589"/>
      <c r="G910" s="589"/>
      <c r="H910" s="589"/>
      <c r="I910" s="589"/>
      <c r="J910" s="589"/>
      <c r="K910" s="589"/>
      <c r="L910" s="589"/>
      <c r="M910" s="1374"/>
      <c r="N910" s="1374"/>
      <c r="O910" s="723"/>
      <c r="P910" s="589"/>
      <c r="Q910" s="589"/>
      <c r="R910" s="589"/>
      <c r="S910" s="589"/>
      <c r="T910" s="589"/>
      <c r="U910" s="589"/>
      <c r="V910" s="589"/>
      <c r="W910" s="589"/>
      <c r="X910" s="589"/>
      <c r="Y910" s="589"/>
      <c r="Z910" s="1439"/>
    </row>
    <row r="911" spans="1:26" x14ac:dyDescent="0.3">
      <c r="A911" s="1037"/>
      <c r="B911" s="589"/>
      <c r="C911" s="589"/>
      <c r="D911" s="589"/>
      <c r="E911" s="589"/>
      <c r="F911" s="589"/>
      <c r="G911" s="589"/>
      <c r="H911" s="589"/>
      <c r="I911" s="589"/>
      <c r="J911" s="589"/>
      <c r="K911" s="589"/>
      <c r="L911" s="589"/>
      <c r="M911" s="1374"/>
      <c r="N911" s="1374"/>
      <c r="O911" s="723"/>
      <c r="P911" s="589"/>
      <c r="Q911" s="589"/>
      <c r="R911" s="589"/>
      <c r="S911" s="589"/>
      <c r="T911" s="589"/>
      <c r="U911" s="589"/>
      <c r="V911" s="589"/>
      <c r="W911" s="589"/>
      <c r="X911" s="589"/>
      <c r="Y911" s="589"/>
      <c r="Z911" s="1439"/>
    </row>
    <row r="912" spans="1:26" x14ac:dyDescent="0.3">
      <c r="A912" s="1373"/>
      <c r="B912" s="1374"/>
      <c r="C912" s="1374"/>
      <c r="D912" s="1374"/>
      <c r="E912" s="1374"/>
      <c r="F912" s="1374"/>
      <c r="G912" s="1374"/>
      <c r="H912" s="1374"/>
      <c r="I912" s="1374"/>
      <c r="J912" s="1374"/>
      <c r="K912" s="1374"/>
      <c r="L912" s="1374"/>
      <c r="M912" s="1374"/>
      <c r="N912" s="1374"/>
      <c r="O912" s="1374"/>
      <c r="P912" s="1374"/>
      <c r="Q912" s="1374"/>
      <c r="R912" s="1374"/>
      <c r="S912" s="1374"/>
      <c r="T912" s="1374"/>
      <c r="U912" s="1374"/>
      <c r="V912" s="1374"/>
      <c r="W912" s="1374"/>
      <c r="X912" s="1374"/>
      <c r="Y912" s="1374"/>
      <c r="Z912" s="1439"/>
    </row>
    <row r="913" spans="1:26" x14ac:dyDescent="0.3">
      <c r="A913" s="1373"/>
      <c r="B913" s="1374"/>
      <c r="C913" s="1374"/>
      <c r="D913" s="1374"/>
      <c r="E913" s="1374"/>
      <c r="F913" s="1374"/>
      <c r="G913" s="1374"/>
      <c r="H913" s="1374"/>
      <c r="I913" s="1374"/>
      <c r="J913" s="1374"/>
      <c r="K913" s="1374"/>
      <c r="L913" s="1374"/>
      <c r="M913" s="1374"/>
      <c r="N913" s="1374"/>
      <c r="O913" s="664" t="s">
        <v>382</v>
      </c>
      <c r="P913" s="2694" t="str">
        <f>"Bill Component Shares of Total Bill (%) in the " &amp; $P$812 &amp; " Zone, 2012-2019"</f>
        <v>Bill Component Shares of Total Bill (%) in the ATCO-S Zone, 2012-2019</v>
      </c>
      <c r="Q913" s="2694"/>
      <c r="R913" s="1374"/>
      <c r="S913" s="1374"/>
      <c r="T913" s="1374"/>
      <c r="U913" s="1374"/>
      <c r="V913" s="1374"/>
      <c r="W913" s="1374"/>
      <c r="X913" s="1374"/>
      <c r="Y913" s="1374"/>
      <c r="Z913" s="1439"/>
    </row>
    <row r="914" spans="1:26" x14ac:dyDescent="0.3">
      <c r="A914" s="1373"/>
      <c r="B914" s="1374"/>
      <c r="C914" s="1374"/>
      <c r="D914" s="1374"/>
      <c r="E914" s="1374"/>
      <c r="F914" s="1374"/>
      <c r="G914" s="1374"/>
      <c r="H914" s="1374"/>
      <c r="I914" s="1374"/>
      <c r="J914" s="1374"/>
      <c r="K914" s="1374"/>
      <c r="L914" s="1374"/>
      <c r="M914" s="1374"/>
      <c r="N914" s="1374"/>
      <c r="O914" s="2695"/>
      <c r="P914" s="2697" t="str">
        <f>"Primary Bill Component Shares of Total Bill (%) in the " &amp; $P$812 &amp; " Zone, 2012-2019"</f>
        <v>Primary Bill Component Shares of Total Bill (%) in the ATCO-S Zone, 2012-2019</v>
      </c>
      <c r="Q914" s="2697"/>
      <c r="R914" s="1374"/>
      <c r="S914" s="1374"/>
      <c r="T914" s="1374"/>
      <c r="U914" s="1374"/>
      <c r="V914" s="1374"/>
      <c r="W914" s="1374"/>
      <c r="X914" s="1374"/>
      <c r="Y914" s="1374"/>
      <c r="Z914" s="1439"/>
    </row>
    <row r="915" spans="1:26" x14ac:dyDescent="0.3">
      <c r="A915" s="1373"/>
      <c r="B915" s="1374"/>
      <c r="C915" s="1374"/>
      <c r="D915" s="1374"/>
      <c r="E915" s="1374"/>
      <c r="F915" s="1374"/>
      <c r="G915" s="1374"/>
      <c r="H915" s="1374"/>
      <c r="I915" s="1374"/>
      <c r="J915" s="1374"/>
      <c r="K915" s="1374"/>
      <c r="L915" s="1374"/>
      <c r="M915" s="1374"/>
      <c r="N915" s="1374"/>
      <c r="O915" s="2696"/>
      <c r="P915" s="2697"/>
      <c r="Q915" s="2697"/>
      <c r="R915" s="1374"/>
      <c r="S915" s="1374"/>
      <c r="T915" s="1374"/>
      <c r="U915" s="1374"/>
      <c r="V915" s="1374"/>
      <c r="W915" s="1374"/>
      <c r="X915" s="1374"/>
      <c r="Y915" s="1374"/>
      <c r="Z915" s="1439"/>
    </row>
    <row r="916" spans="1:26" ht="14.5" thickBot="1" x14ac:dyDescent="0.35">
      <c r="A916" s="1373"/>
      <c r="B916" s="1374"/>
      <c r="C916" s="1374"/>
      <c r="D916" s="1374"/>
      <c r="E916" s="1374"/>
      <c r="F916" s="1374"/>
      <c r="G916" s="1374"/>
      <c r="H916" s="1374"/>
      <c r="I916" s="1374"/>
      <c r="J916" s="1374"/>
      <c r="K916" s="1374"/>
      <c r="L916" s="1374"/>
      <c r="M916" s="1374"/>
      <c r="N916" s="1374"/>
      <c r="O916" s="1374"/>
      <c r="P916" s="1374"/>
      <c r="Q916" s="1374"/>
      <c r="R916" s="1374"/>
      <c r="S916" s="1374"/>
      <c r="T916" s="1374"/>
      <c r="U916" s="1374"/>
      <c r="V916" s="1374"/>
      <c r="W916" s="1374"/>
      <c r="X916" s="1374"/>
      <c r="Y916" s="1374"/>
      <c r="Z916" s="1439"/>
    </row>
    <row r="917" spans="1:26" ht="16.5" customHeight="1" x14ac:dyDescent="0.3">
      <c r="A917" s="2600" t="s">
        <v>511</v>
      </c>
      <c r="B917" s="2601"/>
      <c r="C917" s="2601"/>
      <c r="D917" s="2601"/>
      <c r="E917" s="2601"/>
      <c r="F917" s="2601"/>
      <c r="G917" s="2601"/>
      <c r="H917" s="2601"/>
      <c r="I917" s="2602"/>
      <c r="J917" s="716"/>
      <c r="K917" s="716"/>
      <c r="L917" s="716"/>
      <c r="M917" s="575"/>
      <c r="N917" s="1374"/>
      <c r="O917" s="2607" t="s">
        <v>512</v>
      </c>
      <c r="P917" s="2607"/>
      <c r="Q917" s="2607"/>
      <c r="R917" s="2607"/>
      <c r="S917" s="2607"/>
      <c r="T917" s="2607"/>
      <c r="U917" s="2607"/>
      <c r="V917" s="2607"/>
      <c r="W917" s="2607"/>
      <c r="X917" s="716"/>
      <c r="Y917" s="716"/>
      <c r="Z917" s="1439"/>
    </row>
    <row r="918" spans="1:26" ht="16.5" customHeight="1" thickBot="1" x14ac:dyDescent="0.35">
      <c r="A918" s="2603"/>
      <c r="B918" s="2604"/>
      <c r="C918" s="2604"/>
      <c r="D918" s="2604"/>
      <c r="E918" s="2604"/>
      <c r="F918" s="2604"/>
      <c r="G918" s="2604"/>
      <c r="H918" s="2604"/>
      <c r="I918" s="2605"/>
      <c r="J918" s="716"/>
      <c r="K918" s="716"/>
      <c r="L918" s="716"/>
      <c r="M918" s="575"/>
      <c r="N918" s="1374"/>
      <c r="O918" s="2607"/>
      <c r="P918" s="2607"/>
      <c r="Q918" s="2607"/>
      <c r="R918" s="2607"/>
      <c r="S918" s="2607"/>
      <c r="T918" s="2607"/>
      <c r="U918" s="2607"/>
      <c r="V918" s="2607"/>
      <c r="W918" s="2607"/>
      <c r="X918" s="716"/>
      <c r="Y918" s="716"/>
      <c r="Z918" s="1439"/>
    </row>
    <row r="919" spans="1:26" ht="30" x14ac:dyDescent="0.3">
      <c r="A919" s="1049"/>
      <c r="B919" s="2599" t="str">
        <f>'Elec. Analysis'!$A$121</f>
        <v>ENMAX</v>
      </c>
      <c r="C919" s="2599"/>
      <c r="D919" s="2599"/>
      <c r="E919" s="2599"/>
      <c r="F919" s="2599"/>
      <c r="G919" s="2599"/>
      <c r="H919" s="2599"/>
      <c r="I919" s="2599"/>
      <c r="J919" s="718"/>
      <c r="K919" s="718"/>
      <c r="L919" s="718"/>
      <c r="M919" s="575"/>
      <c r="N919" s="1374"/>
      <c r="O919" s="717"/>
      <c r="P919" s="2619" t="str">
        <f>'NG Analysis'!$A$122</f>
        <v>ATCO-S</v>
      </c>
      <c r="Q919" s="2619"/>
      <c r="R919" s="2619"/>
      <c r="S919" s="2619"/>
      <c r="T919" s="2619"/>
      <c r="U919" s="2619"/>
      <c r="V919" s="2619"/>
      <c r="W919" s="2619"/>
      <c r="X919" s="718"/>
      <c r="Y919" s="718"/>
      <c r="Z919" s="1439"/>
    </row>
    <row r="920" spans="1:26" ht="30" x14ac:dyDescent="0.3">
      <c r="A920" s="1040"/>
      <c r="B920" s="720">
        <v>7</v>
      </c>
      <c r="C920" s="720">
        <v>8</v>
      </c>
      <c r="D920" s="720">
        <v>9</v>
      </c>
      <c r="E920" s="720">
        <v>10</v>
      </c>
      <c r="F920" s="720">
        <v>12</v>
      </c>
      <c r="G920" s="720">
        <v>13</v>
      </c>
      <c r="H920" s="720"/>
      <c r="I920" s="720"/>
      <c r="J920" s="575"/>
      <c r="K920" s="721"/>
      <c r="L920" s="721"/>
      <c r="M920" s="575"/>
      <c r="N920" s="1374"/>
      <c r="O920" s="717"/>
      <c r="P920" s="720">
        <v>7</v>
      </c>
      <c r="Q920" s="720">
        <v>8</v>
      </c>
      <c r="R920" s="720">
        <v>9</v>
      </c>
      <c r="S920" s="720">
        <v>11</v>
      </c>
      <c r="T920" s="720">
        <v>12</v>
      </c>
      <c r="U920" s="720">
        <v>13</v>
      </c>
      <c r="V920" s="720"/>
      <c r="W920" s="720"/>
      <c r="X920" s="721"/>
      <c r="Y920" s="575"/>
      <c r="Z920" s="1439"/>
    </row>
    <row r="921" spans="1:26" x14ac:dyDescent="0.3">
      <c r="A921" s="1072"/>
      <c r="B921" s="1406" t="s">
        <v>375</v>
      </c>
      <c r="C921" s="1406" t="s">
        <v>58</v>
      </c>
      <c r="D921" s="1406" t="s">
        <v>376</v>
      </c>
      <c r="E921" s="1406" t="s">
        <v>8</v>
      </c>
      <c r="F921" s="1406" t="s">
        <v>377</v>
      </c>
      <c r="G921" s="1406" t="s">
        <v>21</v>
      </c>
      <c r="H921" s="1406" t="s">
        <v>378</v>
      </c>
      <c r="I921" s="1406" t="s">
        <v>70</v>
      </c>
      <c r="J921" s="1374"/>
      <c r="K921" s="1069"/>
      <c r="L921" s="1069"/>
      <c r="M921" s="1374"/>
      <c r="N921" s="1374"/>
      <c r="O921" s="1076"/>
      <c r="P921" s="1406" t="s">
        <v>375</v>
      </c>
      <c r="Q921" s="1406" t="s">
        <v>376</v>
      </c>
      <c r="R921" s="1406" t="s">
        <v>8</v>
      </c>
      <c r="S921" s="1406" t="s">
        <v>377</v>
      </c>
      <c r="T921" s="1406" t="s">
        <v>576</v>
      </c>
      <c r="U921" s="1406" t="s">
        <v>21</v>
      </c>
      <c r="V921" s="1406" t="s">
        <v>378</v>
      </c>
      <c r="W921" s="1406" t="s">
        <v>70</v>
      </c>
      <c r="X921" s="1069"/>
      <c r="Y921" s="1374"/>
      <c r="Z921" s="1439"/>
    </row>
    <row r="922" spans="1:26" x14ac:dyDescent="0.3">
      <c r="A922" s="1036">
        <v>40909</v>
      </c>
      <c r="B922" s="1538">
        <f t="shared" ref="B922:G931" ca="1" si="233">IF(VLOOKUP($A922, INDIRECT("'"&amp;$B$812&amp;"'!$A$5:$CA$100"),B$920, FALSE)=0,NA(),VLOOKUP($A922, INDIRECT("'"&amp;$B$812&amp;"'!$A$5:$CA$100"),B$920, FALSE)/(VLOOKUP($A922, INDIRECT("'"&amp;$B$812&amp;"'!$A$5:$CA$100"),6, FALSE)-VLOOKUP($A922, INDIRECT("'"&amp;$B$812&amp;"'!$A$5:$CA$100"),11, FALSE)))</f>
        <v>0.63912035146635204</v>
      </c>
      <c r="C922" s="1538">
        <f t="shared" ca="1" si="233"/>
        <v>8.13870675254489E-2</v>
      </c>
      <c r="D922" s="1538">
        <f t="shared" ca="1" si="233"/>
        <v>9.2132526567781731E-2</v>
      </c>
      <c r="E922" s="1538">
        <f t="shared" ca="1" si="233"/>
        <v>9.4898497664100009E-2</v>
      </c>
      <c r="F922" s="1538">
        <f t="shared" ca="1" si="233"/>
        <v>4.2864797223606116E-2</v>
      </c>
      <c r="G922" s="1538">
        <f t="shared" ca="1" si="233"/>
        <v>4.9596759552711145E-2</v>
      </c>
      <c r="H922" s="1071">
        <f t="shared" ref="H922:H953" ca="1" si="234">SUM(E922:G922)</f>
        <v>0.18736005444041726</v>
      </c>
      <c r="I922" s="1071">
        <f t="shared" ref="I922:I953" ca="1" si="235">SUM(B922:G922)</f>
        <v>0.99999999999999989</v>
      </c>
      <c r="J922" s="1374"/>
      <c r="K922" s="589"/>
      <c r="L922" s="589"/>
      <c r="M922" s="1374"/>
      <c r="N922" s="1374"/>
      <c r="O922" s="722">
        <v>40909</v>
      </c>
      <c r="P922" s="1538">
        <f t="shared" ref="P922:S941" ca="1" si="236">IF(VLOOKUP($O922, INDIRECT("'"&amp;$P$812&amp;"'!$A$5:$CA$100"),P$920, FALSE)=0,NA(),VLOOKUP($O922, INDIRECT("'"&amp;$P$812&amp;"'!$A$5:$CA$100"),P$920, FALSE)/(VLOOKUP($O922, INDIRECT("'"&amp;$P$812&amp;"'!$A$5:$CA$100"),6, FALSE)-VLOOKUP($O922, INDIRECT("'"&amp;$P$812&amp;"'!$A$5:$CA$100"),10, FALSE)))</f>
        <v>0.48296069418074589</v>
      </c>
      <c r="Q922" s="1538">
        <f t="shared" ca="1" si="236"/>
        <v>0.3048174604541079</v>
      </c>
      <c r="R922" s="1538">
        <f t="shared" ca="1" si="236"/>
        <v>9.4865488136766971E-2</v>
      </c>
      <c r="S922" s="1538">
        <f t="shared" ca="1" si="236"/>
        <v>6.6589851224849672E-2</v>
      </c>
      <c r="T922" s="1538">
        <f t="shared" ref="T922:T953" ca="1" si="237">IF(VLOOKUP($O922, INDIRECT("'"&amp;$P$812&amp;"'!$A$5:$CA$100"),T$920, FALSE)=0,0,VLOOKUP($O922, INDIRECT("'"&amp;$P$812&amp;"'!$A$5:$CA$100"),T$920, FALSE)/(VLOOKUP($O922, INDIRECT("'"&amp;$P$812&amp;"'!$A$5:$CA$100"),6, FALSE)-VLOOKUP($O922, INDIRECT("'"&amp;$P$812&amp;"'!$A$5:$CA$100"),10, FALSE)))</f>
        <v>0</v>
      </c>
      <c r="U922" s="1538">
        <f t="shared" ref="U922:U953" ca="1" si="238">IF(VLOOKUP($O922, INDIRECT("'"&amp;$P$812&amp;"'!$A$5:$CA$100"),U$920, FALSE)=0,NA(),VLOOKUP($O922, INDIRECT("'"&amp;$P$812&amp;"'!$A$5:$CA$100"),U$920, FALSE)/(VLOOKUP($O922, INDIRECT("'"&amp;$P$812&amp;"'!$A$5:$CA$100"),6, FALSE)-VLOOKUP($O922, INDIRECT("'"&amp;$P$812&amp;"'!$A$5:$CA$100"),10, FALSE)))</f>
        <v>5.0766506003529513E-2</v>
      </c>
      <c r="V922" s="1538">
        <f t="shared" ref="V922:V953" ca="1" si="239">SUM(R922:U922)</f>
        <v>0.21222184536514616</v>
      </c>
      <c r="W922" s="1071">
        <f t="shared" ref="W922:W953" ca="1" si="240">SUM(P922:U922)</f>
        <v>0.99999999999999989</v>
      </c>
      <c r="X922" s="589"/>
      <c r="Y922" s="1374"/>
      <c r="Z922" s="1439"/>
    </row>
    <row r="923" spans="1:26" x14ac:dyDescent="0.3">
      <c r="A923" s="1036">
        <v>40940</v>
      </c>
      <c r="B923" s="1538">
        <f t="shared" ca="1" si="233"/>
        <v>0.61701341270273913</v>
      </c>
      <c r="C923" s="1538">
        <f t="shared" ca="1" si="233"/>
        <v>8.7720467870222127E-2</v>
      </c>
      <c r="D923" s="1538">
        <f t="shared" ca="1" si="233"/>
        <v>0.1024899813909526</v>
      </c>
      <c r="E923" s="1538">
        <f t="shared" ca="1" si="233"/>
        <v>9.4655839790140112E-2</v>
      </c>
      <c r="F923" s="1538">
        <f t="shared" ca="1" si="233"/>
        <v>4.8369636582944214E-2</v>
      </c>
      <c r="G923" s="1538">
        <f t="shared" ca="1" si="233"/>
        <v>4.9750661663001711E-2</v>
      </c>
      <c r="H923" s="1071">
        <f t="shared" ca="1" si="234"/>
        <v>0.19277613803608604</v>
      </c>
      <c r="I923" s="1071">
        <f t="shared" ca="1" si="235"/>
        <v>0.99999999999999989</v>
      </c>
      <c r="J923" s="1374"/>
      <c r="K923" s="589"/>
      <c r="L923" s="589"/>
      <c r="M923" s="1374"/>
      <c r="N923" s="1374"/>
      <c r="O923" s="722">
        <v>40940</v>
      </c>
      <c r="P923" s="1538">
        <f t="shared" ca="1" si="236"/>
        <v>0.40363209919255766</v>
      </c>
      <c r="Q923" s="1538">
        <f t="shared" ca="1" si="236"/>
        <v>0.36912351343402861</v>
      </c>
      <c r="R923" s="1538">
        <f t="shared" ca="1" si="236"/>
        <v>9.4711227843042506E-2</v>
      </c>
      <c r="S923" s="1538">
        <f t="shared" ca="1" si="236"/>
        <v>8.111741254986081E-2</v>
      </c>
      <c r="T923" s="1538">
        <f t="shared" ca="1" si="237"/>
        <v>0</v>
      </c>
      <c r="U923" s="1538">
        <f t="shared" ca="1" si="238"/>
        <v>5.141574698051038E-2</v>
      </c>
      <c r="V923" s="1538">
        <f t="shared" ca="1" si="239"/>
        <v>0.22724438737341368</v>
      </c>
      <c r="W923" s="1071">
        <f t="shared" ca="1" si="240"/>
        <v>1</v>
      </c>
      <c r="X923" s="589"/>
      <c r="Y923" s="1374"/>
      <c r="Z923" s="1439"/>
    </row>
    <row r="924" spans="1:26" x14ac:dyDescent="0.3">
      <c r="A924" s="1036">
        <v>40969</v>
      </c>
      <c r="B924" s="1538">
        <f t="shared" ca="1" si="233"/>
        <v>0.50989189647376199</v>
      </c>
      <c r="C924" s="1538">
        <f t="shared" ca="1" si="233"/>
        <v>0.1207596249825849</v>
      </c>
      <c r="D924" s="1538">
        <f t="shared" ca="1" si="233"/>
        <v>0.15143398815354892</v>
      </c>
      <c r="E924" s="1538">
        <f t="shared" ca="1" si="233"/>
        <v>9.3736107585204689E-2</v>
      </c>
      <c r="F924" s="1538">
        <f t="shared" ca="1" si="233"/>
        <v>7.3624867110096442E-2</v>
      </c>
      <c r="G924" s="1538">
        <f t="shared" ca="1" si="233"/>
        <v>5.0553515694803174E-2</v>
      </c>
      <c r="H924" s="1071">
        <f t="shared" ca="1" si="234"/>
        <v>0.21791449039010433</v>
      </c>
      <c r="I924" s="1071">
        <f t="shared" ca="1" si="235"/>
        <v>1</v>
      </c>
      <c r="J924" s="1374"/>
      <c r="K924" s="589"/>
      <c r="L924" s="589"/>
      <c r="M924" s="1374"/>
      <c r="N924" s="1374"/>
      <c r="O924" s="722">
        <v>40969</v>
      </c>
      <c r="P924" s="1538">
        <f t="shared" ca="1" si="236"/>
        <v>0.36247599870955555</v>
      </c>
      <c r="Q924" s="1538">
        <f t="shared" ca="1" si="236"/>
        <v>0.39727333502409279</v>
      </c>
      <c r="R924" s="1538">
        <f t="shared" ca="1" si="236"/>
        <v>9.335715981312559E-2</v>
      </c>
      <c r="S924" s="1538">
        <f t="shared" ca="1" si="236"/>
        <v>9.5438785766021578E-2</v>
      </c>
      <c r="T924" s="1538">
        <f t="shared" ca="1" si="237"/>
        <v>0</v>
      </c>
      <c r="U924" s="1538">
        <f t="shared" ca="1" si="238"/>
        <v>5.1454720687204691E-2</v>
      </c>
      <c r="V924" s="1538">
        <f t="shared" ca="1" si="239"/>
        <v>0.24025066626635186</v>
      </c>
      <c r="W924" s="1071">
        <f t="shared" ca="1" si="240"/>
        <v>1</v>
      </c>
      <c r="X924" s="589"/>
      <c r="Y924" s="1374"/>
      <c r="Z924" s="1439"/>
    </row>
    <row r="925" spans="1:26" x14ac:dyDescent="0.3">
      <c r="A925" s="1036">
        <v>41000</v>
      </c>
      <c r="B925" s="1538">
        <f t="shared" ca="1" si="233"/>
        <v>0.47451749670115284</v>
      </c>
      <c r="C925" s="1538">
        <f t="shared" ca="1" si="233"/>
        <v>0.12870030711112787</v>
      </c>
      <c r="D925" s="1538">
        <f t="shared" ca="1" si="233"/>
        <v>0.16916885605165871</v>
      </c>
      <c r="E925" s="1538">
        <f t="shared" ca="1" si="233"/>
        <v>9.3108758441135947E-2</v>
      </c>
      <c r="F925" s="1538">
        <f t="shared" ca="1" si="233"/>
        <v>8.3758106820186237E-2</v>
      </c>
      <c r="G925" s="1538">
        <f t="shared" ca="1" si="233"/>
        <v>5.0746474874738455E-2</v>
      </c>
      <c r="H925" s="1071">
        <f t="shared" ca="1" si="234"/>
        <v>0.22761334013606063</v>
      </c>
      <c r="I925" s="1071">
        <f t="shared" ca="1" si="235"/>
        <v>1.0000000000000002</v>
      </c>
      <c r="J925" s="1374"/>
      <c r="K925" s="589"/>
      <c r="L925" s="589"/>
      <c r="M925" s="1374"/>
      <c r="N925" s="1374"/>
      <c r="O925" s="722">
        <v>41000</v>
      </c>
      <c r="P925" s="1538">
        <f t="shared" ca="1" si="236"/>
        <v>0.28586665864221222</v>
      </c>
      <c r="Q925" s="1538">
        <f t="shared" ca="1" si="236"/>
        <v>0.45468016263939409</v>
      </c>
      <c r="R925" s="1538">
        <f t="shared" ca="1" si="236"/>
        <v>9.2060658123182912E-2</v>
      </c>
      <c r="S925" s="1538">
        <f t="shared" ca="1" si="236"/>
        <v>0.1155790937044661</v>
      </c>
      <c r="T925" s="1538">
        <f t="shared" ca="1" si="237"/>
        <v>0</v>
      </c>
      <c r="U925" s="1538">
        <f t="shared" ca="1" si="238"/>
        <v>5.1813426890744696E-2</v>
      </c>
      <c r="V925" s="1538">
        <f t="shared" ca="1" si="239"/>
        <v>0.25945317871839368</v>
      </c>
      <c r="W925" s="1071">
        <f t="shared" ca="1" si="240"/>
        <v>1</v>
      </c>
      <c r="X925" s="589"/>
      <c r="Y925" s="1374"/>
      <c r="Z925" s="1439"/>
    </row>
    <row r="926" spans="1:26" x14ac:dyDescent="0.3">
      <c r="A926" s="1036">
        <v>41030</v>
      </c>
      <c r="B926" s="1538">
        <f t="shared" ca="1" si="233"/>
        <v>0.44242351380633482</v>
      </c>
      <c r="C926" s="1538">
        <f t="shared" ca="1" si="233"/>
        <v>0.13559600732572272</v>
      </c>
      <c r="D926" s="1538">
        <f t="shared" ca="1" si="233"/>
        <v>0.18542247953829896</v>
      </c>
      <c r="E926" s="1538">
        <f t="shared" ca="1" si="233"/>
        <v>9.2505955132449871E-2</v>
      </c>
      <c r="F926" s="1538">
        <f t="shared" ca="1" si="233"/>
        <v>9.3138003282542195E-2</v>
      </c>
      <c r="G926" s="1538">
        <f t="shared" ca="1" si="233"/>
        <v>5.0914040914651439E-2</v>
      </c>
      <c r="H926" s="1071">
        <f t="shared" ca="1" si="234"/>
        <v>0.2365579993296435</v>
      </c>
      <c r="I926" s="1071">
        <f t="shared" ca="1" si="235"/>
        <v>1</v>
      </c>
      <c r="J926" s="1374"/>
      <c r="K926" s="589"/>
      <c r="L926" s="589"/>
      <c r="M926" s="1374"/>
      <c r="N926" s="1374"/>
      <c r="O926" s="722">
        <v>41030</v>
      </c>
      <c r="P926" s="1538">
        <f t="shared" ca="1" si="236"/>
        <v>0.19346522904662652</v>
      </c>
      <c r="Q926" s="1538">
        <f t="shared" ca="1" si="236"/>
        <v>0.53256631168701452</v>
      </c>
      <c r="R926" s="1538">
        <f t="shared" ca="1" si="236"/>
        <v>8.0100155542779772E-2</v>
      </c>
      <c r="S926" s="1538">
        <f t="shared" ca="1" si="236"/>
        <v>0.14649011531876477</v>
      </c>
      <c r="T926" s="1538">
        <f t="shared" ca="1" si="237"/>
        <v>0</v>
      </c>
      <c r="U926" s="1538">
        <f t="shared" ca="1" si="238"/>
        <v>4.7378188404814302E-2</v>
      </c>
      <c r="V926" s="1538">
        <f t="shared" ca="1" si="239"/>
        <v>0.27396845926635882</v>
      </c>
      <c r="W926" s="1071">
        <f t="shared" ca="1" si="240"/>
        <v>1</v>
      </c>
      <c r="X926" s="589"/>
      <c r="Y926" s="1374"/>
      <c r="Z926" s="1439"/>
    </row>
    <row r="927" spans="1:26" x14ac:dyDescent="0.3">
      <c r="A927" s="1036">
        <v>41061</v>
      </c>
      <c r="B927" s="1538">
        <f t="shared" ca="1" si="233"/>
        <v>0.48080509003459909</v>
      </c>
      <c r="C927" s="1538">
        <f t="shared" ca="1" si="233"/>
        <v>0.12193192525236687</v>
      </c>
      <c r="D927" s="1538">
        <f t="shared" ca="1" si="233"/>
        <v>0.16885268642936321</v>
      </c>
      <c r="E927" s="1538">
        <f t="shared" ca="1" si="233"/>
        <v>9.2636486314698605E-2</v>
      </c>
      <c r="F927" s="1538">
        <f t="shared" ca="1" si="233"/>
        <v>8.519180928841219E-2</v>
      </c>
      <c r="G927" s="1538">
        <f t="shared" ca="1" si="233"/>
        <v>5.0582002680559963E-2</v>
      </c>
      <c r="H927" s="1071">
        <f t="shared" ca="1" si="234"/>
        <v>0.22841029828367077</v>
      </c>
      <c r="I927" s="1071">
        <f t="shared" ca="1" si="235"/>
        <v>1</v>
      </c>
      <c r="J927" s="1374"/>
      <c r="K927" s="589"/>
      <c r="L927" s="589"/>
      <c r="M927" s="1374"/>
      <c r="N927" s="1374"/>
      <c r="O927" s="722">
        <v>41061</v>
      </c>
      <c r="P927" s="1538">
        <f t="shared" ca="1" si="236"/>
        <v>0.2289083533355078</v>
      </c>
      <c r="Q927" s="1538">
        <f t="shared" ca="1" si="236"/>
        <v>0.49795110287370337</v>
      </c>
      <c r="R927" s="1538">
        <f t="shared" ca="1" si="236"/>
        <v>7.8284236292671214E-2</v>
      </c>
      <c r="S927" s="1538">
        <f t="shared" ca="1" si="236"/>
        <v>0.14829587257984259</v>
      </c>
      <c r="T927" s="1538">
        <f t="shared" ca="1" si="237"/>
        <v>0</v>
      </c>
      <c r="U927" s="1538">
        <f t="shared" ca="1" si="238"/>
        <v>4.6560434918275197E-2</v>
      </c>
      <c r="V927" s="1538">
        <f t="shared" ca="1" si="239"/>
        <v>0.273140543790789</v>
      </c>
      <c r="W927" s="1071">
        <f t="shared" ca="1" si="240"/>
        <v>1.0000000000000002</v>
      </c>
      <c r="X927" s="589"/>
      <c r="Y927" s="1374"/>
      <c r="Z927" s="1439"/>
    </row>
    <row r="928" spans="1:26" x14ac:dyDescent="0.3">
      <c r="A928" s="1036">
        <v>41091</v>
      </c>
      <c r="B928" s="1538">
        <f t="shared" ca="1" si="233"/>
        <v>0.52113607166332909</v>
      </c>
      <c r="C928" s="1538">
        <f t="shared" ca="1" si="233"/>
        <v>0.11228436614691772</v>
      </c>
      <c r="D928" s="1538">
        <f t="shared" ca="1" si="233"/>
        <v>0.14894745566183754</v>
      </c>
      <c r="E928" s="1538">
        <f t="shared" ca="1" si="233"/>
        <v>9.3286979806440962E-2</v>
      </c>
      <c r="F928" s="1538">
        <f t="shared" ca="1" si="233"/>
        <v>7.399756046126621E-2</v>
      </c>
      <c r="G928" s="1538">
        <f t="shared" ca="1" si="233"/>
        <v>5.0347566260208469E-2</v>
      </c>
      <c r="H928" s="1071">
        <f t="shared" ca="1" si="234"/>
        <v>0.21763210652791565</v>
      </c>
      <c r="I928" s="1071">
        <f t="shared" ca="1" si="235"/>
        <v>1</v>
      </c>
      <c r="J928" s="1374"/>
      <c r="K928" s="589"/>
      <c r="L928" s="589"/>
      <c r="M928" s="1374"/>
      <c r="N928" s="1374"/>
      <c r="O928" s="722">
        <v>41091</v>
      </c>
      <c r="P928" s="1538">
        <f t="shared" ca="1" si="236"/>
        <v>0.1454446915433377</v>
      </c>
      <c r="Q928" s="1538">
        <f t="shared" ca="1" si="236"/>
        <v>0.56085773579337106</v>
      </c>
      <c r="R928" s="1538">
        <f t="shared" ca="1" si="236"/>
        <v>7.4652973656840343E-2</v>
      </c>
      <c r="S928" s="1538">
        <f t="shared" ca="1" si="236"/>
        <v>0.17306166900785155</v>
      </c>
      <c r="T928" s="1538">
        <f t="shared" ca="1" si="237"/>
        <v>0</v>
      </c>
      <c r="U928" s="1538">
        <f t="shared" ca="1" si="238"/>
        <v>4.5982929998599292E-2</v>
      </c>
      <c r="V928" s="1538">
        <f t="shared" ca="1" si="239"/>
        <v>0.29369757266329122</v>
      </c>
      <c r="W928" s="1071">
        <f t="shared" ca="1" si="240"/>
        <v>1</v>
      </c>
      <c r="X928" s="589"/>
      <c r="Y928" s="1374"/>
      <c r="Z928" s="1439"/>
    </row>
    <row r="929" spans="1:26" x14ac:dyDescent="0.3">
      <c r="A929" s="1036">
        <v>41122</v>
      </c>
      <c r="B929" s="1538">
        <f t="shared" ca="1" si="233"/>
        <v>0.56256149854685011</v>
      </c>
      <c r="C929" s="1538">
        <f t="shared" ca="1" si="233"/>
        <v>9.6769109620381835E-2</v>
      </c>
      <c r="D929" s="1538">
        <f t="shared" ca="1" si="233"/>
        <v>0.13146995030808778</v>
      </c>
      <c r="E929" s="1538">
        <f t="shared" ca="1" si="233"/>
        <v>9.3344219060371797E-2</v>
      </c>
      <c r="F929" s="1538">
        <f t="shared" ca="1" si="233"/>
        <v>6.588467811826082E-2</v>
      </c>
      <c r="G929" s="1538">
        <f t="shared" ca="1" si="233"/>
        <v>4.9970544346047648E-2</v>
      </c>
      <c r="H929" s="1071">
        <f t="shared" ca="1" si="234"/>
        <v>0.20919944152468026</v>
      </c>
      <c r="I929" s="1071">
        <f t="shared" ca="1" si="235"/>
        <v>1</v>
      </c>
      <c r="J929" s="1374"/>
      <c r="K929" s="589"/>
      <c r="L929" s="589"/>
      <c r="M929" s="1374"/>
      <c r="N929" s="1374"/>
      <c r="O929" s="722">
        <v>41122</v>
      </c>
      <c r="P929" s="1538">
        <f t="shared" ca="1" si="236"/>
        <v>0.16277592595237209</v>
      </c>
      <c r="Q929" s="1538">
        <f t="shared" ca="1" si="236"/>
        <v>0.54716679245214339</v>
      </c>
      <c r="R929" s="1538">
        <f t="shared" ca="1" si="236"/>
        <v>7.6729285985165749E-2</v>
      </c>
      <c r="S929" s="1538">
        <f t="shared" ca="1" si="236"/>
        <v>0.16662847567100009</v>
      </c>
      <c r="T929" s="1538">
        <f t="shared" ca="1" si="237"/>
        <v>0</v>
      </c>
      <c r="U929" s="1538">
        <f t="shared" ca="1" si="238"/>
        <v>4.6699519939318535E-2</v>
      </c>
      <c r="V929" s="1538">
        <f t="shared" ca="1" si="239"/>
        <v>0.29005728159548438</v>
      </c>
      <c r="W929" s="1071">
        <f t="shared" ca="1" si="240"/>
        <v>0.99999999999999978</v>
      </c>
      <c r="X929" s="589"/>
      <c r="Y929" s="1374"/>
      <c r="Z929" s="1439"/>
    </row>
    <row r="930" spans="1:26" x14ac:dyDescent="0.3">
      <c r="A930" s="1036">
        <v>41153</v>
      </c>
      <c r="B930" s="1538">
        <f t="shared" ca="1" si="233"/>
        <v>0.5548871361690183</v>
      </c>
      <c r="C930" s="1538">
        <f t="shared" ca="1" si="233"/>
        <v>0.10034161786915917</v>
      </c>
      <c r="D930" s="1538">
        <f t="shared" ca="1" si="233"/>
        <v>0.13433814629791518</v>
      </c>
      <c r="E930" s="1538">
        <f t="shared" ca="1" si="233"/>
        <v>9.3409701236904605E-2</v>
      </c>
      <c r="F930" s="1538">
        <f t="shared" ca="1" si="233"/>
        <v>6.6966041858675565E-2</v>
      </c>
      <c r="G930" s="1538">
        <f t="shared" ca="1" si="233"/>
        <v>5.0057356568327424E-2</v>
      </c>
      <c r="H930" s="1071">
        <f t="shared" ca="1" si="234"/>
        <v>0.21043309966390761</v>
      </c>
      <c r="I930" s="1071">
        <f t="shared" ca="1" si="235"/>
        <v>1.0000000000000002</v>
      </c>
      <c r="J930" s="1374"/>
      <c r="K930" s="589"/>
      <c r="L930" s="589"/>
      <c r="M930" s="1374"/>
      <c r="N930" s="1374"/>
      <c r="O930" s="722">
        <v>41153</v>
      </c>
      <c r="P930" s="1538">
        <f t="shared" ca="1" si="236"/>
        <v>0.14211849767679016</v>
      </c>
      <c r="Q930" s="1538">
        <f t="shared" ca="1" si="236"/>
        <v>0.56411565193741253</v>
      </c>
      <c r="R930" s="1538">
        <f t="shared" ca="1" si="236"/>
        <v>7.6610663998573095E-2</v>
      </c>
      <c r="S930" s="1538">
        <f t="shared" ca="1" si="236"/>
        <v>0.17032991101264314</v>
      </c>
      <c r="T930" s="1538">
        <f t="shared" ca="1" si="237"/>
        <v>0</v>
      </c>
      <c r="U930" s="1538">
        <f t="shared" ca="1" si="238"/>
        <v>4.6825275374581102E-2</v>
      </c>
      <c r="V930" s="1538">
        <f t="shared" ca="1" si="239"/>
        <v>0.29376585038579733</v>
      </c>
      <c r="W930" s="1071">
        <f t="shared" ca="1" si="240"/>
        <v>1</v>
      </c>
      <c r="X930" s="589"/>
      <c r="Y930" s="1374"/>
      <c r="Z930" s="1439"/>
    </row>
    <row r="931" spans="1:26" x14ac:dyDescent="0.3">
      <c r="A931" s="1036">
        <v>41183</v>
      </c>
      <c r="B931" s="1538">
        <f t="shared" ca="1" si="233"/>
        <v>0.55019214338913014</v>
      </c>
      <c r="C931" s="1538">
        <f t="shared" ca="1" si="233"/>
        <v>0.1112883715447885</v>
      </c>
      <c r="D931" s="1538">
        <f t="shared" ca="1" si="233"/>
        <v>0.13649334251165435</v>
      </c>
      <c r="E931" s="1538">
        <f t="shared" ca="1" si="233"/>
        <v>8.8645366606174836E-2</v>
      </c>
      <c r="F931" s="1538">
        <f t="shared" ca="1" si="233"/>
        <v>6.5765812575927243E-2</v>
      </c>
      <c r="G931" s="1538">
        <f t="shared" ca="1" si="233"/>
        <v>4.7614963372325098E-2</v>
      </c>
      <c r="H931" s="1071">
        <f t="shared" ca="1" si="234"/>
        <v>0.20202614255442716</v>
      </c>
      <c r="I931" s="1071">
        <f t="shared" ca="1" si="235"/>
        <v>1.0000000000000002</v>
      </c>
      <c r="J931" s="1374"/>
      <c r="K931" s="589"/>
      <c r="L931" s="589"/>
      <c r="M931" s="1374"/>
      <c r="N931" s="1374"/>
      <c r="O931" s="722">
        <v>41183</v>
      </c>
      <c r="P931" s="1538">
        <f t="shared" ca="1" si="236"/>
        <v>0.40756567343732719</v>
      </c>
      <c r="Q931" s="1538">
        <f t="shared" ca="1" si="236"/>
        <v>0.36496981018499586</v>
      </c>
      <c r="R931" s="1538">
        <f t="shared" ca="1" si="236"/>
        <v>9.0135800644396871E-2</v>
      </c>
      <c r="S931" s="1538">
        <f t="shared" ca="1" si="236"/>
        <v>8.7863579899429542E-2</v>
      </c>
      <c r="T931" s="1538">
        <f t="shared" ca="1" si="237"/>
        <v>0</v>
      </c>
      <c r="U931" s="1538">
        <f t="shared" ca="1" si="238"/>
        <v>4.9465135833850579E-2</v>
      </c>
      <c r="V931" s="1538">
        <f t="shared" ca="1" si="239"/>
        <v>0.22746451637767701</v>
      </c>
      <c r="W931" s="1071">
        <f t="shared" ca="1" si="240"/>
        <v>1</v>
      </c>
      <c r="X931" s="589"/>
      <c r="Y931" s="1374"/>
      <c r="Z931" s="1439"/>
    </row>
    <row r="932" spans="1:26" x14ac:dyDescent="0.3">
      <c r="A932" s="1036">
        <v>41214</v>
      </c>
      <c r="B932" s="1538">
        <f t="shared" ref="B932:G941" ca="1" si="241">IF(VLOOKUP($A932, INDIRECT("'"&amp;$B$812&amp;"'!$A$5:$CA$100"),B$920, FALSE)=0,NA(),VLOOKUP($A932, INDIRECT("'"&amp;$B$812&amp;"'!$A$5:$CA$100"),B$920, FALSE)/(VLOOKUP($A932, INDIRECT("'"&amp;$B$812&amp;"'!$A$5:$CA$100"),6, FALSE)-VLOOKUP($A932, INDIRECT("'"&amp;$B$812&amp;"'!$A$5:$CA$100"),11, FALSE)))</f>
        <v>0.50468201995261941</v>
      </c>
      <c r="C932" s="1538">
        <f t="shared" ca="1" si="241"/>
        <v>0.13274716067758405</v>
      </c>
      <c r="D932" s="1538">
        <f t="shared" ca="1" si="241"/>
        <v>0.15432909813607407</v>
      </c>
      <c r="E932" s="1538">
        <f t="shared" ca="1" si="241"/>
        <v>8.795297842744737E-2</v>
      </c>
      <c r="F932" s="1538">
        <f t="shared" ca="1" si="241"/>
        <v>7.2674566964470583E-2</v>
      </c>
      <c r="G932" s="1538">
        <f t="shared" ca="1" si="241"/>
        <v>4.761417584180444E-2</v>
      </c>
      <c r="H932" s="1071">
        <f t="shared" ca="1" si="234"/>
        <v>0.20824172123372239</v>
      </c>
      <c r="I932" s="1071">
        <f t="shared" ca="1" si="235"/>
        <v>1</v>
      </c>
      <c r="J932" s="1374"/>
      <c r="K932" s="589"/>
      <c r="L932" s="589"/>
      <c r="M932" s="1374"/>
      <c r="N932" s="1374"/>
      <c r="O932" s="722">
        <v>41214</v>
      </c>
      <c r="P932" s="1538">
        <f t="shared" ca="1" si="236"/>
        <v>0.52035704786796677</v>
      </c>
      <c r="Q932" s="1538">
        <f t="shared" ca="1" si="236"/>
        <v>0.27608488171920298</v>
      </c>
      <c r="R932" s="1538">
        <f t="shared" ca="1" si="236"/>
        <v>9.313735697356279E-2</v>
      </c>
      <c r="S932" s="1538">
        <f t="shared" ca="1" si="236"/>
        <v>6.0807469859297275E-2</v>
      </c>
      <c r="T932" s="1538">
        <f t="shared" ca="1" si="237"/>
        <v>0</v>
      </c>
      <c r="U932" s="1538">
        <f t="shared" ca="1" si="238"/>
        <v>4.9613243579970101E-2</v>
      </c>
      <c r="V932" s="1538">
        <f t="shared" ca="1" si="239"/>
        <v>0.20355807041283017</v>
      </c>
      <c r="W932" s="1071">
        <f t="shared" ca="1" si="240"/>
        <v>1</v>
      </c>
      <c r="X932" s="589"/>
      <c r="Y932" s="1374"/>
      <c r="Z932" s="1439"/>
    </row>
    <row r="933" spans="1:26" x14ac:dyDescent="0.3">
      <c r="A933" s="1036">
        <v>41244</v>
      </c>
      <c r="B933" s="1538">
        <f t="shared" ca="1" si="241"/>
        <v>0.54336710159662804</v>
      </c>
      <c r="C933" s="1538">
        <f t="shared" ca="1" si="241"/>
        <v>0.12468819442528734</v>
      </c>
      <c r="D933" s="1538">
        <f t="shared" ca="1" si="241"/>
        <v>0.13423871123847578</v>
      </c>
      <c r="E933" s="1538">
        <f t="shared" ca="1" si="241"/>
        <v>8.9124187904106228E-2</v>
      </c>
      <c r="F933" s="1538">
        <f t="shared" ca="1" si="241"/>
        <v>6.0967333232280846E-2</v>
      </c>
      <c r="G933" s="1538">
        <f t="shared" ca="1" si="241"/>
        <v>4.7614471603221797E-2</v>
      </c>
      <c r="H933" s="1071">
        <f t="shared" ca="1" si="234"/>
        <v>0.19770599273960887</v>
      </c>
      <c r="I933" s="1071">
        <f t="shared" ca="1" si="235"/>
        <v>1</v>
      </c>
      <c r="J933" s="1374"/>
      <c r="K933" s="589"/>
      <c r="L933" s="589"/>
      <c r="M933" s="1374"/>
      <c r="N933" s="1374"/>
      <c r="O933" s="722">
        <v>41244</v>
      </c>
      <c r="P933" s="1538">
        <f t="shared" ca="1" si="236"/>
        <v>0.55748250589749626</v>
      </c>
      <c r="Q933" s="1538">
        <f t="shared" ca="1" si="236"/>
        <v>0.25390380783877159</v>
      </c>
      <c r="R933" s="1538">
        <f t="shared" ca="1" si="236"/>
        <v>9.0129800667085605E-2</v>
      </c>
      <c r="S933" s="1538">
        <f t="shared" ca="1" si="236"/>
        <v>5.0871360968046744E-2</v>
      </c>
      <c r="T933" s="1538">
        <f t="shared" ca="1" si="237"/>
        <v>0</v>
      </c>
      <c r="U933" s="1538">
        <f t="shared" ca="1" si="238"/>
        <v>4.7612524628599821E-2</v>
      </c>
      <c r="V933" s="1538">
        <f t="shared" ca="1" si="239"/>
        <v>0.18861368626373218</v>
      </c>
      <c r="W933" s="1071">
        <f t="shared" ca="1" si="240"/>
        <v>1</v>
      </c>
      <c r="X933" s="589"/>
      <c r="Y933" s="1374"/>
      <c r="Z933" s="1439"/>
    </row>
    <row r="934" spans="1:26" x14ac:dyDescent="0.3">
      <c r="A934" s="1036">
        <v>41275</v>
      </c>
      <c r="B934" s="1538">
        <f t="shared" ca="1" si="241"/>
        <v>0.54981275546252961</v>
      </c>
      <c r="C934" s="1538">
        <f t="shared" ca="1" si="241"/>
        <v>0.11704810180660671</v>
      </c>
      <c r="D934" s="1538">
        <f t="shared" ca="1" si="241"/>
        <v>0.13394009248903765</v>
      </c>
      <c r="E934" s="1538">
        <f t="shared" ca="1" si="241"/>
        <v>8.8958963390934828E-2</v>
      </c>
      <c r="F934" s="1538">
        <f t="shared" ca="1" si="241"/>
        <v>6.2625334858776929E-2</v>
      </c>
      <c r="G934" s="1538">
        <f t="shared" ca="1" si="241"/>
        <v>4.7614751992114228E-2</v>
      </c>
      <c r="H934" s="1071">
        <f t="shared" ca="1" si="234"/>
        <v>0.19919905024182599</v>
      </c>
      <c r="I934" s="1071">
        <f t="shared" ca="1" si="235"/>
        <v>1</v>
      </c>
      <c r="J934" s="1374"/>
      <c r="K934" s="589"/>
      <c r="L934" s="589"/>
      <c r="M934" s="1374"/>
      <c r="N934" s="1374"/>
      <c r="O934" s="722">
        <v>41275</v>
      </c>
      <c r="P934" s="1538">
        <f t="shared" ca="1" si="236"/>
        <v>0.4684569648393771</v>
      </c>
      <c r="Q934" s="1538">
        <f t="shared" ca="1" si="236"/>
        <v>0.32138966761216775</v>
      </c>
      <c r="R934" s="1538">
        <f t="shared" ca="1" si="236"/>
        <v>9.626266923512096E-2</v>
      </c>
      <c r="S934" s="1538">
        <f t="shared" ca="1" si="236"/>
        <v>6.2623839468983589E-2</v>
      </c>
      <c r="T934" s="1538">
        <f t="shared" ca="1" si="237"/>
        <v>0</v>
      </c>
      <c r="U934" s="1538">
        <f t="shared" ca="1" si="238"/>
        <v>5.1266858844350567E-2</v>
      </c>
      <c r="V934" s="1538">
        <f t="shared" ca="1" si="239"/>
        <v>0.21015336754845509</v>
      </c>
      <c r="W934" s="1071">
        <f t="shared" ca="1" si="240"/>
        <v>1</v>
      </c>
      <c r="X934" s="589"/>
      <c r="Y934" s="1374"/>
      <c r="Z934" s="1439"/>
    </row>
    <row r="935" spans="1:26" x14ac:dyDescent="0.3">
      <c r="A935" s="1036">
        <v>41306</v>
      </c>
      <c r="B935" s="1538">
        <f t="shared" ca="1" si="241"/>
        <v>0.50833191943132761</v>
      </c>
      <c r="C935" s="1538">
        <f t="shared" ca="1" si="241"/>
        <v>0.12865121188889808</v>
      </c>
      <c r="D935" s="1538">
        <f t="shared" ca="1" si="241"/>
        <v>0.15404849944046137</v>
      </c>
      <c r="E935" s="1538">
        <f t="shared" ca="1" si="241"/>
        <v>8.7872598545563882E-2</v>
      </c>
      <c r="F935" s="1538">
        <f t="shared" ca="1" si="241"/>
        <v>7.3481444531967866E-2</v>
      </c>
      <c r="G935" s="1538">
        <f t="shared" ca="1" si="241"/>
        <v>4.7614326161781122E-2</v>
      </c>
      <c r="H935" s="1071">
        <f t="shared" ca="1" si="234"/>
        <v>0.20896836923931289</v>
      </c>
      <c r="I935" s="1071">
        <f t="shared" ca="1" si="235"/>
        <v>0.99999999999999989</v>
      </c>
      <c r="J935" s="1374"/>
      <c r="K935" s="589"/>
      <c r="L935" s="589"/>
      <c r="M935" s="1374"/>
      <c r="N935" s="1374"/>
      <c r="O935" s="722">
        <v>41306</v>
      </c>
      <c r="P935" s="1538">
        <f t="shared" ca="1" si="236"/>
        <v>0.4592125287992489</v>
      </c>
      <c r="Q935" s="1538">
        <f t="shared" ca="1" si="236"/>
        <v>0.32686012045296436</v>
      </c>
      <c r="R935" s="1538">
        <f t="shared" ca="1" si="236"/>
        <v>9.4813713508360362E-2</v>
      </c>
      <c r="S935" s="1538">
        <f t="shared" ca="1" si="236"/>
        <v>6.8288108039460796E-2</v>
      </c>
      <c r="T935" s="1538">
        <f t="shared" ca="1" si="237"/>
        <v>0</v>
      </c>
      <c r="U935" s="1538">
        <f t="shared" ca="1" si="238"/>
        <v>5.0825529199965476E-2</v>
      </c>
      <c r="V935" s="1538">
        <f t="shared" ca="1" si="239"/>
        <v>0.21392735074778663</v>
      </c>
      <c r="W935" s="1071">
        <f t="shared" ca="1" si="240"/>
        <v>0.99999999999999989</v>
      </c>
      <c r="X935" s="589"/>
      <c r="Y935" s="1374"/>
      <c r="Z935" s="1439"/>
    </row>
    <row r="936" spans="1:26" x14ac:dyDescent="0.3">
      <c r="A936" s="1036">
        <v>41334</v>
      </c>
      <c r="B936" s="1538">
        <f t="shared" ca="1" si="241"/>
        <v>0.49295001323845722</v>
      </c>
      <c r="C936" s="1538">
        <f t="shared" ca="1" si="241"/>
        <v>0.13263501033593358</v>
      </c>
      <c r="D936" s="1538">
        <f t="shared" ca="1" si="241"/>
        <v>0.16165946576841347</v>
      </c>
      <c r="E936" s="1538">
        <f t="shared" ca="1" si="241"/>
        <v>8.7451506025260847E-2</v>
      </c>
      <c r="F936" s="1538">
        <f t="shared" ca="1" si="241"/>
        <v>7.7689824674249869E-2</v>
      </c>
      <c r="G936" s="1538">
        <f t="shared" ca="1" si="241"/>
        <v>4.7614179957685181E-2</v>
      </c>
      <c r="H936" s="1071">
        <f t="shared" ca="1" si="234"/>
        <v>0.21275551065719589</v>
      </c>
      <c r="I936" s="1071">
        <f t="shared" ca="1" si="235"/>
        <v>1.0000000000000002</v>
      </c>
      <c r="J936" s="1374"/>
      <c r="K936" s="589"/>
      <c r="L936" s="589"/>
      <c r="M936" s="1374"/>
      <c r="N936" s="1374"/>
      <c r="O936" s="722">
        <v>41334</v>
      </c>
      <c r="P936" s="1538">
        <f t="shared" ca="1" si="236"/>
        <v>0.43876615622724113</v>
      </c>
      <c r="Q936" s="1538">
        <f t="shared" ca="1" si="236"/>
        <v>0.34331614922846027</v>
      </c>
      <c r="R936" s="1538">
        <f t="shared" ca="1" si="236"/>
        <v>9.5939405225163199E-2</v>
      </c>
      <c r="S936" s="1538">
        <f t="shared" ca="1" si="236"/>
        <v>7.0480256191950766E-2</v>
      </c>
      <c r="T936" s="1538">
        <f t="shared" ca="1" si="237"/>
        <v>0</v>
      </c>
      <c r="U936" s="1538">
        <f t="shared" ca="1" si="238"/>
        <v>5.1498033127184775E-2</v>
      </c>
      <c r="V936" s="1538">
        <f t="shared" ca="1" si="239"/>
        <v>0.21791769454429871</v>
      </c>
      <c r="W936" s="1071">
        <f t="shared" ca="1" si="240"/>
        <v>1</v>
      </c>
      <c r="X936" s="589"/>
      <c r="Y936" s="1374"/>
      <c r="Z936" s="1439"/>
    </row>
    <row r="937" spans="1:26" x14ac:dyDescent="0.3">
      <c r="A937" s="1036">
        <v>41365</v>
      </c>
      <c r="B937" s="1538">
        <f t="shared" ca="1" si="241"/>
        <v>0.51469536742753486</v>
      </c>
      <c r="C937" s="1538">
        <f t="shared" ca="1" si="241"/>
        <v>0.11935987151026617</v>
      </c>
      <c r="D937" s="1538">
        <f t="shared" ca="1" si="241"/>
        <v>0.15127686895405265</v>
      </c>
      <c r="E937" s="1538">
        <f t="shared" ca="1" si="241"/>
        <v>9.1407921735141937E-2</v>
      </c>
      <c r="F937" s="1538">
        <f t="shared" ca="1" si="241"/>
        <v>7.3858948321503581E-2</v>
      </c>
      <c r="G937" s="1538">
        <f t="shared" ca="1" si="241"/>
        <v>4.9401022051501001E-2</v>
      </c>
      <c r="H937" s="1071">
        <f t="shared" ca="1" si="234"/>
        <v>0.21466789210814652</v>
      </c>
      <c r="I937" s="1071">
        <f t="shared" ca="1" si="235"/>
        <v>1.0000000000000002</v>
      </c>
      <c r="J937" s="1374"/>
      <c r="K937" s="589"/>
      <c r="L937" s="589"/>
      <c r="M937" s="1374"/>
      <c r="N937" s="1374"/>
      <c r="O937" s="722">
        <v>41365</v>
      </c>
      <c r="P937" s="1538">
        <f t="shared" ca="1" si="236"/>
        <v>0.44538469951964826</v>
      </c>
      <c r="Q937" s="1538">
        <f t="shared" ca="1" si="236"/>
        <v>0.33746759449982933</v>
      </c>
      <c r="R937" s="1538">
        <f t="shared" ca="1" si="236"/>
        <v>9.449983882339294E-2</v>
      </c>
      <c r="S937" s="1538">
        <f t="shared" ca="1" si="236"/>
        <v>7.1803518883232567E-2</v>
      </c>
      <c r="T937" s="1538">
        <f t="shared" ca="1" si="237"/>
        <v>0</v>
      </c>
      <c r="U937" s="1538">
        <f t="shared" ca="1" si="238"/>
        <v>5.0844348273896944E-2</v>
      </c>
      <c r="V937" s="1538">
        <f t="shared" ca="1" si="239"/>
        <v>0.21714770598052247</v>
      </c>
      <c r="W937" s="1071">
        <f t="shared" ca="1" si="240"/>
        <v>1</v>
      </c>
      <c r="X937" s="589"/>
      <c r="Y937" s="1374"/>
      <c r="Z937" s="1439"/>
    </row>
    <row r="938" spans="1:26" x14ac:dyDescent="0.3">
      <c r="A938" s="1036">
        <v>41395</v>
      </c>
      <c r="B938" s="1538">
        <f t="shared" ca="1" si="241"/>
        <v>0.4678074644864571</v>
      </c>
      <c r="C938" s="1538">
        <f t="shared" ca="1" si="241"/>
        <v>0.12618580391240961</v>
      </c>
      <c r="D938" s="1538">
        <f t="shared" ca="1" si="241"/>
        <v>0.17686146830308916</v>
      </c>
      <c r="E938" s="1538">
        <f t="shared" ca="1" si="241"/>
        <v>9.0037245615624525E-2</v>
      </c>
      <c r="F938" s="1538">
        <f t="shared" ca="1" si="241"/>
        <v>8.9605088374615685E-2</v>
      </c>
      <c r="G938" s="1538">
        <f t="shared" ca="1" si="241"/>
        <v>4.9502929307803881E-2</v>
      </c>
      <c r="H938" s="1071">
        <f t="shared" ca="1" si="234"/>
        <v>0.22914526329804408</v>
      </c>
      <c r="I938" s="1071">
        <f t="shared" ca="1" si="235"/>
        <v>0.99999999999999989</v>
      </c>
      <c r="J938" s="1374"/>
      <c r="K938" s="589"/>
      <c r="L938" s="589"/>
      <c r="M938" s="1374"/>
      <c r="N938" s="1374"/>
      <c r="O938" s="722">
        <v>41395</v>
      </c>
      <c r="P938" s="1538">
        <f t="shared" ca="1" si="236"/>
        <v>0.32837661255485523</v>
      </c>
      <c r="Q938" s="1538">
        <f t="shared" ca="1" si="236"/>
        <v>0.42601978530298273</v>
      </c>
      <c r="R938" s="1538">
        <f t="shared" ca="1" si="236"/>
        <v>8.8459564933158208E-2</v>
      </c>
      <c r="S938" s="1538">
        <f t="shared" ca="1" si="236"/>
        <v>0.10753359396561414</v>
      </c>
      <c r="T938" s="1538">
        <f t="shared" ca="1" si="237"/>
        <v>0</v>
      </c>
      <c r="U938" s="1538">
        <f t="shared" ca="1" si="238"/>
        <v>4.9610443243389653E-2</v>
      </c>
      <c r="V938" s="1538">
        <f t="shared" ca="1" si="239"/>
        <v>0.24560360214216198</v>
      </c>
      <c r="W938" s="1071">
        <f t="shared" ca="1" si="240"/>
        <v>1</v>
      </c>
      <c r="X938" s="589"/>
      <c r="Y938" s="1374"/>
      <c r="Z938" s="1439"/>
    </row>
    <row r="939" spans="1:26" x14ac:dyDescent="0.3">
      <c r="A939" s="1036">
        <v>41426</v>
      </c>
      <c r="B939" s="1538">
        <f t="shared" ca="1" si="241"/>
        <v>0.48803764946182387</v>
      </c>
      <c r="C939" s="1538">
        <f t="shared" ca="1" si="241"/>
        <v>0.12302073215919125</v>
      </c>
      <c r="D939" s="1538">
        <f t="shared" ca="1" si="241"/>
        <v>0.16703309372901803</v>
      </c>
      <c r="E939" s="1538">
        <f t="shared" ca="1" si="241"/>
        <v>8.9354436586452757E-2</v>
      </c>
      <c r="F939" s="1538">
        <f t="shared" ca="1" si="241"/>
        <v>8.3688427065244153E-2</v>
      </c>
      <c r="G939" s="1538">
        <f t="shared" ca="1" si="241"/>
        <v>4.8865660998270159E-2</v>
      </c>
      <c r="H939" s="1071">
        <f t="shared" ca="1" si="234"/>
        <v>0.22190852464996708</v>
      </c>
      <c r="I939" s="1071">
        <f t="shared" ca="1" si="235"/>
        <v>1.0000000000000002</v>
      </c>
      <c r="J939" s="1374"/>
      <c r="K939" s="589"/>
      <c r="L939" s="589"/>
      <c r="M939" s="1374"/>
      <c r="N939" s="1374"/>
      <c r="O939" s="722">
        <v>41426</v>
      </c>
      <c r="P939" s="1538">
        <f t="shared" ca="1" si="236"/>
        <v>0.28219313542092256</v>
      </c>
      <c r="Q939" s="1538">
        <f t="shared" ca="1" si="236"/>
        <v>0.46148347257198419</v>
      </c>
      <c r="R939" s="1538">
        <f t="shared" ca="1" si="236"/>
        <v>8.6482036332973383E-2</v>
      </c>
      <c r="S939" s="1538">
        <f t="shared" ca="1" si="236"/>
        <v>0.12056804326360979</v>
      </c>
      <c r="T939" s="1538">
        <f t="shared" ca="1" si="237"/>
        <v>0</v>
      </c>
      <c r="U939" s="1538">
        <f t="shared" ca="1" si="238"/>
        <v>4.9273312410510244E-2</v>
      </c>
      <c r="V939" s="1538">
        <f t="shared" ca="1" si="239"/>
        <v>0.25632339200709342</v>
      </c>
      <c r="W939" s="1071">
        <f t="shared" ca="1" si="240"/>
        <v>1</v>
      </c>
      <c r="X939" s="589"/>
      <c r="Y939" s="1374"/>
      <c r="Z939" s="1439"/>
    </row>
    <row r="940" spans="1:26" x14ac:dyDescent="0.3">
      <c r="A940" s="1036">
        <v>41456</v>
      </c>
      <c r="B940" s="1538">
        <f t="shared" ca="1" si="241"/>
        <v>0.56591544962634721</v>
      </c>
      <c r="C940" s="1538">
        <f t="shared" ca="1" si="241"/>
        <v>9.7533094802776887E-2</v>
      </c>
      <c r="D940" s="1538">
        <f t="shared" ca="1" si="241"/>
        <v>0.13321414101821927</v>
      </c>
      <c r="E940" s="1538">
        <f t="shared" ca="1" si="241"/>
        <v>8.8735770078649717E-2</v>
      </c>
      <c r="F940" s="1538">
        <f t="shared" ca="1" si="241"/>
        <v>6.68853961196932E-2</v>
      </c>
      <c r="G940" s="1538">
        <f t="shared" ca="1" si="241"/>
        <v>4.771614835431396E-2</v>
      </c>
      <c r="H940" s="1071">
        <f t="shared" ca="1" si="234"/>
        <v>0.20333731455265688</v>
      </c>
      <c r="I940" s="1071">
        <f t="shared" ca="1" si="235"/>
        <v>1.0000000000000002</v>
      </c>
      <c r="J940" s="1374"/>
      <c r="K940" s="589"/>
      <c r="L940" s="589"/>
      <c r="M940" s="1374"/>
      <c r="N940" s="1374"/>
      <c r="O940" s="722">
        <v>41456</v>
      </c>
      <c r="P940" s="1538">
        <f t="shared" ca="1" si="236"/>
        <v>0.18338411343423947</v>
      </c>
      <c r="Q940" s="1538">
        <f t="shared" ca="1" si="236"/>
        <v>0.53955267507379701</v>
      </c>
      <c r="R940" s="1538">
        <f t="shared" ca="1" si="236"/>
        <v>8.3994783970619227E-2</v>
      </c>
      <c r="S940" s="1538">
        <f t="shared" ca="1" si="236"/>
        <v>0.14387357656451591</v>
      </c>
      <c r="T940" s="1538">
        <f t="shared" ca="1" si="237"/>
        <v>0</v>
      </c>
      <c r="U940" s="1538">
        <f t="shared" ca="1" si="238"/>
        <v>4.9194850956828406E-2</v>
      </c>
      <c r="V940" s="1538">
        <f t="shared" ca="1" si="239"/>
        <v>0.27706321149196356</v>
      </c>
      <c r="W940" s="1071">
        <f t="shared" ca="1" si="240"/>
        <v>1</v>
      </c>
      <c r="X940" s="589"/>
      <c r="Y940" s="1374"/>
      <c r="Z940" s="1439"/>
    </row>
    <row r="941" spans="1:26" x14ac:dyDescent="0.3">
      <c r="A941" s="1036">
        <v>41487</v>
      </c>
      <c r="B941" s="1538">
        <f t="shared" ca="1" si="241"/>
        <v>0.56635230565550843</v>
      </c>
      <c r="C941" s="1538">
        <f t="shared" ca="1" si="241"/>
        <v>9.8322316697646586E-2</v>
      </c>
      <c r="D941" s="1538">
        <f t="shared" ca="1" si="241"/>
        <v>0.13254399220147162</v>
      </c>
      <c r="E941" s="1538">
        <f t="shared" ca="1" si="241"/>
        <v>8.8818932516092505E-2</v>
      </c>
      <c r="F941" s="1538">
        <f t="shared" ca="1" si="241"/>
        <v>6.6237132780520375E-2</v>
      </c>
      <c r="G941" s="1538">
        <f t="shared" ca="1" si="241"/>
        <v>4.7725320148760658E-2</v>
      </c>
      <c r="H941" s="1071">
        <f t="shared" ca="1" si="234"/>
        <v>0.20278138544537352</v>
      </c>
      <c r="I941" s="1071">
        <f t="shared" ca="1" si="235"/>
        <v>1.0000000000000002</v>
      </c>
      <c r="J941" s="1374"/>
      <c r="K941" s="589"/>
      <c r="L941" s="589"/>
      <c r="M941" s="1374"/>
      <c r="N941" s="1374"/>
      <c r="O941" s="722">
        <v>41487</v>
      </c>
      <c r="P941" s="1538">
        <f t="shared" ca="1" si="236"/>
        <v>0.12352081788316951</v>
      </c>
      <c r="Q941" s="1538">
        <f t="shared" ca="1" si="236"/>
        <v>0.58679526427325801</v>
      </c>
      <c r="R941" s="1538">
        <f t="shared" ca="1" si="236"/>
        <v>8.2443784689449143E-2</v>
      </c>
      <c r="S941" s="1538">
        <f t="shared" ca="1" si="236"/>
        <v>0.15810907663624144</v>
      </c>
      <c r="T941" s="1538">
        <f t="shared" ca="1" si="237"/>
        <v>0</v>
      </c>
      <c r="U941" s="1538">
        <f t="shared" ca="1" si="238"/>
        <v>4.9131056517881799E-2</v>
      </c>
      <c r="V941" s="1538">
        <f t="shared" ca="1" si="239"/>
        <v>0.28968391784357239</v>
      </c>
      <c r="W941" s="1071">
        <f t="shared" ca="1" si="240"/>
        <v>0.99999999999999978</v>
      </c>
      <c r="X941" s="589"/>
      <c r="Y941" s="1374"/>
      <c r="Z941" s="1439"/>
    </row>
    <row r="942" spans="1:26" x14ac:dyDescent="0.3">
      <c r="A942" s="1036">
        <v>41518</v>
      </c>
      <c r="B942" s="1538">
        <f t="shared" ref="B942:G951" ca="1" si="242">IF(VLOOKUP($A942, INDIRECT("'"&amp;$B$812&amp;"'!$A$5:$CA$100"),B$920, FALSE)=0,NA(),VLOOKUP($A942, INDIRECT("'"&amp;$B$812&amp;"'!$A$5:$CA$100"),B$920, FALSE)/(VLOOKUP($A942, INDIRECT("'"&amp;$B$812&amp;"'!$A$5:$CA$100"),6, FALSE)-VLOOKUP($A942, INDIRECT("'"&amp;$B$812&amp;"'!$A$5:$CA$100"),11, FALSE)))</f>
        <v>0.56346092795567759</v>
      </c>
      <c r="C942" s="1538">
        <f t="shared" ca="1" si="242"/>
        <v>0.10017025978079422</v>
      </c>
      <c r="D942" s="1538">
        <f t="shared" ca="1" si="242"/>
        <v>0.13255355309898553</v>
      </c>
      <c r="E942" s="1538">
        <f t="shared" ca="1" si="242"/>
        <v>8.981872073509363E-2</v>
      </c>
      <c r="F942" s="1538">
        <f t="shared" ca="1" si="242"/>
        <v>6.5793462681185147E-2</v>
      </c>
      <c r="G942" s="1538">
        <f t="shared" ca="1" si="242"/>
        <v>4.8203075748263824E-2</v>
      </c>
      <c r="H942" s="1071">
        <f t="shared" ca="1" si="234"/>
        <v>0.2038152591645426</v>
      </c>
      <c r="I942" s="1071">
        <f t="shared" ca="1" si="235"/>
        <v>1</v>
      </c>
      <c r="J942" s="1374"/>
      <c r="K942" s="589"/>
      <c r="L942" s="589"/>
      <c r="M942" s="1374"/>
      <c r="N942" s="1374"/>
      <c r="O942" s="722">
        <v>41518</v>
      </c>
      <c r="P942" s="1538">
        <f t="shared" ref="P942:S961" ca="1" si="243">IF(VLOOKUP($O942, INDIRECT("'"&amp;$P$812&amp;"'!$A$5:$CA$100"),P$920, FALSE)=0,NA(),VLOOKUP($O942, INDIRECT("'"&amp;$P$812&amp;"'!$A$5:$CA$100"),P$920, FALSE)/(VLOOKUP($O942, INDIRECT("'"&amp;$P$812&amp;"'!$A$5:$CA$100"),6, FALSE)-VLOOKUP($O942, INDIRECT("'"&amp;$P$812&amp;"'!$A$5:$CA$100"),10, FALSE)))</f>
        <v>0.22425968484337541</v>
      </c>
      <c r="Q942" s="1538">
        <f t="shared" ca="1" si="243"/>
        <v>0.50932450293915854</v>
      </c>
      <c r="R942" s="1538">
        <f t="shared" ca="1" si="243"/>
        <v>8.6666202289204214E-2</v>
      </c>
      <c r="S942" s="1538">
        <f t="shared" ca="1" si="243"/>
        <v>0.12991676991859047</v>
      </c>
      <c r="T942" s="1538">
        <f t="shared" ca="1" si="237"/>
        <v>0</v>
      </c>
      <c r="U942" s="1538">
        <f t="shared" ca="1" si="238"/>
        <v>4.9832840009671558E-2</v>
      </c>
      <c r="V942" s="1538">
        <f t="shared" ca="1" si="239"/>
        <v>0.26641581221746624</v>
      </c>
      <c r="W942" s="1071">
        <f t="shared" ca="1" si="240"/>
        <v>1.0000000000000002</v>
      </c>
      <c r="X942" s="589"/>
      <c r="Y942" s="1374"/>
      <c r="Z942" s="1439"/>
    </row>
    <row r="943" spans="1:26" x14ac:dyDescent="0.3">
      <c r="A943" s="1036">
        <v>41548</v>
      </c>
      <c r="B943" s="1538">
        <f t="shared" ca="1" si="242"/>
        <v>0.50292129443802391</v>
      </c>
      <c r="C943" s="1538">
        <f t="shared" ca="1" si="242"/>
        <v>0.12145267828432958</v>
      </c>
      <c r="D943" s="1538">
        <f t="shared" ca="1" si="242"/>
        <v>0.15352102150904753</v>
      </c>
      <c r="E943" s="1538">
        <f t="shared" ca="1" si="242"/>
        <v>9.5653827899930724E-2</v>
      </c>
      <c r="F943" s="1538">
        <f t="shared" ca="1" si="242"/>
        <v>7.4876151491392512E-2</v>
      </c>
      <c r="G943" s="1538">
        <f t="shared" ca="1" si="242"/>
        <v>5.1575026377275755E-2</v>
      </c>
      <c r="H943" s="1071">
        <f t="shared" ca="1" si="234"/>
        <v>0.22210500576859901</v>
      </c>
      <c r="I943" s="1071">
        <f t="shared" ca="1" si="235"/>
        <v>1</v>
      </c>
      <c r="J943" s="1374"/>
      <c r="K943" s="589"/>
      <c r="L943" s="589"/>
      <c r="M943" s="1374"/>
      <c r="N943" s="1374"/>
      <c r="O943" s="722">
        <v>41548</v>
      </c>
      <c r="P943" s="1538">
        <f t="shared" ca="1" si="243"/>
        <v>0.34186517008828787</v>
      </c>
      <c r="Q943" s="1538">
        <f t="shared" ca="1" si="243"/>
        <v>0.42077069733075534</v>
      </c>
      <c r="R943" s="1538">
        <f t="shared" ca="1" si="243"/>
        <v>9.3095171265547741E-2</v>
      </c>
      <c r="S943" s="1538">
        <f t="shared" ca="1" si="243"/>
        <v>9.3063986648531577E-2</v>
      </c>
      <c r="T943" s="1538">
        <f t="shared" ca="1" si="237"/>
        <v>0</v>
      </c>
      <c r="U943" s="1538">
        <f t="shared" ca="1" si="238"/>
        <v>5.1204974666877567E-2</v>
      </c>
      <c r="V943" s="1538">
        <f t="shared" ca="1" si="239"/>
        <v>0.2373641325809569</v>
      </c>
      <c r="W943" s="1071">
        <f t="shared" ca="1" si="240"/>
        <v>1</v>
      </c>
      <c r="X943" s="589"/>
      <c r="Y943" s="1374"/>
      <c r="Z943" s="1439"/>
    </row>
    <row r="944" spans="1:26" x14ac:dyDescent="0.3">
      <c r="A944" s="1036">
        <v>41579</v>
      </c>
      <c r="B944" s="1538">
        <f t="shared" ca="1" si="242"/>
        <v>0.51023179291653609</v>
      </c>
      <c r="C944" s="1538">
        <f t="shared" ca="1" si="242"/>
        <v>0.12566137377775372</v>
      </c>
      <c r="D944" s="1538">
        <f t="shared" ca="1" si="242"/>
        <v>0.14669417690692835</v>
      </c>
      <c r="E944" s="1538">
        <f t="shared" ca="1" si="242"/>
        <v>9.6494984185834007E-2</v>
      </c>
      <c r="F944" s="1538">
        <f t="shared" ca="1" si="242"/>
        <v>6.9205559439496758E-2</v>
      </c>
      <c r="G944" s="1538">
        <f t="shared" ca="1" si="242"/>
        <v>5.1712112773451051E-2</v>
      </c>
      <c r="H944" s="1071">
        <f t="shared" ca="1" si="234"/>
        <v>0.21741265639878182</v>
      </c>
      <c r="I944" s="1071">
        <f t="shared" ca="1" si="235"/>
        <v>0.99999999999999989</v>
      </c>
      <c r="J944" s="1374"/>
      <c r="K944" s="589"/>
      <c r="L944" s="589"/>
      <c r="M944" s="1374"/>
      <c r="N944" s="1374"/>
      <c r="O944" s="722">
        <v>41579</v>
      </c>
      <c r="P944" s="1538">
        <f t="shared" ca="1" si="243"/>
        <v>0.51138689304548257</v>
      </c>
      <c r="Q944" s="1538">
        <f t="shared" ca="1" si="243"/>
        <v>0.28604132318312908</v>
      </c>
      <c r="R944" s="1538">
        <f t="shared" ca="1" si="243"/>
        <v>9.6734943549067268E-2</v>
      </c>
      <c r="S944" s="1538">
        <f t="shared" ca="1" si="243"/>
        <v>5.4728585657121007E-2</v>
      </c>
      <c r="T944" s="1538">
        <f t="shared" ca="1" si="237"/>
        <v>0</v>
      </c>
      <c r="U944" s="1538">
        <f t="shared" ca="1" si="238"/>
        <v>5.110825456520017E-2</v>
      </c>
      <c r="V944" s="1538">
        <f t="shared" ca="1" si="239"/>
        <v>0.20257178377138846</v>
      </c>
      <c r="W944" s="1071">
        <f t="shared" ca="1" si="240"/>
        <v>1.0000000000000002</v>
      </c>
      <c r="X944" s="589"/>
      <c r="Y944" s="1374"/>
      <c r="Z944" s="1439"/>
    </row>
    <row r="945" spans="1:26" x14ac:dyDescent="0.3">
      <c r="A945" s="1036">
        <v>41609</v>
      </c>
      <c r="B945" s="1538">
        <f t="shared" ca="1" si="242"/>
        <v>0.51250716267702556</v>
      </c>
      <c r="C945" s="1538">
        <f t="shared" ca="1" si="242"/>
        <v>0.13160228649510458</v>
      </c>
      <c r="D945" s="1538">
        <f t="shared" ca="1" si="242"/>
        <v>0.14088839490967184</v>
      </c>
      <c r="E945" s="1538">
        <f t="shared" ca="1" si="242"/>
        <v>9.8666375613663246E-2</v>
      </c>
      <c r="F945" s="1538">
        <f t="shared" ca="1" si="242"/>
        <v>6.3807763873102427E-2</v>
      </c>
      <c r="G945" s="1538">
        <f t="shared" ca="1" si="242"/>
        <v>5.2528016431432449E-2</v>
      </c>
      <c r="H945" s="1071">
        <f t="shared" ca="1" si="234"/>
        <v>0.21500215591819813</v>
      </c>
      <c r="I945" s="1071">
        <f t="shared" ca="1" si="235"/>
        <v>1</v>
      </c>
      <c r="J945" s="1374"/>
      <c r="K945" s="589"/>
      <c r="L945" s="589"/>
      <c r="M945" s="1374"/>
      <c r="N945" s="1374"/>
      <c r="O945" s="722">
        <v>41609</v>
      </c>
      <c r="P945" s="1538">
        <f t="shared" ca="1" si="243"/>
        <v>0.52456810730806147</v>
      </c>
      <c r="Q945" s="1538">
        <f t="shared" ca="1" si="243"/>
        <v>0.27734889865089318</v>
      </c>
      <c r="R945" s="1538">
        <f t="shared" ca="1" si="243"/>
        <v>9.8434686960454182E-2</v>
      </c>
      <c r="S945" s="1538">
        <f t="shared" ca="1" si="243"/>
        <v>4.8025270091857322E-2</v>
      </c>
      <c r="T945" s="1538">
        <f t="shared" ca="1" si="237"/>
        <v>0</v>
      </c>
      <c r="U945" s="1538">
        <f t="shared" ca="1" si="238"/>
        <v>5.1623036988733578E-2</v>
      </c>
      <c r="V945" s="1538">
        <f t="shared" ca="1" si="239"/>
        <v>0.1980829940410451</v>
      </c>
      <c r="W945" s="1071">
        <f t="shared" ca="1" si="240"/>
        <v>0.99999999999999978</v>
      </c>
      <c r="X945" s="589"/>
      <c r="Y945" s="1374"/>
      <c r="Z945" s="1439"/>
    </row>
    <row r="946" spans="1:26" x14ac:dyDescent="0.3">
      <c r="A946" s="1036">
        <v>41640</v>
      </c>
      <c r="B946" s="1538">
        <f t="shared" ca="1" si="242"/>
        <v>0.48895544521299317</v>
      </c>
      <c r="C946" s="1538">
        <f t="shared" ca="1" si="242"/>
        <v>0.12194438531753568</v>
      </c>
      <c r="D946" s="1538">
        <f t="shared" ca="1" si="242"/>
        <v>0.17240794819973299</v>
      </c>
      <c r="E946" s="1538">
        <f t="shared" ca="1" si="242"/>
        <v>9.7718845797328271E-2</v>
      </c>
      <c r="F946" s="1538">
        <f t="shared" ca="1" si="242"/>
        <v>6.6771004558005845E-2</v>
      </c>
      <c r="G946" s="1538">
        <f t="shared" ca="1" si="242"/>
        <v>5.2202370914404092E-2</v>
      </c>
      <c r="H946" s="1071">
        <f t="shared" ca="1" si="234"/>
        <v>0.21669222126973819</v>
      </c>
      <c r="I946" s="1071">
        <f t="shared" ca="1" si="235"/>
        <v>1</v>
      </c>
      <c r="J946" s="1374"/>
      <c r="K946" s="589"/>
      <c r="L946" s="589"/>
      <c r="M946" s="1374"/>
      <c r="N946" s="1374"/>
      <c r="O946" s="722">
        <v>41640</v>
      </c>
      <c r="P946" s="1538">
        <f t="shared" ca="1" si="243"/>
        <v>0.53307516186597148</v>
      </c>
      <c r="Q946" s="1538">
        <f t="shared" ca="1" si="243"/>
        <v>0.26860655481230389</v>
      </c>
      <c r="R946" s="1538">
        <f t="shared" ca="1" si="243"/>
        <v>9.6680818624389903E-2</v>
      </c>
      <c r="S946" s="1538">
        <f t="shared" ca="1" si="243"/>
        <v>5.0754956488756546E-2</v>
      </c>
      <c r="T946" s="1538">
        <f t="shared" ca="1" si="237"/>
        <v>0</v>
      </c>
      <c r="U946" s="1538">
        <f t="shared" ca="1" si="238"/>
        <v>5.0882508208578064E-2</v>
      </c>
      <c r="V946" s="1538">
        <f t="shared" ca="1" si="239"/>
        <v>0.19831828332172452</v>
      </c>
      <c r="W946" s="1071">
        <f t="shared" ca="1" si="240"/>
        <v>0.99999999999999989</v>
      </c>
      <c r="X946" s="589"/>
      <c r="Y946" s="1374"/>
      <c r="Z946" s="1439"/>
    </row>
    <row r="947" spans="1:26" x14ac:dyDescent="0.3">
      <c r="A947" s="1036">
        <v>41671</v>
      </c>
      <c r="B947" s="1538">
        <f t="shared" ca="1" si="242"/>
        <v>0.47770066004840056</v>
      </c>
      <c r="C947" s="1538">
        <f t="shared" ca="1" si="242"/>
        <v>0.12929519179131985</v>
      </c>
      <c r="D947" s="1538">
        <f t="shared" ca="1" si="242"/>
        <v>0.17554400418329094</v>
      </c>
      <c r="E947" s="1538">
        <f t="shared" ca="1" si="242"/>
        <v>9.8278124723713486E-2</v>
      </c>
      <c r="F947" s="1538">
        <f t="shared" ca="1" si="242"/>
        <v>6.6703365650961952E-2</v>
      </c>
      <c r="G947" s="1538">
        <f t="shared" ca="1" si="242"/>
        <v>5.2478653602313199E-2</v>
      </c>
      <c r="H947" s="1071">
        <f t="shared" ca="1" si="234"/>
        <v>0.21746014397698865</v>
      </c>
      <c r="I947" s="1071">
        <f t="shared" ca="1" si="235"/>
        <v>0.99999999999999989</v>
      </c>
      <c r="J947" s="1374"/>
      <c r="K947" s="589"/>
      <c r="L947" s="589"/>
      <c r="M947" s="1374"/>
      <c r="N947" s="1374"/>
      <c r="O947" s="722">
        <v>41671</v>
      </c>
      <c r="P947" s="1538">
        <f t="shared" ca="1" si="243"/>
        <v>0.59899260708691515</v>
      </c>
      <c r="Q947" s="1538">
        <f t="shared" ca="1" si="243"/>
        <v>0.21670830032460772</v>
      </c>
      <c r="R947" s="1538">
        <f t="shared" ca="1" si="243"/>
        <v>9.844310368520573E-2</v>
      </c>
      <c r="S947" s="1538">
        <f t="shared" ca="1" si="243"/>
        <v>3.4885720645680469E-2</v>
      </c>
      <c r="T947" s="1538">
        <f t="shared" ca="1" si="237"/>
        <v>0</v>
      </c>
      <c r="U947" s="1538">
        <f t="shared" ca="1" si="238"/>
        <v>5.0970268257590989E-2</v>
      </c>
      <c r="V947" s="1538">
        <f t="shared" ca="1" si="239"/>
        <v>0.18429909258847718</v>
      </c>
      <c r="W947" s="1071">
        <f t="shared" ca="1" si="240"/>
        <v>1</v>
      </c>
      <c r="X947" s="589"/>
      <c r="Y947" s="1374"/>
      <c r="Z947" s="1439"/>
    </row>
    <row r="948" spans="1:26" x14ac:dyDescent="0.3">
      <c r="A948" s="1036">
        <v>41699</v>
      </c>
      <c r="B948" s="1538">
        <f t="shared" ca="1" si="242"/>
        <v>0.47245270815286305</v>
      </c>
      <c r="C948" s="1538">
        <f t="shared" ca="1" si="242"/>
        <v>0.12564180877449782</v>
      </c>
      <c r="D948" s="1538">
        <f t="shared" ca="1" si="242"/>
        <v>0.17896550075646972</v>
      </c>
      <c r="E948" s="1538">
        <f t="shared" ca="1" si="242"/>
        <v>9.9941700030773031E-2</v>
      </c>
      <c r="F948" s="1538">
        <f t="shared" ca="1" si="242"/>
        <v>6.9545651851167484E-2</v>
      </c>
      <c r="G948" s="1538">
        <f t="shared" ca="1" si="242"/>
        <v>5.3452630434228904E-2</v>
      </c>
      <c r="H948" s="1071">
        <f t="shared" ca="1" si="234"/>
        <v>0.22293998231616943</v>
      </c>
      <c r="I948" s="1071">
        <f t="shared" ca="1" si="235"/>
        <v>0.99999999999999989</v>
      </c>
      <c r="J948" s="1374"/>
      <c r="K948" s="589"/>
      <c r="L948" s="589"/>
      <c r="M948" s="1374"/>
      <c r="N948" s="1374"/>
      <c r="O948" s="722">
        <v>41699</v>
      </c>
      <c r="P948" s="1538">
        <f t="shared" ca="1" si="243"/>
        <v>0.69093228936183781</v>
      </c>
      <c r="Q948" s="1538">
        <f t="shared" ca="1" si="243"/>
        <v>0.13841175475482692</v>
      </c>
      <c r="R948" s="1538">
        <f t="shared" ca="1" si="243"/>
        <v>9.6457405026946968E-2</v>
      </c>
      <c r="S948" s="1538">
        <f t="shared" ca="1" si="243"/>
        <v>2.4729054595796902E-2</v>
      </c>
      <c r="T948" s="1538">
        <f t="shared" ca="1" si="237"/>
        <v>0</v>
      </c>
      <c r="U948" s="1538">
        <f t="shared" ca="1" si="238"/>
        <v>4.9469496260591293E-2</v>
      </c>
      <c r="V948" s="1538">
        <f t="shared" ca="1" si="239"/>
        <v>0.17065595588333515</v>
      </c>
      <c r="W948" s="1071">
        <f t="shared" ca="1" si="240"/>
        <v>0.99999999999999989</v>
      </c>
      <c r="X948" s="589"/>
      <c r="Y948" s="1374"/>
      <c r="Z948" s="1439"/>
    </row>
    <row r="949" spans="1:26" x14ac:dyDescent="0.3">
      <c r="A949" s="1036">
        <v>41730</v>
      </c>
      <c r="B949" s="1538">
        <f t="shared" ca="1" si="242"/>
        <v>0.45440495382226781</v>
      </c>
      <c r="C949" s="1538">
        <f t="shared" ca="1" si="242"/>
        <v>0.12484942567891243</v>
      </c>
      <c r="D949" s="1538">
        <f t="shared" ca="1" si="242"/>
        <v>0.200494210906278</v>
      </c>
      <c r="E949" s="1538">
        <f t="shared" ca="1" si="242"/>
        <v>8.9511910681837822E-2</v>
      </c>
      <c r="F949" s="1538">
        <f t="shared" ca="1" si="242"/>
        <v>8.1885252505676728E-2</v>
      </c>
      <c r="G949" s="1538">
        <f t="shared" ca="1" si="242"/>
        <v>4.8854246405027307E-2</v>
      </c>
      <c r="H949" s="1071">
        <f t="shared" ca="1" si="234"/>
        <v>0.22025140959254186</v>
      </c>
      <c r="I949" s="1071">
        <f t="shared" ca="1" si="235"/>
        <v>1</v>
      </c>
      <c r="J949" s="1374"/>
      <c r="K949" s="589"/>
      <c r="L949" s="589"/>
      <c r="M949" s="1374"/>
      <c r="N949" s="1374"/>
      <c r="O949" s="722">
        <v>41730</v>
      </c>
      <c r="P949" s="1538">
        <f t="shared" ca="1" si="243"/>
        <v>0.47220407815627224</v>
      </c>
      <c r="Q949" s="1538">
        <f t="shared" ca="1" si="243"/>
        <v>0.31221470461786027</v>
      </c>
      <c r="R949" s="1538">
        <f t="shared" ca="1" si="243"/>
        <v>9.6608450497718032E-2</v>
      </c>
      <c r="S949" s="1538">
        <f t="shared" ca="1" si="243"/>
        <v>6.7299232061177605E-2</v>
      </c>
      <c r="T949" s="1538">
        <f t="shared" ca="1" si="237"/>
        <v>0</v>
      </c>
      <c r="U949" s="1538">
        <f t="shared" ca="1" si="238"/>
        <v>5.1673534666971804E-2</v>
      </c>
      <c r="V949" s="1538">
        <f t="shared" ca="1" si="239"/>
        <v>0.21558121722586746</v>
      </c>
      <c r="W949" s="1071">
        <f t="shared" ca="1" si="240"/>
        <v>0.99999999999999989</v>
      </c>
      <c r="X949" s="589"/>
      <c r="Y949" s="1374"/>
      <c r="Z949" s="1439"/>
    </row>
    <row r="950" spans="1:26" x14ac:dyDescent="0.3">
      <c r="A950" s="1036">
        <v>41760</v>
      </c>
      <c r="B950" s="1538">
        <f t="shared" ca="1" si="242"/>
        <v>0.53399612673857932</v>
      </c>
      <c r="C950" s="1538">
        <f t="shared" ca="1" si="242"/>
        <v>9.7937868589455024E-2</v>
      </c>
      <c r="D950" s="1538">
        <f t="shared" ca="1" si="242"/>
        <v>0.16200903349053247</v>
      </c>
      <c r="E950" s="1538">
        <f t="shared" ca="1" si="242"/>
        <v>9.0536276877888636E-2</v>
      </c>
      <c r="F950" s="1538">
        <f t="shared" ca="1" si="242"/>
        <v>6.6903315547320763E-2</v>
      </c>
      <c r="G950" s="1538">
        <f t="shared" ca="1" si="242"/>
        <v>4.861737875622385E-2</v>
      </c>
      <c r="H950" s="1071">
        <f t="shared" ca="1" si="234"/>
        <v>0.20605697118143323</v>
      </c>
      <c r="I950" s="1071">
        <f t="shared" ca="1" si="235"/>
        <v>1</v>
      </c>
      <c r="J950" s="1374"/>
      <c r="K950" s="589"/>
      <c r="L950" s="589"/>
      <c r="M950" s="1374"/>
      <c r="N950" s="1374"/>
      <c r="O950" s="722">
        <v>41760</v>
      </c>
      <c r="P950" s="1538">
        <f t="shared" ca="1" si="243"/>
        <v>0.38777164665625569</v>
      </c>
      <c r="Q950" s="1538">
        <f t="shared" ca="1" si="243"/>
        <v>0.37827375367488963</v>
      </c>
      <c r="R950" s="1538">
        <f t="shared" ca="1" si="243"/>
        <v>9.3492841835527071E-2</v>
      </c>
      <c r="S950" s="1538">
        <f t="shared" ca="1" si="243"/>
        <v>8.9248694587544433E-2</v>
      </c>
      <c r="T950" s="1538">
        <f t="shared" ca="1" si="237"/>
        <v>0</v>
      </c>
      <c r="U950" s="1538">
        <f t="shared" ca="1" si="238"/>
        <v>5.1213063245783223E-2</v>
      </c>
      <c r="V950" s="1538">
        <f t="shared" ca="1" si="239"/>
        <v>0.23395459966885473</v>
      </c>
      <c r="W950" s="1071">
        <f t="shared" ca="1" si="240"/>
        <v>1</v>
      </c>
      <c r="X950" s="589"/>
      <c r="Y950" s="1374"/>
      <c r="Z950" s="1439"/>
    </row>
    <row r="951" spans="1:26" x14ac:dyDescent="0.3">
      <c r="A951" s="1036">
        <v>41791</v>
      </c>
      <c r="B951" s="1538">
        <f t="shared" ca="1" si="242"/>
        <v>0.39179626698410136</v>
      </c>
      <c r="C951" s="1538">
        <f t="shared" ca="1" si="242"/>
        <v>0.13869392598009428</v>
      </c>
      <c r="D951" s="1538">
        <f t="shared" ca="1" si="242"/>
        <v>0.23577623634478495</v>
      </c>
      <c r="E951" s="1538">
        <f t="shared" ca="1" si="242"/>
        <v>8.6992300029476097E-2</v>
      </c>
      <c r="F951" s="1538">
        <f t="shared" ca="1" si="242"/>
        <v>9.8324957715999639E-2</v>
      </c>
      <c r="G951" s="1538">
        <f t="shared" ca="1" si="242"/>
        <v>4.8416312945543855E-2</v>
      </c>
      <c r="H951" s="1071">
        <f t="shared" ca="1" si="234"/>
        <v>0.2337335706910196</v>
      </c>
      <c r="I951" s="1071">
        <f t="shared" ca="1" si="235"/>
        <v>1.0000000000000002</v>
      </c>
      <c r="J951" s="1374"/>
      <c r="K951" s="589"/>
      <c r="L951" s="589"/>
      <c r="M951" s="1374"/>
      <c r="N951" s="1374"/>
      <c r="O951" s="722">
        <v>41791</v>
      </c>
      <c r="P951" s="1538">
        <f t="shared" ca="1" si="243"/>
        <v>0.23687069170267708</v>
      </c>
      <c r="Q951" s="1538">
        <f t="shared" ca="1" si="243"/>
        <v>0.49701373123203085</v>
      </c>
      <c r="R951" s="1538">
        <f t="shared" ca="1" si="243"/>
        <v>8.8879997626985091E-2</v>
      </c>
      <c r="S951" s="1538">
        <f t="shared" ca="1" si="243"/>
        <v>0.12646817202373467</v>
      </c>
      <c r="T951" s="1538">
        <f t="shared" ca="1" si="237"/>
        <v>0</v>
      </c>
      <c r="U951" s="1538">
        <f t="shared" ca="1" si="238"/>
        <v>5.0767407414572481E-2</v>
      </c>
      <c r="V951" s="1538">
        <f t="shared" ca="1" si="239"/>
        <v>0.26611557706529226</v>
      </c>
      <c r="W951" s="1071">
        <f t="shared" ca="1" si="240"/>
        <v>1.0000000000000002</v>
      </c>
      <c r="X951" s="589"/>
      <c r="Y951" s="1374"/>
      <c r="Z951" s="1439"/>
    </row>
    <row r="952" spans="1:26" x14ac:dyDescent="0.3">
      <c r="A952" s="1036">
        <v>41821</v>
      </c>
      <c r="B952" s="1538">
        <f t="shared" ref="B952:G961" ca="1" si="244">IF(VLOOKUP($A952, INDIRECT("'"&amp;$B$812&amp;"'!$A$5:$CA$100"),B$920, FALSE)=0,NA(),VLOOKUP($A952, INDIRECT("'"&amp;$B$812&amp;"'!$A$5:$CA$100"),B$920, FALSE)/(VLOOKUP($A952, INDIRECT("'"&amp;$B$812&amp;"'!$A$5:$CA$100"),6, FALSE)-VLOOKUP($A952, INDIRECT("'"&amp;$B$812&amp;"'!$A$5:$CA$100"),11, FALSE)))</f>
        <v>0.46860220784930856</v>
      </c>
      <c r="C952" s="1538">
        <f t="shared" ca="1" si="244"/>
        <v>0.11838531634697678</v>
      </c>
      <c r="D952" s="1538">
        <f t="shared" ca="1" si="244"/>
        <v>0.19443137828162219</v>
      </c>
      <c r="E952" s="1538">
        <f t="shared" ca="1" si="244"/>
        <v>8.9661511316872694E-2</v>
      </c>
      <c r="F952" s="1538">
        <f t="shared" ca="1" si="244"/>
        <v>8.008075750024482E-2</v>
      </c>
      <c r="G952" s="1538">
        <f t="shared" ca="1" si="244"/>
        <v>4.8838828704974989E-2</v>
      </c>
      <c r="H952" s="1071">
        <f t="shared" ca="1" si="234"/>
        <v>0.21858109752209251</v>
      </c>
      <c r="I952" s="1071">
        <f t="shared" ca="1" si="235"/>
        <v>1</v>
      </c>
      <c r="J952" s="1374"/>
      <c r="K952" s="589"/>
      <c r="L952" s="589"/>
      <c r="M952" s="1374"/>
      <c r="N952" s="1374"/>
      <c r="O952" s="722">
        <v>41821</v>
      </c>
      <c r="P952" s="1538">
        <f t="shared" ca="1" si="243"/>
        <v>0.26009664295973411</v>
      </c>
      <c r="Q952" s="1538">
        <f t="shared" ca="1" si="243"/>
        <v>0.4762628859100817</v>
      </c>
      <c r="R952" s="1538">
        <f t="shared" ca="1" si="243"/>
        <v>8.6095124354013772E-2</v>
      </c>
      <c r="S952" s="1538">
        <f t="shared" ca="1" si="243"/>
        <v>0.12808943802961983</v>
      </c>
      <c r="T952" s="1538">
        <f t="shared" ca="1" si="237"/>
        <v>0</v>
      </c>
      <c r="U952" s="1538">
        <f t="shared" ca="1" si="238"/>
        <v>4.9455908746550606E-2</v>
      </c>
      <c r="V952" s="1538">
        <f t="shared" ca="1" si="239"/>
        <v>0.26364047113018418</v>
      </c>
      <c r="W952" s="1071">
        <f t="shared" ca="1" si="240"/>
        <v>1</v>
      </c>
      <c r="X952" s="589"/>
      <c r="Y952" s="1374"/>
      <c r="Z952" s="1439"/>
    </row>
    <row r="953" spans="1:26" x14ac:dyDescent="0.3">
      <c r="A953" s="1036">
        <v>41852</v>
      </c>
      <c r="B953" s="1538">
        <f t="shared" ca="1" si="244"/>
        <v>0.49245068152892474</v>
      </c>
      <c r="C953" s="1538">
        <f t="shared" ca="1" si="244"/>
        <v>0.11091709038787972</v>
      </c>
      <c r="D953" s="1538">
        <f t="shared" ca="1" si="244"/>
        <v>0.18260012824958788</v>
      </c>
      <c r="E953" s="1538">
        <f t="shared" ca="1" si="244"/>
        <v>8.9993667318114492E-2</v>
      </c>
      <c r="F953" s="1538">
        <f t="shared" ca="1" si="244"/>
        <v>7.5273855939423553E-2</v>
      </c>
      <c r="G953" s="1538">
        <f t="shared" ca="1" si="244"/>
        <v>4.8764576576069744E-2</v>
      </c>
      <c r="H953" s="1071">
        <f t="shared" ca="1" si="234"/>
        <v>0.2140320998336078</v>
      </c>
      <c r="I953" s="1071">
        <f t="shared" ca="1" si="235"/>
        <v>1.0000000000000002</v>
      </c>
      <c r="J953" s="1374"/>
      <c r="K953" s="589"/>
      <c r="L953" s="589"/>
      <c r="M953" s="1374"/>
      <c r="N953" s="1374"/>
      <c r="O953" s="722">
        <v>41852</v>
      </c>
      <c r="P953" s="1538">
        <f t="shared" ca="1" si="243"/>
        <v>0.23765711287014263</v>
      </c>
      <c r="Q953" s="1538">
        <f t="shared" ca="1" si="243"/>
        <v>0.494869775164131</v>
      </c>
      <c r="R953" s="1538">
        <f t="shared" ca="1" si="243"/>
        <v>8.6750401275753994E-2</v>
      </c>
      <c r="S953" s="1538">
        <f t="shared" ca="1" si="243"/>
        <v>0.13080343418440213</v>
      </c>
      <c r="T953" s="1538">
        <f t="shared" ca="1" si="237"/>
        <v>0</v>
      </c>
      <c r="U953" s="1538">
        <f t="shared" ca="1" si="238"/>
        <v>4.9919276505570362E-2</v>
      </c>
      <c r="V953" s="1538">
        <f t="shared" ca="1" si="239"/>
        <v>0.26747311196572648</v>
      </c>
      <c r="W953" s="1071">
        <f t="shared" ca="1" si="240"/>
        <v>1</v>
      </c>
      <c r="X953" s="589"/>
      <c r="Y953" s="1374"/>
      <c r="Z953" s="1439"/>
    </row>
    <row r="954" spans="1:26" x14ac:dyDescent="0.3">
      <c r="A954" s="1036">
        <v>41883</v>
      </c>
      <c r="B954" s="1538">
        <f t="shared" ca="1" si="244"/>
        <v>0.50293833950553168</v>
      </c>
      <c r="C954" s="1538">
        <f t="shared" ca="1" si="244"/>
        <v>0.10870644110071587</v>
      </c>
      <c r="D954" s="1538">
        <f t="shared" ca="1" si="244"/>
        <v>0.17685168533254858</v>
      </c>
      <c r="E954" s="1538">
        <f t="shared" ca="1" si="244"/>
        <v>9.0190768137593455E-2</v>
      </c>
      <c r="F954" s="1538">
        <f t="shared" ca="1" si="244"/>
        <v>7.2584117013665336E-2</v>
      </c>
      <c r="G954" s="1538">
        <f t="shared" ca="1" si="244"/>
        <v>4.872864890994523E-2</v>
      </c>
      <c r="H954" s="1071">
        <f t="shared" ref="H954:H973" ca="1" si="245">SUM(E954:G954)</f>
        <v>0.21150353406120403</v>
      </c>
      <c r="I954" s="1071">
        <f t="shared" ref="I954:I973" ca="1" si="246">SUM(B954:G954)</f>
        <v>1</v>
      </c>
      <c r="J954" s="1374"/>
      <c r="K954" s="589"/>
      <c r="L954" s="589"/>
      <c r="M954" s="1374"/>
      <c r="N954" s="1374"/>
      <c r="O954" s="722">
        <v>41883</v>
      </c>
      <c r="P954" s="1538">
        <f t="shared" ca="1" si="243"/>
        <v>0.34104254819944729</v>
      </c>
      <c r="Q954" s="1538">
        <f t="shared" ca="1" si="243"/>
        <v>0.41483088828945247</v>
      </c>
      <c r="R954" s="1538">
        <f t="shared" ca="1" si="243"/>
        <v>9.1763959574385601E-2</v>
      </c>
      <c r="S954" s="1538">
        <f t="shared" ca="1" si="243"/>
        <v>0.1014061851032019</v>
      </c>
      <c r="T954" s="1538">
        <f t="shared" ref="T954:T985" ca="1" si="247">IF(VLOOKUP($O954, INDIRECT("'"&amp;$P$812&amp;"'!$A$5:$CA$100"),T$920, FALSE)=0,0,VLOOKUP($O954, INDIRECT("'"&amp;$P$812&amp;"'!$A$5:$CA$100"),T$920, FALSE)/(VLOOKUP($O954, INDIRECT("'"&amp;$P$812&amp;"'!$A$5:$CA$100"),6, FALSE)-VLOOKUP($O954, INDIRECT("'"&amp;$P$812&amp;"'!$A$5:$CA$100"),10, FALSE)))</f>
        <v>0</v>
      </c>
      <c r="U954" s="1538">
        <f t="shared" ref="U954:U985" ca="1" si="248">IF(VLOOKUP($O954, INDIRECT("'"&amp;$P$812&amp;"'!$A$5:$CA$100"),U$920, FALSE)=0,NA(),VLOOKUP($O954, INDIRECT("'"&amp;$P$812&amp;"'!$A$5:$CA$100"),U$920, FALSE)/(VLOOKUP($O954, INDIRECT("'"&amp;$P$812&amp;"'!$A$5:$CA$100"),6, FALSE)-VLOOKUP($O954, INDIRECT("'"&amp;$P$812&amp;"'!$A$5:$CA$100"),10, FALSE)))</f>
        <v>5.0956418833512852E-2</v>
      </c>
      <c r="V954" s="1538">
        <f t="shared" ref="V954:V985" ca="1" si="249">SUM(R954:U954)</f>
        <v>0.24412656351110035</v>
      </c>
      <c r="W954" s="1071">
        <f t="shared" ref="W954:W985" ca="1" si="250">SUM(P954:U954)</f>
        <v>1</v>
      </c>
      <c r="X954" s="589"/>
      <c r="Y954" s="1374"/>
      <c r="Z954" s="1439"/>
    </row>
    <row r="955" spans="1:26" x14ac:dyDescent="0.3">
      <c r="A955" s="1036">
        <v>41913</v>
      </c>
      <c r="B955" s="1538">
        <f t="shared" ca="1" si="244"/>
        <v>0.4924933403513666</v>
      </c>
      <c r="C955" s="1538">
        <f t="shared" ca="1" si="244"/>
        <v>0.11342592279143571</v>
      </c>
      <c r="D955" s="1538">
        <f t="shared" ca="1" si="244"/>
        <v>0.17980284548555642</v>
      </c>
      <c r="E955" s="1538">
        <f t="shared" ca="1" si="244"/>
        <v>9.170050554729757E-2</v>
      </c>
      <c r="F955" s="1538">
        <f t="shared" ca="1" si="244"/>
        <v>7.3069529633573188E-2</v>
      </c>
      <c r="G955" s="1538">
        <f t="shared" ca="1" si="244"/>
        <v>4.9507856190770617E-2</v>
      </c>
      <c r="H955" s="1071">
        <f t="shared" ca="1" si="245"/>
        <v>0.21427789137164135</v>
      </c>
      <c r="I955" s="1071">
        <f t="shared" ca="1" si="246"/>
        <v>1.0000000000000002</v>
      </c>
      <c r="J955" s="1374"/>
      <c r="K955" s="589"/>
      <c r="L955" s="589"/>
      <c r="M955" s="1374"/>
      <c r="N955" s="1374"/>
      <c r="O955" s="722">
        <v>41913</v>
      </c>
      <c r="P955" s="1538">
        <f t="shared" ca="1" si="243"/>
        <v>0.41750704599530547</v>
      </c>
      <c r="Q955" s="1538">
        <f t="shared" ca="1" si="243"/>
        <v>0.35181125890533732</v>
      </c>
      <c r="R955" s="1538">
        <f t="shared" ca="1" si="243"/>
        <v>9.6834487023150465E-2</v>
      </c>
      <c r="S955" s="1538">
        <f t="shared" ca="1" si="243"/>
        <v>8.1357720549444693E-2</v>
      </c>
      <c r="T955" s="1538">
        <f t="shared" ca="1" si="247"/>
        <v>0</v>
      </c>
      <c r="U955" s="1538">
        <f t="shared" ca="1" si="248"/>
        <v>5.2489487526762281E-2</v>
      </c>
      <c r="V955" s="1538">
        <f t="shared" ca="1" si="249"/>
        <v>0.23068169509935743</v>
      </c>
      <c r="W955" s="1071">
        <f t="shared" ca="1" si="250"/>
        <v>1.0000000000000002</v>
      </c>
      <c r="X955" s="589"/>
      <c r="Y955" s="1374"/>
      <c r="Z955" s="1439"/>
    </row>
    <row r="956" spans="1:26" x14ac:dyDescent="0.3">
      <c r="A956" s="1036">
        <v>41944</v>
      </c>
      <c r="B956" s="1538">
        <f t="shared" ca="1" si="244"/>
        <v>0.45264766143597274</v>
      </c>
      <c r="C956" s="1538">
        <f t="shared" ca="1" si="244"/>
        <v>0.13937921520263788</v>
      </c>
      <c r="D956" s="1538">
        <f t="shared" ca="1" si="244"/>
        <v>0.19238464399330663</v>
      </c>
      <c r="E956" s="1538">
        <f t="shared" ca="1" si="244"/>
        <v>9.2145495982540404E-2</v>
      </c>
      <c r="F956" s="1538">
        <f t="shared" ca="1" si="244"/>
        <v>7.3681988983101618E-2</v>
      </c>
      <c r="G956" s="1538">
        <f t="shared" ca="1" si="244"/>
        <v>4.9760994402440695E-2</v>
      </c>
      <c r="H956" s="1071">
        <f t="shared" ca="1" si="245"/>
        <v>0.21558847936808273</v>
      </c>
      <c r="I956" s="1071">
        <f t="shared" ca="1" si="246"/>
        <v>1</v>
      </c>
      <c r="J956" s="1374"/>
      <c r="K956" s="589"/>
      <c r="L956" s="589"/>
      <c r="M956" s="1374"/>
      <c r="N956" s="1374"/>
      <c r="O956" s="722">
        <v>41944</v>
      </c>
      <c r="P956" s="1538">
        <f t="shared" ca="1" si="243"/>
        <v>0.506146505089207</v>
      </c>
      <c r="Q956" s="1538">
        <f t="shared" ca="1" si="243"/>
        <v>0.29319892958794336</v>
      </c>
      <c r="R956" s="1538">
        <f t="shared" ca="1" si="243"/>
        <v>9.4353872369333611E-2</v>
      </c>
      <c r="S956" s="1538">
        <f t="shared" ca="1" si="243"/>
        <v>5.6304295638055064E-2</v>
      </c>
      <c r="T956" s="1538">
        <f t="shared" ca="1" si="247"/>
        <v>0</v>
      </c>
      <c r="U956" s="1538">
        <f t="shared" ca="1" si="248"/>
        <v>4.9996397315461072E-2</v>
      </c>
      <c r="V956" s="1538">
        <f t="shared" ca="1" si="249"/>
        <v>0.20065456532284975</v>
      </c>
      <c r="W956" s="1071">
        <f t="shared" ca="1" si="250"/>
        <v>1</v>
      </c>
      <c r="X956" s="589"/>
      <c r="Y956" s="1374"/>
      <c r="Z956" s="1439"/>
    </row>
    <row r="957" spans="1:26" x14ac:dyDescent="0.3">
      <c r="A957" s="1036">
        <v>41974</v>
      </c>
      <c r="B957" s="1538">
        <f t="shared" ca="1" si="244"/>
        <v>0.48304879718457727</v>
      </c>
      <c r="C957" s="1538">
        <f t="shared" ca="1" si="244"/>
        <v>0.12882051381989296</v>
      </c>
      <c r="D957" s="1538">
        <f t="shared" ca="1" si="244"/>
        <v>0.17796915395776144</v>
      </c>
      <c r="E957" s="1538">
        <f t="shared" ca="1" si="244"/>
        <v>9.2372150650455592E-2</v>
      </c>
      <c r="F957" s="1538">
        <f t="shared" ca="1" si="244"/>
        <v>6.8189668475799506E-2</v>
      </c>
      <c r="G957" s="1538">
        <f t="shared" ca="1" si="244"/>
        <v>4.9599715911513284E-2</v>
      </c>
      <c r="H957" s="1071">
        <f t="shared" ca="1" si="245"/>
        <v>0.21016153503776841</v>
      </c>
      <c r="I957" s="1071">
        <f t="shared" ca="1" si="246"/>
        <v>1</v>
      </c>
      <c r="J957" s="1374"/>
      <c r="K957" s="589"/>
      <c r="L957" s="589"/>
      <c r="M957" s="1374"/>
      <c r="N957" s="1374"/>
      <c r="O957" s="722">
        <v>41974</v>
      </c>
      <c r="P957" s="1538">
        <f t="shared" ca="1" si="243"/>
        <v>0.53441169675151867</v>
      </c>
      <c r="Q957" s="1538">
        <f t="shared" ca="1" si="243"/>
        <v>0.26968352494094239</v>
      </c>
      <c r="R957" s="1538">
        <f t="shared" ca="1" si="243"/>
        <v>9.4553805220627063E-2</v>
      </c>
      <c r="S957" s="1538">
        <f t="shared" ca="1" si="243"/>
        <v>5.1495062028408464E-2</v>
      </c>
      <c r="T957" s="1538">
        <f t="shared" ca="1" si="247"/>
        <v>0</v>
      </c>
      <c r="U957" s="1538">
        <f t="shared" ca="1" si="248"/>
        <v>4.9855911058503566E-2</v>
      </c>
      <c r="V957" s="1538">
        <f t="shared" ca="1" si="249"/>
        <v>0.19590477830753911</v>
      </c>
      <c r="W957" s="1071">
        <f t="shared" ca="1" si="250"/>
        <v>1.0000000000000002</v>
      </c>
      <c r="X957" s="589"/>
      <c r="Y957" s="1374"/>
      <c r="Z957" s="1439"/>
    </row>
    <row r="958" spans="1:26" x14ac:dyDescent="0.3">
      <c r="A958" s="1036">
        <v>42005</v>
      </c>
      <c r="B958" s="1538">
        <f t="shared" ca="1" si="244"/>
        <v>0.47579541365353711</v>
      </c>
      <c r="C958" s="1538">
        <f t="shared" ca="1" si="244"/>
        <v>0.12499198434211735</v>
      </c>
      <c r="D958" s="1538">
        <f t="shared" ca="1" si="244"/>
        <v>0.18372338454672757</v>
      </c>
      <c r="E958" s="1538">
        <f t="shared" ca="1" si="244"/>
        <v>9.617685347791019E-2</v>
      </c>
      <c r="F958" s="1538">
        <f t="shared" ca="1" si="244"/>
        <v>6.7828198904292453E-2</v>
      </c>
      <c r="G958" s="1538">
        <f t="shared" ca="1" si="244"/>
        <v>5.148416507541536E-2</v>
      </c>
      <c r="H958" s="1071">
        <f t="shared" ca="1" si="245"/>
        <v>0.21548921745761801</v>
      </c>
      <c r="I958" s="1071">
        <f t="shared" ca="1" si="246"/>
        <v>1</v>
      </c>
      <c r="J958" s="1374"/>
      <c r="K958" s="589"/>
      <c r="L958" s="589"/>
      <c r="M958" s="1374"/>
      <c r="N958" s="1374"/>
      <c r="O958" s="722">
        <v>42005</v>
      </c>
      <c r="P958" s="1538">
        <f t="shared" ca="1" si="243"/>
        <v>0.45634257219527458</v>
      </c>
      <c r="Q958" s="1538">
        <f t="shared" ca="1" si="243"/>
        <v>0.33111788466275355</v>
      </c>
      <c r="R958" s="1538">
        <f t="shared" ca="1" si="243"/>
        <v>9.9925086230662291E-2</v>
      </c>
      <c r="S958" s="1538">
        <f t="shared" ca="1" si="243"/>
        <v>5.9664206397514408E-2</v>
      </c>
      <c r="T958" s="1538">
        <f t="shared" ca="1" si="247"/>
        <v>0</v>
      </c>
      <c r="U958" s="1538">
        <f t="shared" ca="1" si="248"/>
        <v>5.2950250513795101E-2</v>
      </c>
      <c r="V958" s="1538">
        <f t="shared" ca="1" si="249"/>
        <v>0.21253954314197179</v>
      </c>
      <c r="W958" s="1071">
        <f t="shared" ca="1" si="250"/>
        <v>1</v>
      </c>
      <c r="X958" s="589"/>
      <c r="Y958" s="1374"/>
      <c r="Z958" s="1439"/>
    </row>
    <row r="959" spans="1:26" x14ac:dyDescent="0.3">
      <c r="A959" s="1036">
        <v>42036</v>
      </c>
      <c r="B959" s="1538">
        <f t="shared" ca="1" si="244"/>
        <v>0.4250075899973943</v>
      </c>
      <c r="C959" s="1538">
        <f t="shared" ca="1" si="244"/>
        <v>0.13949514703653154</v>
      </c>
      <c r="D959" s="1538">
        <f t="shared" ca="1" si="244"/>
        <v>0.20938851407080211</v>
      </c>
      <c r="E959" s="1538">
        <f t="shared" ca="1" si="244"/>
        <v>9.6116885131739063E-2</v>
      </c>
      <c r="F959" s="1538">
        <f t="shared" ca="1" si="244"/>
        <v>7.8027710005012685E-2</v>
      </c>
      <c r="G959" s="1538">
        <f t="shared" ca="1" si="244"/>
        <v>5.1964153758520336E-2</v>
      </c>
      <c r="H959" s="1071">
        <f t="shared" ca="1" si="245"/>
        <v>0.22610874889527208</v>
      </c>
      <c r="I959" s="1071">
        <f t="shared" ca="1" si="246"/>
        <v>1</v>
      </c>
      <c r="J959" s="1374"/>
      <c r="K959" s="589"/>
      <c r="L959" s="589"/>
      <c r="M959" s="1374"/>
      <c r="N959" s="1374"/>
      <c r="O959" s="722">
        <v>42036</v>
      </c>
      <c r="P959" s="1538">
        <f t="shared" ca="1" si="243"/>
        <v>0.42528887434471307</v>
      </c>
      <c r="Q959" s="1538">
        <f t="shared" ca="1" si="243"/>
        <v>0.35708806907149276</v>
      </c>
      <c r="R959" s="1538">
        <f t="shared" ca="1" si="243"/>
        <v>0.1007273662134061</v>
      </c>
      <c r="S959" s="1538">
        <f t="shared" ca="1" si="243"/>
        <v>6.3359499122749449E-2</v>
      </c>
      <c r="T959" s="1538">
        <f t="shared" ca="1" si="247"/>
        <v>0</v>
      </c>
      <c r="U959" s="1538">
        <f t="shared" ca="1" si="248"/>
        <v>5.3536191247638608E-2</v>
      </c>
      <c r="V959" s="1538">
        <f t="shared" ca="1" si="249"/>
        <v>0.21762305658379416</v>
      </c>
      <c r="W959" s="1071">
        <f t="shared" ca="1" si="250"/>
        <v>0.99999999999999989</v>
      </c>
      <c r="X959" s="589"/>
      <c r="Y959" s="1374"/>
      <c r="Z959" s="1439"/>
    </row>
    <row r="960" spans="1:26" x14ac:dyDescent="0.3">
      <c r="A960" s="1036">
        <v>42064</v>
      </c>
      <c r="B960" s="1538">
        <f t="shared" ca="1" si="244"/>
        <v>0.37435429245951279</v>
      </c>
      <c r="C960" s="1538">
        <f t="shared" ca="1" si="244"/>
        <v>0.14816287608059817</v>
      </c>
      <c r="D960" s="1538">
        <f t="shared" ca="1" si="244"/>
        <v>0.23823735071632568</v>
      </c>
      <c r="E960" s="1538">
        <f t="shared" ca="1" si="244"/>
        <v>9.5540629472900665E-2</v>
      </c>
      <c r="F960" s="1538">
        <f t="shared" ca="1" si="244"/>
        <v>9.1362130262771804E-2</v>
      </c>
      <c r="G960" s="1538">
        <f t="shared" ca="1" si="244"/>
        <v>5.2342721007891023E-2</v>
      </c>
      <c r="H960" s="1071">
        <f t="shared" ca="1" si="245"/>
        <v>0.2392454807435635</v>
      </c>
      <c r="I960" s="1071">
        <f t="shared" ca="1" si="246"/>
        <v>1.0000000000000002</v>
      </c>
      <c r="J960" s="1374"/>
      <c r="K960" s="589"/>
      <c r="L960" s="589"/>
      <c r="M960" s="1374"/>
      <c r="N960" s="1374"/>
      <c r="O960" s="722">
        <v>42064</v>
      </c>
      <c r="P960" s="1538">
        <f t="shared" ca="1" si="243"/>
        <v>0.39555054816987023</v>
      </c>
      <c r="Q960" s="1538">
        <f t="shared" ca="1" si="243"/>
        <v>0.37931673909445646</v>
      </c>
      <c r="R960" s="1538">
        <f t="shared" ca="1" si="243"/>
        <v>9.7007587748209584E-2</v>
      </c>
      <c r="S960" s="1538">
        <f t="shared" ca="1" si="243"/>
        <v>7.5825681271745216E-2</v>
      </c>
      <c r="T960" s="1538">
        <f t="shared" ca="1" si="247"/>
        <v>0</v>
      </c>
      <c r="U960" s="1538">
        <f t="shared" ca="1" si="248"/>
        <v>5.2299443715718527E-2</v>
      </c>
      <c r="V960" s="1538">
        <f t="shared" ca="1" si="249"/>
        <v>0.22513271273567331</v>
      </c>
      <c r="W960" s="1071">
        <f t="shared" ca="1" si="250"/>
        <v>1</v>
      </c>
      <c r="X960" s="589"/>
      <c r="Y960" s="1374"/>
      <c r="Z960" s="1439"/>
    </row>
    <row r="961" spans="1:26" x14ac:dyDescent="0.3">
      <c r="A961" s="1036">
        <v>42095</v>
      </c>
      <c r="B961" s="1538">
        <f t="shared" ca="1" si="244"/>
        <v>0.37805344735743168</v>
      </c>
      <c r="C961" s="1538">
        <f t="shared" ca="1" si="244"/>
        <v>0.14387779366687573</v>
      </c>
      <c r="D961" s="1538">
        <f t="shared" ca="1" si="244"/>
        <v>0.24319684362455288</v>
      </c>
      <c r="E961" s="1538">
        <f t="shared" ca="1" si="244"/>
        <v>9.0030399903802655E-2</v>
      </c>
      <c r="F961" s="1538">
        <f t="shared" ca="1" si="244"/>
        <v>9.5068822592631025E-2</v>
      </c>
      <c r="G961" s="1538">
        <f t="shared" ca="1" si="244"/>
        <v>4.9772692854705869E-2</v>
      </c>
      <c r="H961" s="1071">
        <f t="shared" ca="1" si="245"/>
        <v>0.23487191535113955</v>
      </c>
      <c r="I961" s="1071">
        <f t="shared" ca="1" si="246"/>
        <v>0.99999999999999989</v>
      </c>
      <c r="J961" s="1374"/>
      <c r="K961" s="589"/>
      <c r="L961" s="589"/>
      <c r="M961" s="1374"/>
      <c r="N961" s="1374"/>
      <c r="O961" s="722">
        <v>42095</v>
      </c>
      <c r="P961" s="1538">
        <f t="shared" ca="1" si="243"/>
        <v>0.36138135921106102</v>
      </c>
      <c r="Q961" s="1538">
        <f t="shared" ca="1" si="243"/>
        <v>0.40611350293884552</v>
      </c>
      <c r="R961" s="1538">
        <f t="shared" ca="1" si="243"/>
        <v>9.5475468068134492E-2</v>
      </c>
      <c r="S961" s="1538">
        <f t="shared" ca="1" si="243"/>
        <v>8.5035846592520156E-2</v>
      </c>
      <c r="T961" s="1538">
        <f t="shared" ca="1" si="247"/>
        <v>0</v>
      </c>
      <c r="U961" s="1538">
        <f t="shared" ca="1" si="248"/>
        <v>5.199382318943889E-2</v>
      </c>
      <c r="V961" s="1538">
        <f t="shared" ca="1" si="249"/>
        <v>0.23250513785009352</v>
      </c>
      <c r="W961" s="1071">
        <f t="shared" ca="1" si="250"/>
        <v>1</v>
      </c>
      <c r="X961" s="589"/>
      <c r="Y961" s="1374"/>
      <c r="Z961" s="1439"/>
    </row>
    <row r="962" spans="1:26" x14ac:dyDescent="0.3">
      <c r="A962" s="1036">
        <v>42125</v>
      </c>
      <c r="B962" s="1538">
        <f t="shared" ref="B962:G971" ca="1" si="251">IF(VLOOKUP($A962, INDIRECT("'"&amp;$B$812&amp;"'!$A$5:$CA$100"),B$920, FALSE)=0,NA(),VLOOKUP($A962, INDIRECT("'"&amp;$B$812&amp;"'!$A$5:$CA$100"),B$920, FALSE)/(VLOOKUP($A962, INDIRECT("'"&amp;$B$812&amp;"'!$A$5:$CA$100"),6, FALSE)-VLOOKUP($A962, INDIRECT("'"&amp;$B$812&amp;"'!$A$5:$CA$100"),11, FALSE)))</f>
        <v>0.34671704342222931</v>
      </c>
      <c r="C962" s="1538">
        <f t="shared" ca="1" si="251"/>
        <v>0.14944753102996075</v>
      </c>
      <c r="D962" s="1538">
        <f t="shared" ca="1" si="251"/>
        <v>0.26124015223822311</v>
      </c>
      <c r="E962" s="1538">
        <f t="shared" ca="1" si="251"/>
        <v>8.936684776012474E-2</v>
      </c>
      <c r="F962" s="1538">
        <f t="shared" ca="1" si="251"/>
        <v>0.10337236167529493</v>
      </c>
      <c r="G962" s="1538">
        <f t="shared" ca="1" si="251"/>
        <v>4.9856063874167349E-2</v>
      </c>
      <c r="H962" s="1071">
        <f t="shared" ca="1" si="245"/>
        <v>0.24259527330958702</v>
      </c>
      <c r="I962" s="1071">
        <f t="shared" ca="1" si="246"/>
        <v>1.0000000000000002</v>
      </c>
      <c r="J962" s="1374"/>
      <c r="K962" s="589"/>
      <c r="L962" s="589"/>
      <c r="M962" s="1374"/>
      <c r="N962" s="1374"/>
      <c r="O962" s="722">
        <v>42125</v>
      </c>
      <c r="P962" s="1538">
        <f t="shared" ref="P962:S981" ca="1" si="252">IF(VLOOKUP($O962, INDIRECT("'"&amp;$P$812&amp;"'!$A$5:$CA$100"),P$920, FALSE)=0,NA(),VLOOKUP($O962, INDIRECT("'"&amp;$P$812&amp;"'!$A$5:$CA$100"),P$920, FALSE)/(VLOOKUP($O962, INDIRECT("'"&amp;$P$812&amp;"'!$A$5:$CA$100"),6, FALSE)-VLOOKUP($O962, INDIRECT("'"&amp;$P$812&amp;"'!$A$5:$CA$100"),10, FALSE)))</f>
        <v>0.24171141647826264</v>
      </c>
      <c r="Q962" s="1538">
        <f t="shared" ca="1" si="252"/>
        <v>0.50096521817021444</v>
      </c>
      <c r="R962" s="1538">
        <f t="shared" ca="1" si="252"/>
        <v>9.1410500340969106E-2</v>
      </c>
      <c r="S962" s="1538">
        <f t="shared" ca="1" si="252"/>
        <v>0.11447952472015763</v>
      </c>
      <c r="T962" s="1538">
        <f t="shared" ca="1" si="247"/>
        <v>0</v>
      </c>
      <c r="U962" s="1538">
        <f t="shared" ca="1" si="248"/>
        <v>5.143334029039618E-2</v>
      </c>
      <c r="V962" s="1538">
        <f t="shared" ca="1" si="249"/>
        <v>0.25732336535152295</v>
      </c>
      <c r="W962" s="1071">
        <f t="shared" ca="1" si="250"/>
        <v>1</v>
      </c>
      <c r="X962" s="589"/>
      <c r="Y962" s="1374"/>
      <c r="Z962" s="1439"/>
    </row>
    <row r="963" spans="1:26" x14ac:dyDescent="0.3">
      <c r="A963" s="1036">
        <v>42156</v>
      </c>
      <c r="B963" s="1538">
        <f t="shared" ca="1" si="251"/>
        <v>0.31686171419233561</v>
      </c>
      <c r="C963" s="1538">
        <f t="shared" ca="1" si="251"/>
        <v>0.16225740747541118</v>
      </c>
      <c r="D963" s="1538">
        <f t="shared" ca="1" si="251"/>
        <v>0.27425687760797945</v>
      </c>
      <c r="E963" s="1538">
        <f t="shared" ca="1" si="251"/>
        <v>8.9366617730786871E-2</v>
      </c>
      <c r="F963" s="1538">
        <f t="shared" ca="1" si="251"/>
        <v>0.1072095735505767</v>
      </c>
      <c r="G963" s="1538">
        <f t="shared" ca="1" si="251"/>
        <v>5.0047809442910145E-2</v>
      </c>
      <c r="H963" s="1071">
        <f t="shared" ca="1" si="245"/>
        <v>0.24662400072427371</v>
      </c>
      <c r="I963" s="1071">
        <f t="shared" ca="1" si="246"/>
        <v>1</v>
      </c>
      <c r="J963" s="1374"/>
      <c r="K963" s="589"/>
      <c r="L963" s="589"/>
      <c r="M963" s="1374"/>
      <c r="N963" s="1374"/>
      <c r="O963" s="722">
        <v>42156</v>
      </c>
      <c r="P963" s="1538">
        <f t="shared" ca="1" si="252"/>
        <v>0.24029258251006061</v>
      </c>
      <c r="Q963" s="1538">
        <f t="shared" ca="1" si="252"/>
        <v>0.49904301042815508</v>
      </c>
      <c r="R963" s="1538">
        <f t="shared" ca="1" si="252"/>
        <v>8.7406696368659068E-2</v>
      </c>
      <c r="S963" s="1538">
        <f t="shared" ca="1" si="252"/>
        <v>0.12338136077532355</v>
      </c>
      <c r="T963" s="1538">
        <f t="shared" ca="1" si="247"/>
        <v>0</v>
      </c>
      <c r="U963" s="1538">
        <f t="shared" ca="1" si="248"/>
        <v>4.9876349917801772E-2</v>
      </c>
      <c r="V963" s="1538">
        <f t="shared" ca="1" si="249"/>
        <v>0.2606644070617844</v>
      </c>
      <c r="W963" s="1071">
        <f t="shared" ca="1" si="250"/>
        <v>1.0000000000000002</v>
      </c>
      <c r="X963" s="589"/>
      <c r="Y963" s="1374"/>
      <c r="Z963" s="1439"/>
    </row>
    <row r="964" spans="1:26" x14ac:dyDescent="0.3">
      <c r="A964" s="1036">
        <v>42186</v>
      </c>
      <c r="B964" s="1538">
        <f t="shared" ca="1" si="251"/>
        <v>0.47835750464150878</v>
      </c>
      <c r="C964" s="1538">
        <f t="shared" ca="1" si="251"/>
        <v>0.1133187939731948</v>
      </c>
      <c r="D964" s="1538">
        <f t="shared" ca="1" si="251"/>
        <v>0.1933253008245116</v>
      </c>
      <c r="E964" s="1538">
        <f t="shared" ca="1" si="251"/>
        <v>9.0247422622368179E-2</v>
      </c>
      <c r="F964" s="1538">
        <f t="shared" ca="1" si="251"/>
        <v>7.5831623892438485E-2</v>
      </c>
      <c r="G964" s="1538">
        <f t="shared" ca="1" si="251"/>
        <v>4.8919354045978046E-2</v>
      </c>
      <c r="H964" s="1071">
        <f t="shared" ca="1" si="245"/>
        <v>0.2149984005607847</v>
      </c>
      <c r="I964" s="1071">
        <f t="shared" ca="1" si="246"/>
        <v>0.99999999999999989</v>
      </c>
      <c r="J964" s="1374"/>
      <c r="K964" s="589"/>
      <c r="L964" s="589"/>
      <c r="M964" s="1374"/>
      <c r="N964" s="1374"/>
      <c r="O964" s="722">
        <v>42186</v>
      </c>
      <c r="P964" s="1538">
        <f t="shared" ca="1" si="252"/>
        <v>0.12369164182337508</v>
      </c>
      <c r="Q964" s="1538">
        <f t="shared" ca="1" si="252"/>
        <v>0.59210429006843845</v>
      </c>
      <c r="R964" s="1538">
        <f t="shared" ca="1" si="252"/>
        <v>8.4279592992418079E-2</v>
      </c>
      <c r="S964" s="1538">
        <f t="shared" ca="1" si="252"/>
        <v>0.15026751015102724</v>
      </c>
      <c r="T964" s="1538">
        <f t="shared" ca="1" si="247"/>
        <v>0</v>
      </c>
      <c r="U964" s="1538">
        <f t="shared" ca="1" si="248"/>
        <v>4.965696496474116E-2</v>
      </c>
      <c r="V964" s="1538">
        <f t="shared" ca="1" si="249"/>
        <v>0.28420406810818649</v>
      </c>
      <c r="W964" s="1071">
        <f t="shared" ca="1" si="250"/>
        <v>1</v>
      </c>
      <c r="X964" s="589"/>
      <c r="Y964" s="1374"/>
      <c r="Z964" s="1439"/>
    </row>
    <row r="965" spans="1:26" x14ac:dyDescent="0.3">
      <c r="A965" s="1036">
        <v>42217</v>
      </c>
      <c r="B965" s="1538">
        <f t="shared" ca="1" si="251"/>
        <v>0.4705761730701557</v>
      </c>
      <c r="C965" s="1538">
        <f t="shared" ca="1" si="251"/>
        <v>0.11599321246788805</v>
      </c>
      <c r="D965" s="1538">
        <f t="shared" ca="1" si="251"/>
        <v>0.19710632820904775</v>
      </c>
      <c r="E965" s="1538">
        <f t="shared" ca="1" si="251"/>
        <v>9.0171715644360662E-2</v>
      </c>
      <c r="F965" s="1538">
        <f t="shared" ca="1" si="251"/>
        <v>7.7202528241286067E-2</v>
      </c>
      <c r="G965" s="1538">
        <f t="shared" ca="1" si="251"/>
        <v>4.8950042367261921E-2</v>
      </c>
      <c r="H965" s="1071">
        <f t="shared" ca="1" si="245"/>
        <v>0.21632428625290864</v>
      </c>
      <c r="I965" s="1071">
        <f t="shared" ca="1" si="246"/>
        <v>1</v>
      </c>
      <c r="J965" s="1374"/>
      <c r="K965" s="589"/>
      <c r="L965" s="589"/>
      <c r="M965" s="1374"/>
      <c r="N965" s="1374"/>
      <c r="O965" s="722">
        <v>42217</v>
      </c>
      <c r="P965" s="1538">
        <f t="shared" ca="1" si="252"/>
        <v>0.1570569563631346</v>
      </c>
      <c r="Q965" s="1538">
        <f t="shared" ca="1" si="252"/>
        <v>0.56578287405181815</v>
      </c>
      <c r="R965" s="1538">
        <f t="shared" ca="1" si="252"/>
        <v>8.5574328289872159E-2</v>
      </c>
      <c r="S965" s="1538">
        <f t="shared" ca="1" si="252"/>
        <v>0.14170935801937418</v>
      </c>
      <c r="T965" s="1538">
        <f t="shared" ca="1" si="247"/>
        <v>0</v>
      </c>
      <c r="U965" s="1538">
        <f t="shared" ca="1" si="248"/>
        <v>4.9876483275800826E-2</v>
      </c>
      <c r="V965" s="1538">
        <f t="shared" ca="1" si="249"/>
        <v>0.27716016958504719</v>
      </c>
      <c r="W965" s="1071">
        <f t="shared" ca="1" si="250"/>
        <v>1</v>
      </c>
      <c r="X965" s="589"/>
      <c r="Y965" s="1374"/>
      <c r="Z965" s="1439"/>
    </row>
    <row r="966" spans="1:26" x14ac:dyDescent="0.3">
      <c r="A966" s="1036">
        <v>42248</v>
      </c>
      <c r="B966" s="1538">
        <f t="shared" ca="1" si="251"/>
        <v>0.38729868712925841</v>
      </c>
      <c r="C966" s="1538">
        <f t="shared" ca="1" si="251"/>
        <v>0.13941176895869717</v>
      </c>
      <c r="D966" s="1538">
        <f t="shared" ca="1" si="251"/>
        <v>0.24069389550249004</v>
      </c>
      <c r="E966" s="1538">
        <f t="shared" ca="1" si="251"/>
        <v>8.868607511917051E-2</v>
      </c>
      <c r="F966" s="1538">
        <f t="shared" ca="1" si="251"/>
        <v>9.4821470912658037E-2</v>
      </c>
      <c r="G966" s="1538">
        <f t="shared" ca="1" si="251"/>
        <v>4.9088102377725776E-2</v>
      </c>
      <c r="H966" s="1071">
        <f t="shared" ca="1" si="245"/>
        <v>0.23259564840955432</v>
      </c>
      <c r="I966" s="1071">
        <f t="shared" ca="1" si="246"/>
        <v>0.99999999999999989</v>
      </c>
      <c r="J966" s="1374"/>
      <c r="K966" s="589"/>
      <c r="L966" s="589"/>
      <c r="M966" s="1374"/>
      <c r="N966" s="1374"/>
      <c r="O966" s="722">
        <v>42248</v>
      </c>
      <c r="P966" s="1538">
        <f t="shared" ca="1" si="252"/>
        <v>0.29891287240287362</v>
      </c>
      <c r="Q966" s="1538">
        <f t="shared" ca="1" si="252"/>
        <v>0.45641173503579935</v>
      </c>
      <c r="R966" s="1538">
        <f t="shared" ca="1" si="252"/>
        <v>8.9874525447570588E-2</v>
      </c>
      <c r="S966" s="1538">
        <f t="shared" ca="1" si="252"/>
        <v>0.10462815203033339</v>
      </c>
      <c r="T966" s="1538">
        <f t="shared" ca="1" si="247"/>
        <v>0</v>
      </c>
      <c r="U966" s="1538">
        <f t="shared" ca="1" si="248"/>
        <v>5.0172715083422921E-2</v>
      </c>
      <c r="V966" s="1538">
        <f t="shared" ca="1" si="249"/>
        <v>0.24467539256132689</v>
      </c>
      <c r="W966" s="1071">
        <f t="shared" ca="1" si="250"/>
        <v>0.99999999999999989</v>
      </c>
      <c r="X966" s="589"/>
      <c r="Y966" s="1374"/>
      <c r="Z966" s="1439"/>
    </row>
    <row r="967" spans="1:26" x14ac:dyDescent="0.3">
      <c r="A967" s="1036">
        <v>42278</v>
      </c>
      <c r="B967" s="1538">
        <f t="shared" ca="1" si="251"/>
        <v>0.3985792813547272</v>
      </c>
      <c r="C967" s="1538">
        <f t="shared" ca="1" si="251"/>
        <v>0.13965738119083032</v>
      </c>
      <c r="D967" s="1538">
        <f t="shared" ca="1" si="251"/>
        <v>0.23022538941302551</v>
      </c>
      <c r="E967" s="1538">
        <f t="shared" ca="1" si="251"/>
        <v>9.1949247422423802E-2</v>
      </c>
      <c r="F967" s="1538">
        <f t="shared" ca="1" si="251"/>
        <v>8.9152322645556475E-2</v>
      </c>
      <c r="G967" s="1538">
        <f t="shared" ca="1" si="251"/>
        <v>5.0436377973436732E-2</v>
      </c>
      <c r="H967" s="1071">
        <f t="shared" ca="1" si="245"/>
        <v>0.231537948041417</v>
      </c>
      <c r="I967" s="1071">
        <f t="shared" ca="1" si="246"/>
        <v>1</v>
      </c>
      <c r="J967" s="1374"/>
      <c r="K967" s="589"/>
      <c r="L967" s="589"/>
      <c r="M967" s="1374"/>
      <c r="N967" s="1374"/>
      <c r="O967" s="722">
        <v>42278</v>
      </c>
      <c r="P967" s="1538">
        <f t="shared" ca="1" si="252"/>
        <v>0.32518991715730383</v>
      </c>
      <c r="Q967" s="1538">
        <f t="shared" ca="1" si="252"/>
        <v>0.43605245215703009</v>
      </c>
      <c r="R967" s="1538">
        <f t="shared" ca="1" si="252"/>
        <v>9.2473582532667201E-2</v>
      </c>
      <c r="S967" s="1538">
        <f t="shared" ca="1" si="252"/>
        <v>9.5279138246932085E-2</v>
      </c>
      <c r="T967" s="1538">
        <f t="shared" ca="1" si="247"/>
        <v>0</v>
      </c>
      <c r="U967" s="1538">
        <f t="shared" ca="1" si="248"/>
        <v>5.1004909906066917E-2</v>
      </c>
      <c r="V967" s="1538">
        <f t="shared" ca="1" si="249"/>
        <v>0.23875763068566619</v>
      </c>
      <c r="W967" s="1071">
        <f t="shared" ca="1" si="250"/>
        <v>1.0000000000000002</v>
      </c>
      <c r="X967" s="589"/>
      <c r="Y967" s="1374"/>
      <c r="Z967" s="1439"/>
    </row>
    <row r="968" spans="1:26" x14ac:dyDescent="0.3">
      <c r="A968" s="1036">
        <v>42309</v>
      </c>
      <c r="B968" s="1538">
        <f t="shared" ca="1" si="251"/>
        <v>0.38923675214294101</v>
      </c>
      <c r="C968" s="1538">
        <f t="shared" ca="1" si="251"/>
        <v>0.15140528633300146</v>
      </c>
      <c r="D968" s="1538">
        <f t="shared" ca="1" si="251"/>
        <v>0.22984818578665769</v>
      </c>
      <c r="E968" s="1538">
        <f t="shared" ca="1" si="251"/>
        <v>9.2752510309107777E-2</v>
      </c>
      <c r="F968" s="1538">
        <f t="shared" ca="1" si="251"/>
        <v>8.6073177136520254E-2</v>
      </c>
      <c r="G968" s="1538">
        <f t="shared" ca="1" si="251"/>
        <v>5.0684088291771859E-2</v>
      </c>
      <c r="H968" s="1071">
        <f t="shared" ca="1" si="245"/>
        <v>0.22950977573739989</v>
      </c>
      <c r="I968" s="1071">
        <f t="shared" ca="1" si="246"/>
        <v>1.0000000000000002</v>
      </c>
      <c r="J968" s="1374"/>
      <c r="K968" s="589"/>
      <c r="L968" s="589"/>
      <c r="M968" s="1374"/>
      <c r="N968" s="1374"/>
      <c r="O968" s="722">
        <v>42309</v>
      </c>
      <c r="P968" s="1538">
        <f t="shared" ca="1" si="252"/>
        <v>0.40224011727567133</v>
      </c>
      <c r="Q968" s="1538">
        <f t="shared" ca="1" si="252"/>
        <v>0.37588590553564849</v>
      </c>
      <c r="R968" s="1538">
        <f t="shared" ca="1" si="252"/>
        <v>9.9116781229526843E-2</v>
      </c>
      <c r="S968" s="1538">
        <f t="shared" ca="1" si="252"/>
        <v>6.9708899660156573E-2</v>
      </c>
      <c r="T968" s="1538">
        <f t="shared" ca="1" si="247"/>
        <v>0</v>
      </c>
      <c r="U968" s="1538">
        <f t="shared" ca="1" si="248"/>
        <v>5.3048296298996697E-2</v>
      </c>
      <c r="V968" s="1538">
        <f t="shared" ca="1" si="249"/>
        <v>0.22187397718868013</v>
      </c>
      <c r="W968" s="1071">
        <f t="shared" ca="1" si="250"/>
        <v>0.99999999999999989</v>
      </c>
      <c r="X968" s="589"/>
      <c r="Y968" s="1374"/>
      <c r="Z968" s="1439"/>
    </row>
    <row r="969" spans="1:26" x14ac:dyDescent="0.3">
      <c r="A969" s="1036">
        <v>42339</v>
      </c>
      <c r="B969" s="1538">
        <f t="shared" ca="1" si="251"/>
        <v>0.40681288846242036</v>
      </c>
      <c r="C969" s="1538">
        <f t="shared" ca="1" si="251"/>
        <v>0.15249411132360247</v>
      </c>
      <c r="D969" s="1538">
        <f t="shared" ca="1" si="251"/>
        <v>0.21735739703158025</v>
      </c>
      <c r="E969" s="1538">
        <f t="shared" ca="1" si="251"/>
        <v>9.3507800943959288E-2</v>
      </c>
      <c r="F969" s="1538">
        <f t="shared" ca="1" si="251"/>
        <v>7.9113993804369828E-2</v>
      </c>
      <c r="G969" s="1538">
        <f t="shared" ca="1" si="251"/>
        <v>5.0713808434067781E-2</v>
      </c>
      <c r="H969" s="1071">
        <f t="shared" ca="1" si="245"/>
        <v>0.2233356031823969</v>
      </c>
      <c r="I969" s="1071">
        <f t="shared" ca="1" si="246"/>
        <v>0.99999999999999989</v>
      </c>
      <c r="J969" s="1374"/>
      <c r="K969" s="589"/>
      <c r="L969" s="589"/>
      <c r="M969" s="1374"/>
      <c r="N969" s="1374"/>
      <c r="O969" s="722">
        <v>42339</v>
      </c>
      <c r="P969" s="1538">
        <f t="shared" ca="1" si="252"/>
        <v>0.40219304845273757</v>
      </c>
      <c r="Q969" s="1538">
        <f t="shared" ca="1" si="252"/>
        <v>0.37720457718609068</v>
      </c>
      <c r="R969" s="1538">
        <f t="shared" ca="1" si="252"/>
        <v>0.1017879417242569</v>
      </c>
      <c r="S969" s="1538">
        <f t="shared" ca="1" si="252"/>
        <v>6.4681791294587843E-2</v>
      </c>
      <c r="T969" s="1538">
        <f t="shared" ca="1" si="247"/>
        <v>0</v>
      </c>
      <c r="U969" s="1538">
        <f t="shared" ca="1" si="248"/>
        <v>5.4132641342326974E-2</v>
      </c>
      <c r="V969" s="1538">
        <f t="shared" ca="1" si="249"/>
        <v>0.22060237436117172</v>
      </c>
      <c r="W969" s="1071">
        <f t="shared" ca="1" si="250"/>
        <v>0.99999999999999989</v>
      </c>
      <c r="X969" s="589"/>
      <c r="Y969" s="1374"/>
      <c r="Z969" s="1439"/>
    </row>
    <row r="970" spans="1:26" x14ac:dyDescent="0.3">
      <c r="A970" s="1036">
        <v>42370</v>
      </c>
      <c r="B970" s="1538">
        <f t="shared" ca="1" si="251"/>
        <v>0.3778107961211507</v>
      </c>
      <c r="C970" s="1538">
        <f t="shared" ca="1" si="251"/>
        <v>0.15336374590497751</v>
      </c>
      <c r="D970" s="1538">
        <f t="shared" ca="1" si="251"/>
        <v>0.23108068594813072</v>
      </c>
      <c r="E970" s="1538">
        <f t="shared" ca="1" si="251"/>
        <v>9.8115823910376571E-2</v>
      </c>
      <c r="F970" s="1538">
        <f t="shared" ca="1" si="251"/>
        <v>8.6253924291937761E-2</v>
      </c>
      <c r="G970" s="1538">
        <f t="shared" ca="1" si="251"/>
        <v>5.3375023823426515E-2</v>
      </c>
      <c r="H970" s="1071">
        <f t="shared" ca="1" si="245"/>
        <v>0.23774477202574085</v>
      </c>
      <c r="I970" s="1071">
        <f ca="1">SUM(B970:G970)</f>
        <v>0.99999999999999978</v>
      </c>
      <c r="J970" s="1374"/>
      <c r="K970" s="589"/>
      <c r="L970" s="589"/>
      <c r="M970" s="1374"/>
      <c r="N970" s="1374"/>
      <c r="O970" s="722">
        <v>42370</v>
      </c>
      <c r="P970" s="1538">
        <f t="shared" ca="1" si="252"/>
        <v>0.37098660717736898</v>
      </c>
      <c r="Q970" s="1538">
        <f t="shared" ca="1" si="252"/>
        <v>0.39938513086904731</v>
      </c>
      <c r="R970" s="1538">
        <f t="shared" ca="1" si="252"/>
        <v>0.10360514249330784</v>
      </c>
      <c r="S970" s="1538">
        <f t="shared" ca="1" si="252"/>
        <v>7.0681795729466659E-2</v>
      </c>
      <c r="T970" s="1538">
        <f t="shared" ca="1" si="247"/>
        <v>0</v>
      </c>
      <c r="U970" s="1538">
        <f t="shared" ca="1" si="248"/>
        <v>5.5341323730809217E-2</v>
      </c>
      <c r="V970" s="1538">
        <f t="shared" ca="1" si="249"/>
        <v>0.22962826195358371</v>
      </c>
      <c r="W970" s="1071">
        <f t="shared" ca="1" si="250"/>
        <v>1</v>
      </c>
      <c r="X970" s="589"/>
      <c r="Y970" s="1374"/>
      <c r="Z970" s="1439"/>
    </row>
    <row r="971" spans="1:26" x14ac:dyDescent="0.3">
      <c r="A971" s="1036">
        <v>42401</v>
      </c>
      <c r="B971" s="1538">
        <f t="shared" ca="1" si="251"/>
        <v>0.35316058078372942</v>
      </c>
      <c r="C971" s="1538">
        <f t="shared" ca="1" si="251"/>
        <v>0.15649835804726039</v>
      </c>
      <c r="D971" s="1538">
        <f t="shared" ca="1" si="251"/>
        <v>0.24582448185495337</v>
      </c>
      <c r="E971" s="1538">
        <f t="shared" ca="1" si="251"/>
        <v>9.7637957853891205E-2</v>
      </c>
      <c r="F971" s="1538">
        <f t="shared" ca="1" si="251"/>
        <v>9.338595084352555E-2</v>
      </c>
      <c r="G971" s="1538">
        <f t="shared" ca="1" si="251"/>
        <v>5.3492670616640058E-2</v>
      </c>
      <c r="H971" s="1071">
        <f t="shared" ca="1" si="245"/>
        <v>0.24451657931405682</v>
      </c>
      <c r="I971" s="1071">
        <f t="shared" ca="1" si="246"/>
        <v>0.99999999999999989</v>
      </c>
      <c r="J971" s="1374"/>
      <c r="K971" s="589"/>
      <c r="L971" s="589"/>
      <c r="M971" s="1374"/>
      <c r="N971" s="1374"/>
      <c r="O971" s="722">
        <v>42401</v>
      </c>
      <c r="P971" s="1538">
        <f t="shared" ca="1" si="252"/>
        <v>0.41106304606661198</v>
      </c>
      <c r="Q971" s="1538">
        <f t="shared" ca="1" si="252"/>
        <v>0.36488430151195422</v>
      </c>
      <c r="R971" s="1538">
        <f t="shared" ca="1" si="252"/>
        <v>9.9677829598863746E-2</v>
      </c>
      <c r="S971" s="1538">
        <f t="shared" ca="1" si="252"/>
        <v>7.0982306735439177E-2</v>
      </c>
      <c r="T971" s="1538">
        <f t="shared" ca="1" si="247"/>
        <v>0</v>
      </c>
      <c r="U971" s="1538">
        <f t="shared" ca="1" si="248"/>
        <v>5.3392516087130866E-2</v>
      </c>
      <c r="V971" s="1538">
        <f t="shared" ca="1" si="249"/>
        <v>0.2240526524214338</v>
      </c>
      <c r="W971" s="1071">
        <f t="shared" ca="1" si="250"/>
        <v>1</v>
      </c>
      <c r="X971" s="589"/>
      <c r="Y971" s="1374"/>
      <c r="Z971" s="1439"/>
    </row>
    <row r="972" spans="1:26" x14ac:dyDescent="0.3">
      <c r="A972" s="1036">
        <v>42430</v>
      </c>
      <c r="B972" s="1538">
        <f t="shared" ref="B972:G981" ca="1" si="253">IF(VLOOKUP($A972, INDIRECT("'"&amp;$B$812&amp;"'!$A$5:$CA$100"),B$920, FALSE)=0,NA(),VLOOKUP($A972, INDIRECT("'"&amp;$B$812&amp;"'!$A$5:$CA$100"),B$920, FALSE)/(VLOOKUP($A972, INDIRECT("'"&amp;$B$812&amp;"'!$A$5:$CA$100"),6, FALSE)-VLOOKUP($A972, INDIRECT("'"&amp;$B$812&amp;"'!$A$5:$CA$100"),11, FALSE)))</f>
        <v>0.33533867389039551</v>
      </c>
      <c r="C972" s="1538">
        <f t="shared" ca="1" si="253"/>
        <v>0.15592471235913724</v>
      </c>
      <c r="D972" s="1538">
        <f t="shared" ca="1" si="253"/>
        <v>0.25819354306138131</v>
      </c>
      <c r="E972" s="1538">
        <f t="shared" ca="1" si="253"/>
        <v>9.6918183483402753E-2</v>
      </c>
      <c r="F972" s="1538">
        <f t="shared" ca="1" si="253"/>
        <v>0.10015374639004729</v>
      </c>
      <c r="G972" s="1538">
        <f t="shared" ca="1" si="253"/>
        <v>5.3471140815635941E-2</v>
      </c>
      <c r="H972" s="1071">
        <f t="shared" ca="1" si="245"/>
        <v>0.25054307068908599</v>
      </c>
      <c r="I972" s="1071">
        <f t="shared" ca="1" si="246"/>
        <v>1</v>
      </c>
      <c r="J972" s="1374"/>
      <c r="K972" s="589"/>
      <c r="L972" s="589"/>
      <c r="M972" s="1374"/>
      <c r="N972" s="1374"/>
      <c r="O972" s="722">
        <v>42430</v>
      </c>
      <c r="P972" s="1538">
        <f t="shared" ca="1" si="252"/>
        <v>0.32904475829550545</v>
      </c>
      <c r="Q972" s="1538">
        <f t="shared" ca="1" si="252"/>
        <v>0.43005299598842639</v>
      </c>
      <c r="R972" s="1538">
        <f t="shared" ca="1" si="252"/>
        <v>0.10041065323054868</v>
      </c>
      <c r="S972" s="1538">
        <f t="shared" ca="1" si="252"/>
        <v>8.5982616132339804E-2</v>
      </c>
      <c r="T972" s="1538">
        <f t="shared" ca="1" si="247"/>
        <v>0</v>
      </c>
      <c r="U972" s="1538">
        <f t="shared" ca="1" si="248"/>
        <v>5.4508976353179833E-2</v>
      </c>
      <c r="V972" s="1538">
        <f t="shared" ca="1" si="249"/>
        <v>0.2409022457160683</v>
      </c>
      <c r="W972" s="1071">
        <f t="shared" ca="1" si="250"/>
        <v>1.0000000000000002</v>
      </c>
      <c r="X972" s="589"/>
      <c r="Y972" s="1374"/>
      <c r="Z972" s="1439"/>
    </row>
    <row r="973" spans="1:26" x14ac:dyDescent="0.3">
      <c r="A973" s="1036">
        <v>42461</v>
      </c>
      <c r="B973" s="1538">
        <f t="shared" ca="1" si="253"/>
        <v>0.28389427603451622</v>
      </c>
      <c r="C973" s="1538">
        <f t="shared" ca="1" si="253"/>
        <v>0.16495310906826843</v>
      </c>
      <c r="D973" s="1538">
        <f t="shared" ca="1" si="253"/>
        <v>0.28981671216047333</v>
      </c>
      <c r="E973" s="1538">
        <f t="shared" ca="1" si="253"/>
        <v>9.3800696936981773E-2</v>
      </c>
      <c r="F973" s="1538">
        <f t="shared" ca="1" si="253"/>
        <v>0.11488631988358278</v>
      </c>
      <c r="G973" s="1538">
        <f t="shared" ca="1" si="253"/>
        <v>5.2648885916177529E-2</v>
      </c>
      <c r="H973" s="1071">
        <f t="shared" ca="1" si="245"/>
        <v>0.26133590273674212</v>
      </c>
      <c r="I973" s="1071">
        <f t="shared" ca="1" si="246"/>
        <v>1</v>
      </c>
      <c r="J973" s="1374"/>
      <c r="K973" s="589"/>
      <c r="L973" s="589"/>
      <c r="M973" s="1374"/>
      <c r="N973" s="1374"/>
      <c r="O973" s="722">
        <v>42461</v>
      </c>
      <c r="P973" s="1538">
        <f t="shared" ca="1" si="252"/>
        <v>0.11885715884788432</v>
      </c>
      <c r="Q973" s="1538">
        <f t="shared" ca="1" si="252"/>
        <v>0.58701985875262774</v>
      </c>
      <c r="R973" s="1538">
        <f t="shared" ca="1" si="252"/>
        <v>9.3006682468985288E-2</v>
      </c>
      <c r="S973" s="1538">
        <f t="shared" ca="1" si="252"/>
        <v>0.14724645045402565</v>
      </c>
      <c r="T973" s="1538">
        <f t="shared" ca="1" si="247"/>
        <v>0</v>
      </c>
      <c r="U973" s="1538">
        <f t="shared" ca="1" si="248"/>
        <v>5.3869849476476959E-2</v>
      </c>
      <c r="V973" s="1538">
        <f t="shared" ca="1" si="249"/>
        <v>0.29412298239948786</v>
      </c>
      <c r="W973" s="1071">
        <f t="shared" ca="1" si="250"/>
        <v>0.99999999999999989</v>
      </c>
      <c r="X973" s="589"/>
      <c r="Y973" s="1374"/>
      <c r="Z973" s="1439"/>
    </row>
    <row r="974" spans="1:26" x14ac:dyDescent="0.3">
      <c r="A974" s="1036">
        <v>42491</v>
      </c>
      <c r="B974" s="1538">
        <f t="shared" ca="1" si="253"/>
        <v>0.28225942040755531</v>
      </c>
      <c r="C974" s="1538">
        <f t="shared" ca="1" si="253"/>
        <v>0.16625654751058463</v>
      </c>
      <c r="D974" s="1538">
        <f t="shared" ca="1" si="253"/>
        <v>0.29015369297719035</v>
      </c>
      <c r="E974" s="1538">
        <f t="shared" ca="1" si="253"/>
        <v>9.3894044445209809E-2</v>
      </c>
      <c r="F974" s="1538">
        <f t="shared" ca="1" si="253"/>
        <v>0.11474766360218043</v>
      </c>
      <c r="G974" s="1538">
        <f t="shared" ca="1" si="253"/>
        <v>5.2688631057279424E-2</v>
      </c>
      <c r="H974" s="1071">
        <f t="shared" ref="H974:H996" ca="1" si="254">SUM(E974:G974)</f>
        <v>0.26133033910466968</v>
      </c>
      <c r="I974" s="1071">
        <f t="shared" ref="I974:I996" ca="1" si="255">SUM(B974:G974)</f>
        <v>0.99999999999999989</v>
      </c>
      <c r="J974" s="1374"/>
      <c r="K974" s="589"/>
      <c r="L974" s="589"/>
      <c r="M974" s="1374"/>
      <c r="N974" s="1374"/>
      <c r="O974" s="722">
        <v>42491</v>
      </c>
      <c r="P974" s="1538">
        <f t="shared" ca="1" si="252"/>
        <v>9.8803629400960297E-2</v>
      </c>
      <c r="Q974" s="1538">
        <f t="shared" ca="1" si="252"/>
        <v>0.60196381802188648</v>
      </c>
      <c r="R974" s="1538">
        <f t="shared" ca="1" si="252"/>
        <v>9.100014797669996E-2</v>
      </c>
      <c r="S974" s="1538">
        <f t="shared" ca="1" si="252"/>
        <v>0.15497927161514549</v>
      </c>
      <c r="T974" s="1538">
        <f t="shared" ca="1" si="247"/>
        <v>0</v>
      </c>
      <c r="U974" s="1538">
        <f t="shared" ca="1" si="248"/>
        <v>5.3253132985307837E-2</v>
      </c>
      <c r="V974" s="1538">
        <f t="shared" ca="1" si="249"/>
        <v>0.29923255257715325</v>
      </c>
      <c r="W974" s="1071">
        <f t="shared" ca="1" si="250"/>
        <v>1</v>
      </c>
      <c r="X974" s="589"/>
      <c r="Y974" s="1374"/>
      <c r="Z974" s="1439"/>
    </row>
    <row r="975" spans="1:26" x14ac:dyDescent="0.3">
      <c r="A975" s="1036">
        <v>42522</v>
      </c>
      <c r="B975" s="1538">
        <f t="shared" ca="1" si="253"/>
        <v>0.29005618667068922</v>
      </c>
      <c r="C975" s="1538">
        <f t="shared" ca="1" si="253"/>
        <v>0.16298650463872807</v>
      </c>
      <c r="D975" s="1538">
        <f t="shared" ca="1" si="253"/>
        <v>0.28681522133131548</v>
      </c>
      <c r="E975" s="1538">
        <f t="shared" ca="1" si="253"/>
        <v>9.3793421395028456E-2</v>
      </c>
      <c r="F975" s="1538">
        <f t="shared" ca="1" si="253"/>
        <v>0.11375974680061821</v>
      </c>
      <c r="G975" s="1538">
        <f t="shared" ca="1" si="253"/>
        <v>5.2588919163620518E-2</v>
      </c>
      <c r="H975" s="1071">
        <f t="shared" ca="1" si="254"/>
        <v>0.26014208735926719</v>
      </c>
      <c r="I975" s="1071">
        <f t="shared" ca="1" si="255"/>
        <v>0.99999999999999989</v>
      </c>
      <c r="J975" s="1374"/>
      <c r="K975" s="589"/>
      <c r="L975" s="589"/>
      <c r="M975" s="1374"/>
      <c r="N975" s="1374"/>
      <c r="O975" s="722">
        <v>42522</v>
      </c>
      <c r="P975" s="1538">
        <f t="shared" ca="1" si="252"/>
        <v>8.3347436193523056E-2</v>
      </c>
      <c r="Q975" s="1538">
        <f t="shared" ca="1" si="252"/>
        <v>0.61041711180897829</v>
      </c>
      <c r="R975" s="1538">
        <f t="shared" ca="1" si="252"/>
        <v>8.3493125528614709E-2</v>
      </c>
      <c r="S975" s="1538">
        <f t="shared" ca="1" si="252"/>
        <v>0.17237333917921061</v>
      </c>
      <c r="T975" s="1538">
        <f t="shared" ca="1" si="247"/>
        <v>0</v>
      </c>
      <c r="U975" s="1538">
        <f t="shared" ca="1" si="248"/>
        <v>5.0368987289673317E-2</v>
      </c>
      <c r="V975" s="1538">
        <f t="shared" ca="1" si="249"/>
        <v>0.30623545199749863</v>
      </c>
      <c r="W975" s="1071">
        <f t="shared" ca="1" si="250"/>
        <v>1</v>
      </c>
      <c r="X975" s="589"/>
      <c r="Y975" s="1374"/>
      <c r="Z975" s="1439"/>
    </row>
    <row r="976" spans="1:26" x14ac:dyDescent="0.3">
      <c r="A976" s="1036">
        <v>42552</v>
      </c>
      <c r="B976" s="1538">
        <f t="shared" ca="1" si="253"/>
        <v>0.36378446073774751</v>
      </c>
      <c r="C976" s="1538">
        <f t="shared" ca="1" si="253"/>
        <v>0.1420955478714534</v>
      </c>
      <c r="D976" s="1538">
        <f t="shared" ca="1" si="253"/>
        <v>0.24917395193893491</v>
      </c>
      <c r="E976" s="1538">
        <f t="shared" ca="1" si="253"/>
        <v>9.4199066079701368E-2</v>
      </c>
      <c r="F976" s="1538">
        <f t="shared" ca="1" si="253"/>
        <v>9.8707810428952797E-2</v>
      </c>
      <c r="G976" s="1538">
        <f t="shared" ca="1" si="253"/>
        <v>5.2039162943210093E-2</v>
      </c>
      <c r="H976" s="1071">
        <f t="shared" ca="1" si="254"/>
        <v>0.24494603945186427</v>
      </c>
      <c r="I976" s="1071">
        <f t="shared" ca="1" si="255"/>
        <v>1</v>
      </c>
      <c r="J976" s="1374"/>
      <c r="K976" s="589"/>
      <c r="L976" s="589"/>
      <c r="M976" s="1374"/>
      <c r="N976" s="1374"/>
      <c r="O976" s="722">
        <v>42552</v>
      </c>
      <c r="P976" s="1538">
        <f t="shared" ca="1" si="252"/>
        <v>8.8305483768643334E-2</v>
      </c>
      <c r="Q976" s="1538">
        <f t="shared" ca="1" si="252"/>
        <v>0.60452061380310407</v>
      </c>
      <c r="R976" s="1538">
        <f t="shared" ca="1" si="252"/>
        <v>8.4317499746914049E-2</v>
      </c>
      <c r="S976" s="1538">
        <f t="shared" ca="1" si="252"/>
        <v>0.17208938870564408</v>
      </c>
      <c r="T976" s="1538">
        <f t="shared" ca="1" si="247"/>
        <v>0</v>
      </c>
      <c r="U976" s="1538">
        <f t="shared" ca="1" si="248"/>
        <v>5.0767013975694532E-2</v>
      </c>
      <c r="V976" s="1538">
        <f t="shared" ca="1" si="249"/>
        <v>0.30717390242825265</v>
      </c>
      <c r="W976" s="1071">
        <f t="shared" ca="1" si="250"/>
        <v>1</v>
      </c>
      <c r="X976" s="589"/>
      <c r="Y976" s="1374"/>
      <c r="Z976" s="1439"/>
    </row>
    <row r="977" spans="1:26" x14ac:dyDescent="0.3">
      <c r="A977" s="1036">
        <v>42583</v>
      </c>
      <c r="B977" s="1538">
        <f t="shared" ca="1" si="253"/>
        <v>0.35644070642498588</v>
      </c>
      <c r="C977" s="1538">
        <f t="shared" ca="1" si="253"/>
        <v>0.14255430944517622</v>
      </c>
      <c r="D977" s="1538">
        <f t="shared" ca="1" si="253"/>
        <v>0.25385833618530845</v>
      </c>
      <c r="E977" s="1538">
        <f t="shared" ca="1" si="253"/>
        <v>9.3987873054362167E-2</v>
      </c>
      <c r="F977" s="1538">
        <f t="shared" ca="1" si="253"/>
        <v>0.10110534141496294</v>
      </c>
      <c r="G977" s="1538">
        <f t="shared" ca="1" si="253"/>
        <v>5.20534334752044E-2</v>
      </c>
      <c r="H977" s="1071">
        <f t="shared" ca="1" si="254"/>
        <v>0.24714664794452951</v>
      </c>
      <c r="I977" s="1071">
        <f t="shared" ca="1" si="255"/>
        <v>1</v>
      </c>
      <c r="J977" s="1374"/>
      <c r="K977" s="589"/>
      <c r="L977" s="589"/>
      <c r="M977" s="1374"/>
      <c r="N977" s="1374"/>
      <c r="O977" s="722">
        <v>42583</v>
      </c>
      <c r="P977" s="1538">
        <f t="shared" ca="1" si="252"/>
        <v>0.13386276120378138</v>
      </c>
      <c r="Q977" s="1538">
        <f t="shared" ca="1" si="252"/>
        <v>0.56885702759895285</v>
      </c>
      <c r="R977" s="1538">
        <f t="shared" ca="1" si="252"/>
        <v>8.5753597694973913E-2</v>
      </c>
      <c r="S977" s="1538">
        <f t="shared" ca="1" si="252"/>
        <v>0.1606151955780751</v>
      </c>
      <c r="T977" s="1538">
        <f t="shared" ca="1" si="247"/>
        <v>0</v>
      </c>
      <c r="U977" s="1538">
        <f t="shared" ca="1" si="248"/>
        <v>5.0911417924216766E-2</v>
      </c>
      <c r="V977" s="1538">
        <f t="shared" ca="1" si="249"/>
        <v>0.29728021119726578</v>
      </c>
      <c r="W977" s="1071">
        <f t="shared" ca="1" si="250"/>
        <v>1</v>
      </c>
      <c r="X977" s="589"/>
      <c r="Y977" s="1374"/>
      <c r="Z977" s="1439"/>
    </row>
    <row r="978" spans="1:26" x14ac:dyDescent="0.3">
      <c r="A978" s="1036">
        <v>42614</v>
      </c>
      <c r="B978" s="1538">
        <f t="shared" ca="1" si="253"/>
        <v>0.29959550296492454</v>
      </c>
      <c r="C978" s="1538">
        <f t="shared" ca="1" si="253"/>
        <v>0.15903090804031869</v>
      </c>
      <c r="D978" s="1538">
        <f t="shared" ca="1" si="253"/>
        <v>0.28250634248990247</v>
      </c>
      <c r="E978" s="1538">
        <f t="shared" ca="1" si="253"/>
        <v>9.3881502152380433E-2</v>
      </c>
      <c r="F978" s="1538">
        <f t="shared" ca="1" si="253"/>
        <v>0.11241977922493138</v>
      </c>
      <c r="G978" s="1538">
        <f t="shared" ca="1" si="253"/>
        <v>5.2565965127542649E-2</v>
      </c>
      <c r="H978" s="1071">
        <f t="shared" ca="1" si="254"/>
        <v>0.25886724650485443</v>
      </c>
      <c r="I978" s="1071">
        <f t="shared" ca="1" si="255"/>
        <v>1.0000000000000002</v>
      </c>
      <c r="J978" s="1374"/>
      <c r="K978" s="589"/>
      <c r="L978" s="589"/>
      <c r="M978" s="1374"/>
      <c r="N978" s="1374"/>
      <c r="O978" s="722">
        <v>42614</v>
      </c>
      <c r="P978" s="1538">
        <f t="shared" ca="1" si="252"/>
        <v>0.22867250318043458</v>
      </c>
      <c r="Q978" s="1538">
        <f t="shared" ca="1" si="252"/>
        <v>0.49451520510974634</v>
      </c>
      <c r="R978" s="1538">
        <f t="shared" ca="1" si="252"/>
        <v>9.4630157225022493E-2</v>
      </c>
      <c r="S978" s="1538">
        <f t="shared" ca="1" si="252"/>
        <v>0.12844075913269701</v>
      </c>
      <c r="T978" s="1538">
        <f t="shared" ca="1" si="247"/>
        <v>0</v>
      </c>
      <c r="U978" s="1538">
        <f t="shared" ca="1" si="248"/>
        <v>5.3741375352099524E-2</v>
      </c>
      <c r="V978" s="1538">
        <f t="shared" ca="1" si="249"/>
        <v>0.27681229170981902</v>
      </c>
      <c r="W978" s="1071">
        <f t="shared" ca="1" si="250"/>
        <v>1</v>
      </c>
      <c r="X978" s="589"/>
      <c r="Y978" s="1374"/>
      <c r="Z978" s="1439"/>
    </row>
    <row r="979" spans="1:26" x14ac:dyDescent="0.3">
      <c r="A979" s="1036">
        <v>42644</v>
      </c>
      <c r="B979" s="1538">
        <f t="shared" ca="1" si="253"/>
        <v>0.3411848990711483</v>
      </c>
      <c r="C979" s="1538">
        <f t="shared" ca="1" si="253"/>
        <v>0.16089556335098271</v>
      </c>
      <c r="D979" s="1538">
        <f t="shared" ca="1" si="253"/>
        <v>0.26200718825966174</v>
      </c>
      <c r="E979" s="1538">
        <f t="shared" ca="1" si="253"/>
        <v>8.6586487120998396E-2</v>
      </c>
      <c r="F979" s="1538">
        <f t="shared" ca="1" si="253"/>
        <v>0.10097973510010566</v>
      </c>
      <c r="G979" s="1538">
        <f t="shared" ca="1" si="253"/>
        <v>4.8346127097103085E-2</v>
      </c>
      <c r="H979" s="1071">
        <f t="shared" ca="1" si="254"/>
        <v>0.23591234931820715</v>
      </c>
      <c r="I979" s="1071">
        <f t="shared" ca="1" si="255"/>
        <v>0.99999999999999978</v>
      </c>
      <c r="J979" s="1374"/>
      <c r="K979" s="589"/>
      <c r="L979" s="589"/>
      <c r="M979" s="1374"/>
      <c r="N979" s="1374"/>
      <c r="O979" s="722">
        <v>42644</v>
      </c>
      <c r="P979" s="1538">
        <f t="shared" ca="1" si="252"/>
        <v>0.37274465476369761</v>
      </c>
      <c r="Q979" s="1538">
        <f t="shared" ca="1" si="252"/>
        <v>0.38397448066026796</v>
      </c>
      <c r="R979" s="1538">
        <f t="shared" ca="1" si="252"/>
        <v>0.10291026640858689</v>
      </c>
      <c r="S979" s="1538">
        <f t="shared" ca="1" si="252"/>
        <v>8.4676984321926954E-2</v>
      </c>
      <c r="T979" s="1538">
        <f t="shared" ca="1" si="247"/>
        <v>0</v>
      </c>
      <c r="U979" s="1538">
        <f t="shared" ca="1" si="248"/>
        <v>5.5693613845520684E-2</v>
      </c>
      <c r="V979" s="1538">
        <f t="shared" ca="1" si="249"/>
        <v>0.24328086457603454</v>
      </c>
      <c r="W979" s="1071">
        <f t="shared" ca="1" si="250"/>
        <v>1</v>
      </c>
      <c r="X979" s="589"/>
      <c r="Y979" s="1374"/>
      <c r="Z979" s="1439"/>
    </row>
    <row r="980" spans="1:26" x14ac:dyDescent="0.3">
      <c r="A980" s="1036">
        <v>42675</v>
      </c>
      <c r="B980" s="1538">
        <f t="shared" ca="1" si="253"/>
        <v>0.33370525222313346</v>
      </c>
      <c r="C980" s="1538">
        <f t="shared" ca="1" si="253"/>
        <v>0.17040733914096776</v>
      </c>
      <c r="D980" s="1538">
        <f t="shared" ca="1" si="253"/>
        <v>0.27276997171263895</v>
      </c>
      <c r="E980" s="1538">
        <f t="shared" ca="1" si="253"/>
        <v>8.2892769177988435E-2</v>
      </c>
      <c r="F980" s="1538">
        <f t="shared" ca="1" si="253"/>
        <v>9.4071002484389973E-2</v>
      </c>
      <c r="G980" s="1538">
        <f t="shared" ca="1" si="253"/>
        <v>4.6153665260881493E-2</v>
      </c>
      <c r="H980" s="1071">
        <f t="shared" ca="1" si="254"/>
        <v>0.22311743692325992</v>
      </c>
      <c r="I980" s="1071">
        <f t="shared" ca="1" si="255"/>
        <v>1</v>
      </c>
      <c r="J980" s="1374"/>
      <c r="K980" s="589"/>
      <c r="L980" s="589"/>
      <c r="M980" s="1374"/>
      <c r="N980" s="1374"/>
      <c r="O980" s="722">
        <v>42675</v>
      </c>
      <c r="P980" s="1538">
        <f t="shared" ca="1" si="252"/>
        <v>0.41314058902070594</v>
      </c>
      <c r="Q980" s="1538">
        <f t="shared" ca="1" si="252"/>
        <v>0.35180623752330087</v>
      </c>
      <c r="R980" s="1538">
        <f t="shared" ca="1" si="252"/>
        <v>0.1018437561823014</v>
      </c>
      <c r="S980" s="1538">
        <f t="shared" ca="1" si="252"/>
        <v>7.8364719766828655E-2</v>
      </c>
      <c r="T980" s="1538">
        <f t="shared" ca="1" si="247"/>
        <v>0</v>
      </c>
      <c r="U980" s="1538">
        <f t="shared" ca="1" si="248"/>
        <v>5.484469750686307E-2</v>
      </c>
      <c r="V980" s="1538">
        <f t="shared" ca="1" si="249"/>
        <v>0.23505317345599314</v>
      </c>
      <c r="W980" s="1071">
        <f t="shared" ca="1" si="250"/>
        <v>1</v>
      </c>
      <c r="X980" s="589"/>
      <c r="Y980" s="1374"/>
      <c r="Z980" s="1439"/>
    </row>
    <row r="981" spans="1:26" x14ac:dyDescent="0.3">
      <c r="A981" s="1036">
        <v>42705</v>
      </c>
      <c r="B981" s="1538">
        <f t="shared" ca="1" si="253"/>
        <v>0.37699059454814732</v>
      </c>
      <c r="C981" s="1538">
        <f t="shared" ca="1" si="253"/>
        <v>0.17607851843465699</v>
      </c>
      <c r="D981" s="1538">
        <f t="shared" ca="1" si="253"/>
        <v>0.2384875667019894</v>
      </c>
      <c r="E981" s="1538">
        <f t="shared" ca="1" si="253"/>
        <v>8.5569710983886813E-2</v>
      </c>
      <c r="F981" s="1538">
        <f t="shared" ca="1" si="253"/>
        <v>7.6271336016456831E-2</v>
      </c>
      <c r="G981" s="1538">
        <f t="shared" ca="1" si="253"/>
        <v>4.6602273314862726E-2</v>
      </c>
      <c r="H981" s="1071">
        <f t="shared" ca="1" si="254"/>
        <v>0.20844332031520635</v>
      </c>
      <c r="I981" s="1071">
        <f t="shared" ca="1" si="255"/>
        <v>1</v>
      </c>
      <c r="J981" s="1374"/>
      <c r="K981" s="589"/>
      <c r="L981" s="589"/>
      <c r="M981" s="1374"/>
      <c r="N981" s="1374"/>
      <c r="O981" s="722">
        <v>42705</v>
      </c>
      <c r="P981" s="1538">
        <f t="shared" ca="1" si="252"/>
        <v>0.45023941339721352</v>
      </c>
      <c r="Q981" s="1538">
        <f t="shared" ca="1" si="252"/>
        <v>0.325005369354675</v>
      </c>
      <c r="R981" s="1538">
        <f t="shared" ca="1" si="252"/>
        <v>0.10877656899335757</v>
      </c>
      <c r="S981" s="1538">
        <f t="shared" ca="1" si="252"/>
        <v>5.8652826974216248E-2</v>
      </c>
      <c r="T981" s="1538">
        <f t="shared" ca="1" si="247"/>
        <v>0</v>
      </c>
      <c r="U981" s="1538">
        <f t="shared" ca="1" si="248"/>
        <v>5.73258212805378E-2</v>
      </c>
      <c r="V981" s="1538">
        <f t="shared" ca="1" si="249"/>
        <v>0.22475521724811159</v>
      </c>
      <c r="W981" s="1071">
        <f t="shared" ca="1" si="250"/>
        <v>1</v>
      </c>
      <c r="X981" s="589"/>
      <c r="Y981" s="1374"/>
      <c r="Z981" s="1439"/>
    </row>
    <row r="982" spans="1:26" x14ac:dyDescent="0.3">
      <c r="A982" s="1036">
        <v>42736</v>
      </c>
      <c r="B982" s="1538">
        <f t="shared" ref="B982:G991" ca="1" si="256">IF(VLOOKUP($A982, INDIRECT("'"&amp;$B$812&amp;"'!$A$5:$CA$100"),B$920, FALSE)=0,NA(),VLOOKUP($A982, INDIRECT("'"&amp;$B$812&amp;"'!$A$5:$CA$100"),B$920, FALSE)/(VLOOKUP($A982, INDIRECT("'"&amp;$B$812&amp;"'!$A$5:$CA$100"),6, FALSE)-VLOOKUP($A982, INDIRECT("'"&amp;$B$812&amp;"'!$A$5:$CA$100"),11, FALSE)))</f>
        <v>0.35396849909112871</v>
      </c>
      <c r="C982" s="1538">
        <f t="shared" ca="1" si="256"/>
        <v>0.15677784625106697</v>
      </c>
      <c r="D982" s="1538">
        <f t="shared" ca="1" si="256"/>
        <v>0.27346283657461379</v>
      </c>
      <c r="E982" s="1538">
        <f t="shared" ca="1" si="256"/>
        <v>8.8164672388952606E-2</v>
      </c>
      <c r="F982" s="1538">
        <f t="shared" ca="1" si="256"/>
        <v>7.9561753993069986E-2</v>
      </c>
      <c r="G982" s="1538">
        <f t="shared" ca="1" si="256"/>
        <v>4.8064391701168011E-2</v>
      </c>
      <c r="H982" s="1071">
        <f t="shared" ca="1" si="254"/>
        <v>0.21579081808319062</v>
      </c>
      <c r="I982" s="1071">
        <f t="shared" ca="1" si="255"/>
        <v>1</v>
      </c>
      <c r="J982" s="1374"/>
      <c r="K982" s="589"/>
      <c r="L982" s="589"/>
      <c r="M982" s="1374"/>
      <c r="N982" s="1374"/>
      <c r="O982" s="722">
        <v>42736</v>
      </c>
      <c r="P982" s="1538">
        <f t="shared" ref="P982:S1001" ca="1" si="257">IF(VLOOKUP($O982, INDIRECT("'"&amp;$P$812&amp;"'!$A$5:$CA$100"),P$920, FALSE)=0,NA(),VLOOKUP($O982, INDIRECT("'"&amp;$P$812&amp;"'!$A$5:$CA$100"),P$920, FALSE)/(VLOOKUP($O982, INDIRECT("'"&amp;$P$812&amp;"'!$A$5:$CA$100"),6, FALSE)-VLOOKUP($O982, INDIRECT("'"&amp;$P$812&amp;"'!$A$5:$CA$100"),10, FALSE)))</f>
        <v>0.44448722560615639</v>
      </c>
      <c r="Q982" s="1538">
        <f t="shared" ca="1" si="257"/>
        <v>0.24550511724834401</v>
      </c>
      <c r="R982" s="1538">
        <f t="shared" ca="1" si="257"/>
        <v>9.0938865130474389E-2</v>
      </c>
      <c r="S982" s="1538">
        <f t="shared" ca="1" si="257"/>
        <v>4.5335077828798906E-2</v>
      </c>
      <c r="T982" s="1538">
        <f t="shared" ca="1" si="247"/>
        <v>0.1199937476870024</v>
      </c>
      <c r="U982" s="1538">
        <f t="shared" ca="1" si="248"/>
        <v>5.3739966499223947E-2</v>
      </c>
      <c r="V982" s="1538">
        <f t="shared" ca="1" si="249"/>
        <v>0.31000765714549966</v>
      </c>
      <c r="W982" s="1071">
        <f t="shared" ca="1" si="250"/>
        <v>1</v>
      </c>
      <c r="X982" s="589"/>
      <c r="Y982" s="1374"/>
      <c r="Z982" s="1439"/>
    </row>
    <row r="983" spans="1:26" x14ac:dyDescent="0.3">
      <c r="A983" s="1036">
        <v>42767</v>
      </c>
      <c r="B983" s="1538">
        <f t="shared" ca="1" si="256"/>
        <v>0.32767807532238941</v>
      </c>
      <c r="C983" s="1538">
        <f t="shared" ca="1" si="256"/>
        <v>0.16251970796594631</v>
      </c>
      <c r="D983" s="1538">
        <f t="shared" ca="1" si="256"/>
        <v>0.28933442327449943</v>
      </c>
      <c r="E983" s="1538">
        <f t="shared" ca="1" si="256"/>
        <v>8.7548942689890913E-2</v>
      </c>
      <c r="F983" s="1538">
        <f t="shared" ca="1" si="256"/>
        <v>8.4895656481807469E-2</v>
      </c>
      <c r="G983" s="1538">
        <f t="shared" ca="1" si="256"/>
        <v>4.8023194265466515E-2</v>
      </c>
      <c r="H983" s="1071">
        <f t="shared" ca="1" si="254"/>
        <v>0.22046779343716488</v>
      </c>
      <c r="I983" s="1071">
        <f t="shared" ca="1" si="255"/>
        <v>1</v>
      </c>
      <c r="J983" s="1374"/>
      <c r="K983" s="589"/>
      <c r="L983" s="589"/>
      <c r="M983" s="1374"/>
      <c r="N983" s="1374"/>
      <c r="O983" s="722">
        <v>42767</v>
      </c>
      <c r="P983" s="1538">
        <f t="shared" ca="1" si="257"/>
        <v>0.3731539200877847</v>
      </c>
      <c r="Q983" s="1538">
        <f t="shared" ca="1" si="257"/>
        <v>0.28556931712398276</v>
      </c>
      <c r="R983" s="1538">
        <f t="shared" ca="1" si="257"/>
        <v>9.1189987685586379E-2</v>
      </c>
      <c r="S983" s="1538">
        <f t="shared" ca="1" si="257"/>
        <v>5.1957355379200723E-2</v>
      </c>
      <c r="T983" s="1538">
        <f t="shared" ca="1" si="247"/>
        <v>0.14279281347795245</v>
      </c>
      <c r="U983" s="1538">
        <f t="shared" ca="1" si="248"/>
        <v>5.5336606245492692E-2</v>
      </c>
      <c r="V983" s="1538">
        <f t="shared" ca="1" si="249"/>
        <v>0.34127676278823221</v>
      </c>
      <c r="W983" s="1071">
        <f t="shared" ca="1" si="250"/>
        <v>0.99999999999999978</v>
      </c>
      <c r="X983" s="589"/>
      <c r="Y983" s="1374"/>
      <c r="Z983" s="1439"/>
    </row>
    <row r="984" spans="1:26" x14ac:dyDescent="0.3">
      <c r="A984" s="1036">
        <v>42795</v>
      </c>
      <c r="B984" s="1538">
        <f t="shared" ca="1" si="256"/>
        <v>0.29493205404674633</v>
      </c>
      <c r="C984" s="1538">
        <f t="shared" ca="1" si="256"/>
        <v>0.16691662017772091</v>
      </c>
      <c r="D984" s="1538">
        <f t="shared" ca="1" si="256"/>
        <v>0.31088431803621025</v>
      </c>
      <c r="E984" s="1538">
        <f t="shared" ca="1" si="256"/>
        <v>8.6504675738625331E-2</v>
      </c>
      <c r="F984" s="1538">
        <f t="shared" ca="1" si="256"/>
        <v>9.2862953363491763E-2</v>
      </c>
      <c r="G984" s="1538">
        <f t="shared" ca="1" si="256"/>
        <v>4.7899378637205461E-2</v>
      </c>
      <c r="H984" s="1071">
        <f t="shared" ca="1" si="254"/>
        <v>0.22726700773932257</v>
      </c>
      <c r="I984" s="1071">
        <f t="shared" ca="1" si="255"/>
        <v>1</v>
      </c>
      <c r="J984" s="1374"/>
      <c r="K984" s="589"/>
      <c r="L984" s="589"/>
      <c r="M984" s="1374"/>
      <c r="N984" s="1374"/>
      <c r="O984" s="722">
        <v>42795</v>
      </c>
      <c r="P984" s="1538">
        <f t="shared" ca="1" si="257"/>
        <v>0.28492998431008365</v>
      </c>
      <c r="Q984" s="1538">
        <f t="shared" ca="1" si="257"/>
        <v>0.34698877576364406</v>
      </c>
      <c r="R984" s="1538">
        <f t="shared" ca="1" si="257"/>
        <v>9.0726264505569726E-2</v>
      </c>
      <c r="S984" s="1538">
        <f t="shared" ca="1" si="257"/>
        <v>6.8121512139500531E-2</v>
      </c>
      <c r="T984" s="1538">
        <f t="shared" ca="1" si="247"/>
        <v>0.15281921174402893</v>
      </c>
      <c r="U984" s="1538">
        <f t="shared" ca="1" si="248"/>
        <v>5.641425153717311E-2</v>
      </c>
      <c r="V984" s="1538">
        <f t="shared" ca="1" si="249"/>
        <v>0.36808123992627234</v>
      </c>
      <c r="W984" s="1071">
        <f t="shared" ca="1" si="250"/>
        <v>1</v>
      </c>
      <c r="X984" s="589"/>
      <c r="Y984" s="1374"/>
      <c r="Z984" s="1439"/>
    </row>
    <row r="985" spans="1:26" x14ac:dyDescent="0.3">
      <c r="A985" s="1036">
        <v>42826</v>
      </c>
      <c r="B985" s="1538">
        <f t="shared" ca="1" si="256"/>
        <v>0.25967395819101047</v>
      </c>
      <c r="C985" s="1538">
        <f t="shared" ca="1" si="256"/>
        <v>0.16534282881118972</v>
      </c>
      <c r="D985" s="1538">
        <f t="shared" ca="1" si="256"/>
        <v>0.32922631076754227</v>
      </c>
      <c r="E985" s="1538">
        <f t="shared" ca="1" si="256"/>
        <v>9.3290339891366272E-2</v>
      </c>
      <c r="F985" s="1538">
        <f t="shared" ca="1" si="256"/>
        <v>0.10077827991244241</v>
      </c>
      <c r="G985" s="1538">
        <f t="shared" ca="1" si="256"/>
        <v>5.1688282426448878E-2</v>
      </c>
      <c r="H985" s="1071">
        <f t="shared" ca="1" si="254"/>
        <v>0.24575690223025756</v>
      </c>
      <c r="I985" s="1071">
        <f t="shared" ca="1" si="255"/>
        <v>1</v>
      </c>
      <c r="J985" s="1374"/>
      <c r="K985" s="589"/>
      <c r="L985" s="589"/>
      <c r="M985" s="1374"/>
      <c r="N985" s="1374"/>
      <c r="O985" s="722">
        <v>42826</v>
      </c>
      <c r="P985" s="1538">
        <f t="shared" ca="1" si="257"/>
        <v>0.27091192091925098</v>
      </c>
      <c r="Q985" s="1538">
        <f t="shared" ca="1" si="257"/>
        <v>0.37925554461442262</v>
      </c>
      <c r="R985" s="1538">
        <f t="shared" ca="1" si="257"/>
        <v>8.8725128980567919E-2</v>
      </c>
      <c r="S985" s="1538">
        <f t="shared" ca="1" si="257"/>
        <v>8.5602937671206747E-2</v>
      </c>
      <c r="T985" s="1538">
        <f t="shared" ca="1" si="247"/>
        <v>0.12081691753390504</v>
      </c>
      <c r="U985" s="1538">
        <f t="shared" ca="1" si="248"/>
        <v>5.4687550280646695E-2</v>
      </c>
      <c r="V985" s="1538">
        <f t="shared" ca="1" si="249"/>
        <v>0.34983253446632639</v>
      </c>
      <c r="W985" s="1071">
        <f t="shared" ca="1" si="250"/>
        <v>0.99999999999999989</v>
      </c>
      <c r="X985" s="589"/>
      <c r="Y985" s="1374"/>
      <c r="Z985" s="1439"/>
    </row>
    <row r="986" spans="1:26" x14ac:dyDescent="0.3">
      <c r="A986" s="1036">
        <v>42856</v>
      </c>
      <c r="B986" s="1538">
        <f t="shared" ca="1" si="256"/>
        <v>0.24558774227529101</v>
      </c>
      <c r="C986" s="1538">
        <f t="shared" ca="1" si="256"/>
        <v>0.16021029756675007</v>
      </c>
      <c r="D986" s="1538">
        <f t="shared" ca="1" si="256"/>
        <v>0.33771896759233327</v>
      </c>
      <c r="E986" s="1538">
        <f t="shared" ca="1" si="256"/>
        <v>9.7217904932597313E-2</v>
      </c>
      <c r="F986" s="1538">
        <f t="shared" ca="1" si="256"/>
        <v>0.10538262849855559</v>
      </c>
      <c r="G986" s="1538">
        <f t="shared" ca="1" si="256"/>
        <v>5.3882459134472739E-2</v>
      </c>
      <c r="H986" s="1071">
        <f t="shared" ca="1" si="254"/>
        <v>0.25648299256562568</v>
      </c>
      <c r="I986" s="1071">
        <f t="shared" ca="1" si="255"/>
        <v>1</v>
      </c>
      <c r="J986" s="1374"/>
      <c r="K986" s="589"/>
      <c r="L986" s="589"/>
      <c r="M986" s="1374"/>
      <c r="N986" s="1374"/>
      <c r="O986" s="722">
        <v>42856</v>
      </c>
      <c r="P986" s="1538">
        <f t="shared" ca="1" si="257"/>
        <v>0.1654440609220863</v>
      </c>
      <c r="Q986" s="1538">
        <f t="shared" ca="1" si="257"/>
        <v>0.48798758263965875</v>
      </c>
      <c r="R986" s="1538">
        <f t="shared" ca="1" si="257"/>
        <v>8.2179995912443557E-2</v>
      </c>
      <c r="S986" s="1538">
        <f t="shared" ca="1" si="257"/>
        <v>0.12697308813974245</v>
      </c>
      <c r="T986" s="1538">
        <f t="shared" ref="T986:T1008" ca="1" si="258">IF(VLOOKUP($O986, INDIRECT("'"&amp;$P$812&amp;"'!$A$5:$CA$100"),T$920, FALSE)=0,0,VLOOKUP($O986, INDIRECT("'"&amp;$P$812&amp;"'!$A$5:$CA$100"),T$920, FALSE)/(VLOOKUP($O986, INDIRECT("'"&amp;$P$812&amp;"'!$A$5:$CA$100"),6, FALSE)-VLOOKUP($O986, INDIRECT("'"&amp;$P$812&amp;"'!$A$5:$CA$100"),10, FALSE)))</f>
        <v>8.5688496717330559E-2</v>
      </c>
      <c r="U986" s="1538">
        <f t="shared" ref="U986:U1008" ca="1" si="259">IF(VLOOKUP($O986, INDIRECT("'"&amp;$P$812&amp;"'!$A$5:$CA$100"),U$920, FALSE)=0,NA(),VLOOKUP($O986, INDIRECT("'"&amp;$P$812&amp;"'!$A$5:$CA$100"),U$920, FALSE)/(VLOOKUP($O986, INDIRECT("'"&amp;$P$812&amp;"'!$A$5:$CA$100"),6, FALSE)-VLOOKUP($O986, INDIRECT("'"&amp;$P$812&amp;"'!$A$5:$CA$100"),10, FALSE)))</f>
        <v>5.1726775668738463E-2</v>
      </c>
      <c r="V986" s="1538">
        <f t="shared" ref="V986:V996" ca="1" si="260">SUM(R986:U986)</f>
        <v>0.34656835643825507</v>
      </c>
      <c r="W986" s="1071">
        <f t="shared" ref="W986:W996" ca="1" si="261">SUM(P986:U986)</f>
        <v>1.0000000000000002</v>
      </c>
      <c r="X986" s="589"/>
      <c r="Y986" s="1374"/>
      <c r="Z986" s="1439"/>
    </row>
    <row r="987" spans="1:26" x14ac:dyDescent="0.3">
      <c r="A987" s="1036">
        <v>42887</v>
      </c>
      <c r="B987" s="1538">
        <f t="shared" ca="1" si="256"/>
        <v>0.26734307622296966</v>
      </c>
      <c r="C987" s="1538">
        <f t="shared" ca="1" si="256"/>
        <v>0.15327711705092226</v>
      </c>
      <c r="D987" s="1538">
        <f t="shared" ca="1" si="256"/>
        <v>0.32653744472606783</v>
      </c>
      <c r="E987" s="1538">
        <f t="shared" ca="1" si="256"/>
        <v>9.69899869686284E-2</v>
      </c>
      <c r="F987" s="1538">
        <f t="shared" ca="1" si="256"/>
        <v>0.1022409681535101</v>
      </c>
      <c r="G987" s="1538">
        <f t="shared" ca="1" si="256"/>
        <v>5.3611406877901877E-2</v>
      </c>
      <c r="H987" s="1071">
        <f t="shared" ca="1" si="254"/>
        <v>0.2528423620000404</v>
      </c>
      <c r="I987" s="1071">
        <f t="shared" ca="1" si="255"/>
        <v>1</v>
      </c>
      <c r="J987" s="1374"/>
      <c r="K987" s="589"/>
      <c r="L987" s="589"/>
      <c r="M987" s="1374"/>
      <c r="N987" s="1374"/>
      <c r="O987" s="722">
        <v>42887</v>
      </c>
      <c r="P987" s="1538">
        <f t="shared" ca="1" si="257"/>
        <v>7.8707389251055276E-2</v>
      </c>
      <c r="Q987" s="1538">
        <f t="shared" ca="1" si="257"/>
        <v>0.56945433805046919</v>
      </c>
      <c r="R987" s="1538">
        <f t="shared" ca="1" si="257"/>
        <v>7.9730517305280371E-2</v>
      </c>
      <c r="S987" s="1538">
        <f t="shared" ca="1" si="257"/>
        <v>0.15674819583457258</v>
      </c>
      <c r="T987" s="1538">
        <f t="shared" ca="1" si="258"/>
        <v>6.443171703062095E-2</v>
      </c>
      <c r="U987" s="1538">
        <f t="shared" ca="1" si="259"/>
        <v>5.0927842528001803E-2</v>
      </c>
      <c r="V987" s="1538">
        <f t="shared" ca="1" si="260"/>
        <v>0.35183827269847573</v>
      </c>
      <c r="W987" s="1071">
        <f t="shared" ca="1" si="261"/>
        <v>1</v>
      </c>
      <c r="X987" s="589"/>
      <c r="Y987" s="1374"/>
      <c r="Z987" s="1439"/>
    </row>
    <row r="988" spans="1:26" x14ac:dyDescent="0.3">
      <c r="A988" s="1036">
        <v>42917</v>
      </c>
      <c r="B988" s="1538">
        <f t="shared" ca="1" si="256"/>
        <v>0.32152561278114655</v>
      </c>
      <c r="C988" s="1538">
        <f t="shared" ca="1" si="256"/>
        <v>0.14854379513766272</v>
      </c>
      <c r="D988" s="1538">
        <f t="shared" ca="1" si="256"/>
        <v>0.29026443505766847</v>
      </c>
      <c r="E988" s="1538">
        <f t="shared" ca="1" si="256"/>
        <v>9.7991600304850643E-2</v>
      </c>
      <c r="F988" s="1538">
        <f t="shared" ca="1" si="256"/>
        <v>8.8261282384025058E-2</v>
      </c>
      <c r="G988" s="1538">
        <f t="shared" ca="1" si="256"/>
        <v>5.3413274334646592E-2</v>
      </c>
      <c r="H988" s="1071">
        <f t="shared" ca="1" si="254"/>
        <v>0.23966615702352229</v>
      </c>
      <c r="I988" s="1071">
        <f t="shared" ca="1" si="255"/>
        <v>1</v>
      </c>
      <c r="J988" s="1374"/>
      <c r="K988" s="589"/>
      <c r="L988" s="589"/>
      <c r="M988" s="1374"/>
      <c r="N988" s="1374"/>
      <c r="O988" s="722">
        <v>42917</v>
      </c>
      <c r="P988" s="1538">
        <f t="shared" ca="1" si="257"/>
        <v>9.5757776897045191E-2</v>
      </c>
      <c r="Q988" s="1538">
        <f t="shared" ca="1" si="257"/>
        <v>0.56166753978680106</v>
      </c>
      <c r="R988" s="1538">
        <f t="shared" ca="1" si="257"/>
        <v>8.1204470289012509E-2</v>
      </c>
      <c r="S988" s="1538">
        <f t="shared" ca="1" si="257"/>
        <v>0.15711720715943836</v>
      </c>
      <c r="T988" s="1538">
        <f t="shared" ca="1" si="258"/>
        <v>5.3134529332004764E-2</v>
      </c>
      <c r="U988" s="1538">
        <f t="shared" ca="1" si="259"/>
        <v>5.1118476535698079E-2</v>
      </c>
      <c r="V988" s="1538">
        <f t="shared" ca="1" si="260"/>
        <v>0.34257468331615371</v>
      </c>
      <c r="W988" s="1071">
        <f t="shared" ca="1" si="261"/>
        <v>1</v>
      </c>
      <c r="X988" s="589"/>
      <c r="Y988" s="1374"/>
      <c r="Z988" s="1439"/>
    </row>
    <row r="989" spans="1:26" x14ac:dyDescent="0.3">
      <c r="A989" s="1036">
        <v>42948</v>
      </c>
      <c r="B989" s="1538">
        <f t="shared" ca="1" si="256"/>
        <v>0.30739252652817201</v>
      </c>
      <c r="C989" s="1538">
        <f t="shared" ca="1" si="256"/>
        <v>0.14574374528179804</v>
      </c>
      <c r="D989" s="1538">
        <f t="shared" ca="1" si="256"/>
        <v>0.30245408848743677</v>
      </c>
      <c r="E989" s="1538">
        <f t="shared" ca="1" si="256"/>
        <v>9.7209775521215694E-2</v>
      </c>
      <c r="F989" s="1538">
        <f t="shared" ca="1" si="256"/>
        <v>9.3895810993698814E-2</v>
      </c>
      <c r="G989" s="1538">
        <f t="shared" ca="1" si="256"/>
        <v>5.3304053187678967E-2</v>
      </c>
      <c r="H989" s="1071">
        <f t="shared" ca="1" si="254"/>
        <v>0.24440963970259347</v>
      </c>
      <c r="I989" s="1071">
        <f t="shared" ca="1" si="255"/>
        <v>1.0000000000000002</v>
      </c>
      <c r="J989" s="1374"/>
      <c r="K989" s="589"/>
      <c r="L989" s="589"/>
      <c r="M989" s="1374"/>
      <c r="N989" s="1374"/>
      <c r="O989" s="722">
        <v>42948</v>
      </c>
      <c r="P989" s="1538">
        <f t="shared" ca="1" si="257"/>
        <v>0.12345617698540673</v>
      </c>
      <c r="Q989" s="1538">
        <f t="shared" ca="1" si="257"/>
        <v>0.54238302823278817</v>
      </c>
      <c r="R989" s="1538">
        <f t="shared" ca="1" si="257"/>
        <v>7.942459938889429E-2</v>
      </c>
      <c r="S989" s="1538">
        <f t="shared" ca="1" si="257"/>
        <v>0.15116691341597019</v>
      </c>
      <c r="T989" s="1538">
        <f t="shared" ca="1" si="258"/>
        <v>5.361434490216762E-2</v>
      </c>
      <c r="U989" s="1538">
        <f t="shared" ca="1" si="259"/>
        <v>4.9954937074772977E-2</v>
      </c>
      <c r="V989" s="1538">
        <f t="shared" ca="1" si="260"/>
        <v>0.3341607947818051</v>
      </c>
      <c r="W989" s="1071">
        <f t="shared" ca="1" si="261"/>
        <v>1</v>
      </c>
      <c r="X989" s="589"/>
      <c r="Y989" s="1374"/>
      <c r="Z989" s="1439"/>
    </row>
    <row r="990" spans="1:26" x14ac:dyDescent="0.3">
      <c r="A990" s="1036">
        <v>42979</v>
      </c>
      <c r="B990" s="1538">
        <f t="shared" ca="1" si="256"/>
        <v>0.29409145945836784</v>
      </c>
      <c r="C990" s="1538">
        <f t="shared" ca="1" si="256"/>
        <v>0.15198890269352663</v>
      </c>
      <c r="D990" s="1538">
        <f t="shared" ca="1" si="256"/>
        <v>0.30793848060414059</v>
      </c>
      <c r="E990" s="1538">
        <f t="shared" ca="1" si="256"/>
        <v>9.7603532340123339E-2</v>
      </c>
      <c r="F990" s="1538">
        <f t="shared" ca="1" si="256"/>
        <v>9.4829967748156871E-2</v>
      </c>
      <c r="G990" s="1538">
        <f t="shared" ca="1" si="256"/>
        <v>5.3547657155684651E-2</v>
      </c>
      <c r="H990" s="1071">
        <f t="shared" ca="1" si="254"/>
        <v>0.24598115724396485</v>
      </c>
      <c r="I990" s="1071">
        <f t="shared" ca="1" si="255"/>
        <v>0.99999999999999989</v>
      </c>
      <c r="J990" s="1374"/>
      <c r="K990" s="589"/>
      <c r="L990" s="589"/>
      <c r="M990" s="1374"/>
      <c r="N990" s="1374"/>
      <c r="O990" s="722">
        <v>42979</v>
      </c>
      <c r="P990" s="1538">
        <f t="shared" ca="1" si="257"/>
        <v>0.13397286728070545</v>
      </c>
      <c r="Q990" s="1538">
        <f t="shared" ca="1" si="257"/>
        <v>0.50800084205614837</v>
      </c>
      <c r="R990" s="1538">
        <f t="shared" ca="1" si="257"/>
        <v>8.0924434364137515E-2</v>
      </c>
      <c r="S990" s="1538">
        <f t="shared" ca="1" si="257"/>
        <v>0.13091394212383073</v>
      </c>
      <c r="T990" s="1538">
        <f t="shared" ca="1" si="258"/>
        <v>9.4453674212547564E-2</v>
      </c>
      <c r="U990" s="1538">
        <f t="shared" ca="1" si="259"/>
        <v>5.1734239962630421E-2</v>
      </c>
      <c r="V990" s="1538">
        <f t="shared" ca="1" si="260"/>
        <v>0.35802629066314623</v>
      </c>
      <c r="W990" s="1071">
        <f t="shared" ca="1" si="261"/>
        <v>1.0000000000000002</v>
      </c>
      <c r="X990" s="589"/>
      <c r="Y990" s="1374"/>
      <c r="Z990" s="1439"/>
    </row>
    <row r="991" spans="1:26" x14ac:dyDescent="0.3">
      <c r="A991" s="1036">
        <v>43009</v>
      </c>
      <c r="B991" s="1538">
        <f t="shared" ca="1" si="256"/>
        <v>0.30342264290230125</v>
      </c>
      <c r="C991" s="1538">
        <f t="shared" ca="1" si="256"/>
        <v>0.15331035562843945</v>
      </c>
      <c r="D991" s="1538">
        <f t="shared" ca="1" si="256"/>
        <v>0.30042718033721927</v>
      </c>
      <c r="E991" s="1538">
        <f t="shared" ca="1" si="256"/>
        <v>9.7879390964623364E-2</v>
      </c>
      <c r="F991" s="1538">
        <f t="shared" ca="1" si="256"/>
        <v>9.1444123497152835E-2</v>
      </c>
      <c r="G991" s="1538">
        <f t="shared" ca="1" si="256"/>
        <v>5.3516306670264038E-2</v>
      </c>
      <c r="H991" s="1071">
        <f t="shared" ca="1" si="254"/>
        <v>0.24283982113204022</v>
      </c>
      <c r="I991" s="1071">
        <f t="shared" ca="1" si="255"/>
        <v>1.0000000000000002</v>
      </c>
      <c r="J991" s="1374"/>
      <c r="K991" s="589"/>
      <c r="L991" s="589"/>
      <c r="M991" s="1374"/>
      <c r="N991" s="1374"/>
      <c r="O991" s="722">
        <v>43009</v>
      </c>
      <c r="P991" s="1538">
        <f t="shared" ca="1" si="257"/>
        <v>0.21198315214278413</v>
      </c>
      <c r="Q991" s="1538">
        <f t="shared" ca="1" si="257"/>
        <v>0.42560691007862783</v>
      </c>
      <c r="R991" s="1538">
        <f t="shared" ca="1" si="257"/>
        <v>8.3788086226611935E-2</v>
      </c>
      <c r="S991" s="1538">
        <f t="shared" ca="1" si="257"/>
        <v>9.8034718352397437E-2</v>
      </c>
      <c r="T991" s="1538">
        <f t="shared" ca="1" si="258"/>
        <v>0.12741674602637024</v>
      </c>
      <c r="U991" s="1538">
        <f t="shared" ca="1" si="259"/>
        <v>5.3170387173208634E-2</v>
      </c>
      <c r="V991" s="1538">
        <f t="shared" ca="1" si="260"/>
        <v>0.36240993777858826</v>
      </c>
      <c r="W991" s="1071">
        <f t="shared" ca="1" si="261"/>
        <v>1</v>
      </c>
      <c r="X991" s="589"/>
      <c r="Y991" s="1374"/>
      <c r="Z991" s="1439"/>
    </row>
    <row r="992" spans="1:26" x14ac:dyDescent="0.3">
      <c r="A992" s="1036">
        <v>43040</v>
      </c>
      <c r="B992" s="1538">
        <f t="shared" ref="B992:G1001" ca="1" si="262">IF(VLOOKUP($A992, INDIRECT("'"&amp;$B$812&amp;"'!$A$5:$CA$100"),B$920, FALSE)=0,NA(),VLOOKUP($A992, INDIRECT("'"&amp;$B$812&amp;"'!$A$5:$CA$100"),B$920, FALSE)/(VLOOKUP($A992, INDIRECT("'"&amp;$B$812&amp;"'!$A$5:$CA$100"),6, FALSE)-VLOOKUP($A992, INDIRECT("'"&amp;$B$812&amp;"'!$A$5:$CA$100"),11, FALSE)))</f>
        <v>0.30591305923439466</v>
      </c>
      <c r="C992" s="1538">
        <f t="shared" ca="1" si="262"/>
        <v>0.16298893708948869</v>
      </c>
      <c r="D992" s="1538">
        <f t="shared" ca="1" si="262"/>
        <v>0.29209748833212112</v>
      </c>
      <c r="E992" s="1538">
        <f t="shared" ca="1" si="262"/>
        <v>9.9174545743643955E-2</v>
      </c>
      <c r="F992" s="1538">
        <f t="shared" ca="1" si="262"/>
        <v>8.5937365169182198E-2</v>
      </c>
      <c r="G992" s="1538">
        <f t="shared" ca="1" si="262"/>
        <v>5.3888604431169634E-2</v>
      </c>
      <c r="H992" s="1071">
        <f t="shared" ca="1" si="254"/>
        <v>0.23900051534399577</v>
      </c>
      <c r="I992" s="1071">
        <f t="shared" ca="1" si="255"/>
        <v>1.0000000000000002</v>
      </c>
      <c r="J992" s="1374"/>
      <c r="K992" s="589"/>
      <c r="L992" s="589"/>
      <c r="M992" s="1374"/>
      <c r="N992" s="1374"/>
      <c r="O992" s="722">
        <v>43040</v>
      </c>
      <c r="P992" s="1538">
        <f t="shared" ca="1" si="257"/>
        <v>0.288114568490551</v>
      </c>
      <c r="Q992" s="1538">
        <f t="shared" ca="1" si="257"/>
        <v>0.34518356771702013</v>
      </c>
      <c r="R992" s="1538">
        <f t="shared" ca="1" si="257"/>
        <v>8.6583430558607857E-2</v>
      </c>
      <c r="S992" s="1538">
        <f t="shared" ca="1" si="257"/>
        <v>6.5937966711272972E-2</v>
      </c>
      <c r="T992" s="1538">
        <f t="shared" ca="1" si="258"/>
        <v>0.1596075773939436</v>
      </c>
      <c r="U992" s="1538">
        <f t="shared" ca="1" si="259"/>
        <v>5.45728891286043E-2</v>
      </c>
      <c r="V992" s="1538">
        <f t="shared" ca="1" si="260"/>
        <v>0.36670186379242875</v>
      </c>
      <c r="W992" s="1071">
        <f t="shared" ca="1" si="261"/>
        <v>0.99999999999999978</v>
      </c>
      <c r="X992" s="589"/>
      <c r="Y992" s="1374"/>
      <c r="Z992" s="1439"/>
    </row>
    <row r="993" spans="1:26" x14ac:dyDescent="0.3">
      <c r="A993" s="1036">
        <v>43070</v>
      </c>
      <c r="B993" s="1538">
        <f t="shared" ca="1" si="262"/>
        <v>0.33249790174878635</v>
      </c>
      <c r="C993" s="1538">
        <f t="shared" ca="1" si="262"/>
        <v>0.16194711365707276</v>
      </c>
      <c r="D993" s="1538">
        <f t="shared" ca="1" si="262"/>
        <v>0.27342084738084715</v>
      </c>
      <c r="E993" s="1538">
        <f t="shared" ca="1" si="262"/>
        <v>9.9843901521138867E-2</v>
      </c>
      <c r="F993" s="1538">
        <f t="shared" ca="1" si="262"/>
        <v>7.8441706196832828E-2</v>
      </c>
      <c r="G993" s="1538">
        <f t="shared" ca="1" si="262"/>
        <v>5.3848529495322012E-2</v>
      </c>
      <c r="H993" s="1071">
        <f t="shared" ca="1" si="254"/>
        <v>0.23213413721329371</v>
      </c>
      <c r="I993" s="1071">
        <f t="shared" ca="1" si="255"/>
        <v>1</v>
      </c>
      <c r="J993" s="1374"/>
      <c r="K993" s="589"/>
      <c r="L993" s="589"/>
      <c r="M993" s="1374"/>
      <c r="N993" s="1374"/>
      <c r="O993" s="722">
        <v>43070</v>
      </c>
      <c r="P993" s="1538">
        <f t="shared" ca="1" si="257"/>
        <v>0.32448716710162739</v>
      </c>
      <c r="Q993" s="1538">
        <f t="shared" ca="1" si="257"/>
        <v>0.32756917711834332</v>
      </c>
      <c r="R993" s="1538">
        <f t="shared" ca="1" si="257"/>
        <v>8.6923153696558453E-2</v>
      </c>
      <c r="S993" s="1538">
        <f t="shared" ca="1" si="257"/>
        <v>6.4747779665431174E-2</v>
      </c>
      <c r="T993" s="1538">
        <f t="shared" ca="1" si="258"/>
        <v>0.14244747109845646</v>
      </c>
      <c r="U993" s="1538">
        <f t="shared" ca="1" si="259"/>
        <v>5.3825251319583274E-2</v>
      </c>
      <c r="V993" s="1538">
        <f t="shared" ca="1" si="260"/>
        <v>0.34794365578002934</v>
      </c>
      <c r="W993" s="1071">
        <f t="shared" ca="1" si="261"/>
        <v>1.0000000000000002</v>
      </c>
      <c r="X993" s="589"/>
      <c r="Y993" s="1374"/>
      <c r="Z993" s="1439"/>
    </row>
    <row r="994" spans="1:26" x14ac:dyDescent="0.3">
      <c r="A994" s="1036">
        <v>43101</v>
      </c>
      <c r="B994" s="1538">
        <f t="shared" ca="1" si="262"/>
        <v>0.37635578836620037</v>
      </c>
      <c r="C994" s="1538">
        <f t="shared" ca="1" si="262"/>
        <v>0.14329054595014393</v>
      </c>
      <c r="D994" s="1538">
        <f t="shared" ca="1" si="262"/>
        <v>0.25320874265377358</v>
      </c>
      <c r="E994" s="1538">
        <f t="shared" ca="1" si="262"/>
        <v>9.9578610605426637E-2</v>
      </c>
      <c r="F994" s="1538">
        <f t="shared" ca="1" si="262"/>
        <v>7.4069072034396763E-2</v>
      </c>
      <c r="G994" s="1538">
        <f t="shared" ca="1" si="262"/>
        <v>5.3497240390058945E-2</v>
      </c>
      <c r="H994" s="1071">
        <f t="shared" ca="1" si="254"/>
        <v>0.22714492302988232</v>
      </c>
      <c r="I994" s="1071">
        <f t="shared" ca="1" si="255"/>
        <v>1.0000000000000002</v>
      </c>
      <c r="J994" s="1374"/>
      <c r="K994" s="589"/>
      <c r="L994" s="589"/>
      <c r="M994" s="1374"/>
      <c r="N994" s="1374"/>
      <c r="O994" s="722">
        <v>43101</v>
      </c>
      <c r="P994" s="1538">
        <f t="shared" ca="1" si="257"/>
        <v>0.27813013918831225</v>
      </c>
      <c r="Q994" s="1538">
        <f t="shared" ca="1" si="257"/>
        <v>0.30890737539836161</v>
      </c>
      <c r="R994" s="1538">
        <f t="shared" ca="1" si="257"/>
        <v>8.0176821862748437E-2</v>
      </c>
      <c r="S994" s="1538">
        <f t="shared" ca="1" si="257"/>
        <v>5.7969132119234143E-2</v>
      </c>
      <c r="T994" s="1538">
        <f t="shared" ca="1" si="258"/>
        <v>0.22078671959637344</v>
      </c>
      <c r="U994" s="1538">
        <f t="shared" ca="1" si="259"/>
        <v>5.4029811834970194E-2</v>
      </c>
      <c r="V994" s="1538">
        <f t="shared" ca="1" si="260"/>
        <v>0.4129624854133262</v>
      </c>
      <c r="W994" s="1071">
        <f t="shared" ca="1" si="261"/>
        <v>1</v>
      </c>
      <c r="X994" s="589"/>
      <c r="Y994" s="1374"/>
      <c r="Z994" s="1439"/>
    </row>
    <row r="995" spans="1:26" x14ac:dyDescent="0.3">
      <c r="A995" s="1036">
        <v>43132</v>
      </c>
      <c r="B995" s="1538">
        <f t="shared" ca="1" si="262"/>
        <v>0.38293378155513902</v>
      </c>
      <c r="C995" s="1538">
        <f t="shared" ca="1" si="262"/>
        <v>0.14379780417533608</v>
      </c>
      <c r="D995" s="1538">
        <f t="shared" ca="1" si="262"/>
        <v>0.24806974155043204</v>
      </c>
      <c r="E995" s="1538">
        <f t="shared" ca="1" si="262"/>
        <v>9.9843388959533527E-2</v>
      </c>
      <c r="F995" s="1538">
        <f t="shared" ca="1" si="262"/>
        <v>7.1837234169475239E-2</v>
      </c>
      <c r="G995" s="1538">
        <f t="shared" ca="1" si="262"/>
        <v>5.3518049590083897E-2</v>
      </c>
      <c r="H995" s="1071">
        <f t="shared" ca="1" si="254"/>
        <v>0.22519867271909266</v>
      </c>
      <c r="I995" s="1071">
        <f t="shared" ca="1" si="255"/>
        <v>0.99999999999999967</v>
      </c>
      <c r="J995" s="1374"/>
      <c r="K995" s="589"/>
      <c r="L995" s="589"/>
      <c r="M995" s="1374"/>
      <c r="N995" s="1374"/>
      <c r="O995" s="722">
        <v>43132</v>
      </c>
      <c r="P995" s="1538">
        <f t="shared" ca="1" si="257"/>
        <v>0.33503590223185531</v>
      </c>
      <c r="Q995" s="1538">
        <f t="shared" ca="1" si="257"/>
        <v>0.2658138232458167</v>
      </c>
      <c r="R995" s="1538">
        <f t="shared" ca="1" si="257"/>
        <v>8.1544267938117559E-2</v>
      </c>
      <c r="S995" s="1538">
        <f t="shared" ca="1" si="257"/>
        <v>4.5327595788827391E-2</v>
      </c>
      <c r="T995" s="1538">
        <f t="shared" ca="1" si="258"/>
        <v>0.21832021635984727</v>
      </c>
      <c r="U995" s="1538">
        <f t="shared" ca="1" si="259"/>
        <v>5.3958194435535636E-2</v>
      </c>
      <c r="V995" s="1538">
        <f t="shared" ca="1" si="260"/>
        <v>0.39915027452232787</v>
      </c>
      <c r="W995" s="1071">
        <f t="shared" ca="1" si="261"/>
        <v>0.99999999999999978</v>
      </c>
      <c r="X995" s="589"/>
      <c r="Y995" s="1374"/>
      <c r="Z995" s="1439"/>
    </row>
    <row r="996" spans="1:26" x14ac:dyDescent="0.3">
      <c r="A996" s="1036">
        <v>43160</v>
      </c>
      <c r="B996" s="1538">
        <f t="shared" ca="1" si="262"/>
        <v>0.36784206009083026</v>
      </c>
      <c r="C996" s="1538">
        <f t="shared" ca="1" si="262"/>
        <v>0.14010391419858764</v>
      </c>
      <c r="D996" s="1538">
        <f t="shared" ca="1" si="262"/>
        <v>0.2615771122621447</v>
      </c>
      <c r="E996" s="1538">
        <f t="shared" ca="1" si="262"/>
        <v>9.8903432312618764E-2</v>
      </c>
      <c r="F996" s="1538">
        <f t="shared" ca="1" si="262"/>
        <v>7.8206965599947997E-2</v>
      </c>
      <c r="G996" s="1538">
        <f t="shared" ca="1" si="262"/>
        <v>5.3366515535870802E-2</v>
      </c>
      <c r="H996" s="1071">
        <f t="shared" ca="1" si="254"/>
        <v>0.23047691344843757</v>
      </c>
      <c r="I996" s="1071">
        <f t="shared" ca="1" si="255"/>
        <v>1.0000000000000002</v>
      </c>
      <c r="J996" s="1374"/>
      <c r="K996" s="589"/>
      <c r="L996" s="589"/>
      <c r="M996" s="1374"/>
      <c r="N996" s="1374"/>
      <c r="O996" s="722">
        <v>43160</v>
      </c>
      <c r="P996" s="1538">
        <f t="shared" ca="1" si="257"/>
        <v>0.25152447179310039</v>
      </c>
      <c r="Q996" s="1538">
        <f t="shared" ca="1" si="257"/>
        <v>0.33623720099465199</v>
      </c>
      <c r="R996" s="1538">
        <f t="shared" ca="1" si="257"/>
        <v>7.426573965503705E-2</v>
      </c>
      <c r="S996" s="1538">
        <f t="shared" ca="1" si="257"/>
        <v>6.6336209566120005E-2</v>
      </c>
      <c r="T996" s="1538">
        <f t="shared" ca="1" si="258"/>
        <v>0.2201746241835737</v>
      </c>
      <c r="U996" s="1538">
        <f t="shared" ca="1" si="259"/>
        <v>5.1461753807516934E-2</v>
      </c>
      <c r="V996" s="1538">
        <f t="shared" ca="1" si="260"/>
        <v>0.41223832721224768</v>
      </c>
      <c r="W996" s="1071">
        <f t="shared" ca="1" si="261"/>
        <v>1</v>
      </c>
      <c r="X996" s="589"/>
      <c r="Y996" s="1374"/>
      <c r="Z996" s="1439"/>
    </row>
    <row r="997" spans="1:26" x14ac:dyDescent="0.3">
      <c r="A997" s="1036">
        <v>43191</v>
      </c>
      <c r="B997" s="1538">
        <f t="shared" ca="1" si="262"/>
        <v>0.41512183667523145</v>
      </c>
      <c r="C997" s="1538">
        <f t="shared" ca="1" si="262"/>
        <v>0.11881641628250042</v>
      </c>
      <c r="D997" s="1538">
        <f t="shared" ca="1" si="262"/>
        <v>0.23953755711559005</v>
      </c>
      <c r="E997" s="1538">
        <f t="shared" ca="1" si="262"/>
        <v>0.10089989533301248</v>
      </c>
      <c r="F997" s="1538">
        <f t="shared" ca="1" si="262"/>
        <v>7.159029140740425E-2</v>
      </c>
      <c r="G997" s="1538">
        <f t="shared" ca="1" si="262"/>
        <v>5.4034003186261378E-2</v>
      </c>
      <c r="H997" s="1071">
        <f t="shared" ref="H997:H999" ca="1" si="263">SUM(E997:G997)</f>
        <v>0.22652418992667811</v>
      </c>
      <c r="I997" s="1071">
        <f t="shared" ref="I997:I999" ca="1" si="264">SUM(B997:G997)</f>
        <v>1</v>
      </c>
      <c r="J997" s="1483"/>
      <c r="K997" s="589"/>
      <c r="L997" s="589"/>
      <c r="M997" s="1483"/>
      <c r="N997" s="1483"/>
      <c r="O997" s="722">
        <v>43191</v>
      </c>
      <c r="P997" s="1538">
        <f t="shared" ca="1" si="257"/>
        <v>0.26193997792837137</v>
      </c>
      <c r="Q997" s="1538">
        <f t="shared" ca="1" si="257"/>
        <v>0.33452702722008998</v>
      </c>
      <c r="R997" s="1538">
        <f t="shared" ca="1" si="257"/>
        <v>7.4493438283483732E-2</v>
      </c>
      <c r="S997" s="1538">
        <f t="shared" ca="1" si="257"/>
        <v>7.5880031436907552E-2</v>
      </c>
      <c r="T997" s="1538">
        <f t="shared" ca="1" si="258"/>
        <v>0.20201471607388882</v>
      </c>
      <c r="U997" s="1538">
        <f t="shared" ca="1" si="259"/>
        <v>5.1144809057258447E-2</v>
      </c>
      <c r="V997" s="1538">
        <f t="shared" ref="V997:V999" ca="1" si="265">SUM(R997:U997)</f>
        <v>0.40353299485153854</v>
      </c>
      <c r="W997" s="1071">
        <f t="shared" ref="W997:W999" ca="1" si="266">SUM(P997:U997)</f>
        <v>0.99999999999999989</v>
      </c>
      <c r="X997" s="589"/>
      <c r="Y997" s="1483"/>
      <c r="Z997" s="1493"/>
    </row>
    <row r="998" spans="1:26" x14ac:dyDescent="0.3">
      <c r="A998" s="1036">
        <v>43221</v>
      </c>
      <c r="B998" s="1538">
        <f t="shared" ca="1" si="262"/>
        <v>0.36107892128566388</v>
      </c>
      <c r="C998" s="1538">
        <f t="shared" ca="1" si="262"/>
        <v>0.12626085240716631</v>
      </c>
      <c r="D998" s="1538">
        <f t="shared" ca="1" si="262"/>
        <v>0.27355057516919296</v>
      </c>
      <c r="E998" s="1538">
        <f t="shared" ca="1" si="262"/>
        <v>0.10068558361752156</v>
      </c>
      <c r="F998" s="1538">
        <f t="shared" ca="1" si="262"/>
        <v>8.3882613721239466E-2</v>
      </c>
      <c r="G998" s="1538">
        <f t="shared" ca="1" si="262"/>
        <v>5.4541453799215982E-2</v>
      </c>
      <c r="H998" s="1071">
        <f t="shared" ca="1" si="263"/>
        <v>0.239109651137977</v>
      </c>
      <c r="I998" s="1071">
        <f t="shared" ca="1" si="264"/>
        <v>1.0000000000000002</v>
      </c>
      <c r="J998" s="1483"/>
      <c r="K998" s="589"/>
      <c r="L998" s="589"/>
      <c r="M998" s="1483"/>
      <c r="N998" s="1483"/>
      <c r="O998" s="722">
        <v>43221</v>
      </c>
      <c r="P998" s="1538">
        <f t="shared" ca="1" si="257"/>
        <v>8.3001835839736984E-2</v>
      </c>
      <c r="Q998" s="1538">
        <f t="shared" ca="1" si="257"/>
        <v>0.52053444725540465</v>
      </c>
      <c r="R998" s="1538">
        <f t="shared" ca="1" si="257"/>
        <v>7.2237063258905512E-2</v>
      </c>
      <c r="S998" s="1538">
        <f t="shared" ca="1" si="257"/>
        <v>0.14707134982422845</v>
      </c>
      <c r="T998" s="1538">
        <f t="shared" ca="1" si="258"/>
        <v>0.12731424162677552</v>
      </c>
      <c r="U998" s="1538">
        <f t="shared" ca="1" si="259"/>
        <v>4.984106219494891E-2</v>
      </c>
      <c r="V998" s="1538">
        <f t="shared" ca="1" si="265"/>
        <v>0.39646371690485838</v>
      </c>
      <c r="W998" s="1071">
        <f t="shared" ca="1" si="266"/>
        <v>1</v>
      </c>
      <c r="X998" s="589"/>
      <c r="Y998" s="1483"/>
      <c r="Z998" s="1493"/>
    </row>
    <row r="999" spans="1:26" x14ac:dyDescent="0.3">
      <c r="A999" s="1036">
        <v>43252</v>
      </c>
      <c r="B999" s="1538">
        <f t="shared" ca="1" si="262"/>
        <v>0.34200366647500319</v>
      </c>
      <c r="C999" s="1538">
        <f t="shared" ca="1" si="262"/>
        <v>0.13149777480448407</v>
      </c>
      <c r="D999" s="1538">
        <f t="shared" ca="1" si="262"/>
        <v>0.28381441610264402</v>
      </c>
      <c r="E999" s="1538">
        <f t="shared" ca="1" si="262"/>
        <v>0.10094431957301092</v>
      </c>
      <c r="F999" s="1538">
        <f t="shared" ca="1" si="262"/>
        <v>8.6917257437787165E-2</v>
      </c>
      <c r="G999" s="1538">
        <f t="shared" ca="1" si="262"/>
        <v>5.4822565607070488E-2</v>
      </c>
      <c r="H999" s="1071">
        <f t="shared" ca="1" si="263"/>
        <v>0.24268414261786858</v>
      </c>
      <c r="I999" s="1071">
        <f t="shared" ca="1" si="264"/>
        <v>0.99999999999999978</v>
      </c>
      <c r="J999" s="1483"/>
      <c r="K999" s="589"/>
      <c r="L999" s="589"/>
      <c r="M999" s="1483"/>
      <c r="N999" s="1483"/>
      <c r="O999" s="722">
        <v>43252</v>
      </c>
      <c r="P999" s="1538">
        <f t="shared" ca="1" si="257"/>
        <v>3.9415585936646298E-2</v>
      </c>
      <c r="Q999" s="1538">
        <f t="shared" ca="1" si="257"/>
        <v>0.56534053314791111</v>
      </c>
      <c r="R999" s="1538">
        <f t="shared" ca="1" si="257"/>
        <v>7.1664073595449004E-2</v>
      </c>
      <c r="S999" s="1538">
        <f t="shared" ca="1" si="257"/>
        <v>0.16412800523976628</v>
      </c>
      <c r="T999" s="1538">
        <f t="shared" ca="1" si="258"/>
        <v>0.10991441887112577</v>
      </c>
      <c r="U999" s="1538">
        <f t="shared" ca="1" si="259"/>
        <v>4.9537383209101483E-2</v>
      </c>
      <c r="V999" s="1538">
        <f t="shared" ca="1" si="265"/>
        <v>0.3952438809154426</v>
      </c>
      <c r="W999" s="1071">
        <f t="shared" ca="1" si="266"/>
        <v>0.99999999999999989</v>
      </c>
      <c r="X999" s="589"/>
      <c r="Y999" s="1483"/>
      <c r="Z999" s="1493"/>
    </row>
    <row r="1000" spans="1:26" x14ac:dyDescent="0.3">
      <c r="A1000" s="1036">
        <v>43282</v>
      </c>
      <c r="B1000" s="1538">
        <f t="shared" ca="1" si="262"/>
        <v>0.409455691443946</v>
      </c>
      <c r="C1000" s="1538">
        <f t="shared" ca="1" si="262"/>
        <v>0.1171946488613753</v>
      </c>
      <c r="D1000" s="1538">
        <f t="shared" ca="1" si="262"/>
        <v>0.24629685429614889</v>
      </c>
      <c r="E1000" s="1538">
        <f t="shared" ca="1" si="262"/>
        <v>9.9052608231228106E-2</v>
      </c>
      <c r="F1000" s="1538">
        <f t="shared" ca="1" si="262"/>
        <v>7.4732795465272325E-2</v>
      </c>
      <c r="G1000" s="1538">
        <f t="shared" ca="1" si="262"/>
        <v>5.3267401702029392E-2</v>
      </c>
      <c r="H1000" s="1538">
        <f t="shared" ref="H1000:H1008" ca="1" si="267">SUM(E1000:G1000)</f>
        <v>0.22705280539852982</v>
      </c>
      <c r="I1000" s="1538">
        <f t="shared" ref="I1000:I1008" ca="1" si="268">SUM(B1000:G1000)</f>
        <v>1</v>
      </c>
      <c r="J1000" s="1514"/>
      <c r="K1000" s="589"/>
      <c r="L1000" s="589"/>
      <c r="M1000" s="1514"/>
      <c r="N1000" s="1514"/>
      <c r="O1000" s="722">
        <v>43282</v>
      </c>
      <c r="P1000" s="1538">
        <f t="shared" ca="1" si="257"/>
        <v>8.9267931461204625E-2</v>
      </c>
      <c r="Q1000" s="1538">
        <f t="shared" ca="1" si="257"/>
        <v>0.53845942412640968</v>
      </c>
      <c r="R1000" s="1538">
        <f t="shared" ca="1" si="257"/>
        <v>7.3453790656995352E-2</v>
      </c>
      <c r="S1000" s="1538">
        <f t="shared" ca="1" si="257"/>
        <v>0.15841669045726536</v>
      </c>
      <c r="T1000" s="1538">
        <f t="shared" ca="1" si="258"/>
        <v>9.1191550186294532E-2</v>
      </c>
      <c r="U1000" s="1538">
        <f t="shared" ca="1" si="259"/>
        <v>4.9210613111830358E-2</v>
      </c>
      <c r="V1000" s="1538">
        <f t="shared" ref="V1000:V1008" ca="1" si="269">SUM(R1000:U1000)</f>
        <v>0.37227264441238561</v>
      </c>
      <c r="W1000" s="1538">
        <f t="shared" ref="W1000:W1011" ca="1" si="270">SUM(P1000:U1000)</f>
        <v>0.99999999999999989</v>
      </c>
      <c r="X1000" s="589"/>
      <c r="Y1000" s="1514"/>
      <c r="Z1000" s="1493"/>
    </row>
    <row r="1001" spans="1:26" x14ac:dyDescent="0.3">
      <c r="A1001" s="1036">
        <v>43313</v>
      </c>
      <c r="B1001" s="1538">
        <f t="shared" ca="1" si="262"/>
        <v>0.41262080762492265</v>
      </c>
      <c r="C1001" s="1538">
        <f t="shared" ca="1" si="262"/>
        <v>0.11810057027652748</v>
      </c>
      <c r="D1001" s="1538">
        <f t="shared" ca="1" si="262"/>
        <v>0.24337556715104985</v>
      </c>
      <c r="E1001" s="1538">
        <f t="shared" ca="1" si="262"/>
        <v>9.9269186888119018E-2</v>
      </c>
      <c r="F1001" s="1538">
        <f t="shared" ca="1" si="262"/>
        <v>7.3328387671576734E-2</v>
      </c>
      <c r="G1001" s="1538">
        <f t="shared" ca="1" si="262"/>
        <v>5.3305480387804326E-2</v>
      </c>
      <c r="H1001" s="1538">
        <f t="shared" ca="1" si="267"/>
        <v>0.2259030549475001</v>
      </c>
      <c r="I1001" s="1538">
        <f t="shared" ca="1" si="268"/>
        <v>1</v>
      </c>
      <c r="J1001" s="1514"/>
      <c r="K1001" s="589"/>
      <c r="L1001" s="589"/>
      <c r="M1001" s="1514"/>
      <c r="N1001" s="1514"/>
      <c r="O1001" s="722">
        <v>43313</v>
      </c>
      <c r="P1001" s="1538">
        <f t="shared" ca="1" si="257"/>
        <v>7.8440271896634217E-2</v>
      </c>
      <c r="Q1001" s="1538">
        <f t="shared" ca="1" si="257"/>
        <v>0.53967813738318227</v>
      </c>
      <c r="R1001" s="1538">
        <f t="shared" ca="1" si="257"/>
        <v>7.2850007942961856E-2</v>
      </c>
      <c r="S1001" s="1538">
        <f t="shared" ca="1" si="257"/>
        <v>0.15704124891081758</v>
      </c>
      <c r="T1001" s="1538">
        <f t="shared" ca="1" si="258"/>
        <v>0.10258094178206391</v>
      </c>
      <c r="U1001" s="1538">
        <f t="shared" ca="1" si="259"/>
        <v>4.9409392084340267E-2</v>
      </c>
      <c r="V1001" s="1538">
        <f t="shared" ca="1" si="269"/>
        <v>0.38188159072018357</v>
      </c>
      <c r="W1001" s="1538">
        <f t="shared" ca="1" si="270"/>
        <v>1</v>
      </c>
      <c r="X1001" s="589"/>
      <c r="Y1001" s="1514"/>
      <c r="Z1001" s="1493"/>
    </row>
    <row r="1002" spans="1:26" x14ac:dyDescent="0.3">
      <c r="A1002" s="1036">
        <v>43344</v>
      </c>
      <c r="B1002" s="1538">
        <f t="shared" ref="B1002:G1008" ca="1" si="271">IF(VLOOKUP($A1002, INDIRECT("'"&amp;$B$812&amp;"'!$A$5:$CA$100"),B$920, FALSE)=0,NA(),VLOOKUP($A1002, INDIRECT("'"&amp;$B$812&amp;"'!$A$5:$CA$100"),B$920, FALSE)/(VLOOKUP($A1002, INDIRECT("'"&amp;$B$812&amp;"'!$A$5:$CA$100"),6, FALSE)-VLOOKUP($A1002, INDIRECT("'"&amp;$B$812&amp;"'!$A$5:$CA$100"),11, FALSE)))</f>
        <v>0.41245587842946496</v>
      </c>
      <c r="C1002" s="1538">
        <f t="shared" ca="1" si="271"/>
        <v>0.1180533641451864</v>
      </c>
      <c r="D1002" s="1538">
        <f t="shared" ca="1" si="271"/>
        <v>0.24352779080130246</v>
      </c>
      <c r="E1002" s="1538">
        <f t="shared" ca="1" si="271"/>
        <v>9.9257901317039821E-2</v>
      </c>
      <c r="F1002" s="1538">
        <f t="shared" ca="1" si="271"/>
        <v>7.3401569139258965E-2</v>
      </c>
      <c r="G1002" s="1538">
        <f t="shared" ca="1" si="271"/>
        <v>5.330349616774735E-2</v>
      </c>
      <c r="H1002" s="1538">
        <f t="shared" ca="1" si="267"/>
        <v>0.22596296662404614</v>
      </c>
      <c r="I1002" s="1538">
        <f t="shared" ca="1" si="268"/>
        <v>1</v>
      </c>
      <c r="J1002" s="1514"/>
      <c r="K1002" s="589"/>
      <c r="L1002" s="589"/>
      <c r="M1002" s="1514"/>
      <c r="N1002" s="1514"/>
      <c r="O1002" s="722">
        <v>43344</v>
      </c>
      <c r="P1002" s="1538">
        <f t="shared" ref="P1002:S1008" ca="1" si="272">IF(VLOOKUP($O1002, INDIRECT("'"&amp;$P$812&amp;"'!$A$5:$CA$100"),P$920, FALSE)=0,NA(),VLOOKUP($O1002, INDIRECT("'"&amp;$P$812&amp;"'!$A$5:$CA$100"),P$920, FALSE)/(VLOOKUP($O1002, INDIRECT("'"&amp;$P$812&amp;"'!$A$5:$CA$100"),6, FALSE)-VLOOKUP($O1002, INDIRECT("'"&amp;$P$812&amp;"'!$A$5:$CA$100"),10, FALSE)))</f>
        <v>0.15513641666605596</v>
      </c>
      <c r="Q1002" s="1538">
        <f t="shared" ca="1" si="272"/>
        <v>0.43384171738904381</v>
      </c>
      <c r="R1002" s="1538">
        <f t="shared" ca="1" si="272"/>
        <v>7.1319861917678348E-2</v>
      </c>
      <c r="S1002" s="1538">
        <f t="shared" ca="1" si="272"/>
        <v>0.11140643610800717</v>
      </c>
      <c r="T1002" s="1538">
        <f t="shared" ca="1" si="258"/>
        <v>0.1781543861335404</v>
      </c>
      <c r="U1002" s="1538">
        <f t="shared" ca="1" si="259"/>
        <v>5.0141181785674324E-2</v>
      </c>
      <c r="V1002" s="1538">
        <f t="shared" ca="1" si="269"/>
        <v>0.41102186594490026</v>
      </c>
      <c r="W1002" s="1538">
        <f t="shared" ca="1" si="270"/>
        <v>1</v>
      </c>
      <c r="X1002" s="589"/>
      <c r="Y1002" s="1514"/>
      <c r="Z1002" s="1493"/>
    </row>
    <row r="1003" spans="1:26" x14ac:dyDescent="0.3">
      <c r="A1003" s="1036">
        <v>43374</v>
      </c>
      <c r="B1003" s="1538">
        <f t="shared" ca="1" si="271"/>
        <v>0.40192284032713071</v>
      </c>
      <c r="C1003" s="1538">
        <f t="shared" ca="1" si="271"/>
        <v>0.12196171252396235</v>
      </c>
      <c r="D1003" s="1538">
        <f t="shared" ca="1" si="271"/>
        <v>0.24603295234666372</v>
      </c>
      <c r="E1003" s="1538">
        <f t="shared" ca="1" si="271"/>
        <v>0.10190108493938739</v>
      </c>
      <c r="F1003" s="1538">
        <f t="shared" ca="1" si="271"/>
        <v>7.3548839414989756E-2</v>
      </c>
      <c r="G1003" s="1538">
        <f t="shared" ca="1" si="271"/>
        <v>5.4632570447866194E-2</v>
      </c>
      <c r="H1003" s="1538">
        <f ca="1">SUM(E1003:G1003)</f>
        <v>0.23008249480224335</v>
      </c>
      <c r="I1003" s="1538">
        <f t="shared" ca="1" si="268"/>
        <v>1.0000000000000002</v>
      </c>
      <c r="J1003" s="1540"/>
      <c r="K1003" s="589"/>
      <c r="L1003" s="589"/>
      <c r="M1003" s="1540"/>
      <c r="N1003" s="1540"/>
      <c r="O1003" s="722">
        <v>43374</v>
      </c>
      <c r="P1003" s="1538">
        <f t="shared" ca="1" si="272"/>
        <v>0.17904646195396096</v>
      </c>
      <c r="Q1003" s="1538">
        <f t="shared" ca="1" si="272"/>
        <v>0.392215312646639</v>
      </c>
      <c r="R1003" s="1538">
        <f t="shared" ca="1" si="272"/>
        <v>7.025335556910349E-2</v>
      </c>
      <c r="S1003" s="1538">
        <f t="shared" ca="1" si="272"/>
        <v>0.10250067946906294</v>
      </c>
      <c r="T1003" s="1538">
        <f t="shared" ca="1" si="258"/>
        <v>0.20545649227243476</v>
      </c>
      <c r="U1003" s="1538">
        <f t="shared" ca="1" si="259"/>
        <v>5.0527698088798957E-2</v>
      </c>
      <c r="V1003" s="1538">
        <f t="shared" ca="1" si="269"/>
        <v>0.42873822539940021</v>
      </c>
      <c r="W1003" s="1538">
        <f t="shared" ca="1" si="270"/>
        <v>1</v>
      </c>
      <c r="X1003" s="589"/>
      <c r="Y1003" s="1540"/>
      <c r="Z1003" s="1493"/>
    </row>
    <row r="1004" spans="1:26" x14ac:dyDescent="0.3">
      <c r="A1004" s="1036">
        <v>43405</v>
      </c>
      <c r="B1004" s="1538">
        <f t="shared" ca="1" si="271"/>
        <v>0.40973692461564276</v>
      </c>
      <c r="C1004" s="1538">
        <f t="shared" ca="1" si="271"/>
        <v>0.12646225442109504</v>
      </c>
      <c r="D1004" s="1538">
        <f t="shared" ca="1" si="271"/>
        <v>0.23714264763521825</v>
      </c>
      <c r="E1004" s="1538">
        <f t="shared" ca="1" si="271"/>
        <v>0.1028853517406227</v>
      </c>
      <c r="F1004" s="1538">
        <f t="shared" ca="1" si="271"/>
        <v>6.8881443250715588E-2</v>
      </c>
      <c r="G1004" s="1538">
        <f t="shared" ca="1" si="271"/>
        <v>5.4891378336705841E-2</v>
      </c>
      <c r="H1004" s="1538">
        <f t="shared" ca="1" si="267"/>
        <v>0.22665817332804414</v>
      </c>
      <c r="I1004" s="1538">
        <f t="shared" ca="1" si="268"/>
        <v>1.0000000000000002</v>
      </c>
      <c r="J1004" s="1540"/>
      <c r="K1004" s="589"/>
      <c r="L1004" s="589"/>
      <c r="M1004" s="1540"/>
      <c r="N1004" s="1540"/>
      <c r="O1004" s="722">
        <v>43405</v>
      </c>
      <c r="P1004" s="1538">
        <f t="shared" ca="1" si="272"/>
        <v>0.30000852694928293</v>
      </c>
      <c r="Q1004" s="1538">
        <f t="shared" ca="1" si="272"/>
        <v>0.30825015155482316</v>
      </c>
      <c r="R1004" s="1538">
        <f t="shared" ca="1" si="272"/>
        <v>7.3922941145577167E-2</v>
      </c>
      <c r="S1004" s="1538">
        <f t="shared" ca="1" si="272"/>
        <v>7.5367768505306298E-2</v>
      </c>
      <c r="T1004" s="1538">
        <f t="shared" ca="1" si="258"/>
        <v>0.1921118342684939</v>
      </c>
      <c r="U1004" s="1538">
        <f t="shared" ca="1" si="259"/>
        <v>5.0338777576516655E-2</v>
      </c>
      <c r="V1004" s="1538">
        <f t="shared" ca="1" si="269"/>
        <v>0.39174132149589408</v>
      </c>
      <c r="W1004" s="1538">
        <f t="shared" ca="1" si="270"/>
        <v>1</v>
      </c>
      <c r="X1004" s="589"/>
      <c r="Y1004" s="1540"/>
      <c r="Z1004" s="1493"/>
    </row>
    <row r="1005" spans="1:26" x14ac:dyDescent="0.3">
      <c r="A1005" s="1036">
        <v>43435</v>
      </c>
      <c r="B1005" s="1538">
        <f t="shared" ca="1" si="271"/>
        <v>0.43019571340269869</v>
      </c>
      <c r="C1005" s="1538">
        <f t="shared" ca="1" si="271"/>
        <v>0.12313087014642241</v>
      </c>
      <c r="D1005" s="1538">
        <f t="shared" ca="1" si="271"/>
        <v>0.22456391291951319</v>
      </c>
      <c r="E1005" s="1538">
        <f t="shared" ca="1" si="271"/>
        <v>0.10294374676520161</v>
      </c>
      <c r="F1005" s="1538">
        <f t="shared" ca="1" si="271"/>
        <v>6.4465952811110144E-2</v>
      </c>
      <c r="G1005" s="1538">
        <f t="shared" ca="1" si="271"/>
        <v>5.4699803955053944E-2</v>
      </c>
      <c r="H1005" s="1538">
        <f t="shared" ca="1" si="267"/>
        <v>0.22210950353136569</v>
      </c>
      <c r="I1005" s="1538">
        <f t="shared" ca="1" si="268"/>
        <v>0.99999999999999989</v>
      </c>
      <c r="J1005" s="1540"/>
      <c r="K1005" s="589"/>
      <c r="L1005" s="589"/>
      <c r="M1005" s="1540"/>
      <c r="N1005" s="1540"/>
      <c r="O1005" s="722">
        <v>43435</v>
      </c>
      <c r="P1005" s="1538">
        <f t="shared" ca="1" si="272"/>
        <v>0.2831431754236331</v>
      </c>
      <c r="Q1005" s="1538">
        <f t="shared" ca="1" si="272"/>
        <v>0.30772388581610333</v>
      </c>
      <c r="R1005" s="1538">
        <f t="shared" ca="1" si="272"/>
        <v>7.2724771752284673E-2</v>
      </c>
      <c r="S1005" s="1538">
        <f t="shared" ca="1" si="272"/>
        <v>7.1419342001165398E-2</v>
      </c>
      <c r="T1005" s="1538">
        <f t="shared" ca="1" si="258"/>
        <v>0.21433542770341887</v>
      </c>
      <c r="U1005" s="1538">
        <f t="shared" ca="1" si="259"/>
        <v>5.0653397303394611E-2</v>
      </c>
      <c r="V1005" s="1538">
        <f t="shared" ca="1" si="269"/>
        <v>0.40913293876026358</v>
      </c>
      <c r="W1005" s="1538">
        <f t="shared" ca="1" si="270"/>
        <v>0.99999999999999989</v>
      </c>
      <c r="X1005" s="589"/>
      <c r="Y1005" s="1540"/>
      <c r="Z1005" s="1493"/>
    </row>
    <row r="1006" spans="1:26" x14ac:dyDescent="0.3">
      <c r="A1006" s="1036">
        <v>43466</v>
      </c>
      <c r="B1006" s="1538">
        <f t="shared" ca="1" si="271"/>
        <v>0.42139163569650184</v>
      </c>
      <c r="C1006" s="1538">
        <f t="shared" ca="1" si="271"/>
        <v>0.1206109618464855</v>
      </c>
      <c r="D1006" s="1538">
        <f t="shared" ca="1" si="271"/>
        <v>0.23053363896547976</v>
      </c>
      <c r="E1006" s="1538">
        <f t="shared" ca="1" si="271"/>
        <v>0.10569126384493627</v>
      </c>
      <c r="F1006" s="1538">
        <f t="shared" ca="1" si="271"/>
        <v>6.5640105849140276E-2</v>
      </c>
      <c r="G1006" s="1538">
        <f t="shared" ca="1" si="271"/>
        <v>5.6132393797456423E-2</v>
      </c>
      <c r="H1006" s="1538">
        <f t="shared" ca="1" si="267"/>
        <v>0.22746376349153297</v>
      </c>
      <c r="I1006" s="1538">
        <f t="shared" ca="1" si="268"/>
        <v>0.99999999999999989</v>
      </c>
      <c r="J1006" s="1583"/>
      <c r="K1006" s="589"/>
      <c r="L1006" s="589"/>
      <c r="M1006" s="1583"/>
      <c r="N1006" s="1583"/>
      <c r="O1006" s="722">
        <v>43466</v>
      </c>
      <c r="P1006" s="1538">
        <f t="shared" ca="1" si="272"/>
        <v>0.22525423444440976</v>
      </c>
      <c r="Q1006" s="1538">
        <f t="shared" ca="1" si="272"/>
        <v>0.35232365120389136</v>
      </c>
      <c r="R1006" s="1538">
        <f t="shared" ca="1" si="272"/>
        <v>7.1618811476051036E-2</v>
      </c>
      <c r="S1006" s="1538">
        <f t="shared" ca="1" si="272"/>
        <v>7.4439518295104298E-2</v>
      </c>
      <c r="T1006" s="1538">
        <f t="shared" ca="1" si="258"/>
        <v>0.22555159977040898</v>
      </c>
      <c r="U1006" s="1538">
        <f t="shared" ca="1" si="259"/>
        <v>5.0812184810134491E-2</v>
      </c>
      <c r="V1006" s="1538">
        <f t="shared" ca="1" si="269"/>
        <v>0.42242211435169885</v>
      </c>
      <c r="W1006" s="1538">
        <f t="shared" ca="1" si="270"/>
        <v>0.99999999999999989</v>
      </c>
      <c r="X1006" s="589"/>
      <c r="Y1006" s="1583"/>
      <c r="Z1006" s="1493"/>
    </row>
    <row r="1007" spans="1:26" x14ac:dyDescent="0.3">
      <c r="A1007" s="1036">
        <v>43497</v>
      </c>
      <c r="B1007" s="1538">
        <f t="shared" ca="1" si="271"/>
        <v>0.43699145879171819</v>
      </c>
      <c r="C1007" s="1538">
        <f t="shared" ca="1" si="271"/>
        <v>0.12507595238916483</v>
      </c>
      <c r="D1007" s="1538">
        <f t="shared" ca="1" si="271"/>
        <v>0.21573025328703849</v>
      </c>
      <c r="E1007" s="1538">
        <f t="shared" ca="1" si="271"/>
        <v>0.10695718270731866</v>
      </c>
      <c r="F1007" s="1538">
        <f t="shared" ca="1" si="271"/>
        <v>5.8820712301450535E-2</v>
      </c>
      <c r="G1007" s="1538">
        <f t="shared" ca="1" si="271"/>
        <v>5.6424440523309159E-2</v>
      </c>
      <c r="H1007" s="1538">
        <f t="shared" ca="1" si="267"/>
        <v>0.22220233553207835</v>
      </c>
      <c r="I1007" s="1538">
        <f t="shared" ca="1" si="268"/>
        <v>0.99999999999999989</v>
      </c>
      <c r="J1007" s="1583"/>
      <c r="K1007" s="589"/>
      <c r="L1007" s="589"/>
      <c r="M1007" s="1583"/>
      <c r="N1007" s="1583"/>
      <c r="O1007" s="722">
        <v>43497</v>
      </c>
      <c r="P1007" s="1538">
        <f t="shared" ca="1" si="272"/>
        <v>0.31454936579472648</v>
      </c>
      <c r="Q1007" s="1538">
        <f t="shared" ca="1" si="272"/>
        <v>0.2729117367562699</v>
      </c>
      <c r="R1007" s="1538">
        <f t="shared" ca="1" si="272"/>
        <v>7.4900664022877261E-2</v>
      </c>
      <c r="S1007" s="1538">
        <f t="shared" ca="1" si="272"/>
        <v>4.6105412052564188E-2</v>
      </c>
      <c r="T1007" s="1538">
        <f t="shared" ca="1" si="258"/>
        <v>0.23978461704050255</v>
      </c>
      <c r="U1007" s="1538">
        <f t="shared" ca="1" si="259"/>
        <v>5.1748204333059697E-2</v>
      </c>
      <c r="V1007" s="1538">
        <f t="shared" ca="1" si="269"/>
        <v>0.41253889744900374</v>
      </c>
      <c r="W1007" s="1538">
        <f t="shared" ca="1" si="270"/>
        <v>1</v>
      </c>
      <c r="X1007" s="589"/>
      <c r="Y1007" s="1583"/>
      <c r="Z1007" s="1493"/>
    </row>
    <row r="1008" spans="1:26" x14ac:dyDescent="0.3">
      <c r="A1008" s="1036">
        <v>43525</v>
      </c>
      <c r="B1008" s="1538">
        <f t="shared" ca="1" si="271"/>
        <v>0.38672937341653418</v>
      </c>
      <c r="C1008" s="1538">
        <f t="shared" ca="1" si="271"/>
        <v>0.1272728068110586</v>
      </c>
      <c r="D1008" s="1538">
        <f t="shared" ca="1" si="271"/>
        <v>0.25105815362532813</v>
      </c>
      <c r="E1008" s="1538">
        <f t="shared" ca="1" si="271"/>
        <v>0.1059757833547679</v>
      </c>
      <c r="F1008" s="1538">
        <f t="shared" ca="1" si="271"/>
        <v>7.235354450260717E-2</v>
      </c>
      <c r="G1008" s="1538">
        <f t="shared" ca="1" si="271"/>
        <v>5.6610338289703993E-2</v>
      </c>
      <c r="H1008" s="1538">
        <f t="shared" ca="1" si="267"/>
        <v>0.23493966614707906</v>
      </c>
      <c r="I1008" s="1538">
        <f t="shared" ca="1" si="268"/>
        <v>0.99999999999999989</v>
      </c>
      <c r="J1008" s="1583"/>
      <c r="K1008" s="589"/>
      <c r="L1008" s="589"/>
      <c r="M1008" s="1583"/>
      <c r="N1008" s="1583"/>
      <c r="O1008" s="722">
        <v>43525</v>
      </c>
      <c r="P1008" s="1538">
        <f t="shared" ca="1" si="272"/>
        <v>0.35650883064359462</v>
      </c>
      <c r="Q1008" s="1538">
        <f t="shared" ca="1" si="272"/>
        <v>0.27712311902382852</v>
      </c>
      <c r="R1008" s="1538">
        <f t="shared" ca="1" si="272"/>
        <v>8.3295532051320814E-2</v>
      </c>
      <c r="S1008" s="1538">
        <f t="shared" ca="1" si="272"/>
        <v>5.9854357741667946E-2</v>
      </c>
      <c r="T1008" s="1538">
        <f t="shared" ca="1" si="258"/>
        <v>0.17007040757431854</v>
      </c>
      <c r="U1008" s="1538">
        <f t="shared" ca="1" si="259"/>
        <v>5.3147752965269433E-2</v>
      </c>
      <c r="V1008" s="1538">
        <f t="shared" ca="1" si="269"/>
        <v>0.36636805033257669</v>
      </c>
      <c r="W1008" s="1538">
        <f t="shared" ca="1" si="270"/>
        <v>0.99999999999999989</v>
      </c>
      <c r="X1008" s="589"/>
      <c r="Y1008" s="1583"/>
      <c r="Z1008" s="1493"/>
    </row>
    <row r="1009" spans="1:29" x14ac:dyDescent="0.3">
      <c r="A1009" s="1036">
        <v>43556</v>
      </c>
      <c r="B1009" s="1538">
        <f t="shared" ref="B1009:G1011" ca="1" si="273">IF(VLOOKUP($A1009, INDIRECT("'"&amp;$B$812&amp;"'!$A$5:$CA$100"),B$920, FALSE)=0,NA(),VLOOKUP($A1009, INDIRECT("'"&amp;$B$812&amp;"'!$A$5:$CA$100"),B$920, FALSE)/(VLOOKUP($A1009, INDIRECT("'"&amp;$B$812&amp;"'!$A$5:$CA$100"),6, FALSE)-VLOOKUP($A1009, INDIRECT("'"&amp;$B$812&amp;"'!$A$5:$CA$100"),11, FALSE)))</f>
        <v>0.38155760933773952</v>
      </c>
      <c r="C1009" s="1538">
        <f t="shared" ca="1" si="273"/>
        <v>0.12240408357574457</v>
      </c>
      <c r="D1009" s="1538">
        <f t="shared" ca="1" si="273"/>
        <v>0.25785879726498162</v>
      </c>
      <c r="E1009" s="1538">
        <f t="shared" ca="1" si="273"/>
        <v>0.10552203136700401</v>
      </c>
      <c r="F1009" s="1538">
        <f t="shared" ca="1" si="273"/>
        <v>7.6087346480685783E-2</v>
      </c>
      <c r="G1009" s="1538">
        <f t="shared" ca="1" si="273"/>
        <v>5.6570131973844445E-2</v>
      </c>
      <c r="H1009" s="1538">
        <f t="shared" ref="H1009:H1011" ca="1" si="274">SUM(E1009:G1009)</f>
        <v>0.23817950982153424</v>
      </c>
      <c r="I1009" s="1538">
        <f t="shared" ref="I1009:I1011" ca="1" si="275">SUM(B1009:G1009)</f>
        <v>1</v>
      </c>
      <c r="J1009" s="1609"/>
      <c r="K1009" s="589"/>
      <c r="L1009" s="589"/>
      <c r="M1009" s="1609"/>
      <c r="N1009" s="1609"/>
      <c r="O1009" s="722">
        <v>43556</v>
      </c>
      <c r="P1009" s="1538">
        <f t="shared" ref="P1009:S1011" ca="1" si="276">IF(VLOOKUP($O1009, INDIRECT("'"&amp;$P$812&amp;"'!$A$5:$CA$100"),P$920, FALSE)=0,NA(),VLOOKUP($O1009, INDIRECT("'"&amp;$P$812&amp;"'!$A$5:$CA$100"),P$920, FALSE)/(VLOOKUP($O1009, INDIRECT("'"&amp;$P$812&amp;"'!$A$5:$CA$100"),6, FALSE)-VLOOKUP($O1009, INDIRECT("'"&amp;$P$812&amp;"'!$A$5:$CA$100"),10, FALSE)))</f>
        <v>0.2870258457358954</v>
      </c>
      <c r="Q1009" s="1538">
        <f t="shared" ca="1" si="276"/>
        <v>0.34229769648325215</v>
      </c>
      <c r="R1009" s="1538">
        <f t="shared" ca="1" si="276"/>
        <v>8.2514173732743834E-2</v>
      </c>
      <c r="S1009" s="1538">
        <f t="shared" ca="1" si="276"/>
        <v>8.448053037841495E-2</v>
      </c>
      <c r="T1009" s="1538">
        <f t="shared" ref="T1009:T1011" ca="1" si="277">IF(VLOOKUP($O1009, INDIRECT("'"&amp;$P$812&amp;"'!$A$5:$CA$100"),T$920, FALSE)=0,0,VLOOKUP($O1009, INDIRECT("'"&amp;$P$812&amp;"'!$A$5:$CA$100"),T$920, FALSE)/(VLOOKUP($O1009, INDIRECT("'"&amp;$P$812&amp;"'!$A$5:$CA$100"),6, FALSE)-VLOOKUP($O1009, INDIRECT("'"&amp;$P$812&amp;"'!$A$5:$CA$100"),10, FALSE)))</f>
        <v>0.15066373978593542</v>
      </c>
      <c r="U1009" s="1538">
        <f t="shared" ref="U1009:U1011" ca="1" si="278">IF(VLOOKUP($O1009, INDIRECT("'"&amp;$P$812&amp;"'!$A$5:$CA$100"),U$920, FALSE)=0,NA(),VLOOKUP($O1009, INDIRECT("'"&amp;$P$812&amp;"'!$A$5:$CA$100"),U$920, FALSE)/(VLOOKUP($O1009, INDIRECT("'"&amp;$P$812&amp;"'!$A$5:$CA$100"),6, FALSE)-VLOOKUP($O1009, INDIRECT("'"&amp;$P$812&amp;"'!$A$5:$CA$100"),10, FALSE)))</f>
        <v>5.3018013883758326E-2</v>
      </c>
      <c r="V1009" s="1538">
        <f t="shared" ref="V1009:V1011" ca="1" si="279">SUM(R1009:U1009)</f>
        <v>0.37067645778085251</v>
      </c>
      <c r="W1009" s="1071">
        <f t="shared" ca="1" si="270"/>
        <v>1</v>
      </c>
      <c r="X1009" s="589"/>
      <c r="Y1009" s="1609"/>
      <c r="Z1009" s="1493"/>
    </row>
    <row r="1010" spans="1:29" x14ac:dyDescent="0.3">
      <c r="A1010" s="1036">
        <v>43586</v>
      </c>
      <c r="B1010" s="1538">
        <f t="shared" ca="1" si="273"/>
        <v>0.38428460872803355</v>
      </c>
      <c r="C1010" s="1538">
        <f t="shared" ca="1" si="273"/>
        <v>0.11704743880553548</v>
      </c>
      <c r="D1010" s="1538">
        <f t="shared" ca="1" si="273"/>
        <v>0.25987609086666247</v>
      </c>
      <c r="E1010" s="1538">
        <f t="shared" ca="1" si="273"/>
        <v>0.10457082243653175</v>
      </c>
      <c r="F1010" s="1538">
        <f t="shared" ca="1" si="273"/>
        <v>7.8029449321281322E-2</v>
      </c>
      <c r="G1010" s="1538">
        <f t="shared" ca="1" si="273"/>
        <v>5.6191589841955353E-2</v>
      </c>
      <c r="H1010" s="1538">
        <f t="shared" ca="1" si="274"/>
        <v>0.23879186159976842</v>
      </c>
      <c r="I1010" s="1538">
        <f t="shared" ca="1" si="275"/>
        <v>0.99999999999999978</v>
      </c>
      <c r="J1010" s="1609"/>
      <c r="K1010" s="589"/>
      <c r="L1010" s="589"/>
      <c r="M1010" s="1609"/>
      <c r="N1010" s="1609"/>
      <c r="O1010" s="722">
        <v>43586</v>
      </c>
      <c r="P1010" s="1538">
        <f t="shared" ca="1" si="276"/>
        <v>0.21641505874597364</v>
      </c>
      <c r="Q1010" s="1538">
        <f t="shared" ca="1" si="276"/>
        <v>0.40591272474131401</v>
      </c>
      <c r="R1010" s="1538">
        <f t="shared" ca="1" si="276"/>
        <v>8.3217798968362358E-2</v>
      </c>
      <c r="S1010" s="1538">
        <f t="shared" ca="1" si="276"/>
        <v>0.1063942955144634</v>
      </c>
      <c r="T1010" s="1538">
        <f t="shared" ca="1" si="277"/>
        <v>0.13440739294715345</v>
      </c>
      <c r="U1010" s="1538">
        <f t="shared" ca="1" si="278"/>
        <v>5.365272908273315E-2</v>
      </c>
      <c r="V1010" s="1538">
        <f t="shared" ca="1" si="279"/>
        <v>0.37767221651271238</v>
      </c>
      <c r="W1010" s="1538">
        <f t="shared" ca="1" si="270"/>
        <v>1</v>
      </c>
      <c r="X1010" s="589"/>
      <c r="Y1010" s="1609"/>
      <c r="Z1010" s="1493"/>
    </row>
    <row r="1011" spans="1:29" x14ac:dyDescent="0.3">
      <c r="A1011" s="1036">
        <v>43617</v>
      </c>
      <c r="B1011" s="1538">
        <f t="shared" ca="1" si="273"/>
        <v>0.38483233635541458</v>
      </c>
      <c r="C1011" s="1538">
        <f t="shared" ca="1" si="273"/>
        <v>0.11719592806267304</v>
      </c>
      <c r="D1011" s="1538">
        <f t="shared" ca="1" si="273"/>
        <v>0.25936173433456144</v>
      </c>
      <c r="E1011" s="1538">
        <f t="shared" ca="1" si="273"/>
        <v>0.10461444989297744</v>
      </c>
      <c r="F1011" s="1538">
        <f t="shared" ca="1" si="273"/>
        <v>7.7793922177930852E-2</v>
      </c>
      <c r="G1011" s="1538">
        <f t="shared" ca="1" si="273"/>
        <v>5.6201629176442551E-2</v>
      </c>
      <c r="H1011" s="1538">
        <f t="shared" ca="1" si="274"/>
        <v>0.23861000124735085</v>
      </c>
      <c r="I1011" s="1538">
        <f t="shared" ca="1" si="275"/>
        <v>0.99999999999999989</v>
      </c>
      <c r="J1011" s="1609"/>
      <c r="K1011" s="589"/>
      <c r="L1011" s="589"/>
      <c r="M1011" s="1609"/>
      <c r="N1011" s="1609"/>
      <c r="O1011" s="722">
        <v>43617</v>
      </c>
      <c r="P1011" s="1538">
        <f t="shared" ca="1" si="276"/>
        <v>3.0963999711289165E-2</v>
      </c>
      <c r="Q1011" s="1538">
        <f t="shared" ca="1" si="276"/>
        <v>0.63928620985618012</v>
      </c>
      <c r="R1011" s="1538">
        <f t="shared" ca="1" si="276"/>
        <v>9.0404032617054889E-2</v>
      </c>
      <c r="S1011" s="1538">
        <f t="shared" ca="1" si="276"/>
        <v>0.18489492658916348</v>
      </c>
      <c r="T1011" s="1538">
        <f t="shared" ca="1" si="277"/>
        <v>0</v>
      </c>
      <c r="U1011" s="1538">
        <f t="shared" ca="1" si="278"/>
        <v>5.4450831226312231E-2</v>
      </c>
      <c r="V1011" s="1538">
        <f t="shared" ca="1" si="279"/>
        <v>0.32974979043253061</v>
      </c>
      <c r="W1011" s="1538">
        <f t="shared" ca="1" si="270"/>
        <v>0.99999999999999989</v>
      </c>
      <c r="X1011" s="589"/>
      <c r="Y1011" s="1609"/>
      <c r="Z1011" s="1493"/>
    </row>
    <row r="1012" spans="1:29" x14ac:dyDescent="0.3">
      <c r="A1012" s="1045"/>
      <c r="B1012" s="725"/>
      <c r="C1012" s="725"/>
      <c r="D1012" s="725"/>
      <c r="E1012" s="725"/>
      <c r="F1012" s="725"/>
      <c r="G1012" s="725"/>
      <c r="H1012" s="725"/>
      <c r="I1012" s="725"/>
      <c r="J1012" s="1374"/>
      <c r="K1012" s="589"/>
      <c r="L1012" s="589"/>
      <c r="M1012" s="1374"/>
      <c r="N1012" s="1374"/>
      <c r="O1012" s="724"/>
      <c r="P1012" s="591"/>
      <c r="Q1012" s="591"/>
      <c r="R1012" s="591"/>
      <c r="S1012" s="591"/>
      <c r="T1012" s="591"/>
      <c r="U1012" s="591"/>
      <c r="V1012" s="591"/>
      <c r="W1012" s="591"/>
      <c r="X1012" s="589"/>
      <c r="Y1012" s="1374"/>
      <c r="Z1012" s="1439"/>
    </row>
    <row r="1013" spans="1:29" x14ac:dyDescent="0.3">
      <c r="A1013" s="1037"/>
      <c r="B1013" s="589"/>
      <c r="C1013" s="589"/>
      <c r="D1013" s="589"/>
      <c r="E1013" s="589"/>
      <c r="F1013" s="589"/>
      <c r="G1013" s="589"/>
      <c r="H1013" s="589"/>
      <c r="I1013" s="589"/>
      <c r="J1013" s="1374"/>
      <c r="K1013" s="589"/>
      <c r="L1013" s="589"/>
      <c r="M1013" s="1374"/>
      <c r="N1013" s="1374"/>
      <c r="O1013" s="723"/>
      <c r="P1013" s="589"/>
      <c r="Q1013" s="589"/>
      <c r="R1013" s="589"/>
      <c r="S1013" s="589"/>
      <c r="T1013" s="589"/>
      <c r="U1013" s="589"/>
      <c r="V1013" s="589"/>
      <c r="W1013" s="589"/>
      <c r="X1013" s="589"/>
      <c r="Y1013" s="1374"/>
      <c r="Z1013" s="1439"/>
    </row>
    <row r="1014" spans="1:29" ht="14.5" thickBot="1" x14ac:dyDescent="0.35">
      <c r="A1014" s="1046"/>
      <c r="B1014" s="1047"/>
      <c r="C1014" s="1047"/>
      <c r="D1014" s="1047"/>
      <c r="E1014" s="1047"/>
      <c r="F1014" s="1047"/>
      <c r="G1014" s="1047"/>
      <c r="H1014" s="1047"/>
      <c r="I1014" s="1047"/>
      <c r="J1014" s="1378"/>
      <c r="K1014" s="1047"/>
      <c r="L1014" s="1047"/>
      <c r="M1014" s="1378"/>
      <c r="N1014" s="1378"/>
      <c r="O1014" s="1048"/>
      <c r="P1014" s="1047"/>
      <c r="Q1014" s="1047"/>
      <c r="R1014" s="1047"/>
      <c r="S1014" s="1047"/>
      <c r="T1014" s="1047"/>
      <c r="U1014" s="1047"/>
      <c r="V1014" s="1047"/>
      <c r="W1014" s="1047"/>
      <c r="X1014" s="1047"/>
      <c r="Y1014" s="1378"/>
      <c r="Z1014" s="1440"/>
    </row>
    <row r="1015" spans="1:29" x14ac:dyDescent="0.3">
      <c r="A1015" s="723"/>
      <c r="B1015" s="589"/>
      <c r="C1015" s="589"/>
      <c r="D1015" s="589"/>
      <c r="E1015" s="589"/>
      <c r="F1015" s="589"/>
      <c r="G1015" s="589"/>
      <c r="H1015" s="589"/>
      <c r="I1015" s="589"/>
      <c r="K1015" s="589"/>
      <c r="L1015" s="589"/>
      <c r="O1015" s="723"/>
      <c r="P1015" s="589"/>
      <c r="Q1015" s="589"/>
      <c r="R1015" s="589"/>
      <c r="S1015" s="589"/>
      <c r="T1015" s="589"/>
      <c r="U1015" s="589"/>
      <c r="V1015" s="589"/>
      <c r="W1015" s="589"/>
      <c r="X1015" s="589"/>
    </row>
    <row r="1016" spans="1:29" s="108" customFormat="1" x14ac:dyDescent="0.3">
      <c r="A1016" s="734"/>
      <c r="B1016" s="335"/>
      <c r="C1016" s="335"/>
      <c r="D1016" s="335"/>
      <c r="E1016" s="335"/>
      <c r="F1016" s="335"/>
      <c r="G1016" s="335"/>
      <c r="H1016" s="335"/>
      <c r="I1016" s="335"/>
      <c r="K1016" s="335"/>
      <c r="L1016" s="335"/>
      <c r="O1016" s="734"/>
      <c r="P1016" s="335"/>
      <c r="Q1016" s="335"/>
      <c r="R1016" s="335"/>
      <c r="S1016" s="335"/>
      <c r="T1016" s="335"/>
      <c r="U1016" s="335"/>
      <c r="V1016" s="335"/>
      <c r="W1016" s="335"/>
      <c r="X1016" s="335"/>
    </row>
    <row r="1017" spans="1:29" x14ac:dyDescent="0.3">
      <c r="A1017" s="723"/>
      <c r="B1017" s="589"/>
      <c r="C1017" s="589"/>
      <c r="D1017" s="589"/>
      <c r="E1017" s="589"/>
      <c r="F1017" s="589"/>
      <c r="G1017" s="589"/>
      <c r="H1017" s="589"/>
      <c r="I1017" s="589"/>
      <c r="K1017" s="589"/>
      <c r="L1017" s="589"/>
      <c r="O1017" s="723"/>
      <c r="P1017" s="589"/>
      <c r="Q1017" s="589"/>
      <c r="R1017" s="589"/>
      <c r="S1017" s="589"/>
      <c r="T1017" s="589"/>
      <c r="U1017" s="589"/>
      <c r="V1017" s="589"/>
      <c r="W1017" s="589"/>
      <c r="X1017" s="589"/>
    </row>
    <row r="1018" spans="1:29" x14ac:dyDescent="0.3">
      <c r="A1018" s="723"/>
      <c r="B1018" s="589"/>
      <c r="C1018" s="589"/>
      <c r="D1018" s="589"/>
      <c r="E1018" s="589"/>
      <c r="F1018" s="589"/>
      <c r="G1018" s="589"/>
      <c r="H1018" s="589"/>
      <c r="I1018" s="589"/>
      <c r="K1018" s="589"/>
      <c r="L1018" s="589"/>
      <c r="O1018" s="723"/>
      <c r="P1018" s="589"/>
      <c r="Q1018" s="589"/>
      <c r="R1018" s="589"/>
      <c r="S1018" s="589"/>
      <c r="T1018" s="589"/>
      <c r="U1018" s="589"/>
      <c r="V1018" s="589"/>
      <c r="W1018" s="589"/>
      <c r="X1018" s="589"/>
    </row>
    <row r="1019" spans="1:29" ht="14.5" thickBot="1" x14ac:dyDescent="0.35">
      <c r="A1019" s="723"/>
      <c r="B1019" s="589"/>
      <c r="C1019" s="589"/>
      <c r="D1019" s="589"/>
      <c r="E1019" s="589"/>
      <c r="F1019" s="589"/>
      <c r="G1019" s="589"/>
      <c r="H1019" s="589"/>
      <c r="I1019" s="589"/>
      <c r="K1019" s="589"/>
      <c r="L1019" s="589"/>
      <c r="O1019" s="723"/>
      <c r="P1019" s="589"/>
      <c r="Q1019" s="589"/>
      <c r="R1019" s="589"/>
      <c r="S1019" s="589"/>
      <c r="T1019" s="589"/>
      <c r="U1019" s="589"/>
      <c r="V1019" s="589"/>
      <c r="W1019" s="589"/>
      <c r="X1019" s="589"/>
    </row>
    <row r="1020" spans="1:29" x14ac:dyDescent="0.3">
      <c r="A1020" s="1050"/>
      <c r="B1020" s="1051"/>
      <c r="C1020" s="1051"/>
      <c r="D1020" s="1051"/>
      <c r="E1020" s="1051"/>
      <c r="F1020" s="1051"/>
      <c r="G1020" s="1051"/>
      <c r="H1020" s="1051"/>
      <c r="I1020" s="1051"/>
      <c r="J1020" s="1377"/>
      <c r="K1020" s="1051"/>
      <c r="L1020" s="1051"/>
      <c r="M1020" s="1377"/>
      <c r="N1020" s="1377"/>
      <c r="O1020" s="1052"/>
      <c r="P1020" s="1051"/>
      <c r="Q1020" s="1051"/>
      <c r="R1020" s="1051"/>
      <c r="S1020" s="1051"/>
      <c r="T1020" s="1051"/>
      <c r="U1020" s="1051"/>
      <c r="V1020" s="1051"/>
      <c r="W1020" s="1051"/>
      <c r="X1020" s="1051"/>
      <c r="Y1020" s="1377"/>
      <c r="Z1020" s="1377"/>
      <c r="AA1020" s="1541"/>
      <c r="AB1020" s="1541"/>
      <c r="AC1020" s="645"/>
    </row>
    <row r="1021" spans="1:29" x14ac:dyDescent="0.3">
      <c r="A1021" s="2681" t="s">
        <v>516</v>
      </c>
      <c r="B1021" s="2682"/>
      <c r="C1021" s="2682"/>
      <c r="D1021" s="2682"/>
      <c r="E1021" s="2682"/>
      <c r="F1021" s="589"/>
      <c r="G1021" s="589"/>
      <c r="H1021" s="589"/>
      <c r="I1021" s="589"/>
      <c r="J1021" s="1374"/>
      <c r="K1021" s="589"/>
      <c r="L1021" s="589"/>
      <c r="M1021" s="1374"/>
      <c r="N1021" s="1374"/>
      <c r="O1021" s="723"/>
      <c r="P1021" s="589"/>
      <c r="Q1021" s="589"/>
      <c r="R1021" s="589"/>
      <c r="S1021" s="589"/>
      <c r="T1021" s="589"/>
      <c r="U1021" s="589"/>
      <c r="V1021" s="589"/>
      <c r="W1021" s="589"/>
      <c r="X1021" s="589"/>
      <c r="Y1021" s="1374"/>
      <c r="Z1021" s="1374"/>
      <c r="AA1021" s="1540"/>
      <c r="AB1021" s="1540"/>
      <c r="AC1021" s="1493"/>
    </row>
    <row r="1022" spans="1:29" x14ac:dyDescent="0.3">
      <c r="A1022" s="2681"/>
      <c r="B1022" s="2682"/>
      <c r="C1022" s="2682"/>
      <c r="D1022" s="2682"/>
      <c r="E1022" s="2682"/>
      <c r="F1022" s="589"/>
      <c r="G1022" s="589"/>
      <c r="H1022" s="589"/>
      <c r="I1022" s="589"/>
      <c r="J1022" s="1374"/>
      <c r="K1022" s="589"/>
      <c r="L1022" s="589"/>
      <c r="M1022" s="1374"/>
      <c r="N1022" s="1374"/>
      <c r="O1022" s="723"/>
      <c r="P1022" s="589"/>
      <c r="Q1022" s="589"/>
      <c r="R1022" s="589"/>
      <c r="S1022" s="589"/>
      <c r="T1022" s="589"/>
      <c r="U1022" s="589"/>
      <c r="V1022" s="589"/>
      <c r="W1022" s="589"/>
      <c r="X1022" s="589"/>
      <c r="Y1022" s="1374"/>
      <c r="Z1022" s="1374"/>
      <c r="AA1022" s="1540"/>
      <c r="AB1022" s="1540"/>
      <c r="AC1022" s="1493"/>
    </row>
    <row r="1023" spans="1:29" x14ac:dyDescent="0.3">
      <c r="A1023" s="2681"/>
      <c r="B1023" s="2682"/>
      <c r="C1023" s="2682"/>
      <c r="D1023" s="2682"/>
      <c r="E1023" s="2682"/>
      <c r="F1023" s="589"/>
      <c r="G1023" s="589"/>
      <c r="H1023" s="589"/>
      <c r="I1023" s="589"/>
      <c r="J1023" s="1374"/>
      <c r="K1023" s="589"/>
      <c r="L1023" s="589"/>
      <c r="M1023" s="1374"/>
      <c r="N1023" s="1374"/>
      <c r="O1023" s="723"/>
      <c r="P1023" s="589"/>
      <c r="Q1023" s="589"/>
      <c r="R1023" s="589"/>
      <c r="S1023" s="589"/>
      <c r="T1023" s="589"/>
      <c r="U1023" s="589"/>
      <c r="V1023" s="589"/>
      <c r="W1023" s="589"/>
      <c r="X1023" s="589"/>
      <c r="Y1023" s="1374"/>
      <c r="Z1023" s="1374"/>
      <c r="AA1023" s="1540"/>
      <c r="AB1023" s="1540"/>
      <c r="AC1023" s="1493"/>
    </row>
    <row r="1024" spans="1:29" x14ac:dyDescent="0.3">
      <c r="A1024" s="1037"/>
      <c r="B1024" s="589"/>
      <c r="C1024" s="589"/>
      <c r="D1024" s="589"/>
      <c r="E1024" s="589"/>
      <c r="F1024" s="589"/>
      <c r="G1024" s="589"/>
      <c r="H1024" s="589"/>
      <c r="I1024" s="589"/>
      <c r="J1024" s="1374"/>
      <c r="K1024" s="589"/>
      <c r="L1024" s="589"/>
      <c r="M1024" s="1374"/>
      <c r="N1024" s="1374"/>
      <c r="O1024" s="723"/>
      <c r="P1024" s="589"/>
      <c r="Q1024" s="589"/>
      <c r="R1024" s="589"/>
      <c r="S1024" s="589"/>
      <c r="T1024" s="589"/>
      <c r="U1024" s="589"/>
      <c r="V1024" s="589"/>
      <c r="W1024" s="589"/>
      <c r="X1024" s="589"/>
      <c r="Y1024" s="1374"/>
      <c r="Z1024" s="1374"/>
      <c r="AA1024" s="1540"/>
      <c r="AB1024" s="1540"/>
      <c r="AC1024" s="1493"/>
    </row>
    <row r="1025" spans="1:29" ht="14.5" thickBot="1" x14ac:dyDescent="0.35">
      <c r="A1025" s="1037"/>
      <c r="B1025" s="589"/>
      <c r="C1025" s="589"/>
      <c r="D1025" s="589"/>
      <c r="E1025" s="589"/>
      <c r="F1025" s="589"/>
      <c r="G1025" s="589"/>
      <c r="H1025" s="589"/>
      <c r="I1025" s="589"/>
      <c r="J1025" s="1374"/>
      <c r="K1025" s="589"/>
      <c r="L1025" s="589"/>
      <c r="M1025" s="1374"/>
      <c r="N1025" s="1374"/>
      <c r="O1025" s="723"/>
      <c r="P1025" s="589"/>
      <c r="Q1025" s="589"/>
      <c r="R1025" s="589"/>
      <c r="S1025" s="589"/>
      <c r="T1025" s="589"/>
      <c r="U1025" s="589"/>
      <c r="V1025" s="589"/>
      <c r="W1025" s="589"/>
      <c r="X1025" s="589"/>
      <c r="Y1025" s="1374"/>
      <c r="Z1025" s="1374"/>
      <c r="AA1025" s="1540"/>
      <c r="AB1025" s="1540"/>
      <c r="AC1025" s="1493"/>
    </row>
    <row r="1026" spans="1:29" ht="15" customHeight="1" x14ac:dyDescent="0.3">
      <c r="A1026" s="2698" t="s">
        <v>514</v>
      </c>
      <c r="B1026" s="2699"/>
      <c r="C1026" s="2699"/>
      <c r="D1026" s="2699"/>
      <c r="E1026" s="2699"/>
      <c r="F1026" s="2699"/>
      <c r="G1026" s="2699"/>
      <c r="H1026" s="2699"/>
      <c r="I1026" s="2699"/>
      <c r="J1026" s="2699"/>
      <c r="K1026" s="2699"/>
      <c r="L1026" s="2699"/>
      <c r="M1026" s="2699"/>
      <c r="N1026" s="2700"/>
      <c r="P1026" s="2698" t="s">
        <v>515</v>
      </c>
      <c r="Q1026" s="2699"/>
      <c r="R1026" s="2699"/>
      <c r="S1026" s="2699"/>
      <c r="T1026" s="2699"/>
      <c r="U1026" s="2699"/>
      <c r="V1026" s="2699"/>
      <c r="W1026" s="2699"/>
      <c r="X1026" s="2699"/>
      <c r="Y1026" s="2699"/>
      <c r="Z1026" s="2699"/>
      <c r="AA1026" s="2700"/>
      <c r="AB1026" s="1540"/>
      <c r="AC1026" s="1493"/>
    </row>
    <row r="1027" spans="1:29" ht="15.75" customHeight="1" thickBot="1" x14ac:dyDescent="0.35">
      <c r="A1027" s="2701"/>
      <c r="B1027" s="2702"/>
      <c r="C1027" s="2702"/>
      <c r="D1027" s="2702"/>
      <c r="E1027" s="2702"/>
      <c r="F1027" s="2702"/>
      <c r="G1027" s="2702"/>
      <c r="H1027" s="2702"/>
      <c r="I1027" s="2702"/>
      <c r="J1027" s="2702"/>
      <c r="K1027" s="2702"/>
      <c r="L1027" s="2702"/>
      <c r="M1027" s="2702"/>
      <c r="N1027" s="2703"/>
      <c r="P1027" s="2701"/>
      <c r="Q1027" s="2702"/>
      <c r="R1027" s="2702"/>
      <c r="S1027" s="2702"/>
      <c r="T1027" s="2702"/>
      <c r="U1027" s="2702"/>
      <c r="V1027" s="2702"/>
      <c r="W1027" s="2702"/>
      <c r="X1027" s="2702"/>
      <c r="Y1027" s="2702"/>
      <c r="Z1027" s="2702"/>
      <c r="AA1027" s="2703"/>
      <c r="AB1027" s="1540"/>
      <c r="AC1027" s="1493"/>
    </row>
    <row r="1028" spans="1:29" x14ac:dyDescent="0.3">
      <c r="A1028" s="1037"/>
      <c r="B1028" s="589"/>
      <c r="C1028" s="589"/>
      <c r="D1028" s="589"/>
      <c r="E1028" s="589"/>
      <c r="F1028" s="589"/>
      <c r="G1028" s="589"/>
      <c r="H1028" s="589"/>
      <c r="I1028" s="589"/>
      <c r="J1028" s="1374"/>
      <c r="K1028" s="589"/>
      <c r="L1028" s="589"/>
      <c r="M1028" s="1374"/>
      <c r="N1028" s="1374"/>
      <c r="P1028" s="723"/>
      <c r="Q1028" s="589"/>
      <c r="R1028" s="589"/>
      <c r="S1028" s="589"/>
      <c r="T1028" s="589"/>
      <c r="U1028" s="589"/>
      <c r="V1028" s="589"/>
      <c r="W1028" s="589"/>
      <c r="X1028" s="589"/>
      <c r="Y1028" s="589"/>
      <c r="Z1028" s="1540"/>
      <c r="AA1028" s="1540"/>
      <c r="AB1028" s="1540"/>
      <c r="AC1028" s="1493"/>
    </row>
    <row r="1029" spans="1:29" ht="14.25" customHeight="1" x14ac:dyDescent="0.3">
      <c r="A1029" s="2707" t="str">
        <f>"Annual Cost Component Variation in the " &amp;$B$1031&amp;" Zone, 2012 - 2018"</f>
        <v>Annual Cost Component Variation in the ENMAX Zone, 2012 - 2018</v>
      </c>
      <c r="B1029" s="2704"/>
      <c r="C1029" s="2704"/>
      <c r="D1029" s="2704"/>
      <c r="E1029" s="2704"/>
      <c r="F1029" s="2704"/>
      <c r="G1029" s="2704"/>
      <c r="H1029" s="2704"/>
      <c r="I1029" s="589"/>
      <c r="J1029" s="1374"/>
      <c r="K1029" s="589"/>
      <c r="L1029" s="589"/>
      <c r="M1029" s="1374"/>
      <c r="N1029" s="1374"/>
      <c r="P1029" s="2704" t="str">
        <f>"Annual Cost Component Variation in the " &amp;$Q$1031&amp;" Zone, 2012 - 2018"</f>
        <v>Annual Cost Component Variation in the ATCO-S Zone, 2012 - 2018</v>
      </c>
      <c r="Q1029" s="2704"/>
      <c r="R1029" s="2704"/>
      <c r="S1029" s="2704"/>
      <c r="T1029" s="2704"/>
      <c r="U1029" s="2704"/>
      <c r="V1029" s="2704"/>
      <c r="W1029" s="2704"/>
      <c r="X1029" s="589"/>
      <c r="Y1029" s="589"/>
      <c r="Z1029" s="1540"/>
      <c r="AA1029" s="1540"/>
      <c r="AB1029" s="1540"/>
      <c r="AC1029" s="1493"/>
    </row>
    <row r="1030" spans="1:29" ht="14.25" customHeight="1" x14ac:dyDescent="0.3">
      <c r="A1030" s="2708"/>
      <c r="B1030" s="2709"/>
      <c r="C1030" s="2709"/>
      <c r="D1030" s="2709"/>
      <c r="E1030" s="2709"/>
      <c r="F1030" s="2709"/>
      <c r="G1030" s="2709"/>
      <c r="H1030" s="2709"/>
      <c r="I1030" s="589"/>
      <c r="J1030" s="1374"/>
      <c r="K1030" s="589"/>
      <c r="L1030" s="589"/>
      <c r="M1030" s="1374"/>
      <c r="N1030" s="1374"/>
      <c r="P1030" s="2704"/>
      <c r="Q1030" s="2704"/>
      <c r="R1030" s="2704"/>
      <c r="S1030" s="2704"/>
      <c r="T1030" s="2704"/>
      <c r="U1030" s="2704"/>
      <c r="V1030" s="2704"/>
      <c r="W1030" s="2704"/>
      <c r="X1030" s="589"/>
      <c r="Y1030" s="589"/>
      <c r="Z1030" s="1540"/>
      <c r="AA1030" s="1540"/>
      <c r="AB1030" s="1540"/>
      <c r="AC1030" s="1493"/>
    </row>
    <row r="1031" spans="1:29" x14ac:dyDescent="0.3">
      <c r="A1031" s="1036"/>
      <c r="B1031" s="2705" t="str">
        <f>'Elec. Analysis'!$A$45</f>
        <v>ENMAX</v>
      </c>
      <c r="C1031" s="2705"/>
      <c r="D1031" s="2705"/>
      <c r="E1031" s="2705"/>
      <c r="F1031" s="2705"/>
      <c r="G1031" s="2705"/>
      <c r="H1031" s="2705"/>
      <c r="I1031" s="589"/>
      <c r="J1031" s="1374"/>
      <c r="K1031" s="589"/>
      <c r="L1031" s="589"/>
      <c r="M1031" s="1374"/>
      <c r="N1031" s="1374"/>
      <c r="P1031" s="722"/>
      <c r="Q1031" s="2705" t="str">
        <f>'NG Analysis'!$A$47</f>
        <v>ATCO-S</v>
      </c>
      <c r="R1031" s="2705"/>
      <c r="S1031" s="2705"/>
      <c r="T1031" s="2705"/>
      <c r="U1031" s="2705"/>
      <c r="V1031" s="2705"/>
      <c r="W1031" s="2705"/>
      <c r="X1031" s="589"/>
      <c r="Y1031" s="589"/>
      <c r="Z1031" s="1540"/>
      <c r="AA1031" s="1540"/>
      <c r="AB1031" s="1540"/>
      <c r="AC1031" s="1493"/>
    </row>
    <row r="1032" spans="1:29" ht="18" x14ac:dyDescent="0.4">
      <c r="A1032" s="1053">
        <f>IF($B$1031="ENMAX", 2, IF($B$1031="EPCOR", 3, IF($B$1031="FORTIS", 4, 5)))</f>
        <v>2</v>
      </c>
      <c r="B1032" s="602">
        <v>2012</v>
      </c>
      <c r="C1032" s="602">
        <v>2013</v>
      </c>
      <c r="D1032" s="602">
        <v>2014</v>
      </c>
      <c r="E1032" s="602">
        <v>2015</v>
      </c>
      <c r="F1032" s="602">
        <v>2016</v>
      </c>
      <c r="G1032" s="602">
        <v>2017</v>
      </c>
      <c r="H1032" s="602">
        <v>2018</v>
      </c>
      <c r="J1032" s="1076"/>
      <c r="K1032" s="1394" t="s">
        <v>54</v>
      </c>
      <c r="L1032" s="1394" t="s">
        <v>55</v>
      </c>
      <c r="M1032" s="1394" t="s">
        <v>56</v>
      </c>
      <c r="N1032" s="1394" t="s">
        <v>57</v>
      </c>
      <c r="P1032" s="726">
        <f>IF($Q$1031="ATCO-N", 2, IF($Q$1031="ATCO-S", 3, 4))</f>
        <v>3</v>
      </c>
      <c r="Q1032" s="606">
        <v>2012</v>
      </c>
      <c r="R1032" s="606">
        <v>2013</v>
      </c>
      <c r="S1032" s="606">
        <v>2014</v>
      </c>
      <c r="T1032" s="606">
        <v>2015</v>
      </c>
      <c r="U1032" s="606">
        <v>2016</v>
      </c>
      <c r="V1032" s="606">
        <v>2017</v>
      </c>
      <c r="W1032" s="606">
        <v>2018</v>
      </c>
      <c r="Y1032" s="727"/>
      <c r="Z1032" s="705" t="s">
        <v>99</v>
      </c>
      <c r="AA1032" s="705" t="s">
        <v>100</v>
      </c>
      <c r="AB1032" s="705" t="s">
        <v>101</v>
      </c>
      <c r="AC1032" s="1493"/>
    </row>
    <row r="1033" spans="1:29" x14ac:dyDescent="0.3">
      <c r="A1033" s="1054" t="s">
        <v>375</v>
      </c>
      <c r="B1033" s="636">
        <f t="shared" ref="B1033:H1039" ca="1" si="280">SUM(INDIRECT("'"&amp;$B$1031&amp;"'!"&amp;VLOOKUP($A1033,$J$1032:$N$1039,$A$1032,FALSE)&amp;B$1041&amp;":"&amp;VLOOKUP($A1033,$J$1032:$N$1039,$A$1032,FALSE)&amp;B$1042))</f>
        <v>703.1863508845272</v>
      </c>
      <c r="C1033" s="636">
        <f t="shared" ca="1" si="280"/>
        <v>624.23052376700457</v>
      </c>
      <c r="D1033" s="636">
        <f t="shared" ca="1" si="280"/>
        <v>555.38726015912823</v>
      </c>
      <c r="E1033" s="636">
        <f t="shared" ca="1" si="280"/>
        <v>400.84230026864429</v>
      </c>
      <c r="F1033" s="636">
        <f t="shared" ca="1" si="280"/>
        <v>279.10790765261851</v>
      </c>
      <c r="G1033" s="636">
        <f t="shared" ca="1" si="280"/>
        <v>252.0033218257565</v>
      </c>
      <c r="H1033" s="636">
        <f t="shared" ca="1" si="280"/>
        <v>401.57405964687996</v>
      </c>
      <c r="J1033" s="728" t="s">
        <v>375</v>
      </c>
      <c r="K1033" s="1398" t="str">
        <f>(IF(COLUMN(ENMAX!$G$5)&gt;26,(CHAR((ROUNDDOWN((COLUMN(ENMAX!$G$5)-1)/26,0))+64))&amp;(CHAR(COLUMN(ENMAX!$G$5)+64-(ROUNDDOWN((COLUMN(ENMAX!$G$5)-1)/26,0)*26))),CHAR(COLUMN(ENMAX!$G$5)+64)))</f>
        <v>G</v>
      </c>
      <c r="L1033" s="1398" t="str">
        <f>(IF(COLUMN(EPCOR!$G$5)&gt;26,(CHAR((ROUNDDOWN((COLUMN(EPCOR!$G$5)-1)/26,0))+64))&amp;(CHAR(COLUMN(EPCOR!$G$5)+64-(ROUNDDOWN((COLUMN(EPCOR!$G$5)-1)/26,0)*26))),CHAR(COLUMN(EPCOR!$G$5)+64)))</f>
        <v>G</v>
      </c>
      <c r="M1033" s="1398" t="str">
        <f>(IF(COLUMN(FORTIS!$G$5)&gt;26,(CHAR((ROUNDDOWN((COLUMN(FORTIS!$G$5)-1)/26,0))+64))&amp;(CHAR(COLUMN(FORTIS!$G$5)+64-(ROUNDDOWN((COLUMN(FORTIS!$G$5)-1)/26,0)*26))),CHAR(COLUMN(FORTIS!$G$5)+64)))</f>
        <v>G</v>
      </c>
      <c r="N1033" s="1398" t="str">
        <f>(IF(COLUMN(ATCO!$G$5)&gt;26,(CHAR((ROUNDDOWN((COLUMN(ATCO!$G$5)-1)/26,0))+64))&amp;(CHAR(COLUMN(ATCO!$G$5)+64-(ROUNDDOWN((COLUMN(ATCO!$G$5)-1)/26,0)*26))),CHAR(COLUMN(ATCO!$G$5)+64)))</f>
        <v>G</v>
      </c>
      <c r="P1033" s="728" t="s">
        <v>375</v>
      </c>
      <c r="Q1033" s="636">
        <f t="shared" ref="Q1033:W1039" ca="1" si="281">SUM(INDIRECT("'"&amp;$Q$1031&amp;"'!"&amp;VLOOKUP($P1033,$Y$1032:$AB$1039,$P$1032,FALSE)&amp;Q$1041&amp;":"&amp;VLOOKUP($P1033,$Y$1032:$AB$1039,$P$1032,FALSE)&amp;Q$1042))</f>
        <v>327.79452081215163</v>
      </c>
      <c r="R1033" s="636">
        <f t="shared" ca="1" si="281"/>
        <v>404.1781281648615</v>
      </c>
      <c r="S1033" s="636">
        <f t="shared" ca="1" si="281"/>
        <v>678.92828702830366</v>
      </c>
      <c r="T1033" s="636">
        <f t="shared" ca="1" si="281"/>
        <v>324.55160169321761</v>
      </c>
      <c r="U1033" s="636">
        <f t="shared" ca="1" si="281"/>
        <v>271.06103577840105</v>
      </c>
      <c r="V1033" s="636">
        <f t="shared" ca="1" si="281"/>
        <v>302.15685045597871</v>
      </c>
      <c r="W1033" s="636">
        <f t="shared" ca="1" si="281"/>
        <v>249.01953252633191</v>
      </c>
      <c r="Y1033" s="728" t="s">
        <v>375</v>
      </c>
      <c r="Z1033" s="706" t="str">
        <f>(IF(COLUMN('ATCO-N'!$G$5)&gt;26,(CHAR((ROUNDDOWN((COLUMN('ATCO-N'!$G$5)-1)/26,0))+64))&amp;(CHAR(COLUMN('ATCO-N'!$G$5)+64-(ROUNDDOWN((COLUMN('ATCO-N'!$G$5)-1)/26,0)*26))),CHAR(COLUMN('ATCO-N'!$G$5)+64)))</f>
        <v>G</v>
      </c>
      <c r="AA1033" s="706" t="str">
        <f>(IF(COLUMN('ATCO-S'!$G$5)&gt;26,(CHAR((ROUNDDOWN((COLUMN('ATCO-S'!$G$5)-1)/26,0))+64))&amp;(CHAR(COLUMN('ATCO-S'!$G$5)+64-(ROUNDDOWN((COLUMN('ATCO-S'!$G$5)-1)/26,0)*26))),CHAR(COLUMN('ATCO-S'!$G$5)+64)))</f>
        <v>G</v>
      </c>
      <c r="AB1033" s="706" t="str">
        <f>(IF(COLUMN(AltaGas!$G$5)&gt;26,(CHAR((ROUNDDOWN((COLUMN(AltaGas!$G$5)-1)/26,0))+64))&amp;(CHAR(COLUMN(AltaGas!$G$5)+64-(ROUNDDOWN((COLUMN(AltaGas!$G$5)-1)/26,0)*26))),CHAR(COLUMN(AltaGas!$G$5)+64)))</f>
        <v>G</v>
      </c>
      <c r="AC1033" s="1493"/>
    </row>
    <row r="1034" spans="1:29" x14ac:dyDescent="0.3">
      <c r="A1034" s="1054" t="s">
        <v>58</v>
      </c>
      <c r="B1034" s="636">
        <f t="shared" ca="1" si="280"/>
        <v>141.30538714924867</v>
      </c>
      <c r="C1034" s="636">
        <f t="shared" ca="1" si="280"/>
        <v>140.62017367678686</v>
      </c>
      <c r="D1034" s="636">
        <f t="shared" ca="1" si="280"/>
        <v>140.26743117992908</v>
      </c>
      <c r="E1034" s="636">
        <f t="shared" ca="1" si="280"/>
        <v>135.43794665415246</v>
      </c>
      <c r="F1034" s="636">
        <f t="shared" ca="1" si="280"/>
        <v>132.08848444700945</v>
      </c>
      <c r="G1034" s="636">
        <f t="shared" ca="1" si="280"/>
        <v>130.64659979710763</v>
      </c>
      <c r="H1034" s="636">
        <f t="shared" ca="1" si="280"/>
        <v>129.18126004262675</v>
      </c>
      <c r="J1034" s="728" t="s">
        <v>58</v>
      </c>
      <c r="K1034" s="1398" t="str">
        <f>(IF(COLUMN(ENMAX!$H$5)&gt;26,(CHAR((ROUNDDOWN((COLUMN(ENMAX!$H$5)-1)/26,0))+64))&amp;(CHAR(COLUMN(ENMAX!$H$5)+64-(ROUNDDOWN((COLUMN(ENMAX!$H$5)-1)/26,0)*26))),CHAR(COLUMN(ENMAX!$H$5)+64)))</f>
        <v>H</v>
      </c>
      <c r="L1034" s="1398" t="str">
        <f>(IF(COLUMN(EPCOR!$H$5)&gt;26,(CHAR((ROUNDDOWN((COLUMN(EPCOR!$H$5)-1)/26,0))+64))&amp;(CHAR(COLUMN(EPCOR!$H$5)+64-(ROUNDDOWN((COLUMN(EPCOR!$H$5)-1)/26,0)*26))),CHAR(COLUMN(EPCOR!$H$5)+64)))</f>
        <v>H</v>
      </c>
      <c r="M1034" s="1398" t="str">
        <f>(IF(COLUMN(FORTIS!$H$5)&gt;26,(CHAR((ROUNDDOWN((COLUMN(FORTIS!$H$5)-1)/26,0))+64))&amp;(CHAR(COLUMN(FORTIS!$H$5)+64-(ROUNDDOWN((COLUMN(FORTIS!$H$5)-1)/26,0)*26))),CHAR(COLUMN(FORTIS!$H$5)+64)))</f>
        <v>H</v>
      </c>
      <c r="N1034" s="1398" t="str">
        <f>(IF(COLUMN(ATCO!$H$5)&gt;26,(CHAR((ROUNDDOWN((COLUMN(ATCO!$H$5)-1)/26,0))+64))&amp;(CHAR(COLUMN(ATCO!$H$5)+64-(ROUNDDOWN((COLUMN(ATCO!$H$5)-1)/26,0)*26))),CHAR(COLUMN(ATCO!$H$5)+64)))</f>
        <v>H</v>
      </c>
      <c r="P1034" s="728" t="s">
        <v>376</v>
      </c>
      <c r="Q1034" s="636">
        <f t="shared" ca="1" si="281"/>
        <v>324.61697802782442</v>
      </c>
      <c r="R1034" s="636">
        <f t="shared" ca="1" si="281"/>
        <v>367.42807658361454</v>
      </c>
      <c r="S1034" s="636">
        <f t="shared" ca="1" si="281"/>
        <v>380.85363676320998</v>
      </c>
      <c r="T1034" s="636">
        <f t="shared" ca="1" si="281"/>
        <v>389.44820870820195</v>
      </c>
      <c r="U1034" s="636">
        <f t="shared" ca="1" si="281"/>
        <v>387.62162154063356</v>
      </c>
      <c r="V1034" s="636">
        <f t="shared" ca="1" si="281"/>
        <v>405.28230378558249</v>
      </c>
      <c r="W1034" s="636">
        <f t="shared" ca="1" si="281"/>
        <v>390.95024240611758</v>
      </c>
      <c r="Y1034" s="728" t="s">
        <v>376</v>
      </c>
      <c r="Z1034" s="706" t="str">
        <f>(IF(COLUMN('ATCO-N'!$H$5)&gt;26,(CHAR((ROUNDDOWN((COLUMN('ATCO-N'!$H$5)-1)/26,0))+64))&amp;(CHAR(COLUMN('ATCO-N'!$H$5)+64-(ROUNDDOWN((COLUMN('ATCO-N'!$H$5)-1)/26,0)*26))),CHAR(COLUMN('ATCO-N'!$H$5)+64)))</f>
        <v>H</v>
      </c>
      <c r="AA1034" s="706" t="str">
        <f>(IF(COLUMN('ATCO-S'!$H$5)&gt;26,(CHAR((ROUNDDOWN((COLUMN('ATCO-S'!$H$5)-1)/26,0))+64))&amp;(CHAR(COLUMN('ATCO-S'!$H$5)+64-(ROUNDDOWN((COLUMN('ATCO-S'!$H$5)-1)/26,0)*26))),CHAR(COLUMN('ATCO-S'!$H$5)+64)))</f>
        <v>H</v>
      </c>
      <c r="AB1034" s="706" t="str">
        <f>(IF(COLUMN(AltaGas!$H$5)&gt;26,(CHAR((ROUNDDOWN((COLUMN(AltaGas!$H$5)-1)/26,0))+64))&amp;(CHAR(COLUMN(AltaGas!$H$5)+64-(ROUNDDOWN((COLUMN(AltaGas!$H$5)-1)/26,0)*26))),CHAR(COLUMN(AltaGas!$H$5)+64)))</f>
        <v>H</v>
      </c>
      <c r="AC1034" s="1493"/>
    </row>
    <row r="1035" spans="1:29" x14ac:dyDescent="0.3">
      <c r="A1035" s="1054" t="s">
        <v>376</v>
      </c>
      <c r="B1035" s="636">
        <f t="shared" ca="1" si="280"/>
        <v>176.29181461007886</v>
      </c>
      <c r="C1035" s="636">
        <f t="shared" ca="1" si="280"/>
        <v>175.70304952627293</v>
      </c>
      <c r="D1035" s="636">
        <f t="shared" ca="1" si="280"/>
        <v>213.37917958701991</v>
      </c>
      <c r="E1035" s="636">
        <f t="shared" ca="1" si="280"/>
        <v>217.97420148488618</v>
      </c>
      <c r="F1035" s="636">
        <f t="shared" ca="1" si="280"/>
        <v>216.87084177601582</v>
      </c>
      <c r="G1035" s="636">
        <f t="shared" ca="1" si="280"/>
        <v>249.74766330018707</v>
      </c>
      <c r="H1035" s="636">
        <f t="shared" ca="1" si="280"/>
        <v>252.91035539889205</v>
      </c>
      <c r="J1035" s="728" t="s">
        <v>376</v>
      </c>
      <c r="K1035" s="1398" t="str">
        <f>(IF(COLUMN(ENMAX!$I$5)&gt;26,(CHAR((ROUNDDOWN((COLUMN(ENMAX!$I$5)-1)/26,0))+64))&amp;(CHAR(COLUMN(ENMAX!$I$5)+64-(ROUNDDOWN((COLUMN(ENMAX!$I$5)-1)/26,0)*26))),CHAR(COLUMN(ENMAX!$I$5)+64)))</f>
        <v>I</v>
      </c>
      <c r="L1035" s="1398" t="str">
        <f>(IF(COLUMN(EPCOR!$I$5)&gt;26,(CHAR((ROUNDDOWN((COLUMN(EPCOR!$I$5)-1)/26,0))+64))&amp;(CHAR(COLUMN(EPCOR!$I$5)+64-(ROUNDDOWN((COLUMN(EPCOR!$I$5)-1)/26,0)*26))),CHAR(COLUMN(EPCOR!$I$5)+64)))</f>
        <v>I</v>
      </c>
      <c r="M1035" s="1398" t="str">
        <f>(IF(COLUMN(FORTIS!$I$5)&gt;26,(CHAR((ROUNDDOWN((COLUMN(FORTIS!$I$5)-1)/26,0))+64))&amp;(CHAR(COLUMN(FORTIS!$I$5)+64-(ROUNDDOWN((COLUMN(FORTIS!$I$5)-1)/26,0)*26))),CHAR(COLUMN(FORTIS!$I$5)+64)))</f>
        <v>I</v>
      </c>
      <c r="N1035" s="1398" t="str">
        <f>(IF(COLUMN(ATCO!$I$5)&gt;26,(CHAR((ROUNDDOWN((COLUMN(ATCO!$I$5)-1)/26,0))+64))&amp;(CHAR(COLUMN(ATCO!$I$5)+64-(ROUNDDOWN((COLUMN(ATCO!$I$5)-1)/26,0)*26))),CHAR(COLUMN(ATCO!$I$5)+64)))</f>
        <v>I</v>
      </c>
      <c r="P1035" s="728" t="s">
        <v>8</v>
      </c>
      <c r="Q1035" s="636">
        <f t="shared" ca="1" si="281"/>
        <v>75.562636105456647</v>
      </c>
      <c r="R1035" s="636">
        <f t="shared" ca="1" si="281"/>
        <v>93.008730297803069</v>
      </c>
      <c r="S1035" s="636">
        <f t="shared" ca="1" si="281"/>
        <v>126.71734503897203</v>
      </c>
      <c r="T1035" s="636">
        <f t="shared" ca="1" si="281"/>
        <v>89.018161138519488</v>
      </c>
      <c r="U1035" s="636">
        <f t="shared" ca="1" si="281"/>
        <v>86.968078055708133</v>
      </c>
      <c r="V1035" s="636">
        <f t="shared" ca="1" si="281"/>
        <v>93.970192269617328</v>
      </c>
      <c r="W1035" s="636">
        <f t="shared" ca="1" si="281"/>
        <v>80.557864026092332</v>
      </c>
      <c r="Y1035" s="728" t="s">
        <v>8</v>
      </c>
      <c r="Z1035" s="706" t="str">
        <f>(IF(COLUMN('ATCO-N'!$I$5)&gt;26,(CHAR((ROUNDDOWN((COLUMN('ATCO-N'!$I$5)-1)/26,0))+64))&amp;(CHAR(COLUMN('ATCO-N'!$I$5)+64-(ROUNDDOWN((COLUMN('ATCO-N'!$I$5)-1)/26,0)*26))),CHAR(COLUMN('ATCO-N'!$I$5)+64)))</f>
        <v>I</v>
      </c>
      <c r="AA1035" s="706" t="str">
        <f>(IF(COLUMN('ATCO-S'!$I$5)&gt;26,(CHAR((ROUNDDOWN((COLUMN('ATCO-S'!$I$5)-1)/26,0))+64))&amp;(CHAR(COLUMN('ATCO-S'!$I$5)+64-(ROUNDDOWN((COLUMN('ATCO-S'!$I$5)-1)/26,0)*26))),CHAR(COLUMN('ATCO-S'!$I$5)+64)))</f>
        <v>I</v>
      </c>
      <c r="AB1035" s="706" t="str">
        <f>(IF(COLUMN(AltaGas!$I$5)&gt;26,(CHAR((ROUNDDOWN((COLUMN(AltaGas!$I$5)-1)/26,0))+64))&amp;(CHAR(COLUMN(AltaGas!$I$5)+64-(ROUNDDOWN((COLUMN(AltaGas!$I$5)-1)/26,0)*26))),CHAR(COLUMN(AltaGas!$I$5)+64)))</f>
        <v>I</v>
      </c>
      <c r="AC1035" s="1493"/>
    </row>
    <row r="1036" spans="1:29" x14ac:dyDescent="0.3">
      <c r="A1036" s="1054" t="s">
        <v>8</v>
      </c>
      <c r="B1036" s="636">
        <f t="shared" ca="1" si="280"/>
        <v>119.15577009103633</v>
      </c>
      <c r="C1036" s="636">
        <f t="shared" ca="1" si="280"/>
        <v>108.84369064183375</v>
      </c>
      <c r="D1036" s="636">
        <f t="shared" ca="1" si="280"/>
        <v>107.48369944109346</v>
      </c>
      <c r="E1036" s="636">
        <f t="shared" ca="1" si="280"/>
        <v>90.07819151223714</v>
      </c>
      <c r="F1036" s="636">
        <f t="shared" ca="1" si="280"/>
        <v>76.831447165351378</v>
      </c>
      <c r="G1036" s="636">
        <f t="shared" ca="1" si="280"/>
        <v>78.758680904470452</v>
      </c>
      <c r="H1036" s="636">
        <f t="shared" ca="1" si="280"/>
        <v>102.17111253719514</v>
      </c>
      <c r="J1036" s="728" t="s">
        <v>8</v>
      </c>
      <c r="K1036" s="1398" t="str">
        <f>(IF(COLUMN(ENMAX!$J$5)&gt;26,(CHAR((ROUNDDOWN((COLUMN(ENMAX!$J$5)-1)/26,0))+64))&amp;(CHAR(COLUMN(ENMAX!$J$5)+64-(ROUNDDOWN((COLUMN(ENMAX!$J$5)-1)/26,0)*26))),CHAR(COLUMN(ENMAX!$J$5)+64)))</f>
        <v>J</v>
      </c>
      <c r="L1036" s="1398" t="str">
        <f>(IF(COLUMN(EPCOR!$J$5)&gt;26,(CHAR((ROUNDDOWN((COLUMN(EPCOR!$J$5)-1)/26,0))+64))&amp;(CHAR(COLUMN(EPCOR!$J$5)+64-(ROUNDDOWN((COLUMN(EPCOR!$J$5)-1)/26,0)*26))),CHAR(COLUMN(EPCOR!$J$5)+64)))</f>
        <v>J</v>
      </c>
      <c r="M1036" s="1398" t="str">
        <f>(IF(COLUMN(FORTIS!$J$5)&gt;26,(CHAR((ROUNDDOWN((COLUMN(FORTIS!$J$5)-1)/26,0))+64))&amp;(CHAR(COLUMN(FORTIS!$J$5)+64-(ROUNDDOWN((COLUMN(FORTIS!$J$5)-1)/26,0)*26))),CHAR(COLUMN(FORTIS!$J$5)+64)))</f>
        <v>J</v>
      </c>
      <c r="N1036" s="1398" t="str">
        <f>(IF(COLUMN(ATCO!$J$5)&gt;26,(CHAR((ROUNDDOWN((COLUMN(ATCO!$J$5)-1)/26,0))+64))&amp;(CHAR(COLUMN(ATCO!$J$5)+64-(ROUNDDOWN((COLUMN(ATCO!$J$5)-1)/26,0)*26))),CHAR(COLUMN(ATCO!$J$5)+64)))</f>
        <v>J</v>
      </c>
      <c r="P1036" s="728" t="s">
        <v>9</v>
      </c>
      <c r="Q1036" s="636">
        <f t="shared" ca="1" si="281"/>
        <v>27.720239282945968</v>
      </c>
      <c r="R1036" s="636">
        <f t="shared" ca="1" si="281"/>
        <v>65.556084160642541</v>
      </c>
      <c r="S1036" s="636">
        <f t="shared" ca="1" si="281"/>
        <v>80.788238575471297</v>
      </c>
      <c r="T1036" s="636">
        <f t="shared" ca="1" si="281"/>
        <v>87.243764202716122</v>
      </c>
      <c r="U1036" s="636">
        <f t="shared" ca="1" si="281"/>
        <v>124.10832428049849</v>
      </c>
      <c r="V1036" s="636">
        <f t="shared" ca="1" si="281"/>
        <v>138.37715781620059</v>
      </c>
      <c r="W1036" s="636">
        <f t="shared" ca="1" si="281"/>
        <v>85.123510630937787</v>
      </c>
      <c r="Y1036" s="728" t="s">
        <v>9</v>
      </c>
      <c r="Z1036" s="706" t="str">
        <f>(IF(COLUMN('ATCO-N'!$J$5)&gt;26,(CHAR((ROUNDDOWN((COLUMN('ATCO-N'!$J$5)-1)/26,0))+64))&amp;(CHAR(COLUMN('ATCO-N'!$J$5)+64-(ROUNDDOWN((COLUMN('ATCO-N'!$J$5)-1)/26,0)*26))),CHAR(COLUMN('ATCO-N'!$J$5)+64)))</f>
        <v>J</v>
      </c>
      <c r="AA1036" s="706" t="str">
        <f>(IF(COLUMN('ATCO-S'!$J$5)&gt;26,(CHAR((ROUNDDOWN((COLUMN('ATCO-S'!$J$5)-1)/26,0))+64))&amp;(CHAR(COLUMN('ATCO-S'!$J$5)+64-(ROUNDDOWN((COLUMN('ATCO-S'!$J$5)-1)/26,0)*26))),CHAR(COLUMN('ATCO-S'!$J$5)+64)))</f>
        <v>J</v>
      </c>
      <c r="AB1036" s="706" t="str">
        <f>(IF(COLUMN(AltaGas!$J$5)&gt;26,(CHAR((ROUNDDOWN((COLUMN(AltaGas!$J$5)-1)/26,0))+64))&amp;(CHAR(COLUMN(AltaGas!$J$5)+64-(ROUNDDOWN((COLUMN(AltaGas!$J$5)-1)/26,0)*26))),CHAR(COLUMN(AltaGas!$J$5)+64)))</f>
        <v>J</v>
      </c>
      <c r="AC1036" s="1493"/>
    </row>
    <row r="1037" spans="1:29" x14ac:dyDescent="0.3">
      <c r="A1037" s="1054" t="s">
        <v>9</v>
      </c>
      <c r="B1037" s="636">
        <f t="shared" ca="1" si="280"/>
        <v>51.725629093645878</v>
      </c>
      <c r="C1037" s="636">
        <f t="shared" ca="1" si="280"/>
        <v>39.137437924928562</v>
      </c>
      <c r="D1037" s="636">
        <f t="shared" ca="1" si="280"/>
        <v>58.416169047761358</v>
      </c>
      <c r="E1037" s="636">
        <f t="shared" ca="1" si="280"/>
        <v>56.530353682660333</v>
      </c>
      <c r="F1037" s="636">
        <f t="shared" ca="1" si="280"/>
        <v>63.484945830489103</v>
      </c>
      <c r="G1037" s="636">
        <f t="shared" ca="1" si="280"/>
        <v>76.501433118987023</v>
      </c>
      <c r="H1037" s="636">
        <f t="shared" ca="1" si="280"/>
        <v>135.96630094396079</v>
      </c>
      <c r="J1037" s="728" t="s">
        <v>9</v>
      </c>
      <c r="K1037" s="1398" t="str">
        <f>(IF(COLUMN(ENMAX!$K$5)&gt;26,(CHAR((ROUNDDOWN((COLUMN(ENMAX!$K$5)-1)/26,0))+64))&amp;(CHAR(COLUMN(ENMAX!$K$5)+64-(ROUNDDOWN((COLUMN(ENMAX!$K$5)-1)/26,0)*26))),CHAR(COLUMN(ENMAX!$K$5)+64)))</f>
        <v>K</v>
      </c>
      <c r="L1037" s="1398" t="str">
        <f>(IF(COLUMN(EPCOR!$K$5)&gt;26,(CHAR((ROUNDDOWN((COLUMN(EPCOR!$K$5)-1)/26,0))+64))&amp;(CHAR(COLUMN(EPCOR!$K$5)+64-(ROUNDDOWN((COLUMN(EPCOR!$K$5)-1)/26,0)*26))),CHAR(COLUMN(EPCOR!$K$5)+64)))</f>
        <v>K</v>
      </c>
      <c r="M1037" s="1398" t="str">
        <f>(IF(COLUMN(FORTIS!$K$5)&gt;26,(CHAR((ROUNDDOWN((COLUMN(FORTIS!$K$5)-1)/26,0))+64))&amp;(CHAR(COLUMN(FORTIS!$K$5)+64-(ROUNDDOWN((COLUMN(FORTIS!$K$5)-1)/26,0)*26))),CHAR(COLUMN(FORTIS!$K$5)+64)))</f>
        <v>K</v>
      </c>
      <c r="N1037" s="1398" t="str">
        <f>(IF(COLUMN(ATCO!$K$5)&gt;26,(CHAR((ROUNDDOWN((COLUMN(ATCO!$K$5)-1)/26,0))+64))&amp;(CHAR(COLUMN(ATCO!$K$5)+64-(ROUNDDOWN((COLUMN(ATCO!$K$5)-1)/26,0)*26))),CHAR(COLUMN(ATCO!$K$5)+64)))</f>
        <v>K</v>
      </c>
      <c r="P1037" s="728" t="s">
        <v>377</v>
      </c>
      <c r="Q1037" s="636">
        <f t="shared" ca="1" si="281"/>
        <v>81.617999999999981</v>
      </c>
      <c r="R1037" s="636">
        <f t="shared" ca="1" si="281"/>
        <v>81.394999999999982</v>
      </c>
      <c r="S1037" s="636">
        <f t="shared" ca="1" si="281"/>
        <v>81.394999999999982</v>
      </c>
      <c r="T1037" s="636">
        <f t="shared" ca="1" si="281"/>
        <v>81.394999999999982</v>
      </c>
      <c r="U1037" s="636">
        <f t="shared" ca="1" si="281"/>
        <v>88.767999999999986</v>
      </c>
      <c r="V1037" s="636">
        <f t="shared" ca="1" si="281"/>
        <v>90.884999999999991</v>
      </c>
      <c r="W1037" s="636">
        <f t="shared" ca="1" si="281"/>
        <v>93.001000000000005</v>
      </c>
      <c r="Y1037" s="728" t="s">
        <v>377</v>
      </c>
      <c r="Z1037" s="706" t="str">
        <f>(IF(COLUMN('ATCO-N'!$K$5)&gt;26,(CHAR((ROUNDDOWN((COLUMN('ATCO-N'!$K$5)-1)/26,0))+64))&amp;(CHAR(COLUMN('ATCO-N'!$K$5)+64-(ROUNDDOWN((COLUMN('ATCO-N'!$K$5)-1)/26,0)*26))),CHAR(COLUMN('ATCO-N'!$K$5)+64)))</f>
        <v>K</v>
      </c>
      <c r="AA1037" s="706" t="str">
        <f>(IF(COLUMN('ATCO-S'!$K$5)&gt;26,(CHAR((ROUNDDOWN((COLUMN('ATCO-S'!$K$5)-1)/26,0))+64))&amp;(CHAR(COLUMN('ATCO-S'!$K$5)+64-(ROUNDDOWN((COLUMN('ATCO-S'!$K$5)-1)/26,0)*26))),CHAR(COLUMN('ATCO-S'!$K$5)+64)))</f>
        <v>K</v>
      </c>
      <c r="AB1037" s="706" t="str">
        <f>(IF(COLUMN(AltaGas!$K$5)&gt;26,(CHAR((ROUNDDOWN((COLUMN(AltaGas!$K$5)-1)/26,0))+64))&amp;(CHAR(COLUMN(AltaGas!$K$5)+64-(ROUNDDOWN((COLUMN(AltaGas!$K$5)-1)/26,0)*26))),CHAR(COLUMN(AltaGas!$K$5)+64)))</f>
        <v>K</v>
      </c>
      <c r="AC1037" s="1493"/>
    </row>
    <row r="1038" spans="1:29" x14ac:dyDescent="0.3">
      <c r="A1038" s="1054" t="s">
        <v>377</v>
      </c>
      <c r="B1038" s="636">
        <f t="shared" ca="1" si="280"/>
        <v>85.534199999999984</v>
      </c>
      <c r="C1038" s="636">
        <f t="shared" ca="1" si="280"/>
        <v>85.3005</v>
      </c>
      <c r="D1038" s="636">
        <f t="shared" ca="1" si="280"/>
        <v>85.3005</v>
      </c>
      <c r="E1038" s="636">
        <f t="shared" ca="1" si="280"/>
        <v>83.621499999999997</v>
      </c>
      <c r="F1038" s="636">
        <f t="shared" ca="1" si="280"/>
        <v>82.465899999999991</v>
      </c>
      <c r="G1038" s="636">
        <f t="shared" ca="1" si="280"/>
        <v>75.335999999999999</v>
      </c>
      <c r="H1038" s="636">
        <f t="shared" ca="1" si="280"/>
        <v>75.335999999999999</v>
      </c>
      <c r="J1038" s="728" t="s">
        <v>377</v>
      </c>
      <c r="K1038" s="1398" t="str">
        <f>(IF(COLUMN(ENMAX!$L$5)&gt;26,(CHAR((ROUNDDOWN((COLUMN(ENMAX!$L$5)-1)/26,0))+64))&amp;(CHAR(COLUMN(ENMAX!$L$5)+64-(ROUNDDOWN((COLUMN(ENMAX!$L$5)-1)/26,0)*26))),CHAR(COLUMN(ENMAX!$L$5)+64)))</f>
        <v>L</v>
      </c>
      <c r="L1038" s="1398" t="str">
        <f>(IF(COLUMN(EPCOR!$L$5)&gt;26,(CHAR((ROUNDDOWN((COLUMN(EPCOR!$L$5)-1)/26,0))+64))&amp;(CHAR(COLUMN(EPCOR!$L$5)+64-(ROUNDDOWN((COLUMN(EPCOR!$L$5)-1)/26,0)*26))),CHAR(COLUMN(EPCOR!$L$5)+64)))</f>
        <v>L</v>
      </c>
      <c r="M1038" s="1398" t="str">
        <f>(IF(COLUMN(FORTIS!$L$5)&gt;26,(CHAR((ROUNDDOWN((COLUMN(FORTIS!$L$5)-1)/26,0))+64))&amp;(CHAR(COLUMN(FORTIS!$L$5)+64-(ROUNDDOWN((COLUMN(FORTIS!$L$5)-1)/26,0)*26))),CHAR(COLUMN(FORTIS!$L$5)+64)))</f>
        <v>L</v>
      </c>
      <c r="N1038" s="1398" t="str">
        <f>(IF(COLUMN(ATCO!$L$5)&gt;26,(CHAR((ROUNDDOWN((COLUMN(ATCO!$L$5)-1)/26,0))+64))&amp;(CHAR(COLUMN(ATCO!$L$5)+64-(ROUNDDOWN((COLUMN(ATCO!$L$5)-1)/26,0)*26))),CHAR(COLUMN(ATCO!$L$5)+64)))</f>
        <v>L</v>
      </c>
      <c r="P1038" s="728" t="s">
        <v>576</v>
      </c>
      <c r="Q1038" s="636">
        <f t="shared" ca="1" si="281"/>
        <v>0</v>
      </c>
      <c r="R1038" s="636">
        <f t="shared" ca="1" si="281"/>
        <v>0</v>
      </c>
      <c r="S1038" s="636">
        <f t="shared" ca="1" si="281"/>
        <v>0</v>
      </c>
      <c r="T1038" s="636">
        <f t="shared" ca="1" si="281"/>
        <v>0</v>
      </c>
      <c r="U1038" s="636">
        <f t="shared" ca="1" si="281"/>
        <v>0</v>
      </c>
      <c r="V1038" s="636">
        <f t="shared" ca="1" si="281"/>
        <v>131.56459569134475</v>
      </c>
      <c r="W1038" s="636">
        <f t="shared" ca="1" si="281"/>
        <v>204.60921543139671</v>
      </c>
      <c r="Y1038" s="728" t="s">
        <v>576</v>
      </c>
      <c r="Z1038" s="706" t="str">
        <f>(IF(COLUMN('ATCO-N'!$L$5)&gt;26,(CHAR((ROUNDDOWN((COLUMN('ATCO-N'!$L$5)-1)/26,0))+64))&amp;(CHAR(COLUMN('ATCO-N'!$L$5)+64-(ROUNDDOWN((COLUMN('ATCO-N'!$L$5)-1)/26,0)*26))),CHAR(COLUMN('ATCO-N'!$L$5)+64)))</f>
        <v>L</v>
      </c>
      <c r="AA1038" s="706" t="str">
        <f>(IF(COLUMN('ATCO-S'!$L$5)&gt;26,(CHAR((ROUNDDOWN((COLUMN('ATCO-S'!$L$5)-1)/26,0))+64))&amp;(CHAR(COLUMN('ATCO-S'!$L$5)+64-(ROUNDDOWN((COLUMN('ATCO-S'!$L$5)-1)/26,0)*26))),CHAR(COLUMN('ATCO-S'!$L$5)+64)))</f>
        <v>L</v>
      </c>
      <c r="AB1038" s="706" t="str">
        <f>(IF(COLUMN(AltaGas!$L$5)&gt;26,(CHAR((ROUNDDOWN((COLUMN(AltaGas!$L$5)-1)/26,0))+64))&amp;(CHAR(COLUMN(AltaGas!$L$5)+64-(ROUNDDOWN((COLUMN(AltaGas!$L$5)-1)/26,0)*26))),CHAR(COLUMN(AltaGas!$L$5)+64)))</f>
        <v>L</v>
      </c>
      <c r="AC1038" s="1493"/>
    </row>
    <row r="1039" spans="1:29" x14ac:dyDescent="0.3">
      <c r="A1039" s="1054" t="s">
        <v>21</v>
      </c>
      <c r="B1039" s="636">
        <f t="shared" ca="1" si="280"/>
        <v>63.859957591426856</v>
      </c>
      <c r="C1039" s="636">
        <f t="shared" ca="1" si="280"/>
        <v>58.691768776841329</v>
      </c>
      <c r="D1039" s="636">
        <f t="shared" ca="1" si="280"/>
        <v>58.011711970746596</v>
      </c>
      <c r="E1039" s="636">
        <f t="shared" ca="1" si="280"/>
        <v>49.224224680129019</v>
      </c>
      <c r="F1039" s="636">
        <f t="shared" ca="1" si="280"/>
        <v>42.542476343574222</v>
      </c>
      <c r="G1039" s="636">
        <f t="shared" ca="1" si="280"/>
        <v>43.14968494732544</v>
      </c>
      <c r="H1039" s="636">
        <f t="shared" ca="1" si="280"/>
        <v>54.856954428477749</v>
      </c>
      <c r="J1039" s="728" t="s">
        <v>21</v>
      </c>
      <c r="K1039" s="1398" t="str">
        <f>(IF(COLUMN(ENMAX!$M$5)&gt;26,(CHAR((ROUNDDOWN((COLUMN(ENMAX!$M$5)-1)/26,0))+64))&amp;(CHAR(COLUMN(ENMAX!$M$5)+64-(ROUNDDOWN((COLUMN(ENMAX!$M$5)-1)/26,0)*26))),CHAR(COLUMN(ENMAX!$M$5)+64)))</f>
        <v>M</v>
      </c>
      <c r="L1039" s="1398" t="str">
        <f>(IF(COLUMN(EPCOR!$M$5)&gt;26,(CHAR((ROUNDDOWN((COLUMN(EPCOR!$M$5)-1)/26,0))+64))&amp;(CHAR(COLUMN(EPCOR!$M$5)+64-(ROUNDDOWN((COLUMN(EPCOR!$M$5)-1)/26,0)*26))),CHAR(COLUMN(EPCOR!$M$5)+64)))</f>
        <v>M</v>
      </c>
      <c r="M1039" s="1398" t="str">
        <f>(IF(COLUMN(FORTIS!$M$5)&gt;26,(CHAR((ROUNDDOWN((COLUMN(FORTIS!$M$5)-1)/26,0))+64))&amp;(CHAR(COLUMN(FORTIS!$M$5)+64-(ROUNDDOWN((COLUMN(FORTIS!$M$5)-1)/26,0)*26))),CHAR(COLUMN(FORTIS!$M$5)+64)))</f>
        <v>M</v>
      </c>
      <c r="N1039" s="1398" t="str">
        <f>(IF(COLUMN(ATCO!$M$5)&gt;26,(CHAR((ROUNDDOWN((COLUMN(ATCO!$M$5)-1)/26,0))+64))&amp;(CHAR(COLUMN(ATCO!$M$5)+64-(ROUNDDOWN((COLUMN(ATCO!$M$5)-1)/26,0)*26))),CHAR(COLUMN(ATCO!$M$5)+64)))</f>
        <v>M</v>
      </c>
      <c r="P1039" s="728" t="s">
        <v>21</v>
      </c>
      <c r="Q1039" s="636">
        <f t="shared" ca="1" si="281"/>
        <v>41.865618711418939</v>
      </c>
      <c r="R1039" s="636">
        <f t="shared" ca="1" si="281"/>
        <v>50.578300960346077</v>
      </c>
      <c r="S1039" s="636">
        <f t="shared" ca="1" si="281"/>
        <v>67.434125370297849</v>
      </c>
      <c r="T1039" s="636">
        <f t="shared" ca="1" si="281"/>
        <v>48.582836787132756</v>
      </c>
      <c r="U1039" s="636">
        <f t="shared" ca="1" si="281"/>
        <v>47.926352982762069</v>
      </c>
      <c r="V1039" s="636">
        <f t="shared" ca="1" si="281"/>
        <v>58.111805000936187</v>
      </c>
      <c r="W1039" s="636">
        <f t="shared" ca="1" si="281"/>
        <v>55.163068251043818</v>
      </c>
      <c r="Y1039" s="728" t="s">
        <v>21</v>
      </c>
      <c r="Z1039" s="706" t="str">
        <f>(IF(COLUMN('ATCO-N'!$M$5)&gt;26,(CHAR((ROUNDDOWN((COLUMN('ATCO-N'!$M$5)-1)/26,0))+64))&amp;(CHAR(COLUMN('ATCO-N'!$M$5)+64-(ROUNDDOWN((COLUMN('ATCO-N'!$M$5)-1)/26,0)*26))),CHAR(COLUMN('ATCO-N'!$M$5)+64)))</f>
        <v>M</v>
      </c>
      <c r="AA1039" s="706" t="str">
        <f>(IF(COLUMN('ATCO-S'!$M$5)&gt;26,(CHAR((ROUNDDOWN((COLUMN('ATCO-S'!$M$5)-1)/26,0))+64))&amp;(CHAR(COLUMN('ATCO-S'!$M$5)+64-(ROUNDDOWN((COLUMN('ATCO-S'!$M$5)-1)/26,0)*26))),CHAR(COLUMN('ATCO-S'!$M$5)+64)))</f>
        <v>M</v>
      </c>
      <c r="AB1039" s="706" t="str">
        <f>(IF(COLUMN(AltaGas!$M$5)&gt;26,(CHAR((ROUNDDOWN((COLUMN(AltaGas!$M$5)-1)/26,0))+64))&amp;(CHAR(COLUMN(AltaGas!$M$5)+64-(ROUNDDOWN((COLUMN(AltaGas!$M$5)-1)/26,0)*26))),CHAR(COLUMN(AltaGas!$M$5)+64)))</f>
        <v>M</v>
      </c>
      <c r="AC1039" s="1493"/>
    </row>
    <row r="1040" spans="1:29" ht="14.5" thickBot="1" x14ac:dyDescent="0.35">
      <c r="A1040" s="1055" t="s">
        <v>70</v>
      </c>
      <c r="B1040" s="730">
        <f ca="1">SUM(B$1033:B$1039)</f>
        <v>1341.0591094199638</v>
      </c>
      <c r="C1040" s="730">
        <f t="shared" ref="C1040:H1040" ca="1" si="282">SUM(C$1033:C$1039)</f>
        <v>1232.527144313668</v>
      </c>
      <c r="D1040" s="730">
        <f t="shared" ca="1" si="282"/>
        <v>1218.2459513856786</v>
      </c>
      <c r="E1040" s="730">
        <f t="shared" ca="1" si="282"/>
        <v>1033.7087182827095</v>
      </c>
      <c r="F1040" s="730">
        <f t="shared" ca="1" si="282"/>
        <v>893.39200321505848</v>
      </c>
      <c r="G1040" s="730">
        <f t="shared" ca="1" si="282"/>
        <v>906.1433838938342</v>
      </c>
      <c r="H1040" s="730">
        <f t="shared" ca="1" si="282"/>
        <v>1151.9960429980324</v>
      </c>
      <c r="I1040" s="1374"/>
      <c r="J1040" s="1374"/>
      <c r="K1040" s="1374"/>
      <c r="L1040" s="589"/>
      <c r="M1040" s="1374"/>
      <c r="N1040" s="1374"/>
      <c r="P1040" s="729" t="s">
        <v>70</v>
      </c>
      <c r="Q1040" s="730">
        <f t="shared" ref="Q1040:W1040" ca="1" si="283">SUM(Q$1033:Q$1039)</f>
        <v>879.1779929397976</v>
      </c>
      <c r="R1040" s="730">
        <f t="shared" ca="1" si="283"/>
        <v>1062.1443201672678</v>
      </c>
      <c r="S1040" s="730">
        <f t="shared" ca="1" si="283"/>
        <v>1416.1166327762548</v>
      </c>
      <c r="T1040" s="730">
        <f t="shared" ca="1" si="283"/>
        <v>1020.239572529788</v>
      </c>
      <c r="U1040" s="730">
        <f t="shared" ca="1" si="283"/>
        <v>1006.4534126380034</v>
      </c>
      <c r="V1040" s="730">
        <f t="shared" ca="1" si="283"/>
        <v>1220.3479050196599</v>
      </c>
      <c r="W1040" s="730">
        <f t="shared" ca="1" si="283"/>
        <v>1158.4244332719202</v>
      </c>
      <c r="X1040" s="1540"/>
      <c r="Y1040" s="1540"/>
      <c r="Z1040" s="1540"/>
      <c r="AA1040" s="1540"/>
      <c r="AB1040" s="1540"/>
      <c r="AC1040" s="1493"/>
    </row>
    <row r="1041" spans="1:29" x14ac:dyDescent="0.3">
      <c r="A1041" s="1056" t="s">
        <v>454</v>
      </c>
      <c r="B1041" s="732">
        <f>7</f>
        <v>7</v>
      </c>
      <c r="C1041" s="732">
        <f>B1042+1</f>
        <v>19</v>
      </c>
      <c r="D1041" s="732">
        <f t="shared" ref="D1041:E1041" si="284">C1042+1</f>
        <v>31</v>
      </c>
      <c r="E1041" s="732">
        <f t="shared" si="284"/>
        <v>43</v>
      </c>
      <c r="F1041" s="732">
        <f t="shared" ref="F1041" si="285">E1042+1</f>
        <v>55</v>
      </c>
      <c r="G1041" s="732">
        <f t="shared" ref="G1041:H1041" si="286">F1042+1</f>
        <v>67</v>
      </c>
      <c r="H1041" s="732">
        <f t="shared" si="286"/>
        <v>79</v>
      </c>
      <c r="I1041" s="1374"/>
      <c r="J1041" s="1374"/>
      <c r="K1041" s="1374"/>
      <c r="L1041" s="589"/>
      <c r="M1041" s="1374"/>
      <c r="N1041" s="1374"/>
      <c r="P1041" s="731" t="s">
        <v>454</v>
      </c>
      <c r="Q1041" s="732">
        <v>7</v>
      </c>
      <c r="R1041" s="732">
        <f>Q1042+1</f>
        <v>19</v>
      </c>
      <c r="S1041" s="732">
        <f t="shared" ref="S1041:T1041" si="287">R1042+1</f>
        <v>31</v>
      </c>
      <c r="T1041" s="732">
        <f t="shared" si="287"/>
        <v>43</v>
      </c>
      <c r="U1041" s="732">
        <f t="shared" ref="U1041" si="288">T1042+1</f>
        <v>55</v>
      </c>
      <c r="V1041" s="732">
        <f>U1042+1</f>
        <v>67</v>
      </c>
      <c r="W1041" s="732">
        <f>V1042+1</f>
        <v>79</v>
      </c>
      <c r="X1041" s="589"/>
      <c r="Y1041" s="589"/>
      <c r="Z1041" s="1540"/>
      <c r="AA1041" s="1540"/>
      <c r="AB1041" s="1540"/>
      <c r="AC1041" s="1493"/>
    </row>
    <row r="1042" spans="1:29" x14ac:dyDescent="0.3">
      <c r="A1042" s="1057" t="s">
        <v>455</v>
      </c>
      <c r="B1042" s="636">
        <f>B1041+11</f>
        <v>18</v>
      </c>
      <c r="C1042" s="636">
        <f t="shared" ref="C1042:E1042" si="289">C1041+11</f>
        <v>30</v>
      </c>
      <c r="D1042" s="636">
        <f t="shared" si="289"/>
        <v>42</v>
      </c>
      <c r="E1042" s="636">
        <f t="shared" si="289"/>
        <v>54</v>
      </c>
      <c r="F1042" s="636">
        <f t="shared" ref="F1042:G1042" si="290">F1041+11</f>
        <v>66</v>
      </c>
      <c r="G1042" s="636">
        <f t="shared" si="290"/>
        <v>78</v>
      </c>
      <c r="H1042" s="636">
        <f>H1041+11</f>
        <v>90</v>
      </c>
      <c r="I1042" s="1374"/>
      <c r="J1042" s="1374"/>
      <c r="K1042" s="1374"/>
      <c r="L1042" s="589"/>
      <c r="M1042" s="1374"/>
      <c r="N1042" s="1374"/>
      <c r="P1042" s="733" t="s">
        <v>455</v>
      </c>
      <c r="Q1042" s="636">
        <f>Q1041+11</f>
        <v>18</v>
      </c>
      <c r="R1042" s="636">
        <f t="shared" ref="R1042" si="291">R1041+11</f>
        <v>30</v>
      </c>
      <c r="S1042" s="636">
        <f t="shared" ref="S1042" si="292">S1041+11</f>
        <v>42</v>
      </c>
      <c r="T1042" s="636">
        <f t="shared" ref="T1042:U1042" si="293">T1041+11</f>
        <v>54</v>
      </c>
      <c r="U1042" s="636">
        <f t="shared" si="293"/>
        <v>66</v>
      </c>
      <c r="V1042" s="636">
        <f>V1041+11</f>
        <v>78</v>
      </c>
      <c r="W1042" s="636">
        <f>W1041+11</f>
        <v>90</v>
      </c>
      <c r="X1042" s="589"/>
      <c r="Y1042" s="589"/>
      <c r="Z1042" s="1540"/>
      <c r="AA1042" s="1540"/>
      <c r="AB1042" s="1540"/>
      <c r="AC1042" s="1493"/>
    </row>
    <row r="1043" spans="1:29" x14ac:dyDescent="0.3">
      <c r="A1043" s="1058"/>
      <c r="B1043" s="335"/>
      <c r="C1043" s="335"/>
      <c r="D1043" s="335"/>
      <c r="E1043" s="335"/>
      <c r="F1043" s="335"/>
      <c r="G1043" s="1374"/>
      <c r="H1043" s="1374"/>
      <c r="I1043" s="1374"/>
      <c r="J1043" s="1374"/>
      <c r="K1043" s="1374"/>
      <c r="L1043" s="589"/>
      <c r="M1043" s="1374"/>
      <c r="N1043" s="1374"/>
      <c r="W1043" s="589"/>
      <c r="X1043" s="589"/>
      <c r="Y1043" s="589"/>
      <c r="Z1043" s="1540"/>
      <c r="AA1043" s="1540"/>
      <c r="AB1043" s="1540"/>
      <c r="AC1043" s="1493"/>
    </row>
    <row r="1044" spans="1:29" x14ac:dyDescent="0.3">
      <c r="A1044" s="2706" t="s">
        <v>456</v>
      </c>
      <c r="B1044" s="2706"/>
      <c r="C1044" s="2706"/>
      <c r="D1044" s="2706"/>
      <c r="E1044" s="2706"/>
      <c r="F1044" s="2706"/>
      <c r="G1044" s="2706"/>
      <c r="H1044" s="2706"/>
      <c r="I1044" s="1374"/>
      <c r="J1044" s="1374"/>
      <c r="K1044" s="1374"/>
      <c r="L1044" s="589"/>
      <c r="M1044" s="1374"/>
      <c r="N1044" s="1374"/>
      <c r="W1044" s="589"/>
      <c r="X1044" s="589"/>
      <c r="Y1044" s="589"/>
      <c r="Z1044" s="1540"/>
      <c r="AA1044" s="1540"/>
      <c r="AB1044" s="1540"/>
      <c r="AC1044" s="1493"/>
    </row>
    <row r="1045" spans="1:29" x14ac:dyDescent="0.3">
      <c r="A1045" s="1553"/>
      <c r="B1045" s="602">
        <v>2012</v>
      </c>
      <c r="C1045" s="602">
        <v>2013</v>
      </c>
      <c r="D1045" s="602">
        <v>2014</v>
      </c>
      <c r="E1045" s="602">
        <v>2015</v>
      </c>
      <c r="F1045" s="602">
        <v>2016</v>
      </c>
      <c r="G1045" s="602">
        <v>2017</v>
      </c>
      <c r="H1045" s="602">
        <v>2018</v>
      </c>
      <c r="I1045" s="1374"/>
      <c r="J1045" s="1374"/>
      <c r="K1045" s="1374"/>
      <c r="L1045" s="589"/>
      <c r="M1045" s="1374"/>
      <c r="N1045" s="1374"/>
      <c r="W1045" s="589"/>
      <c r="X1045" s="589"/>
      <c r="Y1045" s="589"/>
      <c r="Z1045" s="1540"/>
      <c r="AA1045" s="1540"/>
      <c r="AB1045" s="1540"/>
      <c r="AC1045" s="1493"/>
    </row>
    <row r="1046" spans="1:29" x14ac:dyDescent="0.3">
      <c r="A1046" s="1054" t="s">
        <v>375</v>
      </c>
      <c r="B1046" s="735">
        <f ca="1">B1033/B$1040</f>
        <v>0.52435149647405932</v>
      </c>
      <c r="C1046" s="735">
        <f t="shared" ref="C1046:D1046" ca="1" si="294">C1033/C$1040</f>
        <v>0.50646391574167471</v>
      </c>
      <c r="D1046" s="735">
        <f t="shared" ca="1" si="294"/>
        <v>0.45589091392211067</v>
      </c>
      <c r="E1046" s="735">
        <f ca="1">E1033/E$1040</f>
        <v>0.38777103566908078</v>
      </c>
      <c r="F1046" s="735">
        <f t="shared" ref="F1046:G1046" ca="1" si="295">F1033/F$1040</f>
        <v>0.31241370713884853</v>
      </c>
      <c r="G1046" s="735">
        <f t="shared" ca="1" si="295"/>
        <v>0.27810534878361126</v>
      </c>
      <c r="H1046" s="735">
        <f ca="1">H1033/H$1040</f>
        <v>0.34858979081368757</v>
      </c>
      <c r="I1046" s="1374"/>
      <c r="J1046" s="1374"/>
      <c r="K1046" s="1374"/>
      <c r="L1046" s="589"/>
      <c r="M1046" s="1374"/>
      <c r="N1046" s="1374"/>
      <c r="W1046" s="589"/>
      <c r="X1046" s="589"/>
      <c r="Y1046" s="589"/>
      <c r="Z1046" s="1540"/>
      <c r="AA1046" s="1540"/>
      <c r="AB1046" s="1540"/>
      <c r="AC1046" s="1493"/>
    </row>
    <row r="1047" spans="1:29" x14ac:dyDescent="0.3">
      <c r="A1047" s="1054" t="s">
        <v>58</v>
      </c>
      <c r="B1047" s="735">
        <f t="shared" ref="B1047:E1052" ca="1" si="296">B1034/B$1040</f>
        <v>0.10536850028211375</v>
      </c>
      <c r="C1047" s="735">
        <f t="shared" ca="1" si="296"/>
        <v>0.11409093448817398</v>
      </c>
      <c r="D1047" s="735">
        <f t="shared" ca="1" si="296"/>
        <v>0.11513884451689221</v>
      </c>
      <c r="E1047" s="735">
        <f t="shared" ca="1" si="296"/>
        <v>0.13102138374062883</v>
      </c>
      <c r="F1047" s="735">
        <f t="shared" ref="F1047:G1047" ca="1" si="297">F1034/F$1040</f>
        <v>0.14785053366457426</v>
      </c>
      <c r="G1047" s="735">
        <f t="shared" ca="1" si="297"/>
        <v>0.14417872725141972</v>
      </c>
      <c r="H1047" s="735">
        <f t="shared" ref="H1047" ca="1" si="298">H1034/H$1040</f>
        <v>0.11213689563241615</v>
      </c>
      <c r="I1047" s="1374"/>
      <c r="J1047" s="1374"/>
      <c r="K1047" s="1374"/>
      <c r="L1047" s="589"/>
      <c r="M1047" s="1374"/>
      <c r="N1047" s="1374"/>
      <c r="W1047" s="589"/>
      <c r="X1047" s="589"/>
      <c r="Y1047" s="589"/>
      <c r="Z1047" s="1540"/>
      <c r="AA1047" s="1540"/>
      <c r="AB1047" s="1540"/>
      <c r="AC1047" s="1493"/>
    </row>
    <row r="1048" spans="1:29" x14ac:dyDescent="0.3">
      <c r="A1048" s="1054" t="s">
        <v>376</v>
      </c>
      <c r="B1048" s="735">
        <f t="shared" ca="1" si="296"/>
        <v>0.13145715455176973</v>
      </c>
      <c r="C1048" s="735">
        <f t="shared" ca="1" si="296"/>
        <v>0.14255511559066966</v>
      </c>
      <c r="D1048" s="735">
        <f t="shared" ca="1" si="296"/>
        <v>0.17515279188436</v>
      </c>
      <c r="E1048" s="735">
        <f t="shared" ca="1" si="296"/>
        <v>0.21086617306179314</v>
      </c>
      <c r="F1048" s="735">
        <f t="shared" ref="F1048:G1048" ca="1" si="299">F1035/F$1040</f>
        <v>0.24274992499995593</v>
      </c>
      <c r="G1048" s="735">
        <f t="shared" ca="1" si="299"/>
        <v>0.27561605341859241</v>
      </c>
      <c r="H1048" s="735">
        <f t="shared" ref="H1048" ca="1" si="300">H1035/H$1040</f>
        <v>0.21954099316235587</v>
      </c>
      <c r="I1048" s="1374"/>
      <c r="J1048" s="1374"/>
      <c r="K1048" s="1374"/>
      <c r="L1048" s="589"/>
      <c r="M1048" s="1374"/>
      <c r="N1048" s="1374"/>
      <c r="P1048" s="2706" t="s">
        <v>456</v>
      </c>
      <c r="Q1048" s="2706"/>
      <c r="R1048" s="2706"/>
      <c r="S1048" s="2706"/>
      <c r="T1048" s="2706"/>
      <c r="U1048" s="2706"/>
      <c r="V1048" s="2706"/>
      <c r="W1048" s="2706"/>
      <c r="X1048" s="589"/>
      <c r="Y1048" s="589"/>
      <c r="Z1048" s="1540"/>
      <c r="AA1048" s="1540"/>
      <c r="AB1048" s="1540"/>
      <c r="AC1048" s="1493"/>
    </row>
    <row r="1049" spans="1:29" x14ac:dyDescent="0.3">
      <c r="A1049" s="1054" t="s">
        <v>8</v>
      </c>
      <c r="B1049" s="735">
        <f t="shared" ca="1" si="296"/>
        <v>8.8851989635694517E-2</v>
      </c>
      <c r="C1049" s="735">
        <f ca="1">C1036/C$1040</f>
        <v>8.8309365959192143E-2</v>
      </c>
      <c r="D1049" s="735">
        <f ca="1">D1036/D$1040</f>
        <v>8.8228242678613025E-2</v>
      </c>
      <c r="E1049" s="735">
        <f t="shared" ca="1" si="296"/>
        <v>8.7140787263440309E-2</v>
      </c>
      <c r="F1049" s="735">
        <f t="shared" ref="F1049:G1049" ca="1" si="301">F1036/F$1040</f>
        <v>8.5999703253283336E-2</v>
      </c>
      <c r="G1049" s="735">
        <f t="shared" ca="1" si="301"/>
        <v>8.6916355959067507E-2</v>
      </c>
      <c r="H1049" s="735">
        <f t="shared" ref="H1049" ca="1" si="302">H1036/H$1040</f>
        <v>8.8690506498006819E-2</v>
      </c>
      <c r="I1049" s="1374"/>
      <c r="J1049" s="1374"/>
      <c r="K1049" s="1374"/>
      <c r="L1049" s="589"/>
      <c r="M1049" s="1374"/>
      <c r="N1049" s="1374"/>
      <c r="P1049" s="726"/>
      <c r="Q1049" s="606">
        <v>2012</v>
      </c>
      <c r="R1049" s="606">
        <v>2013</v>
      </c>
      <c r="S1049" s="606">
        <v>2014</v>
      </c>
      <c r="T1049" s="606">
        <v>2015</v>
      </c>
      <c r="U1049" s="606">
        <v>2016</v>
      </c>
      <c r="V1049" s="606">
        <v>2017</v>
      </c>
      <c r="W1049" s="606">
        <v>2018</v>
      </c>
      <c r="X1049" s="589"/>
      <c r="Y1049" s="589"/>
      <c r="Z1049" s="1540"/>
      <c r="AA1049" s="1540"/>
      <c r="AB1049" s="1540"/>
      <c r="AC1049" s="1493"/>
    </row>
    <row r="1050" spans="1:29" x14ac:dyDescent="0.3">
      <c r="A1050" s="1054" t="s">
        <v>9</v>
      </c>
      <c r="B1050" s="735">
        <f t="shared" ca="1" si="296"/>
        <v>3.8570730201458681E-2</v>
      </c>
      <c r="C1050" s="735">
        <f t="shared" ca="1" si="296"/>
        <v>3.1753814190211789E-2</v>
      </c>
      <c r="D1050" s="735">
        <f t="shared" ca="1" si="296"/>
        <v>4.7951047143901131E-2</v>
      </c>
      <c r="E1050" s="735">
        <f t="shared" ca="1" si="296"/>
        <v>5.4686927451452358E-2</v>
      </c>
      <c r="F1050" s="735">
        <f t="shared" ref="F1050:G1050" ca="1" si="303">F1037/F$1040</f>
        <v>7.1060570949846441E-2</v>
      </c>
      <c r="G1050" s="735">
        <f t="shared" ca="1" si="303"/>
        <v>8.4425306721601687E-2</v>
      </c>
      <c r="H1050" s="735">
        <f t="shared" ref="H1050" ca="1" si="304">H1037/H$1040</f>
        <v>0.11802670831239394</v>
      </c>
      <c r="I1050" s="1374"/>
      <c r="J1050" s="1374"/>
      <c r="K1050" s="1374"/>
      <c r="L1050" s="589"/>
      <c r="M1050" s="1374"/>
      <c r="N1050" s="1374"/>
      <c r="P1050" s="728" t="s">
        <v>375</v>
      </c>
      <c r="Q1050" s="735">
        <f t="shared" ref="Q1050:W1056" ca="1" si="305">Q1033/Q$1040</f>
        <v>0.3728420450062353</v>
      </c>
      <c r="R1050" s="735">
        <f t="shared" ca="1" si="305"/>
        <v>0.38053032953300642</v>
      </c>
      <c r="S1050" s="735">
        <f t="shared" ca="1" si="305"/>
        <v>0.47942963970226438</v>
      </c>
      <c r="T1050" s="735">
        <f t="shared" ca="1" si="305"/>
        <v>0.31811312796705077</v>
      </c>
      <c r="U1050" s="735">
        <f t="shared" ca="1" si="305"/>
        <v>0.2693229834334071</v>
      </c>
      <c r="V1050" s="735">
        <f t="shared" ca="1" si="305"/>
        <v>0.24759894224681028</v>
      </c>
      <c r="W1050" s="735">
        <f t="shared" ca="1" si="305"/>
        <v>0.21496398502489014</v>
      </c>
      <c r="X1050" s="589"/>
      <c r="Y1050" s="589"/>
      <c r="Z1050" s="1540"/>
      <c r="AA1050" s="1540"/>
      <c r="AB1050" s="1540"/>
      <c r="AC1050" s="1493"/>
    </row>
    <row r="1051" spans="1:29" x14ac:dyDescent="0.3">
      <c r="A1051" s="1054" t="s">
        <v>377</v>
      </c>
      <c r="B1051" s="735">
        <f t="shared" ca="1" si="296"/>
        <v>6.3781081235856435E-2</v>
      </c>
      <c r="C1051" s="735">
        <f t="shared" ca="1" si="296"/>
        <v>6.9207806411030026E-2</v>
      </c>
      <c r="D1051" s="735">
        <f t="shared" ca="1" si="296"/>
        <v>7.001911223507537E-2</v>
      </c>
      <c r="E1051" s="735">
        <f t="shared" ca="1" si="296"/>
        <v>8.0894645194556941E-2</v>
      </c>
      <c r="F1051" s="735">
        <f t="shared" ref="F1051:G1051" ca="1" si="306">F1038/F$1040</f>
        <v>9.2306512374443872E-2</v>
      </c>
      <c r="G1051" s="735">
        <f t="shared" ca="1" si="306"/>
        <v>8.3139160246659738E-2</v>
      </c>
      <c r="H1051" s="735">
        <f t="shared" ref="H1051" ca="1" si="307">H1038/H$1040</f>
        <v>6.5396057962092038E-2</v>
      </c>
      <c r="I1051" s="1374"/>
      <c r="J1051" s="1374"/>
      <c r="K1051" s="1374"/>
      <c r="L1051" s="589"/>
      <c r="M1051" s="1374"/>
      <c r="N1051" s="1374"/>
      <c r="P1051" s="728" t="s">
        <v>376</v>
      </c>
      <c r="Q1051" s="735">
        <f t="shared" ca="1" si="305"/>
        <v>0.36922782489398914</v>
      </c>
      <c r="R1051" s="735">
        <f t="shared" ca="1" si="305"/>
        <v>0.34593046312741332</v>
      </c>
      <c r="S1051" s="735">
        <f t="shared" ca="1" si="305"/>
        <v>0.26894228056382452</v>
      </c>
      <c r="T1051" s="735">
        <f t="shared" ca="1" si="305"/>
        <v>0.38172231228252146</v>
      </c>
      <c r="U1051" s="735">
        <f t="shared" ca="1" si="305"/>
        <v>0.38513617885664769</v>
      </c>
      <c r="V1051" s="735">
        <f t="shared" ca="1" si="305"/>
        <v>0.33210390423790936</v>
      </c>
      <c r="W1051" s="735">
        <f t="shared" ca="1" si="305"/>
        <v>0.33748445835339935</v>
      </c>
      <c r="X1051" s="589"/>
      <c r="Y1051" s="589"/>
      <c r="Z1051" s="1540"/>
      <c r="AA1051" s="1540"/>
      <c r="AB1051" s="1540"/>
      <c r="AC1051" s="1493"/>
    </row>
    <row r="1052" spans="1:29" x14ac:dyDescent="0.3">
      <c r="A1052" s="1054" t="s">
        <v>21</v>
      </c>
      <c r="B1052" s="735">
        <f t="shared" ca="1" si="296"/>
        <v>4.7619047619047623E-2</v>
      </c>
      <c r="C1052" s="735">
        <f t="shared" ca="1" si="296"/>
        <v>4.7619047619047616E-2</v>
      </c>
      <c r="D1052" s="735">
        <f t="shared" ca="1" si="296"/>
        <v>4.7619047619047616E-2</v>
      </c>
      <c r="E1052" s="735">
        <f t="shared" ca="1" si="296"/>
        <v>4.7619047619047616E-2</v>
      </c>
      <c r="F1052" s="735">
        <f t="shared" ref="F1052:G1052" ca="1" si="308">F1039/F$1040</f>
        <v>4.761904761904763E-2</v>
      </c>
      <c r="G1052" s="735">
        <f t="shared" ca="1" si="308"/>
        <v>4.7619047619047623E-2</v>
      </c>
      <c r="H1052" s="735">
        <f t="shared" ref="H1052" ca="1" si="309">H1039/H$1040</f>
        <v>4.761904761904763E-2</v>
      </c>
      <c r="I1052" s="1374"/>
      <c r="J1052" s="1374"/>
      <c r="K1052" s="1374"/>
      <c r="L1052" s="589"/>
      <c r="M1052" s="1374"/>
      <c r="N1052" s="1374"/>
      <c r="P1052" s="728" t="s">
        <v>8</v>
      </c>
      <c r="Q1052" s="735">
        <f t="shared" ca="1" si="305"/>
        <v>8.5946914859401924E-2</v>
      </c>
      <c r="R1052" s="735">
        <f t="shared" ca="1" si="305"/>
        <v>8.7566942205326612E-2</v>
      </c>
      <c r="S1052" s="735">
        <f t="shared" ca="1" si="305"/>
        <v>8.9482279994513178E-2</v>
      </c>
      <c r="T1052" s="735">
        <f t="shared" ca="1" si="305"/>
        <v>8.7252213632323522E-2</v>
      </c>
      <c r="U1052" s="735">
        <f t="shared" ca="1" si="305"/>
        <v>8.6410435856893869E-2</v>
      </c>
      <c r="V1052" s="735">
        <f t="shared" ca="1" si="305"/>
        <v>7.7002789026874643E-2</v>
      </c>
      <c r="W1052" s="735">
        <f t="shared" ca="1" si="305"/>
        <v>6.9540888220529062E-2</v>
      </c>
      <c r="X1052" s="589"/>
      <c r="Y1052" s="589"/>
      <c r="Z1052" s="1540"/>
      <c r="AA1052" s="1540"/>
      <c r="AB1052" s="1540"/>
      <c r="AC1052" s="1493"/>
    </row>
    <row r="1053" spans="1:29" ht="14.5" thickBot="1" x14ac:dyDescent="0.35">
      <c r="A1053" s="1055" t="s">
        <v>70</v>
      </c>
      <c r="B1053" s="736">
        <f ca="1">SUM(B$1046:B$1052)</f>
        <v>1</v>
      </c>
      <c r="C1053" s="736">
        <f t="shared" ref="C1053:H1053" ca="1" si="310">SUM(C$1046:C$1052)</f>
        <v>1</v>
      </c>
      <c r="D1053" s="736">
        <f t="shared" ca="1" si="310"/>
        <v>1.0000000000000002</v>
      </c>
      <c r="E1053" s="736">
        <f t="shared" ca="1" si="310"/>
        <v>0.99999999999999978</v>
      </c>
      <c r="F1053" s="736">
        <f t="shared" ca="1" si="310"/>
        <v>1</v>
      </c>
      <c r="G1053" s="736">
        <f t="shared" ca="1" si="310"/>
        <v>1</v>
      </c>
      <c r="H1053" s="736">
        <f t="shared" ca="1" si="310"/>
        <v>1</v>
      </c>
      <c r="I1053" s="1374"/>
      <c r="J1053" s="1374"/>
      <c r="K1053" s="1374"/>
      <c r="L1053" s="589"/>
      <c r="M1053" s="1374"/>
      <c r="N1053" s="1374"/>
      <c r="P1053" s="728" t="s">
        <v>9</v>
      </c>
      <c r="Q1053" s="735">
        <f t="shared" ca="1" si="305"/>
        <v>3.1529723793762128E-2</v>
      </c>
      <c r="R1053" s="735">
        <f t="shared" ca="1" si="305"/>
        <v>6.1720505317317605E-2</v>
      </c>
      <c r="S1053" s="735">
        <f t="shared" ca="1" si="305"/>
        <v>5.7049141790735371E-2</v>
      </c>
      <c r="T1053" s="735">
        <f t="shared" ca="1" si="305"/>
        <v>8.5513017287092985E-2</v>
      </c>
      <c r="U1053" s="735">
        <f t="shared" ca="1" si="305"/>
        <v>0.12331253759197815</v>
      </c>
      <c r="V1053" s="735">
        <f t="shared" ca="1" si="305"/>
        <v>0.11339156419822044</v>
      </c>
      <c r="W1053" s="735">
        <f t="shared" ca="1" si="305"/>
        <v>7.34821436651764E-2</v>
      </c>
      <c r="X1053" s="589"/>
      <c r="Y1053" s="589"/>
      <c r="Z1053" s="1540"/>
      <c r="AA1053" s="1540"/>
      <c r="AB1053" s="1540"/>
      <c r="AC1053" s="1493"/>
    </row>
    <row r="1054" spans="1:29" x14ac:dyDescent="0.3">
      <c r="A1054" s="1058"/>
      <c r="B1054" s="1221"/>
      <c r="C1054" s="1221"/>
      <c r="D1054" s="1221"/>
      <c r="E1054" s="1221"/>
      <c r="F1054" s="1221"/>
      <c r="G1054" s="1221"/>
      <c r="H1054" s="1374"/>
      <c r="I1054" s="1374"/>
      <c r="J1054" s="1374"/>
      <c r="K1054" s="1374"/>
      <c r="L1054" s="589"/>
      <c r="M1054" s="1374"/>
      <c r="N1054" s="1374"/>
      <c r="P1054" s="728" t="s">
        <v>377</v>
      </c>
      <c r="Q1054" s="735">
        <f t="shared" ca="1" si="305"/>
        <v>9.2834443827563867E-2</v>
      </c>
      <c r="R1054" s="735">
        <f t="shared" ca="1" si="305"/>
        <v>7.6632712197888322E-2</v>
      </c>
      <c r="S1054" s="735">
        <f t="shared" ca="1" si="305"/>
        <v>5.7477610329614931E-2</v>
      </c>
      <c r="T1054" s="735">
        <f t="shared" ca="1" si="305"/>
        <v>7.9780281211963566E-2</v>
      </c>
      <c r="U1054" s="735">
        <f t="shared" ca="1" si="305"/>
        <v>8.8198816642025391E-2</v>
      </c>
      <c r="V1054" s="735">
        <f t="shared" ca="1" si="305"/>
        <v>7.4474663844763048E-2</v>
      </c>
      <c r="W1054" s="735">
        <f t="shared" ca="1" si="305"/>
        <v>8.0282319095534502E-2</v>
      </c>
      <c r="X1054" s="589"/>
      <c r="Y1054" s="589"/>
      <c r="Z1054" s="1540"/>
      <c r="AA1054" s="1540"/>
      <c r="AB1054" s="1540"/>
      <c r="AC1054" s="1493"/>
    </row>
    <row r="1055" spans="1:29" x14ac:dyDescent="0.3">
      <c r="A1055" s="734"/>
      <c r="B1055" s="1221"/>
      <c r="C1055" s="1221"/>
      <c r="D1055" s="1221"/>
      <c r="E1055" s="1221"/>
      <c r="F1055" s="1221"/>
      <c r="G1055" s="1221"/>
      <c r="H1055" s="1374"/>
      <c r="I1055" s="1374"/>
      <c r="J1055" s="1374"/>
      <c r="K1055" s="1374"/>
      <c r="L1055" s="589"/>
      <c r="M1055" s="1374"/>
      <c r="N1055" s="1374"/>
      <c r="P1055" s="728" t="s">
        <v>576</v>
      </c>
      <c r="Q1055" s="735">
        <f t="shared" ca="1" si="305"/>
        <v>0</v>
      </c>
      <c r="R1055" s="735">
        <f t="shared" ca="1" si="305"/>
        <v>0</v>
      </c>
      <c r="S1055" s="735">
        <f t="shared" ca="1" si="305"/>
        <v>0</v>
      </c>
      <c r="T1055" s="735">
        <f t="shared" ca="1" si="305"/>
        <v>0</v>
      </c>
      <c r="U1055" s="735">
        <f t="shared" ca="1" si="305"/>
        <v>0</v>
      </c>
      <c r="V1055" s="735">
        <f t="shared" ca="1" si="305"/>
        <v>0.10780908882637466</v>
      </c>
      <c r="W1055" s="735">
        <f t="shared" ca="1" si="305"/>
        <v>0.1766271580214229</v>
      </c>
      <c r="X1055" s="589"/>
      <c r="Y1055" s="589"/>
      <c r="Z1055" s="1540"/>
      <c r="AA1055" s="1540"/>
      <c r="AB1055" s="1540"/>
      <c r="AC1055" s="1493"/>
    </row>
    <row r="1056" spans="1:29" x14ac:dyDescent="0.3">
      <c r="A1056" s="734"/>
      <c r="B1056" s="1221"/>
      <c r="C1056" s="1221"/>
      <c r="D1056" s="1221"/>
      <c r="E1056" s="1221"/>
      <c r="F1056" s="1221"/>
      <c r="G1056" s="1221"/>
      <c r="H1056" s="1374"/>
      <c r="I1056" s="1374"/>
      <c r="J1056" s="1374"/>
      <c r="K1056" s="1374"/>
      <c r="L1056" s="589"/>
      <c r="M1056" s="1374"/>
      <c r="N1056" s="1374"/>
      <c r="P1056" s="728" t="s">
        <v>21</v>
      </c>
      <c r="Q1056" s="735">
        <f t="shared" ca="1" si="305"/>
        <v>4.7619047619047623E-2</v>
      </c>
      <c r="R1056" s="735">
        <f t="shared" ca="1" si="305"/>
        <v>4.7619047619047609E-2</v>
      </c>
      <c r="S1056" s="735">
        <f t="shared" ca="1" si="305"/>
        <v>4.7619047619047616E-2</v>
      </c>
      <c r="T1056" s="735">
        <f t="shared" ca="1" si="305"/>
        <v>4.7619047619047609E-2</v>
      </c>
      <c r="U1056" s="735">
        <f t="shared" ca="1" si="305"/>
        <v>4.7619047619047616E-2</v>
      </c>
      <c r="V1056" s="735">
        <f t="shared" ca="1" si="305"/>
        <v>4.7619047619047616E-2</v>
      </c>
      <c r="W1056" s="735">
        <f t="shared" ca="1" si="305"/>
        <v>4.7619047619047616E-2</v>
      </c>
      <c r="X1056" s="589"/>
      <c r="Y1056" s="589"/>
      <c r="Z1056" s="1540"/>
      <c r="AA1056" s="1540"/>
      <c r="AB1056" s="1540"/>
      <c r="AC1056" s="1493"/>
    </row>
    <row r="1057" spans="1:38" ht="14.5" thickBot="1" x14ac:dyDescent="0.35">
      <c r="A1057" s="734"/>
      <c r="B1057" s="1221"/>
      <c r="C1057" s="1221"/>
      <c r="D1057" s="1221"/>
      <c r="E1057" s="1221"/>
      <c r="F1057" s="1221"/>
      <c r="G1057" s="1221"/>
      <c r="H1057" s="1374"/>
      <c r="I1057" s="1374"/>
      <c r="J1057" s="1374"/>
      <c r="K1057" s="1374"/>
      <c r="L1057" s="589"/>
      <c r="M1057" s="1374"/>
      <c r="N1057" s="1374"/>
      <c r="P1057" s="729" t="s">
        <v>70</v>
      </c>
      <c r="Q1057" s="736">
        <f t="shared" ref="Q1057:W1057" ca="1" si="311">SUM(Q$1050:Q$1056)</f>
        <v>1</v>
      </c>
      <c r="R1057" s="736">
        <f t="shared" ca="1" si="311"/>
        <v>0.99999999999999989</v>
      </c>
      <c r="S1057" s="736">
        <f t="shared" ca="1" si="311"/>
        <v>1</v>
      </c>
      <c r="T1057" s="736">
        <f t="shared" ca="1" si="311"/>
        <v>0.99999999999999978</v>
      </c>
      <c r="U1057" s="736">
        <f t="shared" ca="1" si="311"/>
        <v>1</v>
      </c>
      <c r="V1057" s="736">
        <f t="shared" ca="1" si="311"/>
        <v>1</v>
      </c>
      <c r="W1057" s="736">
        <f t="shared" ca="1" si="311"/>
        <v>1</v>
      </c>
      <c r="X1057" s="589"/>
      <c r="Y1057" s="589"/>
      <c r="Z1057" s="1540"/>
      <c r="AA1057" s="1540"/>
      <c r="AB1057" s="1540"/>
      <c r="AC1057" s="1493"/>
    </row>
    <row r="1058" spans="1:38" ht="14.5" thickBot="1" x14ac:dyDescent="0.35">
      <c r="A1058" s="1059"/>
      <c r="B1058" s="1060"/>
      <c r="C1058" s="1060"/>
      <c r="D1058" s="1060"/>
      <c r="E1058" s="1060"/>
      <c r="F1058" s="1060"/>
      <c r="G1058" s="1060"/>
      <c r="H1058" s="1060"/>
      <c r="I1058" s="1060"/>
      <c r="J1058" s="1060"/>
      <c r="K1058" s="1047"/>
      <c r="L1058" s="1047"/>
      <c r="M1058" s="1378"/>
      <c r="N1058" s="1378"/>
      <c r="O1058" s="1048"/>
      <c r="P1058" s="1047"/>
      <c r="Q1058" s="1047"/>
      <c r="R1058" s="1047"/>
      <c r="S1058" s="1047"/>
      <c r="T1058" s="1047"/>
      <c r="U1058" s="1047"/>
      <c r="V1058" s="1047"/>
      <c r="W1058" s="1047"/>
      <c r="X1058" s="1047"/>
      <c r="Y1058" s="1378"/>
      <c r="Z1058" s="1378"/>
      <c r="AA1058" s="1542"/>
      <c r="AB1058" s="1542"/>
      <c r="AC1058" s="1477"/>
    </row>
    <row r="1059" spans="1:38" x14ac:dyDescent="0.3">
      <c r="A1059" s="734"/>
      <c r="B1059" s="335"/>
      <c r="C1059" s="335"/>
      <c r="D1059" s="335"/>
      <c r="E1059" s="335"/>
      <c r="F1059" s="335"/>
      <c r="G1059" s="335"/>
      <c r="H1059" s="335"/>
      <c r="I1059" s="335"/>
      <c r="J1059" s="108"/>
      <c r="K1059" s="589"/>
      <c r="L1059" s="589"/>
      <c r="O1059" s="723"/>
      <c r="P1059" s="589"/>
      <c r="Q1059" s="589"/>
      <c r="R1059" s="589"/>
      <c r="S1059" s="589"/>
      <c r="T1059" s="589"/>
      <c r="U1059" s="589"/>
      <c r="V1059" s="589"/>
      <c r="W1059" s="589"/>
      <c r="X1059" s="589"/>
    </row>
    <row r="1060" spans="1:38" ht="14.5" thickBot="1" x14ac:dyDescent="0.35">
      <c r="A1060" s="734"/>
      <c r="B1060" s="335"/>
      <c r="C1060" s="335"/>
      <c r="D1060" s="335"/>
      <c r="E1060" s="335"/>
      <c r="F1060" s="335"/>
      <c r="G1060" s="335"/>
      <c r="H1060" s="335"/>
      <c r="I1060" s="335"/>
      <c r="J1060" s="108"/>
      <c r="K1060" s="589"/>
      <c r="L1060" s="589"/>
      <c r="O1060" s="723"/>
      <c r="P1060" s="589"/>
      <c r="Q1060" s="589"/>
      <c r="R1060" s="589"/>
      <c r="S1060" s="589"/>
      <c r="T1060" s="589"/>
      <c r="U1060" s="589"/>
      <c r="V1060" s="589"/>
      <c r="W1060" s="589"/>
      <c r="X1060" s="589"/>
    </row>
    <row r="1061" spans="1:38" x14ac:dyDescent="0.3">
      <c r="A1061" s="1061"/>
      <c r="B1061" s="1062"/>
      <c r="C1061" s="1062"/>
      <c r="D1061" s="1062"/>
      <c r="E1061" s="1062"/>
      <c r="F1061" s="1062"/>
      <c r="G1061" s="1062"/>
      <c r="H1061" s="1062"/>
      <c r="I1061" s="1062"/>
      <c r="J1061" s="1062"/>
      <c r="K1061" s="1051"/>
      <c r="L1061" s="1051"/>
      <c r="M1061" s="1377"/>
      <c r="N1061" s="1377"/>
      <c r="O1061" s="1052"/>
      <c r="P1061" s="1051"/>
      <c r="Q1061" s="1051"/>
      <c r="R1061" s="1051"/>
      <c r="S1061" s="1051"/>
      <c r="T1061" s="1051"/>
      <c r="U1061" s="1051"/>
      <c r="V1061" s="1051"/>
      <c r="W1061" s="1051"/>
      <c r="X1061" s="1063"/>
    </row>
    <row r="1062" spans="1:38" x14ac:dyDescent="0.3">
      <c r="A1062" s="2681" t="s">
        <v>519</v>
      </c>
      <c r="B1062" s="2682"/>
      <c r="C1062" s="2682"/>
      <c r="D1062" s="2682"/>
      <c r="E1062" s="2682"/>
      <c r="F1062" s="335"/>
      <c r="G1062" s="335"/>
      <c r="H1062" s="335"/>
      <c r="I1062" s="335"/>
      <c r="J1062" s="335"/>
      <c r="K1062" s="589"/>
      <c r="L1062" s="589"/>
      <c r="M1062" s="1374"/>
      <c r="N1062" s="1374"/>
      <c r="O1062" s="723"/>
      <c r="P1062" s="589"/>
      <c r="Q1062" s="589"/>
      <c r="R1062" s="589"/>
      <c r="S1062" s="589"/>
      <c r="T1062" s="589"/>
      <c r="U1062" s="589"/>
      <c r="V1062" s="589"/>
      <c r="W1062" s="589"/>
      <c r="X1062" s="1043"/>
    </row>
    <row r="1063" spans="1:38" x14ac:dyDescent="0.3">
      <c r="A1063" s="2681"/>
      <c r="B1063" s="2682"/>
      <c r="C1063" s="2682"/>
      <c r="D1063" s="2682"/>
      <c r="E1063" s="2682"/>
      <c r="F1063" s="335"/>
      <c r="G1063" s="335"/>
      <c r="H1063" s="335"/>
      <c r="I1063" s="335"/>
      <c r="J1063" s="335"/>
      <c r="K1063" s="589"/>
      <c r="L1063" s="589"/>
      <c r="M1063" s="1374"/>
      <c r="N1063" s="1374"/>
      <c r="O1063" s="723"/>
      <c r="P1063" s="589"/>
      <c r="Q1063" s="589"/>
      <c r="R1063" s="589"/>
      <c r="S1063" s="589"/>
      <c r="T1063" s="589"/>
      <c r="U1063" s="589"/>
      <c r="V1063" s="589"/>
      <c r="W1063" s="589"/>
      <c r="X1063" s="1043"/>
    </row>
    <row r="1064" spans="1:38" x14ac:dyDescent="0.3">
      <c r="A1064" s="2681"/>
      <c r="B1064" s="2682"/>
      <c r="C1064" s="2682"/>
      <c r="D1064" s="2682"/>
      <c r="E1064" s="2682"/>
      <c r="F1064" s="335"/>
      <c r="G1064" s="335"/>
      <c r="H1064" s="335"/>
      <c r="I1064" s="335"/>
      <c r="J1064" s="335"/>
      <c r="K1064" s="589"/>
      <c r="L1064" s="589"/>
      <c r="M1064" s="1374"/>
      <c r="N1064" s="1374"/>
      <c r="O1064" s="723"/>
      <c r="P1064" s="589"/>
      <c r="Q1064" s="589"/>
      <c r="R1064" s="589"/>
      <c r="S1064" s="589"/>
      <c r="T1064" s="589"/>
      <c r="U1064" s="589"/>
      <c r="V1064" s="589"/>
      <c r="W1064" s="589"/>
      <c r="X1064" s="1043"/>
    </row>
    <row r="1065" spans="1:38" ht="17.25" customHeight="1" x14ac:dyDescent="0.3">
      <c r="A1065" s="1058"/>
      <c r="B1065" s="335"/>
      <c r="C1065" s="335"/>
      <c r="D1065" s="335"/>
      <c r="E1065" s="335"/>
      <c r="F1065" s="335"/>
      <c r="G1065" s="335"/>
      <c r="H1065" s="335"/>
      <c r="I1065" s="335"/>
      <c r="J1065" s="335"/>
      <c r="K1065" s="589"/>
      <c r="L1065" s="589"/>
      <c r="M1065" s="1374"/>
      <c r="N1065" s="1374"/>
      <c r="O1065" s="1374"/>
      <c r="P1065" s="1374"/>
      <c r="Q1065" s="1374"/>
      <c r="R1065" s="1374"/>
      <c r="S1065" s="1374"/>
      <c r="T1065" s="1374"/>
      <c r="U1065" s="1374"/>
      <c r="V1065" s="1374"/>
      <c r="W1065" s="1374"/>
      <c r="X1065" s="1043"/>
      <c r="AJ1065" s="737"/>
      <c r="AK1065" s="737"/>
      <c r="AL1065" s="575"/>
    </row>
    <row r="1066" spans="1:38" ht="16.5" customHeight="1" x14ac:dyDescent="0.3">
      <c r="A1066" s="1064"/>
      <c r="B1066" s="335"/>
      <c r="C1066" s="335"/>
      <c r="D1066" s="335"/>
      <c r="E1066" s="335"/>
      <c r="F1066" s="335"/>
      <c r="G1066" s="335"/>
      <c r="H1066" s="335"/>
      <c r="I1066" s="335"/>
      <c r="J1066" s="335"/>
      <c r="K1066" s="1374"/>
      <c r="L1066" s="1374"/>
      <c r="M1066" s="1374"/>
      <c r="N1066" s="1374"/>
      <c r="O1066" s="1374"/>
      <c r="P1066" s="1374"/>
      <c r="Q1066" s="1374"/>
      <c r="R1066" s="1374"/>
      <c r="S1066" s="1374"/>
      <c r="T1066" s="1374"/>
      <c r="U1066" s="1374"/>
      <c r="V1066" s="1374"/>
      <c r="W1066" s="1374"/>
      <c r="X1066" s="1439"/>
      <c r="AJ1066" s="737"/>
      <c r="AK1066" s="737"/>
      <c r="AL1066" s="575"/>
    </row>
    <row r="1067" spans="1:38" ht="14.25" customHeight="1" x14ac:dyDescent="0.3">
      <c r="A1067" s="2606" t="s">
        <v>517</v>
      </c>
      <c r="B1067" s="2607"/>
      <c r="C1067" s="2607"/>
      <c r="D1067" s="2607"/>
      <c r="E1067" s="2607"/>
      <c r="F1067" s="2607"/>
      <c r="G1067" s="2607"/>
      <c r="H1067" s="2607"/>
      <c r="I1067" s="2607"/>
      <c r="J1067" s="2607"/>
      <c r="K1067" s="2607"/>
      <c r="L1067" s="1374"/>
      <c r="M1067" s="1374"/>
      <c r="N1067" s="2683" t="s">
        <v>518</v>
      </c>
      <c r="O1067" s="2684"/>
      <c r="P1067" s="2684"/>
      <c r="Q1067" s="2684"/>
      <c r="R1067" s="2684"/>
      <c r="S1067" s="2684"/>
      <c r="T1067" s="2684"/>
      <c r="U1067" s="2684"/>
      <c r="V1067" s="2684"/>
      <c r="W1067" s="2685"/>
      <c r="X1067" s="1439"/>
      <c r="AJ1067" s="575"/>
      <c r="AK1067" s="575"/>
      <c r="AL1067" s="575"/>
    </row>
    <row r="1068" spans="1:38" ht="14.25" customHeight="1" x14ac:dyDescent="0.3">
      <c r="A1068" s="2606"/>
      <c r="B1068" s="2607"/>
      <c r="C1068" s="2607"/>
      <c r="D1068" s="2607"/>
      <c r="E1068" s="2607"/>
      <c r="F1068" s="2607"/>
      <c r="G1068" s="2607"/>
      <c r="H1068" s="2607"/>
      <c r="I1068" s="2607"/>
      <c r="J1068" s="2607"/>
      <c r="K1068" s="2607"/>
      <c r="L1068" s="1374"/>
      <c r="M1068" s="1374"/>
      <c r="N1068" s="2686"/>
      <c r="O1068" s="2687"/>
      <c r="P1068" s="2687"/>
      <c r="Q1068" s="2687"/>
      <c r="R1068" s="2687"/>
      <c r="S1068" s="2687"/>
      <c r="T1068" s="2687"/>
      <c r="U1068" s="2687"/>
      <c r="V1068" s="2687"/>
      <c r="W1068" s="2688"/>
      <c r="X1068" s="1439"/>
      <c r="AJ1068" s="1374"/>
      <c r="AK1068" s="575"/>
      <c r="AL1068" s="575"/>
    </row>
    <row r="1069" spans="1:38" ht="37.5" customHeight="1" x14ac:dyDescent="0.3">
      <c r="A1069" s="1044" t="s">
        <v>457</v>
      </c>
      <c r="B1069" s="1406" t="s">
        <v>191</v>
      </c>
      <c r="C1069" s="738" t="s">
        <v>58</v>
      </c>
      <c r="D1069" s="738" t="s">
        <v>59</v>
      </c>
      <c r="E1069" s="738" t="s">
        <v>60</v>
      </c>
      <c r="F1069" s="738" t="s">
        <v>62</v>
      </c>
      <c r="G1069" s="738" t="s">
        <v>63</v>
      </c>
      <c r="H1069" s="738" t="s">
        <v>64</v>
      </c>
      <c r="I1069" s="738" t="s">
        <v>65</v>
      </c>
      <c r="J1069" s="738" t="s">
        <v>66</v>
      </c>
      <c r="K1069" s="738" t="s">
        <v>21</v>
      </c>
      <c r="L1069" s="1374"/>
      <c r="M1069" s="1374"/>
      <c r="N1069" s="664" t="s">
        <v>457</v>
      </c>
      <c r="O1069" s="1406" t="s">
        <v>191</v>
      </c>
      <c r="P1069" s="738" t="s">
        <v>59</v>
      </c>
      <c r="Q1069" s="738" t="s">
        <v>60</v>
      </c>
      <c r="R1069" s="738" t="s">
        <v>62</v>
      </c>
      <c r="S1069" s="738" t="s">
        <v>9</v>
      </c>
      <c r="T1069" s="738" t="s">
        <v>65</v>
      </c>
      <c r="U1069" s="738" t="s">
        <v>66</v>
      </c>
      <c r="V1069" s="738" t="s">
        <v>576</v>
      </c>
      <c r="W1069" s="738" t="s">
        <v>21</v>
      </c>
      <c r="X1069" s="1439"/>
      <c r="AJ1069" s="1374"/>
      <c r="AK1069" s="575"/>
      <c r="AL1069" s="575"/>
    </row>
    <row r="1070" spans="1:38" x14ac:dyDescent="0.3">
      <c r="A1070" s="1072">
        <v>3</v>
      </c>
      <c r="B1070" s="708" t="e">
        <f>IF(AND($A1176&lt;=DATE('Elec. Analysis'!$A$82, 12,1),$A1176&gt;=DATE('Elec. Analysis'!$A$82, 1, 1)), $A1176, NA())</f>
        <v>#N/A</v>
      </c>
      <c r="C1070" s="1273">
        <f ca="1">VLOOKUP(C$1069,'Elec. Analysis'!$A$81:$N$91,$A1070,FALSE)</f>
        <v>11.756793629373167</v>
      </c>
      <c r="D1070" s="1273">
        <f ca="1">VLOOKUP(D$1069,'Elec. Analysis'!$A$81:$N$91,$A1070,FALSE)</f>
        <v>16.144211000000002</v>
      </c>
      <c r="E1070" s="1273">
        <f ca="1">VLOOKUP(E$1069,'Elec. Analysis'!$A$81:$N$91,$A1070,FALSE)</f>
        <v>6.3275144257146358</v>
      </c>
      <c r="F1070" s="1273">
        <f ca="1">VLOOKUP(F$1069,'Elec. Analysis'!$A$81:$N$91,$A1070,FALSE)</f>
        <v>10.302466363166253</v>
      </c>
      <c r="G1070" s="1273">
        <f ca="1">VLOOKUP(G$1069,'Elec. Analysis'!$A$81:$N$91,$A1070,FALSE)</f>
        <v>15.633512574909027</v>
      </c>
      <c r="H1070" s="1273">
        <f ca="1">VLOOKUP(H$1069,'Elec. Analysis'!$A$81:$N$91,$A1070,FALSE)</f>
        <v>1.7934501508302387</v>
      </c>
      <c r="I1070" s="1273">
        <f ca="1">VLOOKUP(I$1069,'Elec. Analysis'!$A$81:$N$91,$A1070,FALSE)</f>
        <v>41.075988634710761</v>
      </c>
      <c r="J1070" s="1273">
        <f ca="1">VLOOKUP(J$1069,'Elec. Analysis'!$A$81:$N$91,$A1070,FALSE)</f>
        <v>6.3983999999999996</v>
      </c>
      <c r="K1070" s="1273">
        <f ca="1">VLOOKUP(K$1069,'Elec. Analysis'!$A$81:$N$91,$A1070,FALSE)</f>
        <v>5.4716168389352049</v>
      </c>
      <c r="L1070" s="1374"/>
      <c r="M1070" s="1374"/>
      <c r="N1070" s="1076">
        <v>3</v>
      </c>
      <c r="O1070" s="708" t="e">
        <f>IF(AND($A1176&lt;=DATE('NG Analysis'!$A$84, 12,1),$A1176&gt;=DATE('NG Analysis'!$A$84, 1, 1)), $A1176, NA())</f>
        <v>#N/A</v>
      </c>
      <c r="P1070" s="1273">
        <f ca="1">VLOOKUP(P$1069,'NG Analysis'!$A$83:$N$93,$N1070,FALSE)</f>
        <v>25.946999999999999</v>
      </c>
      <c r="Q1070" s="1273">
        <f ca="1">VLOOKUP(Q$1069,'NG Analysis'!$A$83:$N$93,$N1070,FALSE)</f>
        <v>13.961815841257177</v>
      </c>
      <c r="R1070" s="1273">
        <f ca="1">VLOOKUP(R$1069,'NG Analysis'!$A$83:$N$93,$N1070,FALSE)</f>
        <v>8.1124896049438657</v>
      </c>
      <c r="S1070" s="1273">
        <f ca="1">VLOOKUP(S$1069,'NG Analysis'!$A$83:$N$93,$N1070,FALSE)</f>
        <v>7.5956320197913003</v>
      </c>
      <c r="T1070" s="1273">
        <f ca="1">VLOOKUP(T$1069,'NG Analysis'!$A$83:$N$93,$N1070,FALSE)</f>
        <v>25.515260554287845</v>
      </c>
      <c r="U1070" s="1273">
        <f ca="1">VLOOKUP(U$1069,'NG Analysis'!$A$83:$N$93,$N1070,FALSE)</f>
        <v>8.4320000000000004</v>
      </c>
      <c r="V1070" s="1273">
        <f ca="1">VLOOKUP(V$1069,'NG Analysis'!$A$83:$N$93,$N1070,FALSE)</f>
        <v>25.548944066570733</v>
      </c>
      <c r="W1070" s="1273">
        <f ca="1">VLOOKUP(W$1069,'NG Analysis'!$A$83:$N$93,$N1070,FALSE)</f>
        <v>5.7556571043425464</v>
      </c>
      <c r="X1070" s="1439"/>
    </row>
    <row r="1071" spans="1:38" x14ac:dyDescent="0.3">
      <c r="A1071" s="1072">
        <v>4</v>
      </c>
      <c r="B1071" s="708" t="e">
        <f>IF(AND($A1177&lt;=DATE('Elec. Analysis'!$A$82, 12,1),$A1177&gt;=DATE('Elec. Analysis'!$A$82, 1, 1)), $A1177, NA())</f>
        <v>#N/A</v>
      </c>
      <c r="C1071" s="1273">
        <f ca="1">VLOOKUP(C$1069,'Elec. Analysis'!$A$81:$N$91,$A1071,FALSE)</f>
        <v>12.288850572617701</v>
      </c>
      <c r="D1071" s="1273">
        <f ca="1">VLOOKUP(D$1069,'Elec. Analysis'!$A$81:$N$91,$A1071,FALSE)</f>
        <v>14.581868000000002</v>
      </c>
      <c r="E1071" s="1273">
        <f ca="1">VLOOKUP(E$1069,'Elec. Analysis'!$A$81:$N$91,$A1071,FALSE)</f>
        <v>6.6138678388825181</v>
      </c>
      <c r="F1071" s="1273">
        <f ca="1">VLOOKUP(F$1069,'Elec. Analysis'!$A$81:$N$91,$A1071,FALSE)</f>
        <v>10.508661424130576</v>
      </c>
      <c r="G1071" s="1273">
        <f ca="1">VLOOKUP(G$1069,'Elec. Analysis'!$A$81:$N$91,$A1071,FALSE)</f>
        <v>16.2933180673412</v>
      </c>
      <c r="H1071" s="1273">
        <f ca="1">VLOOKUP(H$1069,'Elec. Analysis'!$A$81:$N$91,$A1071,FALSE)</f>
        <v>1.8746132328059373</v>
      </c>
      <c r="I1071" s="1273">
        <f ca="1">VLOOKUP(I$1069,'Elec. Analysis'!$A$81:$N$91,$A1071,FALSE)</f>
        <v>42.93489384668365</v>
      </c>
      <c r="J1071" s="1273">
        <f ca="1">VLOOKUP(J$1069,'Elec. Analysis'!$A$81:$N$91,$A1071,FALSE)</f>
        <v>5.7792000000000003</v>
      </c>
      <c r="K1071" s="1273">
        <f ca="1">VLOOKUP(K$1069,'Elec. Analysis'!$A$81:$N$91,$A1071,FALSE)</f>
        <v>5.5437636491230808</v>
      </c>
      <c r="L1071" s="1374"/>
      <c r="M1071" s="1374"/>
      <c r="N1071" s="1076">
        <v>4</v>
      </c>
      <c r="O1071" s="708" t="e">
        <f>IF(AND($A1177&lt;=DATE('NG Analysis'!$A$84, 12,1),$A1177&gt;=DATE('NG Analysis'!$A$84, 1, 1)), $A1177, NA())</f>
        <v>#N/A</v>
      </c>
      <c r="P1071" s="1273">
        <f ca="1">VLOOKUP(P$1069,'NG Analysis'!$A$83:$N$93,$N1071,FALSE)</f>
        <v>23.436</v>
      </c>
      <c r="Q1071" s="1273">
        <f ca="1">VLOOKUP(Q$1069,'NG Analysis'!$A$83:$N$93,$N1071,FALSE)</f>
        <v>21.645384041554284</v>
      </c>
      <c r="R1071" s="1273">
        <f ca="1">VLOOKUP(R$1069,'NG Analysis'!$A$83:$N$93,$N1071,FALSE)</f>
        <v>12.372592105843843</v>
      </c>
      <c r="S1071" s="1273">
        <f ca="1">VLOOKUP(S$1069,'NG Analysis'!$A$83:$N$93,$N1071,FALSE)</f>
        <v>14.323715564223139</v>
      </c>
      <c r="T1071" s="1273">
        <f ca="1">VLOOKUP(T$1069,'NG Analysis'!$A$83:$N$93,$N1071,FALSE)</f>
        <v>51.959365793357087</v>
      </c>
      <c r="U1071" s="1273">
        <f ca="1">VLOOKUP(U$1069,'NG Analysis'!$A$83:$N$93,$N1071,FALSE)</f>
        <v>7.6160000000000005</v>
      </c>
      <c r="V1071" s="1273">
        <f ca="1">VLOOKUP(V$1069,'NG Analysis'!$A$83:$N$93,$N1071,FALSE)</f>
        <v>39.609225079659645</v>
      </c>
      <c r="W1071" s="1273">
        <f ca="1">VLOOKUP(W$1069,'NG Analysis'!$A$83:$N$93,$N1071,FALSE)</f>
        <v>8.5481141292318998</v>
      </c>
      <c r="X1071" s="1439"/>
    </row>
    <row r="1072" spans="1:38" x14ac:dyDescent="0.3">
      <c r="A1072" s="1072">
        <v>5</v>
      </c>
      <c r="B1072" s="708" t="e">
        <f>IF(AND($A1178&lt;=DATE('Elec. Analysis'!$A$82, 12,1),$A1178&gt;=DATE('Elec. Analysis'!$A$82, 1, 1)), $A1178, NA())</f>
        <v>#N/A</v>
      </c>
      <c r="C1072" s="1273">
        <f ca="1">VLOOKUP(C$1069,'Elec. Analysis'!$A$81:$N$91,$A1072,FALSE)</f>
        <v>11.255044002309154</v>
      </c>
      <c r="D1072" s="1273">
        <f ca="1">VLOOKUP(D$1069,'Elec. Analysis'!$A$81:$N$91,$A1072,FALSE)</f>
        <v>16.144211000000002</v>
      </c>
      <c r="E1072" s="1273">
        <f ca="1">VLOOKUP(E$1069,'Elec. Analysis'!$A$81:$N$91,$A1072,FALSE)</f>
        <v>6.0574724309812682</v>
      </c>
      <c r="F1072" s="1273">
        <f ca="1">VLOOKUP(F$1069,'Elec. Analysis'!$A$81:$N$91,$A1072,FALSE)</f>
        <v>9.3716963955057278</v>
      </c>
      <c r="G1072" s="1273">
        <f ca="1">VLOOKUP(G$1069,'Elec. Analysis'!$A$81:$N$91,$A1072,FALSE)</f>
        <v>14.980645643015643</v>
      </c>
      <c r="H1072" s="1273">
        <f ca="1">VLOOKUP(H$1069,'Elec. Analysis'!$A$81:$N$91,$A1072,FALSE)</f>
        <v>1.7169103243516355</v>
      </c>
      <c r="I1072" s="1273">
        <f ca="1">VLOOKUP(I$1069,'Elec. Analysis'!$A$81:$N$91,$A1072,FALSE)</f>
        <v>34.199419529186834</v>
      </c>
      <c r="J1072" s="1273">
        <f ca="1">VLOOKUP(J$1069,'Elec. Analysis'!$A$81:$N$91,$A1072,FALSE)</f>
        <v>6.3983999999999996</v>
      </c>
      <c r="K1072" s="1273">
        <f ca="1">VLOOKUP(K$1069,'Elec. Analysis'!$A$81:$N$91,$A1072,FALSE)</f>
        <v>5.0061899662675131</v>
      </c>
      <c r="L1072" s="1374"/>
      <c r="M1072" s="1374"/>
      <c r="N1072" s="1076">
        <v>5</v>
      </c>
      <c r="O1072" s="708" t="e">
        <f>IF(AND($A1178&lt;=DATE('NG Analysis'!$A$84, 12,1),$A1178&gt;=DATE('NG Analysis'!$A$84, 1, 1)), $A1178, NA())</f>
        <v>#N/A</v>
      </c>
      <c r="P1072" s="1273">
        <f ca="1">VLOOKUP(P$1069,'NG Analysis'!$A$83:$N$93,$N1072,FALSE)</f>
        <v>25.946999999999999</v>
      </c>
      <c r="Q1072" s="1273">
        <f ca="1">VLOOKUP(Q$1069,'NG Analysis'!$A$83:$N$93,$N1072,FALSE)</f>
        <v>13.092799736790329</v>
      </c>
      <c r="R1072" s="1273">
        <f ca="1">VLOOKUP(R$1069,'NG Analysis'!$A$83:$N$93,$N1072,FALSE)</f>
        <v>11.73428222700306</v>
      </c>
      <c r="S1072" s="1273">
        <f ca="1">VLOOKUP(S$1069,'NG Analysis'!$A$83:$N$93,$N1072,FALSE)</f>
        <v>16.356017339480474</v>
      </c>
      <c r="T1072" s="1273">
        <f ca="1">VLOOKUP(T$1069,'NG Analysis'!$A$83:$N$93,$N1072,FALSE)</f>
        <v>50.223284876952057</v>
      </c>
      <c r="U1072" s="1273">
        <f ca="1">VLOOKUP(U$1069,'NG Analysis'!$A$83:$N$93,$N1072,FALSE)</f>
        <v>8.4320000000000004</v>
      </c>
      <c r="V1072" s="1273">
        <f ca="1">VLOOKUP(V$1069,'NG Analysis'!$A$83:$N$93,$N1072,FALSE)</f>
        <v>23.95871797431958</v>
      </c>
      <c r="W1072" s="1273">
        <f ca="1">VLOOKUP(W$1069,'NG Analysis'!$A$83:$N$93,$N1072,FALSE)</f>
        <v>7.4872051077272763</v>
      </c>
      <c r="X1072" s="1439"/>
    </row>
    <row r="1073" spans="1:24" x14ac:dyDescent="0.3">
      <c r="A1073" s="1072">
        <v>6</v>
      </c>
      <c r="B1073" s="708" t="e">
        <f>IF(AND($A1179&lt;=DATE('Elec. Analysis'!$A$82, 12,1),$A1179&gt;=DATE('Elec. Analysis'!$A$82, 1, 1)), $A1179, NA())</f>
        <v>#N/A</v>
      </c>
      <c r="C1073" s="1273">
        <f ca="1">VLOOKUP(C$1069,'Elec. Analysis'!$A$81:$N$91,$A1073,FALSE)</f>
        <v>9.9612632133702341</v>
      </c>
      <c r="D1073" s="1273">
        <f ca="1">VLOOKUP(D$1069,'Elec. Analysis'!$A$81:$N$91,$A1073,FALSE)</f>
        <v>15.623430000000003</v>
      </c>
      <c r="E1073" s="1273">
        <f ca="1">VLOOKUP(E$1069,'Elec. Analysis'!$A$81:$N$91,$A1073,FALSE)</f>
        <v>5.3611587196245809</v>
      </c>
      <c r="F1073" s="1273">
        <f ca="1">VLOOKUP(F$1069,'Elec. Analysis'!$A$81:$N$91,$A1073,FALSE)</f>
        <v>8.5873991990290754</v>
      </c>
      <c r="G1073" s="1273">
        <f ca="1">VLOOKUP(G$1069,'Elec. Analysis'!$A$81:$N$91,$A1073,FALSE)</f>
        <v>13.777703726461645</v>
      </c>
      <c r="H1073" s="1273">
        <f ca="1">VLOOKUP(H$1069,'Elec. Analysis'!$A$81:$N$91,$A1073,FALSE)</f>
        <v>1.5195494261160265</v>
      </c>
      <c r="I1073" s="1273">
        <f ca="1">VLOOKUP(I$1069,'Elec. Analysis'!$A$81:$N$91,$A1073,FALSE)</f>
        <v>31.051217137911532</v>
      </c>
      <c r="J1073" s="1273">
        <f ca="1">VLOOKUP(J$1069,'Elec. Analysis'!$A$81:$N$91,$A1073,FALSE)</f>
        <v>6.1920000000000002</v>
      </c>
      <c r="K1073" s="1273">
        <f ca="1">VLOOKUP(K$1069,'Elec. Analysis'!$A$81:$N$91,$A1073,FALSE)</f>
        <v>4.6036860711256553</v>
      </c>
      <c r="L1073" s="1374"/>
      <c r="M1073" s="1374"/>
      <c r="N1073" s="1076">
        <v>6</v>
      </c>
      <c r="O1073" s="708" t="e">
        <f>IF(AND($A1179&lt;=DATE('NG Analysis'!$A$84, 12,1),$A1179&gt;=DATE('NG Analysis'!$A$84, 1, 1)), $A1179, NA())</f>
        <v>#N/A</v>
      </c>
      <c r="P1073" s="1273">
        <f ca="1">VLOOKUP(P$1069,'NG Analysis'!$A$83:$N$93,$N1073,FALSE)</f>
        <v>25.11</v>
      </c>
      <c r="Q1073" s="1273">
        <f ca="1">VLOOKUP(Q$1069,'NG Analysis'!$A$83:$N$93,$N1073,FALSE)</f>
        <v>7.9526381107213826</v>
      </c>
      <c r="R1073" s="1273">
        <f ca="1">VLOOKUP(R$1069,'NG Analysis'!$A$83:$N$93,$N1073,FALSE)</f>
        <v>7.9700690164135626</v>
      </c>
      <c r="S1073" s="1273">
        <f ca="1">VLOOKUP(S$1069,'NG Analysis'!$A$83:$N$93,$N1073,FALSE)</f>
        <v>10.951243499262032</v>
      </c>
      <c r="T1073" s="1273">
        <f ca="1">VLOOKUP(T$1069,'NG Analysis'!$A$83:$N$93,$N1073,FALSE)</f>
        <v>27.723913317231361</v>
      </c>
      <c r="U1073" s="1273">
        <f ca="1">VLOOKUP(U$1069,'NG Analysis'!$A$83:$N$93,$N1073,FALSE)</f>
        <v>8.16</v>
      </c>
      <c r="V1073" s="1273">
        <f ca="1">VLOOKUP(V$1069,'NG Analysis'!$A$83:$N$93,$N1073,FALSE)</f>
        <v>14.552656229148779</v>
      </c>
      <c r="W1073" s="1273">
        <f ca="1">VLOOKUP(W$1069,'NG Analysis'!$A$83:$N$93,$N1073,FALSE)</f>
        <v>5.1210260086388564</v>
      </c>
      <c r="X1073" s="1439"/>
    </row>
    <row r="1074" spans="1:24" x14ac:dyDescent="0.3">
      <c r="A1074" s="1072">
        <v>7</v>
      </c>
      <c r="B1074" s="708" t="e">
        <f>IF(AND($A1180&lt;=DATE('Elec. Analysis'!$A$82, 12,1),$A1180&gt;=DATE('Elec. Analysis'!$A$82, 1, 1)), $A1180, NA())</f>
        <v>#N/A</v>
      </c>
      <c r="C1074" s="1273">
        <f ca="1">VLOOKUP(C$1069,'Elec. Analysis'!$A$81:$N$91,$A1074,FALSE)</f>
        <v>9.5978677149152052</v>
      </c>
      <c r="D1074" s="1273">
        <f ca="1">VLOOKUP(D$1069,'Elec. Analysis'!$A$81:$N$91,$A1074,FALSE)</f>
        <v>16.144211000000002</v>
      </c>
      <c r="E1074" s="1273">
        <f ca="1">VLOOKUP(E$1069,'Elec. Analysis'!$A$81:$N$91,$A1074,FALSE)</f>
        <v>5.1655790121634277</v>
      </c>
      <c r="F1074" s="1273">
        <f ca="1">VLOOKUP(F$1069,'Elec. Analysis'!$A$81:$N$91,$A1074,FALSE)</f>
        <v>8.5747875462120167</v>
      </c>
      <c r="G1074" s="1273">
        <f ca="1">VLOOKUP(G$1069,'Elec. Analysis'!$A$81:$N$91,$A1074,FALSE)</f>
        <v>13.297768511495391</v>
      </c>
      <c r="H1074" s="1273">
        <f ca="1">VLOOKUP(H$1069,'Elec. Analysis'!$A$81:$N$91,$A1074,FALSE)</f>
        <v>1.4641149486504261</v>
      </c>
      <c r="I1074" s="1273">
        <f ca="1">VLOOKUP(I$1069,'Elec. Analysis'!$A$81:$N$91,$A1074,FALSE)</f>
        <v>31.51126480928334</v>
      </c>
      <c r="J1074" s="1273">
        <f ca="1">VLOOKUP(J$1069,'Elec. Analysis'!$A$81:$N$91,$A1074,FALSE)</f>
        <v>6.3983999999999996</v>
      </c>
      <c r="K1074" s="1273">
        <f ca="1">VLOOKUP(K$1069,'Elec. Analysis'!$A$81:$N$91,$A1074,FALSE)</f>
        <v>4.607699677135991</v>
      </c>
      <c r="L1074" s="1374"/>
      <c r="M1074" s="1374"/>
      <c r="N1074" s="1076">
        <v>7</v>
      </c>
      <c r="O1074" s="708" t="e">
        <f>IF(AND($A1180&lt;=DATE('NG Analysis'!$A$84, 12,1),$A1180&gt;=DATE('NG Analysis'!$A$84, 1, 1)), $A1180, NA())</f>
        <v>#N/A</v>
      </c>
      <c r="P1074" s="1273">
        <f ca="1">VLOOKUP(P$1069,'NG Analysis'!$A$83:$N$93,$N1074,FALSE)</f>
        <v>25.946999999999999</v>
      </c>
      <c r="Q1074" s="1273">
        <f ca="1">VLOOKUP(Q$1069,'NG Analysis'!$A$83:$N$93,$N1074,FALSE)</f>
        <v>6.2225451665778353</v>
      </c>
      <c r="R1074" s="1273">
        <f ca="1">VLOOKUP(R$1069,'NG Analysis'!$A$83:$N$93,$N1074,FALSE)</f>
        <v>6.5952077365448813</v>
      </c>
      <c r="S1074" s="1273">
        <f ca="1">VLOOKUP(S$1069,'NG Analysis'!$A$83:$N$93,$N1074,FALSE)</f>
        <v>10.041854584134954</v>
      </c>
      <c r="T1074" s="1273">
        <f ca="1">VLOOKUP(T$1069,'NG Analysis'!$A$83:$N$93,$N1074,FALSE)</f>
        <v>17.151406158782095</v>
      </c>
      <c r="U1074" s="1273">
        <f ca="1">VLOOKUP(U$1069,'NG Analysis'!$A$83:$N$93,$N1074,FALSE)</f>
        <v>8.4320000000000004</v>
      </c>
      <c r="V1074" s="1273">
        <f ca="1">VLOOKUP(V$1069,'NG Analysis'!$A$83:$N$93,$N1074,FALSE)</f>
        <v>10.652104343097346</v>
      </c>
      <c r="W1074" s="1273">
        <f ca="1">VLOOKUP(W$1069,'NG Analysis'!$A$83:$N$93,$N1074,FALSE)</f>
        <v>4.2521058994568559</v>
      </c>
      <c r="X1074" s="1439"/>
    </row>
    <row r="1075" spans="1:24" x14ac:dyDescent="0.3">
      <c r="A1075" s="1072">
        <v>8</v>
      </c>
      <c r="B1075" s="708" t="e">
        <f>IF(AND($A1181&lt;=DATE('Elec. Analysis'!$A$82, 12,1),$A1181&gt;=DATE('Elec. Analysis'!$A$82, 1, 1)), $A1181, NA())</f>
        <v>#N/A</v>
      </c>
      <c r="C1075" s="1273">
        <f ca="1">VLOOKUP(C$1069,'Elec. Analysis'!$A$81:$N$91,$A1075,FALSE)</f>
        <v>9.3281989935447278</v>
      </c>
      <c r="D1075" s="1273">
        <f ca="1">VLOOKUP(D$1069,'Elec. Analysis'!$A$81:$N$91,$A1075,FALSE)</f>
        <v>15.623429999999999</v>
      </c>
      <c r="E1075" s="1273">
        <f ca="1">VLOOKUP(E$1069,'Elec. Analysis'!$A$81:$N$91,$A1075,FALSE)</f>
        <v>5.0204431206587401</v>
      </c>
      <c r="F1075" s="1273">
        <f ca="1">VLOOKUP(F$1069,'Elec. Analysis'!$A$81:$N$91,$A1075,FALSE)</f>
        <v>8.326777408853685</v>
      </c>
      <c r="G1075" s="1273">
        <f ca="1">VLOOKUP(G$1069,'Elec. Analysis'!$A$81:$N$91,$A1075,FALSE)</f>
        <v>12.922747293722241</v>
      </c>
      <c r="H1075" s="1273">
        <f ca="1">VLOOKUP(H$1069,'Elec. Analysis'!$A$81:$N$91,$A1075,FALSE)</f>
        <v>1.4229781026478086</v>
      </c>
      <c r="I1075" s="1273">
        <f ca="1">VLOOKUP(I$1069,'Elec. Analysis'!$A$81:$N$91,$A1075,FALSE)</f>
        <v>30.630694018262528</v>
      </c>
      <c r="J1075" s="1273">
        <f ca="1">VLOOKUP(J$1069,'Elec. Analysis'!$A$81:$N$91,$A1075,FALSE)</f>
        <v>6.1920000000000002</v>
      </c>
      <c r="K1075" s="1273">
        <f ca="1">VLOOKUP(K$1069,'Elec. Analysis'!$A$81:$N$91,$A1075,FALSE)</f>
        <v>4.4733634468844867</v>
      </c>
      <c r="L1075" s="1374"/>
      <c r="M1075" s="1374"/>
      <c r="N1075" s="1076">
        <v>8</v>
      </c>
      <c r="O1075" s="708" t="e">
        <f>IF(AND($A1181&lt;=DATE('NG Analysis'!$A$84, 12,1),$A1181&gt;=DATE('NG Analysis'!$A$84, 1, 1)), $A1181, NA())</f>
        <v>#N/A</v>
      </c>
      <c r="P1075" s="1273">
        <f ca="1">VLOOKUP(P$1069,'NG Analysis'!$A$83:$N$93,$N1075,FALSE)</f>
        <v>25.11</v>
      </c>
      <c r="Q1075" s="1273">
        <f ca="1">VLOOKUP(Q$1069,'NG Analysis'!$A$83:$N$93,$N1075,FALSE)</f>
        <v>3.1037296499089999</v>
      </c>
      <c r="R1075" s="1273">
        <f ca="1">VLOOKUP(R$1069,'NG Analysis'!$A$83:$N$93,$N1075,FALSE)</f>
        <v>3.9898169179856966</v>
      </c>
      <c r="S1075" s="1273">
        <f ca="1">VLOOKUP(S$1069,'NG Analysis'!$A$83:$N$93,$N1075,FALSE)</f>
        <v>6.3316742137665356</v>
      </c>
      <c r="T1075" s="1273">
        <f ca="1">VLOOKUP(T$1069,'NG Analysis'!$A$83:$N$93,$N1075,FALSE)</f>
        <v>1.366539592541357</v>
      </c>
      <c r="U1075" s="1273">
        <f ca="1">VLOOKUP(U$1069,'NG Analysis'!$A$83:$N$93,$N1075,FALSE)</f>
        <v>8.16</v>
      </c>
      <c r="V1075" s="1273">
        <f ca="1">VLOOKUP(V$1069,'NG Analysis'!$A$83:$N$93,$N1075,FALSE)</f>
        <v>0</v>
      </c>
      <c r="W1075" s="1273">
        <f ca="1">VLOOKUP(W$1069,'NG Analysis'!$A$83:$N$93,$N1075,FALSE)</f>
        <v>2.4030880187101298</v>
      </c>
      <c r="X1075" s="1439"/>
    </row>
    <row r="1076" spans="1:24" x14ac:dyDescent="0.3">
      <c r="A1076" s="1072">
        <v>9</v>
      </c>
      <c r="B1076" s="708" t="e">
        <f>IF(AND($A1182&lt;=DATE('Elec. Analysis'!$A$82, 12,1),$A1182&gt;=DATE('Elec. Analysis'!$A$82, 1, 1)), $A1182, NA())</f>
        <v>#N/A</v>
      </c>
      <c r="C1076" s="1273" t="str">
        <f ca="1">VLOOKUP(C$1069,'Elec. Analysis'!$A$81:$N$91,$A1076,FALSE)</f>
        <v/>
      </c>
      <c r="D1076" s="1273" t="str">
        <f ca="1">VLOOKUP(D$1069,'Elec. Analysis'!$A$81:$N$91,$A1076,FALSE)</f>
        <v/>
      </c>
      <c r="E1076" s="1273" t="str">
        <f ca="1">VLOOKUP(E$1069,'Elec. Analysis'!$A$81:$N$91,$A1076,FALSE)</f>
        <v/>
      </c>
      <c r="F1076" s="1273" t="str">
        <f ca="1">VLOOKUP(F$1069,'Elec. Analysis'!$A$81:$N$91,$A1076,FALSE)</f>
        <v/>
      </c>
      <c r="G1076" s="1273" t="str">
        <f ca="1">VLOOKUP(G$1069,'Elec. Analysis'!$A$81:$N$91,$A1076,FALSE)</f>
        <v/>
      </c>
      <c r="H1076" s="1273" t="str">
        <f ca="1">VLOOKUP(H$1069,'Elec. Analysis'!$A$81:$N$91,$A1076,FALSE)</f>
        <v/>
      </c>
      <c r="I1076" s="1273" t="str">
        <f ca="1">VLOOKUP(I$1069,'Elec. Analysis'!$A$81:$N$91,$A1076,FALSE)</f>
        <v/>
      </c>
      <c r="J1076" s="1273" t="str">
        <f ca="1">VLOOKUP(J$1069,'Elec. Analysis'!$A$81:$N$91,$A1076,FALSE)</f>
        <v/>
      </c>
      <c r="K1076" s="1273" t="str">
        <f ca="1">VLOOKUP(K$1069,'Elec. Analysis'!$A$81:$N$91,$A1076,FALSE)</f>
        <v/>
      </c>
      <c r="L1076" s="1374"/>
      <c r="M1076" s="1374"/>
      <c r="N1076" s="1076">
        <v>9</v>
      </c>
      <c r="O1076" s="708" t="e">
        <f>IF(AND($A1182&lt;=DATE('NG Analysis'!$A$84, 12,1),$A1182&gt;=DATE('NG Analysis'!$A$84, 1, 1)), $A1182, NA())</f>
        <v>#N/A</v>
      </c>
      <c r="P1076" s="1273" t="str">
        <f ca="1">VLOOKUP(P$1069,'NG Analysis'!$A$83:$N$93,$N1076,FALSE)</f>
        <v/>
      </c>
      <c r="Q1076" s="1273" t="str">
        <f ca="1">VLOOKUP(Q$1069,'NG Analysis'!$A$83:$N$93,$N1076,FALSE)</f>
        <v/>
      </c>
      <c r="R1076" s="1273" t="str">
        <f ca="1">VLOOKUP(R$1069,'NG Analysis'!$A$83:$N$93,$N1076,FALSE)</f>
        <v/>
      </c>
      <c r="S1076" s="1273" t="str">
        <f ca="1">VLOOKUP(S$1069,'NG Analysis'!$A$83:$N$93,$N1076,FALSE)</f>
        <v/>
      </c>
      <c r="T1076" s="1273" t="str">
        <f ca="1">VLOOKUP(T$1069,'NG Analysis'!$A$83:$N$93,$N1076,FALSE)</f>
        <v/>
      </c>
      <c r="U1076" s="1273" t="str">
        <f ca="1">VLOOKUP(U$1069,'NG Analysis'!$A$83:$N$93,$N1076,FALSE)</f>
        <v/>
      </c>
      <c r="V1076" s="1273" t="str">
        <f ca="1">VLOOKUP(V$1069,'NG Analysis'!$A$83:$N$93,$N1076,FALSE)</f>
        <v/>
      </c>
      <c r="W1076" s="1273" t="str">
        <f ca="1">VLOOKUP(W$1069,'NG Analysis'!$A$83:$N$93,$N1076,FALSE)</f>
        <v/>
      </c>
      <c r="X1076" s="1439"/>
    </row>
    <row r="1077" spans="1:24" x14ac:dyDescent="0.3">
      <c r="A1077" s="1072">
        <v>10</v>
      </c>
      <c r="B1077" s="708" t="e">
        <f>IF(AND($A1183&lt;=DATE('Elec. Analysis'!$A$82, 12,1),$A1183&gt;=DATE('Elec. Analysis'!$A$82, 1, 1)), $A1183, NA())</f>
        <v>#N/A</v>
      </c>
      <c r="C1077" s="1273" t="str">
        <f ca="1">VLOOKUP(C$1069,'Elec. Analysis'!$A$81:$N$91,$A1077,FALSE)</f>
        <v/>
      </c>
      <c r="D1077" s="1273" t="str">
        <f ca="1">VLOOKUP(D$1069,'Elec. Analysis'!$A$81:$N$91,$A1077,FALSE)</f>
        <v/>
      </c>
      <c r="E1077" s="1273" t="str">
        <f ca="1">VLOOKUP(E$1069,'Elec. Analysis'!$A$81:$N$91,$A1077,FALSE)</f>
        <v/>
      </c>
      <c r="F1077" s="1273" t="str">
        <f ca="1">VLOOKUP(F$1069,'Elec. Analysis'!$A$81:$N$91,$A1077,FALSE)</f>
        <v/>
      </c>
      <c r="G1077" s="1273" t="str">
        <f ca="1">VLOOKUP(G$1069,'Elec. Analysis'!$A$81:$N$91,$A1077,FALSE)</f>
        <v/>
      </c>
      <c r="H1077" s="1273" t="str">
        <f ca="1">VLOOKUP(H$1069,'Elec. Analysis'!$A$81:$N$91,$A1077,FALSE)</f>
        <v/>
      </c>
      <c r="I1077" s="1273" t="str">
        <f ca="1">VLOOKUP(I$1069,'Elec. Analysis'!$A$81:$N$91,$A1077,FALSE)</f>
        <v/>
      </c>
      <c r="J1077" s="1273" t="str">
        <f ca="1">VLOOKUP(J$1069,'Elec. Analysis'!$A$81:$N$91,$A1077,FALSE)</f>
        <v/>
      </c>
      <c r="K1077" s="1273" t="str">
        <f ca="1">VLOOKUP(K$1069,'Elec. Analysis'!$A$81:$N$91,$A1077,FALSE)</f>
        <v/>
      </c>
      <c r="L1077" s="1374"/>
      <c r="M1077" s="1374"/>
      <c r="N1077" s="1076">
        <v>10</v>
      </c>
      <c r="O1077" s="708" t="e">
        <f>IF(AND($A1183&lt;=DATE('NG Analysis'!$A$84, 12,1),$A1183&gt;=DATE('NG Analysis'!$A$84, 1, 1)), $A1183, NA())</f>
        <v>#N/A</v>
      </c>
      <c r="P1077" s="1273" t="str">
        <f ca="1">VLOOKUP(P$1069,'NG Analysis'!$A$83:$N$93,$N1077,FALSE)</f>
        <v/>
      </c>
      <c r="Q1077" s="1273" t="str">
        <f ca="1">VLOOKUP(Q$1069,'NG Analysis'!$A$83:$N$93,$N1077,FALSE)</f>
        <v/>
      </c>
      <c r="R1077" s="1273" t="str">
        <f ca="1">VLOOKUP(R$1069,'NG Analysis'!$A$83:$N$93,$N1077,FALSE)</f>
        <v/>
      </c>
      <c r="S1077" s="1273" t="str">
        <f ca="1">VLOOKUP(S$1069,'NG Analysis'!$A$83:$N$93,$N1077,FALSE)</f>
        <v/>
      </c>
      <c r="T1077" s="1273" t="str">
        <f ca="1">VLOOKUP(T$1069,'NG Analysis'!$A$83:$N$93,$N1077,FALSE)</f>
        <v/>
      </c>
      <c r="U1077" s="1273" t="str">
        <f ca="1">VLOOKUP(U$1069,'NG Analysis'!$A$83:$N$93,$N1077,FALSE)</f>
        <v/>
      </c>
      <c r="V1077" s="1273" t="str">
        <f ca="1">VLOOKUP(V$1069,'NG Analysis'!$A$83:$N$93,$N1077,FALSE)</f>
        <v/>
      </c>
      <c r="W1077" s="1273" t="str">
        <f ca="1">VLOOKUP(W$1069,'NG Analysis'!$A$83:$N$93,$N1077,FALSE)</f>
        <v/>
      </c>
      <c r="X1077" s="1439"/>
    </row>
    <row r="1078" spans="1:24" x14ac:dyDescent="0.3">
      <c r="A1078" s="1072">
        <v>11</v>
      </c>
      <c r="B1078" s="708" t="e">
        <f>IF(AND($A1184&lt;=DATE('Elec. Analysis'!$A$82, 12,1),$A1184&gt;=DATE('Elec. Analysis'!$A$82, 1, 1)), $A1184, NA())</f>
        <v>#N/A</v>
      </c>
      <c r="C1078" s="1273" t="str">
        <f ca="1">VLOOKUP(C$1069,'Elec. Analysis'!$A$81:$N$91,$A1078,FALSE)</f>
        <v/>
      </c>
      <c r="D1078" s="1273" t="str">
        <f ca="1">VLOOKUP(D$1069,'Elec. Analysis'!$A$81:$N$91,$A1078,FALSE)</f>
        <v/>
      </c>
      <c r="E1078" s="1273" t="str">
        <f ca="1">VLOOKUP(E$1069,'Elec. Analysis'!$A$81:$N$91,$A1078,FALSE)</f>
        <v/>
      </c>
      <c r="F1078" s="1273" t="str">
        <f ca="1">VLOOKUP(F$1069,'Elec. Analysis'!$A$81:$N$91,$A1078,FALSE)</f>
        <v/>
      </c>
      <c r="G1078" s="1273" t="str">
        <f ca="1">VLOOKUP(G$1069,'Elec. Analysis'!$A$81:$N$91,$A1078,FALSE)</f>
        <v/>
      </c>
      <c r="H1078" s="1273" t="str">
        <f ca="1">VLOOKUP(H$1069,'Elec. Analysis'!$A$81:$N$91,$A1078,FALSE)</f>
        <v/>
      </c>
      <c r="I1078" s="1273" t="str">
        <f ca="1">VLOOKUP(I$1069,'Elec. Analysis'!$A$81:$N$91,$A1078,FALSE)</f>
        <v/>
      </c>
      <c r="J1078" s="1273" t="str">
        <f ca="1">VLOOKUP(J$1069,'Elec. Analysis'!$A$81:$N$91,$A1078,FALSE)</f>
        <v/>
      </c>
      <c r="K1078" s="1273" t="str">
        <f ca="1">VLOOKUP(K$1069,'Elec. Analysis'!$A$81:$N$91,$A1078,FALSE)</f>
        <v/>
      </c>
      <c r="L1078" s="1374"/>
      <c r="M1078" s="1374"/>
      <c r="N1078" s="1076">
        <v>11</v>
      </c>
      <c r="O1078" s="708" t="e">
        <f>IF(AND($A1184&lt;=DATE('NG Analysis'!$A$84, 12,1),$A1184&gt;=DATE('NG Analysis'!$A$84, 1, 1)), $A1184, NA())</f>
        <v>#N/A</v>
      </c>
      <c r="P1078" s="1273" t="str">
        <f ca="1">VLOOKUP(P$1069,'NG Analysis'!$A$83:$N$93,$N1078,FALSE)</f>
        <v/>
      </c>
      <c r="Q1078" s="1273" t="str">
        <f ca="1">VLOOKUP(Q$1069,'NG Analysis'!$A$83:$N$93,$N1078,FALSE)</f>
        <v/>
      </c>
      <c r="R1078" s="1273" t="str">
        <f ca="1">VLOOKUP(R$1069,'NG Analysis'!$A$83:$N$93,$N1078,FALSE)</f>
        <v/>
      </c>
      <c r="S1078" s="1273" t="str">
        <f ca="1">VLOOKUP(S$1069,'NG Analysis'!$A$83:$N$93,$N1078,FALSE)</f>
        <v/>
      </c>
      <c r="T1078" s="1273" t="str">
        <f ca="1">VLOOKUP(T$1069,'NG Analysis'!$A$83:$N$93,$N1078,FALSE)</f>
        <v/>
      </c>
      <c r="U1078" s="1273" t="str">
        <f ca="1">VLOOKUP(U$1069,'NG Analysis'!$A$83:$N$93,$N1078,FALSE)</f>
        <v/>
      </c>
      <c r="V1078" s="1273" t="str">
        <f ca="1">VLOOKUP(V$1069,'NG Analysis'!$A$83:$N$93,$N1078,FALSE)</f>
        <v/>
      </c>
      <c r="W1078" s="1273" t="str">
        <f ca="1">VLOOKUP(W$1069,'NG Analysis'!$A$83:$N$93,$N1078,FALSE)</f>
        <v/>
      </c>
      <c r="X1078" s="1439"/>
    </row>
    <row r="1079" spans="1:24" x14ac:dyDescent="0.3">
      <c r="A1079" s="1072">
        <v>12</v>
      </c>
      <c r="B1079" s="708" t="e">
        <f>IF(AND($A1185&lt;=DATE('Elec. Analysis'!$A$82, 12,1),$A1185&gt;=DATE('Elec. Analysis'!$A$82, 1, 1)), $A1185, NA())</f>
        <v>#N/A</v>
      </c>
      <c r="C1079" s="1273" t="str">
        <f ca="1">VLOOKUP(C$1069,'Elec. Analysis'!$A$81:$N$91,$A1079,FALSE)</f>
        <v/>
      </c>
      <c r="D1079" s="1273" t="str">
        <f ca="1">VLOOKUP(D$1069,'Elec. Analysis'!$A$81:$N$91,$A1079,FALSE)</f>
        <v/>
      </c>
      <c r="E1079" s="1273" t="str">
        <f ca="1">VLOOKUP(E$1069,'Elec. Analysis'!$A$81:$N$91,$A1079,FALSE)</f>
        <v/>
      </c>
      <c r="F1079" s="1273" t="str">
        <f ca="1">VLOOKUP(F$1069,'Elec. Analysis'!$A$81:$N$91,$A1079,FALSE)</f>
        <v/>
      </c>
      <c r="G1079" s="1273" t="str">
        <f ca="1">VLOOKUP(G$1069,'Elec. Analysis'!$A$81:$N$91,$A1079,FALSE)</f>
        <v/>
      </c>
      <c r="H1079" s="1273" t="str">
        <f ca="1">VLOOKUP(H$1069,'Elec. Analysis'!$A$81:$N$91,$A1079,FALSE)</f>
        <v/>
      </c>
      <c r="I1079" s="1273" t="str">
        <f ca="1">VLOOKUP(I$1069,'Elec. Analysis'!$A$81:$N$91,$A1079,FALSE)</f>
        <v/>
      </c>
      <c r="J1079" s="1273" t="str">
        <f ca="1">VLOOKUP(J$1069,'Elec. Analysis'!$A$81:$N$91,$A1079,FALSE)</f>
        <v/>
      </c>
      <c r="K1079" s="1273" t="str">
        <f ca="1">VLOOKUP(K$1069,'Elec. Analysis'!$A$81:$N$91,$A1079,FALSE)</f>
        <v/>
      </c>
      <c r="L1079" s="1374"/>
      <c r="M1079" s="1374"/>
      <c r="N1079" s="1076">
        <v>12</v>
      </c>
      <c r="O1079" s="708" t="e">
        <f>IF(AND($A1185&lt;=DATE('NG Analysis'!$A$84, 12,1),$A1185&gt;=DATE('NG Analysis'!$A$84, 1, 1)), $A1185, NA())</f>
        <v>#N/A</v>
      </c>
      <c r="P1079" s="1273" t="str">
        <f ca="1">VLOOKUP(P$1069,'NG Analysis'!$A$83:$N$93,$N1079,FALSE)</f>
        <v/>
      </c>
      <c r="Q1079" s="1273" t="str">
        <f ca="1">VLOOKUP(Q$1069,'NG Analysis'!$A$83:$N$93,$N1079,FALSE)</f>
        <v/>
      </c>
      <c r="R1079" s="1273" t="str">
        <f ca="1">VLOOKUP(R$1069,'NG Analysis'!$A$83:$N$93,$N1079,FALSE)</f>
        <v/>
      </c>
      <c r="S1079" s="1273" t="str">
        <f ca="1">VLOOKUP(S$1069,'NG Analysis'!$A$83:$N$93,$N1079,FALSE)</f>
        <v/>
      </c>
      <c r="T1079" s="1273" t="str">
        <f ca="1">VLOOKUP(T$1069,'NG Analysis'!$A$83:$N$93,$N1079,FALSE)</f>
        <v/>
      </c>
      <c r="U1079" s="1273" t="str">
        <f ca="1">VLOOKUP(U$1069,'NG Analysis'!$A$83:$N$93,$N1079,FALSE)</f>
        <v/>
      </c>
      <c r="V1079" s="1273" t="str">
        <f ca="1">VLOOKUP(V$1069,'NG Analysis'!$A$83:$N$93,$N1079,FALSE)</f>
        <v/>
      </c>
      <c r="W1079" s="1273" t="str">
        <f ca="1">VLOOKUP(W$1069,'NG Analysis'!$A$83:$N$93,$N1079,FALSE)</f>
        <v/>
      </c>
      <c r="X1079" s="1439"/>
    </row>
    <row r="1080" spans="1:24" x14ac:dyDescent="0.3">
      <c r="A1080" s="1072">
        <v>13</v>
      </c>
      <c r="B1080" s="708" t="e">
        <f>IF(AND($A1186&lt;=DATE('Elec. Analysis'!$A$82, 12,1),$A1186&gt;=DATE('Elec. Analysis'!$A$82, 1, 1)), $A1186, NA())</f>
        <v>#N/A</v>
      </c>
      <c r="C1080" s="1273" t="str">
        <f ca="1">VLOOKUP(C$1069,'Elec. Analysis'!$A$81:$N$91,$A1080,FALSE)</f>
        <v/>
      </c>
      <c r="D1080" s="1273" t="str">
        <f ca="1">VLOOKUP(D$1069,'Elec. Analysis'!$A$81:$N$91,$A1080,FALSE)</f>
        <v/>
      </c>
      <c r="E1080" s="1273" t="str">
        <f ca="1">VLOOKUP(E$1069,'Elec. Analysis'!$A$81:$N$91,$A1080,FALSE)</f>
        <v/>
      </c>
      <c r="F1080" s="1273" t="str">
        <f ca="1">VLOOKUP(F$1069,'Elec. Analysis'!$A$81:$N$91,$A1080,FALSE)</f>
        <v/>
      </c>
      <c r="G1080" s="1273" t="str">
        <f ca="1">VLOOKUP(G$1069,'Elec. Analysis'!$A$81:$N$91,$A1080,FALSE)</f>
        <v/>
      </c>
      <c r="H1080" s="1273" t="str">
        <f ca="1">VLOOKUP(H$1069,'Elec. Analysis'!$A$81:$N$91,$A1080,FALSE)</f>
        <v/>
      </c>
      <c r="I1080" s="1273" t="str">
        <f ca="1">VLOOKUP(I$1069,'Elec. Analysis'!$A$81:$N$91,$A1080,FALSE)</f>
        <v/>
      </c>
      <c r="J1080" s="1273" t="str">
        <f ca="1">VLOOKUP(J$1069,'Elec. Analysis'!$A$81:$N$91,$A1080,FALSE)</f>
        <v/>
      </c>
      <c r="K1080" s="1273" t="str">
        <f ca="1">VLOOKUP(K$1069,'Elec. Analysis'!$A$81:$N$91,$A1080,FALSE)</f>
        <v/>
      </c>
      <c r="L1080" s="1374"/>
      <c r="M1080" s="1374"/>
      <c r="N1080" s="1076">
        <v>13</v>
      </c>
      <c r="O1080" s="708" t="e">
        <f>IF(AND($A1186&lt;=DATE('NG Analysis'!$A$84, 12,1),$A1186&gt;=DATE('NG Analysis'!$A$84, 1, 1)), $A1186, NA())</f>
        <v>#N/A</v>
      </c>
      <c r="P1080" s="1273" t="str">
        <f ca="1">VLOOKUP(P$1069,'NG Analysis'!$A$83:$N$93,$N1080,FALSE)</f>
        <v/>
      </c>
      <c r="Q1080" s="1273" t="str">
        <f ca="1">VLOOKUP(Q$1069,'NG Analysis'!$A$83:$N$93,$N1080,FALSE)</f>
        <v/>
      </c>
      <c r="R1080" s="1273" t="str">
        <f ca="1">VLOOKUP(R$1069,'NG Analysis'!$A$83:$N$93,$N1080,FALSE)</f>
        <v/>
      </c>
      <c r="S1080" s="1273" t="str">
        <f ca="1">VLOOKUP(S$1069,'NG Analysis'!$A$83:$N$93,$N1080,FALSE)</f>
        <v/>
      </c>
      <c r="T1080" s="1273" t="str">
        <f ca="1">VLOOKUP(T$1069,'NG Analysis'!$A$83:$N$93,$N1080,FALSE)</f>
        <v/>
      </c>
      <c r="U1080" s="1273" t="str">
        <f ca="1">VLOOKUP(U$1069,'NG Analysis'!$A$83:$N$93,$N1080,FALSE)</f>
        <v/>
      </c>
      <c r="V1080" s="1273" t="str">
        <f ca="1">VLOOKUP(V$1069,'NG Analysis'!$A$83:$N$93,$N1080,FALSE)</f>
        <v/>
      </c>
      <c r="W1080" s="1273" t="str">
        <f ca="1">VLOOKUP(W$1069,'NG Analysis'!$A$83:$N$93,$N1080,FALSE)</f>
        <v/>
      </c>
      <c r="X1080" s="1439"/>
    </row>
    <row r="1081" spans="1:24" x14ac:dyDescent="0.3">
      <c r="A1081" s="1072">
        <v>14</v>
      </c>
      <c r="B1081" s="708" t="e">
        <f>IF(AND($A1187&lt;=DATE('Elec. Analysis'!$A$82, 12,1),$A1187&gt;=DATE('Elec. Analysis'!$A$82, 1, 1)), $A1187, NA())</f>
        <v>#N/A</v>
      </c>
      <c r="C1081" s="1273" t="str">
        <f ca="1">VLOOKUP(C$1069,'Elec. Analysis'!$A$81:$N$91,$A1081,FALSE)</f>
        <v/>
      </c>
      <c r="D1081" s="1273" t="str">
        <f ca="1">VLOOKUP(D$1069,'Elec. Analysis'!$A$81:$N$91,$A1081,FALSE)</f>
        <v/>
      </c>
      <c r="E1081" s="1273" t="str">
        <f ca="1">VLOOKUP(E$1069,'Elec. Analysis'!$A$81:$N$91,$A1081,FALSE)</f>
        <v/>
      </c>
      <c r="F1081" s="1273" t="str">
        <f ca="1">VLOOKUP(F$1069,'Elec. Analysis'!$A$81:$N$91,$A1081,FALSE)</f>
        <v/>
      </c>
      <c r="G1081" s="1273" t="str">
        <f ca="1">VLOOKUP(G$1069,'Elec. Analysis'!$A$81:$N$91,$A1081,FALSE)</f>
        <v/>
      </c>
      <c r="H1081" s="1273" t="str">
        <f ca="1">VLOOKUP(H$1069,'Elec. Analysis'!$A$81:$N$91,$A1081,FALSE)</f>
        <v/>
      </c>
      <c r="I1081" s="1273" t="str">
        <f ca="1">VLOOKUP(I$1069,'Elec. Analysis'!$A$81:$N$91,$A1081,FALSE)</f>
        <v/>
      </c>
      <c r="J1081" s="1273" t="str">
        <f ca="1">VLOOKUP(J$1069,'Elec. Analysis'!$A$81:$N$91,$A1081,FALSE)</f>
        <v/>
      </c>
      <c r="K1081" s="1273" t="str">
        <f ca="1">VLOOKUP(K$1069,'Elec. Analysis'!$A$81:$N$91,$A1081,FALSE)</f>
        <v/>
      </c>
      <c r="L1081" s="1374"/>
      <c r="M1081" s="1374"/>
      <c r="N1081" s="1076">
        <v>14</v>
      </c>
      <c r="O1081" s="708" t="e">
        <f>IF(AND($A1187&lt;=DATE('NG Analysis'!$A$84, 12,1),$A1187&gt;=DATE('NG Analysis'!$A$84, 1, 1)), $A1187, NA())</f>
        <v>#N/A</v>
      </c>
      <c r="P1081" s="1273" t="str">
        <f ca="1">VLOOKUP(P$1069,'NG Analysis'!$A$83:$N$93,$N1081,FALSE)</f>
        <v/>
      </c>
      <c r="Q1081" s="1273" t="str">
        <f ca="1">VLOOKUP(Q$1069,'NG Analysis'!$A$83:$N$93,$N1081,FALSE)</f>
        <v/>
      </c>
      <c r="R1081" s="1273" t="str">
        <f ca="1">VLOOKUP(R$1069,'NG Analysis'!$A$83:$N$93,$N1081,FALSE)</f>
        <v/>
      </c>
      <c r="S1081" s="1273" t="str">
        <f ca="1">VLOOKUP(S$1069,'NG Analysis'!$A$83:$N$93,$N1081,FALSE)</f>
        <v/>
      </c>
      <c r="T1081" s="1273" t="str">
        <f ca="1">VLOOKUP(T$1069,'NG Analysis'!$A$83:$N$93,$N1081,FALSE)</f>
        <v/>
      </c>
      <c r="U1081" s="1273" t="str">
        <f ca="1">VLOOKUP(U$1069,'NG Analysis'!$A$83:$N$93,$N1081,FALSE)</f>
        <v/>
      </c>
      <c r="V1081" s="1273" t="str">
        <f ca="1">VLOOKUP(V$1069,'NG Analysis'!$A$83:$N$93,$N1081,FALSE)</f>
        <v/>
      </c>
      <c r="W1081" s="1273" t="str">
        <f ca="1">VLOOKUP(W$1069,'NG Analysis'!$A$83:$N$93,$N1081,FALSE)</f>
        <v/>
      </c>
      <c r="X1081" s="1439"/>
    </row>
    <row r="1082" spans="1:24" x14ac:dyDescent="0.3">
      <c r="A1082" s="1072">
        <v>3</v>
      </c>
      <c r="B1082" s="708" t="e">
        <f>IF(AND($A1188&lt;=DATE('Elec. Analysis'!$A$82, 12,1),$A1188&gt;=DATE('Elec. Analysis'!$A$82, 1, 1)), $A1188, NA())</f>
        <v>#N/A</v>
      </c>
      <c r="C1082" s="1273">
        <f ca="1">VLOOKUP(C$1069,'Elec. Analysis'!$A$81:$N$91,$A1082,FALSE)</f>
        <v>11.756793629373167</v>
      </c>
      <c r="D1082" s="1273">
        <f ca="1">VLOOKUP(D$1069,'Elec. Analysis'!$A$81:$N$91,$A1082,FALSE)</f>
        <v>16.144211000000002</v>
      </c>
      <c r="E1082" s="1273">
        <f ca="1">VLOOKUP(E$1069,'Elec. Analysis'!$A$81:$N$91,$A1082,FALSE)</f>
        <v>6.3275144257146358</v>
      </c>
      <c r="F1082" s="1273">
        <f ca="1">VLOOKUP(F$1069,'Elec. Analysis'!$A$81:$N$91,$A1082,FALSE)</f>
        <v>10.302466363166253</v>
      </c>
      <c r="G1082" s="1273">
        <f ca="1">VLOOKUP(G$1069,'Elec. Analysis'!$A$81:$N$91,$A1082,FALSE)</f>
        <v>15.633512574909027</v>
      </c>
      <c r="H1082" s="1273">
        <f ca="1">VLOOKUP(H$1069,'Elec. Analysis'!$A$81:$N$91,$A1082,FALSE)</f>
        <v>1.7934501508302387</v>
      </c>
      <c r="I1082" s="1273">
        <f ca="1">VLOOKUP(I$1069,'Elec. Analysis'!$A$81:$N$91,$A1082,FALSE)</f>
        <v>41.075988634710761</v>
      </c>
      <c r="J1082" s="1273">
        <f ca="1">VLOOKUP(J$1069,'Elec. Analysis'!$A$81:$N$91,$A1082,FALSE)</f>
        <v>6.3983999999999996</v>
      </c>
      <c r="K1082" s="1273">
        <f ca="1">VLOOKUP(K$1069,'Elec. Analysis'!$A$81:$N$91,$A1082,FALSE)</f>
        <v>5.4716168389352049</v>
      </c>
      <c r="L1082" s="1374"/>
      <c r="M1082" s="1374"/>
      <c r="N1082" s="1076">
        <v>3</v>
      </c>
      <c r="O1082" s="708" t="e">
        <f>IF(AND($A1188&lt;=DATE('NG Analysis'!$A$84, 12,1),$A1188&gt;=DATE('NG Analysis'!$A$84, 1, 1)), $A1188, NA())</f>
        <v>#N/A</v>
      </c>
      <c r="P1082" s="1273">
        <f ca="1">VLOOKUP(P$1069,'NG Analysis'!$A$83:$N$93,$N1082,FALSE)</f>
        <v>25.946999999999999</v>
      </c>
      <c r="Q1082" s="1273">
        <f ca="1">VLOOKUP(Q$1069,'NG Analysis'!$A$83:$N$93,$N1082,FALSE)</f>
        <v>13.961815841257177</v>
      </c>
      <c r="R1082" s="1273">
        <f ca="1">VLOOKUP(R$1069,'NG Analysis'!$A$83:$N$93,$N1082,FALSE)</f>
        <v>8.1124896049438657</v>
      </c>
      <c r="S1082" s="1273">
        <f ca="1">VLOOKUP(S$1069,'NG Analysis'!$A$83:$N$93,$N1082,FALSE)</f>
        <v>7.5956320197913003</v>
      </c>
      <c r="T1082" s="1273">
        <f ca="1">VLOOKUP(T$1069,'NG Analysis'!$A$83:$N$93,$N1082,FALSE)</f>
        <v>25.515260554287845</v>
      </c>
      <c r="U1082" s="1273">
        <f ca="1">VLOOKUP(U$1069,'NG Analysis'!$A$83:$N$93,$N1082,FALSE)</f>
        <v>8.4320000000000004</v>
      </c>
      <c r="V1082" s="1273">
        <f ca="1">VLOOKUP(V$1069,'NG Analysis'!$A$83:$N$93,$N1082,FALSE)</f>
        <v>25.548944066570733</v>
      </c>
      <c r="W1082" s="1273">
        <f ca="1">VLOOKUP(W$1069,'NG Analysis'!$A$83:$N$93,$N1082,FALSE)</f>
        <v>5.7556571043425464</v>
      </c>
      <c r="X1082" s="1439"/>
    </row>
    <row r="1083" spans="1:24" x14ac:dyDescent="0.3">
      <c r="A1083" s="1072">
        <v>4</v>
      </c>
      <c r="B1083" s="708" t="e">
        <f>IF(AND($A1189&lt;=DATE('Elec. Analysis'!$A$82, 12,1),$A1189&gt;=DATE('Elec. Analysis'!$A$82, 1, 1)), $A1189, NA())</f>
        <v>#N/A</v>
      </c>
      <c r="C1083" s="1273">
        <f ca="1">VLOOKUP(C$1069,'Elec. Analysis'!$A$81:$N$91,$A1083,FALSE)</f>
        <v>12.288850572617701</v>
      </c>
      <c r="D1083" s="1273">
        <f ca="1">VLOOKUP(D$1069,'Elec. Analysis'!$A$81:$N$91,$A1083,FALSE)</f>
        <v>14.581868000000002</v>
      </c>
      <c r="E1083" s="1273">
        <f ca="1">VLOOKUP(E$1069,'Elec. Analysis'!$A$81:$N$91,$A1083,FALSE)</f>
        <v>6.6138678388825181</v>
      </c>
      <c r="F1083" s="1273">
        <f ca="1">VLOOKUP(F$1069,'Elec. Analysis'!$A$81:$N$91,$A1083,FALSE)</f>
        <v>10.508661424130576</v>
      </c>
      <c r="G1083" s="1273">
        <f ca="1">VLOOKUP(G$1069,'Elec. Analysis'!$A$81:$N$91,$A1083,FALSE)</f>
        <v>16.2933180673412</v>
      </c>
      <c r="H1083" s="1273">
        <f ca="1">VLOOKUP(H$1069,'Elec. Analysis'!$A$81:$N$91,$A1083,FALSE)</f>
        <v>1.8746132328059373</v>
      </c>
      <c r="I1083" s="1273">
        <f ca="1">VLOOKUP(I$1069,'Elec. Analysis'!$A$81:$N$91,$A1083,FALSE)</f>
        <v>42.93489384668365</v>
      </c>
      <c r="J1083" s="1273">
        <f ca="1">VLOOKUP(J$1069,'Elec. Analysis'!$A$81:$N$91,$A1083,FALSE)</f>
        <v>5.7792000000000003</v>
      </c>
      <c r="K1083" s="1273">
        <f ca="1">VLOOKUP(K$1069,'Elec. Analysis'!$A$81:$N$91,$A1083,FALSE)</f>
        <v>5.5437636491230808</v>
      </c>
      <c r="L1083" s="1374"/>
      <c r="M1083" s="1374"/>
      <c r="N1083" s="1076">
        <v>4</v>
      </c>
      <c r="O1083" s="708" t="e">
        <f>IF(AND($A1189&lt;=DATE('NG Analysis'!$A$84, 12,1),$A1189&gt;=DATE('NG Analysis'!$A$84, 1, 1)), $A1189, NA())</f>
        <v>#N/A</v>
      </c>
      <c r="P1083" s="1273">
        <f ca="1">VLOOKUP(P$1069,'NG Analysis'!$A$83:$N$93,$N1083,FALSE)</f>
        <v>23.436</v>
      </c>
      <c r="Q1083" s="1273">
        <f ca="1">VLOOKUP(Q$1069,'NG Analysis'!$A$83:$N$93,$N1083,FALSE)</f>
        <v>21.645384041554284</v>
      </c>
      <c r="R1083" s="1273">
        <f ca="1">VLOOKUP(R$1069,'NG Analysis'!$A$83:$N$93,$N1083,FALSE)</f>
        <v>12.372592105843843</v>
      </c>
      <c r="S1083" s="1273">
        <f ca="1">VLOOKUP(S$1069,'NG Analysis'!$A$83:$N$93,$N1083,FALSE)</f>
        <v>14.323715564223139</v>
      </c>
      <c r="T1083" s="1273">
        <f ca="1">VLOOKUP(T$1069,'NG Analysis'!$A$83:$N$93,$N1083,FALSE)</f>
        <v>51.959365793357087</v>
      </c>
      <c r="U1083" s="1273">
        <f ca="1">VLOOKUP(U$1069,'NG Analysis'!$A$83:$N$93,$N1083,FALSE)</f>
        <v>7.6160000000000005</v>
      </c>
      <c r="V1083" s="1273">
        <f ca="1">VLOOKUP(V$1069,'NG Analysis'!$A$83:$N$93,$N1083,FALSE)</f>
        <v>39.609225079659645</v>
      </c>
      <c r="W1083" s="1273">
        <f ca="1">VLOOKUP(W$1069,'NG Analysis'!$A$83:$N$93,$N1083,FALSE)</f>
        <v>8.5481141292318998</v>
      </c>
      <c r="X1083" s="1439"/>
    </row>
    <row r="1084" spans="1:24" x14ac:dyDescent="0.3">
      <c r="A1084" s="1072">
        <v>5</v>
      </c>
      <c r="B1084" s="708" t="e">
        <f>IF(AND($A1190&lt;=DATE('Elec. Analysis'!$A$82, 12,1),$A1190&gt;=DATE('Elec. Analysis'!$A$82, 1, 1)), $A1190, NA())</f>
        <v>#N/A</v>
      </c>
      <c r="C1084" s="1273">
        <f ca="1">VLOOKUP(C$1069,'Elec. Analysis'!$A$81:$N$91,$A1084,FALSE)</f>
        <v>11.255044002309154</v>
      </c>
      <c r="D1084" s="1273">
        <f ca="1">VLOOKUP(D$1069,'Elec. Analysis'!$A$81:$N$91,$A1084,FALSE)</f>
        <v>16.144211000000002</v>
      </c>
      <c r="E1084" s="1273">
        <f ca="1">VLOOKUP(E$1069,'Elec. Analysis'!$A$81:$N$91,$A1084,FALSE)</f>
        <v>6.0574724309812682</v>
      </c>
      <c r="F1084" s="1273">
        <f ca="1">VLOOKUP(F$1069,'Elec. Analysis'!$A$81:$N$91,$A1084,FALSE)</f>
        <v>9.3716963955057278</v>
      </c>
      <c r="G1084" s="1273">
        <f ca="1">VLOOKUP(G$1069,'Elec. Analysis'!$A$81:$N$91,$A1084,FALSE)</f>
        <v>14.980645643015643</v>
      </c>
      <c r="H1084" s="1273">
        <f ca="1">VLOOKUP(H$1069,'Elec. Analysis'!$A$81:$N$91,$A1084,FALSE)</f>
        <v>1.7169103243516355</v>
      </c>
      <c r="I1084" s="1273">
        <f ca="1">VLOOKUP(I$1069,'Elec. Analysis'!$A$81:$N$91,$A1084,FALSE)</f>
        <v>34.199419529186834</v>
      </c>
      <c r="J1084" s="1273">
        <f ca="1">VLOOKUP(J$1069,'Elec. Analysis'!$A$81:$N$91,$A1084,FALSE)</f>
        <v>6.3983999999999996</v>
      </c>
      <c r="K1084" s="1273">
        <f ca="1">VLOOKUP(K$1069,'Elec. Analysis'!$A$81:$N$91,$A1084,FALSE)</f>
        <v>5.0061899662675131</v>
      </c>
      <c r="L1084" s="1374"/>
      <c r="M1084" s="1374"/>
      <c r="N1084" s="1076">
        <v>5</v>
      </c>
      <c r="O1084" s="708" t="e">
        <f>IF(AND($A1190&lt;=DATE('NG Analysis'!$A$84, 12,1),$A1190&gt;=DATE('NG Analysis'!$A$84, 1, 1)), $A1190, NA())</f>
        <v>#N/A</v>
      </c>
      <c r="P1084" s="1273">
        <f ca="1">VLOOKUP(P$1069,'NG Analysis'!$A$83:$N$93,$N1084,FALSE)</f>
        <v>25.946999999999999</v>
      </c>
      <c r="Q1084" s="1273">
        <f ca="1">VLOOKUP(Q$1069,'NG Analysis'!$A$83:$N$93,$N1084,FALSE)</f>
        <v>13.092799736790329</v>
      </c>
      <c r="R1084" s="1273">
        <f ca="1">VLOOKUP(R$1069,'NG Analysis'!$A$83:$N$93,$N1084,FALSE)</f>
        <v>11.73428222700306</v>
      </c>
      <c r="S1084" s="1273">
        <f ca="1">VLOOKUP(S$1069,'NG Analysis'!$A$83:$N$93,$N1084,FALSE)</f>
        <v>16.356017339480474</v>
      </c>
      <c r="T1084" s="1273">
        <f ca="1">VLOOKUP(T$1069,'NG Analysis'!$A$83:$N$93,$N1084,FALSE)</f>
        <v>50.223284876952057</v>
      </c>
      <c r="U1084" s="1273">
        <f ca="1">VLOOKUP(U$1069,'NG Analysis'!$A$83:$N$93,$N1084,FALSE)</f>
        <v>8.4320000000000004</v>
      </c>
      <c r="V1084" s="1273">
        <f ca="1">VLOOKUP(V$1069,'NG Analysis'!$A$83:$N$93,$N1084,FALSE)</f>
        <v>23.95871797431958</v>
      </c>
      <c r="W1084" s="1273">
        <f ca="1">VLOOKUP(W$1069,'NG Analysis'!$A$83:$N$93,$N1084,FALSE)</f>
        <v>7.4872051077272763</v>
      </c>
      <c r="X1084" s="1439"/>
    </row>
    <row r="1085" spans="1:24" x14ac:dyDescent="0.3">
      <c r="A1085" s="1072">
        <v>6</v>
      </c>
      <c r="B1085" s="708" t="e">
        <f>IF(AND($A1191&lt;=DATE('Elec. Analysis'!$A$82, 12,1),$A1191&gt;=DATE('Elec. Analysis'!$A$82, 1, 1)), $A1191, NA())</f>
        <v>#N/A</v>
      </c>
      <c r="C1085" s="1273">
        <f ca="1">VLOOKUP(C$1069,'Elec. Analysis'!$A$81:$N$91,$A1085,FALSE)</f>
        <v>9.9612632133702341</v>
      </c>
      <c r="D1085" s="1273">
        <f ca="1">VLOOKUP(D$1069,'Elec. Analysis'!$A$81:$N$91,$A1085,FALSE)</f>
        <v>15.623430000000003</v>
      </c>
      <c r="E1085" s="1273">
        <f ca="1">VLOOKUP(E$1069,'Elec. Analysis'!$A$81:$N$91,$A1085,FALSE)</f>
        <v>5.3611587196245809</v>
      </c>
      <c r="F1085" s="1273">
        <f ca="1">VLOOKUP(F$1069,'Elec. Analysis'!$A$81:$N$91,$A1085,FALSE)</f>
        <v>8.5873991990290754</v>
      </c>
      <c r="G1085" s="1273">
        <f ca="1">VLOOKUP(G$1069,'Elec. Analysis'!$A$81:$N$91,$A1085,FALSE)</f>
        <v>13.777703726461645</v>
      </c>
      <c r="H1085" s="1273">
        <f ca="1">VLOOKUP(H$1069,'Elec. Analysis'!$A$81:$N$91,$A1085,FALSE)</f>
        <v>1.5195494261160265</v>
      </c>
      <c r="I1085" s="1273">
        <f ca="1">VLOOKUP(I$1069,'Elec. Analysis'!$A$81:$N$91,$A1085,FALSE)</f>
        <v>31.051217137911532</v>
      </c>
      <c r="J1085" s="1273">
        <f ca="1">VLOOKUP(J$1069,'Elec. Analysis'!$A$81:$N$91,$A1085,FALSE)</f>
        <v>6.1920000000000002</v>
      </c>
      <c r="K1085" s="1273">
        <f ca="1">VLOOKUP(K$1069,'Elec. Analysis'!$A$81:$N$91,$A1085,FALSE)</f>
        <v>4.6036860711256553</v>
      </c>
      <c r="L1085" s="1374"/>
      <c r="M1085" s="1374"/>
      <c r="N1085" s="1076">
        <v>6</v>
      </c>
      <c r="O1085" s="708" t="e">
        <f>IF(AND($A1191&lt;=DATE('NG Analysis'!$A$84, 12,1),$A1191&gt;=DATE('NG Analysis'!$A$84, 1, 1)), $A1191, NA())</f>
        <v>#N/A</v>
      </c>
      <c r="P1085" s="1273">
        <f ca="1">VLOOKUP(P$1069,'NG Analysis'!$A$83:$N$93,$N1085,FALSE)</f>
        <v>25.11</v>
      </c>
      <c r="Q1085" s="1273">
        <f ca="1">VLOOKUP(Q$1069,'NG Analysis'!$A$83:$N$93,$N1085,FALSE)</f>
        <v>7.9526381107213826</v>
      </c>
      <c r="R1085" s="1273">
        <f ca="1">VLOOKUP(R$1069,'NG Analysis'!$A$83:$N$93,$N1085,FALSE)</f>
        <v>7.9700690164135626</v>
      </c>
      <c r="S1085" s="1273">
        <f ca="1">VLOOKUP(S$1069,'NG Analysis'!$A$83:$N$93,$N1085,FALSE)</f>
        <v>10.951243499262032</v>
      </c>
      <c r="T1085" s="1273">
        <f ca="1">VLOOKUP(T$1069,'NG Analysis'!$A$83:$N$93,$N1085,FALSE)</f>
        <v>27.723913317231361</v>
      </c>
      <c r="U1085" s="1273">
        <f ca="1">VLOOKUP(U$1069,'NG Analysis'!$A$83:$N$93,$N1085,FALSE)</f>
        <v>8.16</v>
      </c>
      <c r="V1085" s="1273">
        <f ca="1">VLOOKUP(V$1069,'NG Analysis'!$A$83:$N$93,$N1085,FALSE)</f>
        <v>14.552656229148779</v>
      </c>
      <c r="W1085" s="1273">
        <f ca="1">VLOOKUP(W$1069,'NG Analysis'!$A$83:$N$93,$N1085,FALSE)</f>
        <v>5.1210260086388564</v>
      </c>
      <c r="X1085" s="1439"/>
    </row>
    <row r="1086" spans="1:24" x14ac:dyDescent="0.3">
      <c r="A1086" s="1072">
        <v>7</v>
      </c>
      <c r="B1086" s="708" t="e">
        <f>IF(AND($A1192&lt;=DATE('Elec. Analysis'!$A$82, 12,1),$A1192&gt;=DATE('Elec. Analysis'!$A$82, 1, 1)), $A1192, NA())</f>
        <v>#N/A</v>
      </c>
      <c r="C1086" s="1273">
        <f ca="1">VLOOKUP(C$1069,'Elec. Analysis'!$A$81:$N$91,$A1086,FALSE)</f>
        <v>9.5978677149152052</v>
      </c>
      <c r="D1086" s="1273">
        <f ca="1">VLOOKUP(D$1069,'Elec. Analysis'!$A$81:$N$91,$A1086,FALSE)</f>
        <v>16.144211000000002</v>
      </c>
      <c r="E1086" s="1273">
        <f ca="1">VLOOKUP(E$1069,'Elec. Analysis'!$A$81:$N$91,$A1086,FALSE)</f>
        <v>5.1655790121634277</v>
      </c>
      <c r="F1086" s="1273">
        <f ca="1">VLOOKUP(F$1069,'Elec. Analysis'!$A$81:$N$91,$A1086,FALSE)</f>
        <v>8.5747875462120167</v>
      </c>
      <c r="G1086" s="1273">
        <f ca="1">VLOOKUP(G$1069,'Elec. Analysis'!$A$81:$N$91,$A1086,FALSE)</f>
        <v>13.297768511495391</v>
      </c>
      <c r="H1086" s="1273">
        <f ca="1">VLOOKUP(H$1069,'Elec. Analysis'!$A$81:$N$91,$A1086,FALSE)</f>
        <v>1.4641149486504261</v>
      </c>
      <c r="I1086" s="1273">
        <f ca="1">VLOOKUP(I$1069,'Elec. Analysis'!$A$81:$N$91,$A1086,FALSE)</f>
        <v>31.51126480928334</v>
      </c>
      <c r="J1086" s="1273">
        <f ca="1">VLOOKUP(J$1069,'Elec. Analysis'!$A$81:$N$91,$A1086,FALSE)</f>
        <v>6.3983999999999996</v>
      </c>
      <c r="K1086" s="1273">
        <f ca="1">VLOOKUP(K$1069,'Elec. Analysis'!$A$81:$N$91,$A1086,FALSE)</f>
        <v>4.607699677135991</v>
      </c>
      <c r="L1086" s="1374"/>
      <c r="M1086" s="1374"/>
      <c r="N1086" s="1076">
        <v>7</v>
      </c>
      <c r="O1086" s="708" t="e">
        <f>IF(AND($A1192&lt;=DATE('NG Analysis'!$A$84, 12,1),$A1192&gt;=DATE('NG Analysis'!$A$84, 1, 1)), $A1192, NA())</f>
        <v>#N/A</v>
      </c>
      <c r="P1086" s="1273">
        <f ca="1">VLOOKUP(P$1069,'NG Analysis'!$A$83:$N$93,$N1086,FALSE)</f>
        <v>25.946999999999999</v>
      </c>
      <c r="Q1086" s="1273">
        <f ca="1">VLOOKUP(Q$1069,'NG Analysis'!$A$83:$N$93,$N1086,FALSE)</f>
        <v>6.2225451665778353</v>
      </c>
      <c r="R1086" s="1273">
        <f ca="1">VLOOKUP(R$1069,'NG Analysis'!$A$83:$N$93,$N1086,FALSE)</f>
        <v>6.5952077365448813</v>
      </c>
      <c r="S1086" s="1273">
        <f ca="1">VLOOKUP(S$1069,'NG Analysis'!$A$83:$N$93,$N1086,FALSE)</f>
        <v>10.041854584134954</v>
      </c>
      <c r="T1086" s="1273">
        <f ca="1">VLOOKUP(T$1069,'NG Analysis'!$A$83:$N$93,$N1086,FALSE)</f>
        <v>17.151406158782095</v>
      </c>
      <c r="U1086" s="1273">
        <f ca="1">VLOOKUP(U$1069,'NG Analysis'!$A$83:$N$93,$N1086,FALSE)</f>
        <v>8.4320000000000004</v>
      </c>
      <c r="V1086" s="1273">
        <f ca="1">VLOOKUP(V$1069,'NG Analysis'!$A$83:$N$93,$N1086,FALSE)</f>
        <v>10.652104343097346</v>
      </c>
      <c r="W1086" s="1273">
        <f ca="1">VLOOKUP(W$1069,'NG Analysis'!$A$83:$N$93,$N1086,FALSE)</f>
        <v>4.2521058994568559</v>
      </c>
      <c r="X1086" s="1439"/>
    </row>
    <row r="1087" spans="1:24" x14ac:dyDescent="0.3">
      <c r="A1087" s="1072">
        <v>8</v>
      </c>
      <c r="B1087" s="708" t="e">
        <f>IF(AND($A1193&lt;=DATE('Elec. Analysis'!$A$82, 12,1),$A1193&gt;=DATE('Elec. Analysis'!$A$82, 1, 1)), $A1193, NA())</f>
        <v>#N/A</v>
      </c>
      <c r="C1087" s="1273">
        <f ca="1">VLOOKUP(C$1069,'Elec. Analysis'!$A$81:$N$91,$A1087,FALSE)</f>
        <v>9.3281989935447278</v>
      </c>
      <c r="D1087" s="1273">
        <f ca="1">VLOOKUP(D$1069,'Elec. Analysis'!$A$81:$N$91,$A1087,FALSE)</f>
        <v>15.623429999999999</v>
      </c>
      <c r="E1087" s="1273">
        <f ca="1">VLOOKUP(E$1069,'Elec. Analysis'!$A$81:$N$91,$A1087,FALSE)</f>
        <v>5.0204431206587401</v>
      </c>
      <c r="F1087" s="1273">
        <f ca="1">VLOOKUP(F$1069,'Elec. Analysis'!$A$81:$N$91,$A1087,FALSE)</f>
        <v>8.326777408853685</v>
      </c>
      <c r="G1087" s="1273">
        <f ca="1">VLOOKUP(G$1069,'Elec. Analysis'!$A$81:$N$91,$A1087,FALSE)</f>
        <v>12.922747293722241</v>
      </c>
      <c r="H1087" s="1273">
        <f ca="1">VLOOKUP(H$1069,'Elec. Analysis'!$A$81:$N$91,$A1087,FALSE)</f>
        <v>1.4229781026478086</v>
      </c>
      <c r="I1087" s="1273">
        <f ca="1">VLOOKUP(I$1069,'Elec. Analysis'!$A$81:$N$91,$A1087,FALSE)</f>
        <v>30.630694018262528</v>
      </c>
      <c r="J1087" s="1273">
        <f ca="1">VLOOKUP(J$1069,'Elec. Analysis'!$A$81:$N$91,$A1087,FALSE)</f>
        <v>6.1920000000000002</v>
      </c>
      <c r="K1087" s="1273">
        <f ca="1">VLOOKUP(K$1069,'Elec. Analysis'!$A$81:$N$91,$A1087,FALSE)</f>
        <v>4.4733634468844867</v>
      </c>
      <c r="L1087" s="1374"/>
      <c r="M1087" s="1374"/>
      <c r="N1087" s="1076">
        <v>8</v>
      </c>
      <c r="O1087" s="708" t="e">
        <f>IF(AND($A1193&lt;=DATE('NG Analysis'!$A$84, 12,1),$A1193&gt;=DATE('NG Analysis'!$A$84, 1, 1)), $A1193, NA())</f>
        <v>#N/A</v>
      </c>
      <c r="P1087" s="1273">
        <f ca="1">VLOOKUP(P$1069,'NG Analysis'!$A$83:$N$93,$N1087,FALSE)</f>
        <v>25.11</v>
      </c>
      <c r="Q1087" s="1273">
        <f ca="1">VLOOKUP(Q$1069,'NG Analysis'!$A$83:$N$93,$N1087,FALSE)</f>
        <v>3.1037296499089999</v>
      </c>
      <c r="R1087" s="1273">
        <f ca="1">VLOOKUP(R$1069,'NG Analysis'!$A$83:$N$93,$N1087,FALSE)</f>
        <v>3.9898169179856966</v>
      </c>
      <c r="S1087" s="1273">
        <f ca="1">VLOOKUP(S$1069,'NG Analysis'!$A$83:$N$93,$N1087,FALSE)</f>
        <v>6.3316742137665356</v>
      </c>
      <c r="T1087" s="1273">
        <f ca="1">VLOOKUP(T$1069,'NG Analysis'!$A$83:$N$93,$N1087,FALSE)</f>
        <v>1.366539592541357</v>
      </c>
      <c r="U1087" s="1273">
        <f ca="1">VLOOKUP(U$1069,'NG Analysis'!$A$83:$N$93,$N1087,FALSE)</f>
        <v>8.16</v>
      </c>
      <c r="V1087" s="1273">
        <f ca="1">VLOOKUP(V$1069,'NG Analysis'!$A$83:$N$93,$N1087,FALSE)</f>
        <v>0</v>
      </c>
      <c r="W1087" s="1273">
        <f ca="1">VLOOKUP(W$1069,'NG Analysis'!$A$83:$N$93,$N1087,FALSE)</f>
        <v>2.4030880187101298</v>
      </c>
      <c r="X1087" s="1439"/>
    </row>
    <row r="1088" spans="1:24" x14ac:dyDescent="0.3">
      <c r="A1088" s="1072">
        <v>9</v>
      </c>
      <c r="B1088" s="708" t="e">
        <f>IF(AND($A1194&lt;=DATE('Elec. Analysis'!$A$82, 12,1),$A1194&gt;=DATE('Elec. Analysis'!$A$82, 1, 1)), $A1194, NA())</f>
        <v>#N/A</v>
      </c>
      <c r="C1088" s="1273" t="str">
        <f ca="1">VLOOKUP(C$1069,'Elec. Analysis'!$A$81:$N$91,$A1088,FALSE)</f>
        <v/>
      </c>
      <c r="D1088" s="1273" t="str">
        <f ca="1">VLOOKUP(D$1069,'Elec. Analysis'!$A$81:$N$91,$A1088,FALSE)</f>
        <v/>
      </c>
      <c r="E1088" s="1273" t="str">
        <f ca="1">VLOOKUP(E$1069,'Elec. Analysis'!$A$81:$N$91,$A1088,FALSE)</f>
        <v/>
      </c>
      <c r="F1088" s="1273" t="str">
        <f ca="1">VLOOKUP(F$1069,'Elec. Analysis'!$A$81:$N$91,$A1088,FALSE)</f>
        <v/>
      </c>
      <c r="G1088" s="1273" t="str">
        <f ca="1">VLOOKUP(G$1069,'Elec. Analysis'!$A$81:$N$91,$A1088,FALSE)</f>
        <v/>
      </c>
      <c r="H1088" s="1273" t="str">
        <f ca="1">VLOOKUP(H$1069,'Elec. Analysis'!$A$81:$N$91,$A1088,FALSE)</f>
        <v/>
      </c>
      <c r="I1088" s="1273" t="str">
        <f ca="1">VLOOKUP(I$1069,'Elec. Analysis'!$A$81:$N$91,$A1088,FALSE)</f>
        <v/>
      </c>
      <c r="J1088" s="1273" t="str">
        <f ca="1">VLOOKUP(J$1069,'Elec. Analysis'!$A$81:$N$91,$A1088,FALSE)</f>
        <v/>
      </c>
      <c r="K1088" s="1273" t="str">
        <f ca="1">VLOOKUP(K$1069,'Elec. Analysis'!$A$81:$N$91,$A1088,FALSE)</f>
        <v/>
      </c>
      <c r="L1088" s="1374"/>
      <c r="M1088" s="1374"/>
      <c r="N1088" s="1076">
        <v>9</v>
      </c>
      <c r="O1088" s="708" t="e">
        <f>IF(AND($A1194&lt;=DATE('NG Analysis'!$A$84, 12,1),$A1194&gt;=DATE('NG Analysis'!$A$84, 1, 1)), $A1194, NA())</f>
        <v>#N/A</v>
      </c>
      <c r="P1088" s="1273" t="str">
        <f ca="1">VLOOKUP(P$1069,'NG Analysis'!$A$83:$N$93,$N1088,FALSE)</f>
        <v/>
      </c>
      <c r="Q1088" s="1273" t="str">
        <f ca="1">VLOOKUP(Q$1069,'NG Analysis'!$A$83:$N$93,$N1088,FALSE)</f>
        <v/>
      </c>
      <c r="R1088" s="1273" t="str">
        <f ca="1">VLOOKUP(R$1069,'NG Analysis'!$A$83:$N$93,$N1088,FALSE)</f>
        <v/>
      </c>
      <c r="S1088" s="1273" t="str">
        <f ca="1">VLOOKUP(S$1069,'NG Analysis'!$A$83:$N$93,$N1088,FALSE)</f>
        <v/>
      </c>
      <c r="T1088" s="1273" t="str">
        <f ca="1">VLOOKUP(T$1069,'NG Analysis'!$A$83:$N$93,$N1088,FALSE)</f>
        <v/>
      </c>
      <c r="U1088" s="1273" t="str">
        <f ca="1">VLOOKUP(U$1069,'NG Analysis'!$A$83:$N$93,$N1088,FALSE)</f>
        <v/>
      </c>
      <c r="V1088" s="1273" t="str">
        <f ca="1">VLOOKUP(V$1069,'NG Analysis'!$A$83:$N$93,$N1088,FALSE)</f>
        <v/>
      </c>
      <c r="W1088" s="1273" t="str">
        <f ca="1">VLOOKUP(W$1069,'NG Analysis'!$A$83:$N$93,$N1088,FALSE)</f>
        <v/>
      </c>
      <c r="X1088" s="1439"/>
    </row>
    <row r="1089" spans="1:24" x14ac:dyDescent="0.3">
      <c r="A1089" s="1072">
        <v>10</v>
      </c>
      <c r="B1089" s="708" t="e">
        <f>IF(AND($A1195&lt;=DATE('Elec. Analysis'!$A$82, 12,1),$A1195&gt;=DATE('Elec. Analysis'!$A$82, 1, 1)), $A1195, NA())</f>
        <v>#N/A</v>
      </c>
      <c r="C1089" s="1273" t="str">
        <f ca="1">VLOOKUP(C$1069,'Elec. Analysis'!$A$81:$N$91,$A1089,FALSE)</f>
        <v/>
      </c>
      <c r="D1089" s="1273" t="str">
        <f ca="1">VLOOKUP(D$1069,'Elec. Analysis'!$A$81:$N$91,$A1089,FALSE)</f>
        <v/>
      </c>
      <c r="E1089" s="1273" t="str">
        <f ca="1">VLOOKUP(E$1069,'Elec. Analysis'!$A$81:$N$91,$A1089,FALSE)</f>
        <v/>
      </c>
      <c r="F1089" s="1273" t="str">
        <f ca="1">VLOOKUP(F$1069,'Elec. Analysis'!$A$81:$N$91,$A1089,FALSE)</f>
        <v/>
      </c>
      <c r="G1089" s="1273" t="str">
        <f ca="1">VLOOKUP(G$1069,'Elec. Analysis'!$A$81:$N$91,$A1089,FALSE)</f>
        <v/>
      </c>
      <c r="H1089" s="1273" t="str">
        <f ca="1">VLOOKUP(H$1069,'Elec. Analysis'!$A$81:$N$91,$A1089,FALSE)</f>
        <v/>
      </c>
      <c r="I1089" s="1273" t="str">
        <f ca="1">VLOOKUP(I$1069,'Elec. Analysis'!$A$81:$N$91,$A1089,FALSE)</f>
        <v/>
      </c>
      <c r="J1089" s="1273" t="str">
        <f ca="1">VLOOKUP(J$1069,'Elec. Analysis'!$A$81:$N$91,$A1089,FALSE)</f>
        <v/>
      </c>
      <c r="K1089" s="1273" t="str">
        <f ca="1">VLOOKUP(K$1069,'Elec. Analysis'!$A$81:$N$91,$A1089,FALSE)</f>
        <v/>
      </c>
      <c r="L1089" s="1374"/>
      <c r="M1089" s="1374"/>
      <c r="N1089" s="1076">
        <v>10</v>
      </c>
      <c r="O1089" s="708" t="e">
        <f>IF(AND($A1195&lt;=DATE('NG Analysis'!$A$84, 12,1),$A1195&gt;=DATE('NG Analysis'!$A$84, 1, 1)), $A1195, NA())</f>
        <v>#N/A</v>
      </c>
      <c r="P1089" s="1273" t="str">
        <f ca="1">VLOOKUP(P$1069,'NG Analysis'!$A$83:$N$93,$N1089,FALSE)</f>
        <v/>
      </c>
      <c r="Q1089" s="1273" t="str">
        <f ca="1">VLOOKUP(Q$1069,'NG Analysis'!$A$83:$N$93,$N1089,FALSE)</f>
        <v/>
      </c>
      <c r="R1089" s="1273" t="str">
        <f ca="1">VLOOKUP(R$1069,'NG Analysis'!$A$83:$N$93,$N1089,FALSE)</f>
        <v/>
      </c>
      <c r="S1089" s="1273" t="str">
        <f ca="1">VLOOKUP(S$1069,'NG Analysis'!$A$83:$N$93,$N1089,FALSE)</f>
        <v/>
      </c>
      <c r="T1089" s="1273" t="str">
        <f ca="1">VLOOKUP(T$1069,'NG Analysis'!$A$83:$N$93,$N1089,FALSE)</f>
        <v/>
      </c>
      <c r="U1089" s="1273" t="str">
        <f ca="1">VLOOKUP(U$1069,'NG Analysis'!$A$83:$N$93,$N1089,FALSE)</f>
        <v/>
      </c>
      <c r="V1089" s="1273" t="str">
        <f ca="1">VLOOKUP(V$1069,'NG Analysis'!$A$83:$N$93,$N1089,FALSE)</f>
        <v/>
      </c>
      <c r="W1089" s="1273" t="str">
        <f ca="1">VLOOKUP(W$1069,'NG Analysis'!$A$83:$N$93,$N1089,FALSE)</f>
        <v/>
      </c>
      <c r="X1089" s="1439"/>
    </row>
    <row r="1090" spans="1:24" x14ac:dyDescent="0.3">
      <c r="A1090" s="1072">
        <v>11</v>
      </c>
      <c r="B1090" s="708" t="e">
        <f>IF(AND($A1196&lt;=DATE('Elec. Analysis'!$A$82, 12,1),$A1196&gt;=DATE('Elec. Analysis'!$A$82, 1, 1)), $A1196, NA())</f>
        <v>#N/A</v>
      </c>
      <c r="C1090" s="1273" t="str">
        <f ca="1">VLOOKUP(C$1069,'Elec. Analysis'!$A$81:$N$91,$A1090,FALSE)</f>
        <v/>
      </c>
      <c r="D1090" s="1273" t="str">
        <f ca="1">VLOOKUP(D$1069,'Elec. Analysis'!$A$81:$N$91,$A1090,FALSE)</f>
        <v/>
      </c>
      <c r="E1090" s="1273" t="str">
        <f ca="1">VLOOKUP(E$1069,'Elec. Analysis'!$A$81:$N$91,$A1090,FALSE)</f>
        <v/>
      </c>
      <c r="F1090" s="1273" t="str">
        <f ca="1">VLOOKUP(F$1069,'Elec. Analysis'!$A$81:$N$91,$A1090,FALSE)</f>
        <v/>
      </c>
      <c r="G1090" s="1273" t="str">
        <f ca="1">VLOOKUP(G$1069,'Elec. Analysis'!$A$81:$N$91,$A1090,FALSE)</f>
        <v/>
      </c>
      <c r="H1090" s="1273" t="str">
        <f ca="1">VLOOKUP(H$1069,'Elec. Analysis'!$A$81:$N$91,$A1090,FALSE)</f>
        <v/>
      </c>
      <c r="I1090" s="1273" t="str">
        <f ca="1">VLOOKUP(I$1069,'Elec. Analysis'!$A$81:$N$91,$A1090,FALSE)</f>
        <v/>
      </c>
      <c r="J1090" s="1273" t="str">
        <f ca="1">VLOOKUP(J$1069,'Elec. Analysis'!$A$81:$N$91,$A1090,FALSE)</f>
        <v/>
      </c>
      <c r="K1090" s="1273" t="str">
        <f ca="1">VLOOKUP(K$1069,'Elec. Analysis'!$A$81:$N$91,$A1090,FALSE)</f>
        <v/>
      </c>
      <c r="L1090" s="1374"/>
      <c r="M1090" s="1374"/>
      <c r="N1090" s="1076">
        <v>11</v>
      </c>
      <c r="O1090" s="708" t="e">
        <f>IF(AND($A1196&lt;=DATE('NG Analysis'!$A$84, 12,1),$A1196&gt;=DATE('NG Analysis'!$A$84, 1, 1)), $A1196, NA())</f>
        <v>#N/A</v>
      </c>
      <c r="P1090" s="1273" t="str">
        <f ca="1">VLOOKUP(P$1069,'NG Analysis'!$A$83:$N$93,$N1090,FALSE)</f>
        <v/>
      </c>
      <c r="Q1090" s="1273" t="str">
        <f ca="1">VLOOKUP(Q$1069,'NG Analysis'!$A$83:$N$93,$N1090,FALSE)</f>
        <v/>
      </c>
      <c r="R1090" s="1273" t="str">
        <f ca="1">VLOOKUP(R$1069,'NG Analysis'!$A$83:$N$93,$N1090,FALSE)</f>
        <v/>
      </c>
      <c r="S1090" s="1273" t="str">
        <f ca="1">VLOOKUP(S$1069,'NG Analysis'!$A$83:$N$93,$N1090,FALSE)</f>
        <v/>
      </c>
      <c r="T1090" s="1273" t="str">
        <f ca="1">VLOOKUP(T$1069,'NG Analysis'!$A$83:$N$93,$N1090,FALSE)</f>
        <v/>
      </c>
      <c r="U1090" s="1273" t="str">
        <f ca="1">VLOOKUP(U$1069,'NG Analysis'!$A$83:$N$93,$N1090,FALSE)</f>
        <v/>
      </c>
      <c r="V1090" s="1273" t="str">
        <f ca="1">VLOOKUP(V$1069,'NG Analysis'!$A$83:$N$93,$N1090,FALSE)</f>
        <v/>
      </c>
      <c r="W1090" s="1273" t="str">
        <f ca="1">VLOOKUP(W$1069,'NG Analysis'!$A$83:$N$93,$N1090,FALSE)</f>
        <v/>
      </c>
      <c r="X1090" s="1439"/>
    </row>
    <row r="1091" spans="1:24" x14ac:dyDescent="0.3">
      <c r="A1091" s="1072">
        <v>12</v>
      </c>
      <c r="B1091" s="708" t="e">
        <f>IF(AND($A1197&lt;=DATE('Elec. Analysis'!$A$82, 12,1),$A1197&gt;=DATE('Elec. Analysis'!$A$82, 1, 1)), $A1197, NA())</f>
        <v>#N/A</v>
      </c>
      <c r="C1091" s="1273" t="str">
        <f ca="1">VLOOKUP(C$1069,'Elec. Analysis'!$A$81:$N$91,$A1091,FALSE)</f>
        <v/>
      </c>
      <c r="D1091" s="1273" t="str">
        <f ca="1">VLOOKUP(D$1069,'Elec. Analysis'!$A$81:$N$91,$A1091,FALSE)</f>
        <v/>
      </c>
      <c r="E1091" s="1273" t="str">
        <f ca="1">VLOOKUP(E$1069,'Elec. Analysis'!$A$81:$N$91,$A1091,FALSE)</f>
        <v/>
      </c>
      <c r="F1091" s="1273" t="str">
        <f ca="1">VLOOKUP(F$1069,'Elec. Analysis'!$A$81:$N$91,$A1091,FALSE)</f>
        <v/>
      </c>
      <c r="G1091" s="1273" t="str">
        <f ca="1">VLOOKUP(G$1069,'Elec. Analysis'!$A$81:$N$91,$A1091,FALSE)</f>
        <v/>
      </c>
      <c r="H1091" s="1273" t="str">
        <f ca="1">VLOOKUP(H$1069,'Elec. Analysis'!$A$81:$N$91,$A1091,FALSE)</f>
        <v/>
      </c>
      <c r="I1091" s="1273" t="str">
        <f ca="1">VLOOKUP(I$1069,'Elec. Analysis'!$A$81:$N$91,$A1091,FALSE)</f>
        <v/>
      </c>
      <c r="J1091" s="1273" t="str">
        <f ca="1">VLOOKUP(J$1069,'Elec. Analysis'!$A$81:$N$91,$A1091,FALSE)</f>
        <v/>
      </c>
      <c r="K1091" s="1273" t="str">
        <f ca="1">VLOOKUP(K$1069,'Elec. Analysis'!$A$81:$N$91,$A1091,FALSE)</f>
        <v/>
      </c>
      <c r="L1091" s="1374"/>
      <c r="M1091" s="1374"/>
      <c r="N1091" s="1076">
        <v>12</v>
      </c>
      <c r="O1091" s="708" t="e">
        <f>IF(AND($A1197&lt;=DATE('NG Analysis'!$A$84, 12,1),$A1197&gt;=DATE('NG Analysis'!$A$84, 1, 1)), $A1197, NA())</f>
        <v>#N/A</v>
      </c>
      <c r="P1091" s="1273" t="str">
        <f ca="1">VLOOKUP(P$1069,'NG Analysis'!$A$83:$N$93,$N1091,FALSE)</f>
        <v/>
      </c>
      <c r="Q1091" s="1273" t="str">
        <f ca="1">VLOOKUP(Q$1069,'NG Analysis'!$A$83:$N$93,$N1091,FALSE)</f>
        <v/>
      </c>
      <c r="R1091" s="1273" t="str">
        <f ca="1">VLOOKUP(R$1069,'NG Analysis'!$A$83:$N$93,$N1091,FALSE)</f>
        <v/>
      </c>
      <c r="S1091" s="1273" t="str">
        <f ca="1">VLOOKUP(S$1069,'NG Analysis'!$A$83:$N$93,$N1091,FALSE)</f>
        <v/>
      </c>
      <c r="T1091" s="1273" t="str">
        <f ca="1">VLOOKUP(T$1069,'NG Analysis'!$A$83:$N$93,$N1091,FALSE)</f>
        <v/>
      </c>
      <c r="U1091" s="1273" t="str">
        <f ca="1">VLOOKUP(U$1069,'NG Analysis'!$A$83:$N$93,$N1091,FALSE)</f>
        <v/>
      </c>
      <c r="V1091" s="1273" t="str">
        <f ca="1">VLOOKUP(V$1069,'NG Analysis'!$A$83:$N$93,$N1091,FALSE)</f>
        <v/>
      </c>
      <c r="W1091" s="1273" t="str">
        <f ca="1">VLOOKUP(W$1069,'NG Analysis'!$A$83:$N$93,$N1091,FALSE)</f>
        <v/>
      </c>
      <c r="X1091" s="1439"/>
    </row>
    <row r="1092" spans="1:24" x14ac:dyDescent="0.3">
      <c r="A1092" s="1072">
        <v>13</v>
      </c>
      <c r="B1092" s="708" t="e">
        <f>IF(AND($A1198&lt;=DATE('Elec. Analysis'!$A$82, 12,1),$A1198&gt;=DATE('Elec. Analysis'!$A$82, 1, 1)), $A1198, NA())</f>
        <v>#N/A</v>
      </c>
      <c r="C1092" s="1273" t="str">
        <f ca="1">VLOOKUP(C$1069,'Elec. Analysis'!$A$81:$N$91,$A1092,FALSE)</f>
        <v/>
      </c>
      <c r="D1092" s="1273" t="str">
        <f ca="1">VLOOKUP(D$1069,'Elec. Analysis'!$A$81:$N$91,$A1092,FALSE)</f>
        <v/>
      </c>
      <c r="E1092" s="1273" t="str">
        <f ca="1">VLOOKUP(E$1069,'Elec. Analysis'!$A$81:$N$91,$A1092,FALSE)</f>
        <v/>
      </c>
      <c r="F1092" s="1273" t="str">
        <f ca="1">VLOOKUP(F$1069,'Elec. Analysis'!$A$81:$N$91,$A1092,FALSE)</f>
        <v/>
      </c>
      <c r="G1092" s="1273" t="str">
        <f ca="1">VLOOKUP(G$1069,'Elec. Analysis'!$A$81:$N$91,$A1092,FALSE)</f>
        <v/>
      </c>
      <c r="H1092" s="1273" t="str">
        <f ca="1">VLOOKUP(H$1069,'Elec. Analysis'!$A$81:$N$91,$A1092,FALSE)</f>
        <v/>
      </c>
      <c r="I1092" s="1273" t="str">
        <f ca="1">VLOOKUP(I$1069,'Elec. Analysis'!$A$81:$N$91,$A1092,FALSE)</f>
        <v/>
      </c>
      <c r="J1092" s="1273" t="str">
        <f ca="1">VLOOKUP(J$1069,'Elec. Analysis'!$A$81:$N$91,$A1092,FALSE)</f>
        <v/>
      </c>
      <c r="K1092" s="1273" t="str">
        <f ca="1">VLOOKUP(K$1069,'Elec. Analysis'!$A$81:$N$91,$A1092,FALSE)</f>
        <v/>
      </c>
      <c r="L1092" s="1374"/>
      <c r="M1092" s="1374"/>
      <c r="N1092" s="1076">
        <v>13</v>
      </c>
      <c r="O1092" s="708" t="e">
        <f>IF(AND($A1198&lt;=DATE('NG Analysis'!$A$84, 12,1),$A1198&gt;=DATE('NG Analysis'!$A$84, 1, 1)), $A1198, NA())</f>
        <v>#N/A</v>
      </c>
      <c r="P1092" s="1273" t="str">
        <f ca="1">VLOOKUP(P$1069,'NG Analysis'!$A$83:$N$93,$N1092,FALSE)</f>
        <v/>
      </c>
      <c r="Q1092" s="1273" t="str">
        <f ca="1">VLOOKUP(Q$1069,'NG Analysis'!$A$83:$N$93,$N1092,FALSE)</f>
        <v/>
      </c>
      <c r="R1092" s="1273" t="str">
        <f ca="1">VLOOKUP(R$1069,'NG Analysis'!$A$83:$N$93,$N1092,FALSE)</f>
        <v/>
      </c>
      <c r="S1092" s="1273" t="str">
        <f ca="1">VLOOKUP(S$1069,'NG Analysis'!$A$83:$N$93,$N1092,FALSE)</f>
        <v/>
      </c>
      <c r="T1092" s="1273" t="str">
        <f ca="1">VLOOKUP(T$1069,'NG Analysis'!$A$83:$N$93,$N1092,FALSE)</f>
        <v/>
      </c>
      <c r="U1092" s="1273" t="str">
        <f ca="1">VLOOKUP(U$1069,'NG Analysis'!$A$83:$N$93,$N1092,FALSE)</f>
        <v/>
      </c>
      <c r="V1092" s="1273" t="str">
        <f ca="1">VLOOKUP(V$1069,'NG Analysis'!$A$83:$N$93,$N1092,FALSE)</f>
        <v/>
      </c>
      <c r="W1092" s="1273" t="str">
        <f ca="1">VLOOKUP(W$1069,'NG Analysis'!$A$83:$N$93,$N1092,FALSE)</f>
        <v/>
      </c>
      <c r="X1092" s="1439"/>
    </row>
    <row r="1093" spans="1:24" x14ac:dyDescent="0.3">
      <c r="A1093" s="1072">
        <v>14</v>
      </c>
      <c r="B1093" s="708" t="e">
        <f>IF(AND($A1199&lt;=DATE('Elec. Analysis'!$A$82, 12,1),$A1199&gt;=DATE('Elec. Analysis'!$A$82, 1, 1)), $A1199, NA())</f>
        <v>#N/A</v>
      </c>
      <c r="C1093" s="1273" t="str">
        <f ca="1">VLOOKUP(C$1069,'Elec. Analysis'!$A$81:$N$91,$A1093,FALSE)</f>
        <v/>
      </c>
      <c r="D1093" s="1273" t="str">
        <f ca="1">VLOOKUP(D$1069,'Elec. Analysis'!$A$81:$N$91,$A1093,FALSE)</f>
        <v/>
      </c>
      <c r="E1093" s="1273" t="str">
        <f ca="1">VLOOKUP(E$1069,'Elec. Analysis'!$A$81:$N$91,$A1093,FALSE)</f>
        <v/>
      </c>
      <c r="F1093" s="1273" t="str">
        <f ca="1">VLOOKUP(F$1069,'Elec. Analysis'!$A$81:$N$91,$A1093,FALSE)</f>
        <v/>
      </c>
      <c r="G1093" s="1273" t="str">
        <f ca="1">VLOOKUP(G$1069,'Elec. Analysis'!$A$81:$N$91,$A1093,FALSE)</f>
        <v/>
      </c>
      <c r="H1093" s="1273" t="str">
        <f ca="1">VLOOKUP(H$1069,'Elec. Analysis'!$A$81:$N$91,$A1093,FALSE)</f>
        <v/>
      </c>
      <c r="I1093" s="1273" t="str">
        <f ca="1">VLOOKUP(I$1069,'Elec. Analysis'!$A$81:$N$91,$A1093,FALSE)</f>
        <v/>
      </c>
      <c r="J1093" s="1273" t="str">
        <f ca="1">VLOOKUP(J$1069,'Elec. Analysis'!$A$81:$N$91,$A1093,FALSE)</f>
        <v/>
      </c>
      <c r="K1093" s="1273" t="str">
        <f ca="1">VLOOKUP(K$1069,'Elec. Analysis'!$A$81:$N$91,$A1093,FALSE)</f>
        <v/>
      </c>
      <c r="L1093" s="1374"/>
      <c r="M1093" s="1374"/>
      <c r="N1093" s="1076">
        <v>14</v>
      </c>
      <c r="O1093" s="708" t="e">
        <f>IF(AND($A1199&lt;=DATE('NG Analysis'!$A$84, 12,1),$A1199&gt;=DATE('NG Analysis'!$A$84, 1, 1)), $A1199, NA())</f>
        <v>#N/A</v>
      </c>
      <c r="P1093" s="1273" t="str">
        <f ca="1">VLOOKUP(P$1069,'NG Analysis'!$A$83:$N$93,$N1093,FALSE)</f>
        <v/>
      </c>
      <c r="Q1093" s="1273" t="str">
        <f ca="1">VLOOKUP(Q$1069,'NG Analysis'!$A$83:$N$93,$N1093,FALSE)</f>
        <v/>
      </c>
      <c r="R1093" s="1273" t="str">
        <f ca="1">VLOOKUP(R$1069,'NG Analysis'!$A$83:$N$93,$N1093,FALSE)</f>
        <v/>
      </c>
      <c r="S1093" s="1273" t="str">
        <f ca="1">VLOOKUP(S$1069,'NG Analysis'!$A$83:$N$93,$N1093,FALSE)</f>
        <v/>
      </c>
      <c r="T1093" s="1273" t="str">
        <f ca="1">VLOOKUP(T$1069,'NG Analysis'!$A$83:$N$93,$N1093,FALSE)</f>
        <v/>
      </c>
      <c r="U1093" s="1273" t="str">
        <f ca="1">VLOOKUP(U$1069,'NG Analysis'!$A$83:$N$93,$N1093,FALSE)</f>
        <v/>
      </c>
      <c r="V1093" s="1273" t="str">
        <f ca="1">VLOOKUP(V$1069,'NG Analysis'!$A$83:$N$93,$N1093,FALSE)</f>
        <v/>
      </c>
      <c r="W1093" s="1273" t="str">
        <f ca="1">VLOOKUP(W$1069,'NG Analysis'!$A$83:$N$93,$N1093,FALSE)</f>
        <v/>
      </c>
      <c r="X1093" s="1439"/>
    </row>
    <row r="1094" spans="1:24" x14ac:dyDescent="0.3">
      <c r="A1094" s="1072">
        <v>3</v>
      </c>
      <c r="B1094" s="708" t="e">
        <f>IF(AND($A1200&lt;=DATE('Elec. Analysis'!$A$82, 12,1),$A1200&gt;=DATE('Elec. Analysis'!$A$82, 1, 1)), $A1200, NA())</f>
        <v>#N/A</v>
      </c>
      <c r="C1094" s="1273">
        <f ca="1">VLOOKUP(C$1069,'Elec. Analysis'!$A$81:$N$91,$A1094,FALSE)</f>
        <v>11.756793629373167</v>
      </c>
      <c r="D1094" s="1273">
        <f ca="1">VLOOKUP(D$1069,'Elec. Analysis'!$A$81:$N$91,$A1094,FALSE)</f>
        <v>16.144211000000002</v>
      </c>
      <c r="E1094" s="1273">
        <f ca="1">VLOOKUP(E$1069,'Elec. Analysis'!$A$81:$N$91,$A1094,FALSE)</f>
        <v>6.3275144257146358</v>
      </c>
      <c r="F1094" s="1273">
        <f ca="1">VLOOKUP(F$1069,'Elec. Analysis'!$A$81:$N$91,$A1094,FALSE)</f>
        <v>10.302466363166253</v>
      </c>
      <c r="G1094" s="1273">
        <f ca="1">VLOOKUP(G$1069,'Elec. Analysis'!$A$81:$N$91,$A1094,FALSE)</f>
        <v>15.633512574909027</v>
      </c>
      <c r="H1094" s="1273">
        <f ca="1">VLOOKUP(H$1069,'Elec. Analysis'!$A$81:$N$91,$A1094,FALSE)</f>
        <v>1.7934501508302387</v>
      </c>
      <c r="I1094" s="1273">
        <f ca="1">VLOOKUP(I$1069,'Elec. Analysis'!$A$81:$N$91,$A1094,FALSE)</f>
        <v>41.075988634710761</v>
      </c>
      <c r="J1094" s="1273">
        <f ca="1">VLOOKUP(J$1069,'Elec. Analysis'!$A$81:$N$91,$A1094,FALSE)</f>
        <v>6.3983999999999996</v>
      </c>
      <c r="K1094" s="1273">
        <f ca="1">VLOOKUP(K$1069,'Elec. Analysis'!$A$81:$N$91,$A1094,FALSE)</f>
        <v>5.4716168389352049</v>
      </c>
      <c r="L1094" s="1374"/>
      <c r="M1094" s="1374"/>
      <c r="N1094" s="1076">
        <v>3</v>
      </c>
      <c r="O1094" s="708" t="e">
        <f>IF(AND($A1200&lt;=DATE('NG Analysis'!$A$84, 12,1),$A1200&gt;=DATE('NG Analysis'!$A$84, 1, 1)), $A1200, NA())</f>
        <v>#N/A</v>
      </c>
      <c r="P1094" s="1273">
        <f ca="1">VLOOKUP(P$1069,'NG Analysis'!$A$83:$N$93,$N1094,FALSE)</f>
        <v>25.946999999999999</v>
      </c>
      <c r="Q1094" s="1273">
        <f ca="1">VLOOKUP(Q$1069,'NG Analysis'!$A$83:$N$93,$N1094,FALSE)</f>
        <v>13.961815841257177</v>
      </c>
      <c r="R1094" s="1273">
        <f ca="1">VLOOKUP(R$1069,'NG Analysis'!$A$83:$N$93,$N1094,FALSE)</f>
        <v>8.1124896049438657</v>
      </c>
      <c r="S1094" s="1273">
        <f ca="1">VLOOKUP(S$1069,'NG Analysis'!$A$83:$N$93,$N1094,FALSE)</f>
        <v>7.5956320197913003</v>
      </c>
      <c r="T1094" s="1273">
        <f ca="1">VLOOKUP(T$1069,'NG Analysis'!$A$83:$N$93,$N1094,FALSE)</f>
        <v>25.515260554287845</v>
      </c>
      <c r="U1094" s="1273">
        <f ca="1">VLOOKUP(U$1069,'NG Analysis'!$A$83:$N$93,$N1094,FALSE)</f>
        <v>8.4320000000000004</v>
      </c>
      <c r="V1094" s="1273">
        <f ca="1">VLOOKUP(V$1069,'NG Analysis'!$A$83:$N$93,$N1094,FALSE)</f>
        <v>25.548944066570733</v>
      </c>
      <c r="W1094" s="1273">
        <f ca="1">VLOOKUP(W$1069,'NG Analysis'!$A$83:$N$93,$N1094,FALSE)</f>
        <v>5.7556571043425464</v>
      </c>
      <c r="X1094" s="1439"/>
    </row>
    <row r="1095" spans="1:24" x14ac:dyDescent="0.3">
      <c r="A1095" s="1072">
        <v>4</v>
      </c>
      <c r="B1095" s="708" t="e">
        <f>IF(AND($A1201&lt;=DATE('Elec. Analysis'!$A$82, 12,1),$A1201&gt;=DATE('Elec. Analysis'!$A$82, 1, 1)), $A1201, NA())</f>
        <v>#N/A</v>
      </c>
      <c r="C1095" s="1273">
        <f ca="1">VLOOKUP(C$1069,'Elec. Analysis'!$A$81:$N$91,$A1095,FALSE)</f>
        <v>12.288850572617701</v>
      </c>
      <c r="D1095" s="1273">
        <f ca="1">VLOOKUP(D$1069,'Elec. Analysis'!$A$81:$N$91,$A1095,FALSE)</f>
        <v>14.581868000000002</v>
      </c>
      <c r="E1095" s="1273">
        <f ca="1">VLOOKUP(E$1069,'Elec. Analysis'!$A$81:$N$91,$A1095,FALSE)</f>
        <v>6.6138678388825181</v>
      </c>
      <c r="F1095" s="1273">
        <f ca="1">VLOOKUP(F$1069,'Elec. Analysis'!$A$81:$N$91,$A1095,FALSE)</f>
        <v>10.508661424130576</v>
      </c>
      <c r="G1095" s="1273">
        <f ca="1">VLOOKUP(G$1069,'Elec. Analysis'!$A$81:$N$91,$A1095,FALSE)</f>
        <v>16.2933180673412</v>
      </c>
      <c r="H1095" s="1273">
        <f ca="1">VLOOKUP(H$1069,'Elec. Analysis'!$A$81:$N$91,$A1095,FALSE)</f>
        <v>1.8746132328059373</v>
      </c>
      <c r="I1095" s="1273">
        <f ca="1">VLOOKUP(I$1069,'Elec. Analysis'!$A$81:$N$91,$A1095,FALSE)</f>
        <v>42.93489384668365</v>
      </c>
      <c r="J1095" s="1273">
        <f ca="1">VLOOKUP(J$1069,'Elec. Analysis'!$A$81:$N$91,$A1095,FALSE)</f>
        <v>5.7792000000000003</v>
      </c>
      <c r="K1095" s="1273">
        <f ca="1">VLOOKUP(K$1069,'Elec. Analysis'!$A$81:$N$91,$A1095,FALSE)</f>
        <v>5.5437636491230808</v>
      </c>
      <c r="L1095" s="1374"/>
      <c r="M1095" s="1374"/>
      <c r="N1095" s="1076">
        <v>4</v>
      </c>
      <c r="O1095" s="708" t="e">
        <f>IF(AND($A1201&lt;=DATE('NG Analysis'!$A$84, 12,1),$A1201&gt;=DATE('NG Analysis'!$A$84, 1, 1)), $A1201, NA())</f>
        <v>#N/A</v>
      </c>
      <c r="P1095" s="1273">
        <f ca="1">VLOOKUP(P$1069,'NG Analysis'!$A$83:$N$93,$N1095,FALSE)</f>
        <v>23.436</v>
      </c>
      <c r="Q1095" s="1273">
        <f ca="1">VLOOKUP(Q$1069,'NG Analysis'!$A$83:$N$93,$N1095,FALSE)</f>
        <v>21.645384041554284</v>
      </c>
      <c r="R1095" s="1273">
        <f ca="1">VLOOKUP(R$1069,'NG Analysis'!$A$83:$N$93,$N1095,FALSE)</f>
        <v>12.372592105843843</v>
      </c>
      <c r="S1095" s="1273">
        <f ca="1">VLOOKUP(S$1069,'NG Analysis'!$A$83:$N$93,$N1095,FALSE)</f>
        <v>14.323715564223139</v>
      </c>
      <c r="T1095" s="1273">
        <f ca="1">VLOOKUP(T$1069,'NG Analysis'!$A$83:$N$93,$N1095,FALSE)</f>
        <v>51.959365793357087</v>
      </c>
      <c r="U1095" s="1273">
        <f ca="1">VLOOKUP(U$1069,'NG Analysis'!$A$83:$N$93,$N1095,FALSE)</f>
        <v>7.6160000000000005</v>
      </c>
      <c r="V1095" s="1273">
        <f ca="1">VLOOKUP(V$1069,'NG Analysis'!$A$83:$N$93,$N1095,FALSE)</f>
        <v>39.609225079659645</v>
      </c>
      <c r="W1095" s="1273">
        <f ca="1">VLOOKUP(W$1069,'NG Analysis'!$A$83:$N$93,$N1095,FALSE)</f>
        <v>8.5481141292318998</v>
      </c>
      <c r="X1095" s="1439"/>
    </row>
    <row r="1096" spans="1:24" x14ac:dyDescent="0.3">
      <c r="A1096" s="1072">
        <v>5</v>
      </c>
      <c r="B1096" s="708" t="e">
        <f>IF(AND($A1202&lt;=DATE('Elec. Analysis'!$A$82, 12,1),$A1202&gt;=DATE('Elec. Analysis'!$A$82, 1, 1)), $A1202, NA())</f>
        <v>#N/A</v>
      </c>
      <c r="C1096" s="1273">
        <f ca="1">VLOOKUP(C$1069,'Elec. Analysis'!$A$81:$N$91,$A1096,FALSE)</f>
        <v>11.255044002309154</v>
      </c>
      <c r="D1096" s="1273">
        <f ca="1">VLOOKUP(D$1069,'Elec. Analysis'!$A$81:$N$91,$A1096,FALSE)</f>
        <v>16.144211000000002</v>
      </c>
      <c r="E1096" s="1273">
        <f ca="1">VLOOKUP(E$1069,'Elec. Analysis'!$A$81:$N$91,$A1096,FALSE)</f>
        <v>6.0574724309812682</v>
      </c>
      <c r="F1096" s="1273">
        <f ca="1">VLOOKUP(F$1069,'Elec. Analysis'!$A$81:$N$91,$A1096,FALSE)</f>
        <v>9.3716963955057278</v>
      </c>
      <c r="G1096" s="1273">
        <f ca="1">VLOOKUP(G$1069,'Elec. Analysis'!$A$81:$N$91,$A1096,FALSE)</f>
        <v>14.980645643015643</v>
      </c>
      <c r="H1096" s="1273">
        <f ca="1">VLOOKUP(H$1069,'Elec. Analysis'!$A$81:$N$91,$A1096,FALSE)</f>
        <v>1.7169103243516355</v>
      </c>
      <c r="I1096" s="1273">
        <f ca="1">VLOOKUP(I$1069,'Elec. Analysis'!$A$81:$N$91,$A1096,FALSE)</f>
        <v>34.199419529186834</v>
      </c>
      <c r="J1096" s="1273">
        <f ca="1">VLOOKUP(J$1069,'Elec. Analysis'!$A$81:$N$91,$A1096,FALSE)</f>
        <v>6.3983999999999996</v>
      </c>
      <c r="K1096" s="1273">
        <f ca="1">VLOOKUP(K$1069,'Elec. Analysis'!$A$81:$N$91,$A1096,FALSE)</f>
        <v>5.0061899662675131</v>
      </c>
      <c r="L1096" s="1374"/>
      <c r="M1096" s="1374"/>
      <c r="N1096" s="1076">
        <v>5</v>
      </c>
      <c r="O1096" s="708" t="e">
        <f>IF(AND($A1202&lt;=DATE('NG Analysis'!$A$84, 12,1),$A1202&gt;=DATE('NG Analysis'!$A$84, 1, 1)), $A1202, NA())</f>
        <v>#N/A</v>
      </c>
      <c r="P1096" s="1273">
        <f ca="1">VLOOKUP(P$1069,'NG Analysis'!$A$83:$N$93,$N1096,FALSE)</f>
        <v>25.946999999999999</v>
      </c>
      <c r="Q1096" s="1273">
        <f ca="1">VLOOKUP(Q$1069,'NG Analysis'!$A$83:$N$93,$N1096,FALSE)</f>
        <v>13.092799736790329</v>
      </c>
      <c r="R1096" s="1273">
        <f ca="1">VLOOKUP(R$1069,'NG Analysis'!$A$83:$N$93,$N1096,FALSE)</f>
        <v>11.73428222700306</v>
      </c>
      <c r="S1096" s="1273">
        <f ca="1">VLOOKUP(S$1069,'NG Analysis'!$A$83:$N$93,$N1096,FALSE)</f>
        <v>16.356017339480474</v>
      </c>
      <c r="T1096" s="1273">
        <f ca="1">VLOOKUP(T$1069,'NG Analysis'!$A$83:$N$93,$N1096,FALSE)</f>
        <v>50.223284876952057</v>
      </c>
      <c r="U1096" s="1273">
        <f ca="1">VLOOKUP(U$1069,'NG Analysis'!$A$83:$N$93,$N1096,FALSE)</f>
        <v>8.4320000000000004</v>
      </c>
      <c r="V1096" s="1273">
        <f ca="1">VLOOKUP(V$1069,'NG Analysis'!$A$83:$N$93,$N1096,FALSE)</f>
        <v>23.95871797431958</v>
      </c>
      <c r="W1096" s="1273">
        <f ca="1">VLOOKUP(W$1069,'NG Analysis'!$A$83:$N$93,$N1096,FALSE)</f>
        <v>7.4872051077272763</v>
      </c>
      <c r="X1096" s="1439"/>
    </row>
    <row r="1097" spans="1:24" x14ac:dyDescent="0.3">
      <c r="A1097" s="1072">
        <v>6</v>
      </c>
      <c r="B1097" s="708" t="e">
        <f>IF(AND($A1203&lt;=DATE('Elec. Analysis'!$A$82, 12,1),$A1203&gt;=DATE('Elec. Analysis'!$A$82, 1, 1)), $A1203, NA())</f>
        <v>#N/A</v>
      </c>
      <c r="C1097" s="1273">
        <f ca="1">VLOOKUP(C$1069,'Elec. Analysis'!$A$81:$N$91,$A1097,FALSE)</f>
        <v>9.9612632133702341</v>
      </c>
      <c r="D1097" s="1273">
        <f ca="1">VLOOKUP(D$1069,'Elec. Analysis'!$A$81:$N$91,$A1097,FALSE)</f>
        <v>15.623430000000003</v>
      </c>
      <c r="E1097" s="1273">
        <f ca="1">VLOOKUP(E$1069,'Elec. Analysis'!$A$81:$N$91,$A1097,FALSE)</f>
        <v>5.3611587196245809</v>
      </c>
      <c r="F1097" s="1273">
        <f ca="1">VLOOKUP(F$1069,'Elec. Analysis'!$A$81:$N$91,$A1097,FALSE)</f>
        <v>8.5873991990290754</v>
      </c>
      <c r="G1097" s="1273">
        <f ca="1">VLOOKUP(G$1069,'Elec. Analysis'!$A$81:$N$91,$A1097,FALSE)</f>
        <v>13.777703726461645</v>
      </c>
      <c r="H1097" s="1273">
        <f ca="1">VLOOKUP(H$1069,'Elec. Analysis'!$A$81:$N$91,$A1097,FALSE)</f>
        <v>1.5195494261160265</v>
      </c>
      <c r="I1097" s="1273">
        <f ca="1">VLOOKUP(I$1069,'Elec. Analysis'!$A$81:$N$91,$A1097,FALSE)</f>
        <v>31.051217137911532</v>
      </c>
      <c r="J1097" s="1273">
        <f ca="1">VLOOKUP(J$1069,'Elec. Analysis'!$A$81:$N$91,$A1097,FALSE)</f>
        <v>6.1920000000000002</v>
      </c>
      <c r="K1097" s="1273">
        <f ca="1">VLOOKUP(K$1069,'Elec. Analysis'!$A$81:$N$91,$A1097,FALSE)</f>
        <v>4.6036860711256553</v>
      </c>
      <c r="L1097" s="1374"/>
      <c r="M1097" s="1374"/>
      <c r="N1097" s="1076">
        <v>6</v>
      </c>
      <c r="O1097" s="708" t="e">
        <f>IF(AND($A1203&lt;=DATE('NG Analysis'!$A$84, 12,1),$A1203&gt;=DATE('NG Analysis'!$A$84, 1, 1)), $A1203, NA())</f>
        <v>#N/A</v>
      </c>
      <c r="P1097" s="1273">
        <f ca="1">VLOOKUP(P$1069,'NG Analysis'!$A$83:$N$93,$N1097,FALSE)</f>
        <v>25.11</v>
      </c>
      <c r="Q1097" s="1273">
        <f ca="1">VLOOKUP(Q$1069,'NG Analysis'!$A$83:$N$93,$N1097,FALSE)</f>
        <v>7.9526381107213826</v>
      </c>
      <c r="R1097" s="1273">
        <f ca="1">VLOOKUP(R$1069,'NG Analysis'!$A$83:$N$93,$N1097,FALSE)</f>
        <v>7.9700690164135626</v>
      </c>
      <c r="S1097" s="1273">
        <f ca="1">VLOOKUP(S$1069,'NG Analysis'!$A$83:$N$93,$N1097,FALSE)</f>
        <v>10.951243499262032</v>
      </c>
      <c r="T1097" s="1273">
        <f ca="1">VLOOKUP(T$1069,'NG Analysis'!$A$83:$N$93,$N1097,FALSE)</f>
        <v>27.723913317231361</v>
      </c>
      <c r="U1097" s="1273">
        <f ca="1">VLOOKUP(U$1069,'NG Analysis'!$A$83:$N$93,$N1097,FALSE)</f>
        <v>8.16</v>
      </c>
      <c r="V1097" s="1273">
        <f ca="1">VLOOKUP(V$1069,'NG Analysis'!$A$83:$N$93,$N1097,FALSE)</f>
        <v>14.552656229148779</v>
      </c>
      <c r="W1097" s="1273">
        <f ca="1">VLOOKUP(W$1069,'NG Analysis'!$A$83:$N$93,$N1097,FALSE)</f>
        <v>5.1210260086388564</v>
      </c>
      <c r="X1097" s="1439"/>
    </row>
    <row r="1098" spans="1:24" x14ac:dyDescent="0.3">
      <c r="A1098" s="1072">
        <v>7</v>
      </c>
      <c r="B1098" s="708" t="e">
        <f>IF(AND($A1204&lt;=DATE('Elec. Analysis'!$A$82, 12,1),$A1204&gt;=DATE('Elec. Analysis'!$A$82, 1, 1)), $A1204, NA())</f>
        <v>#N/A</v>
      </c>
      <c r="C1098" s="1273">
        <f ca="1">VLOOKUP(C$1069,'Elec. Analysis'!$A$81:$N$91,$A1098,FALSE)</f>
        <v>9.5978677149152052</v>
      </c>
      <c r="D1098" s="1273">
        <f ca="1">VLOOKUP(D$1069,'Elec. Analysis'!$A$81:$N$91,$A1098,FALSE)</f>
        <v>16.144211000000002</v>
      </c>
      <c r="E1098" s="1273">
        <f ca="1">VLOOKUP(E$1069,'Elec. Analysis'!$A$81:$N$91,$A1098,FALSE)</f>
        <v>5.1655790121634277</v>
      </c>
      <c r="F1098" s="1273">
        <f ca="1">VLOOKUP(F$1069,'Elec. Analysis'!$A$81:$N$91,$A1098,FALSE)</f>
        <v>8.5747875462120167</v>
      </c>
      <c r="G1098" s="1273">
        <f ca="1">VLOOKUP(G$1069,'Elec. Analysis'!$A$81:$N$91,$A1098,FALSE)</f>
        <v>13.297768511495391</v>
      </c>
      <c r="H1098" s="1273">
        <f ca="1">VLOOKUP(H$1069,'Elec. Analysis'!$A$81:$N$91,$A1098,FALSE)</f>
        <v>1.4641149486504261</v>
      </c>
      <c r="I1098" s="1273">
        <f ca="1">VLOOKUP(I$1069,'Elec. Analysis'!$A$81:$N$91,$A1098,FALSE)</f>
        <v>31.51126480928334</v>
      </c>
      <c r="J1098" s="1273">
        <f ca="1">VLOOKUP(J$1069,'Elec. Analysis'!$A$81:$N$91,$A1098,FALSE)</f>
        <v>6.3983999999999996</v>
      </c>
      <c r="K1098" s="1273">
        <f ca="1">VLOOKUP(K$1069,'Elec. Analysis'!$A$81:$N$91,$A1098,FALSE)</f>
        <v>4.607699677135991</v>
      </c>
      <c r="L1098" s="1374"/>
      <c r="M1098" s="1374"/>
      <c r="N1098" s="1076">
        <v>7</v>
      </c>
      <c r="O1098" s="708" t="e">
        <f>IF(AND($A1204&lt;=DATE('NG Analysis'!$A$84, 12,1),$A1204&gt;=DATE('NG Analysis'!$A$84, 1, 1)), $A1204, NA())</f>
        <v>#N/A</v>
      </c>
      <c r="P1098" s="1273">
        <f ca="1">VLOOKUP(P$1069,'NG Analysis'!$A$83:$N$93,$N1098,FALSE)</f>
        <v>25.946999999999999</v>
      </c>
      <c r="Q1098" s="1273">
        <f ca="1">VLOOKUP(Q$1069,'NG Analysis'!$A$83:$N$93,$N1098,FALSE)</f>
        <v>6.2225451665778353</v>
      </c>
      <c r="R1098" s="1273">
        <f ca="1">VLOOKUP(R$1069,'NG Analysis'!$A$83:$N$93,$N1098,FALSE)</f>
        <v>6.5952077365448813</v>
      </c>
      <c r="S1098" s="1273">
        <f ca="1">VLOOKUP(S$1069,'NG Analysis'!$A$83:$N$93,$N1098,FALSE)</f>
        <v>10.041854584134954</v>
      </c>
      <c r="T1098" s="1273">
        <f ca="1">VLOOKUP(T$1069,'NG Analysis'!$A$83:$N$93,$N1098,FALSE)</f>
        <v>17.151406158782095</v>
      </c>
      <c r="U1098" s="1273">
        <f ca="1">VLOOKUP(U$1069,'NG Analysis'!$A$83:$N$93,$N1098,FALSE)</f>
        <v>8.4320000000000004</v>
      </c>
      <c r="V1098" s="1273">
        <f ca="1">VLOOKUP(V$1069,'NG Analysis'!$A$83:$N$93,$N1098,FALSE)</f>
        <v>10.652104343097346</v>
      </c>
      <c r="W1098" s="1273">
        <f ca="1">VLOOKUP(W$1069,'NG Analysis'!$A$83:$N$93,$N1098,FALSE)</f>
        <v>4.2521058994568559</v>
      </c>
      <c r="X1098" s="1439"/>
    </row>
    <row r="1099" spans="1:24" x14ac:dyDescent="0.3">
      <c r="A1099" s="1072">
        <v>8</v>
      </c>
      <c r="B1099" s="708" t="e">
        <f>IF(AND($A1205&lt;=DATE('Elec. Analysis'!$A$82, 12,1),$A1205&gt;=DATE('Elec. Analysis'!$A$82, 1, 1)), $A1205, NA())</f>
        <v>#N/A</v>
      </c>
      <c r="C1099" s="1273">
        <f ca="1">VLOOKUP(C$1069,'Elec. Analysis'!$A$81:$N$91,$A1099,FALSE)</f>
        <v>9.3281989935447278</v>
      </c>
      <c r="D1099" s="1273">
        <f ca="1">VLOOKUP(D$1069,'Elec. Analysis'!$A$81:$N$91,$A1099,FALSE)</f>
        <v>15.623429999999999</v>
      </c>
      <c r="E1099" s="1273">
        <f ca="1">VLOOKUP(E$1069,'Elec. Analysis'!$A$81:$N$91,$A1099,FALSE)</f>
        <v>5.0204431206587401</v>
      </c>
      <c r="F1099" s="1273">
        <f ca="1">VLOOKUP(F$1069,'Elec. Analysis'!$A$81:$N$91,$A1099,FALSE)</f>
        <v>8.326777408853685</v>
      </c>
      <c r="G1099" s="1273">
        <f ca="1">VLOOKUP(G$1069,'Elec. Analysis'!$A$81:$N$91,$A1099,FALSE)</f>
        <v>12.922747293722241</v>
      </c>
      <c r="H1099" s="1273">
        <f ca="1">VLOOKUP(H$1069,'Elec. Analysis'!$A$81:$N$91,$A1099,FALSE)</f>
        <v>1.4229781026478086</v>
      </c>
      <c r="I1099" s="1273">
        <f ca="1">VLOOKUP(I$1069,'Elec. Analysis'!$A$81:$N$91,$A1099,FALSE)</f>
        <v>30.630694018262528</v>
      </c>
      <c r="J1099" s="1273">
        <f ca="1">VLOOKUP(J$1069,'Elec. Analysis'!$A$81:$N$91,$A1099,FALSE)</f>
        <v>6.1920000000000002</v>
      </c>
      <c r="K1099" s="1273">
        <f ca="1">VLOOKUP(K$1069,'Elec. Analysis'!$A$81:$N$91,$A1099,FALSE)</f>
        <v>4.4733634468844867</v>
      </c>
      <c r="L1099" s="1374"/>
      <c r="M1099" s="1374"/>
      <c r="N1099" s="1076">
        <v>8</v>
      </c>
      <c r="O1099" s="708" t="e">
        <f>IF(AND($A1205&lt;=DATE('NG Analysis'!$A$84, 12,1),$A1205&gt;=DATE('NG Analysis'!$A$84, 1, 1)), $A1205, NA())</f>
        <v>#N/A</v>
      </c>
      <c r="P1099" s="1273">
        <f ca="1">VLOOKUP(P$1069,'NG Analysis'!$A$83:$N$93,$N1099,FALSE)</f>
        <v>25.11</v>
      </c>
      <c r="Q1099" s="1273">
        <f ca="1">VLOOKUP(Q$1069,'NG Analysis'!$A$83:$N$93,$N1099,FALSE)</f>
        <v>3.1037296499089999</v>
      </c>
      <c r="R1099" s="1273">
        <f ca="1">VLOOKUP(R$1069,'NG Analysis'!$A$83:$N$93,$N1099,FALSE)</f>
        <v>3.9898169179856966</v>
      </c>
      <c r="S1099" s="1273">
        <f ca="1">VLOOKUP(S$1069,'NG Analysis'!$A$83:$N$93,$N1099,FALSE)</f>
        <v>6.3316742137665356</v>
      </c>
      <c r="T1099" s="1273">
        <f ca="1">VLOOKUP(T$1069,'NG Analysis'!$A$83:$N$93,$N1099,FALSE)</f>
        <v>1.366539592541357</v>
      </c>
      <c r="U1099" s="1273">
        <f ca="1">VLOOKUP(U$1069,'NG Analysis'!$A$83:$N$93,$N1099,FALSE)</f>
        <v>8.16</v>
      </c>
      <c r="V1099" s="1273">
        <f ca="1">VLOOKUP(V$1069,'NG Analysis'!$A$83:$N$93,$N1099,FALSE)</f>
        <v>0</v>
      </c>
      <c r="W1099" s="1273">
        <f ca="1">VLOOKUP(W$1069,'NG Analysis'!$A$83:$N$93,$N1099,FALSE)</f>
        <v>2.4030880187101298</v>
      </c>
      <c r="X1099" s="1439"/>
    </row>
    <row r="1100" spans="1:24" x14ac:dyDescent="0.3">
      <c r="A1100" s="1072">
        <v>9</v>
      </c>
      <c r="B1100" s="708" t="e">
        <f>IF(AND($A1206&lt;=DATE('Elec. Analysis'!$A$82, 12,1),$A1206&gt;=DATE('Elec. Analysis'!$A$82, 1, 1)), $A1206, NA())</f>
        <v>#N/A</v>
      </c>
      <c r="C1100" s="1273" t="str">
        <f ca="1">VLOOKUP(C$1069,'Elec. Analysis'!$A$81:$N$91,$A1100,FALSE)</f>
        <v/>
      </c>
      <c r="D1100" s="1273" t="str">
        <f ca="1">VLOOKUP(D$1069,'Elec. Analysis'!$A$81:$N$91,$A1100,FALSE)</f>
        <v/>
      </c>
      <c r="E1100" s="1273" t="str">
        <f ca="1">VLOOKUP(E$1069,'Elec. Analysis'!$A$81:$N$91,$A1100,FALSE)</f>
        <v/>
      </c>
      <c r="F1100" s="1273" t="str">
        <f ca="1">VLOOKUP(F$1069,'Elec. Analysis'!$A$81:$N$91,$A1100,FALSE)</f>
        <v/>
      </c>
      <c r="G1100" s="1273" t="str">
        <f ca="1">VLOOKUP(G$1069,'Elec. Analysis'!$A$81:$N$91,$A1100,FALSE)</f>
        <v/>
      </c>
      <c r="H1100" s="1273" t="str">
        <f ca="1">VLOOKUP(H$1069,'Elec. Analysis'!$A$81:$N$91,$A1100,FALSE)</f>
        <v/>
      </c>
      <c r="I1100" s="1273" t="str">
        <f ca="1">VLOOKUP(I$1069,'Elec. Analysis'!$A$81:$N$91,$A1100,FALSE)</f>
        <v/>
      </c>
      <c r="J1100" s="1273" t="str">
        <f ca="1">VLOOKUP(J$1069,'Elec. Analysis'!$A$81:$N$91,$A1100,FALSE)</f>
        <v/>
      </c>
      <c r="K1100" s="1273" t="str">
        <f ca="1">VLOOKUP(K$1069,'Elec. Analysis'!$A$81:$N$91,$A1100,FALSE)</f>
        <v/>
      </c>
      <c r="L1100" s="1374"/>
      <c r="M1100" s="1374"/>
      <c r="N1100" s="1076">
        <v>9</v>
      </c>
      <c r="O1100" s="708" t="e">
        <f>IF(AND($A1206&lt;=DATE('NG Analysis'!$A$84, 12,1),$A1206&gt;=DATE('NG Analysis'!$A$84, 1, 1)), $A1206, NA())</f>
        <v>#N/A</v>
      </c>
      <c r="P1100" s="1273" t="str">
        <f ca="1">VLOOKUP(P$1069,'NG Analysis'!$A$83:$N$93,$N1100,FALSE)</f>
        <v/>
      </c>
      <c r="Q1100" s="1273" t="str">
        <f ca="1">VLOOKUP(Q$1069,'NG Analysis'!$A$83:$N$93,$N1100,FALSE)</f>
        <v/>
      </c>
      <c r="R1100" s="1273" t="str">
        <f ca="1">VLOOKUP(R$1069,'NG Analysis'!$A$83:$N$93,$N1100,FALSE)</f>
        <v/>
      </c>
      <c r="S1100" s="1273" t="str">
        <f ca="1">VLOOKUP(S$1069,'NG Analysis'!$A$83:$N$93,$N1100,FALSE)</f>
        <v/>
      </c>
      <c r="T1100" s="1273" t="str">
        <f ca="1">VLOOKUP(T$1069,'NG Analysis'!$A$83:$N$93,$N1100,FALSE)</f>
        <v/>
      </c>
      <c r="U1100" s="1273" t="str">
        <f ca="1">VLOOKUP(U$1069,'NG Analysis'!$A$83:$N$93,$N1100,FALSE)</f>
        <v/>
      </c>
      <c r="V1100" s="1273" t="str">
        <f ca="1">VLOOKUP(V$1069,'NG Analysis'!$A$83:$N$93,$N1100,FALSE)</f>
        <v/>
      </c>
      <c r="W1100" s="1273" t="str">
        <f ca="1">VLOOKUP(W$1069,'NG Analysis'!$A$83:$N$93,$N1100,FALSE)</f>
        <v/>
      </c>
      <c r="X1100" s="1439"/>
    </row>
    <row r="1101" spans="1:24" x14ac:dyDescent="0.3">
      <c r="A1101" s="1072">
        <v>10</v>
      </c>
      <c r="B1101" s="708" t="e">
        <f>IF(AND($A1207&lt;=DATE('Elec. Analysis'!$A$82, 12,1),$A1207&gt;=DATE('Elec. Analysis'!$A$82, 1, 1)), $A1207, NA())</f>
        <v>#N/A</v>
      </c>
      <c r="C1101" s="1273" t="str">
        <f ca="1">VLOOKUP(C$1069,'Elec. Analysis'!$A$81:$N$91,$A1101,FALSE)</f>
        <v/>
      </c>
      <c r="D1101" s="1273" t="str">
        <f ca="1">VLOOKUP(D$1069,'Elec. Analysis'!$A$81:$N$91,$A1101,FALSE)</f>
        <v/>
      </c>
      <c r="E1101" s="1273" t="str">
        <f ca="1">VLOOKUP(E$1069,'Elec. Analysis'!$A$81:$N$91,$A1101,FALSE)</f>
        <v/>
      </c>
      <c r="F1101" s="1273" t="str">
        <f ca="1">VLOOKUP(F$1069,'Elec. Analysis'!$A$81:$N$91,$A1101,FALSE)</f>
        <v/>
      </c>
      <c r="G1101" s="1273" t="str">
        <f ca="1">VLOOKUP(G$1069,'Elec. Analysis'!$A$81:$N$91,$A1101,FALSE)</f>
        <v/>
      </c>
      <c r="H1101" s="1273" t="str">
        <f ca="1">VLOOKUP(H$1069,'Elec. Analysis'!$A$81:$N$91,$A1101,FALSE)</f>
        <v/>
      </c>
      <c r="I1101" s="1273" t="str">
        <f ca="1">VLOOKUP(I$1069,'Elec. Analysis'!$A$81:$N$91,$A1101,FALSE)</f>
        <v/>
      </c>
      <c r="J1101" s="1273" t="str">
        <f ca="1">VLOOKUP(J$1069,'Elec. Analysis'!$A$81:$N$91,$A1101,FALSE)</f>
        <v/>
      </c>
      <c r="K1101" s="1273" t="str">
        <f ca="1">VLOOKUP(K$1069,'Elec. Analysis'!$A$81:$N$91,$A1101,FALSE)</f>
        <v/>
      </c>
      <c r="L1101" s="1374"/>
      <c r="M1101" s="1374"/>
      <c r="N1101" s="1076">
        <v>10</v>
      </c>
      <c r="O1101" s="708" t="e">
        <f>IF(AND($A1207&lt;=DATE('NG Analysis'!$A$84, 12,1),$A1207&gt;=DATE('NG Analysis'!$A$84, 1, 1)), $A1207, NA())</f>
        <v>#N/A</v>
      </c>
      <c r="P1101" s="1273" t="str">
        <f ca="1">VLOOKUP(P$1069,'NG Analysis'!$A$83:$N$93,$N1101,FALSE)</f>
        <v/>
      </c>
      <c r="Q1101" s="1273" t="str">
        <f ca="1">VLOOKUP(Q$1069,'NG Analysis'!$A$83:$N$93,$N1101,FALSE)</f>
        <v/>
      </c>
      <c r="R1101" s="1273" t="str">
        <f ca="1">VLOOKUP(R$1069,'NG Analysis'!$A$83:$N$93,$N1101,FALSE)</f>
        <v/>
      </c>
      <c r="S1101" s="1273" t="str">
        <f ca="1">VLOOKUP(S$1069,'NG Analysis'!$A$83:$N$93,$N1101,FALSE)</f>
        <v/>
      </c>
      <c r="T1101" s="1273" t="str">
        <f ca="1">VLOOKUP(T$1069,'NG Analysis'!$A$83:$N$93,$N1101,FALSE)</f>
        <v/>
      </c>
      <c r="U1101" s="1273" t="str">
        <f ca="1">VLOOKUP(U$1069,'NG Analysis'!$A$83:$N$93,$N1101,FALSE)</f>
        <v/>
      </c>
      <c r="V1101" s="1273" t="str">
        <f ca="1">VLOOKUP(V$1069,'NG Analysis'!$A$83:$N$93,$N1101,FALSE)</f>
        <v/>
      </c>
      <c r="W1101" s="1273" t="str">
        <f ca="1">VLOOKUP(W$1069,'NG Analysis'!$A$83:$N$93,$N1101,FALSE)</f>
        <v/>
      </c>
      <c r="X1101" s="1439"/>
    </row>
    <row r="1102" spans="1:24" x14ac:dyDescent="0.3">
      <c r="A1102" s="1072">
        <v>11</v>
      </c>
      <c r="B1102" s="708" t="e">
        <f>IF(AND($A1208&lt;=DATE('Elec. Analysis'!$A$82, 12,1),$A1208&gt;=DATE('Elec. Analysis'!$A$82, 1, 1)), $A1208, NA())</f>
        <v>#N/A</v>
      </c>
      <c r="C1102" s="1273" t="str">
        <f ca="1">VLOOKUP(C$1069,'Elec. Analysis'!$A$81:$N$91,$A1102,FALSE)</f>
        <v/>
      </c>
      <c r="D1102" s="1273" t="str">
        <f ca="1">VLOOKUP(D$1069,'Elec. Analysis'!$A$81:$N$91,$A1102,FALSE)</f>
        <v/>
      </c>
      <c r="E1102" s="1273" t="str">
        <f ca="1">VLOOKUP(E$1069,'Elec. Analysis'!$A$81:$N$91,$A1102,FALSE)</f>
        <v/>
      </c>
      <c r="F1102" s="1273" t="str">
        <f ca="1">VLOOKUP(F$1069,'Elec. Analysis'!$A$81:$N$91,$A1102,FALSE)</f>
        <v/>
      </c>
      <c r="G1102" s="1273" t="str">
        <f ca="1">VLOOKUP(G$1069,'Elec. Analysis'!$A$81:$N$91,$A1102,FALSE)</f>
        <v/>
      </c>
      <c r="H1102" s="1273" t="str">
        <f ca="1">VLOOKUP(H$1069,'Elec. Analysis'!$A$81:$N$91,$A1102,FALSE)</f>
        <v/>
      </c>
      <c r="I1102" s="1273" t="str">
        <f ca="1">VLOOKUP(I$1069,'Elec. Analysis'!$A$81:$N$91,$A1102,FALSE)</f>
        <v/>
      </c>
      <c r="J1102" s="1273" t="str">
        <f ca="1">VLOOKUP(J$1069,'Elec. Analysis'!$A$81:$N$91,$A1102,FALSE)</f>
        <v/>
      </c>
      <c r="K1102" s="1273" t="str">
        <f ca="1">VLOOKUP(K$1069,'Elec. Analysis'!$A$81:$N$91,$A1102,FALSE)</f>
        <v/>
      </c>
      <c r="L1102" s="1374"/>
      <c r="M1102" s="1374"/>
      <c r="N1102" s="1076">
        <v>11</v>
      </c>
      <c r="O1102" s="708" t="e">
        <f>IF(AND($A1208&lt;=DATE('NG Analysis'!$A$84, 12,1),$A1208&gt;=DATE('NG Analysis'!$A$84, 1, 1)), $A1208, NA())</f>
        <v>#N/A</v>
      </c>
      <c r="P1102" s="1273" t="str">
        <f ca="1">VLOOKUP(P$1069,'NG Analysis'!$A$83:$N$93,$N1102,FALSE)</f>
        <v/>
      </c>
      <c r="Q1102" s="1273" t="str">
        <f ca="1">VLOOKUP(Q$1069,'NG Analysis'!$A$83:$N$93,$N1102,FALSE)</f>
        <v/>
      </c>
      <c r="R1102" s="1273" t="str">
        <f ca="1">VLOOKUP(R$1069,'NG Analysis'!$A$83:$N$93,$N1102,FALSE)</f>
        <v/>
      </c>
      <c r="S1102" s="1273" t="str">
        <f ca="1">VLOOKUP(S$1069,'NG Analysis'!$A$83:$N$93,$N1102,FALSE)</f>
        <v/>
      </c>
      <c r="T1102" s="1273" t="str">
        <f ca="1">VLOOKUP(T$1069,'NG Analysis'!$A$83:$N$93,$N1102,FALSE)</f>
        <v/>
      </c>
      <c r="U1102" s="1273" t="str">
        <f ca="1">VLOOKUP(U$1069,'NG Analysis'!$A$83:$N$93,$N1102,FALSE)</f>
        <v/>
      </c>
      <c r="V1102" s="1273" t="str">
        <f ca="1">VLOOKUP(V$1069,'NG Analysis'!$A$83:$N$93,$N1102,FALSE)</f>
        <v/>
      </c>
      <c r="W1102" s="1273" t="str">
        <f ca="1">VLOOKUP(W$1069,'NG Analysis'!$A$83:$N$93,$N1102,FALSE)</f>
        <v/>
      </c>
      <c r="X1102" s="1439"/>
    </row>
    <row r="1103" spans="1:24" x14ac:dyDescent="0.3">
      <c r="A1103" s="1072">
        <v>12</v>
      </c>
      <c r="B1103" s="708" t="e">
        <f>IF(AND($A1209&lt;=DATE('Elec. Analysis'!$A$82, 12,1),$A1209&gt;=DATE('Elec. Analysis'!$A$82, 1, 1)), $A1209, NA())</f>
        <v>#N/A</v>
      </c>
      <c r="C1103" s="1273" t="str">
        <f ca="1">VLOOKUP(C$1069,'Elec. Analysis'!$A$81:$N$91,$A1103,FALSE)</f>
        <v/>
      </c>
      <c r="D1103" s="1273" t="str">
        <f ca="1">VLOOKUP(D$1069,'Elec. Analysis'!$A$81:$N$91,$A1103,FALSE)</f>
        <v/>
      </c>
      <c r="E1103" s="1273" t="str">
        <f ca="1">VLOOKUP(E$1069,'Elec. Analysis'!$A$81:$N$91,$A1103,FALSE)</f>
        <v/>
      </c>
      <c r="F1103" s="1273" t="str">
        <f ca="1">VLOOKUP(F$1069,'Elec. Analysis'!$A$81:$N$91,$A1103,FALSE)</f>
        <v/>
      </c>
      <c r="G1103" s="1273" t="str">
        <f ca="1">VLOOKUP(G$1069,'Elec. Analysis'!$A$81:$N$91,$A1103,FALSE)</f>
        <v/>
      </c>
      <c r="H1103" s="1273" t="str">
        <f ca="1">VLOOKUP(H$1069,'Elec. Analysis'!$A$81:$N$91,$A1103,FALSE)</f>
        <v/>
      </c>
      <c r="I1103" s="1273" t="str">
        <f ca="1">VLOOKUP(I$1069,'Elec. Analysis'!$A$81:$N$91,$A1103,FALSE)</f>
        <v/>
      </c>
      <c r="J1103" s="1273" t="str">
        <f ca="1">VLOOKUP(J$1069,'Elec. Analysis'!$A$81:$N$91,$A1103,FALSE)</f>
        <v/>
      </c>
      <c r="K1103" s="1273" t="str">
        <f ca="1">VLOOKUP(K$1069,'Elec. Analysis'!$A$81:$N$91,$A1103,FALSE)</f>
        <v/>
      </c>
      <c r="L1103" s="1374"/>
      <c r="M1103" s="1374"/>
      <c r="N1103" s="1076">
        <v>12</v>
      </c>
      <c r="O1103" s="708" t="e">
        <f>IF(AND($A1209&lt;=DATE('NG Analysis'!$A$84, 12,1),$A1209&gt;=DATE('NG Analysis'!$A$84, 1, 1)), $A1209, NA())</f>
        <v>#N/A</v>
      </c>
      <c r="P1103" s="1273" t="str">
        <f ca="1">VLOOKUP(P$1069,'NG Analysis'!$A$83:$N$93,$N1103,FALSE)</f>
        <v/>
      </c>
      <c r="Q1103" s="1273" t="str">
        <f ca="1">VLOOKUP(Q$1069,'NG Analysis'!$A$83:$N$93,$N1103,FALSE)</f>
        <v/>
      </c>
      <c r="R1103" s="1273" t="str">
        <f ca="1">VLOOKUP(R$1069,'NG Analysis'!$A$83:$N$93,$N1103,FALSE)</f>
        <v/>
      </c>
      <c r="S1103" s="1273" t="str">
        <f ca="1">VLOOKUP(S$1069,'NG Analysis'!$A$83:$N$93,$N1103,FALSE)</f>
        <v/>
      </c>
      <c r="T1103" s="1273" t="str">
        <f ca="1">VLOOKUP(T$1069,'NG Analysis'!$A$83:$N$93,$N1103,FALSE)</f>
        <v/>
      </c>
      <c r="U1103" s="1273" t="str">
        <f ca="1">VLOOKUP(U$1069,'NG Analysis'!$A$83:$N$93,$N1103,FALSE)</f>
        <v/>
      </c>
      <c r="V1103" s="1273" t="str">
        <f ca="1">VLOOKUP(V$1069,'NG Analysis'!$A$83:$N$93,$N1103,FALSE)</f>
        <v/>
      </c>
      <c r="W1103" s="1273" t="str">
        <f ca="1">VLOOKUP(W$1069,'NG Analysis'!$A$83:$N$93,$N1103,FALSE)</f>
        <v/>
      </c>
      <c r="X1103" s="1439"/>
    </row>
    <row r="1104" spans="1:24" x14ac:dyDescent="0.3">
      <c r="A1104" s="1072">
        <v>13</v>
      </c>
      <c r="B1104" s="708" t="e">
        <f>IF(AND($A1210&lt;=DATE('Elec. Analysis'!$A$82, 12,1),$A1210&gt;=DATE('Elec. Analysis'!$A$82, 1, 1)), $A1210, NA())</f>
        <v>#N/A</v>
      </c>
      <c r="C1104" s="1273" t="str">
        <f ca="1">VLOOKUP(C$1069,'Elec. Analysis'!$A$81:$N$91,$A1104,FALSE)</f>
        <v/>
      </c>
      <c r="D1104" s="1273" t="str">
        <f ca="1">VLOOKUP(D$1069,'Elec. Analysis'!$A$81:$N$91,$A1104,FALSE)</f>
        <v/>
      </c>
      <c r="E1104" s="1273" t="str">
        <f ca="1">VLOOKUP(E$1069,'Elec. Analysis'!$A$81:$N$91,$A1104,FALSE)</f>
        <v/>
      </c>
      <c r="F1104" s="1273" t="str">
        <f ca="1">VLOOKUP(F$1069,'Elec. Analysis'!$A$81:$N$91,$A1104,FALSE)</f>
        <v/>
      </c>
      <c r="G1104" s="1273" t="str">
        <f ca="1">VLOOKUP(G$1069,'Elec. Analysis'!$A$81:$N$91,$A1104,FALSE)</f>
        <v/>
      </c>
      <c r="H1104" s="1273" t="str">
        <f ca="1">VLOOKUP(H$1069,'Elec. Analysis'!$A$81:$N$91,$A1104,FALSE)</f>
        <v/>
      </c>
      <c r="I1104" s="1273" t="str">
        <f ca="1">VLOOKUP(I$1069,'Elec. Analysis'!$A$81:$N$91,$A1104,FALSE)</f>
        <v/>
      </c>
      <c r="J1104" s="1273" t="str">
        <f ca="1">VLOOKUP(J$1069,'Elec. Analysis'!$A$81:$N$91,$A1104,FALSE)</f>
        <v/>
      </c>
      <c r="K1104" s="1273" t="str">
        <f ca="1">VLOOKUP(K$1069,'Elec. Analysis'!$A$81:$N$91,$A1104,FALSE)</f>
        <v/>
      </c>
      <c r="L1104" s="1374"/>
      <c r="M1104" s="1374"/>
      <c r="N1104" s="1076">
        <v>13</v>
      </c>
      <c r="O1104" s="708" t="e">
        <f>IF(AND($A1210&lt;=DATE('NG Analysis'!$A$84, 12,1),$A1210&gt;=DATE('NG Analysis'!$A$84, 1, 1)), $A1210, NA())</f>
        <v>#N/A</v>
      </c>
      <c r="P1104" s="1273" t="str">
        <f ca="1">VLOOKUP(P$1069,'NG Analysis'!$A$83:$N$93,$N1104,FALSE)</f>
        <v/>
      </c>
      <c r="Q1104" s="1273" t="str">
        <f ca="1">VLOOKUP(Q$1069,'NG Analysis'!$A$83:$N$93,$N1104,FALSE)</f>
        <v/>
      </c>
      <c r="R1104" s="1273" t="str">
        <f ca="1">VLOOKUP(R$1069,'NG Analysis'!$A$83:$N$93,$N1104,FALSE)</f>
        <v/>
      </c>
      <c r="S1104" s="1273" t="str">
        <f ca="1">VLOOKUP(S$1069,'NG Analysis'!$A$83:$N$93,$N1104,FALSE)</f>
        <v/>
      </c>
      <c r="T1104" s="1273" t="str">
        <f ca="1">VLOOKUP(T$1069,'NG Analysis'!$A$83:$N$93,$N1104,FALSE)</f>
        <v/>
      </c>
      <c r="U1104" s="1273" t="str">
        <f ca="1">VLOOKUP(U$1069,'NG Analysis'!$A$83:$N$93,$N1104,FALSE)</f>
        <v/>
      </c>
      <c r="V1104" s="1273" t="str">
        <f ca="1">VLOOKUP(V$1069,'NG Analysis'!$A$83:$N$93,$N1104,FALSE)</f>
        <v/>
      </c>
      <c r="W1104" s="1273" t="str">
        <f ca="1">VLOOKUP(W$1069,'NG Analysis'!$A$83:$N$93,$N1104,FALSE)</f>
        <v/>
      </c>
      <c r="X1104" s="1439"/>
    </row>
    <row r="1105" spans="1:24" x14ac:dyDescent="0.3">
      <c r="A1105" s="1072">
        <v>14</v>
      </c>
      <c r="B1105" s="708" t="e">
        <f>IF(AND($A1211&lt;=DATE('Elec. Analysis'!$A$82, 12,1),$A1211&gt;=DATE('Elec. Analysis'!$A$82, 1, 1)), $A1211, NA())</f>
        <v>#N/A</v>
      </c>
      <c r="C1105" s="1273" t="str">
        <f ca="1">VLOOKUP(C$1069,'Elec. Analysis'!$A$81:$N$91,$A1105,FALSE)</f>
        <v/>
      </c>
      <c r="D1105" s="1273" t="str">
        <f ca="1">VLOOKUP(D$1069,'Elec. Analysis'!$A$81:$N$91,$A1105,FALSE)</f>
        <v/>
      </c>
      <c r="E1105" s="1273" t="str">
        <f ca="1">VLOOKUP(E$1069,'Elec. Analysis'!$A$81:$N$91,$A1105,FALSE)</f>
        <v/>
      </c>
      <c r="F1105" s="1273" t="str">
        <f ca="1">VLOOKUP(F$1069,'Elec. Analysis'!$A$81:$N$91,$A1105,FALSE)</f>
        <v/>
      </c>
      <c r="G1105" s="1273" t="str">
        <f ca="1">VLOOKUP(G$1069,'Elec. Analysis'!$A$81:$N$91,$A1105,FALSE)</f>
        <v/>
      </c>
      <c r="H1105" s="1273" t="str">
        <f ca="1">VLOOKUP(H$1069,'Elec. Analysis'!$A$81:$N$91,$A1105,FALSE)</f>
        <v/>
      </c>
      <c r="I1105" s="1273" t="str">
        <f ca="1">VLOOKUP(I$1069,'Elec. Analysis'!$A$81:$N$91,$A1105,FALSE)</f>
        <v/>
      </c>
      <c r="J1105" s="1273" t="str">
        <f ca="1">VLOOKUP(J$1069,'Elec. Analysis'!$A$81:$N$91,$A1105,FALSE)</f>
        <v/>
      </c>
      <c r="K1105" s="1273" t="str">
        <f ca="1">VLOOKUP(K$1069,'Elec. Analysis'!$A$81:$N$91,$A1105,FALSE)</f>
        <v/>
      </c>
      <c r="L1105" s="1374"/>
      <c r="M1105" s="1374"/>
      <c r="N1105" s="1076">
        <v>14</v>
      </c>
      <c r="O1105" s="708" t="e">
        <f>IF(AND($A1211&lt;=DATE('NG Analysis'!$A$84, 12,1),$A1211&gt;=DATE('NG Analysis'!$A$84, 1, 1)), $A1211, NA())</f>
        <v>#N/A</v>
      </c>
      <c r="P1105" s="1273" t="str">
        <f ca="1">VLOOKUP(P$1069,'NG Analysis'!$A$83:$N$93,$N1105,FALSE)</f>
        <v/>
      </c>
      <c r="Q1105" s="1273" t="str">
        <f ca="1">VLOOKUP(Q$1069,'NG Analysis'!$A$83:$N$93,$N1105,FALSE)</f>
        <v/>
      </c>
      <c r="R1105" s="1273" t="str">
        <f ca="1">VLOOKUP(R$1069,'NG Analysis'!$A$83:$N$93,$N1105,FALSE)</f>
        <v/>
      </c>
      <c r="S1105" s="1273" t="str">
        <f ca="1">VLOOKUP(S$1069,'NG Analysis'!$A$83:$N$93,$N1105,FALSE)</f>
        <v/>
      </c>
      <c r="T1105" s="1273" t="str">
        <f ca="1">VLOOKUP(T$1069,'NG Analysis'!$A$83:$N$93,$N1105,FALSE)</f>
        <v/>
      </c>
      <c r="U1105" s="1273" t="str">
        <f ca="1">VLOOKUP(U$1069,'NG Analysis'!$A$83:$N$93,$N1105,FALSE)</f>
        <v/>
      </c>
      <c r="V1105" s="1273" t="str">
        <f ca="1">VLOOKUP(V$1069,'NG Analysis'!$A$83:$N$93,$N1105,FALSE)</f>
        <v/>
      </c>
      <c r="W1105" s="1273" t="str">
        <f ca="1">VLOOKUP(W$1069,'NG Analysis'!$A$83:$N$93,$N1105,FALSE)</f>
        <v/>
      </c>
      <c r="X1105" s="1439"/>
    </row>
    <row r="1106" spans="1:24" x14ac:dyDescent="0.3">
      <c r="A1106" s="1072">
        <v>3</v>
      </c>
      <c r="B1106" s="708" t="e">
        <f>IF(AND($A1212&lt;=DATE('Elec. Analysis'!$A$82, 12,1),$A1212&gt;=DATE('Elec. Analysis'!$A$82, 1, 1)), $A1212, NA())</f>
        <v>#N/A</v>
      </c>
      <c r="C1106" s="1273">
        <f ca="1">VLOOKUP(C$1069,'Elec. Analysis'!$A$81:$N$91,$A1106,FALSE)</f>
        <v>11.756793629373167</v>
      </c>
      <c r="D1106" s="1273">
        <f ca="1">VLOOKUP(D$1069,'Elec. Analysis'!$A$81:$N$91,$A1106,FALSE)</f>
        <v>16.144211000000002</v>
      </c>
      <c r="E1106" s="1273">
        <f ca="1">VLOOKUP(E$1069,'Elec. Analysis'!$A$81:$N$91,$A1106,FALSE)</f>
        <v>6.3275144257146358</v>
      </c>
      <c r="F1106" s="1273">
        <f ca="1">VLOOKUP(F$1069,'Elec. Analysis'!$A$81:$N$91,$A1106,FALSE)</f>
        <v>10.302466363166253</v>
      </c>
      <c r="G1106" s="1273">
        <f ca="1">VLOOKUP(G$1069,'Elec. Analysis'!$A$81:$N$91,$A1106,FALSE)</f>
        <v>15.633512574909027</v>
      </c>
      <c r="H1106" s="1273">
        <f ca="1">VLOOKUP(H$1069,'Elec. Analysis'!$A$81:$N$91,$A1106,FALSE)</f>
        <v>1.7934501508302387</v>
      </c>
      <c r="I1106" s="1273">
        <f ca="1">VLOOKUP(I$1069,'Elec. Analysis'!$A$81:$N$91,$A1106,FALSE)</f>
        <v>41.075988634710761</v>
      </c>
      <c r="J1106" s="1273">
        <f ca="1">VLOOKUP(J$1069,'Elec. Analysis'!$A$81:$N$91,$A1106,FALSE)</f>
        <v>6.3983999999999996</v>
      </c>
      <c r="K1106" s="1273">
        <f ca="1">VLOOKUP(K$1069,'Elec. Analysis'!$A$81:$N$91,$A1106,FALSE)</f>
        <v>5.4716168389352049</v>
      </c>
      <c r="L1106" s="1374"/>
      <c r="M1106" s="1374"/>
      <c r="N1106" s="1076">
        <v>3</v>
      </c>
      <c r="O1106" s="708" t="e">
        <f>IF(AND($A1212&lt;=DATE('NG Analysis'!$A$84, 12,1),$A1212&gt;=DATE('NG Analysis'!$A$84, 1, 1)), $A1212, NA())</f>
        <v>#N/A</v>
      </c>
      <c r="P1106" s="1273">
        <f ca="1">VLOOKUP(P$1069,'NG Analysis'!$A$83:$N$93,$N1106,FALSE)</f>
        <v>25.946999999999999</v>
      </c>
      <c r="Q1106" s="1273">
        <f ca="1">VLOOKUP(Q$1069,'NG Analysis'!$A$83:$N$93,$N1106,FALSE)</f>
        <v>13.961815841257177</v>
      </c>
      <c r="R1106" s="1273">
        <f ca="1">VLOOKUP(R$1069,'NG Analysis'!$A$83:$N$93,$N1106,FALSE)</f>
        <v>8.1124896049438657</v>
      </c>
      <c r="S1106" s="1273">
        <f ca="1">VLOOKUP(S$1069,'NG Analysis'!$A$83:$N$93,$N1106,FALSE)</f>
        <v>7.5956320197913003</v>
      </c>
      <c r="T1106" s="1273">
        <f ca="1">VLOOKUP(T$1069,'NG Analysis'!$A$83:$N$93,$N1106,FALSE)</f>
        <v>25.515260554287845</v>
      </c>
      <c r="U1106" s="1273">
        <f ca="1">VLOOKUP(U$1069,'NG Analysis'!$A$83:$N$93,$N1106,FALSE)</f>
        <v>8.4320000000000004</v>
      </c>
      <c r="V1106" s="1273">
        <f ca="1">VLOOKUP(V$1069,'NG Analysis'!$A$83:$N$93,$N1106,FALSE)</f>
        <v>25.548944066570733</v>
      </c>
      <c r="W1106" s="1273">
        <f ca="1">VLOOKUP(W$1069,'NG Analysis'!$A$83:$N$93,$N1106,FALSE)</f>
        <v>5.7556571043425464</v>
      </c>
      <c r="X1106" s="1439"/>
    </row>
    <row r="1107" spans="1:24" x14ac:dyDescent="0.3">
      <c r="A1107" s="1072">
        <v>4</v>
      </c>
      <c r="B1107" s="708" t="e">
        <f>IF(AND($A1213&lt;=DATE('Elec. Analysis'!$A$82, 12,1),$A1213&gt;=DATE('Elec. Analysis'!$A$82, 1, 1)), $A1213, NA())</f>
        <v>#N/A</v>
      </c>
      <c r="C1107" s="1273">
        <f ca="1">VLOOKUP(C$1069,'Elec. Analysis'!$A$81:$N$91,$A1107,FALSE)</f>
        <v>12.288850572617701</v>
      </c>
      <c r="D1107" s="1273">
        <f ca="1">VLOOKUP(D$1069,'Elec. Analysis'!$A$81:$N$91,$A1107,FALSE)</f>
        <v>14.581868000000002</v>
      </c>
      <c r="E1107" s="1273">
        <f ca="1">VLOOKUP(E$1069,'Elec. Analysis'!$A$81:$N$91,$A1107,FALSE)</f>
        <v>6.6138678388825181</v>
      </c>
      <c r="F1107" s="1273">
        <f ca="1">VLOOKUP(F$1069,'Elec. Analysis'!$A$81:$N$91,$A1107,FALSE)</f>
        <v>10.508661424130576</v>
      </c>
      <c r="G1107" s="1273">
        <f ca="1">VLOOKUP(G$1069,'Elec. Analysis'!$A$81:$N$91,$A1107,FALSE)</f>
        <v>16.2933180673412</v>
      </c>
      <c r="H1107" s="1273">
        <f ca="1">VLOOKUP(H$1069,'Elec. Analysis'!$A$81:$N$91,$A1107,FALSE)</f>
        <v>1.8746132328059373</v>
      </c>
      <c r="I1107" s="1273">
        <f ca="1">VLOOKUP(I$1069,'Elec. Analysis'!$A$81:$N$91,$A1107,FALSE)</f>
        <v>42.93489384668365</v>
      </c>
      <c r="J1107" s="1273">
        <f ca="1">VLOOKUP(J$1069,'Elec. Analysis'!$A$81:$N$91,$A1107,FALSE)</f>
        <v>5.7792000000000003</v>
      </c>
      <c r="K1107" s="1273">
        <f ca="1">VLOOKUP(K$1069,'Elec. Analysis'!$A$81:$N$91,$A1107,FALSE)</f>
        <v>5.5437636491230808</v>
      </c>
      <c r="L1107" s="1374"/>
      <c r="M1107" s="1374"/>
      <c r="N1107" s="1076">
        <v>4</v>
      </c>
      <c r="O1107" s="708" t="e">
        <f>IF(AND($A1213&lt;=DATE('NG Analysis'!$A$84, 12,1),$A1213&gt;=DATE('NG Analysis'!$A$84, 1, 1)), $A1213, NA())</f>
        <v>#N/A</v>
      </c>
      <c r="P1107" s="1273">
        <f ca="1">VLOOKUP(P$1069,'NG Analysis'!$A$83:$N$93,$N1107,FALSE)</f>
        <v>23.436</v>
      </c>
      <c r="Q1107" s="1273">
        <f ca="1">VLOOKUP(Q$1069,'NG Analysis'!$A$83:$N$93,$N1107,FALSE)</f>
        <v>21.645384041554284</v>
      </c>
      <c r="R1107" s="1273">
        <f ca="1">VLOOKUP(R$1069,'NG Analysis'!$A$83:$N$93,$N1107,FALSE)</f>
        <v>12.372592105843843</v>
      </c>
      <c r="S1107" s="1273">
        <f ca="1">VLOOKUP(S$1069,'NG Analysis'!$A$83:$N$93,$N1107,FALSE)</f>
        <v>14.323715564223139</v>
      </c>
      <c r="T1107" s="1273">
        <f ca="1">VLOOKUP(T$1069,'NG Analysis'!$A$83:$N$93,$N1107,FALSE)</f>
        <v>51.959365793357087</v>
      </c>
      <c r="U1107" s="1273">
        <f ca="1">VLOOKUP(U$1069,'NG Analysis'!$A$83:$N$93,$N1107,FALSE)</f>
        <v>7.6160000000000005</v>
      </c>
      <c r="V1107" s="1273">
        <f ca="1">VLOOKUP(V$1069,'NG Analysis'!$A$83:$N$93,$N1107,FALSE)</f>
        <v>39.609225079659645</v>
      </c>
      <c r="W1107" s="1273">
        <f ca="1">VLOOKUP(W$1069,'NG Analysis'!$A$83:$N$93,$N1107,FALSE)</f>
        <v>8.5481141292318998</v>
      </c>
      <c r="X1107" s="1439"/>
    </row>
    <row r="1108" spans="1:24" x14ac:dyDescent="0.3">
      <c r="A1108" s="1072">
        <v>5</v>
      </c>
      <c r="B1108" s="708" t="e">
        <f>IF(AND($A1214&lt;=DATE('Elec. Analysis'!$A$82, 12,1),$A1214&gt;=DATE('Elec. Analysis'!$A$82, 1, 1)), $A1214, NA())</f>
        <v>#N/A</v>
      </c>
      <c r="C1108" s="1273">
        <f ca="1">VLOOKUP(C$1069,'Elec. Analysis'!$A$81:$N$91,$A1108,FALSE)</f>
        <v>11.255044002309154</v>
      </c>
      <c r="D1108" s="1273">
        <f ca="1">VLOOKUP(D$1069,'Elec. Analysis'!$A$81:$N$91,$A1108,FALSE)</f>
        <v>16.144211000000002</v>
      </c>
      <c r="E1108" s="1273">
        <f ca="1">VLOOKUP(E$1069,'Elec. Analysis'!$A$81:$N$91,$A1108,FALSE)</f>
        <v>6.0574724309812682</v>
      </c>
      <c r="F1108" s="1273">
        <f ca="1">VLOOKUP(F$1069,'Elec. Analysis'!$A$81:$N$91,$A1108,FALSE)</f>
        <v>9.3716963955057278</v>
      </c>
      <c r="G1108" s="1273">
        <f ca="1">VLOOKUP(G$1069,'Elec. Analysis'!$A$81:$N$91,$A1108,FALSE)</f>
        <v>14.980645643015643</v>
      </c>
      <c r="H1108" s="1273">
        <f ca="1">VLOOKUP(H$1069,'Elec. Analysis'!$A$81:$N$91,$A1108,FALSE)</f>
        <v>1.7169103243516355</v>
      </c>
      <c r="I1108" s="1273">
        <f ca="1">VLOOKUP(I$1069,'Elec. Analysis'!$A$81:$N$91,$A1108,FALSE)</f>
        <v>34.199419529186834</v>
      </c>
      <c r="J1108" s="1273">
        <f ca="1">VLOOKUP(J$1069,'Elec. Analysis'!$A$81:$N$91,$A1108,FALSE)</f>
        <v>6.3983999999999996</v>
      </c>
      <c r="K1108" s="1273">
        <f ca="1">VLOOKUP(K$1069,'Elec. Analysis'!$A$81:$N$91,$A1108,FALSE)</f>
        <v>5.0061899662675131</v>
      </c>
      <c r="L1108" s="1374"/>
      <c r="M1108" s="1374"/>
      <c r="N1108" s="1076">
        <v>5</v>
      </c>
      <c r="O1108" s="708" t="e">
        <f>IF(AND($A1214&lt;=DATE('NG Analysis'!$A$84, 12,1),$A1214&gt;=DATE('NG Analysis'!$A$84, 1, 1)), $A1214, NA())</f>
        <v>#N/A</v>
      </c>
      <c r="P1108" s="1273">
        <f ca="1">VLOOKUP(P$1069,'NG Analysis'!$A$83:$N$93,$N1108,FALSE)</f>
        <v>25.946999999999999</v>
      </c>
      <c r="Q1108" s="1273">
        <f ca="1">VLOOKUP(Q$1069,'NG Analysis'!$A$83:$N$93,$N1108,FALSE)</f>
        <v>13.092799736790329</v>
      </c>
      <c r="R1108" s="1273">
        <f ca="1">VLOOKUP(R$1069,'NG Analysis'!$A$83:$N$93,$N1108,FALSE)</f>
        <v>11.73428222700306</v>
      </c>
      <c r="S1108" s="1273">
        <f ca="1">VLOOKUP(S$1069,'NG Analysis'!$A$83:$N$93,$N1108,FALSE)</f>
        <v>16.356017339480474</v>
      </c>
      <c r="T1108" s="1273">
        <f ca="1">VLOOKUP(T$1069,'NG Analysis'!$A$83:$N$93,$N1108,FALSE)</f>
        <v>50.223284876952057</v>
      </c>
      <c r="U1108" s="1273">
        <f ca="1">VLOOKUP(U$1069,'NG Analysis'!$A$83:$N$93,$N1108,FALSE)</f>
        <v>8.4320000000000004</v>
      </c>
      <c r="V1108" s="1273">
        <f ca="1">VLOOKUP(V$1069,'NG Analysis'!$A$83:$N$93,$N1108,FALSE)</f>
        <v>23.95871797431958</v>
      </c>
      <c r="W1108" s="1273">
        <f ca="1">VLOOKUP(W$1069,'NG Analysis'!$A$83:$N$93,$N1108,FALSE)</f>
        <v>7.4872051077272763</v>
      </c>
      <c r="X1108" s="1439"/>
    </row>
    <row r="1109" spans="1:24" x14ac:dyDescent="0.3">
      <c r="A1109" s="1072">
        <v>6</v>
      </c>
      <c r="B1109" s="708" t="e">
        <f>IF(AND($A1215&lt;=DATE('Elec. Analysis'!$A$82, 12,1),$A1215&gt;=DATE('Elec. Analysis'!$A$82, 1, 1)), $A1215, NA())</f>
        <v>#N/A</v>
      </c>
      <c r="C1109" s="1273">
        <f ca="1">VLOOKUP(C$1069,'Elec. Analysis'!$A$81:$N$91,$A1109,FALSE)</f>
        <v>9.9612632133702341</v>
      </c>
      <c r="D1109" s="1273">
        <f ca="1">VLOOKUP(D$1069,'Elec. Analysis'!$A$81:$N$91,$A1109,FALSE)</f>
        <v>15.623430000000003</v>
      </c>
      <c r="E1109" s="1273">
        <f ca="1">VLOOKUP(E$1069,'Elec. Analysis'!$A$81:$N$91,$A1109,FALSE)</f>
        <v>5.3611587196245809</v>
      </c>
      <c r="F1109" s="1273">
        <f ca="1">VLOOKUP(F$1069,'Elec. Analysis'!$A$81:$N$91,$A1109,FALSE)</f>
        <v>8.5873991990290754</v>
      </c>
      <c r="G1109" s="1273">
        <f ca="1">VLOOKUP(G$1069,'Elec. Analysis'!$A$81:$N$91,$A1109,FALSE)</f>
        <v>13.777703726461645</v>
      </c>
      <c r="H1109" s="1273">
        <f ca="1">VLOOKUP(H$1069,'Elec. Analysis'!$A$81:$N$91,$A1109,FALSE)</f>
        <v>1.5195494261160265</v>
      </c>
      <c r="I1109" s="1273">
        <f ca="1">VLOOKUP(I$1069,'Elec. Analysis'!$A$81:$N$91,$A1109,FALSE)</f>
        <v>31.051217137911532</v>
      </c>
      <c r="J1109" s="1273">
        <f ca="1">VLOOKUP(J$1069,'Elec. Analysis'!$A$81:$N$91,$A1109,FALSE)</f>
        <v>6.1920000000000002</v>
      </c>
      <c r="K1109" s="1273">
        <f ca="1">VLOOKUP(K$1069,'Elec. Analysis'!$A$81:$N$91,$A1109,FALSE)</f>
        <v>4.6036860711256553</v>
      </c>
      <c r="L1109" s="1374"/>
      <c r="M1109" s="1374"/>
      <c r="N1109" s="1076">
        <v>6</v>
      </c>
      <c r="O1109" s="708" t="e">
        <f>IF(AND($A1215&lt;=DATE('NG Analysis'!$A$84, 12,1),$A1215&gt;=DATE('NG Analysis'!$A$84, 1, 1)), $A1215, NA())</f>
        <v>#N/A</v>
      </c>
      <c r="P1109" s="1273">
        <f ca="1">VLOOKUP(P$1069,'NG Analysis'!$A$83:$N$93,$N1109,FALSE)</f>
        <v>25.11</v>
      </c>
      <c r="Q1109" s="1273">
        <f ca="1">VLOOKUP(Q$1069,'NG Analysis'!$A$83:$N$93,$N1109,FALSE)</f>
        <v>7.9526381107213826</v>
      </c>
      <c r="R1109" s="1273">
        <f ca="1">VLOOKUP(R$1069,'NG Analysis'!$A$83:$N$93,$N1109,FALSE)</f>
        <v>7.9700690164135626</v>
      </c>
      <c r="S1109" s="1273">
        <f ca="1">VLOOKUP(S$1069,'NG Analysis'!$A$83:$N$93,$N1109,FALSE)</f>
        <v>10.951243499262032</v>
      </c>
      <c r="T1109" s="1273">
        <f ca="1">VLOOKUP(T$1069,'NG Analysis'!$A$83:$N$93,$N1109,FALSE)</f>
        <v>27.723913317231361</v>
      </c>
      <c r="U1109" s="1273">
        <f ca="1">VLOOKUP(U$1069,'NG Analysis'!$A$83:$N$93,$N1109,FALSE)</f>
        <v>8.16</v>
      </c>
      <c r="V1109" s="1273">
        <f ca="1">VLOOKUP(V$1069,'NG Analysis'!$A$83:$N$93,$N1109,FALSE)</f>
        <v>14.552656229148779</v>
      </c>
      <c r="W1109" s="1273">
        <f ca="1">VLOOKUP(W$1069,'NG Analysis'!$A$83:$N$93,$N1109,FALSE)</f>
        <v>5.1210260086388564</v>
      </c>
      <c r="X1109" s="1439"/>
    </row>
    <row r="1110" spans="1:24" x14ac:dyDescent="0.3">
      <c r="A1110" s="1072">
        <v>7</v>
      </c>
      <c r="B1110" s="708" t="e">
        <f>IF(AND($A1216&lt;=DATE('Elec. Analysis'!$A$82, 12,1),$A1216&gt;=DATE('Elec. Analysis'!$A$82, 1, 1)), $A1216, NA())</f>
        <v>#N/A</v>
      </c>
      <c r="C1110" s="1273">
        <f ca="1">VLOOKUP(C$1069,'Elec. Analysis'!$A$81:$N$91,$A1110,FALSE)</f>
        <v>9.5978677149152052</v>
      </c>
      <c r="D1110" s="1273">
        <f ca="1">VLOOKUP(D$1069,'Elec. Analysis'!$A$81:$N$91,$A1110,FALSE)</f>
        <v>16.144211000000002</v>
      </c>
      <c r="E1110" s="1273">
        <f ca="1">VLOOKUP(E$1069,'Elec. Analysis'!$A$81:$N$91,$A1110,FALSE)</f>
        <v>5.1655790121634277</v>
      </c>
      <c r="F1110" s="1273">
        <f ca="1">VLOOKUP(F$1069,'Elec. Analysis'!$A$81:$N$91,$A1110,FALSE)</f>
        <v>8.5747875462120167</v>
      </c>
      <c r="G1110" s="1273">
        <f ca="1">VLOOKUP(G$1069,'Elec. Analysis'!$A$81:$N$91,$A1110,FALSE)</f>
        <v>13.297768511495391</v>
      </c>
      <c r="H1110" s="1273">
        <f ca="1">VLOOKUP(H$1069,'Elec. Analysis'!$A$81:$N$91,$A1110,FALSE)</f>
        <v>1.4641149486504261</v>
      </c>
      <c r="I1110" s="1273">
        <f ca="1">VLOOKUP(I$1069,'Elec. Analysis'!$A$81:$N$91,$A1110,FALSE)</f>
        <v>31.51126480928334</v>
      </c>
      <c r="J1110" s="1273">
        <f ca="1">VLOOKUP(J$1069,'Elec. Analysis'!$A$81:$N$91,$A1110,FALSE)</f>
        <v>6.3983999999999996</v>
      </c>
      <c r="K1110" s="1273">
        <f ca="1">VLOOKUP(K$1069,'Elec. Analysis'!$A$81:$N$91,$A1110,FALSE)</f>
        <v>4.607699677135991</v>
      </c>
      <c r="L1110" s="1374"/>
      <c r="M1110" s="1374"/>
      <c r="N1110" s="1076">
        <v>7</v>
      </c>
      <c r="O1110" s="708" t="e">
        <f>IF(AND($A1216&lt;=DATE('NG Analysis'!$A$84, 12,1),$A1216&gt;=DATE('NG Analysis'!$A$84, 1, 1)), $A1216, NA())</f>
        <v>#N/A</v>
      </c>
      <c r="P1110" s="1273">
        <f ca="1">VLOOKUP(P$1069,'NG Analysis'!$A$83:$N$93,$N1110,FALSE)</f>
        <v>25.946999999999999</v>
      </c>
      <c r="Q1110" s="1273">
        <f ca="1">VLOOKUP(Q$1069,'NG Analysis'!$A$83:$N$93,$N1110,FALSE)</f>
        <v>6.2225451665778353</v>
      </c>
      <c r="R1110" s="1273">
        <f ca="1">VLOOKUP(R$1069,'NG Analysis'!$A$83:$N$93,$N1110,FALSE)</f>
        <v>6.5952077365448813</v>
      </c>
      <c r="S1110" s="1273">
        <f ca="1">VLOOKUP(S$1069,'NG Analysis'!$A$83:$N$93,$N1110,FALSE)</f>
        <v>10.041854584134954</v>
      </c>
      <c r="T1110" s="1273">
        <f ca="1">VLOOKUP(T$1069,'NG Analysis'!$A$83:$N$93,$N1110,FALSE)</f>
        <v>17.151406158782095</v>
      </c>
      <c r="U1110" s="1273">
        <f ca="1">VLOOKUP(U$1069,'NG Analysis'!$A$83:$N$93,$N1110,FALSE)</f>
        <v>8.4320000000000004</v>
      </c>
      <c r="V1110" s="1273">
        <f ca="1">VLOOKUP(V$1069,'NG Analysis'!$A$83:$N$93,$N1110,FALSE)</f>
        <v>10.652104343097346</v>
      </c>
      <c r="W1110" s="1273">
        <f ca="1">VLOOKUP(W$1069,'NG Analysis'!$A$83:$N$93,$N1110,FALSE)</f>
        <v>4.2521058994568559</v>
      </c>
      <c r="X1110" s="1439"/>
    </row>
    <row r="1111" spans="1:24" x14ac:dyDescent="0.3">
      <c r="A1111" s="1072">
        <v>8</v>
      </c>
      <c r="B1111" s="708" t="e">
        <f>IF(AND($A1217&lt;=DATE('Elec. Analysis'!$A$82, 12,1),$A1217&gt;=DATE('Elec. Analysis'!$A$82, 1, 1)), $A1217, NA())</f>
        <v>#N/A</v>
      </c>
      <c r="C1111" s="1273">
        <f ca="1">VLOOKUP(C$1069,'Elec. Analysis'!$A$81:$N$91,$A1111,FALSE)</f>
        <v>9.3281989935447278</v>
      </c>
      <c r="D1111" s="1273">
        <f ca="1">VLOOKUP(D$1069,'Elec. Analysis'!$A$81:$N$91,$A1111,FALSE)</f>
        <v>15.623429999999999</v>
      </c>
      <c r="E1111" s="1273">
        <f ca="1">VLOOKUP(E$1069,'Elec. Analysis'!$A$81:$N$91,$A1111,FALSE)</f>
        <v>5.0204431206587401</v>
      </c>
      <c r="F1111" s="1273">
        <f ca="1">VLOOKUP(F$1069,'Elec. Analysis'!$A$81:$N$91,$A1111,FALSE)</f>
        <v>8.326777408853685</v>
      </c>
      <c r="G1111" s="1273">
        <f ca="1">VLOOKUP(G$1069,'Elec. Analysis'!$A$81:$N$91,$A1111,FALSE)</f>
        <v>12.922747293722241</v>
      </c>
      <c r="H1111" s="1273">
        <f ca="1">VLOOKUP(H$1069,'Elec. Analysis'!$A$81:$N$91,$A1111,FALSE)</f>
        <v>1.4229781026478086</v>
      </c>
      <c r="I1111" s="1273">
        <f ca="1">VLOOKUP(I$1069,'Elec. Analysis'!$A$81:$N$91,$A1111,FALSE)</f>
        <v>30.630694018262528</v>
      </c>
      <c r="J1111" s="1273">
        <f ca="1">VLOOKUP(J$1069,'Elec. Analysis'!$A$81:$N$91,$A1111,FALSE)</f>
        <v>6.1920000000000002</v>
      </c>
      <c r="K1111" s="1273">
        <f ca="1">VLOOKUP(K$1069,'Elec. Analysis'!$A$81:$N$91,$A1111,FALSE)</f>
        <v>4.4733634468844867</v>
      </c>
      <c r="L1111" s="1374"/>
      <c r="M1111" s="1374"/>
      <c r="N1111" s="1076">
        <v>8</v>
      </c>
      <c r="O1111" s="708" t="e">
        <f>IF(AND($A1217&lt;=DATE('NG Analysis'!$A$84, 12,1),$A1217&gt;=DATE('NG Analysis'!$A$84, 1, 1)), $A1217, NA())</f>
        <v>#N/A</v>
      </c>
      <c r="P1111" s="1273">
        <f ca="1">VLOOKUP(P$1069,'NG Analysis'!$A$83:$N$93,$N1111,FALSE)</f>
        <v>25.11</v>
      </c>
      <c r="Q1111" s="1273">
        <f ca="1">VLOOKUP(Q$1069,'NG Analysis'!$A$83:$N$93,$N1111,FALSE)</f>
        <v>3.1037296499089999</v>
      </c>
      <c r="R1111" s="1273">
        <f ca="1">VLOOKUP(R$1069,'NG Analysis'!$A$83:$N$93,$N1111,FALSE)</f>
        <v>3.9898169179856966</v>
      </c>
      <c r="S1111" s="1273">
        <f ca="1">VLOOKUP(S$1069,'NG Analysis'!$A$83:$N$93,$N1111,FALSE)</f>
        <v>6.3316742137665356</v>
      </c>
      <c r="T1111" s="1273">
        <f ca="1">VLOOKUP(T$1069,'NG Analysis'!$A$83:$N$93,$N1111,FALSE)</f>
        <v>1.366539592541357</v>
      </c>
      <c r="U1111" s="1273">
        <f ca="1">VLOOKUP(U$1069,'NG Analysis'!$A$83:$N$93,$N1111,FALSE)</f>
        <v>8.16</v>
      </c>
      <c r="V1111" s="1273">
        <f ca="1">VLOOKUP(V$1069,'NG Analysis'!$A$83:$N$93,$N1111,FALSE)</f>
        <v>0</v>
      </c>
      <c r="W1111" s="1273">
        <f ca="1">VLOOKUP(W$1069,'NG Analysis'!$A$83:$N$93,$N1111,FALSE)</f>
        <v>2.4030880187101298</v>
      </c>
      <c r="X1111" s="1439"/>
    </row>
    <row r="1112" spans="1:24" x14ac:dyDescent="0.3">
      <c r="A1112" s="1072">
        <v>9</v>
      </c>
      <c r="B1112" s="708" t="e">
        <f>IF(AND($A1218&lt;=DATE('Elec. Analysis'!$A$82, 12,1),$A1218&gt;=DATE('Elec. Analysis'!$A$82, 1, 1)), $A1218, NA())</f>
        <v>#N/A</v>
      </c>
      <c r="C1112" s="1273" t="str">
        <f ca="1">VLOOKUP(C$1069,'Elec. Analysis'!$A$81:$N$91,$A1112,FALSE)</f>
        <v/>
      </c>
      <c r="D1112" s="1273" t="str">
        <f ca="1">VLOOKUP(D$1069,'Elec. Analysis'!$A$81:$N$91,$A1112,FALSE)</f>
        <v/>
      </c>
      <c r="E1112" s="1273" t="str">
        <f ca="1">VLOOKUP(E$1069,'Elec. Analysis'!$A$81:$N$91,$A1112,FALSE)</f>
        <v/>
      </c>
      <c r="F1112" s="1273" t="str">
        <f ca="1">VLOOKUP(F$1069,'Elec. Analysis'!$A$81:$N$91,$A1112,FALSE)</f>
        <v/>
      </c>
      <c r="G1112" s="1273" t="str">
        <f ca="1">VLOOKUP(G$1069,'Elec. Analysis'!$A$81:$N$91,$A1112,FALSE)</f>
        <v/>
      </c>
      <c r="H1112" s="1273" t="str">
        <f ca="1">VLOOKUP(H$1069,'Elec. Analysis'!$A$81:$N$91,$A1112,FALSE)</f>
        <v/>
      </c>
      <c r="I1112" s="1273" t="str">
        <f ca="1">VLOOKUP(I$1069,'Elec. Analysis'!$A$81:$N$91,$A1112,FALSE)</f>
        <v/>
      </c>
      <c r="J1112" s="1273" t="str">
        <f ca="1">VLOOKUP(J$1069,'Elec. Analysis'!$A$81:$N$91,$A1112,FALSE)</f>
        <v/>
      </c>
      <c r="K1112" s="1273" t="str">
        <f ca="1">VLOOKUP(K$1069,'Elec. Analysis'!$A$81:$N$91,$A1112,FALSE)</f>
        <v/>
      </c>
      <c r="L1112" s="1374"/>
      <c r="M1112" s="1374"/>
      <c r="N1112" s="1076">
        <v>9</v>
      </c>
      <c r="O1112" s="708" t="e">
        <f>IF(AND($A1218&lt;=DATE('NG Analysis'!$A$84, 12,1),$A1218&gt;=DATE('NG Analysis'!$A$84, 1, 1)), $A1218, NA())</f>
        <v>#N/A</v>
      </c>
      <c r="P1112" s="1273" t="str">
        <f ca="1">VLOOKUP(P$1069,'NG Analysis'!$A$83:$N$93,$N1112,FALSE)</f>
        <v/>
      </c>
      <c r="Q1112" s="1273" t="str">
        <f ca="1">VLOOKUP(Q$1069,'NG Analysis'!$A$83:$N$93,$N1112,FALSE)</f>
        <v/>
      </c>
      <c r="R1112" s="1273" t="str">
        <f ca="1">VLOOKUP(R$1069,'NG Analysis'!$A$83:$N$93,$N1112,FALSE)</f>
        <v/>
      </c>
      <c r="S1112" s="1273" t="str">
        <f ca="1">VLOOKUP(S$1069,'NG Analysis'!$A$83:$N$93,$N1112,FALSE)</f>
        <v/>
      </c>
      <c r="T1112" s="1273" t="str">
        <f ca="1">VLOOKUP(T$1069,'NG Analysis'!$A$83:$N$93,$N1112,FALSE)</f>
        <v/>
      </c>
      <c r="U1112" s="1273" t="str">
        <f ca="1">VLOOKUP(U$1069,'NG Analysis'!$A$83:$N$93,$N1112,FALSE)</f>
        <v/>
      </c>
      <c r="V1112" s="1273" t="str">
        <f ca="1">VLOOKUP(V$1069,'NG Analysis'!$A$83:$N$93,$N1112,FALSE)</f>
        <v/>
      </c>
      <c r="W1112" s="1273" t="str">
        <f ca="1">VLOOKUP(W$1069,'NG Analysis'!$A$83:$N$93,$N1112,FALSE)</f>
        <v/>
      </c>
      <c r="X1112" s="1439"/>
    </row>
    <row r="1113" spans="1:24" x14ac:dyDescent="0.3">
      <c r="A1113" s="1072">
        <v>10</v>
      </c>
      <c r="B1113" s="708" t="e">
        <f>IF(AND($A1219&lt;=DATE('Elec. Analysis'!$A$82, 12,1),$A1219&gt;=DATE('Elec. Analysis'!$A$82, 1, 1)), $A1219, NA())</f>
        <v>#N/A</v>
      </c>
      <c r="C1113" s="1273" t="str">
        <f ca="1">VLOOKUP(C$1069,'Elec. Analysis'!$A$81:$N$91,$A1113,FALSE)</f>
        <v/>
      </c>
      <c r="D1113" s="1273" t="str">
        <f ca="1">VLOOKUP(D$1069,'Elec. Analysis'!$A$81:$N$91,$A1113,FALSE)</f>
        <v/>
      </c>
      <c r="E1113" s="1273" t="str">
        <f ca="1">VLOOKUP(E$1069,'Elec. Analysis'!$A$81:$N$91,$A1113,FALSE)</f>
        <v/>
      </c>
      <c r="F1113" s="1273" t="str">
        <f ca="1">VLOOKUP(F$1069,'Elec. Analysis'!$A$81:$N$91,$A1113,FALSE)</f>
        <v/>
      </c>
      <c r="G1113" s="1273" t="str">
        <f ca="1">VLOOKUP(G$1069,'Elec. Analysis'!$A$81:$N$91,$A1113,FALSE)</f>
        <v/>
      </c>
      <c r="H1113" s="1273" t="str">
        <f ca="1">VLOOKUP(H$1069,'Elec. Analysis'!$A$81:$N$91,$A1113,FALSE)</f>
        <v/>
      </c>
      <c r="I1113" s="1273" t="str">
        <f ca="1">VLOOKUP(I$1069,'Elec. Analysis'!$A$81:$N$91,$A1113,FALSE)</f>
        <v/>
      </c>
      <c r="J1113" s="1273" t="str">
        <f ca="1">VLOOKUP(J$1069,'Elec. Analysis'!$A$81:$N$91,$A1113,FALSE)</f>
        <v/>
      </c>
      <c r="K1113" s="1273" t="str">
        <f ca="1">VLOOKUP(K$1069,'Elec. Analysis'!$A$81:$N$91,$A1113,FALSE)</f>
        <v/>
      </c>
      <c r="L1113" s="1374"/>
      <c r="M1113" s="1374"/>
      <c r="N1113" s="1076">
        <v>10</v>
      </c>
      <c r="O1113" s="708" t="e">
        <f>IF(AND($A1219&lt;=DATE('NG Analysis'!$A$84, 12,1),$A1219&gt;=DATE('NG Analysis'!$A$84, 1, 1)), $A1219, NA())</f>
        <v>#N/A</v>
      </c>
      <c r="P1113" s="1273" t="str">
        <f ca="1">VLOOKUP(P$1069,'NG Analysis'!$A$83:$N$93,$N1113,FALSE)</f>
        <v/>
      </c>
      <c r="Q1113" s="1273" t="str">
        <f ca="1">VLOOKUP(Q$1069,'NG Analysis'!$A$83:$N$93,$N1113,FALSE)</f>
        <v/>
      </c>
      <c r="R1113" s="1273" t="str">
        <f ca="1">VLOOKUP(R$1069,'NG Analysis'!$A$83:$N$93,$N1113,FALSE)</f>
        <v/>
      </c>
      <c r="S1113" s="1273" t="str">
        <f ca="1">VLOOKUP(S$1069,'NG Analysis'!$A$83:$N$93,$N1113,FALSE)</f>
        <v/>
      </c>
      <c r="T1113" s="1273" t="str">
        <f ca="1">VLOOKUP(T$1069,'NG Analysis'!$A$83:$N$93,$N1113,FALSE)</f>
        <v/>
      </c>
      <c r="U1113" s="1273" t="str">
        <f ca="1">VLOOKUP(U$1069,'NG Analysis'!$A$83:$N$93,$N1113,FALSE)</f>
        <v/>
      </c>
      <c r="V1113" s="1273" t="str">
        <f ca="1">VLOOKUP(V$1069,'NG Analysis'!$A$83:$N$93,$N1113,FALSE)</f>
        <v/>
      </c>
      <c r="W1113" s="1273" t="str">
        <f ca="1">VLOOKUP(W$1069,'NG Analysis'!$A$83:$N$93,$N1113,FALSE)</f>
        <v/>
      </c>
      <c r="X1113" s="1439"/>
    </row>
    <row r="1114" spans="1:24" x14ac:dyDescent="0.3">
      <c r="A1114" s="1072">
        <v>11</v>
      </c>
      <c r="B1114" s="708" t="e">
        <f>IF(AND($A1220&lt;=DATE('Elec. Analysis'!$A$82, 12,1),$A1220&gt;=DATE('Elec. Analysis'!$A$82, 1, 1)), $A1220, NA())</f>
        <v>#N/A</v>
      </c>
      <c r="C1114" s="1273" t="str">
        <f ca="1">VLOOKUP(C$1069,'Elec. Analysis'!$A$81:$N$91,$A1114,FALSE)</f>
        <v/>
      </c>
      <c r="D1114" s="1273" t="str">
        <f ca="1">VLOOKUP(D$1069,'Elec. Analysis'!$A$81:$N$91,$A1114,FALSE)</f>
        <v/>
      </c>
      <c r="E1114" s="1273" t="str">
        <f ca="1">VLOOKUP(E$1069,'Elec. Analysis'!$A$81:$N$91,$A1114,FALSE)</f>
        <v/>
      </c>
      <c r="F1114" s="1273" t="str">
        <f ca="1">VLOOKUP(F$1069,'Elec. Analysis'!$A$81:$N$91,$A1114,FALSE)</f>
        <v/>
      </c>
      <c r="G1114" s="1273" t="str">
        <f ca="1">VLOOKUP(G$1069,'Elec. Analysis'!$A$81:$N$91,$A1114,FALSE)</f>
        <v/>
      </c>
      <c r="H1114" s="1273" t="str">
        <f ca="1">VLOOKUP(H$1069,'Elec. Analysis'!$A$81:$N$91,$A1114,FALSE)</f>
        <v/>
      </c>
      <c r="I1114" s="1273" t="str">
        <f ca="1">VLOOKUP(I$1069,'Elec. Analysis'!$A$81:$N$91,$A1114,FALSE)</f>
        <v/>
      </c>
      <c r="J1114" s="1273" t="str">
        <f ca="1">VLOOKUP(J$1069,'Elec. Analysis'!$A$81:$N$91,$A1114,FALSE)</f>
        <v/>
      </c>
      <c r="K1114" s="1273" t="str">
        <f ca="1">VLOOKUP(K$1069,'Elec. Analysis'!$A$81:$N$91,$A1114,FALSE)</f>
        <v/>
      </c>
      <c r="L1114" s="1374"/>
      <c r="M1114" s="1374"/>
      <c r="N1114" s="1076">
        <v>11</v>
      </c>
      <c r="O1114" s="708" t="e">
        <f>IF(AND($A1220&lt;=DATE('NG Analysis'!$A$84, 12,1),$A1220&gt;=DATE('NG Analysis'!$A$84, 1, 1)), $A1220, NA())</f>
        <v>#N/A</v>
      </c>
      <c r="P1114" s="1273" t="str">
        <f ca="1">VLOOKUP(P$1069,'NG Analysis'!$A$83:$N$93,$N1114,FALSE)</f>
        <v/>
      </c>
      <c r="Q1114" s="1273" t="str">
        <f ca="1">VLOOKUP(Q$1069,'NG Analysis'!$A$83:$N$93,$N1114,FALSE)</f>
        <v/>
      </c>
      <c r="R1114" s="1273" t="str">
        <f ca="1">VLOOKUP(R$1069,'NG Analysis'!$A$83:$N$93,$N1114,FALSE)</f>
        <v/>
      </c>
      <c r="S1114" s="1273" t="str">
        <f ca="1">VLOOKUP(S$1069,'NG Analysis'!$A$83:$N$93,$N1114,FALSE)</f>
        <v/>
      </c>
      <c r="T1114" s="1273" t="str">
        <f ca="1">VLOOKUP(T$1069,'NG Analysis'!$A$83:$N$93,$N1114,FALSE)</f>
        <v/>
      </c>
      <c r="U1114" s="1273" t="str">
        <f ca="1">VLOOKUP(U$1069,'NG Analysis'!$A$83:$N$93,$N1114,FALSE)</f>
        <v/>
      </c>
      <c r="V1114" s="1273" t="str">
        <f ca="1">VLOOKUP(V$1069,'NG Analysis'!$A$83:$N$93,$N1114,FALSE)</f>
        <v/>
      </c>
      <c r="W1114" s="1273" t="str">
        <f ca="1">VLOOKUP(W$1069,'NG Analysis'!$A$83:$N$93,$N1114,FALSE)</f>
        <v/>
      </c>
      <c r="X1114" s="1439"/>
    </row>
    <row r="1115" spans="1:24" x14ac:dyDescent="0.3">
      <c r="A1115" s="1072">
        <v>12</v>
      </c>
      <c r="B1115" s="708" t="e">
        <f>IF(AND($A1221&lt;=DATE('Elec. Analysis'!$A$82, 12,1),$A1221&gt;=DATE('Elec. Analysis'!$A$82, 1, 1)), $A1221, NA())</f>
        <v>#N/A</v>
      </c>
      <c r="C1115" s="1273" t="str">
        <f ca="1">VLOOKUP(C$1069,'Elec. Analysis'!$A$81:$N$91,$A1115,FALSE)</f>
        <v/>
      </c>
      <c r="D1115" s="1273" t="str">
        <f ca="1">VLOOKUP(D$1069,'Elec. Analysis'!$A$81:$N$91,$A1115,FALSE)</f>
        <v/>
      </c>
      <c r="E1115" s="1273" t="str">
        <f ca="1">VLOOKUP(E$1069,'Elec. Analysis'!$A$81:$N$91,$A1115,FALSE)</f>
        <v/>
      </c>
      <c r="F1115" s="1273" t="str">
        <f ca="1">VLOOKUP(F$1069,'Elec. Analysis'!$A$81:$N$91,$A1115,FALSE)</f>
        <v/>
      </c>
      <c r="G1115" s="1273" t="str">
        <f ca="1">VLOOKUP(G$1069,'Elec. Analysis'!$A$81:$N$91,$A1115,FALSE)</f>
        <v/>
      </c>
      <c r="H1115" s="1273" t="str">
        <f ca="1">VLOOKUP(H$1069,'Elec. Analysis'!$A$81:$N$91,$A1115,FALSE)</f>
        <v/>
      </c>
      <c r="I1115" s="1273" t="str">
        <f ca="1">VLOOKUP(I$1069,'Elec. Analysis'!$A$81:$N$91,$A1115,FALSE)</f>
        <v/>
      </c>
      <c r="J1115" s="1273" t="str">
        <f ca="1">VLOOKUP(J$1069,'Elec. Analysis'!$A$81:$N$91,$A1115,FALSE)</f>
        <v/>
      </c>
      <c r="K1115" s="1273" t="str">
        <f ca="1">VLOOKUP(K$1069,'Elec. Analysis'!$A$81:$N$91,$A1115,FALSE)</f>
        <v/>
      </c>
      <c r="L1115" s="1374"/>
      <c r="M1115" s="1374"/>
      <c r="N1115" s="1076">
        <v>12</v>
      </c>
      <c r="O1115" s="708" t="e">
        <f>IF(AND($A1221&lt;=DATE('NG Analysis'!$A$84, 12,1),$A1221&gt;=DATE('NG Analysis'!$A$84, 1, 1)), $A1221, NA())</f>
        <v>#N/A</v>
      </c>
      <c r="P1115" s="1273" t="str">
        <f ca="1">VLOOKUP(P$1069,'NG Analysis'!$A$83:$N$93,$N1115,FALSE)</f>
        <v/>
      </c>
      <c r="Q1115" s="1273" t="str">
        <f ca="1">VLOOKUP(Q$1069,'NG Analysis'!$A$83:$N$93,$N1115,FALSE)</f>
        <v/>
      </c>
      <c r="R1115" s="1273" t="str">
        <f ca="1">VLOOKUP(R$1069,'NG Analysis'!$A$83:$N$93,$N1115,FALSE)</f>
        <v/>
      </c>
      <c r="S1115" s="1273" t="str">
        <f ca="1">VLOOKUP(S$1069,'NG Analysis'!$A$83:$N$93,$N1115,FALSE)</f>
        <v/>
      </c>
      <c r="T1115" s="1273" t="str">
        <f ca="1">VLOOKUP(T$1069,'NG Analysis'!$A$83:$N$93,$N1115,FALSE)</f>
        <v/>
      </c>
      <c r="U1115" s="1273" t="str">
        <f ca="1">VLOOKUP(U$1069,'NG Analysis'!$A$83:$N$93,$N1115,FALSE)</f>
        <v/>
      </c>
      <c r="V1115" s="1273" t="str">
        <f ca="1">VLOOKUP(V$1069,'NG Analysis'!$A$83:$N$93,$N1115,FALSE)</f>
        <v/>
      </c>
      <c r="W1115" s="1273" t="str">
        <f ca="1">VLOOKUP(W$1069,'NG Analysis'!$A$83:$N$93,$N1115,FALSE)</f>
        <v/>
      </c>
      <c r="X1115" s="1439"/>
    </row>
    <row r="1116" spans="1:24" x14ac:dyDescent="0.3">
      <c r="A1116" s="1072">
        <v>13</v>
      </c>
      <c r="B1116" s="708" t="e">
        <f>IF(AND($A1222&lt;=DATE('Elec. Analysis'!$A$82, 12,1),$A1222&gt;=DATE('Elec. Analysis'!$A$82, 1, 1)), $A1222, NA())</f>
        <v>#N/A</v>
      </c>
      <c r="C1116" s="1273" t="str">
        <f ca="1">VLOOKUP(C$1069,'Elec. Analysis'!$A$81:$N$91,$A1116,FALSE)</f>
        <v/>
      </c>
      <c r="D1116" s="1273" t="str">
        <f ca="1">VLOOKUP(D$1069,'Elec. Analysis'!$A$81:$N$91,$A1116,FALSE)</f>
        <v/>
      </c>
      <c r="E1116" s="1273" t="str">
        <f ca="1">VLOOKUP(E$1069,'Elec. Analysis'!$A$81:$N$91,$A1116,FALSE)</f>
        <v/>
      </c>
      <c r="F1116" s="1273" t="str">
        <f ca="1">VLOOKUP(F$1069,'Elec. Analysis'!$A$81:$N$91,$A1116,FALSE)</f>
        <v/>
      </c>
      <c r="G1116" s="1273" t="str">
        <f ca="1">VLOOKUP(G$1069,'Elec. Analysis'!$A$81:$N$91,$A1116,FALSE)</f>
        <v/>
      </c>
      <c r="H1116" s="1273" t="str">
        <f ca="1">VLOOKUP(H$1069,'Elec. Analysis'!$A$81:$N$91,$A1116,FALSE)</f>
        <v/>
      </c>
      <c r="I1116" s="1273" t="str">
        <f ca="1">VLOOKUP(I$1069,'Elec. Analysis'!$A$81:$N$91,$A1116,FALSE)</f>
        <v/>
      </c>
      <c r="J1116" s="1273" t="str">
        <f ca="1">VLOOKUP(J$1069,'Elec. Analysis'!$A$81:$N$91,$A1116,FALSE)</f>
        <v/>
      </c>
      <c r="K1116" s="1273" t="str">
        <f ca="1">VLOOKUP(K$1069,'Elec. Analysis'!$A$81:$N$91,$A1116,FALSE)</f>
        <v/>
      </c>
      <c r="L1116" s="1374"/>
      <c r="M1116" s="1374"/>
      <c r="N1116" s="1076">
        <v>13</v>
      </c>
      <c r="O1116" s="708" t="e">
        <f>IF(AND($A1222&lt;=DATE('NG Analysis'!$A$84, 12,1),$A1222&gt;=DATE('NG Analysis'!$A$84, 1, 1)), $A1222, NA())</f>
        <v>#N/A</v>
      </c>
      <c r="P1116" s="1273" t="str">
        <f ca="1">VLOOKUP(P$1069,'NG Analysis'!$A$83:$N$93,$N1116,FALSE)</f>
        <v/>
      </c>
      <c r="Q1116" s="1273" t="str">
        <f ca="1">VLOOKUP(Q$1069,'NG Analysis'!$A$83:$N$93,$N1116,FALSE)</f>
        <v/>
      </c>
      <c r="R1116" s="1273" t="str">
        <f ca="1">VLOOKUP(R$1069,'NG Analysis'!$A$83:$N$93,$N1116,FALSE)</f>
        <v/>
      </c>
      <c r="S1116" s="1273" t="str">
        <f ca="1">VLOOKUP(S$1069,'NG Analysis'!$A$83:$N$93,$N1116,FALSE)</f>
        <v/>
      </c>
      <c r="T1116" s="1273" t="str">
        <f ca="1">VLOOKUP(T$1069,'NG Analysis'!$A$83:$N$93,$N1116,FALSE)</f>
        <v/>
      </c>
      <c r="U1116" s="1273" t="str">
        <f ca="1">VLOOKUP(U$1069,'NG Analysis'!$A$83:$N$93,$N1116,FALSE)</f>
        <v/>
      </c>
      <c r="V1116" s="1273" t="str">
        <f ca="1">VLOOKUP(V$1069,'NG Analysis'!$A$83:$N$93,$N1116,FALSE)</f>
        <v/>
      </c>
      <c r="W1116" s="1273" t="str">
        <f ca="1">VLOOKUP(W$1069,'NG Analysis'!$A$83:$N$93,$N1116,FALSE)</f>
        <v/>
      </c>
      <c r="X1116" s="1439"/>
    </row>
    <row r="1117" spans="1:24" x14ac:dyDescent="0.3">
      <c r="A1117" s="1072">
        <v>14</v>
      </c>
      <c r="B1117" s="708" t="e">
        <f>IF(AND($A1223&lt;=DATE('Elec. Analysis'!$A$82, 12,1),$A1223&gt;=DATE('Elec. Analysis'!$A$82, 1, 1)), $A1223, NA())</f>
        <v>#N/A</v>
      </c>
      <c r="C1117" s="1273" t="str">
        <f ca="1">VLOOKUP(C$1069,'Elec. Analysis'!$A$81:$N$91,$A1117,FALSE)</f>
        <v/>
      </c>
      <c r="D1117" s="1273" t="str">
        <f ca="1">VLOOKUP(D$1069,'Elec. Analysis'!$A$81:$N$91,$A1117,FALSE)</f>
        <v/>
      </c>
      <c r="E1117" s="1273" t="str">
        <f ca="1">VLOOKUP(E$1069,'Elec. Analysis'!$A$81:$N$91,$A1117,FALSE)</f>
        <v/>
      </c>
      <c r="F1117" s="1273" t="str">
        <f ca="1">VLOOKUP(F$1069,'Elec. Analysis'!$A$81:$N$91,$A1117,FALSE)</f>
        <v/>
      </c>
      <c r="G1117" s="1273" t="str">
        <f ca="1">VLOOKUP(G$1069,'Elec. Analysis'!$A$81:$N$91,$A1117,FALSE)</f>
        <v/>
      </c>
      <c r="H1117" s="1273" t="str">
        <f ca="1">VLOOKUP(H$1069,'Elec. Analysis'!$A$81:$N$91,$A1117,FALSE)</f>
        <v/>
      </c>
      <c r="I1117" s="1273" t="str">
        <f ca="1">VLOOKUP(I$1069,'Elec. Analysis'!$A$81:$N$91,$A1117,FALSE)</f>
        <v/>
      </c>
      <c r="J1117" s="1273" t="str">
        <f ca="1">VLOOKUP(J$1069,'Elec. Analysis'!$A$81:$N$91,$A1117,FALSE)</f>
        <v/>
      </c>
      <c r="K1117" s="1273" t="str">
        <f ca="1">VLOOKUP(K$1069,'Elec. Analysis'!$A$81:$N$91,$A1117,FALSE)</f>
        <v/>
      </c>
      <c r="L1117" s="1374"/>
      <c r="M1117" s="1374"/>
      <c r="N1117" s="1076">
        <v>14</v>
      </c>
      <c r="O1117" s="708" t="e">
        <f>IF(AND($A1223&lt;=DATE('NG Analysis'!$A$84, 12,1),$A1223&gt;=DATE('NG Analysis'!$A$84, 1, 1)), $A1223, NA())</f>
        <v>#N/A</v>
      </c>
      <c r="P1117" s="1273" t="str">
        <f ca="1">VLOOKUP(P$1069,'NG Analysis'!$A$83:$N$93,$N1117,FALSE)</f>
        <v/>
      </c>
      <c r="Q1117" s="1273" t="str">
        <f ca="1">VLOOKUP(Q$1069,'NG Analysis'!$A$83:$N$93,$N1117,FALSE)</f>
        <v/>
      </c>
      <c r="R1117" s="1273" t="str">
        <f ca="1">VLOOKUP(R$1069,'NG Analysis'!$A$83:$N$93,$N1117,FALSE)</f>
        <v/>
      </c>
      <c r="S1117" s="1273" t="str">
        <f ca="1">VLOOKUP(S$1069,'NG Analysis'!$A$83:$N$93,$N1117,FALSE)</f>
        <v/>
      </c>
      <c r="T1117" s="1273" t="str">
        <f ca="1">VLOOKUP(T$1069,'NG Analysis'!$A$83:$N$93,$N1117,FALSE)</f>
        <v/>
      </c>
      <c r="U1117" s="1273" t="str">
        <f ca="1">VLOOKUP(U$1069,'NG Analysis'!$A$83:$N$93,$N1117,FALSE)</f>
        <v/>
      </c>
      <c r="V1117" s="1273" t="str">
        <f ca="1">VLOOKUP(V$1069,'NG Analysis'!$A$83:$N$93,$N1117,FALSE)</f>
        <v/>
      </c>
      <c r="W1117" s="1273" t="str">
        <f ca="1">VLOOKUP(W$1069,'NG Analysis'!$A$83:$N$93,$N1117,FALSE)</f>
        <v/>
      </c>
      <c r="X1117" s="1439"/>
    </row>
    <row r="1118" spans="1:24" x14ac:dyDescent="0.3">
      <c r="A1118" s="1072">
        <v>3</v>
      </c>
      <c r="B1118" s="708" t="e">
        <f>IF(AND($A1224&lt;=DATE('Elec. Analysis'!$A$82, 12,1),$A1224&gt;=DATE('Elec. Analysis'!$A$82, 1, 1)), $A1224, NA())</f>
        <v>#N/A</v>
      </c>
      <c r="C1118" s="1273">
        <f ca="1">VLOOKUP(C$1069,'Elec. Analysis'!$A$81:$N$91,$A1118,FALSE)</f>
        <v>11.756793629373167</v>
      </c>
      <c r="D1118" s="1273">
        <f ca="1">VLOOKUP(D$1069,'Elec. Analysis'!$A$81:$N$91,$A1118,FALSE)</f>
        <v>16.144211000000002</v>
      </c>
      <c r="E1118" s="1273">
        <f ca="1">VLOOKUP(E$1069,'Elec. Analysis'!$A$81:$N$91,$A1118,FALSE)</f>
        <v>6.3275144257146358</v>
      </c>
      <c r="F1118" s="1273">
        <f ca="1">VLOOKUP(F$1069,'Elec. Analysis'!$A$81:$N$91,$A1118,FALSE)</f>
        <v>10.302466363166253</v>
      </c>
      <c r="G1118" s="1273">
        <f ca="1">VLOOKUP(G$1069,'Elec. Analysis'!$A$81:$N$91,$A1118,FALSE)</f>
        <v>15.633512574909027</v>
      </c>
      <c r="H1118" s="1273">
        <f ca="1">VLOOKUP(H$1069,'Elec. Analysis'!$A$81:$N$91,$A1118,FALSE)</f>
        <v>1.7934501508302387</v>
      </c>
      <c r="I1118" s="1273">
        <f ca="1">VLOOKUP(I$1069,'Elec. Analysis'!$A$81:$N$91,$A1118,FALSE)</f>
        <v>41.075988634710761</v>
      </c>
      <c r="J1118" s="1273">
        <f ca="1">VLOOKUP(J$1069,'Elec. Analysis'!$A$81:$N$91,$A1118,FALSE)</f>
        <v>6.3983999999999996</v>
      </c>
      <c r="K1118" s="1273">
        <f ca="1">VLOOKUP(K$1069,'Elec. Analysis'!$A$81:$N$91,$A1118,FALSE)</f>
        <v>5.4716168389352049</v>
      </c>
      <c r="L1118" s="1374"/>
      <c r="M1118" s="1374"/>
      <c r="N1118" s="1076">
        <v>3</v>
      </c>
      <c r="O1118" s="708" t="e">
        <f>IF(AND($A1224&lt;=DATE('NG Analysis'!$A$84, 12,1),$A1224&gt;=DATE('NG Analysis'!$A$84, 1, 1)), $A1224, NA())</f>
        <v>#N/A</v>
      </c>
      <c r="P1118" s="1273">
        <f ca="1">VLOOKUP(P$1069,'NG Analysis'!$A$83:$N$93,$N1118,FALSE)</f>
        <v>25.946999999999999</v>
      </c>
      <c r="Q1118" s="1273">
        <f ca="1">VLOOKUP(Q$1069,'NG Analysis'!$A$83:$N$93,$N1118,FALSE)</f>
        <v>13.961815841257177</v>
      </c>
      <c r="R1118" s="1273">
        <f ca="1">VLOOKUP(R$1069,'NG Analysis'!$A$83:$N$93,$N1118,FALSE)</f>
        <v>8.1124896049438657</v>
      </c>
      <c r="S1118" s="1273">
        <f ca="1">VLOOKUP(S$1069,'NG Analysis'!$A$83:$N$93,$N1118,FALSE)</f>
        <v>7.5956320197913003</v>
      </c>
      <c r="T1118" s="1273">
        <f ca="1">VLOOKUP(T$1069,'NG Analysis'!$A$83:$N$93,$N1118,FALSE)</f>
        <v>25.515260554287845</v>
      </c>
      <c r="U1118" s="1273">
        <f ca="1">VLOOKUP(U$1069,'NG Analysis'!$A$83:$N$93,$N1118,FALSE)</f>
        <v>8.4320000000000004</v>
      </c>
      <c r="V1118" s="1273">
        <f ca="1">VLOOKUP(V$1069,'NG Analysis'!$A$83:$N$93,$N1118,FALSE)</f>
        <v>25.548944066570733</v>
      </c>
      <c r="W1118" s="1273">
        <f ca="1">VLOOKUP(W$1069,'NG Analysis'!$A$83:$N$93,$N1118,FALSE)</f>
        <v>5.7556571043425464</v>
      </c>
      <c r="X1118" s="1439"/>
    </row>
    <row r="1119" spans="1:24" x14ac:dyDescent="0.3">
      <c r="A1119" s="1072">
        <v>4</v>
      </c>
      <c r="B1119" s="708" t="e">
        <f>IF(AND($A1225&lt;=DATE('Elec. Analysis'!$A$82, 12,1),$A1225&gt;=DATE('Elec. Analysis'!$A$82, 1, 1)), $A1225, NA())</f>
        <v>#N/A</v>
      </c>
      <c r="C1119" s="1273">
        <f ca="1">VLOOKUP(C$1069,'Elec. Analysis'!$A$81:$N$91,$A1119,FALSE)</f>
        <v>12.288850572617701</v>
      </c>
      <c r="D1119" s="1273">
        <f ca="1">VLOOKUP(D$1069,'Elec. Analysis'!$A$81:$N$91,$A1119,FALSE)</f>
        <v>14.581868000000002</v>
      </c>
      <c r="E1119" s="1273">
        <f ca="1">VLOOKUP(E$1069,'Elec. Analysis'!$A$81:$N$91,$A1119,FALSE)</f>
        <v>6.6138678388825181</v>
      </c>
      <c r="F1119" s="1273">
        <f ca="1">VLOOKUP(F$1069,'Elec. Analysis'!$A$81:$N$91,$A1119,FALSE)</f>
        <v>10.508661424130576</v>
      </c>
      <c r="G1119" s="1273">
        <f ca="1">VLOOKUP(G$1069,'Elec. Analysis'!$A$81:$N$91,$A1119,FALSE)</f>
        <v>16.2933180673412</v>
      </c>
      <c r="H1119" s="1273">
        <f ca="1">VLOOKUP(H$1069,'Elec. Analysis'!$A$81:$N$91,$A1119,FALSE)</f>
        <v>1.8746132328059373</v>
      </c>
      <c r="I1119" s="1273">
        <f ca="1">VLOOKUP(I$1069,'Elec. Analysis'!$A$81:$N$91,$A1119,FALSE)</f>
        <v>42.93489384668365</v>
      </c>
      <c r="J1119" s="1273">
        <f ca="1">VLOOKUP(J$1069,'Elec. Analysis'!$A$81:$N$91,$A1119,FALSE)</f>
        <v>5.7792000000000003</v>
      </c>
      <c r="K1119" s="1273">
        <f ca="1">VLOOKUP(K$1069,'Elec. Analysis'!$A$81:$N$91,$A1119,FALSE)</f>
        <v>5.5437636491230808</v>
      </c>
      <c r="L1119" s="1374"/>
      <c r="M1119" s="1374"/>
      <c r="N1119" s="1076">
        <v>4</v>
      </c>
      <c r="O1119" s="708" t="e">
        <f>IF(AND($A1225&lt;=DATE('NG Analysis'!$A$84, 12,1),$A1225&gt;=DATE('NG Analysis'!$A$84, 1, 1)), $A1225, NA())</f>
        <v>#N/A</v>
      </c>
      <c r="P1119" s="1273">
        <f ca="1">VLOOKUP(P$1069,'NG Analysis'!$A$83:$N$93,$N1119,FALSE)</f>
        <v>23.436</v>
      </c>
      <c r="Q1119" s="1273">
        <f ca="1">VLOOKUP(Q$1069,'NG Analysis'!$A$83:$N$93,$N1119,FALSE)</f>
        <v>21.645384041554284</v>
      </c>
      <c r="R1119" s="1273">
        <f ca="1">VLOOKUP(R$1069,'NG Analysis'!$A$83:$N$93,$N1119,FALSE)</f>
        <v>12.372592105843843</v>
      </c>
      <c r="S1119" s="1273">
        <f ca="1">VLOOKUP(S$1069,'NG Analysis'!$A$83:$N$93,$N1119,FALSE)</f>
        <v>14.323715564223139</v>
      </c>
      <c r="T1119" s="1273">
        <f ca="1">VLOOKUP(T$1069,'NG Analysis'!$A$83:$N$93,$N1119,FALSE)</f>
        <v>51.959365793357087</v>
      </c>
      <c r="U1119" s="1273">
        <f ca="1">VLOOKUP(U$1069,'NG Analysis'!$A$83:$N$93,$N1119,FALSE)</f>
        <v>7.6160000000000005</v>
      </c>
      <c r="V1119" s="1273">
        <f ca="1">VLOOKUP(V$1069,'NG Analysis'!$A$83:$N$93,$N1119,FALSE)</f>
        <v>39.609225079659645</v>
      </c>
      <c r="W1119" s="1273">
        <f ca="1">VLOOKUP(W$1069,'NG Analysis'!$A$83:$N$93,$N1119,FALSE)</f>
        <v>8.5481141292318998</v>
      </c>
      <c r="X1119" s="1439"/>
    </row>
    <row r="1120" spans="1:24" x14ac:dyDescent="0.3">
      <c r="A1120" s="1072">
        <v>5</v>
      </c>
      <c r="B1120" s="708" t="e">
        <f>IF(AND($A1226&lt;=DATE('Elec. Analysis'!$A$82, 12,1),$A1226&gt;=DATE('Elec. Analysis'!$A$82, 1, 1)), $A1226, NA())</f>
        <v>#N/A</v>
      </c>
      <c r="C1120" s="1273">
        <f ca="1">VLOOKUP(C$1069,'Elec. Analysis'!$A$81:$N$91,$A1120,FALSE)</f>
        <v>11.255044002309154</v>
      </c>
      <c r="D1120" s="1273">
        <f ca="1">VLOOKUP(D$1069,'Elec. Analysis'!$A$81:$N$91,$A1120,FALSE)</f>
        <v>16.144211000000002</v>
      </c>
      <c r="E1120" s="1273">
        <f ca="1">VLOOKUP(E$1069,'Elec. Analysis'!$A$81:$N$91,$A1120,FALSE)</f>
        <v>6.0574724309812682</v>
      </c>
      <c r="F1120" s="1273">
        <f ca="1">VLOOKUP(F$1069,'Elec. Analysis'!$A$81:$N$91,$A1120,FALSE)</f>
        <v>9.3716963955057278</v>
      </c>
      <c r="G1120" s="1273">
        <f ca="1">VLOOKUP(G$1069,'Elec. Analysis'!$A$81:$N$91,$A1120,FALSE)</f>
        <v>14.980645643015643</v>
      </c>
      <c r="H1120" s="1273">
        <f ca="1">VLOOKUP(H$1069,'Elec. Analysis'!$A$81:$N$91,$A1120,FALSE)</f>
        <v>1.7169103243516355</v>
      </c>
      <c r="I1120" s="1273">
        <f ca="1">VLOOKUP(I$1069,'Elec. Analysis'!$A$81:$N$91,$A1120,FALSE)</f>
        <v>34.199419529186834</v>
      </c>
      <c r="J1120" s="1273">
        <f ca="1">VLOOKUP(J$1069,'Elec. Analysis'!$A$81:$N$91,$A1120,FALSE)</f>
        <v>6.3983999999999996</v>
      </c>
      <c r="K1120" s="1273">
        <f ca="1">VLOOKUP(K$1069,'Elec. Analysis'!$A$81:$N$91,$A1120,FALSE)</f>
        <v>5.0061899662675131</v>
      </c>
      <c r="L1120" s="1374"/>
      <c r="M1120" s="1374"/>
      <c r="N1120" s="1076">
        <v>5</v>
      </c>
      <c r="O1120" s="708" t="e">
        <f>IF(AND($A1226&lt;=DATE('NG Analysis'!$A$84, 12,1),$A1226&gt;=DATE('NG Analysis'!$A$84, 1, 1)), $A1226, NA())</f>
        <v>#N/A</v>
      </c>
      <c r="P1120" s="1273">
        <f ca="1">VLOOKUP(P$1069,'NG Analysis'!$A$83:$N$93,$N1120,FALSE)</f>
        <v>25.946999999999999</v>
      </c>
      <c r="Q1120" s="1273">
        <f ca="1">VLOOKUP(Q$1069,'NG Analysis'!$A$83:$N$93,$N1120,FALSE)</f>
        <v>13.092799736790329</v>
      </c>
      <c r="R1120" s="1273">
        <f ca="1">VLOOKUP(R$1069,'NG Analysis'!$A$83:$N$93,$N1120,FALSE)</f>
        <v>11.73428222700306</v>
      </c>
      <c r="S1120" s="1273">
        <f ca="1">VLOOKUP(S$1069,'NG Analysis'!$A$83:$N$93,$N1120,FALSE)</f>
        <v>16.356017339480474</v>
      </c>
      <c r="T1120" s="1273">
        <f ca="1">VLOOKUP(T$1069,'NG Analysis'!$A$83:$N$93,$N1120,FALSE)</f>
        <v>50.223284876952057</v>
      </c>
      <c r="U1120" s="1273">
        <f ca="1">VLOOKUP(U$1069,'NG Analysis'!$A$83:$N$93,$N1120,FALSE)</f>
        <v>8.4320000000000004</v>
      </c>
      <c r="V1120" s="1273">
        <f ca="1">VLOOKUP(V$1069,'NG Analysis'!$A$83:$N$93,$N1120,FALSE)</f>
        <v>23.95871797431958</v>
      </c>
      <c r="W1120" s="1273">
        <f ca="1">VLOOKUP(W$1069,'NG Analysis'!$A$83:$N$93,$N1120,FALSE)</f>
        <v>7.4872051077272763</v>
      </c>
      <c r="X1120" s="1439"/>
    </row>
    <row r="1121" spans="1:24" x14ac:dyDescent="0.3">
      <c r="A1121" s="1072">
        <v>6</v>
      </c>
      <c r="B1121" s="708" t="e">
        <f>IF(AND($A1227&lt;=DATE('Elec. Analysis'!$A$82, 12,1),$A1227&gt;=DATE('Elec. Analysis'!$A$82, 1, 1)), $A1227, NA())</f>
        <v>#N/A</v>
      </c>
      <c r="C1121" s="1273">
        <f ca="1">VLOOKUP(C$1069,'Elec. Analysis'!$A$81:$N$91,$A1121,FALSE)</f>
        <v>9.9612632133702341</v>
      </c>
      <c r="D1121" s="1273">
        <f ca="1">VLOOKUP(D$1069,'Elec. Analysis'!$A$81:$N$91,$A1121,FALSE)</f>
        <v>15.623430000000003</v>
      </c>
      <c r="E1121" s="1273">
        <f ca="1">VLOOKUP(E$1069,'Elec. Analysis'!$A$81:$N$91,$A1121,FALSE)</f>
        <v>5.3611587196245809</v>
      </c>
      <c r="F1121" s="1273">
        <f ca="1">VLOOKUP(F$1069,'Elec. Analysis'!$A$81:$N$91,$A1121,FALSE)</f>
        <v>8.5873991990290754</v>
      </c>
      <c r="G1121" s="1273">
        <f ca="1">VLOOKUP(G$1069,'Elec. Analysis'!$A$81:$N$91,$A1121,FALSE)</f>
        <v>13.777703726461645</v>
      </c>
      <c r="H1121" s="1273">
        <f ca="1">VLOOKUP(H$1069,'Elec. Analysis'!$A$81:$N$91,$A1121,FALSE)</f>
        <v>1.5195494261160265</v>
      </c>
      <c r="I1121" s="1273">
        <f ca="1">VLOOKUP(I$1069,'Elec. Analysis'!$A$81:$N$91,$A1121,FALSE)</f>
        <v>31.051217137911532</v>
      </c>
      <c r="J1121" s="1273">
        <f ca="1">VLOOKUP(J$1069,'Elec. Analysis'!$A$81:$N$91,$A1121,FALSE)</f>
        <v>6.1920000000000002</v>
      </c>
      <c r="K1121" s="1273">
        <f ca="1">VLOOKUP(K$1069,'Elec. Analysis'!$A$81:$N$91,$A1121,FALSE)</f>
        <v>4.6036860711256553</v>
      </c>
      <c r="L1121" s="1374"/>
      <c r="M1121" s="1374"/>
      <c r="N1121" s="1076">
        <v>6</v>
      </c>
      <c r="O1121" s="708" t="e">
        <f>IF(AND($A1227&lt;=DATE('NG Analysis'!$A$84, 12,1),$A1227&gt;=DATE('NG Analysis'!$A$84, 1, 1)), $A1227, NA())</f>
        <v>#N/A</v>
      </c>
      <c r="P1121" s="1273">
        <f ca="1">VLOOKUP(P$1069,'NG Analysis'!$A$83:$N$93,$N1121,FALSE)</f>
        <v>25.11</v>
      </c>
      <c r="Q1121" s="1273">
        <f ca="1">VLOOKUP(Q$1069,'NG Analysis'!$A$83:$N$93,$N1121,FALSE)</f>
        <v>7.9526381107213826</v>
      </c>
      <c r="R1121" s="1273">
        <f ca="1">VLOOKUP(R$1069,'NG Analysis'!$A$83:$N$93,$N1121,FALSE)</f>
        <v>7.9700690164135626</v>
      </c>
      <c r="S1121" s="1273">
        <f ca="1">VLOOKUP(S$1069,'NG Analysis'!$A$83:$N$93,$N1121,FALSE)</f>
        <v>10.951243499262032</v>
      </c>
      <c r="T1121" s="1273">
        <f ca="1">VLOOKUP(T$1069,'NG Analysis'!$A$83:$N$93,$N1121,FALSE)</f>
        <v>27.723913317231361</v>
      </c>
      <c r="U1121" s="1273">
        <f ca="1">VLOOKUP(U$1069,'NG Analysis'!$A$83:$N$93,$N1121,FALSE)</f>
        <v>8.16</v>
      </c>
      <c r="V1121" s="1273">
        <f ca="1">VLOOKUP(V$1069,'NG Analysis'!$A$83:$N$93,$N1121,FALSE)</f>
        <v>14.552656229148779</v>
      </c>
      <c r="W1121" s="1273">
        <f ca="1">VLOOKUP(W$1069,'NG Analysis'!$A$83:$N$93,$N1121,FALSE)</f>
        <v>5.1210260086388564</v>
      </c>
      <c r="X1121" s="1439"/>
    </row>
    <row r="1122" spans="1:24" x14ac:dyDescent="0.3">
      <c r="A1122" s="1072">
        <v>7</v>
      </c>
      <c r="B1122" s="708" t="e">
        <f>IF(AND($A1228&lt;=DATE('Elec. Analysis'!$A$82, 12,1),$A1228&gt;=DATE('Elec. Analysis'!$A$82, 1, 1)), $A1228, NA())</f>
        <v>#N/A</v>
      </c>
      <c r="C1122" s="1273">
        <f ca="1">VLOOKUP(C$1069,'Elec. Analysis'!$A$81:$N$91,$A1122,FALSE)</f>
        <v>9.5978677149152052</v>
      </c>
      <c r="D1122" s="1273">
        <f ca="1">VLOOKUP(D$1069,'Elec. Analysis'!$A$81:$N$91,$A1122,FALSE)</f>
        <v>16.144211000000002</v>
      </c>
      <c r="E1122" s="1273">
        <f ca="1">VLOOKUP(E$1069,'Elec. Analysis'!$A$81:$N$91,$A1122,FALSE)</f>
        <v>5.1655790121634277</v>
      </c>
      <c r="F1122" s="1273">
        <f ca="1">VLOOKUP(F$1069,'Elec. Analysis'!$A$81:$N$91,$A1122,FALSE)</f>
        <v>8.5747875462120167</v>
      </c>
      <c r="G1122" s="1273">
        <f ca="1">VLOOKUP(G$1069,'Elec. Analysis'!$A$81:$N$91,$A1122,FALSE)</f>
        <v>13.297768511495391</v>
      </c>
      <c r="H1122" s="1273">
        <f ca="1">VLOOKUP(H$1069,'Elec. Analysis'!$A$81:$N$91,$A1122,FALSE)</f>
        <v>1.4641149486504261</v>
      </c>
      <c r="I1122" s="1273">
        <f ca="1">VLOOKUP(I$1069,'Elec. Analysis'!$A$81:$N$91,$A1122,FALSE)</f>
        <v>31.51126480928334</v>
      </c>
      <c r="J1122" s="1273">
        <f ca="1">VLOOKUP(J$1069,'Elec. Analysis'!$A$81:$N$91,$A1122,FALSE)</f>
        <v>6.3983999999999996</v>
      </c>
      <c r="K1122" s="1273">
        <f ca="1">VLOOKUP(K$1069,'Elec. Analysis'!$A$81:$N$91,$A1122,FALSE)</f>
        <v>4.607699677135991</v>
      </c>
      <c r="L1122" s="1374"/>
      <c r="M1122" s="1374"/>
      <c r="N1122" s="1076">
        <v>7</v>
      </c>
      <c r="O1122" s="708" t="e">
        <f>IF(AND($A1228&lt;=DATE('NG Analysis'!$A$84, 12,1),$A1228&gt;=DATE('NG Analysis'!$A$84, 1, 1)), $A1228, NA())</f>
        <v>#N/A</v>
      </c>
      <c r="P1122" s="1273">
        <f ca="1">VLOOKUP(P$1069,'NG Analysis'!$A$83:$N$93,$N1122,FALSE)</f>
        <v>25.946999999999999</v>
      </c>
      <c r="Q1122" s="1273">
        <f ca="1">VLOOKUP(Q$1069,'NG Analysis'!$A$83:$N$93,$N1122,FALSE)</f>
        <v>6.2225451665778353</v>
      </c>
      <c r="R1122" s="1273">
        <f ca="1">VLOOKUP(R$1069,'NG Analysis'!$A$83:$N$93,$N1122,FALSE)</f>
        <v>6.5952077365448813</v>
      </c>
      <c r="S1122" s="1273">
        <f ca="1">VLOOKUP(S$1069,'NG Analysis'!$A$83:$N$93,$N1122,FALSE)</f>
        <v>10.041854584134954</v>
      </c>
      <c r="T1122" s="1273">
        <f ca="1">VLOOKUP(T$1069,'NG Analysis'!$A$83:$N$93,$N1122,FALSE)</f>
        <v>17.151406158782095</v>
      </c>
      <c r="U1122" s="1273">
        <f ca="1">VLOOKUP(U$1069,'NG Analysis'!$A$83:$N$93,$N1122,FALSE)</f>
        <v>8.4320000000000004</v>
      </c>
      <c r="V1122" s="1273">
        <f ca="1">VLOOKUP(V$1069,'NG Analysis'!$A$83:$N$93,$N1122,FALSE)</f>
        <v>10.652104343097346</v>
      </c>
      <c r="W1122" s="1273">
        <f ca="1">VLOOKUP(W$1069,'NG Analysis'!$A$83:$N$93,$N1122,FALSE)</f>
        <v>4.2521058994568559</v>
      </c>
      <c r="X1122" s="1439"/>
    </row>
    <row r="1123" spans="1:24" x14ac:dyDescent="0.3">
      <c r="A1123" s="1072">
        <v>8</v>
      </c>
      <c r="B1123" s="708" t="e">
        <f>IF(AND($A1229&lt;=DATE('Elec. Analysis'!$A$82, 12,1),$A1229&gt;=DATE('Elec. Analysis'!$A$82, 1, 1)), $A1229, NA())</f>
        <v>#N/A</v>
      </c>
      <c r="C1123" s="1273">
        <f ca="1">VLOOKUP(C$1069,'Elec. Analysis'!$A$81:$N$91,$A1123,FALSE)</f>
        <v>9.3281989935447278</v>
      </c>
      <c r="D1123" s="1273">
        <f ca="1">VLOOKUP(D$1069,'Elec. Analysis'!$A$81:$N$91,$A1123,FALSE)</f>
        <v>15.623429999999999</v>
      </c>
      <c r="E1123" s="1273">
        <f ca="1">VLOOKUP(E$1069,'Elec. Analysis'!$A$81:$N$91,$A1123,FALSE)</f>
        <v>5.0204431206587401</v>
      </c>
      <c r="F1123" s="1273">
        <f ca="1">VLOOKUP(F$1069,'Elec. Analysis'!$A$81:$N$91,$A1123,FALSE)</f>
        <v>8.326777408853685</v>
      </c>
      <c r="G1123" s="1273">
        <f ca="1">VLOOKUP(G$1069,'Elec. Analysis'!$A$81:$N$91,$A1123,FALSE)</f>
        <v>12.922747293722241</v>
      </c>
      <c r="H1123" s="1273">
        <f ca="1">VLOOKUP(H$1069,'Elec. Analysis'!$A$81:$N$91,$A1123,FALSE)</f>
        <v>1.4229781026478086</v>
      </c>
      <c r="I1123" s="1273">
        <f ca="1">VLOOKUP(I$1069,'Elec. Analysis'!$A$81:$N$91,$A1123,FALSE)</f>
        <v>30.630694018262528</v>
      </c>
      <c r="J1123" s="1273">
        <f ca="1">VLOOKUP(J$1069,'Elec. Analysis'!$A$81:$N$91,$A1123,FALSE)</f>
        <v>6.1920000000000002</v>
      </c>
      <c r="K1123" s="1273">
        <f ca="1">VLOOKUP(K$1069,'Elec. Analysis'!$A$81:$N$91,$A1123,FALSE)</f>
        <v>4.4733634468844867</v>
      </c>
      <c r="L1123" s="1374"/>
      <c r="M1123" s="1374"/>
      <c r="N1123" s="1076">
        <v>8</v>
      </c>
      <c r="O1123" s="708" t="e">
        <f>IF(AND($A1229&lt;=DATE('NG Analysis'!$A$84, 12,1),$A1229&gt;=DATE('NG Analysis'!$A$84, 1, 1)), $A1229, NA())</f>
        <v>#N/A</v>
      </c>
      <c r="P1123" s="1273">
        <f ca="1">VLOOKUP(P$1069,'NG Analysis'!$A$83:$N$93,$N1123,FALSE)</f>
        <v>25.11</v>
      </c>
      <c r="Q1123" s="1273">
        <f ca="1">VLOOKUP(Q$1069,'NG Analysis'!$A$83:$N$93,$N1123,FALSE)</f>
        <v>3.1037296499089999</v>
      </c>
      <c r="R1123" s="1273">
        <f ca="1">VLOOKUP(R$1069,'NG Analysis'!$A$83:$N$93,$N1123,FALSE)</f>
        <v>3.9898169179856966</v>
      </c>
      <c r="S1123" s="1273">
        <f ca="1">VLOOKUP(S$1069,'NG Analysis'!$A$83:$N$93,$N1123,FALSE)</f>
        <v>6.3316742137665356</v>
      </c>
      <c r="T1123" s="1273">
        <f ca="1">VLOOKUP(T$1069,'NG Analysis'!$A$83:$N$93,$N1123,FALSE)</f>
        <v>1.366539592541357</v>
      </c>
      <c r="U1123" s="1273">
        <f ca="1">VLOOKUP(U$1069,'NG Analysis'!$A$83:$N$93,$N1123,FALSE)</f>
        <v>8.16</v>
      </c>
      <c r="V1123" s="1273">
        <f ca="1">VLOOKUP(V$1069,'NG Analysis'!$A$83:$N$93,$N1123,FALSE)</f>
        <v>0</v>
      </c>
      <c r="W1123" s="1273">
        <f ca="1">VLOOKUP(W$1069,'NG Analysis'!$A$83:$N$93,$N1123,FALSE)</f>
        <v>2.4030880187101298</v>
      </c>
      <c r="X1123" s="1439"/>
    </row>
    <row r="1124" spans="1:24" x14ac:dyDescent="0.3">
      <c r="A1124" s="1072">
        <v>9</v>
      </c>
      <c r="B1124" s="708" t="e">
        <f>IF(AND($A1230&lt;=DATE('Elec. Analysis'!$A$82, 12,1),$A1230&gt;=DATE('Elec. Analysis'!$A$82, 1, 1)), $A1230, NA())</f>
        <v>#N/A</v>
      </c>
      <c r="C1124" s="1273" t="str">
        <f ca="1">VLOOKUP(C$1069,'Elec. Analysis'!$A$81:$N$91,$A1124,FALSE)</f>
        <v/>
      </c>
      <c r="D1124" s="1273" t="str">
        <f ca="1">VLOOKUP(D$1069,'Elec. Analysis'!$A$81:$N$91,$A1124,FALSE)</f>
        <v/>
      </c>
      <c r="E1124" s="1273" t="str">
        <f ca="1">VLOOKUP(E$1069,'Elec. Analysis'!$A$81:$N$91,$A1124,FALSE)</f>
        <v/>
      </c>
      <c r="F1124" s="1273" t="str">
        <f ca="1">VLOOKUP(F$1069,'Elec. Analysis'!$A$81:$N$91,$A1124,FALSE)</f>
        <v/>
      </c>
      <c r="G1124" s="1273" t="str">
        <f ca="1">VLOOKUP(G$1069,'Elec. Analysis'!$A$81:$N$91,$A1124,FALSE)</f>
        <v/>
      </c>
      <c r="H1124" s="1273" t="str">
        <f ca="1">VLOOKUP(H$1069,'Elec. Analysis'!$A$81:$N$91,$A1124,FALSE)</f>
        <v/>
      </c>
      <c r="I1124" s="1273" t="str">
        <f ca="1">VLOOKUP(I$1069,'Elec. Analysis'!$A$81:$N$91,$A1124,FALSE)</f>
        <v/>
      </c>
      <c r="J1124" s="1273" t="str">
        <f ca="1">VLOOKUP(J$1069,'Elec. Analysis'!$A$81:$N$91,$A1124,FALSE)</f>
        <v/>
      </c>
      <c r="K1124" s="1273" t="str">
        <f ca="1">VLOOKUP(K$1069,'Elec. Analysis'!$A$81:$N$91,$A1124,FALSE)</f>
        <v/>
      </c>
      <c r="L1124" s="1374"/>
      <c r="M1124" s="1374"/>
      <c r="N1124" s="1076">
        <v>9</v>
      </c>
      <c r="O1124" s="708" t="e">
        <f>IF(AND($A1230&lt;=DATE('NG Analysis'!$A$84, 12,1),$A1230&gt;=DATE('NG Analysis'!$A$84, 1, 1)), $A1230, NA())</f>
        <v>#N/A</v>
      </c>
      <c r="P1124" s="1273" t="str">
        <f ca="1">VLOOKUP(P$1069,'NG Analysis'!$A$83:$N$93,$N1124,FALSE)</f>
        <v/>
      </c>
      <c r="Q1124" s="1273" t="str">
        <f ca="1">VLOOKUP(Q$1069,'NG Analysis'!$A$83:$N$93,$N1124,FALSE)</f>
        <v/>
      </c>
      <c r="R1124" s="1273" t="str">
        <f ca="1">VLOOKUP(R$1069,'NG Analysis'!$A$83:$N$93,$N1124,FALSE)</f>
        <v/>
      </c>
      <c r="S1124" s="1273" t="str">
        <f ca="1">VLOOKUP(S$1069,'NG Analysis'!$A$83:$N$93,$N1124,FALSE)</f>
        <v/>
      </c>
      <c r="T1124" s="1273" t="str">
        <f ca="1">VLOOKUP(T$1069,'NG Analysis'!$A$83:$N$93,$N1124,FALSE)</f>
        <v/>
      </c>
      <c r="U1124" s="1273" t="str">
        <f ca="1">VLOOKUP(U$1069,'NG Analysis'!$A$83:$N$93,$N1124,FALSE)</f>
        <v/>
      </c>
      <c r="V1124" s="1273" t="str">
        <f ca="1">VLOOKUP(V$1069,'NG Analysis'!$A$83:$N$93,$N1124,FALSE)</f>
        <v/>
      </c>
      <c r="W1124" s="1273" t="str">
        <f ca="1">VLOOKUP(W$1069,'NG Analysis'!$A$83:$N$93,$N1124,FALSE)</f>
        <v/>
      </c>
      <c r="X1124" s="1439"/>
    </row>
    <row r="1125" spans="1:24" x14ac:dyDescent="0.3">
      <c r="A1125" s="1072">
        <v>10</v>
      </c>
      <c r="B1125" s="708" t="e">
        <f>IF(AND($A1231&lt;=DATE('Elec. Analysis'!$A$82, 12,1),$A1231&gt;=DATE('Elec. Analysis'!$A$82, 1, 1)), $A1231, NA())</f>
        <v>#N/A</v>
      </c>
      <c r="C1125" s="1273" t="str">
        <f ca="1">VLOOKUP(C$1069,'Elec. Analysis'!$A$81:$N$91,$A1125,FALSE)</f>
        <v/>
      </c>
      <c r="D1125" s="1273" t="str">
        <f ca="1">VLOOKUP(D$1069,'Elec. Analysis'!$A$81:$N$91,$A1125,FALSE)</f>
        <v/>
      </c>
      <c r="E1125" s="1273" t="str">
        <f ca="1">VLOOKUP(E$1069,'Elec. Analysis'!$A$81:$N$91,$A1125,FALSE)</f>
        <v/>
      </c>
      <c r="F1125" s="1273" t="str">
        <f ca="1">VLOOKUP(F$1069,'Elec. Analysis'!$A$81:$N$91,$A1125,FALSE)</f>
        <v/>
      </c>
      <c r="G1125" s="1273" t="str">
        <f ca="1">VLOOKUP(G$1069,'Elec. Analysis'!$A$81:$N$91,$A1125,FALSE)</f>
        <v/>
      </c>
      <c r="H1125" s="1273" t="str">
        <f ca="1">VLOOKUP(H$1069,'Elec. Analysis'!$A$81:$N$91,$A1125,FALSE)</f>
        <v/>
      </c>
      <c r="I1125" s="1273" t="str">
        <f ca="1">VLOOKUP(I$1069,'Elec. Analysis'!$A$81:$N$91,$A1125,FALSE)</f>
        <v/>
      </c>
      <c r="J1125" s="1273" t="str">
        <f ca="1">VLOOKUP(J$1069,'Elec. Analysis'!$A$81:$N$91,$A1125,FALSE)</f>
        <v/>
      </c>
      <c r="K1125" s="1273" t="str">
        <f ca="1">VLOOKUP(K$1069,'Elec. Analysis'!$A$81:$N$91,$A1125,FALSE)</f>
        <v/>
      </c>
      <c r="L1125" s="1374"/>
      <c r="M1125" s="1374"/>
      <c r="N1125" s="1076">
        <v>10</v>
      </c>
      <c r="O1125" s="708" t="e">
        <f>IF(AND($A1231&lt;=DATE('NG Analysis'!$A$84, 12,1),$A1231&gt;=DATE('NG Analysis'!$A$84, 1, 1)), $A1231, NA())</f>
        <v>#N/A</v>
      </c>
      <c r="P1125" s="1273" t="str">
        <f ca="1">VLOOKUP(P$1069,'NG Analysis'!$A$83:$N$93,$N1125,FALSE)</f>
        <v/>
      </c>
      <c r="Q1125" s="1273" t="str">
        <f ca="1">VLOOKUP(Q$1069,'NG Analysis'!$A$83:$N$93,$N1125,FALSE)</f>
        <v/>
      </c>
      <c r="R1125" s="1273" t="str">
        <f ca="1">VLOOKUP(R$1069,'NG Analysis'!$A$83:$N$93,$N1125,FALSE)</f>
        <v/>
      </c>
      <c r="S1125" s="1273" t="str">
        <f ca="1">VLOOKUP(S$1069,'NG Analysis'!$A$83:$N$93,$N1125,FALSE)</f>
        <v/>
      </c>
      <c r="T1125" s="1273" t="str">
        <f ca="1">VLOOKUP(T$1069,'NG Analysis'!$A$83:$N$93,$N1125,FALSE)</f>
        <v/>
      </c>
      <c r="U1125" s="1273" t="str">
        <f ca="1">VLOOKUP(U$1069,'NG Analysis'!$A$83:$N$93,$N1125,FALSE)</f>
        <v/>
      </c>
      <c r="V1125" s="1273" t="str">
        <f ca="1">VLOOKUP(V$1069,'NG Analysis'!$A$83:$N$93,$N1125,FALSE)</f>
        <v/>
      </c>
      <c r="W1125" s="1273" t="str">
        <f ca="1">VLOOKUP(W$1069,'NG Analysis'!$A$83:$N$93,$N1125,FALSE)</f>
        <v/>
      </c>
      <c r="X1125" s="1439"/>
    </row>
    <row r="1126" spans="1:24" x14ac:dyDescent="0.3">
      <c r="A1126" s="1072">
        <v>11</v>
      </c>
      <c r="B1126" s="708" t="e">
        <f>IF(AND($A1232&lt;=DATE('Elec. Analysis'!$A$82, 12,1),$A1232&gt;=DATE('Elec. Analysis'!$A$82, 1, 1)), $A1232, NA())</f>
        <v>#N/A</v>
      </c>
      <c r="C1126" s="1273" t="str">
        <f ca="1">VLOOKUP(C$1069,'Elec. Analysis'!$A$81:$N$91,$A1126,FALSE)</f>
        <v/>
      </c>
      <c r="D1126" s="1273" t="str">
        <f ca="1">VLOOKUP(D$1069,'Elec. Analysis'!$A$81:$N$91,$A1126,FALSE)</f>
        <v/>
      </c>
      <c r="E1126" s="1273" t="str">
        <f ca="1">VLOOKUP(E$1069,'Elec. Analysis'!$A$81:$N$91,$A1126,FALSE)</f>
        <v/>
      </c>
      <c r="F1126" s="1273" t="str">
        <f ca="1">VLOOKUP(F$1069,'Elec. Analysis'!$A$81:$N$91,$A1126,FALSE)</f>
        <v/>
      </c>
      <c r="G1126" s="1273" t="str">
        <f ca="1">VLOOKUP(G$1069,'Elec. Analysis'!$A$81:$N$91,$A1126,FALSE)</f>
        <v/>
      </c>
      <c r="H1126" s="1273" t="str">
        <f ca="1">VLOOKUP(H$1069,'Elec. Analysis'!$A$81:$N$91,$A1126,FALSE)</f>
        <v/>
      </c>
      <c r="I1126" s="1273" t="str">
        <f ca="1">VLOOKUP(I$1069,'Elec. Analysis'!$A$81:$N$91,$A1126,FALSE)</f>
        <v/>
      </c>
      <c r="J1126" s="1273" t="str">
        <f ca="1">VLOOKUP(J$1069,'Elec. Analysis'!$A$81:$N$91,$A1126,FALSE)</f>
        <v/>
      </c>
      <c r="K1126" s="1273" t="str">
        <f ca="1">VLOOKUP(K$1069,'Elec. Analysis'!$A$81:$N$91,$A1126,FALSE)</f>
        <v/>
      </c>
      <c r="L1126" s="1374"/>
      <c r="M1126" s="1374"/>
      <c r="N1126" s="1076">
        <v>11</v>
      </c>
      <c r="O1126" s="708" t="e">
        <f>IF(AND($A1232&lt;=DATE('NG Analysis'!$A$84, 12,1),$A1232&gt;=DATE('NG Analysis'!$A$84, 1, 1)), $A1232, NA())</f>
        <v>#N/A</v>
      </c>
      <c r="P1126" s="1273" t="str">
        <f ca="1">VLOOKUP(P$1069,'NG Analysis'!$A$83:$N$93,$N1126,FALSE)</f>
        <v/>
      </c>
      <c r="Q1126" s="1273" t="str">
        <f ca="1">VLOOKUP(Q$1069,'NG Analysis'!$A$83:$N$93,$N1126,FALSE)</f>
        <v/>
      </c>
      <c r="R1126" s="1273" t="str">
        <f ca="1">VLOOKUP(R$1069,'NG Analysis'!$A$83:$N$93,$N1126,FALSE)</f>
        <v/>
      </c>
      <c r="S1126" s="1273" t="str">
        <f ca="1">VLOOKUP(S$1069,'NG Analysis'!$A$83:$N$93,$N1126,FALSE)</f>
        <v/>
      </c>
      <c r="T1126" s="1273" t="str">
        <f ca="1">VLOOKUP(T$1069,'NG Analysis'!$A$83:$N$93,$N1126,FALSE)</f>
        <v/>
      </c>
      <c r="U1126" s="1273" t="str">
        <f ca="1">VLOOKUP(U$1069,'NG Analysis'!$A$83:$N$93,$N1126,FALSE)</f>
        <v/>
      </c>
      <c r="V1126" s="1273" t="str">
        <f ca="1">VLOOKUP(V$1069,'NG Analysis'!$A$83:$N$93,$N1126,FALSE)</f>
        <v/>
      </c>
      <c r="W1126" s="1273" t="str">
        <f ca="1">VLOOKUP(W$1069,'NG Analysis'!$A$83:$N$93,$N1126,FALSE)</f>
        <v/>
      </c>
      <c r="X1126" s="1439"/>
    </row>
    <row r="1127" spans="1:24" x14ac:dyDescent="0.3">
      <c r="A1127" s="1072">
        <v>12</v>
      </c>
      <c r="B1127" s="708" t="e">
        <f>IF(AND($A1233&lt;=DATE('Elec. Analysis'!$A$82, 12,1),$A1233&gt;=DATE('Elec. Analysis'!$A$82, 1, 1)), $A1233, NA())</f>
        <v>#N/A</v>
      </c>
      <c r="C1127" s="1273" t="str">
        <f ca="1">VLOOKUP(C$1069,'Elec. Analysis'!$A$81:$N$91,$A1127,FALSE)</f>
        <v/>
      </c>
      <c r="D1127" s="1273" t="str">
        <f ca="1">VLOOKUP(D$1069,'Elec. Analysis'!$A$81:$N$91,$A1127,FALSE)</f>
        <v/>
      </c>
      <c r="E1127" s="1273" t="str">
        <f ca="1">VLOOKUP(E$1069,'Elec. Analysis'!$A$81:$N$91,$A1127,FALSE)</f>
        <v/>
      </c>
      <c r="F1127" s="1273" t="str">
        <f ca="1">VLOOKUP(F$1069,'Elec. Analysis'!$A$81:$N$91,$A1127,FALSE)</f>
        <v/>
      </c>
      <c r="G1127" s="1273" t="str">
        <f ca="1">VLOOKUP(G$1069,'Elec. Analysis'!$A$81:$N$91,$A1127,FALSE)</f>
        <v/>
      </c>
      <c r="H1127" s="1273" t="str">
        <f ca="1">VLOOKUP(H$1069,'Elec. Analysis'!$A$81:$N$91,$A1127,FALSE)</f>
        <v/>
      </c>
      <c r="I1127" s="1273" t="str">
        <f ca="1">VLOOKUP(I$1069,'Elec. Analysis'!$A$81:$N$91,$A1127,FALSE)</f>
        <v/>
      </c>
      <c r="J1127" s="1273" t="str">
        <f ca="1">VLOOKUP(J$1069,'Elec. Analysis'!$A$81:$N$91,$A1127,FALSE)</f>
        <v/>
      </c>
      <c r="K1127" s="1273" t="str">
        <f ca="1">VLOOKUP(K$1069,'Elec. Analysis'!$A$81:$N$91,$A1127,FALSE)</f>
        <v/>
      </c>
      <c r="L1127" s="1374"/>
      <c r="M1127" s="1374"/>
      <c r="N1127" s="1076">
        <v>12</v>
      </c>
      <c r="O1127" s="708" t="e">
        <f>IF(AND($A1233&lt;=DATE('NG Analysis'!$A$84, 12,1),$A1233&gt;=DATE('NG Analysis'!$A$84, 1, 1)), $A1233, NA())</f>
        <v>#N/A</v>
      </c>
      <c r="P1127" s="1273" t="str">
        <f ca="1">VLOOKUP(P$1069,'NG Analysis'!$A$83:$N$93,$N1127,FALSE)</f>
        <v/>
      </c>
      <c r="Q1127" s="1273" t="str">
        <f ca="1">VLOOKUP(Q$1069,'NG Analysis'!$A$83:$N$93,$N1127,FALSE)</f>
        <v/>
      </c>
      <c r="R1127" s="1273" t="str">
        <f ca="1">VLOOKUP(R$1069,'NG Analysis'!$A$83:$N$93,$N1127,FALSE)</f>
        <v/>
      </c>
      <c r="S1127" s="1273" t="str">
        <f ca="1">VLOOKUP(S$1069,'NG Analysis'!$A$83:$N$93,$N1127,FALSE)</f>
        <v/>
      </c>
      <c r="T1127" s="1273" t="str">
        <f ca="1">VLOOKUP(T$1069,'NG Analysis'!$A$83:$N$93,$N1127,FALSE)</f>
        <v/>
      </c>
      <c r="U1127" s="1273" t="str">
        <f ca="1">VLOOKUP(U$1069,'NG Analysis'!$A$83:$N$93,$N1127,FALSE)</f>
        <v/>
      </c>
      <c r="V1127" s="1273" t="str">
        <f ca="1">VLOOKUP(V$1069,'NG Analysis'!$A$83:$N$93,$N1127,FALSE)</f>
        <v/>
      </c>
      <c r="W1127" s="1273" t="str">
        <f ca="1">VLOOKUP(W$1069,'NG Analysis'!$A$83:$N$93,$N1127,FALSE)</f>
        <v/>
      </c>
      <c r="X1127" s="1439"/>
    </row>
    <row r="1128" spans="1:24" x14ac:dyDescent="0.3">
      <c r="A1128" s="1072">
        <v>13</v>
      </c>
      <c r="B1128" s="708" t="e">
        <f>IF(AND($A1234&lt;=DATE('Elec. Analysis'!$A$82, 12,1),$A1234&gt;=DATE('Elec. Analysis'!$A$82, 1, 1)), $A1234, NA())</f>
        <v>#N/A</v>
      </c>
      <c r="C1128" s="1273" t="str">
        <f ca="1">VLOOKUP(C$1069,'Elec. Analysis'!$A$81:$N$91,$A1128,FALSE)</f>
        <v/>
      </c>
      <c r="D1128" s="1273" t="str">
        <f ca="1">VLOOKUP(D$1069,'Elec. Analysis'!$A$81:$N$91,$A1128,FALSE)</f>
        <v/>
      </c>
      <c r="E1128" s="1273" t="str">
        <f ca="1">VLOOKUP(E$1069,'Elec. Analysis'!$A$81:$N$91,$A1128,FALSE)</f>
        <v/>
      </c>
      <c r="F1128" s="1273" t="str">
        <f ca="1">VLOOKUP(F$1069,'Elec. Analysis'!$A$81:$N$91,$A1128,FALSE)</f>
        <v/>
      </c>
      <c r="G1128" s="1273" t="str">
        <f ca="1">VLOOKUP(G$1069,'Elec. Analysis'!$A$81:$N$91,$A1128,FALSE)</f>
        <v/>
      </c>
      <c r="H1128" s="1273" t="str">
        <f ca="1">VLOOKUP(H$1069,'Elec. Analysis'!$A$81:$N$91,$A1128,FALSE)</f>
        <v/>
      </c>
      <c r="I1128" s="1273" t="str">
        <f ca="1">VLOOKUP(I$1069,'Elec. Analysis'!$A$81:$N$91,$A1128,FALSE)</f>
        <v/>
      </c>
      <c r="J1128" s="1273" t="str">
        <f ca="1">VLOOKUP(J$1069,'Elec. Analysis'!$A$81:$N$91,$A1128,FALSE)</f>
        <v/>
      </c>
      <c r="K1128" s="1273" t="str">
        <f ca="1">VLOOKUP(K$1069,'Elec. Analysis'!$A$81:$N$91,$A1128,FALSE)</f>
        <v/>
      </c>
      <c r="L1128" s="1374"/>
      <c r="M1128" s="1374"/>
      <c r="N1128" s="1076">
        <v>13</v>
      </c>
      <c r="O1128" s="708" t="e">
        <f>IF(AND($A1234&lt;=DATE('NG Analysis'!$A$84, 12,1),$A1234&gt;=DATE('NG Analysis'!$A$84, 1, 1)), $A1234, NA())</f>
        <v>#N/A</v>
      </c>
      <c r="P1128" s="1273" t="str">
        <f ca="1">VLOOKUP(P$1069,'NG Analysis'!$A$83:$N$93,$N1128,FALSE)</f>
        <v/>
      </c>
      <c r="Q1128" s="1273" t="str">
        <f ca="1">VLOOKUP(Q$1069,'NG Analysis'!$A$83:$N$93,$N1128,FALSE)</f>
        <v/>
      </c>
      <c r="R1128" s="1273" t="str">
        <f ca="1">VLOOKUP(R$1069,'NG Analysis'!$A$83:$N$93,$N1128,FALSE)</f>
        <v/>
      </c>
      <c r="S1128" s="1273" t="str">
        <f ca="1">VLOOKUP(S$1069,'NG Analysis'!$A$83:$N$93,$N1128,FALSE)</f>
        <v/>
      </c>
      <c r="T1128" s="1273" t="str">
        <f ca="1">VLOOKUP(T$1069,'NG Analysis'!$A$83:$N$93,$N1128,FALSE)</f>
        <v/>
      </c>
      <c r="U1128" s="1273" t="str">
        <f ca="1">VLOOKUP(U$1069,'NG Analysis'!$A$83:$N$93,$N1128,FALSE)</f>
        <v/>
      </c>
      <c r="V1128" s="1273" t="str">
        <f ca="1">VLOOKUP(V$1069,'NG Analysis'!$A$83:$N$93,$N1128,FALSE)</f>
        <v/>
      </c>
      <c r="W1128" s="1273" t="str">
        <f ca="1">VLOOKUP(W$1069,'NG Analysis'!$A$83:$N$93,$N1128,FALSE)</f>
        <v/>
      </c>
      <c r="X1128" s="1439"/>
    </row>
    <row r="1129" spans="1:24" x14ac:dyDescent="0.3">
      <c r="A1129" s="1072">
        <v>14</v>
      </c>
      <c r="B1129" s="708" t="e">
        <f>IF(AND($A1235&lt;=DATE('Elec. Analysis'!$A$82, 12,1),$A1235&gt;=DATE('Elec. Analysis'!$A$82, 1, 1)), $A1235, NA())</f>
        <v>#N/A</v>
      </c>
      <c r="C1129" s="1273" t="str">
        <f ca="1">VLOOKUP(C$1069,'Elec. Analysis'!$A$81:$N$91,$A1129,FALSE)</f>
        <v/>
      </c>
      <c r="D1129" s="1273" t="str">
        <f ca="1">VLOOKUP(D$1069,'Elec. Analysis'!$A$81:$N$91,$A1129,FALSE)</f>
        <v/>
      </c>
      <c r="E1129" s="1273" t="str">
        <f ca="1">VLOOKUP(E$1069,'Elec. Analysis'!$A$81:$N$91,$A1129,FALSE)</f>
        <v/>
      </c>
      <c r="F1129" s="1273" t="str">
        <f ca="1">VLOOKUP(F$1069,'Elec. Analysis'!$A$81:$N$91,$A1129,FALSE)</f>
        <v/>
      </c>
      <c r="G1129" s="1273" t="str">
        <f ca="1">VLOOKUP(G$1069,'Elec. Analysis'!$A$81:$N$91,$A1129,FALSE)</f>
        <v/>
      </c>
      <c r="H1129" s="1273" t="str">
        <f ca="1">VLOOKUP(H$1069,'Elec. Analysis'!$A$81:$N$91,$A1129,FALSE)</f>
        <v/>
      </c>
      <c r="I1129" s="1273" t="str">
        <f ca="1">VLOOKUP(I$1069,'Elec. Analysis'!$A$81:$N$91,$A1129,FALSE)</f>
        <v/>
      </c>
      <c r="J1129" s="1273" t="str">
        <f ca="1">VLOOKUP(J$1069,'Elec. Analysis'!$A$81:$N$91,$A1129,FALSE)</f>
        <v/>
      </c>
      <c r="K1129" s="1273" t="str">
        <f ca="1">VLOOKUP(K$1069,'Elec. Analysis'!$A$81:$N$91,$A1129,FALSE)</f>
        <v/>
      </c>
      <c r="L1129" s="1374"/>
      <c r="M1129" s="1374"/>
      <c r="N1129" s="1076">
        <v>14</v>
      </c>
      <c r="O1129" s="708" t="e">
        <f>IF(AND($A1235&lt;=DATE('NG Analysis'!$A$84, 12,1),$A1235&gt;=DATE('NG Analysis'!$A$84, 1, 1)), $A1235, NA())</f>
        <v>#N/A</v>
      </c>
      <c r="P1129" s="1273" t="str">
        <f ca="1">VLOOKUP(P$1069,'NG Analysis'!$A$83:$N$93,$N1129,FALSE)</f>
        <v/>
      </c>
      <c r="Q1129" s="1273" t="str">
        <f ca="1">VLOOKUP(Q$1069,'NG Analysis'!$A$83:$N$93,$N1129,FALSE)</f>
        <v/>
      </c>
      <c r="R1129" s="1273" t="str">
        <f ca="1">VLOOKUP(R$1069,'NG Analysis'!$A$83:$N$93,$N1129,FALSE)</f>
        <v/>
      </c>
      <c r="S1129" s="1273" t="str">
        <f ca="1">VLOOKUP(S$1069,'NG Analysis'!$A$83:$N$93,$N1129,FALSE)</f>
        <v/>
      </c>
      <c r="T1129" s="1273" t="str">
        <f ca="1">VLOOKUP(T$1069,'NG Analysis'!$A$83:$N$93,$N1129,FALSE)</f>
        <v/>
      </c>
      <c r="U1129" s="1273" t="str">
        <f ca="1">VLOOKUP(U$1069,'NG Analysis'!$A$83:$N$93,$N1129,FALSE)</f>
        <v/>
      </c>
      <c r="V1129" s="1273" t="str">
        <f ca="1">VLOOKUP(V$1069,'NG Analysis'!$A$83:$N$93,$N1129,FALSE)</f>
        <v/>
      </c>
      <c r="W1129" s="1273" t="str">
        <f ca="1">VLOOKUP(W$1069,'NG Analysis'!$A$83:$N$93,$N1129,FALSE)</f>
        <v/>
      </c>
      <c r="X1129" s="1439"/>
    </row>
    <row r="1130" spans="1:24" x14ac:dyDescent="0.3">
      <c r="A1130" s="1072">
        <v>3</v>
      </c>
      <c r="B1130" s="708" t="e">
        <f>IF(AND($A1236&lt;=DATE('Elec. Analysis'!$A$82, 12,1),$A1236&gt;=DATE('Elec. Analysis'!$A$82, 1, 1)), $A1236, NA())</f>
        <v>#N/A</v>
      </c>
      <c r="C1130" s="1273">
        <f ca="1">VLOOKUP(C$1069,'Elec. Analysis'!$A$81:$N$91,$A1130,FALSE)</f>
        <v>11.756793629373167</v>
      </c>
      <c r="D1130" s="1273">
        <f ca="1">VLOOKUP(D$1069,'Elec. Analysis'!$A$81:$N$91,$A1130,FALSE)</f>
        <v>16.144211000000002</v>
      </c>
      <c r="E1130" s="1273">
        <f ca="1">VLOOKUP(E$1069,'Elec. Analysis'!$A$81:$N$91,$A1130,FALSE)</f>
        <v>6.3275144257146358</v>
      </c>
      <c r="F1130" s="1273">
        <f ca="1">VLOOKUP(F$1069,'Elec. Analysis'!$A$81:$N$91,$A1130,FALSE)</f>
        <v>10.302466363166253</v>
      </c>
      <c r="G1130" s="1273">
        <f ca="1">VLOOKUP(G$1069,'Elec. Analysis'!$A$81:$N$91,$A1130,FALSE)</f>
        <v>15.633512574909027</v>
      </c>
      <c r="H1130" s="1273">
        <f ca="1">VLOOKUP(H$1069,'Elec. Analysis'!$A$81:$N$91,$A1130,FALSE)</f>
        <v>1.7934501508302387</v>
      </c>
      <c r="I1130" s="1273">
        <f ca="1">VLOOKUP(I$1069,'Elec. Analysis'!$A$81:$N$91,$A1130,FALSE)</f>
        <v>41.075988634710761</v>
      </c>
      <c r="J1130" s="1273">
        <f ca="1">VLOOKUP(J$1069,'Elec. Analysis'!$A$81:$N$91,$A1130,FALSE)</f>
        <v>6.3983999999999996</v>
      </c>
      <c r="K1130" s="1273">
        <f ca="1">VLOOKUP(K$1069,'Elec. Analysis'!$A$81:$N$91,$A1130,FALSE)</f>
        <v>5.4716168389352049</v>
      </c>
      <c r="L1130" s="1374"/>
      <c r="M1130" s="1374"/>
      <c r="N1130" s="1076">
        <v>3</v>
      </c>
      <c r="O1130" s="708" t="e">
        <f>IF(AND($A1236&lt;=DATE('NG Analysis'!$A$84, 12,1),$A1236&gt;=DATE('NG Analysis'!$A$84, 1, 1)), $A1236, NA())</f>
        <v>#N/A</v>
      </c>
      <c r="P1130" s="1273">
        <f ca="1">VLOOKUP(P$1069,'NG Analysis'!$A$83:$N$93,$N1130,FALSE)</f>
        <v>25.946999999999999</v>
      </c>
      <c r="Q1130" s="1273">
        <f ca="1">VLOOKUP(Q$1069,'NG Analysis'!$A$83:$N$93,$N1130,FALSE)</f>
        <v>13.961815841257177</v>
      </c>
      <c r="R1130" s="1273">
        <f ca="1">VLOOKUP(R$1069,'NG Analysis'!$A$83:$N$93,$N1130,FALSE)</f>
        <v>8.1124896049438657</v>
      </c>
      <c r="S1130" s="1273">
        <f ca="1">VLOOKUP(S$1069,'NG Analysis'!$A$83:$N$93,$N1130,FALSE)</f>
        <v>7.5956320197913003</v>
      </c>
      <c r="T1130" s="1273">
        <f ca="1">VLOOKUP(T$1069,'NG Analysis'!$A$83:$N$93,$N1130,FALSE)</f>
        <v>25.515260554287845</v>
      </c>
      <c r="U1130" s="1273">
        <f ca="1">VLOOKUP(U$1069,'NG Analysis'!$A$83:$N$93,$N1130,FALSE)</f>
        <v>8.4320000000000004</v>
      </c>
      <c r="V1130" s="1273">
        <f ca="1">VLOOKUP(V$1069,'NG Analysis'!$A$83:$N$93,$N1130,FALSE)</f>
        <v>25.548944066570733</v>
      </c>
      <c r="W1130" s="1273">
        <f ca="1">VLOOKUP(W$1069,'NG Analysis'!$A$83:$N$93,$N1130,FALSE)</f>
        <v>5.7556571043425464</v>
      </c>
      <c r="X1130" s="1439"/>
    </row>
    <row r="1131" spans="1:24" x14ac:dyDescent="0.3">
      <c r="A1131" s="1072">
        <v>4</v>
      </c>
      <c r="B1131" s="708" t="e">
        <f>IF(AND($A1237&lt;=DATE('Elec. Analysis'!$A$82, 12,1),$A1237&gt;=DATE('Elec. Analysis'!$A$82, 1, 1)), $A1237, NA())</f>
        <v>#N/A</v>
      </c>
      <c r="C1131" s="1273">
        <f ca="1">VLOOKUP(C$1069,'Elec. Analysis'!$A$81:$N$91,$A1131,FALSE)</f>
        <v>12.288850572617701</v>
      </c>
      <c r="D1131" s="1273">
        <f ca="1">VLOOKUP(D$1069,'Elec. Analysis'!$A$81:$N$91,$A1131,FALSE)</f>
        <v>14.581868000000002</v>
      </c>
      <c r="E1131" s="1273">
        <f ca="1">VLOOKUP(E$1069,'Elec. Analysis'!$A$81:$N$91,$A1131,FALSE)</f>
        <v>6.6138678388825181</v>
      </c>
      <c r="F1131" s="1273">
        <f ca="1">VLOOKUP(F$1069,'Elec. Analysis'!$A$81:$N$91,$A1131,FALSE)</f>
        <v>10.508661424130576</v>
      </c>
      <c r="G1131" s="1273">
        <f ca="1">VLOOKUP(G$1069,'Elec. Analysis'!$A$81:$N$91,$A1131,FALSE)</f>
        <v>16.2933180673412</v>
      </c>
      <c r="H1131" s="1273">
        <f ca="1">VLOOKUP(H$1069,'Elec. Analysis'!$A$81:$N$91,$A1131,FALSE)</f>
        <v>1.8746132328059373</v>
      </c>
      <c r="I1131" s="1273">
        <f ca="1">VLOOKUP(I$1069,'Elec. Analysis'!$A$81:$N$91,$A1131,FALSE)</f>
        <v>42.93489384668365</v>
      </c>
      <c r="J1131" s="1273">
        <f ca="1">VLOOKUP(J$1069,'Elec. Analysis'!$A$81:$N$91,$A1131,FALSE)</f>
        <v>5.7792000000000003</v>
      </c>
      <c r="K1131" s="1273">
        <f ca="1">VLOOKUP(K$1069,'Elec. Analysis'!$A$81:$N$91,$A1131,FALSE)</f>
        <v>5.5437636491230808</v>
      </c>
      <c r="L1131" s="1374"/>
      <c r="M1131" s="1374"/>
      <c r="N1131" s="1076">
        <v>4</v>
      </c>
      <c r="O1131" s="708" t="e">
        <f>IF(AND($A1237&lt;=DATE('NG Analysis'!$A$84, 12,1),$A1237&gt;=DATE('NG Analysis'!$A$84, 1, 1)), $A1237, NA())</f>
        <v>#N/A</v>
      </c>
      <c r="P1131" s="1273">
        <f ca="1">VLOOKUP(P$1069,'NG Analysis'!$A$83:$N$93,$N1131,FALSE)</f>
        <v>23.436</v>
      </c>
      <c r="Q1131" s="1273">
        <f ca="1">VLOOKUP(Q$1069,'NG Analysis'!$A$83:$N$93,$N1131,FALSE)</f>
        <v>21.645384041554284</v>
      </c>
      <c r="R1131" s="1273">
        <f ca="1">VLOOKUP(R$1069,'NG Analysis'!$A$83:$N$93,$N1131,FALSE)</f>
        <v>12.372592105843843</v>
      </c>
      <c r="S1131" s="1273">
        <f ca="1">VLOOKUP(S$1069,'NG Analysis'!$A$83:$N$93,$N1131,FALSE)</f>
        <v>14.323715564223139</v>
      </c>
      <c r="T1131" s="1273">
        <f ca="1">VLOOKUP(T$1069,'NG Analysis'!$A$83:$N$93,$N1131,FALSE)</f>
        <v>51.959365793357087</v>
      </c>
      <c r="U1131" s="1273">
        <f ca="1">VLOOKUP(U$1069,'NG Analysis'!$A$83:$N$93,$N1131,FALSE)</f>
        <v>7.6160000000000005</v>
      </c>
      <c r="V1131" s="1273">
        <f ca="1">VLOOKUP(V$1069,'NG Analysis'!$A$83:$N$93,$N1131,FALSE)</f>
        <v>39.609225079659645</v>
      </c>
      <c r="W1131" s="1273">
        <f ca="1">VLOOKUP(W$1069,'NG Analysis'!$A$83:$N$93,$N1131,FALSE)</f>
        <v>8.5481141292318998</v>
      </c>
      <c r="X1131" s="1439"/>
    </row>
    <row r="1132" spans="1:24" x14ac:dyDescent="0.3">
      <c r="A1132" s="1072">
        <v>5</v>
      </c>
      <c r="B1132" s="708" t="e">
        <f>IF(AND($A1238&lt;=DATE('Elec. Analysis'!$A$82, 12,1),$A1238&gt;=DATE('Elec. Analysis'!$A$82, 1, 1)), $A1238, NA())</f>
        <v>#N/A</v>
      </c>
      <c r="C1132" s="1273">
        <f ca="1">VLOOKUP(C$1069,'Elec. Analysis'!$A$81:$N$91,$A1132,FALSE)</f>
        <v>11.255044002309154</v>
      </c>
      <c r="D1132" s="1273">
        <f ca="1">VLOOKUP(D$1069,'Elec. Analysis'!$A$81:$N$91,$A1132,FALSE)</f>
        <v>16.144211000000002</v>
      </c>
      <c r="E1132" s="1273">
        <f ca="1">VLOOKUP(E$1069,'Elec. Analysis'!$A$81:$N$91,$A1132,FALSE)</f>
        <v>6.0574724309812682</v>
      </c>
      <c r="F1132" s="1273">
        <f ca="1">VLOOKUP(F$1069,'Elec. Analysis'!$A$81:$N$91,$A1132,FALSE)</f>
        <v>9.3716963955057278</v>
      </c>
      <c r="G1132" s="1273">
        <f ca="1">VLOOKUP(G$1069,'Elec. Analysis'!$A$81:$N$91,$A1132,FALSE)</f>
        <v>14.980645643015643</v>
      </c>
      <c r="H1132" s="1273">
        <f ca="1">VLOOKUP(H$1069,'Elec. Analysis'!$A$81:$N$91,$A1132,FALSE)</f>
        <v>1.7169103243516355</v>
      </c>
      <c r="I1132" s="1273">
        <f ca="1">VLOOKUP(I$1069,'Elec. Analysis'!$A$81:$N$91,$A1132,FALSE)</f>
        <v>34.199419529186834</v>
      </c>
      <c r="J1132" s="1273">
        <f ca="1">VLOOKUP(J$1069,'Elec. Analysis'!$A$81:$N$91,$A1132,FALSE)</f>
        <v>6.3983999999999996</v>
      </c>
      <c r="K1132" s="1273">
        <f ca="1">VLOOKUP(K$1069,'Elec. Analysis'!$A$81:$N$91,$A1132,FALSE)</f>
        <v>5.0061899662675131</v>
      </c>
      <c r="L1132" s="1374"/>
      <c r="M1132" s="1374"/>
      <c r="N1132" s="1076">
        <v>5</v>
      </c>
      <c r="O1132" s="708" t="e">
        <f>IF(AND($A1238&lt;=DATE('NG Analysis'!$A$84, 12,1),$A1238&gt;=DATE('NG Analysis'!$A$84, 1, 1)), $A1238, NA())</f>
        <v>#N/A</v>
      </c>
      <c r="P1132" s="1273">
        <f ca="1">VLOOKUP(P$1069,'NG Analysis'!$A$83:$N$93,$N1132,FALSE)</f>
        <v>25.946999999999999</v>
      </c>
      <c r="Q1132" s="1273">
        <f ca="1">VLOOKUP(Q$1069,'NG Analysis'!$A$83:$N$93,$N1132,FALSE)</f>
        <v>13.092799736790329</v>
      </c>
      <c r="R1132" s="1273">
        <f ca="1">VLOOKUP(R$1069,'NG Analysis'!$A$83:$N$93,$N1132,FALSE)</f>
        <v>11.73428222700306</v>
      </c>
      <c r="S1132" s="1273">
        <f ca="1">VLOOKUP(S$1069,'NG Analysis'!$A$83:$N$93,$N1132,FALSE)</f>
        <v>16.356017339480474</v>
      </c>
      <c r="T1132" s="1273">
        <f ca="1">VLOOKUP(T$1069,'NG Analysis'!$A$83:$N$93,$N1132,FALSE)</f>
        <v>50.223284876952057</v>
      </c>
      <c r="U1132" s="1273">
        <f ca="1">VLOOKUP(U$1069,'NG Analysis'!$A$83:$N$93,$N1132,FALSE)</f>
        <v>8.4320000000000004</v>
      </c>
      <c r="V1132" s="1273">
        <f ca="1">VLOOKUP(V$1069,'NG Analysis'!$A$83:$N$93,$N1132,FALSE)</f>
        <v>23.95871797431958</v>
      </c>
      <c r="W1132" s="1273">
        <f ca="1">VLOOKUP(W$1069,'NG Analysis'!$A$83:$N$93,$N1132,FALSE)</f>
        <v>7.4872051077272763</v>
      </c>
      <c r="X1132" s="1439"/>
    </row>
    <row r="1133" spans="1:24" x14ac:dyDescent="0.3">
      <c r="A1133" s="1072">
        <v>6</v>
      </c>
      <c r="B1133" s="708" t="e">
        <f>IF(AND($A1239&lt;=DATE('Elec. Analysis'!$A$82, 12,1),$A1239&gt;=DATE('Elec. Analysis'!$A$82, 1, 1)), $A1239, NA())</f>
        <v>#N/A</v>
      </c>
      <c r="C1133" s="1273">
        <f ca="1">VLOOKUP(C$1069,'Elec. Analysis'!$A$81:$N$91,$A1133,FALSE)</f>
        <v>9.9612632133702341</v>
      </c>
      <c r="D1133" s="1273">
        <f ca="1">VLOOKUP(D$1069,'Elec. Analysis'!$A$81:$N$91,$A1133,FALSE)</f>
        <v>15.623430000000003</v>
      </c>
      <c r="E1133" s="1273">
        <f ca="1">VLOOKUP(E$1069,'Elec. Analysis'!$A$81:$N$91,$A1133,FALSE)</f>
        <v>5.3611587196245809</v>
      </c>
      <c r="F1133" s="1273">
        <f ca="1">VLOOKUP(F$1069,'Elec. Analysis'!$A$81:$N$91,$A1133,FALSE)</f>
        <v>8.5873991990290754</v>
      </c>
      <c r="G1133" s="1273">
        <f ca="1">VLOOKUP(G$1069,'Elec. Analysis'!$A$81:$N$91,$A1133,FALSE)</f>
        <v>13.777703726461645</v>
      </c>
      <c r="H1133" s="1273">
        <f ca="1">VLOOKUP(H$1069,'Elec. Analysis'!$A$81:$N$91,$A1133,FALSE)</f>
        <v>1.5195494261160265</v>
      </c>
      <c r="I1133" s="1273">
        <f ca="1">VLOOKUP(I$1069,'Elec. Analysis'!$A$81:$N$91,$A1133,FALSE)</f>
        <v>31.051217137911532</v>
      </c>
      <c r="J1133" s="1273">
        <f ca="1">VLOOKUP(J$1069,'Elec. Analysis'!$A$81:$N$91,$A1133,FALSE)</f>
        <v>6.1920000000000002</v>
      </c>
      <c r="K1133" s="1273">
        <f ca="1">VLOOKUP(K$1069,'Elec. Analysis'!$A$81:$N$91,$A1133,FALSE)</f>
        <v>4.6036860711256553</v>
      </c>
      <c r="L1133" s="1374"/>
      <c r="M1133" s="1374"/>
      <c r="N1133" s="1076">
        <v>6</v>
      </c>
      <c r="O1133" s="708" t="e">
        <f>IF(AND($A1239&lt;=DATE('NG Analysis'!$A$84, 12,1),$A1239&gt;=DATE('NG Analysis'!$A$84, 1, 1)), $A1239, NA())</f>
        <v>#N/A</v>
      </c>
      <c r="P1133" s="1273">
        <f ca="1">VLOOKUP(P$1069,'NG Analysis'!$A$83:$N$93,$N1133,FALSE)</f>
        <v>25.11</v>
      </c>
      <c r="Q1133" s="1273">
        <f ca="1">VLOOKUP(Q$1069,'NG Analysis'!$A$83:$N$93,$N1133,FALSE)</f>
        <v>7.9526381107213826</v>
      </c>
      <c r="R1133" s="1273">
        <f ca="1">VLOOKUP(R$1069,'NG Analysis'!$A$83:$N$93,$N1133,FALSE)</f>
        <v>7.9700690164135626</v>
      </c>
      <c r="S1133" s="1273">
        <f ca="1">VLOOKUP(S$1069,'NG Analysis'!$A$83:$N$93,$N1133,FALSE)</f>
        <v>10.951243499262032</v>
      </c>
      <c r="T1133" s="1273">
        <f ca="1">VLOOKUP(T$1069,'NG Analysis'!$A$83:$N$93,$N1133,FALSE)</f>
        <v>27.723913317231361</v>
      </c>
      <c r="U1133" s="1273">
        <f ca="1">VLOOKUP(U$1069,'NG Analysis'!$A$83:$N$93,$N1133,FALSE)</f>
        <v>8.16</v>
      </c>
      <c r="V1133" s="1273">
        <f ca="1">VLOOKUP(V$1069,'NG Analysis'!$A$83:$N$93,$N1133,FALSE)</f>
        <v>14.552656229148779</v>
      </c>
      <c r="W1133" s="1273">
        <f ca="1">VLOOKUP(W$1069,'NG Analysis'!$A$83:$N$93,$N1133,FALSE)</f>
        <v>5.1210260086388564</v>
      </c>
      <c r="X1133" s="1439"/>
    </row>
    <row r="1134" spans="1:24" x14ac:dyDescent="0.3">
      <c r="A1134" s="1072">
        <v>7</v>
      </c>
      <c r="B1134" s="708" t="e">
        <f>IF(AND($A1240&lt;=DATE('Elec. Analysis'!$A$82, 12,1),$A1240&gt;=DATE('Elec. Analysis'!$A$82, 1, 1)), $A1240, NA())</f>
        <v>#N/A</v>
      </c>
      <c r="C1134" s="1273">
        <f ca="1">VLOOKUP(C$1069,'Elec. Analysis'!$A$81:$N$91,$A1134,FALSE)</f>
        <v>9.5978677149152052</v>
      </c>
      <c r="D1134" s="1273">
        <f ca="1">VLOOKUP(D$1069,'Elec. Analysis'!$A$81:$N$91,$A1134,FALSE)</f>
        <v>16.144211000000002</v>
      </c>
      <c r="E1134" s="1273">
        <f ca="1">VLOOKUP(E$1069,'Elec. Analysis'!$A$81:$N$91,$A1134,FALSE)</f>
        <v>5.1655790121634277</v>
      </c>
      <c r="F1134" s="1273">
        <f ca="1">VLOOKUP(F$1069,'Elec. Analysis'!$A$81:$N$91,$A1134,FALSE)</f>
        <v>8.5747875462120167</v>
      </c>
      <c r="G1134" s="1273">
        <f ca="1">VLOOKUP(G$1069,'Elec. Analysis'!$A$81:$N$91,$A1134,FALSE)</f>
        <v>13.297768511495391</v>
      </c>
      <c r="H1134" s="1273">
        <f ca="1">VLOOKUP(H$1069,'Elec. Analysis'!$A$81:$N$91,$A1134,FALSE)</f>
        <v>1.4641149486504261</v>
      </c>
      <c r="I1134" s="1273">
        <f ca="1">VLOOKUP(I$1069,'Elec. Analysis'!$A$81:$N$91,$A1134,FALSE)</f>
        <v>31.51126480928334</v>
      </c>
      <c r="J1134" s="1273">
        <f ca="1">VLOOKUP(J$1069,'Elec. Analysis'!$A$81:$N$91,$A1134,FALSE)</f>
        <v>6.3983999999999996</v>
      </c>
      <c r="K1134" s="1273">
        <f ca="1">VLOOKUP(K$1069,'Elec. Analysis'!$A$81:$N$91,$A1134,FALSE)</f>
        <v>4.607699677135991</v>
      </c>
      <c r="L1134" s="1374"/>
      <c r="M1134" s="1374"/>
      <c r="N1134" s="1076">
        <v>7</v>
      </c>
      <c r="O1134" s="708" t="e">
        <f>IF(AND($A1240&lt;=DATE('NG Analysis'!$A$84, 12,1),$A1240&gt;=DATE('NG Analysis'!$A$84, 1, 1)), $A1240, NA())</f>
        <v>#N/A</v>
      </c>
      <c r="P1134" s="1273">
        <f ca="1">VLOOKUP(P$1069,'NG Analysis'!$A$83:$N$93,$N1134,FALSE)</f>
        <v>25.946999999999999</v>
      </c>
      <c r="Q1134" s="1273">
        <f ca="1">VLOOKUP(Q$1069,'NG Analysis'!$A$83:$N$93,$N1134,FALSE)</f>
        <v>6.2225451665778353</v>
      </c>
      <c r="R1134" s="1273">
        <f ca="1">VLOOKUP(R$1069,'NG Analysis'!$A$83:$N$93,$N1134,FALSE)</f>
        <v>6.5952077365448813</v>
      </c>
      <c r="S1134" s="1273">
        <f ca="1">VLOOKUP(S$1069,'NG Analysis'!$A$83:$N$93,$N1134,FALSE)</f>
        <v>10.041854584134954</v>
      </c>
      <c r="T1134" s="1273">
        <f ca="1">VLOOKUP(T$1069,'NG Analysis'!$A$83:$N$93,$N1134,FALSE)</f>
        <v>17.151406158782095</v>
      </c>
      <c r="U1134" s="1273">
        <f ca="1">VLOOKUP(U$1069,'NG Analysis'!$A$83:$N$93,$N1134,FALSE)</f>
        <v>8.4320000000000004</v>
      </c>
      <c r="V1134" s="1273">
        <f ca="1">VLOOKUP(V$1069,'NG Analysis'!$A$83:$N$93,$N1134,FALSE)</f>
        <v>10.652104343097346</v>
      </c>
      <c r="W1134" s="1273">
        <f ca="1">VLOOKUP(W$1069,'NG Analysis'!$A$83:$N$93,$N1134,FALSE)</f>
        <v>4.2521058994568559</v>
      </c>
      <c r="X1134" s="1439"/>
    </row>
    <row r="1135" spans="1:24" x14ac:dyDescent="0.3">
      <c r="A1135" s="1072">
        <v>8</v>
      </c>
      <c r="B1135" s="708" t="e">
        <f>IF(AND($A1241&lt;=DATE('Elec. Analysis'!$A$82, 12,1),$A1241&gt;=DATE('Elec. Analysis'!$A$82, 1, 1)), $A1241, NA())</f>
        <v>#N/A</v>
      </c>
      <c r="C1135" s="1273">
        <f ca="1">VLOOKUP(C$1069,'Elec. Analysis'!$A$81:$N$91,$A1135,FALSE)</f>
        <v>9.3281989935447278</v>
      </c>
      <c r="D1135" s="1273">
        <f ca="1">VLOOKUP(D$1069,'Elec. Analysis'!$A$81:$N$91,$A1135,FALSE)</f>
        <v>15.623429999999999</v>
      </c>
      <c r="E1135" s="1273">
        <f ca="1">VLOOKUP(E$1069,'Elec. Analysis'!$A$81:$N$91,$A1135,FALSE)</f>
        <v>5.0204431206587401</v>
      </c>
      <c r="F1135" s="1273">
        <f ca="1">VLOOKUP(F$1069,'Elec. Analysis'!$A$81:$N$91,$A1135,FALSE)</f>
        <v>8.326777408853685</v>
      </c>
      <c r="G1135" s="1273">
        <f ca="1">VLOOKUP(G$1069,'Elec. Analysis'!$A$81:$N$91,$A1135,FALSE)</f>
        <v>12.922747293722241</v>
      </c>
      <c r="H1135" s="1273">
        <f ca="1">VLOOKUP(H$1069,'Elec. Analysis'!$A$81:$N$91,$A1135,FALSE)</f>
        <v>1.4229781026478086</v>
      </c>
      <c r="I1135" s="1273">
        <f ca="1">VLOOKUP(I$1069,'Elec. Analysis'!$A$81:$N$91,$A1135,FALSE)</f>
        <v>30.630694018262528</v>
      </c>
      <c r="J1135" s="1273">
        <f ca="1">VLOOKUP(J$1069,'Elec. Analysis'!$A$81:$N$91,$A1135,FALSE)</f>
        <v>6.1920000000000002</v>
      </c>
      <c r="K1135" s="1273">
        <f ca="1">VLOOKUP(K$1069,'Elec. Analysis'!$A$81:$N$91,$A1135,FALSE)</f>
        <v>4.4733634468844867</v>
      </c>
      <c r="L1135" s="1374"/>
      <c r="M1135" s="1374"/>
      <c r="N1135" s="1076">
        <v>8</v>
      </c>
      <c r="O1135" s="708" t="e">
        <f>IF(AND($A1241&lt;=DATE('NG Analysis'!$A$84, 12,1),$A1241&gt;=DATE('NG Analysis'!$A$84, 1, 1)), $A1241, NA())</f>
        <v>#N/A</v>
      </c>
      <c r="P1135" s="1273">
        <f ca="1">VLOOKUP(P$1069,'NG Analysis'!$A$83:$N$93,$N1135,FALSE)</f>
        <v>25.11</v>
      </c>
      <c r="Q1135" s="1273">
        <f ca="1">VLOOKUP(Q$1069,'NG Analysis'!$A$83:$N$93,$N1135,FALSE)</f>
        <v>3.1037296499089999</v>
      </c>
      <c r="R1135" s="1273">
        <f ca="1">VLOOKUP(R$1069,'NG Analysis'!$A$83:$N$93,$N1135,FALSE)</f>
        <v>3.9898169179856966</v>
      </c>
      <c r="S1135" s="1273">
        <f ca="1">VLOOKUP(S$1069,'NG Analysis'!$A$83:$N$93,$N1135,FALSE)</f>
        <v>6.3316742137665356</v>
      </c>
      <c r="T1135" s="1273">
        <f ca="1">VLOOKUP(T$1069,'NG Analysis'!$A$83:$N$93,$N1135,FALSE)</f>
        <v>1.366539592541357</v>
      </c>
      <c r="U1135" s="1273">
        <f ca="1">VLOOKUP(U$1069,'NG Analysis'!$A$83:$N$93,$N1135,FALSE)</f>
        <v>8.16</v>
      </c>
      <c r="V1135" s="1273">
        <f ca="1">VLOOKUP(V$1069,'NG Analysis'!$A$83:$N$93,$N1135,FALSE)</f>
        <v>0</v>
      </c>
      <c r="W1135" s="1273">
        <f ca="1">VLOOKUP(W$1069,'NG Analysis'!$A$83:$N$93,$N1135,FALSE)</f>
        <v>2.4030880187101298</v>
      </c>
      <c r="X1135" s="1439"/>
    </row>
    <row r="1136" spans="1:24" x14ac:dyDescent="0.3">
      <c r="A1136" s="1072">
        <v>9</v>
      </c>
      <c r="B1136" s="708" t="e">
        <f>IF(AND($A1242&lt;=DATE('Elec. Analysis'!$A$82, 12,1),$A1242&gt;=DATE('Elec. Analysis'!$A$82, 1, 1)), $A1242, NA())</f>
        <v>#N/A</v>
      </c>
      <c r="C1136" s="1273" t="str">
        <f ca="1">VLOOKUP(C$1069,'Elec. Analysis'!$A$81:$N$91,$A1136,FALSE)</f>
        <v/>
      </c>
      <c r="D1136" s="1273" t="str">
        <f ca="1">VLOOKUP(D$1069,'Elec. Analysis'!$A$81:$N$91,$A1136,FALSE)</f>
        <v/>
      </c>
      <c r="E1136" s="1273" t="str">
        <f ca="1">VLOOKUP(E$1069,'Elec. Analysis'!$A$81:$N$91,$A1136,FALSE)</f>
        <v/>
      </c>
      <c r="F1136" s="1273" t="str">
        <f ca="1">VLOOKUP(F$1069,'Elec. Analysis'!$A$81:$N$91,$A1136,FALSE)</f>
        <v/>
      </c>
      <c r="G1136" s="1273" t="str">
        <f ca="1">VLOOKUP(G$1069,'Elec. Analysis'!$A$81:$N$91,$A1136,FALSE)</f>
        <v/>
      </c>
      <c r="H1136" s="1273" t="str">
        <f ca="1">VLOOKUP(H$1069,'Elec. Analysis'!$A$81:$N$91,$A1136,FALSE)</f>
        <v/>
      </c>
      <c r="I1136" s="1273" t="str">
        <f ca="1">VLOOKUP(I$1069,'Elec. Analysis'!$A$81:$N$91,$A1136,FALSE)</f>
        <v/>
      </c>
      <c r="J1136" s="1273" t="str">
        <f ca="1">VLOOKUP(J$1069,'Elec. Analysis'!$A$81:$N$91,$A1136,FALSE)</f>
        <v/>
      </c>
      <c r="K1136" s="1273" t="str">
        <f ca="1">VLOOKUP(K$1069,'Elec. Analysis'!$A$81:$N$91,$A1136,FALSE)</f>
        <v/>
      </c>
      <c r="L1136" s="1374"/>
      <c r="M1136" s="1374"/>
      <c r="N1136" s="1076">
        <v>9</v>
      </c>
      <c r="O1136" s="708" t="e">
        <f>IF(AND($A1242&lt;=DATE('NG Analysis'!$A$84, 12,1),$A1242&gt;=DATE('NG Analysis'!$A$84, 1, 1)), $A1242, NA())</f>
        <v>#N/A</v>
      </c>
      <c r="P1136" s="1273" t="str">
        <f ca="1">VLOOKUP(P$1069,'NG Analysis'!$A$83:$N$93,$N1136,FALSE)</f>
        <v/>
      </c>
      <c r="Q1136" s="1273" t="str">
        <f ca="1">VLOOKUP(Q$1069,'NG Analysis'!$A$83:$N$93,$N1136,FALSE)</f>
        <v/>
      </c>
      <c r="R1136" s="1273" t="str">
        <f ca="1">VLOOKUP(R$1069,'NG Analysis'!$A$83:$N$93,$N1136,FALSE)</f>
        <v/>
      </c>
      <c r="S1136" s="1273" t="str">
        <f ca="1">VLOOKUP(S$1069,'NG Analysis'!$A$83:$N$93,$N1136,FALSE)</f>
        <v/>
      </c>
      <c r="T1136" s="1273" t="str">
        <f ca="1">VLOOKUP(T$1069,'NG Analysis'!$A$83:$N$93,$N1136,FALSE)</f>
        <v/>
      </c>
      <c r="U1136" s="1273" t="str">
        <f ca="1">VLOOKUP(U$1069,'NG Analysis'!$A$83:$N$93,$N1136,FALSE)</f>
        <v/>
      </c>
      <c r="V1136" s="1273" t="str">
        <f ca="1">VLOOKUP(V$1069,'NG Analysis'!$A$83:$N$93,$N1136,FALSE)</f>
        <v/>
      </c>
      <c r="W1136" s="1273" t="str">
        <f ca="1">VLOOKUP(W$1069,'NG Analysis'!$A$83:$N$93,$N1136,FALSE)</f>
        <v/>
      </c>
      <c r="X1136" s="1439"/>
    </row>
    <row r="1137" spans="1:24" x14ac:dyDescent="0.3">
      <c r="A1137" s="1072">
        <v>10</v>
      </c>
      <c r="B1137" s="708" t="e">
        <f>IF(AND($A1243&lt;=DATE('Elec. Analysis'!$A$82, 12,1),$A1243&gt;=DATE('Elec. Analysis'!$A$82, 1, 1)), $A1243, NA())</f>
        <v>#N/A</v>
      </c>
      <c r="C1137" s="1273" t="str">
        <f ca="1">VLOOKUP(C$1069,'Elec. Analysis'!$A$81:$N$91,$A1137,FALSE)</f>
        <v/>
      </c>
      <c r="D1137" s="1273" t="str">
        <f ca="1">VLOOKUP(D$1069,'Elec. Analysis'!$A$81:$N$91,$A1137,FALSE)</f>
        <v/>
      </c>
      <c r="E1137" s="1273" t="str">
        <f ca="1">VLOOKUP(E$1069,'Elec. Analysis'!$A$81:$N$91,$A1137,FALSE)</f>
        <v/>
      </c>
      <c r="F1137" s="1273" t="str">
        <f ca="1">VLOOKUP(F$1069,'Elec. Analysis'!$A$81:$N$91,$A1137,FALSE)</f>
        <v/>
      </c>
      <c r="G1137" s="1273" t="str">
        <f ca="1">VLOOKUP(G$1069,'Elec. Analysis'!$A$81:$N$91,$A1137,FALSE)</f>
        <v/>
      </c>
      <c r="H1137" s="1273" t="str">
        <f ca="1">VLOOKUP(H$1069,'Elec. Analysis'!$A$81:$N$91,$A1137,FALSE)</f>
        <v/>
      </c>
      <c r="I1137" s="1273" t="str">
        <f ca="1">VLOOKUP(I$1069,'Elec. Analysis'!$A$81:$N$91,$A1137,FALSE)</f>
        <v/>
      </c>
      <c r="J1137" s="1273" t="str">
        <f ca="1">VLOOKUP(J$1069,'Elec. Analysis'!$A$81:$N$91,$A1137,FALSE)</f>
        <v/>
      </c>
      <c r="K1137" s="1273" t="str">
        <f ca="1">VLOOKUP(K$1069,'Elec. Analysis'!$A$81:$N$91,$A1137,FALSE)</f>
        <v/>
      </c>
      <c r="L1137" s="1374"/>
      <c r="M1137" s="1374"/>
      <c r="N1137" s="1076">
        <v>10</v>
      </c>
      <c r="O1137" s="708" t="e">
        <f>IF(AND($A1243&lt;=DATE('NG Analysis'!$A$84, 12,1),$A1243&gt;=DATE('NG Analysis'!$A$84, 1, 1)), $A1243, NA())</f>
        <v>#N/A</v>
      </c>
      <c r="P1137" s="1273" t="str">
        <f ca="1">VLOOKUP(P$1069,'NG Analysis'!$A$83:$N$93,$N1137,FALSE)</f>
        <v/>
      </c>
      <c r="Q1137" s="1273" t="str">
        <f ca="1">VLOOKUP(Q$1069,'NG Analysis'!$A$83:$N$93,$N1137,FALSE)</f>
        <v/>
      </c>
      <c r="R1137" s="1273" t="str">
        <f ca="1">VLOOKUP(R$1069,'NG Analysis'!$A$83:$N$93,$N1137,FALSE)</f>
        <v/>
      </c>
      <c r="S1137" s="1273" t="str">
        <f ca="1">VLOOKUP(S$1069,'NG Analysis'!$A$83:$N$93,$N1137,FALSE)</f>
        <v/>
      </c>
      <c r="T1137" s="1273" t="str">
        <f ca="1">VLOOKUP(T$1069,'NG Analysis'!$A$83:$N$93,$N1137,FALSE)</f>
        <v/>
      </c>
      <c r="U1137" s="1273" t="str">
        <f ca="1">VLOOKUP(U$1069,'NG Analysis'!$A$83:$N$93,$N1137,FALSE)</f>
        <v/>
      </c>
      <c r="V1137" s="1273" t="str">
        <f ca="1">VLOOKUP(V$1069,'NG Analysis'!$A$83:$N$93,$N1137,FALSE)</f>
        <v/>
      </c>
      <c r="W1137" s="1273" t="str">
        <f ca="1">VLOOKUP(W$1069,'NG Analysis'!$A$83:$N$93,$N1137,FALSE)</f>
        <v/>
      </c>
      <c r="X1137" s="1439"/>
    </row>
    <row r="1138" spans="1:24" x14ac:dyDescent="0.3">
      <c r="A1138" s="1072">
        <v>11</v>
      </c>
      <c r="B1138" s="708" t="e">
        <f>IF(AND($A1244&lt;=DATE('Elec. Analysis'!$A$82, 12,1),$A1244&gt;=DATE('Elec. Analysis'!$A$82, 1, 1)), $A1244, NA())</f>
        <v>#N/A</v>
      </c>
      <c r="C1138" s="1273" t="str">
        <f ca="1">VLOOKUP(C$1069,'Elec. Analysis'!$A$81:$N$91,$A1138,FALSE)</f>
        <v/>
      </c>
      <c r="D1138" s="1273" t="str">
        <f ca="1">VLOOKUP(D$1069,'Elec. Analysis'!$A$81:$N$91,$A1138,FALSE)</f>
        <v/>
      </c>
      <c r="E1138" s="1273" t="str">
        <f ca="1">VLOOKUP(E$1069,'Elec. Analysis'!$A$81:$N$91,$A1138,FALSE)</f>
        <v/>
      </c>
      <c r="F1138" s="1273" t="str">
        <f ca="1">VLOOKUP(F$1069,'Elec. Analysis'!$A$81:$N$91,$A1138,FALSE)</f>
        <v/>
      </c>
      <c r="G1138" s="1273" t="str">
        <f ca="1">VLOOKUP(G$1069,'Elec. Analysis'!$A$81:$N$91,$A1138,FALSE)</f>
        <v/>
      </c>
      <c r="H1138" s="1273" t="str">
        <f ca="1">VLOOKUP(H$1069,'Elec. Analysis'!$A$81:$N$91,$A1138,FALSE)</f>
        <v/>
      </c>
      <c r="I1138" s="1273" t="str">
        <f ca="1">VLOOKUP(I$1069,'Elec. Analysis'!$A$81:$N$91,$A1138,FALSE)</f>
        <v/>
      </c>
      <c r="J1138" s="1273" t="str">
        <f ca="1">VLOOKUP(J$1069,'Elec. Analysis'!$A$81:$N$91,$A1138,FALSE)</f>
        <v/>
      </c>
      <c r="K1138" s="1273" t="str">
        <f ca="1">VLOOKUP(K$1069,'Elec. Analysis'!$A$81:$N$91,$A1138,FALSE)</f>
        <v/>
      </c>
      <c r="L1138" s="1374"/>
      <c r="M1138" s="1374"/>
      <c r="N1138" s="1076">
        <v>11</v>
      </c>
      <c r="O1138" s="708" t="e">
        <f>IF(AND($A1244&lt;=DATE('NG Analysis'!$A$84, 12,1),$A1244&gt;=DATE('NG Analysis'!$A$84, 1, 1)), $A1244, NA())</f>
        <v>#N/A</v>
      </c>
      <c r="P1138" s="1273" t="str">
        <f ca="1">VLOOKUP(P$1069,'NG Analysis'!$A$83:$N$93,$N1138,FALSE)</f>
        <v/>
      </c>
      <c r="Q1138" s="1273" t="str">
        <f ca="1">VLOOKUP(Q$1069,'NG Analysis'!$A$83:$N$93,$N1138,FALSE)</f>
        <v/>
      </c>
      <c r="R1138" s="1273" t="str">
        <f ca="1">VLOOKUP(R$1069,'NG Analysis'!$A$83:$N$93,$N1138,FALSE)</f>
        <v/>
      </c>
      <c r="S1138" s="1273" t="str">
        <f ca="1">VLOOKUP(S$1069,'NG Analysis'!$A$83:$N$93,$N1138,FALSE)</f>
        <v/>
      </c>
      <c r="T1138" s="1273" t="str">
        <f ca="1">VLOOKUP(T$1069,'NG Analysis'!$A$83:$N$93,$N1138,FALSE)</f>
        <v/>
      </c>
      <c r="U1138" s="1273" t="str">
        <f ca="1">VLOOKUP(U$1069,'NG Analysis'!$A$83:$N$93,$N1138,FALSE)</f>
        <v/>
      </c>
      <c r="V1138" s="1273" t="str">
        <f ca="1">VLOOKUP(V$1069,'NG Analysis'!$A$83:$N$93,$N1138,FALSE)</f>
        <v/>
      </c>
      <c r="W1138" s="1273" t="str">
        <f ca="1">VLOOKUP(W$1069,'NG Analysis'!$A$83:$N$93,$N1138,FALSE)</f>
        <v/>
      </c>
      <c r="X1138" s="1439"/>
    </row>
    <row r="1139" spans="1:24" x14ac:dyDescent="0.3">
      <c r="A1139" s="1072">
        <v>12</v>
      </c>
      <c r="B1139" s="708" t="e">
        <f>IF(AND($A1245&lt;=DATE('Elec. Analysis'!$A$82, 12,1),$A1245&gt;=DATE('Elec. Analysis'!$A$82, 1, 1)), $A1245, NA())</f>
        <v>#N/A</v>
      </c>
      <c r="C1139" s="1273" t="str">
        <f ca="1">VLOOKUP(C$1069,'Elec. Analysis'!$A$81:$N$91,$A1139,FALSE)</f>
        <v/>
      </c>
      <c r="D1139" s="1273" t="str">
        <f ca="1">VLOOKUP(D$1069,'Elec. Analysis'!$A$81:$N$91,$A1139,FALSE)</f>
        <v/>
      </c>
      <c r="E1139" s="1273" t="str">
        <f ca="1">VLOOKUP(E$1069,'Elec. Analysis'!$A$81:$N$91,$A1139,FALSE)</f>
        <v/>
      </c>
      <c r="F1139" s="1273" t="str">
        <f ca="1">VLOOKUP(F$1069,'Elec. Analysis'!$A$81:$N$91,$A1139,FALSE)</f>
        <v/>
      </c>
      <c r="G1139" s="1273" t="str">
        <f ca="1">VLOOKUP(G$1069,'Elec. Analysis'!$A$81:$N$91,$A1139,FALSE)</f>
        <v/>
      </c>
      <c r="H1139" s="1273" t="str">
        <f ca="1">VLOOKUP(H$1069,'Elec. Analysis'!$A$81:$N$91,$A1139,FALSE)</f>
        <v/>
      </c>
      <c r="I1139" s="1273" t="str">
        <f ca="1">VLOOKUP(I$1069,'Elec. Analysis'!$A$81:$N$91,$A1139,FALSE)</f>
        <v/>
      </c>
      <c r="J1139" s="1273" t="str">
        <f ca="1">VLOOKUP(J$1069,'Elec. Analysis'!$A$81:$N$91,$A1139,FALSE)</f>
        <v/>
      </c>
      <c r="K1139" s="1273" t="str">
        <f ca="1">VLOOKUP(K$1069,'Elec. Analysis'!$A$81:$N$91,$A1139,FALSE)</f>
        <v/>
      </c>
      <c r="L1139" s="1374"/>
      <c r="M1139" s="1374"/>
      <c r="N1139" s="1076">
        <v>12</v>
      </c>
      <c r="O1139" s="708" t="e">
        <f>IF(AND($A1245&lt;=DATE('NG Analysis'!$A$84, 12,1),$A1245&gt;=DATE('NG Analysis'!$A$84, 1, 1)), $A1245, NA())</f>
        <v>#N/A</v>
      </c>
      <c r="P1139" s="1273" t="str">
        <f ca="1">VLOOKUP(P$1069,'NG Analysis'!$A$83:$N$93,$N1139,FALSE)</f>
        <v/>
      </c>
      <c r="Q1139" s="1273" t="str">
        <f ca="1">VLOOKUP(Q$1069,'NG Analysis'!$A$83:$N$93,$N1139,FALSE)</f>
        <v/>
      </c>
      <c r="R1139" s="1273" t="str">
        <f ca="1">VLOOKUP(R$1069,'NG Analysis'!$A$83:$N$93,$N1139,FALSE)</f>
        <v/>
      </c>
      <c r="S1139" s="1273" t="str">
        <f ca="1">VLOOKUP(S$1069,'NG Analysis'!$A$83:$N$93,$N1139,FALSE)</f>
        <v/>
      </c>
      <c r="T1139" s="1273" t="str">
        <f ca="1">VLOOKUP(T$1069,'NG Analysis'!$A$83:$N$93,$N1139,FALSE)</f>
        <v/>
      </c>
      <c r="U1139" s="1273" t="str">
        <f ca="1">VLOOKUP(U$1069,'NG Analysis'!$A$83:$N$93,$N1139,FALSE)</f>
        <v/>
      </c>
      <c r="V1139" s="1273" t="str">
        <f ca="1">VLOOKUP(V$1069,'NG Analysis'!$A$83:$N$93,$N1139,FALSE)</f>
        <v/>
      </c>
      <c r="W1139" s="1273" t="str">
        <f ca="1">VLOOKUP(W$1069,'NG Analysis'!$A$83:$N$93,$N1139,FALSE)</f>
        <v/>
      </c>
      <c r="X1139" s="1439"/>
    </row>
    <row r="1140" spans="1:24" x14ac:dyDescent="0.3">
      <c r="A1140" s="1072">
        <v>13</v>
      </c>
      <c r="B1140" s="708" t="e">
        <f>IF(AND($A1246&lt;=DATE('Elec. Analysis'!$A$82, 12,1),$A1246&gt;=DATE('Elec. Analysis'!$A$82, 1, 1)), $A1246, NA())</f>
        <v>#N/A</v>
      </c>
      <c r="C1140" s="1273" t="str">
        <f ca="1">VLOOKUP(C$1069,'Elec. Analysis'!$A$81:$N$91,$A1140,FALSE)</f>
        <v/>
      </c>
      <c r="D1140" s="1273" t="str">
        <f ca="1">VLOOKUP(D$1069,'Elec. Analysis'!$A$81:$N$91,$A1140,FALSE)</f>
        <v/>
      </c>
      <c r="E1140" s="1273" t="str">
        <f ca="1">VLOOKUP(E$1069,'Elec. Analysis'!$A$81:$N$91,$A1140,FALSE)</f>
        <v/>
      </c>
      <c r="F1140" s="1273" t="str">
        <f ca="1">VLOOKUP(F$1069,'Elec. Analysis'!$A$81:$N$91,$A1140,FALSE)</f>
        <v/>
      </c>
      <c r="G1140" s="1273" t="str">
        <f ca="1">VLOOKUP(G$1069,'Elec. Analysis'!$A$81:$N$91,$A1140,FALSE)</f>
        <v/>
      </c>
      <c r="H1140" s="1273" t="str">
        <f ca="1">VLOOKUP(H$1069,'Elec. Analysis'!$A$81:$N$91,$A1140,FALSE)</f>
        <v/>
      </c>
      <c r="I1140" s="1273" t="str">
        <f ca="1">VLOOKUP(I$1069,'Elec. Analysis'!$A$81:$N$91,$A1140,FALSE)</f>
        <v/>
      </c>
      <c r="J1140" s="1273" t="str">
        <f ca="1">VLOOKUP(J$1069,'Elec. Analysis'!$A$81:$N$91,$A1140,FALSE)</f>
        <v/>
      </c>
      <c r="K1140" s="1273" t="str">
        <f ca="1">VLOOKUP(K$1069,'Elec. Analysis'!$A$81:$N$91,$A1140,FALSE)</f>
        <v/>
      </c>
      <c r="L1140" s="1374"/>
      <c r="M1140" s="1374"/>
      <c r="N1140" s="1076">
        <v>13</v>
      </c>
      <c r="O1140" s="708" t="e">
        <f>IF(AND($A1246&lt;=DATE('NG Analysis'!$A$84, 12,1),$A1246&gt;=DATE('NG Analysis'!$A$84, 1, 1)), $A1246, NA())</f>
        <v>#N/A</v>
      </c>
      <c r="P1140" s="1273" t="str">
        <f ca="1">VLOOKUP(P$1069,'NG Analysis'!$A$83:$N$93,$N1140,FALSE)</f>
        <v/>
      </c>
      <c r="Q1140" s="1273" t="str">
        <f ca="1">VLOOKUP(Q$1069,'NG Analysis'!$A$83:$N$93,$N1140,FALSE)</f>
        <v/>
      </c>
      <c r="R1140" s="1273" t="str">
        <f ca="1">VLOOKUP(R$1069,'NG Analysis'!$A$83:$N$93,$N1140,FALSE)</f>
        <v/>
      </c>
      <c r="S1140" s="1273" t="str">
        <f ca="1">VLOOKUP(S$1069,'NG Analysis'!$A$83:$N$93,$N1140,FALSE)</f>
        <v/>
      </c>
      <c r="T1140" s="1273" t="str">
        <f ca="1">VLOOKUP(T$1069,'NG Analysis'!$A$83:$N$93,$N1140,FALSE)</f>
        <v/>
      </c>
      <c r="U1140" s="1273" t="str">
        <f ca="1">VLOOKUP(U$1069,'NG Analysis'!$A$83:$N$93,$N1140,FALSE)</f>
        <v/>
      </c>
      <c r="V1140" s="1273" t="str">
        <f ca="1">VLOOKUP(V$1069,'NG Analysis'!$A$83:$N$93,$N1140,FALSE)</f>
        <v/>
      </c>
      <c r="W1140" s="1273" t="str">
        <f ca="1">VLOOKUP(W$1069,'NG Analysis'!$A$83:$N$93,$N1140,FALSE)</f>
        <v/>
      </c>
      <c r="X1140" s="1439"/>
    </row>
    <row r="1141" spans="1:24" x14ac:dyDescent="0.3">
      <c r="A1141" s="1072">
        <v>14</v>
      </c>
      <c r="B1141" s="708" t="e">
        <f>IF(AND($A1247&lt;=DATE('Elec. Analysis'!$A$82, 12,1),$A1247&gt;=DATE('Elec. Analysis'!$A$82, 1, 1)), $A1247, NA())</f>
        <v>#N/A</v>
      </c>
      <c r="C1141" s="1273" t="str">
        <f ca="1">VLOOKUP(C$1069,'Elec. Analysis'!$A$81:$N$91,$A1141,FALSE)</f>
        <v/>
      </c>
      <c r="D1141" s="1273" t="str">
        <f ca="1">VLOOKUP(D$1069,'Elec. Analysis'!$A$81:$N$91,$A1141,FALSE)</f>
        <v/>
      </c>
      <c r="E1141" s="1273" t="str">
        <f ca="1">VLOOKUP(E$1069,'Elec. Analysis'!$A$81:$N$91,$A1141,FALSE)</f>
        <v/>
      </c>
      <c r="F1141" s="1273" t="str">
        <f ca="1">VLOOKUP(F$1069,'Elec. Analysis'!$A$81:$N$91,$A1141,FALSE)</f>
        <v/>
      </c>
      <c r="G1141" s="1273" t="str">
        <f ca="1">VLOOKUP(G$1069,'Elec. Analysis'!$A$81:$N$91,$A1141,FALSE)</f>
        <v/>
      </c>
      <c r="H1141" s="1273" t="str">
        <f ca="1">VLOOKUP(H$1069,'Elec. Analysis'!$A$81:$N$91,$A1141,FALSE)</f>
        <v/>
      </c>
      <c r="I1141" s="1273" t="str">
        <f ca="1">VLOOKUP(I$1069,'Elec. Analysis'!$A$81:$N$91,$A1141,FALSE)</f>
        <v/>
      </c>
      <c r="J1141" s="1273" t="str">
        <f ca="1">VLOOKUP(J$1069,'Elec. Analysis'!$A$81:$N$91,$A1141,FALSE)</f>
        <v/>
      </c>
      <c r="K1141" s="1273" t="str">
        <f ca="1">VLOOKUP(K$1069,'Elec. Analysis'!$A$81:$N$91,$A1141,FALSE)</f>
        <v/>
      </c>
      <c r="L1141" s="1374"/>
      <c r="M1141" s="1374"/>
      <c r="N1141" s="1076">
        <v>14</v>
      </c>
      <c r="O1141" s="708" t="e">
        <f>IF(AND($A1247&lt;=DATE('NG Analysis'!$A$84, 12,1),$A1247&gt;=DATE('NG Analysis'!$A$84, 1, 1)), $A1247, NA())</f>
        <v>#N/A</v>
      </c>
      <c r="P1141" s="1273" t="str">
        <f ca="1">VLOOKUP(P$1069,'NG Analysis'!$A$83:$N$93,$N1141,FALSE)</f>
        <v/>
      </c>
      <c r="Q1141" s="1273" t="str">
        <f ca="1">VLOOKUP(Q$1069,'NG Analysis'!$A$83:$N$93,$N1141,FALSE)</f>
        <v/>
      </c>
      <c r="R1141" s="1273" t="str">
        <f ca="1">VLOOKUP(R$1069,'NG Analysis'!$A$83:$N$93,$N1141,FALSE)</f>
        <v/>
      </c>
      <c r="S1141" s="1273" t="str">
        <f ca="1">VLOOKUP(S$1069,'NG Analysis'!$A$83:$N$93,$N1141,FALSE)</f>
        <v/>
      </c>
      <c r="T1141" s="1273" t="str">
        <f ca="1">VLOOKUP(T$1069,'NG Analysis'!$A$83:$N$93,$N1141,FALSE)</f>
        <v/>
      </c>
      <c r="U1141" s="1273" t="str">
        <f ca="1">VLOOKUP(U$1069,'NG Analysis'!$A$83:$N$93,$N1141,FALSE)</f>
        <v/>
      </c>
      <c r="V1141" s="1273" t="str">
        <f ca="1">VLOOKUP(V$1069,'NG Analysis'!$A$83:$N$93,$N1141,FALSE)</f>
        <v/>
      </c>
      <c r="W1141" s="1273" t="str">
        <f ca="1">VLOOKUP(W$1069,'NG Analysis'!$A$83:$N$93,$N1141,FALSE)</f>
        <v/>
      </c>
      <c r="X1141" s="1439"/>
    </row>
    <row r="1142" spans="1:24" x14ac:dyDescent="0.3">
      <c r="A1142" s="1072">
        <v>3</v>
      </c>
      <c r="B1142" s="708" t="e">
        <f>IF(AND($A1248&lt;=DATE('Elec. Analysis'!$A$82, 12,1),$A1248&gt;=DATE('Elec. Analysis'!$A$82, 1, 1)), $A1248, NA())</f>
        <v>#N/A</v>
      </c>
      <c r="C1142" s="1273">
        <f ca="1">VLOOKUP(C$1069,'Elec. Analysis'!$A$81:$N$91,$A1142,FALSE)</f>
        <v>11.756793629373167</v>
      </c>
      <c r="D1142" s="1273">
        <f ca="1">VLOOKUP(D$1069,'Elec. Analysis'!$A$81:$N$91,$A1142,FALSE)</f>
        <v>16.144211000000002</v>
      </c>
      <c r="E1142" s="1273">
        <f ca="1">VLOOKUP(E$1069,'Elec. Analysis'!$A$81:$N$91,$A1142,FALSE)</f>
        <v>6.3275144257146358</v>
      </c>
      <c r="F1142" s="1273">
        <f ca="1">VLOOKUP(F$1069,'Elec. Analysis'!$A$81:$N$91,$A1142,FALSE)</f>
        <v>10.302466363166253</v>
      </c>
      <c r="G1142" s="1273">
        <f ca="1">VLOOKUP(G$1069,'Elec. Analysis'!$A$81:$N$91,$A1142,FALSE)</f>
        <v>15.633512574909027</v>
      </c>
      <c r="H1142" s="1273">
        <f ca="1">VLOOKUP(H$1069,'Elec. Analysis'!$A$81:$N$91,$A1142,FALSE)</f>
        <v>1.7934501508302387</v>
      </c>
      <c r="I1142" s="1273">
        <f ca="1">VLOOKUP(I$1069,'Elec. Analysis'!$A$81:$N$91,$A1142,FALSE)</f>
        <v>41.075988634710761</v>
      </c>
      <c r="J1142" s="1273">
        <f ca="1">VLOOKUP(J$1069,'Elec. Analysis'!$A$81:$N$91,$A1142,FALSE)</f>
        <v>6.3983999999999996</v>
      </c>
      <c r="K1142" s="1273">
        <f ca="1">VLOOKUP(K$1069,'Elec. Analysis'!$A$81:$N$91,$A1142,FALSE)</f>
        <v>5.4716168389352049</v>
      </c>
      <c r="L1142" s="1374"/>
      <c r="M1142" s="1374"/>
      <c r="N1142" s="1076">
        <v>3</v>
      </c>
      <c r="O1142" s="708" t="e">
        <f>IF(AND($A1248&lt;=DATE('NG Analysis'!$A$84, 12,1),$A1248&gt;=DATE('NG Analysis'!$A$84, 1, 1)), $A1248, NA())</f>
        <v>#N/A</v>
      </c>
      <c r="P1142" s="1273">
        <f ca="1">VLOOKUP(P$1069,'NG Analysis'!$A$83:$N$93,$N1142,FALSE)</f>
        <v>25.946999999999999</v>
      </c>
      <c r="Q1142" s="1273">
        <f ca="1">VLOOKUP(Q$1069,'NG Analysis'!$A$83:$N$93,$N1142,FALSE)</f>
        <v>13.961815841257177</v>
      </c>
      <c r="R1142" s="1273">
        <f ca="1">VLOOKUP(R$1069,'NG Analysis'!$A$83:$N$93,$N1142,FALSE)</f>
        <v>8.1124896049438657</v>
      </c>
      <c r="S1142" s="1273">
        <f ca="1">VLOOKUP(S$1069,'NG Analysis'!$A$83:$N$93,$N1142,FALSE)</f>
        <v>7.5956320197913003</v>
      </c>
      <c r="T1142" s="1273">
        <f ca="1">VLOOKUP(T$1069,'NG Analysis'!$A$83:$N$93,$N1142,FALSE)</f>
        <v>25.515260554287845</v>
      </c>
      <c r="U1142" s="1273">
        <f ca="1">VLOOKUP(U$1069,'NG Analysis'!$A$83:$N$93,$N1142,FALSE)</f>
        <v>8.4320000000000004</v>
      </c>
      <c r="V1142" s="1273">
        <f ca="1">VLOOKUP(V$1069,'NG Analysis'!$A$83:$N$93,$N1142,FALSE)</f>
        <v>25.548944066570733</v>
      </c>
      <c r="W1142" s="1273">
        <f ca="1">VLOOKUP(W$1069,'NG Analysis'!$A$83:$N$93,$N1142,FALSE)</f>
        <v>5.7556571043425464</v>
      </c>
      <c r="X1142" s="1439"/>
    </row>
    <row r="1143" spans="1:24" x14ac:dyDescent="0.3">
      <c r="A1143" s="1072">
        <v>4</v>
      </c>
      <c r="B1143" s="708" t="e">
        <f>IF(AND($A1249&lt;=DATE('Elec. Analysis'!$A$82, 12,1),$A1249&gt;=DATE('Elec. Analysis'!$A$82, 1, 1)), $A1249, NA())</f>
        <v>#N/A</v>
      </c>
      <c r="C1143" s="1273">
        <f ca="1">VLOOKUP(C$1069,'Elec. Analysis'!$A$81:$N$91,$A1143,FALSE)</f>
        <v>12.288850572617701</v>
      </c>
      <c r="D1143" s="1273">
        <f ca="1">VLOOKUP(D$1069,'Elec. Analysis'!$A$81:$N$91,$A1143,FALSE)</f>
        <v>14.581868000000002</v>
      </c>
      <c r="E1143" s="1273">
        <f ca="1">VLOOKUP(E$1069,'Elec. Analysis'!$A$81:$N$91,$A1143,FALSE)</f>
        <v>6.6138678388825181</v>
      </c>
      <c r="F1143" s="1273">
        <f ca="1">VLOOKUP(F$1069,'Elec. Analysis'!$A$81:$N$91,$A1143,FALSE)</f>
        <v>10.508661424130576</v>
      </c>
      <c r="G1143" s="1273">
        <f ca="1">VLOOKUP(G$1069,'Elec. Analysis'!$A$81:$N$91,$A1143,FALSE)</f>
        <v>16.2933180673412</v>
      </c>
      <c r="H1143" s="1273">
        <f ca="1">VLOOKUP(H$1069,'Elec. Analysis'!$A$81:$N$91,$A1143,FALSE)</f>
        <v>1.8746132328059373</v>
      </c>
      <c r="I1143" s="1273">
        <f ca="1">VLOOKUP(I$1069,'Elec. Analysis'!$A$81:$N$91,$A1143,FALSE)</f>
        <v>42.93489384668365</v>
      </c>
      <c r="J1143" s="1273">
        <f ca="1">VLOOKUP(J$1069,'Elec. Analysis'!$A$81:$N$91,$A1143,FALSE)</f>
        <v>5.7792000000000003</v>
      </c>
      <c r="K1143" s="1273">
        <f ca="1">VLOOKUP(K$1069,'Elec. Analysis'!$A$81:$N$91,$A1143,FALSE)</f>
        <v>5.5437636491230808</v>
      </c>
      <c r="L1143" s="1374"/>
      <c r="M1143" s="1374"/>
      <c r="N1143" s="1076">
        <v>4</v>
      </c>
      <c r="O1143" s="708" t="e">
        <f>IF(AND($A1249&lt;=DATE('NG Analysis'!$A$84, 12,1),$A1249&gt;=DATE('NG Analysis'!$A$84, 1, 1)), $A1249, NA())</f>
        <v>#N/A</v>
      </c>
      <c r="P1143" s="1273">
        <f ca="1">VLOOKUP(P$1069,'NG Analysis'!$A$83:$N$93,$N1143,FALSE)</f>
        <v>23.436</v>
      </c>
      <c r="Q1143" s="1273">
        <f ca="1">VLOOKUP(Q$1069,'NG Analysis'!$A$83:$N$93,$N1143,FALSE)</f>
        <v>21.645384041554284</v>
      </c>
      <c r="R1143" s="1273">
        <f ca="1">VLOOKUP(R$1069,'NG Analysis'!$A$83:$N$93,$N1143,FALSE)</f>
        <v>12.372592105843843</v>
      </c>
      <c r="S1143" s="1273">
        <f ca="1">VLOOKUP(S$1069,'NG Analysis'!$A$83:$N$93,$N1143,FALSE)</f>
        <v>14.323715564223139</v>
      </c>
      <c r="T1143" s="1273">
        <f ca="1">VLOOKUP(T$1069,'NG Analysis'!$A$83:$N$93,$N1143,FALSE)</f>
        <v>51.959365793357087</v>
      </c>
      <c r="U1143" s="1273">
        <f ca="1">VLOOKUP(U$1069,'NG Analysis'!$A$83:$N$93,$N1143,FALSE)</f>
        <v>7.6160000000000005</v>
      </c>
      <c r="V1143" s="1273">
        <f ca="1">VLOOKUP(V$1069,'NG Analysis'!$A$83:$N$93,$N1143,FALSE)</f>
        <v>39.609225079659645</v>
      </c>
      <c r="W1143" s="1273">
        <f ca="1">VLOOKUP(W$1069,'NG Analysis'!$A$83:$N$93,$N1143,FALSE)</f>
        <v>8.5481141292318998</v>
      </c>
      <c r="X1143" s="1439"/>
    </row>
    <row r="1144" spans="1:24" x14ac:dyDescent="0.3">
      <c r="A1144" s="1072">
        <v>5</v>
      </c>
      <c r="B1144" s="708" t="e">
        <f>IF(AND($A1250&lt;=DATE('Elec. Analysis'!$A$82, 12,1),$A1250&gt;=DATE('Elec. Analysis'!$A$82, 1, 1)), $A1250, NA())</f>
        <v>#N/A</v>
      </c>
      <c r="C1144" s="1273">
        <f ca="1">VLOOKUP(C$1069,'Elec. Analysis'!$A$81:$N$91,$A1144,FALSE)</f>
        <v>11.255044002309154</v>
      </c>
      <c r="D1144" s="1273">
        <f ca="1">VLOOKUP(D$1069,'Elec. Analysis'!$A$81:$N$91,$A1144,FALSE)</f>
        <v>16.144211000000002</v>
      </c>
      <c r="E1144" s="1273">
        <f ca="1">VLOOKUP(E$1069,'Elec. Analysis'!$A$81:$N$91,$A1144,FALSE)</f>
        <v>6.0574724309812682</v>
      </c>
      <c r="F1144" s="1273">
        <f ca="1">VLOOKUP(F$1069,'Elec. Analysis'!$A$81:$N$91,$A1144,FALSE)</f>
        <v>9.3716963955057278</v>
      </c>
      <c r="G1144" s="1273">
        <f ca="1">VLOOKUP(G$1069,'Elec. Analysis'!$A$81:$N$91,$A1144,FALSE)</f>
        <v>14.980645643015643</v>
      </c>
      <c r="H1144" s="1273">
        <f ca="1">VLOOKUP(H$1069,'Elec. Analysis'!$A$81:$N$91,$A1144,FALSE)</f>
        <v>1.7169103243516355</v>
      </c>
      <c r="I1144" s="1273">
        <f ca="1">VLOOKUP(I$1069,'Elec. Analysis'!$A$81:$N$91,$A1144,FALSE)</f>
        <v>34.199419529186834</v>
      </c>
      <c r="J1144" s="1273">
        <f ca="1">VLOOKUP(J$1069,'Elec. Analysis'!$A$81:$N$91,$A1144,FALSE)</f>
        <v>6.3983999999999996</v>
      </c>
      <c r="K1144" s="1273">
        <f ca="1">VLOOKUP(K$1069,'Elec. Analysis'!$A$81:$N$91,$A1144,FALSE)</f>
        <v>5.0061899662675131</v>
      </c>
      <c r="L1144" s="1374"/>
      <c r="M1144" s="1374"/>
      <c r="N1144" s="1076">
        <v>5</v>
      </c>
      <c r="O1144" s="708" t="e">
        <f>IF(AND($A1250&lt;=DATE('NG Analysis'!$A$84, 12,1),$A1250&gt;=DATE('NG Analysis'!$A$84, 1, 1)), $A1250, NA())</f>
        <v>#N/A</v>
      </c>
      <c r="P1144" s="1273">
        <f ca="1">VLOOKUP(P$1069,'NG Analysis'!$A$83:$N$93,$N1144,FALSE)</f>
        <v>25.946999999999999</v>
      </c>
      <c r="Q1144" s="1273">
        <f ca="1">VLOOKUP(Q$1069,'NG Analysis'!$A$83:$N$93,$N1144,FALSE)</f>
        <v>13.092799736790329</v>
      </c>
      <c r="R1144" s="1273">
        <f ca="1">VLOOKUP(R$1069,'NG Analysis'!$A$83:$N$93,$N1144,FALSE)</f>
        <v>11.73428222700306</v>
      </c>
      <c r="S1144" s="1273">
        <f ca="1">VLOOKUP(S$1069,'NG Analysis'!$A$83:$N$93,$N1144,FALSE)</f>
        <v>16.356017339480474</v>
      </c>
      <c r="T1144" s="1273">
        <f ca="1">VLOOKUP(T$1069,'NG Analysis'!$A$83:$N$93,$N1144,FALSE)</f>
        <v>50.223284876952057</v>
      </c>
      <c r="U1144" s="1273">
        <f ca="1">VLOOKUP(U$1069,'NG Analysis'!$A$83:$N$93,$N1144,FALSE)</f>
        <v>8.4320000000000004</v>
      </c>
      <c r="V1144" s="1273">
        <f ca="1">VLOOKUP(V$1069,'NG Analysis'!$A$83:$N$93,$N1144,FALSE)</f>
        <v>23.95871797431958</v>
      </c>
      <c r="W1144" s="1273">
        <f ca="1">VLOOKUP(W$1069,'NG Analysis'!$A$83:$N$93,$N1144,FALSE)</f>
        <v>7.4872051077272763</v>
      </c>
      <c r="X1144" s="1439"/>
    </row>
    <row r="1145" spans="1:24" x14ac:dyDescent="0.3">
      <c r="A1145" s="1072">
        <v>6</v>
      </c>
      <c r="B1145" s="708" t="e">
        <f>IF(AND($A1251&lt;=DATE('Elec. Analysis'!$A$82, 12,1),$A1251&gt;=DATE('Elec. Analysis'!$A$82, 1, 1)), $A1251, NA())</f>
        <v>#N/A</v>
      </c>
      <c r="C1145" s="1273">
        <f ca="1">VLOOKUP(C$1069,'Elec. Analysis'!$A$81:$N$91,$A1145,FALSE)</f>
        <v>9.9612632133702341</v>
      </c>
      <c r="D1145" s="1273">
        <f ca="1">VLOOKUP(D$1069,'Elec. Analysis'!$A$81:$N$91,$A1145,FALSE)</f>
        <v>15.623430000000003</v>
      </c>
      <c r="E1145" s="1273">
        <f ca="1">VLOOKUP(E$1069,'Elec. Analysis'!$A$81:$N$91,$A1145,FALSE)</f>
        <v>5.3611587196245809</v>
      </c>
      <c r="F1145" s="1273">
        <f ca="1">VLOOKUP(F$1069,'Elec. Analysis'!$A$81:$N$91,$A1145,FALSE)</f>
        <v>8.5873991990290754</v>
      </c>
      <c r="G1145" s="1273">
        <f ca="1">VLOOKUP(G$1069,'Elec. Analysis'!$A$81:$N$91,$A1145,FALSE)</f>
        <v>13.777703726461645</v>
      </c>
      <c r="H1145" s="1273">
        <f ca="1">VLOOKUP(H$1069,'Elec. Analysis'!$A$81:$N$91,$A1145,FALSE)</f>
        <v>1.5195494261160265</v>
      </c>
      <c r="I1145" s="1273">
        <f ca="1">VLOOKUP(I$1069,'Elec. Analysis'!$A$81:$N$91,$A1145,FALSE)</f>
        <v>31.051217137911532</v>
      </c>
      <c r="J1145" s="1273">
        <f ca="1">VLOOKUP(J$1069,'Elec. Analysis'!$A$81:$N$91,$A1145,FALSE)</f>
        <v>6.1920000000000002</v>
      </c>
      <c r="K1145" s="1273">
        <f ca="1">VLOOKUP(K$1069,'Elec. Analysis'!$A$81:$N$91,$A1145,FALSE)</f>
        <v>4.6036860711256553</v>
      </c>
      <c r="L1145" s="1374"/>
      <c r="M1145" s="1374"/>
      <c r="N1145" s="1076">
        <v>6</v>
      </c>
      <c r="O1145" s="708" t="e">
        <f>IF(AND($A1251&lt;=DATE('NG Analysis'!$A$84, 12,1),$A1251&gt;=DATE('NG Analysis'!$A$84, 1, 1)), $A1251, NA())</f>
        <v>#N/A</v>
      </c>
      <c r="P1145" s="1273">
        <f ca="1">VLOOKUP(P$1069,'NG Analysis'!$A$83:$N$93,$N1145,FALSE)</f>
        <v>25.11</v>
      </c>
      <c r="Q1145" s="1273">
        <f ca="1">VLOOKUP(Q$1069,'NG Analysis'!$A$83:$N$93,$N1145,FALSE)</f>
        <v>7.9526381107213826</v>
      </c>
      <c r="R1145" s="1273">
        <f ca="1">VLOOKUP(R$1069,'NG Analysis'!$A$83:$N$93,$N1145,FALSE)</f>
        <v>7.9700690164135626</v>
      </c>
      <c r="S1145" s="1273">
        <f ca="1">VLOOKUP(S$1069,'NG Analysis'!$A$83:$N$93,$N1145,FALSE)</f>
        <v>10.951243499262032</v>
      </c>
      <c r="T1145" s="1273">
        <f ca="1">VLOOKUP(T$1069,'NG Analysis'!$A$83:$N$93,$N1145,FALSE)</f>
        <v>27.723913317231361</v>
      </c>
      <c r="U1145" s="1273">
        <f ca="1">VLOOKUP(U$1069,'NG Analysis'!$A$83:$N$93,$N1145,FALSE)</f>
        <v>8.16</v>
      </c>
      <c r="V1145" s="1273">
        <f ca="1">VLOOKUP(V$1069,'NG Analysis'!$A$83:$N$93,$N1145,FALSE)</f>
        <v>14.552656229148779</v>
      </c>
      <c r="W1145" s="1273">
        <f ca="1">VLOOKUP(W$1069,'NG Analysis'!$A$83:$N$93,$N1145,FALSE)</f>
        <v>5.1210260086388564</v>
      </c>
      <c r="X1145" s="1439"/>
    </row>
    <row r="1146" spans="1:24" x14ac:dyDescent="0.3">
      <c r="A1146" s="1072">
        <v>7</v>
      </c>
      <c r="B1146" s="708" t="e">
        <f>IF(AND($A1252&lt;=DATE('Elec. Analysis'!$A$82, 12,1),$A1252&gt;=DATE('Elec. Analysis'!$A$82, 1, 1)), $A1252, NA())</f>
        <v>#N/A</v>
      </c>
      <c r="C1146" s="1273">
        <f ca="1">VLOOKUP(C$1069,'Elec. Analysis'!$A$81:$N$91,$A1146,FALSE)</f>
        <v>9.5978677149152052</v>
      </c>
      <c r="D1146" s="1273">
        <f ca="1">VLOOKUP(D$1069,'Elec. Analysis'!$A$81:$N$91,$A1146,FALSE)</f>
        <v>16.144211000000002</v>
      </c>
      <c r="E1146" s="1273">
        <f ca="1">VLOOKUP(E$1069,'Elec. Analysis'!$A$81:$N$91,$A1146,FALSE)</f>
        <v>5.1655790121634277</v>
      </c>
      <c r="F1146" s="1273">
        <f ca="1">VLOOKUP(F$1069,'Elec. Analysis'!$A$81:$N$91,$A1146,FALSE)</f>
        <v>8.5747875462120167</v>
      </c>
      <c r="G1146" s="1273">
        <f ca="1">VLOOKUP(G$1069,'Elec. Analysis'!$A$81:$N$91,$A1146,FALSE)</f>
        <v>13.297768511495391</v>
      </c>
      <c r="H1146" s="1273">
        <f ca="1">VLOOKUP(H$1069,'Elec. Analysis'!$A$81:$N$91,$A1146,FALSE)</f>
        <v>1.4641149486504261</v>
      </c>
      <c r="I1146" s="1273">
        <f ca="1">VLOOKUP(I$1069,'Elec. Analysis'!$A$81:$N$91,$A1146,FALSE)</f>
        <v>31.51126480928334</v>
      </c>
      <c r="J1146" s="1273">
        <f ca="1">VLOOKUP(J$1069,'Elec. Analysis'!$A$81:$N$91,$A1146,FALSE)</f>
        <v>6.3983999999999996</v>
      </c>
      <c r="K1146" s="1273">
        <f ca="1">VLOOKUP(K$1069,'Elec. Analysis'!$A$81:$N$91,$A1146,FALSE)</f>
        <v>4.607699677135991</v>
      </c>
      <c r="L1146" s="1374"/>
      <c r="M1146" s="1374"/>
      <c r="N1146" s="1076">
        <v>7</v>
      </c>
      <c r="O1146" s="708" t="e">
        <f>IF(AND($A1252&lt;=DATE('NG Analysis'!$A$84, 12,1),$A1252&gt;=DATE('NG Analysis'!$A$84, 1, 1)), $A1252, NA())</f>
        <v>#N/A</v>
      </c>
      <c r="P1146" s="1273">
        <f ca="1">VLOOKUP(P$1069,'NG Analysis'!$A$83:$N$93,$N1146,FALSE)</f>
        <v>25.946999999999999</v>
      </c>
      <c r="Q1146" s="1273">
        <f ca="1">VLOOKUP(Q$1069,'NG Analysis'!$A$83:$N$93,$N1146,FALSE)</f>
        <v>6.2225451665778353</v>
      </c>
      <c r="R1146" s="1273">
        <f ca="1">VLOOKUP(R$1069,'NG Analysis'!$A$83:$N$93,$N1146,FALSE)</f>
        <v>6.5952077365448813</v>
      </c>
      <c r="S1146" s="1273">
        <f ca="1">VLOOKUP(S$1069,'NG Analysis'!$A$83:$N$93,$N1146,FALSE)</f>
        <v>10.041854584134954</v>
      </c>
      <c r="T1146" s="1273">
        <f ca="1">VLOOKUP(T$1069,'NG Analysis'!$A$83:$N$93,$N1146,FALSE)</f>
        <v>17.151406158782095</v>
      </c>
      <c r="U1146" s="1273">
        <f ca="1">VLOOKUP(U$1069,'NG Analysis'!$A$83:$N$93,$N1146,FALSE)</f>
        <v>8.4320000000000004</v>
      </c>
      <c r="V1146" s="1273">
        <f ca="1">VLOOKUP(V$1069,'NG Analysis'!$A$83:$N$93,$N1146,FALSE)</f>
        <v>10.652104343097346</v>
      </c>
      <c r="W1146" s="1273">
        <f ca="1">VLOOKUP(W$1069,'NG Analysis'!$A$83:$N$93,$N1146,FALSE)</f>
        <v>4.2521058994568559</v>
      </c>
      <c r="X1146" s="1439"/>
    </row>
    <row r="1147" spans="1:24" x14ac:dyDescent="0.3">
      <c r="A1147" s="1072">
        <v>8</v>
      </c>
      <c r="B1147" s="708" t="e">
        <f>IF(AND($A1253&lt;=DATE('Elec. Analysis'!$A$82, 12,1),$A1253&gt;=DATE('Elec. Analysis'!$A$82, 1, 1)), $A1253, NA())</f>
        <v>#N/A</v>
      </c>
      <c r="C1147" s="1273">
        <f ca="1">VLOOKUP(C$1069,'Elec. Analysis'!$A$81:$N$91,$A1147,FALSE)</f>
        <v>9.3281989935447278</v>
      </c>
      <c r="D1147" s="1273">
        <f ca="1">VLOOKUP(D$1069,'Elec. Analysis'!$A$81:$N$91,$A1147,FALSE)</f>
        <v>15.623429999999999</v>
      </c>
      <c r="E1147" s="1273">
        <f ca="1">VLOOKUP(E$1069,'Elec. Analysis'!$A$81:$N$91,$A1147,FALSE)</f>
        <v>5.0204431206587401</v>
      </c>
      <c r="F1147" s="1273">
        <f ca="1">VLOOKUP(F$1069,'Elec. Analysis'!$A$81:$N$91,$A1147,FALSE)</f>
        <v>8.326777408853685</v>
      </c>
      <c r="G1147" s="1273">
        <f ca="1">VLOOKUP(G$1069,'Elec. Analysis'!$A$81:$N$91,$A1147,FALSE)</f>
        <v>12.922747293722241</v>
      </c>
      <c r="H1147" s="1273">
        <f ca="1">VLOOKUP(H$1069,'Elec. Analysis'!$A$81:$N$91,$A1147,FALSE)</f>
        <v>1.4229781026478086</v>
      </c>
      <c r="I1147" s="1273">
        <f ca="1">VLOOKUP(I$1069,'Elec. Analysis'!$A$81:$N$91,$A1147,FALSE)</f>
        <v>30.630694018262528</v>
      </c>
      <c r="J1147" s="1273">
        <f ca="1">VLOOKUP(J$1069,'Elec. Analysis'!$A$81:$N$91,$A1147,FALSE)</f>
        <v>6.1920000000000002</v>
      </c>
      <c r="K1147" s="1273">
        <f ca="1">VLOOKUP(K$1069,'Elec. Analysis'!$A$81:$N$91,$A1147,FALSE)</f>
        <v>4.4733634468844867</v>
      </c>
      <c r="L1147" s="1374"/>
      <c r="M1147" s="1374"/>
      <c r="N1147" s="1076">
        <v>8</v>
      </c>
      <c r="O1147" s="708" t="e">
        <f>IF(AND($A1253&lt;=DATE('NG Analysis'!$A$84, 12,1),$A1253&gt;=DATE('NG Analysis'!$A$84, 1, 1)), $A1253, NA())</f>
        <v>#N/A</v>
      </c>
      <c r="P1147" s="1273">
        <f ca="1">VLOOKUP(P$1069,'NG Analysis'!$A$83:$N$93,$N1147,FALSE)</f>
        <v>25.11</v>
      </c>
      <c r="Q1147" s="1273">
        <f ca="1">VLOOKUP(Q$1069,'NG Analysis'!$A$83:$N$93,$N1147,FALSE)</f>
        <v>3.1037296499089999</v>
      </c>
      <c r="R1147" s="1273">
        <f ca="1">VLOOKUP(R$1069,'NG Analysis'!$A$83:$N$93,$N1147,FALSE)</f>
        <v>3.9898169179856966</v>
      </c>
      <c r="S1147" s="1273">
        <f ca="1">VLOOKUP(S$1069,'NG Analysis'!$A$83:$N$93,$N1147,FALSE)</f>
        <v>6.3316742137665356</v>
      </c>
      <c r="T1147" s="1273">
        <f ca="1">VLOOKUP(T$1069,'NG Analysis'!$A$83:$N$93,$N1147,FALSE)</f>
        <v>1.366539592541357</v>
      </c>
      <c r="U1147" s="1273">
        <f ca="1">VLOOKUP(U$1069,'NG Analysis'!$A$83:$N$93,$N1147,FALSE)</f>
        <v>8.16</v>
      </c>
      <c r="V1147" s="1273">
        <f ca="1">VLOOKUP(V$1069,'NG Analysis'!$A$83:$N$93,$N1147,FALSE)</f>
        <v>0</v>
      </c>
      <c r="W1147" s="1273">
        <f ca="1">VLOOKUP(W$1069,'NG Analysis'!$A$83:$N$93,$N1147,FALSE)</f>
        <v>2.4030880187101298</v>
      </c>
      <c r="X1147" s="1439"/>
    </row>
    <row r="1148" spans="1:24" x14ac:dyDescent="0.3">
      <c r="A1148" s="1072">
        <v>9</v>
      </c>
      <c r="B1148" s="708" t="e">
        <f>IF(AND($A1254&lt;=DATE('Elec. Analysis'!$A$82, 12,1),$A1254&gt;=DATE('Elec. Analysis'!$A$82, 1, 1)), $A1254, NA())</f>
        <v>#N/A</v>
      </c>
      <c r="C1148" s="1273" t="str">
        <f ca="1">VLOOKUP(C$1069,'Elec. Analysis'!$A$81:$N$91,$A1148,FALSE)</f>
        <v/>
      </c>
      <c r="D1148" s="1273" t="str">
        <f ca="1">VLOOKUP(D$1069,'Elec. Analysis'!$A$81:$N$91,$A1148,FALSE)</f>
        <v/>
      </c>
      <c r="E1148" s="1273" t="str">
        <f ca="1">VLOOKUP(E$1069,'Elec. Analysis'!$A$81:$N$91,$A1148,FALSE)</f>
        <v/>
      </c>
      <c r="F1148" s="1273" t="str">
        <f ca="1">VLOOKUP(F$1069,'Elec. Analysis'!$A$81:$N$91,$A1148,FALSE)</f>
        <v/>
      </c>
      <c r="G1148" s="1273" t="str">
        <f ca="1">VLOOKUP(G$1069,'Elec. Analysis'!$A$81:$N$91,$A1148,FALSE)</f>
        <v/>
      </c>
      <c r="H1148" s="1273" t="str">
        <f ca="1">VLOOKUP(H$1069,'Elec. Analysis'!$A$81:$N$91,$A1148,FALSE)</f>
        <v/>
      </c>
      <c r="I1148" s="1273" t="str">
        <f ca="1">VLOOKUP(I$1069,'Elec. Analysis'!$A$81:$N$91,$A1148,FALSE)</f>
        <v/>
      </c>
      <c r="J1148" s="1273" t="str">
        <f ca="1">VLOOKUP(J$1069,'Elec. Analysis'!$A$81:$N$91,$A1148,FALSE)</f>
        <v/>
      </c>
      <c r="K1148" s="1273" t="str">
        <f ca="1">VLOOKUP(K$1069,'Elec. Analysis'!$A$81:$N$91,$A1148,FALSE)</f>
        <v/>
      </c>
      <c r="L1148" s="1514"/>
      <c r="M1148" s="1514"/>
      <c r="N1148" s="1076">
        <v>9</v>
      </c>
      <c r="O1148" s="708" t="e">
        <f>IF(AND($A1254&lt;=DATE('NG Analysis'!$A$84, 12,1),$A1254&gt;=DATE('NG Analysis'!$A$84, 1, 1)), $A1254, NA())</f>
        <v>#N/A</v>
      </c>
      <c r="P1148" s="1273" t="str">
        <f ca="1">VLOOKUP(P$1069,'NG Analysis'!$A$83:$N$93,$N1148,FALSE)</f>
        <v/>
      </c>
      <c r="Q1148" s="1273" t="str">
        <f ca="1">VLOOKUP(Q$1069,'NG Analysis'!$A$83:$N$93,$N1148,FALSE)</f>
        <v/>
      </c>
      <c r="R1148" s="1273" t="str">
        <f ca="1">VLOOKUP(R$1069,'NG Analysis'!$A$83:$N$93,$N1148,FALSE)</f>
        <v/>
      </c>
      <c r="S1148" s="1273" t="str">
        <f ca="1">VLOOKUP(S$1069,'NG Analysis'!$A$83:$N$93,$N1148,FALSE)</f>
        <v/>
      </c>
      <c r="T1148" s="1273" t="str">
        <f ca="1">VLOOKUP(T$1069,'NG Analysis'!$A$83:$N$93,$N1148,FALSE)</f>
        <v/>
      </c>
      <c r="U1148" s="1273" t="str">
        <f ca="1">VLOOKUP(U$1069,'NG Analysis'!$A$83:$N$93,$N1148,FALSE)</f>
        <v/>
      </c>
      <c r="V1148" s="1273" t="str">
        <f ca="1">VLOOKUP(V$1069,'NG Analysis'!$A$83:$N$93,$N1148,FALSE)</f>
        <v/>
      </c>
      <c r="W1148" s="1273" t="str">
        <f ca="1">VLOOKUP(W$1069,'NG Analysis'!$A$83:$N$93,$N1148,FALSE)</f>
        <v/>
      </c>
      <c r="X1148" s="1493"/>
    </row>
    <row r="1149" spans="1:24" x14ac:dyDescent="0.3">
      <c r="A1149" s="1072">
        <v>10</v>
      </c>
      <c r="B1149" s="708" t="e">
        <f>IF(AND($A1255&lt;=DATE('Elec. Analysis'!$A$82, 12,1),$A1255&gt;=DATE('Elec. Analysis'!$A$82, 1, 1)), $A1255, NA())</f>
        <v>#N/A</v>
      </c>
      <c r="C1149" s="1273" t="str">
        <f ca="1">VLOOKUP(C$1069,'Elec. Analysis'!$A$81:$N$91,$A1149,FALSE)</f>
        <v/>
      </c>
      <c r="D1149" s="1273" t="str">
        <f ca="1">VLOOKUP(D$1069,'Elec. Analysis'!$A$81:$N$91,$A1149,FALSE)</f>
        <v/>
      </c>
      <c r="E1149" s="1273" t="str">
        <f ca="1">VLOOKUP(E$1069,'Elec. Analysis'!$A$81:$N$91,$A1149,FALSE)</f>
        <v/>
      </c>
      <c r="F1149" s="1273" t="str">
        <f ca="1">VLOOKUP(F$1069,'Elec. Analysis'!$A$81:$N$91,$A1149,FALSE)</f>
        <v/>
      </c>
      <c r="G1149" s="1273" t="str">
        <f ca="1">VLOOKUP(G$1069,'Elec. Analysis'!$A$81:$N$91,$A1149,FALSE)</f>
        <v/>
      </c>
      <c r="H1149" s="1273" t="str">
        <f ca="1">VLOOKUP(H$1069,'Elec. Analysis'!$A$81:$N$91,$A1149,FALSE)</f>
        <v/>
      </c>
      <c r="I1149" s="1273" t="str">
        <f ca="1">VLOOKUP(I$1069,'Elec. Analysis'!$A$81:$N$91,$A1149,FALSE)</f>
        <v/>
      </c>
      <c r="J1149" s="1273" t="str">
        <f ca="1">VLOOKUP(J$1069,'Elec. Analysis'!$A$81:$N$91,$A1149,FALSE)</f>
        <v/>
      </c>
      <c r="K1149" s="1273" t="str">
        <f ca="1">VLOOKUP(K$1069,'Elec. Analysis'!$A$81:$N$91,$A1149,FALSE)</f>
        <v/>
      </c>
      <c r="L1149" s="1514"/>
      <c r="M1149" s="1514"/>
      <c r="N1149" s="1076">
        <v>10</v>
      </c>
      <c r="O1149" s="708" t="e">
        <f>IF(AND($A1255&lt;=DATE('NG Analysis'!$A$84, 12,1),$A1255&gt;=DATE('NG Analysis'!$A$84, 1, 1)), $A1255, NA())</f>
        <v>#N/A</v>
      </c>
      <c r="P1149" s="1273" t="str">
        <f ca="1">VLOOKUP(P$1069,'NG Analysis'!$A$83:$N$93,$N1149,FALSE)</f>
        <v/>
      </c>
      <c r="Q1149" s="1273" t="str">
        <f ca="1">VLOOKUP(Q$1069,'NG Analysis'!$A$83:$N$93,$N1149,FALSE)</f>
        <v/>
      </c>
      <c r="R1149" s="1273" t="str">
        <f ca="1">VLOOKUP(R$1069,'NG Analysis'!$A$83:$N$93,$N1149,FALSE)</f>
        <v/>
      </c>
      <c r="S1149" s="1273" t="str">
        <f ca="1">VLOOKUP(S$1069,'NG Analysis'!$A$83:$N$93,$N1149,FALSE)</f>
        <v/>
      </c>
      <c r="T1149" s="1273" t="str">
        <f ca="1">VLOOKUP(T$1069,'NG Analysis'!$A$83:$N$93,$N1149,FALSE)</f>
        <v/>
      </c>
      <c r="U1149" s="1273" t="str">
        <f ca="1">VLOOKUP(U$1069,'NG Analysis'!$A$83:$N$93,$N1149,FALSE)</f>
        <v/>
      </c>
      <c r="V1149" s="1273" t="str">
        <f ca="1">VLOOKUP(V$1069,'NG Analysis'!$A$83:$N$93,$N1149,FALSE)</f>
        <v/>
      </c>
      <c r="W1149" s="1273" t="str">
        <f ca="1">VLOOKUP(W$1069,'NG Analysis'!$A$83:$N$93,$N1149,FALSE)</f>
        <v/>
      </c>
      <c r="X1149" s="1493"/>
    </row>
    <row r="1150" spans="1:24" x14ac:dyDescent="0.3">
      <c r="A1150" s="1072">
        <v>11</v>
      </c>
      <c r="B1150" s="708" t="e">
        <f>IF(AND($A1256&lt;=DATE('Elec. Analysis'!$A$82, 12,1),$A1256&gt;=DATE('Elec. Analysis'!$A$82, 1, 1)), $A1256, NA())</f>
        <v>#N/A</v>
      </c>
      <c r="C1150" s="1273" t="str">
        <f ca="1">VLOOKUP(C$1069,'Elec. Analysis'!$A$81:$N$91,$A1150,FALSE)</f>
        <v/>
      </c>
      <c r="D1150" s="1273" t="str">
        <f ca="1">VLOOKUP(D$1069,'Elec. Analysis'!$A$81:$N$91,$A1150,FALSE)</f>
        <v/>
      </c>
      <c r="E1150" s="1273" t="str">
        <f ca="1">VLOOKUP(E$1069,'Elec. Analysis'!$A$81:$N$91,$A1150,FALSE)</f>
        <v/>
      </c>
      <c r="F1150" s="1273" t="str">
        <f ca="1">VLOOKUP(F$1069,'Elec. Analysis'!$A$81:$N$91,$A1150,FALSE)</f>
        <v/>
      </c>
      <c r="G1150" s="1273" t="str">
        <f ca="1">VLOOKUP(G$1069,'Elec. Analysis'!$A$81:$N$91,$A1150,FALSE)</f>
        <v/>
      </c>
      <c r="H1150" s="1273" t="str">
        <f ca="1">VLOOKUP(H$1069,'Elec. Analysis'!$A$81:$N$91,$A1150,FALSE)</f>
        <v/>
      </c>
      <c r="I1150" s="1273" t="str">
        <f ca="1">VLOOKUP(I$1069,'Elec. Analysis'!$A$81:$N$91,$A1150,FALSE)</f>
        <v/>
      </c>
      <c r="J1150" s="1273" t="str">
        <f ca="1">VLOOKUP(J$1069,'Elec. Analysis'!$A$81:$N$91,$A1150,FALSE)</f>
        <v/>
      </c>
      <c r="K1150" s="1273" t="str">
        <f ca="1">VLOOKUP(K$1069,'Elec. Analysis'!$A$81:$N$91,$A1150,FALSE)</f>
        <v/>
      </c>
      <c r="L1150" s="1514"/>
      <c r="M1150" s="1514"/>
      <c r="N1150" s="1076">
        <v>11</v>
      </c>
      <c r="O1150" s="708" t="e">
        <f>IF(AND($A1256&lt;=DATE('NG Analysis'!$A$84, 12,1),$A1256&gt;=DATE('NG Analysis'!$A$84, 1, 1)), $A1256, NA())</f>
        <v>#N/A</v>
      </c>
      <c r="P1150" s="1273" t="str">
        <f ca="1">VLOOKUP(P$1069,'NG Analysis'!$A$83:$N$93,$N1150,FALSE)</f>
        <v/>
      </c>
      <c r="Q1150" s="1273" t="str">
        <f ca="1">VLOOKUP(Q$1069,'NG Analysis'!$A$83:$N$93,$N1150,FALSE)</f>
        <v/>
      </c>
      <c r="R1150" s="1273" t="str">
        <f ca="1">VLOOKUP(R$1069,'NG Analysis'!$A$83:$N$93,$N1150,FALSE)</f>
        <v/>
      </c>
      <c r="S1150" s="1273" t="str">
        <f ca="1">VLOOKUP(S$1069,'NG Analysis'!$A$83:$N$93,$N1150,FALSE)</f>
        <v/>
      </c>
      <c r="T1150" s="1273" t="str">
        <f ca="1">VLOOKUP(T$1069,'NG Analysis'!$A$83:$N$93,$N1150,FALSE)</f>
        <v/>
      </c>
      <c r="U1150" s="1273" t="str">
        <f ca="1">VLOOKUP(U$1069,'NG Analysis'!$A$83:$N$93,$N1150,FALSE)</f>
        <v/>
      </c>
      <c r="V1150" s="1273" t="str">
        <f ca="1">VLOOKUP(V$1069,'NG Analysis'!$A$83:$N$93,$N1150,FALSE)</f>
        <v/>
      </c>
      <c r="W1150" s="1273" t="str">
        <f ca="1">VLOOKUP(W$1069,'NG Analysis'!$A$83:$N$93,$N1150,FALSE)</f>
        <v/>
      </c>
      <c r="X1150" s="1493"/>
    </row>
    <row r="1151" spans="1:24" x14ac:dyDescent="0.3">
      <c r="A1151" s="1072">
        <v>12</v>
      </c>
      <c r="B1151" s="708" t="e">
        <f>IF(AND($A1257&lt;=DATE('Elec. Analysis'!$A$82, 12,1),$A1257&gt;=DATE('Elec. Analysis'!$A$82, 1, 1)), $A1257, NA())</f>
        <v>#N/A</v>
      </c>
      <c r="C1151" s="1273" t="str">
        <f ca="1">VLOOKUP(C$1069,'Elec. Analysis'!$A$81:$N$91,$A1151,FALSE)</f>
        <v/>
      </c>
      <c r="D1151" s="1273" t="str">
        <f ca="1">VLOOKUP(D$1069,'Elec. Analysis'!$A$81:$N$91,$A1151,FALSE)</f>
        <v/>
      </c>
      <c r="E1151" s="1273" t="str">
        <f ca="1">VLOOKUP(E$1069,'Elec. Analysis'!$A$81:$N$91,$A1151,FALSE)</f>
        <v/>
      </c>
      <c r="F1151" s="1273" t="str">
        <f ca="1">VLOOKUP(F$1069,'Elec. Analysis'!$A$81:$N$91,$A1151,FALSE)</f>
        <v/>
      </c>
      <c r="G1151" s="1273" t="str">
        <f ca="1">VLOOKUP(G$1069,'Elec. Analysis'!$A$81:$N$91,$A1151,FALSE)</f>
        <v/>
      </c>
      <c r="H1151" s="1273" t="str">
        <f ca="1">VLOOKUP(H$1069,'Elec. Analysis'!$A$81:$N$91,$A1151,FALSE)</f>
        <v/>
      </c>
      <c r="I1151" s="1273" t="str">
        <f ca="1">VLOOKUP(I$1069,'Elec. Analysis'!$A$81:$N$91,$A1151,FALSE)</f>
        <v/>
      </c>
      <c r="J1151" s="1273" t="str">
        <f ca="1">VLOOKUP(J$1069,'Elec. Analysis'!$A$81:$N$91,$A1151,FALSE)</f>
        <v/>
      </c>
      <c r="K1151" s="1273" t="str">
        <f ca="1">VLOOKUP(K$1069,'Elec. Analysis'!$A$81:$N$91,$A1151,FALSE)</f>
        <v/>
      </c>
      <c r="L1151" s="1374"/>
      <c r="M1151" s="1374"/>
      <c r="N1151" s="1076">
        <v>12</v>
      </c>
      <c r="O1151" s="708" t="e">
        <f>IF(AND($A1257&lt;=DATE('NG Analysis'!$A$84, 12,1),$A1257&gt;=DATE('NG Analysis'!$A$84, 1, 1)), $A1257, NA())</f>
        <v>#N/A</v>
      </c>
      <c r="P1151" s="1273" t="str">
        <f ca="1">VLOOKUP(P$1069,'NG Analysis'!$A$83:$N$93,$N1151,FALSE)</f>
        <v/>
      </c>
      <c r="Q1151" s="1273" t="str">
        <f ca="1">VLOOKUP(Q$1069,'NG Analysis'!$A$83:$N$93,$N1151,FALSE)</f>
        <v/>
      </c>
      <c r="R1151" s="1273" t="str">
        <f ca="1">VLOOKUP(R$1069,'NG Analysis'!$A$83:$N$93,$N1151,FALSE)</f>
        <v/>
      </c>
      <c r="S1151" s="1273" t="str">
        <f ca="1">VLOOKUP(S$1069,'NG Analysis'!$A$83:$N$93,$N1151,FALSE)</f>
        <v/>
      </c>
      <c r="T1151" s="1273" t="str">
        <f ca="1">VLOOKUP(T$1069,'NG Analysis'!$A$83:$N$93,$N1151,FALSE)</f>
        <v/>
      </c>
      <c r="U1151" s="1273" t="str">
        <f ca="1">VLOOKUP(U$1069,'NG Analysis'!$A$83:$N$93,$N1151,FALSE)</f>
        <v/>
      </c>
      <c r="V1151" s="1273" t="str">
        <f ca="1">VLOOKUP(V$1069,'NG Analysis'!$A$83:$N$93,$N1151,FALSE)</f>
        <v/>
      </c>
      <c r="W1151" s="1273" t="str">
        <f ca="1">VLOOKUP(W$1069,'NG Analysis'!$A$83:$N$93,$N1151,FALSE)</f>
        <v/>
      </c>
      <c r="X1151" s="1439"/>
    </row>
    <row r="1152" spans="1:24" x14ac:dyDescent="0.3">
      <c r="A1152" s="1072">
        <v>13</v>
      </c>
      <c r="B1152" s="708" t="e">
        <f>IF(AND($A1258&lt;=DATE('Elec. Analysis'!$A$82, 12,1),$A1258&gt;=DATE('Elec. Analysis'!$A$82, 1, 1)), $A1258, NA())</f>
        <v>#N/A</v>
      </c>
      <c r="C1152" s="1273" t="str">
        <f ca="1">VLOOKUP(C$1069,'Elec. Analysis'!$A$81:$N$91,$A1152,FALSE)</f>
        <v/>
      </c>
      <c r="D1152" s="1273" t="str">
        <f ca="1">VLOOKUP(D$1069,'Elec. Analysis'!$A$81:$N$91,$A1152,FALSE)</f>
        <v/>
      </c>
      <c r="E1152" s="1273" t="str">
        <f ca="1">VLOOKUP(E$1069,'Elec. Analysis'!$A$81:$N$91,$A1152,FALSE)</f>
        <v/>
      </c>
      <c r="F1152" s="1273" t="str">
        <f ca="1">VLOOKUP(F$1069,'Elec. Analysis'!$A$81:$N$91,$A1152,FALSE)</f>
        <v/>
      </c>
      <c r="G1152" s="1273" t="str">
        <f ca="1">VLOOKUP(G$1069,'Elec. Analysis'!$A$81:$N$91,$A1152,FALSE)</f>
        <v/>
      </c>
      <c r="H1152" s="1273" t="str">
        <f ca="1">VLOOKUP(H$1069,'Elec. Analysis'!$A$81:$N$91,$A1152,FALSE)</f>
        <v/>
      </c>
      <c r="I1152" s="1273" t="str">
        <f ca="1">VLOOKUP(I$1069,'Elec. Analysis'!$A$81:$N$91,$A1152,FALSE)</f>
        <v/>
      </c>
      <c r="J1152" s="1273" t="str">
        <f ca="1">VLOOKUP(J$1069,'Elec. Analysis'!$A$81:$N$91,$A1152,FALSE)</f>
        <v/>
      </c>
      <c r="K1152" s="1273" t="str">
        <f ca="1">VLOOKUP(K$1069,'Elec. Analysis'!$A$81:$N$91,$A1152,FALSE)</f>
        <v/>
      </c>
      <c r="L1152" s="1374"/>
      <c r="M1152" s="1374"/>
      <c r="N1152" s="1076">
        <v>13</v>
      </c>
      <c r="O1152" s="708" t="e">
        <f>IF(AND($A1258&lt;=DATE('NG Analysis'!$A$84, 12,1),$A1258&gt;=DATE('NG Analysis'!$A$84, 1, 1)), $A1258, NA())</f>
        <v>#N/A</v>
      </c>
      <c r="P1152" s="1273" t="str">
        <f ca="1">VLOOKUP(P$1069,'NG Analysis'!$A$83:$N$93,$N1152,FALSE)</f>
        <v/>
      </c>
      <c r="Q1152" s="1273" t="str">
        <f ca="1">VLOOKUP(Q$1069,'NG Analysis'!$A$83:$N$93,$N1152,FALSE)</f>
        <v/>
      </c>
      <c r="R1152" s="1273" t="str">
        <f ca="1">VLOOKUP(R$1069,'NG Analysis'!$A$83:$N$93,$N1152,FALSE)</f>
        <v/>
      </c>
      <c r="S1152" s="1273" t="str">
        <f ca="1">VLOOKUP(S$1069,'NG Analysis'!$A$83:$N$93,$N1152,FALSE)</f>
        <v/>
      </c>
      <c r="T1152" s="1273" t="str">
        <f ca="1">VLOOKUP(T$1069,'NG Analysis'!$A$83:$N$93,$N1152,FALSE)</f>
        <v/>
      </c>
      <c r="U1152" s="1273" t="str">
        <f ca="1">VLOOKUP(U$1069,'NG Analysis'!$A$83:$N$93,$N1152,FALSE)</f>
        <v/>
      </c>
      <c r="V1152" s="1273" t="str">
        <f ca="1">VLOOKUP(V$1069,'NG Analysis'!$A$83:$N$93,$N1152,FALSE)</f>
        <v/>
      </c>
      <c r="W1152" s="1273" t="str">
        <f ca="1">VLOOKUP(W$1069,'NG Analysis'!$A$83:$N$93,$N1152,FALSE)</f>
        <v/>
      </c>
      <c r="X1152" s="1439"/>
    </row>
    <row r="1153" spans="1:24" x14ac:dyDescent="0.3">
      <c r="A1153" s="1072">
        <v>14</v>
      </c>
      <c r="B1153" s="708" t="e">
        <f>IF(AND($A1259&lt;=DATE('Elec. Analysis'!$A$82, 12,1),$A1259&gt;=DATE('Elec. Analysis'!$A$82, 1, 1)), $A1259, NA())</f>
        <v>#N/A</v>
      </c>
      <c r="C1153" s="1273" t="str">
        <f ca="1">VLOOKUP(C$1069,'Elec. Analysis'!$A$81:$N$91,$A1153,FALSE)</f>
        <v/>
      </c>
      <c r="D1153" s="1273" t="str">
        <f ca="1">VLOOKUP(D$1069,'Elec. Analysis'!$A$81:$N$91,$A1153,FALSE)</f>
        <v/>
      </c>
      <c r="E1153" s="1273" t="str">
        <f ca="1">VLOOKUP(E$1069,'Elec. Analysis'!$A$81:$N$91,$A1153,FALSE)</f>
        <v/>
      </c>
      <c r="F1153" s="1273" t="str">
        <f ca="1">VLOOKUP(F$1069,'Elec. Analysis'!$A$81:$N$91,$A1153,FALSE)</f>
        <v/>
      </c>
      <c r="G1153" s="1273" t="str">
        <f ca="1">VLOOKUP(G$1069,'Elec. Analysis'!$A$81:$N$91,$A1153,FALSE)</f>
        <v/>
      </c>
      <c r="H1153" s="1273" t="str">
        <f ca="1">VLOOKUP(H$1069,'Elec. Analysis'!$A$81:$N$91,$A1153,FALSE)</f>
        <v/>
      </c>
      <c r="I1153" s="1273" t="str">
        <f ca="1">VLOOKUP(I$1069,'Elec. Analysis'!$A$81:$N$91,$A1153,FALSE)</f>
        <v/>
      </c>
      <c r="J1153" s="1273" t="str">
        <f ca="1">VLOOKUP(J$1069,'Elec. Analysis'!$A$81:$N$91,$A1153,FALSE)</f>
        <v/>
      </c>
      <c r="K1153" s="1273" t="str">
        <f ca="1">VLOOKUP(K$1069,'Elec. Analysis'!$A$81:$N$91,$A1153,FALSE)</f>
        <v/>
      </c>
      <c r="L1153" s="1374"/>
      <c r="M1153" s="1374"/>
      <c r="N1153" s="1076">
        <v>14</v>
      </c>
      <c r="O1153" s="708" t="e">
        <f>IF(AND($A1259&lt;=DATE('NG Analysis'!$A$84, 12,1),$A1259&gt;=DATE('NG Analysis'!$A$84, 1, 1)), $A1259, NA())</f>
        <v>#N/A</v>
      </c>
      <c r="P1153" s="1273" t="str">
        <f ca="1">VLOOKUP(P$1069,'NG Analysis'!$A$83:$N$93,$N1153,FALSE)</f>
        <v/>
      </c>
      <c r="Q1153" s="1273" t="str">
        <f ca="1">VLOOKUP(Q$1069,'NG Analysis'!$A$83:$N$93,$N1153,FALSE)</f>
        <v/>
      </c>
      <c r="R1153" s="1273" t="str">
        <f ca="1">VLOOKUP(R$1069,'NG Analysis'!$A$83:$N$93,$N1153,FALSE)</f>
        <v/>
      </c>
      <c r="S1153" s="1273" t="str">
        <f ca="1">VLOOKUP(S$1069,'NG Analysis'!$A$83:$N$93,$N1153,FALSE)</f>
        <v/>
      </c>
      <c r="T1153" s="1273" t="str">
        <f ca="1">VLOOKUP(T$1069,'NG Analysis'!$A$83:$N$93,$N1153,FALSE)</f>
        <v/>
      </c>
      <c r="U1153" s="1273" t="str">
        <f ca="1">VLOOKUP(U$1069,'NG Analysis'!$A$83:$N$93,$N1153,FALSE)</f>
        <v/>
      </c>
      <c r="V1153" s="1273" t="str">
        <f ca="1">VLOOKUP(V$1069,'NG Analysis'!$A$83:$N$93,$N1153,FALSE)</f>
        <v/>
      </c>
      <c r="W1153" s="1273" t="str">
        <f ca="1">VLOOKUP(W$1069,'NG Analysis'!$A$83:$N$93,$N1153,FALSE)</f>
        <v/>
      </c>
      <c r="X1153" s="1439"/>
    </row>
    <row r="1154" spans="1:24" x14ac:dyDescent="0.3">
      <c r="A1154" s="1072">
        <v>3</v>
      </c>
      <c r="B1154" s="708">
        <f>IF(AND($A1260&lt;=DATE('Elec. Analysis'!$A$82, 12,1),$A1260&gt;=DATE('Elec. Analysis'!$A$82, 1, 1)), $A1260, NA())</f>
        <v>43466</v>
      </c>
      <c r="C1154" s="1273">
        <f ca="1">VLOOKUP(C$1069,'Elec. Analysis'!$A$81:$N$91,$A1154,FALSE)</f>
        <v>11.756793629373167</v>
      </c>
      <c r="D1154" s="1273">
        <f ca="1">VLOOKUP(D$1069,'Elec. Analysis'!$A$81:$N$91,$A1154,FALSE)</f>
        <v>16.144211000000002</v>
      </c>
      <c r="E1154" s="1273">
        <f ca="1">VLOOKUP(E$1069,'Elec. Analysis'!$A$81:$N$91,$A1154,FALSE)</f>
        <v>6.3275144257146358</v>
      </c>
      <c r="F1154" s="1273">
        <f ca="1">VLOOKUP(F$1069,'Elec. Analysis'!$A$81:$N$91,$A1154,FALSE)</f>
        <v>10.302466363166253</v>
      </c>
      <c r="G1154" s="1273">
        <f ca="1">VLOOKUP(G$1069,'Elec. Analysis'!$A$81:$N$91,$A1154,FALSE)</f>
        <v>15.633512574909027</v>
      </c>
      <c r="H1154" s="1273">
        <f ca="1">VLOOKUP(H$1069,'Elec. Analysis'!$A$81:$N$91,$A1154,FALSE)</f>
        <v>1.7934501508302387</v>
      </c>
      <c r="I1154" s="1273">
        <f ca="1">VLOOKUP(I$1069,'Elec. Analysis'!$A$81:$N$91,$A1154,FALSE)</f>
        <v>41.075988634710761</v>
      </c>
      <c r="J1154" s="1273">
        <f ca="1">VLOOKUP(J$1069,'Elec. Analysis'!$A$81:$N$91,$A1154,FALSE)</f>
        <v>6.3983999999999996</v>
      </c>
      <c r="K1154" s="1273">
        <f ca="1">VLOOKUP(K$1069,'Elec. Analysis'!$A$81:$N$91,$A1154,FALSE)</f>
        <v>5.4716168389352049</v>
      </c>
      <c r="L1154" s="1374"/>
      <c r="M1154" s="1374"/>
      <c r="N1154" s="1076">
        <v>3</v>
      </c>
      <c r="O1154" s="708">
        <f>IF(AND($A1260&lt;=DATE('NG Analysis'!$A$84, 12,1),$A1260&gt;=DATE('NG Analysis'!$A$84, 1, 1)), $A1260, NA())</f>
        <v>43466</v>
      </c>
      <c r="P1154" s="1273">
        <f ca="1">VLOOKUP(P$1069,'NG Analysis'!$A$83:$N$93,$N1154,FALSE)</f>
        <v>25.946999999999999</v>
      </c>
      <c r="Q1154" s="1273">
        <f ca="1">VLOOKUP(Q$1069,'NG Analysis'!$A$83:$N$93,$N1154,FALSE)</f>
        <v>13.961815841257177</v>
      </c>
      <c r="R1154" s="1273">
        <f ca="1">VLOOKUP(R$1069,'NG Analysis'!$A$83:$N$93,$N1154,FALSE)</f>
        <v>8.1124896049438657</v>
      </c>
      <c r="S1154" s="1273">
        <f ca="1">VLOOKUP(S$1069,'NG Analysis'!$A$83:$N$93,$N1154,FALSE)</f>
        <v>7.5956320197913003</v>
      </c>
      <c r="T1154" s="1273">
        <f ca="1">VLOOKUP(T$1069,'NG Analysis'!$A$83:$N$93,$N1154,FALSE)</f>
        <v>25.515260554287845</v>
      </c>
      <c r="U1154" s="1273">
        <f ca="1">VLOOKUP(U$1069,'NG Analysis'!$A$83:$N$93,$N1154,FALSE)</f>
        <v>8.4320000000000004</v>
      </c>
      <c r="V1154" s="1273">
        <f ca="1">VLOOKUP(V$1069,'NG Analysis'!$A$83:$N$93,$N1154,FALSE)</f>
        <v>25.548944066570733</v>
      </c>
      <c r="W1154" s="1273">
        <f ca="1">VLOOKUP(W$1069,'NG Analysis'!$A$83:$N$93,$N1154,FALSE)</f>
        <v>5.7556571043425464</v>
      </c>
      <c r="X1154" s="1439"/>
    </row>
    <row r="1155" spans="1:24" x14ac:dyDescent="0.3">
      <c r="A1155" s="1072">
        <v>4</v>
      </c>
      <c r="B1155" s="708">
        <f>IF(AND($A1261&lt;=DATE('Elec. Analysis'!$A$82, 12,1),$A1261&gt;=DATE('Elec. Analysis'!$A$82, 1, 1)), $A1261, NA())</f>
        <v>43497</v>
      </c>
      <c r="C1155" s="1273">
        <f ca="1">VLOOKUP(C$1069,'Elec. Analysis'!$A$81:$N$91,$A1155,FALSE)</f>
        <v>12.288850572617701</v>
      </c>
      <c r="D1155" s="1273">
        <f ca="1">VLOOKUP(D$1069,'Elec. Analysis'!$A$81:$N$91,$A1155,FALSE)</f>
        <v>14.581868000000002</v>
      </c>
      <c r="E1155" s="1273">
        <f ca="1">VLOOKUP(E$1069,'Elec. Analysis'!$A$81:$N$91,$A1155,FALSE)</f>
        <v>6.6138678388825181</v>
      </c>
      <c r="F1155" s="1273">
        <f ca="1">VLOOKUP(F$1069,'Elec. Analysis'!$A$81:$N$91,$A1155,FALSE)</f>
        <v>10.508661424130576</v>
      </c>
      <c r="G1155" s="1273">
        <f ca="1">VLOOKUP(G$1069,'Elec. Analysis'!$A$81:$N$91,$A1155,FALSE)</f>
        <v>16.2933180673412</v>
      </c>
      <c r="H1155" s="1273">
        <f ca="1">VLOOKUP(H$1069,'Elec. Analysis'!$A$81:$N$91,$A1155,FALSE)</f>
        <v>1.8746132328059373</v>
      </c>
      <c r="I1155" s="1273">
        <f ca="1">VLOOKUP(I$1069,'Elec. Analysis'!$A$81:$N$91,$A1155,FALSE)</f>
        <v>42.93489384668365</v>
      </c>
      <c r="J1155" s="1273">
        <f ca="1">VLOOKUP(J$1069,'Elec. Analysis'!$A$81:$N$91,$A1155,FALSE)</f>
        <v>5.7792000000000003</v>
      </c>
      <c r="K1155" s="1273">
        <f ca="1">VLOOKUP(K$1069,'Elec. Analysis'!$A$81:$N$91,$A1155,FALSE)</f>
        <v>5.5437636491230808</v>
      </c>
      <c r="L1155" s="1374"/>
      <c r="M1155" s="1374"/>
      <c r="N1155" s="1076">
        <v>4</v>
      </c>
      <c r="O1155" s="708">
        <f>IF(AND($A1261&lt;=DATE('NG Analysis'!$A$84, 12,1),$A1261&gt;=DATE('NG Analysis'!$A$84, 1, 1)), $A1261, NA())</f>
        <v>43497</v>
      </c>
      <c r="P1155" s="1273">
        <f ca="1">VLOOKUP(P$1069,'NG Analysis'!$A$83:$N$93,$N1155,FALSE)</f>
        <v>23.436</v>
      </c>
      <c r="Q1155" s="1273">
        <f ca="1">VLOOKUP(Q$1069,'NG Analysis'!$A$83:$N$93,$N1155,FALSE)</f>
        <v>21.645384041554284</v>
      </c>
      <c r="R1155" s="1273">
        <f ca="1">VLOOKUP(R$1069,'NG Analysis'!$A$83:$N$93,$N1155,FALSE)</f>
        <v>12.372592105843843</v>
      </c>
      <c r="S1155" s="1273">
        <f ca="1">VLOOKUP(S$1069,'NG Analysis'!$A$83:$N$93,$N1155,FALSE)</f>
        <v>14.323715564223139</v>
      </c>
      <c r="T1155" s="1273">
        <f ca="1">VLOOKUP(T$1069,'NG Analysis'!$A$83:$N$93,$N1155,FALSE)</f>
        <v>51.959365793357087</v>
      </c>
      <c r="U1155" s="1273">
        <f ca="1">VLOOKUP(U$1069,'NG Analysis'!$A$83:$N$93,$N1155,FALSE)</f>
        <v>7.6160000000000005</v>
      </c>
      <c r="V1155" s="1273">
        <f ca="1">VLOOKUP(V$1069,'NG Analysis'!$A$83:$N$93,$N1155,FALSE)</f>
        <v>39.609225079659645</v>
      </c>
      <c r="W1155" s="1273">
        <f ca="1">VLOOKUP(W$1069,'NG Analysis'!$A$83:$N$93,$N1155,FALSE)</f>
        <v>8.5481141292318998</v>
      </c>
      <c r="X1155" s="1439"/>
    </row>
    <row r="1156" spans="1:24" x14ac:dyDescent="0.3">
      <c r="A1156" s="1072">
        <v>5</v>
      </c>
      <c r="B1156" s="708">
        <f>IF(AND($A1262&lt;=DATE('Elec. Analysis'!$A$82, 12,1),$A1262&gt;=DATE('Elec. Analysis'!$A$82, 1, 1)), $A1262, NA())</f>
        <v>43525</v>
      </c>
      <c r="C1156" s="1273">
        <f ca="1">VLOOKUP(C$1069,'Elec. Analysis'!$A$81:$N$91,$A1156,FALSE)</f>
        <v>11.255044002309154</v>
      </c>
      <c r="D1156" s="1273">
        <f ca="1">VLOOKUP(D$1069,'Elec. Analysis'!$A$81:$N$91,$A1156,FALSE)</f>
        <v>16.144211000000002</v>
      </c>
      <c r="E1156" s="1273">
        <f ca="1">VLOOKUP(E$1069,'Elec. Analysis'!$A$81:$N$91,$A1156,FALSE)</f>
        <v>6.0574724309812682</v>
      </c>
      <c r="F1156" s="1273">
        <f ca="1">VLOOKUP(F$1069,'Elec. Analysis'!$A$81:$N$91,$A1156,FALSE)</f>
        <v>9.3716963955057278</v>
      </c>
      <c r="G1156" s="1273">
        <f ca="1">VLOOKUP(G$1069,'Elec. Analysis'!$A$81:$N$91,$A1156,FALSE)</f>
        <v>14.980645643015643</v>
      </c>
      <c r="H1156" s="1273">
        <f ca="1">VLOOKUP(H$1069,'Elec. Analysis'!$A$81:$N$91,$A1156,FALSE)</f>
        <v>1.7169103243516355</v>
      </c>
      <c r="I1156" s="1273">
        <f ca="1">VLOOKUP(I$1069,'Elec. Analysis'!$A$81:$N$91,$A1156,FALSE)</f>
        <v>34.199419529186834</v>
      </c>
      <c r="J1156" s="1273">
        <f ca="1">VLOOKUP(J$1069,'Elec. Analysis'!$A$81:$N$91,$A1156,FALSE)</f>
        <v>6.3983999999999996</v>
      </c>
      <c r="K1156" s="1273">
        <f ca="1">VLOOKUP(K$1069,'Elec. Analysis'!$A$81:$N$91,$A1156,FALSE)</f>
        <v>5.0061899662675131</v>
      </c>
      <c r="L1156" s="1374"/>
      <c r="M1156" s="1374"/>
      <c r="N1156" s="1076">
        <v>5</v>
      </c>
      <c r="O1156" s="708">
        <f>IF(AND($A1262&lt;=DATE('NG Analysis'!$A$84, 12,1),$A1262&gt;=DATE('NG Analysis'!$A$84, 1, 1)), $A1262, NA())</f>
        <v>43525</v>
      </c>
      <c r="P1156" s="1273">
        <f ca="1">VLOOKUP(P$1069,'NG Analysis'!$A$83:$N$93,$N1156,FALSE)</f>
        <v>25.946999999999999</v>
      </c>
      <c r="Q1156" s="1273">
        <f ca="1">VLOOKUP(Q$1069,'NG Analysis'!$A$83:$N$93,$N1156,FALSE)</f>
        <v>13.092799736790329</v>
      </c>
      <c r="R1156" s="1273">
        <f ca="1">VLOOKUP(R$1069,'NG Analysis'!$A$83:$N$93,$N1156,FALSE)</f>
        <v>11.73428222700306</v>
      </c>
      <c r="S1156" s="1273">
        <f ca="1">VLOOKUP(S$1069,'NG Analysis'!$A$83:$N$93,$N1156,FALSE)</f>
        <v>16.356017339480474</v>
      </c>
      <c r="T1156" s="1273">
        <f ca="1">VLOOKUP(T$1069,'NG Analysis'!$A$83:$N$93,$N1156,FALSE)</f>
        <v>50.223284876952057</v>
      </c>
      <c r="U1156" s="1273">
        <f ca="1">VLOOKUP(U$1069,'NG Analysis'!$A$83:$N$93,$N1156,FALSE)</f>
        <v>8.4320000000000004</v>
      </c>
      <c r="V1156" s="1273">
        <f ca="1">VLOOKUP(V$1069,'NG Analysis'!$A$83:$N$93,$N1156,FALSE)</f>
        <v>23.95871797431958</v>
      </c>
      <c r="W1156" s="1273">
        <f ca="1">VLOOKUP(W$1069,'NG Analysis'!$A$83:$N$93,$N1156,FALSE)</f>
        <v>7.4872051077272763</v>
      </c>
      <c r="X1156" s="1439"/>
    </row>
    <row r="1157" spans="1:24" x14ac:dyDescent="0.3">
      <c r="A1157" s="1072">
        <v>6</v>
      </c>
      <c r="B1157" s="708">
        <f>IF(AND($A1263&lt;=DATE('Elec. Analysis'!$A$82, 12,1),$A1263&gt;=DATE('Elec. Analysis'!$A$82, 1, 1)), $A1263, NA())</f>
        <v>43556</v>
      </c>
      <c r="C1157" s="1273">
        <f ca="1">VLOOKUP(C$1069,'Elec. Analysis'!$A$81:$N$91,$A1157,FALSE)</f>
        <v>9.9612632133702341</v>
      </c>
      <c r="D1157" s="1273">
        <f ca="1">VLOOKUP(D$1069,'Elec. Analysis'!$A$81:$N$91,$A1157,FALSE)</f>
        <v>15.623430000000003</v>
      </c>
      <c r="E1157" s="1273">
        <f ca="1">VLOOKUP(E$1069,'Elec. Analysis'!$A$81:$N$91,$A1157,FALSE)</f>
        <v>5.3611587196245809</v>
      </c>
      <c r="F1157" s="1273">
        <f ca="1">VLOOKUP(F$1069,'Elec. Analysis'!$A$81:$N$91,$A1157,FALSE)</f>
        <v>8.5873991990290754</v>
      </c>
      <c r="G1157" s="1273">
        <f ca="1">VLOOKUP(G$1069,'Elec. Analysis'!$A$81:$N$91,$A1157,FALSE)</f>
        <v>13.777703726461645</v>
      </c>
      <c r="H1157" s="1273">
        <f ca="1">VLOOKUP(H$1069,'Elec. Analysis'!$A$81:$N$91,$A1157,FALSE)</f>
        <v>1.5195494261160265</v>
      </c>
      <c r="I1157" s="1273">
        <f ca="1">VLOOKUP(I$1069,'Elec. Analysis'!$A$81:$N$91,$A1157,FALSE)</f>
        <v>31.051217137911532</v>
      </c>
      <c r="J1157" s="1273">
        <f ca="1">VLOOKUP(J$1069,'Elec. Analysis'!$A$81:$N$91,$A1157,FALSE)</f>
        <v>6.1920000000000002</v>
      </c>
      <c r="K1157" s="1273">
        <f ca="1">VLOOKUP(K$1069,'Elec. Analysis'!$A$81:$N$91,$A1157,FALSE)</f>
        <v>4.6036860711256553</v>
      </c>
      <c r="L1157" s="1609"/>
      <c r="M1157" s="1609"/>
      <c r="N1157" s="1076">
        <v>6</v>
      </c>
      <c r="O1157" s="708">
        <f>IF(AND($A1263&lt;=DATE('NG Analysis'!$A$84, 12,1),$A1263&gt;=DATE('NG Analysis'!$A$84, 1, 1)), $A1263, NA())</f>
        <v>43556</v>
      </c>
      <c r="P1157" s="1273">
        <f ca="1">VLOOKUP(P$1069,'NG Analysis'!$A$83:$N$93,$N1157,FALSE)</f>
        <v>25.11</v>
      </c>
      <c r="Q1157" s="1273">
        <f ca="1">VLOOKUP(Q$1069,'NG Analysis'!$A$83:$N$93,$N1157,FALSE)</f>
        <v>7.9526381107213826</v>
      </c>
      <c r="R1157" s="1273">
        <f ca="1">VLOOKUP(R$1069,'NG Analysis'!$A$83:$N$93,$N1157,FALSE)</f>
        <v>7.9700690164135626</v>
      </c>
      <c r="S1157" s="1273">
        <f ca="1">VLOOKUP(S$1069,'NG Analysis'!$A$83:$N$93,$N1157,FALSE)</f>
        <v>10.951243499262032</v>
      </c>
      <c r="T1157" s="1273">
        <f ca="1">VLOOKUP(T$1069,'NG Analysis'!$A$83:$N$93,$N1157,FALSE)</f>
        <v>27.723913317231361</v>
      </c>
      <c r="U1157" s="1273">
        <f ca="1">VLOOKUP(U$1069,'NG Analysis'!$A$83:$N$93,$N1157,FALSE)</f>
        <v>8.16</v>
      </c>
      <c r="V1157" s="1273">
        <f ca="1">VLOOKUP(V$1069,'NG Analysis'!$A$83:$N$93,$N1157,FALSE)</f>
        <v>14.552656229148779</v>
      </c>
      <c r="W1157" s="1273">
        <f ca="1">VLOOKUP(W$1069,'NG Analysis'!$A$83:$N$93,$N1157,FALSE)</f>
        <v>5.1210260086388564</v>
      </c>
      <c r="X1157" s="1493"/>
    </row>
    <row r="1158" spans="1:24" x14ac:dyDescent="0.3">
      <c r="A1158" s="1072">
        <v>7</v>
      </c>
      <c r="B1158" s="708">
        <f>IF(AND($A1264&lt;=DATE('Elec. Analysis'!$A$82, 12,1),$A1264&gt;=DATE('Elec. Analysis'!$A$82, 1, 1)), $A1264, NA())</f>
        <v>43586</v>
      </c>
      <c r="C1158" s="1273">
        <f ca="1">VLOOKUP(C$1069,'Elec. Analysis'!$A$81:$N$91,$A1158,FALSE)</f>
        <v>9.5978677149152052</v>
      </c>
      <c r="D1158" s="1273">
        <f ca="1">VLOOKUP(D$1069,'Elec. Analysis'!$A$81:$N$91,$A1158,FALSE)</f>
        <v>16.144211000000002</v>
      </c>
      <c r="E1158" s="1273">
        <f ca="1">VLOOKUP(E$1069,'Elec. Analysis'!$A$81:$N$91,$A1158,FALSE)</f>
        <v>5.1655790121634277</v>
      </c>
      <c r="F1158" s="1273">
        <f ca="1">VLOOKUP(F$1069,'Elec. Analysis'!$A$81:$N$91,$A1158,FALSE)</f>
        <v>8.5747875462120167</v>
      </c>
      <c r="G1158" s="1273">
        <f ca="1">VLOOKUP(G$1069,'Elec. Analysis'!$A$81:$N$91,$A1158,FALSE)</f>
        <v>13.297768511495391</v>
      </c>
      <c r="H1158" s="1273">
        <f ca="1">VLOOKUP(H$1069,'Elec. Analysis'!$A$81:$N$91,$A1158,FALSE)</f>
        <v>1.4641149486504261</v>
      </c>
      <c r="I1158" s="1273">
        <f ca="1">VLOOKUP(I$1069,'Elec. Analysis'!$A$81:$N$91,$A1158,FALSE)</f>
        <v>31.51126480928334</v>
      </c>
      <c r="J1158" s="1273">
        <f ca="1">VLOOKUP(J$1069,'Elec. Analysis'!$A$81:$N$91,$A1158,FALSE)</f>
        <v>6.3983999999999996</v>
      </c>
      <c r="K1158" s="1273">
        <f ca="1">VLOOKUP(K$1069,'Elec. Analysis'!$A$81:$N$91,$A1158,FALSE)</f>
        <v>4.607699677135991</v>
      </c>
      <c r="L1158" s="1609"/>
      <c r="M1158" s="1609"/>
      <c r="N1158" s="1076">
        <v>7</v>
      </c>
      <c r="O1158" s="708">
        <f>IF(AND($A1264&lt;=DATE('NG Analysis'!$A$84, 12,1),$A1264&gt;=DATE('NG Analysis'!$A$84, 1, 1)), $A1264, NA())</f>
        <v>43586</v>
      </c>
      <c r="P1158" s="1273">
        <f ca="1">VLOOKUP(P$1069,'NG Analysis'!$A$83:$N$93,$N1158,FALSE)</f>
        <v>25.946999999999999</v>
      </c>
      <c r="Q1158" s="1273">
        <f ca="1">VLOOKUP(Q$1069,'NG Analysis'!$A$83:$N$93,$N1158,FALSE)</f>
        <v>6.2225451665778353</v>
      </c>
      <c r="R1158" s="1273">
        <f ca="1">VLOOKUP(R$1069,'NG Analysis'!$A$83:$N$93,$N1158,FALSE)</f>
        <v>6.5952077365448813</v>
      </c>
      <c r="S1158" s="1273">
        <f ca="1">VLOOKUP(S$1069,'NG Analysis'!$A$83:$N$93,$N1158,FALSE)</f>
        <v>10.041854584134954</v>
      </c>
      <c r="T1158" s="1273">
        <f ca="1">VLOOKUP(T$1069,'NG Analysis'!$A$83:$N$93,$N1158,FALSE)</f>
        <v>17.151406158782095</v>
      </c>
      <c r="U1158" s="1273">
        <f ca="1">VLOOKUP(U$1069,'NG Analysis'!$A$83:$N$93,$N1158,FALSE)</f>
        <v>8.4320000000000004</v>
      </c>
      <c r="V1158" s="1273">
        <f ca="1">VLOOKUP(V$1069,'NG Analysis'!$A$83:$N$93,$N1158,FALSE)</f>
        <v>10.652104343097346</v>
      </c>
      <c r="W1158" s="1273">
        <f ca="1">VLOOKUP(W$1069,'NG Analysis'!$A$83:$N$93,$N1158,FALSE)</f>
        <v>4.2521058994568559</v>
      </c>
      <c r="X1158" s="1493"/>
    </row>
    <row r="1159" spans="1:24" x14ac:dyDescent="0.3">
      <c r="A1159" s="1072">
        <v>8</v>
      </c>
      <c r="B1159" s="708">
        <f>IF(AND($A1265&lt;=DATE('Elec. Analysis'!$A$82, 12,1),$A1265&gt;=DATE('Elec. Analysis'!$A$82, 1, 1)), $A1265, NA())</f>
        <v>43617</v>
      </c>
      <c r="C1159" s="1273">
        <f ca="1">VLOOKUP(C$1069,'Elec. Analysis'!$A$81:$N$91,$A1159,FALSE)</f>
        <v>9.3281989935447278</v>
      </c>
      <c r="D1159" s="1273">
        <f ca="1">VLOOKUP(D$1069,'Elec. Analysis'!$A$81:$N$91,$A1159,FALSE)</f>
        <v>15.623429999999999</v>
      </c>
      <c r="E1159" s="1273">
        <f ca="1">VLOOKUP(E$1069,'Elec. Analysis'!$A$81:$N$91,$A1159,FALSE)</f>
        <v>5.0204431206587401</v>
      </c>
      <c r="F1159" s="1273">
        <f ca="1">VLOOKUP(F$1069,'Elec. Analysis'!$A$81:$N$91,$A1159,FALSE)</f>
        <v>8.326777408853685</v>
      </c>
      <c r="G1159" s="1273">
        <f ca="1">VLOOKUP(G$1069,'Elec. Analysis'!$A$81:$N$91,$A1159,FALSE)</f>
        <v>12.922747293722241</v>
      </c>
      <c r="H1159" s="1273">
        <f ca="1">VLOOKUP(H$1069,'Elec. Analysis'!$A$81:$N$91,$A1159,FALSE)</f>
        <v>1.4229781026478086</v>
      </c>
      <c r="I1159" s="1273">
        <f ca="1">VLOOKUP(I$1069,'Elec. Analysis'!$A$81:$N$91,$A1159,FALSE)</f>
        <v>30.630694018262528</v>
      </c>
      <c r="J1159" s="1273">
        <f ca="1">VLOOKUP(J$1069,'Elec. Analysis'!$A$81:$N$91,$A1159,FALSE)</f>
        <v>6.1920000000000002</v>
      </c>
      <c r="K1159" s="1273">
        <f ca="1">VLOOKUP(K$1069,'Elec. Analysis'!$A$81:$N$91,$A1159,FALSE)</f>
        <v>4.4733634468844867</v>
      </c>
      <c r="L1159" s="1609"/>
      <c r="M1159" s="1609"/>
      <c r="N1159" s="1076">
        <v>8</v>
      </c>
      <c r="O1159" s="708">
        <f>IF(AND($A1265&lt;=DATE('NG Analysis'!$A$84, 12,1),$A1265&gt;=DATE('NG Analysis'!$A$84, 1, 1)), $A1265, NA())</f>
        <v>43617</v>
      </c>
      <c r="P1159" s="1273">
        <f ca="1">VLOOKUP(P$1069,'NG Analysis'!$A$83:$N$93,$N1159,FALSE)</f>
        <v>25.11</v>
      </c>
      <c r="Q1159" s="1273">
        <f ca="1">VLOOKUP(Q$1069,'NG Analysis'!$A$83:$N$93,$N1159,FALSE)</f>
        <v>3.1037296499089999</v>
      </c>
      <c r="R1159" s="1273">
        <f ca="1">VLOOKUP(R$1069,'NG Analysis'!$A$83:$N$93,$N1159,FALSE)</f>
        <v>3.9898169179856966</v>
      </c>
      <c r="S1159" s="1273">
        <f ca="1">VLOOKUP(S$1069,'NG Analysis'!$A$83:$N$93,$N1159,FALSE)</f>
        <v>6.3316742137665356</v>
      </c>
      <c r="T1159" s="1273">
        <f ca="1">VLOOKUP(T$1069,'NG Analysis'!$A$83:$N$93,$N1159,FALSE)</f>
        <v>1.366539592541357</v>
      </c>
      <c r="U1159" s="1273">
        <f ca="1">VLOOKUP(U$1069,'NG Analysis'!$A$83:$N$93,$N1159,FALSE)</f>
        <v>8.16</v>
      </c>
      <c r="V1159" s="1273">
        <f ca="1">VLOOKUP(V$1069,'NG Analysis'!$A$83:$N$93,$N1159,FALSE)</f>
        <v>0</v>
      </c>
      <c r="W1159" s="1273">
        <f ca="1">VLOOKUP(W$1069,'NG Analysis'!$A$83:$N$93,$N1159,FALSE)</f>
        <v>2.4030880187101298</v>
      </c>
      <c r="X1159" s="1493"/>
    </row>
    <row r="1160" spans="1:24" x14ac:dyDescent="0.3">
      <c r="A1160" s="1373"/>
      <c r="B1160" s="712"/>
      <c r="C1160" s="1374"/>
      <c r="D1160" s="1374"/>
      <c r="E1160" s="1374"/>
      <c r="F1160" s="1374"/>
      <c r="G1160" s="1374"/>
      <c r="H1160" s="1374"/>
      <c r="I1160" s="1374"/>
      <c r="J1160" s="1374"/>
      <c r="K1160" s="1374"/>
      <c r="L1160" s="1374"/>
      <c r="M1160" s="1374"/>
      <c r="N1160" s="1374"/>
      <c r="O1160" s="712"/>
      <c r="P1160" s="1374"/>
      <c r="Q1160" s="1374"/>
      <c r="R1160" s="1374"/>
      <c r="S1160" s="1374"/>
      <c r="T1160" s="1374"/>
      <c r="U1160" s="1374"/>
      <c r="V1160" s="1374"/>
      <c r="W1160" s="1374"/>
      <c r="X1160" s="1439"/>
    </row>
    <row r="1161" spans="1:24" x14ac:dyDescent="0.3">
      <c r="A1161" s="1373"/>
      <c r="B1161" s="712"/>
      <c r="C1161" s="1374"/>
      <c r="D1161" s="1374"/>
      <c r="E1161" s="1374"/>
      <c r="F1161" s="1374"/>
      <c r="G1161" s="1374"/>
      <c r="H1161" s="1374"/>
      <c r="I1161" s="1374"/>
      <c r="J1161" s="1374"/>
      <c r="K1161" s="1374"/>
      <c r="L1161" s="1374"/>
      <c r="M1161" s="1374"/>
      <c r="N1161" s="1374"/>
      <c r="O1161" s="712"/>
      <c r="P1161" s="1374"/>
      <c r="Q1161" s="1374"/>
      <c r="R1161" s="1374"/>
      <c r="S1161" s="1374"/>
      <c r="T1161" s="1374"/>
      <c r="U1161" s="1374"/>
      <c r="V1161" s="1374"/>
      <c r="W1161" s="1374"/>
      <c r="X1161" s="1439"/>
    </row>
    <row r="1162" spans="1:24" x14ac:dyDescent="0.3">
      <c r="A1162" s="1375"/>
      <c r="B1162" s="740"/>
      <c r="C1162" s="695"/>
      <c r="D1162" s="695"/>
      <c r="E1162" s="1374"/>
      <c r="F1162" s="1374"/>
      <c r="G1162" s="1374"/>
      <c r="H1162" s="1374"/>
      <c r="I1162" s="1374"/>
      <c r="J1162" s="1374"/>
      <c r="K1162" s="1374"/>
      <c r="L1162" s="1374"/>
      <c r="M1162" s="1374"/>
      <c r="N1162" s="1374"/>
      <c r="O1162" s="1374"/>
      <c r="P1162" s="1374"/>
      <c r="Q1162" s="1374"/>
      <c r="R1162" s="1374"/>
      <c r="S1162" s="1374"/>
      <c r="T1162" s="1374"/>
      <c r="U1162" s="1374"/>
      <c r="V1162" s="1374"/>
      <c r="W1162" s="1374"/>
      <c r="X1162" s="1439"/>
    </row>
    <row r="1163" spans="1:24" x14ac:dyDescent="0.3">
      <c r="A1163" s="1375"/>
      <c r="B1163" s="740"/>
      <c r="C1163" s="695"/>
      <c r="D1163" s="695"/>
      <c r="E1163" s="1374"/>
      <c r="F1163" s="1374"/>
      <c r="G1163" s="1374"/>
      <c r="H1163" s="1374"/>
      <c r="I1163" s="1374"/>
      <c r="J1163" s="1374"/>
      <c r="K1163" s="1374"/>
      <c r="L1163" s="1374"/>
      <c r="M1163" s="1374"/>
      <c r="N1163" s="1374"/>
      <c r="O1163" s="1374"/>
      <c r="P1163" s="1374"/>
      <c r="Q1163" s="1374"/>
      <c r="R1163" s="1374"/>
      <c r="S1163" s="1374"/>
      <c r="T1163" s="1374"/>
      <c r="U1163" s="1374"/>
      <c r="V1163" s="1374"/>
      <c r="W1163" s="1374"/>
      <c r="X1163" s="1439"/>
    </row>
    <row r="1164" spans="1:24" ht="14.5" thickBot="1" x14ac:dyDescent="0.35">
      <c r="A1164" s="972"/>
      <c r="B1164" s="1065"/>
      <c r="C1164" s="1382"/>
      <c r="D1164" s="1382"/>
      <c r="E1164" s="1378"/>
      <c r="F1164" s="1378"/>
      <c r="G1164" s="1378"/>
      <c r="H1164" s="1378"/>
      <c r="I1164" s="1378"/>
      <c r="J1164" s="1378"/>
      <c r="K1164" s="1378"/>
      <c r="L1164" s="1378"/>
      <c r="M1164" s="1378"/>
      <c r="N1164" s="1378"/>
      <c r="O1164" s="1378"/>
      <c r="P1164" s="1378"/>
      <c r="Q1164" s="1378"/>
      <c r="R1164" s="1378"/>
      <c r="S1164" s="1378"/>
      <c r="T1164" s="1378"/>
      <c r="U1164" s="1378"/>
      <c r="V1164" s="1378"/>
      <c r="W1164" s="1378"/>
      <c r="X1164" s="1440"/>
    </row>
    <row r="1165" spans="1:24" x14ac:dyDescent="0.3">
      <c r="A1165" s="1389"/>
      <c r="B1165" s="740"/>
      <c r="C1165" s="695"/>
      <c r="D1165" s="695"/>
    </row>
    <row r="1166" spans="1:24" ht="14.5" thickBot="1" x14ac:dyDescent="0.35">
      <c r="A1166" s="1389"/>
      <c r="B1166" s="740"/>
      <c r="C1166" s="695"/>
      <c r="D1166" s="695"/>
    </row>
    <row r="1167" spans="1:24" x14ac:dyDescent="0.3">
      <c r="A1167" s="1473"/>
      <c r="B1167" s="1474"/>
      <c r="C1167" s="1474"/>
      <c r="D1167" s="1474"/>
      <c r="E1167" s="1474"/>
      <c r="F1167" s="1474"/>
      <c r="G1167" s="1474"/>
      <c r="H1167" s="1474"/>
      <c r="I1167" s="1474"/>
      <c r="J1167" s="1474"/>
      <c r="K1167" s="1474"/>
      <c r="L1167" s="645"/>
    </row>
    <row r="1168" spans="1:24" x14ac:dyDescent="0.3">
      <c r="A1168" s="1471"/>
      <c r="B1168" s="1472"/>
      <c r="C1168" s="1472"/>
      <c r="D1168" s="1472"/>
      <c r="E1168" s="1472"/>
      <c r="F1168" s="1472"/>
      <c r="G1168" s="1472"/>
      <c r="H1168" s="1472"/>
      <c r="I1168" s="1472"/>
      <c r="J1168" s="1472"/>
      <c r="K1168" s="1472"/>
      <c r="L1168" s="1478"/>
    </row>
    <row r="1169" spans="1:12" x14ac:dyDescent="0.3">
      <c r="A1169" s="2593" t="s">
        <v>630</v>
      </c>
      <c r="B1169" s="2594"/>
      <c r="C1169" s="2594"/>
      <c r="D1169" s="2594"/>
      <c r="E1169" s="2594"/>
      <c r="F1169" s="2594"/>
      <c r="G1169" s="2594"/>
      <c r="H1169" s="2594"/>
      <c r="I1169" s="2594"/>
      <c r="J1169" s="2594"/>
      <c r="K1169" s="1472"/>
      <c r="L1169" s="1478"/>
    </row>
    <row r="1170" spans="1:12" x14ac:dyDescent="0.3">
      <c r="A1170" s="2593"/>
      <c r="B1170" s="2594"/>
      <c r="C1170" s="2594"/>
      <c r="D1170" s="2594"/>
      <c r="E1170" s="2594"/>
      <c r="F1170" s="2594"/>
      <c r="G1170" s="2594"/>
      <c r="H1170" s="2594"/>
      <c r="I1170" s="2594"/>
      <c r="J1170" s="2594"/>
      <c r="K1170" s="1472"/>
      <c r="L1170" s="1478"/>
    </row>
    <row r="1171" spans="1:12" x14ac:dyDescent="0.3">
      <c r="A1171" s="2593"/>
      <c r="B1171" s="2594"/>
      <c r="C1171" s="2594"/>
      <c r="D1171" s="2594"/>
      <c r="E1171" s="2594"/>
      <c r="F1171" s="2594"/>
      <c r="G1171" s="2594"/>
      <c r="H1171" s="2594"/>
      <c r="I1171" s="2594"/>
      <c r="J1171" s="2594"/>
      <c r="K1171" s="1472"/>
      <c r="L1171" s="1478"/>
    </row>
    <row r="1172" spans="1:12" x14ac:dyDescent="0.3">
      <c r="A1172" s="1066"/>
      <c r="B1172" s="741"/>
      <c r="C1172" s="741"/>
      <c r="D1172" s="741"/>
      <c r="E1172" s="741"/>
      <c r="F1172" s="741"/>
      <c r="G1172" s="741"/>
      <c r="H1172" s="1472"/>
      <c r="I1172" s="1472"/>
      <c r="J1172" s="1472"/>
      <c r="K1172" s="1472"/>
      <c r="L1172" s="1478"/>
    </row>
    <row r="1173" spans="1:12" x14ac:dyDescent="0.3">
      <c r="A1173" s="963"/>
      <c r="B1173" s="742"/>
      <c r="C1173" s="1472"/>
      <c r="D1173" s="742"/>
      <c r="E1173" s="1472"/>
      <c r="F1173" s="742"/>
      <c r="G1173" s="1472"/>
      <c r="H1173" s="1472"/>
      <c r="I1173" s="1472"/>
      <c r="J1173" s="1472"/>
      <c r="K1173" s="1472"/>
      <c r="L1173" s="1478"/>
    </row>
    <row r="1174" spans="1:12" ht="18" x14ac:dyDescent="0.4">
      <c r="A1174" s="2793" t="s">
        <v>388</v>
      </c>
      <c r="B1174" s="2793"/>
      <c r="C1174" s="2793"/>
      <c r="D1174" s="2793"/>
      <c r="E1174" s="2793"/>
      <c r="F1174" s="1472"/>
      <c r="G1174" s="2607" t="s">
        <v>398</v>
      </c>
      <c r="H1174" s="2607"/>
      <c r="I1174" s="2607"/>
      <c r="J1174" s="2607"/>
      <c r="K1174" s="2607"/>
      <c r="L1174" s="1478"/>
    </row>
    <row r="1175" spans="1:12" ht="28" x14ac:dyDescent="0.3">
      <c r="A1175" s="1073" t="s">
        <v>389</v>
      </c>
      <c r="B1175" s="1481" t="str">
        <f>'Personalized Bill Menu'!T3</f>
        <v>Selected Date Range</v>
      </c>
      <c r="C1175" s="1481" t="s">
        <v>391</v>
      </c>
      <c r="D1175" s="1481" t="s">
        <v>390</v>
      </c>
      <c r="E1175" s="1481" t="s">
        <v>632</v>
      </c>
      <c r="F1175" s="1472"/>
      <c r="G1175" s="1481"/>
      <c r="H1175" s="739" t="s">
        <v>397</v>
      </c>
      <c r="I1175" s="1480" t="s">
        <v>99</v>
      </c>
      <c r="J1175" s="1480" t="s">
        <v>100</v>
      </c>
      <c r="K1175" s="1480" t="s">
        <v>101</v>
      </c>
      <c r="L1175" s="1478"/>
    </row>
    <row r="1176" spans="1:12" x14ac:dyDescent="0.3">
      <c r="A1176" s="970">
        <v>40909</v>
      </c>
      <c r="B1176" s="1620">
        <f>IFERROR(VLOOKUP($A1176, 'Personalized Bill Menu'!$T$4:$V$93, 1,FALSE), "")</f>
        <v>40909</v>
      </c>
      <c r="C1176" s="1481">
        <f t="shared" ref="C1176:C1179" si="312">YEAR(A1176)</f>
        <v>2012</v>
      </c>
      <c r="D1176" s="1285">
        <f>IFERROR(IF('Personalized Bill Menu'!$B$34&lt;&gt;"Natural Gas",VLOOKUP($A1176,'Personalized Bill Menu'!$T$3:$V$93,3,FALSE),VLOOKUP($A1176,'Personalized Bill Menu'!$T$3:$V$93,2,FALSE)), 0)</f>
        <v>0</v>
      </c>
      <c r="E1176" s="1285">
        <f>IFERROR(IF('Personalized Bill Menu'!$B$34&lt;&gt;"Natural Gas",VLOOKUP($A1176,'Personalized Bill Menu'!$T$3:$V$93,2,FALSE),0), 0)</f>
        <v>0</v>
      </c>
      <c r="F1176" s="1472"/>
      <c r="G1176" s="1479" t="s">
        <v>392</v>
      </c>
      <c r="H1176" s="1481">
        <f>SUM($D$1176:$D$1187)</f>
        <v>0</v>
      </c>
      <c r="I1176" s="1481" t="str">
        <f t="shared" ref="I1176:J1181" si="313">IF($H1176&lt;1200, "Yes", "No")</f>
        <v>Yes</v>
      </c>
      <c r="J1176" s="1481" t="str">
        <f t="shared" si="313"/>
        <v>Yes</v>
      </c>
      <c r="K1176" s="1481" t="str">
        <f t="shared" ref="K1176:K1181" si="314">IF($H1176&lt;=5326, "Yes", "No")</f>
        <v>Yes</v>
      </c>
      <c r="L1176" s="1478"/>
    </row>
    <row r="1177" spans="1:12" x14ac:dyDescent="0.3">
      <c r="A1177" s="970">
        <v>40940</v>
      </c>
      <c r="B1177" s="1620">
        <f>IFERROR(VLOOKUP($A1177, 'Personalized Bill Menu'!$T$4:$V$93, 1,FALSE), "")</f>
        <v>40940</v>
      </c>
      <c r="C1177" s="1481">
        <f t="shared" si="312"/>
        <v>2012</v>
      </c>
      <c r="D1177" s="1285">
        <f>IFERROR(IF('Personalized Bill Menu'!$B$34&lt;&gt;"Natural Gas",VLOOKUP($A1177,'Personalized Bill Menu'!$T$3:$V$93,3,FALSE),VLOOKUP($A1177,'Personalized Bill Menu'!$T$3:$V$93,2,FALSE)), 0)</f>
        <v>0</v>
      </c>
      <c r="E1177" s="1285">
        <f>IFERROR(IF('Personalized Bill Menu'!$B$34&lt;&gt;"Natural Gas",VLOOKUP($A1177,'Personalized Bill Menu'!$T$3:$V$93,2,FALSE),0), 0)</f>
        <v>0</v>
      </c>
      <c r="F1177" s="1472"/>
      <c r="G1177" s="1479" t="s">
        <v>393</v>
      </c>
      <c r="H1177" s="1481">
        <f>SUM($D$1188:$D$1199)</f>
        <v>0</v>
      </c>
      <c r="I1177" s="1481" t="str">
        <f t="shared" si="313"/>
        <v>Yes</v>
      </c>
      <c r="J1177" s="1481" t="str">
        <f t="shared" si="313"/>
        <v>Yes</v>
      </c>
      <c r="K1177" s="1481" t="str">
        <f t="shared" si="314"/>
        <v>Yes</v>
      </c>
      <c r="L1177" s="1478"/>
    </row>
    <row r="1178" spans="1:12" x14ac:dyDescent="0.3">
      <c r="A1178" s="970">
        <v>40969</v>
      </c>
      <c r="B1178" s="1620">
        <f>IFERROR(VLOOKUP($A1178, 'Personalized Bill Menu'!$T$4:$V$93, 1,FALSE), "")</f>
        <v>40969</v>
      </c>
      <c r="C1178" s="1481">
        <f t="shared" si="312"/>
        <v>2012</v>
      </c>
      <c r="D1178" s="1285">
        <f>IFERROR(IF('Personalized Bill Menu'!$B$34&lt;&gt;"Natural Gas",VLOOKUP($A1178,'Personalized Bill Menu'!$T$3:$V$93,3,FALSE),VLOOKUP($A1178,'Personalized Bill Menu'!$T$3:$V$93,2,FALSE)), 0)</f>
        <v>0</v>
      </c>
      <c r="E1178" s="1285">
        <f>IFERROR(IF('Personalized Bill Menu'!$B$34&lt;&gt;"Natural Gas",VLOOKUP($A1178,'Personalized Bill Menu'!$T$3:$V$93,2,FALSE),0), 0)</f>
        <v>0</v>
      </c>
      <c r="F1178" s="1472"/>
      <c r="G1178" s="1479" t="s">
        <v>394</v>
      </c>
      <c r="H1178" s="1481">
        <f>SUM($D$1200:$D$1211)</f>
        <v>0</v>
      </c>
      <c r="I1178" s="1481" t="str">
        <f t="shared" si="313"/>
        <v>Yes</v>
      </c>
      <c r="J1178" s="1481" t="str">
        <f t="shared" si="313"/>
        <v>Yes</v>
      </c>
      <c r="K1178" s="1481" t="str">
        <f t="shared" si="314"/>
        <v>Yes</v>
      </c>
      <c r="L1178" s="1478"/>
    </row>
    <row r="1179" spans="1:12" x14ac:dyDescent="0.3">
      <c r="A1179" s="970">
        <v>41000</v>
      </c>
      <c r="B1179" s="1620">
        <f>IFERROR(VLOOKUP($A1179, 'Personalized Bill Menu'!$T$4:$V$93, 1,FALSE), "")</f>
        <v>41000</v>
      </c>
      <c r="C1179" s="1481">
        <f t="shared" si="312"/>
        <v>2012</v>
      </c>
      <c r="D1179" s="1285">
        <f>IFERROR(IF('Personalized Bill Menu'!$B$34&lt;&gt;"Natural Gas",VLOOKUP($A1179,'Personalized Bill Menu'!$T$3:$V$93,3,FALSE),VLOOKUP($A1179,'Personalized Bill Menu'!$T$3:$V$93,2,FALSE)), 0)</f>
        <v>0</v>
      </c>
      <c r="E1179" s="1285">
        <f>IFERROR(IF('Personalized Bill Menu'!$B$34&lt;&gt;"Natural Gas",VLOOKUP($A1179,'Personalized Bill Menu'!$T$3:$V$93,2,FALSE),0), 0)</f>
        <v>0</v>
      </c>
      <c r="F1179" s="1472"/>
      <c r="G1179" s="1479" t="s">
        <v>395</v>
      </c>
      <c r="H1179" s="1481">
        <f>SUM($D$1212:$D$1223)</f>
        <v>0</v>
      </c>
      <c r="I1179" s="1481" t="str">
        <f t="shared" si="313"/>
        <v>Yes</v>
      </c>
      <c r="J1179" s="1481" t="str">
        <f t="shared" si="313"/>
        <v>Yes</v>
      </c>
      <c r="K1179" s="1481" t="str">
        <f t="shared" si="314"/>
        <v>Yes</v>
      </c>
      <c r="L1179" s="1478"/>
    </row>
    <row r="1180" spans="1:12" ht="18.75" customHeight="1" x14ac:dyDescent="0.3">
      <c r="A1180" s="970">
        <v>41030</v>
      </c>
      <c r="B1180" s="1620">
        <f>IFERROR(VLOOKUP($A1180, 'Personalized Bill Menu'!$T$4:$V$93, 1,FALSE), "")</f>
        <v>41030</v>
      </c>
      <c r="C1180" s="1481">
        <f>YEAR(A1180)</f>
        <v>2012</v>
      </c>
      <c r="D1180" s="1285">
        <f>IFERROR(IF('Personalized Bill Menu'!$B$34&lt;&gt;"Natural Gas",VLOOKUP($A1180,'Personalized Bill Menu'!$T$3:$V$93,3,FALSE),VLOOKUP($A1180,'Personalized Bill Menu'!$T$3:$V$93,2,FALSE)), 0)</f>
        <v>0</v>
      </c>
      <c r="E1180" s="1285">
        <f>IFERROR(IF('Personalized Bill Menu'!$B$34&lt;&gt;"Natural Gas",VLOOKUP($A1180,'Personalized Bill Menu'!$T$3:$V$93,2,FALSE),0), 0)</f>
        <v>0</v>
      </c>
      <c r="F1180" s="1472"/>
      <c r="G1180" s="1479" t="s">
        <v>396</v>
      </c>
      <c r="H1180" s="1481">
        <f>SUM($D$1224:$D$1235)</f>
        <v>0</v>
      </c>
      <c r="I1180" s="1481" t="str">
        <f t="shared" si="313"/>
        <v>Yes</v>
      </c>
      <c r="J1180" s="1481" t="str">
        <f t="shared" si="313"/>
        <v>Yes</v>
      </c>
      <c r="K1180" s="1481" t="str">
        <f t="shared" si="314"/>
        <v>Yes</v>
      </c>
      <c r="L1180" s="1478"/>
    </row>
    <row r="1181" spans="1:12" x14ac:dyDescent="0.3">
      <c r="A1181" s="970">
        <v>41061</v>
      </c>
      <c r="B1181" s="1620">
        <f>IFERROR(VLOOKUP($A1181, 'Personalized Bill Menu'!$T$4:$V$93, 1,FALSE), "")</f>
        <v>41061</v>
      </c>
      <c r="C1181" s="1481">
        <f t="shared" ref="C1181:C1227" si="315">YEAR(A1181)</f>
        <v>2012</v>
      </c>
      <c r="D1181" s="1285">
        <f>IFERROR(IF('Personalized Bill Menu'!$B$34&lt;&gt;"Natural Gas",VLOOKUP($A1181,'Personalized Bill Menu'!$T$3:$V$93,3,FALSE),VLOOKUP($A1181,'Personalized Bill Menu'!$T$3:$V$93,2,FALSE)), 0)</f>
        <v>0</v>
      </c>
      <c r="E1181" s="1285">
        <f>IFERROR(IF('Personalized Bill Menu'!$B$34&lt;&gt;"Natural Gas",VLOOKUP($A1181,'Personalized Bill Menu'!$T$3:$V$93,2,FALSE),0), 0)</f>
        <v>0</v>
      </c>
      <c r="F1181" s="1472"/>
      <c r="G1181" s="1479" t="s">
        <v>577</v>
      </c>
      <c r="H1181" s="1481">
        <f>SUM($D$1236:$D$1247)</f>
        <v>0</v>
      </c>
      <c r="I1181" s="1481" t="str">
        <f t="shared" si="313"/>
        <v>Yes</v>
      </c>
      <c r="J1181" s="1481" t="str">
        <f t="shared" si="313"/>
        <v>Yes</v>
      </c>
      <c r="K1181" s="1481" t="str">
        <f t="shared" si="314"/>
        <v>Yes</v>
      </c>
      <c r="L1181" s="1478"/>
    </row>
    <row r="1182" spans="1:12" x14ac:dyDescent="0.3">
      <c r="A1182" s="970">
        <v>41091</v>
      </c>
      <c r="B1182" s="1620">
        <f>IFERROR(VLOOKUP($A1182, 'Personalized Bill Menu'!$T$4:$V$93, 1,FALSE), "")</f>
        <v>41091</v>
      </c>
      <c r="C1182" s="1481">
        <f t="shared" si="315"/>
        <v>2012</v>
      </c>
      <c r="D1182" s="1285">
        <f>IFERROR(IF('Personalized Bill Menu'!$B$34&lt;&gt;"Natural Gas",VLOOKUP($A1182,'Personalized Bill Menu'!$T$3:$V$93,3,FALSE),VLOOKUP($A1182,'Personalized Bill Menu'!$T$3:$V$93,2,FALSE)), 0)</f>
        <v>0</v>
      </c>
      <c r="E1182" s="1285">
        <f>IFERROR(IF('Personalized Bill Menu'!$B$34&lt;&gt;"Natural Gas",VLOOKUP($A1182,'Personalized Bill Menu'!$T$3:$V$93,2,FALSE),0), 0)</f>
        <v>0</v>
      </c>
      <c r="F1182" s="1472"/>
      <c r="G1182" s="1479" t="s">
        <v>578</v>
      </c>
      <c r="H1182" s="1481">
        <f>SUM($D$1248:$D$1259)</f>
        <v>0</v>
      </c>
      <c r="I1182" s="1481" t="str">
        <f>IF($H1182&lt;1200, "Yes", "No")</f>
        <v>Yes</v>
      </c>
      <c r="J1182" s="1481" t="str">
        <f>IF($H1182&lt;1200, "Yes", "No")</f>
        <v>Yes</v>
      </c>
      <c r="K1182" s="1481" t="str">
        <f>IF($H1182&lt;=5326, "Yes", "No")</f>
        <v>Yes</v>
      </c>
      <c r="L1182" s="1478"/>
    </row>
    <row r="1183" spans="1:12" x14ac:dyDescent="0.3">
      <c r="A1183" s="970">
        <v>41122</v>
      </c>
      <c r="B1183" s="1620">
        <f>IFERROR(VLOOKUP($A1183, 'Personalized Bill Menu'!$T$4:$V$93, 1,FALSE), "")</f>
        <v>41122</v>
      </c>
      <c r="C1183" s="1481">
        <f t="shared" si="315"/>
        <v>2012</v>
      </c>
      <c r="D1183" s="1285">
        <f>IFERROR(IF('Personalized Bill Menu'!$B$34&lt;&gt;"Natural Gas",VLOOKUP($A1183,'Personalized Bill Menu'!$T$3:$V$93,3,FALSE),VLOOKUP($A1183,'Personalized Bill Menu'!$T$3:$V$93,2,FALSE)), 0)</f>
        <v>0</v>
      </c>
      <c r="E1183" s="1285">
        <f>IFERROR(IF('Personalized Bill Menu'!$B$34&lt;&gt;"Natural Gas",VLOOKUP($A1183,'Personalized Bill Menu'!$T$3:$V$93,2,FALSE),0), 0)</f>
        <v>0</v>
      </c>
      <c r="F1183" s="1472"/>
      <c r="G1183" s="1586" t="s">
        <v>673</v>
      </c>
      <c r="H1183" s="1285">
        <f>SUM($D$1260:$D$1265)</f>
        <v>0</v>
      </c>
      <c r="I1183" s="1587" t="str">
        <f>IF($H1183&lt;1200, "Yes", "No")</f>
        <v>Yes</v>
      </c>
      <c r="J1183" s="1587" t="str">
        <f>IF($H1183&lt;1200, "Yes", "No")</f>
        <v>Yes</v>
      </c>
      <c r="K1183" s="1587" t="str">
        <f>IF($H1183&lt;=5326, "Yes", "No")</f>
        <v>Yes</v>
      </c>
      <c r="L1183" s="1478"/>
    </row>
    <row r="1184" spans="1:12" x14ac:dyDescent="0.3">
      <c r="A1184" s="970">
        <v>41153</v>
      </c>
      <c r="B1184" s="1620">
        <f>IFERROR(VLOOKUP($A1184, 'Personalized Bill Menu'!$T$4:$V$93, 1,FALSE), "")</f>
        <v>41153</v>
      </c>
      <c r="C1184" s="1481">
        <f t="shared" si="315"/>
        <v>2012</v>
      </c>
      <c r="D1184" s="1285">
        <f>IFERROR(IF('Personalized Bill Menu'!$B$34&lt;&gt;"Natural Gas",VLOOKUP($A1184,'Personalized Bill Menu'!$T$3:$V$93,3,FALSE),VLOOKUP($A1184,'Personalized Bill Menu'!$T$3:$V$93,2,FALSE)), 0)</f>
        <v>0</v>
      </c>
      <c r="E1184" s="1285">
        <f>IFERROR(IF('Personalized Bill Menu'!$B$34&lt;&gt;"Natural Gas",VLOOKUP($A1184,'Personalized Bill Menu'!$T$3:$V$93,2,FALSE),0), 0)</f>
        <v>0</v>
      </c>
      <c r="F1184" s="1472"/>
      <c r="G1184" s="1472"/>
      <c r="H1184" s="1472"/>
      <c r="I1184" s="1472"/>
      <c r="J1184" s="1472"/>
      <c r="K1184" s="1472"/>
      <c r="L1184" s="1478"/>
    </row>
    <row r="1185" spans="1:12" x14ac:dyDescent="0.3">
      <c r="A1185" s="970">
        <v>41183</v>
      </c>
      <c r="B1185" s="1620">
        <f>IFERROR(VLOOKUP($A1185, 'Personalized Bill Menu'!$T$4:$V$93, 1,FALSE), "")</f>
        <v>41183</v>
      </c>
      <c r="C1185" s="1481">
        <f t="shared" si="315"/>
        <v>2012</v>
      </c>
      <c r="D1185" s="1285">
        <f>IFERROR(IF('Personalized Bill Menu'!$B$34&lt;&gt;"Natural Gas",VLOOKUP($A1185,'Personalized Bill Menu'!$T$3:$V$93,3,FALSE),VLOOKUP($A1185,'Personalized Bill Menu'!$T$3:$V$93,2,FALSE)), 0)</f>
        <v>0</v>
      </c>
      <c r="E1185" s="1285">
        <f>IFERROR(IF('Personalized Bill Menu'!$B$34&lt;&gt;"Natural Gas",VLOOKUP($A1185,'Personalized Bill Menu'!$T$3:$V$93,2,FALSE),0), 0)</f>
        <v>0</v>
      </c>
      <c r="F1185" s="1472"/>
      <c r="G1185" s="1472"/>
      <c r="H1185" s="1472"/>
      <c r="I1185" s="1472"/>
      <c r="J1185" s="1472"/>
      <c r="K1185" s="1472"/>
      <c r="L1185" s="1478"/>
    </row>
    <row r="1186" spans="1:12" x14ac:dyDescent="0.3">
      <c r="A1186" s="970">
        <v>41214</v>
      </c>
      <c r="B1186" s="1620">
        <f>IFERROR(VLOOKUP($A1186, 'Personalized Bill Menu'!$T$4:$V$93, 1,FALSE), "")</f>
        <v>41214</v>
      </c>
      <c r="C1186" s="1481">
        <f t="shared" si="315"/>
        <v>2012</v>
      </c>
      <c r="D1186" s="1285">
        <f>IFERROR(IF('Personalized Bill Menu'!$B$34&lt;&gt;"Natural Gas",VLOOKUP($A1186,'Personalized Bill Menu'!$T$3:$V$93,3,FALSE),VLOOKUP($A1186,'Personalized Bill Menu'!$T$3:$V$93,2,FALSE)), 0)</f>
        <v>0</v>
      </c>
      <c r="E1186" s="1285">
        <f>IFERROR(IF('Personalized Bill Menu'!$B$34&lt;&gt;"Natural Gas",VLOOKUP($A1186,'Personalized Bill Menu'!$T$3:$V$93,2,FALSE),0), 0)</f>
        <v>0</v>
      </c>
      <c r="F1186" s="1472"/>
      <c r="G1186" s="1472"/>
      <c r="H1186" s="1472"/>
      <c r="I1186" s="1472"/>
      <c r="J1186" s="1472"/>
      <c r="K1186" s="1472"/>
      <c r="L1186" s="1478"/>
    </row>
    <row r="1187" spans="1:12" x14ac:dyDescent="0.3">
      <c r="A1187" s="970">
        <v>41244</v>
      </c>
      <c r="B1187" s="1620">
        <f>IFERROR(VLOOKUP($A1187, 'Personalized Bill Menu'!$T$4:$V$93, 1,FALSE), "")</f>
        <v>41244</v>
      </c>
      <c r="C1187" s="1481">
        <f t="shared" si="315"/>
        <v>2012</v>
      </c>
      <c r="D1187" s="1285">
        <f>IFERROR(IF('Personalized Bill Menu'!$B$34&lt;&gt;"Natural Gas",VLOOKUP($A1187,'Personalized Bill Menu'!$T$3:$V$93,3,FALSE),VLOOKUP($A1187,'Personalized Bill Menu'!$T$3:$V$93,2,FALSE)), 0)</f>
        <v>0</v>
      </c>
      <c r="E1187" s="1285">
        <f>IFERROR(IF('Personalized Bill Menu'!$B$34&lt;&gt;"Natural Gas",VLOOKUP($A1187,'Personalized Bill Menu'!$T$3:$V$93,2,FALSE),0), 0)</f>
        <v>0</v>
      </c>
      <c r="F1187" s="1472"/>
      <c r="G1187" s="1472"/>
      <c r="H1187" s="1472"/>
      <c r="I1187" s="1472"/>
      <c r="J1187" s="1472"/>
      <c r="K1187" s="1472"/>
      <c r="L1187" s="1478"/>
    </row>
    <row r="1188" spans="1:12" x14ac:dyDescent="0.3">
      <c r="A1188" s="970">
        <v>41275</v>
      </c>
      <c r="B1188" s="1620">
        <f>IFERROR(VLOOKUP($A1188, 'Personalized Bill Menu'!$T$4:$V$93, 1,FALSE), "")</f>
        <v>41275</v>
      </c>
      <c r="C1188" s="1481">
        <f t="shared" si="315"/>
        <v>2013</v>
      </c>
      <c r="D1188" s="1285">
        <f>IFERROR(IF('Personalized Bill Menu'!$B$34&lt;&gt;"Natural Gas",VLOOKUP($A1188,'Personalized Bill Menu'!$T$3:$V$93,3,FALSE),VLOOKUP($A1188,'Personalized Bill Menu'!$T$3:$V$93,2,FALSE)), 0)</f>
        <v>0</v>
      </c>
      <c r="E1188" s="1285">
        <f>IFERROR(IF('Personalized Bill Menu'!$B$34&lt;&gt;"Natural Gas",VLOOKUP($A1188,'Personalized Bill Menu'!$T$3:$V$93,2,FALSE),0), 0)</f>
        <v>0</v>
      </c>
      <c r="F1188" s="1472"/>
      <c r="G1188" s="1472"/>
      <c r="H1188" s="1472"/>
      <c r="I1188" s="1472"/>
      <c r="J1188" s="1472"/>
      <c r="K1188" s="1472"/>
      <c r="L1188" s="1478"/>
    </row>
    <row r="1189" spans="1:12" ht="18" x14ac:dyDescent="0.3">
      <c r="A1189" s="970">
        <v>41306</v>
      </c>
      <c r="B1189" s="1620">
        <f>IFERROR(VLOOKUP($A1189, 'Personalized Bill Menu'!$T$4:$V$93, 1,FALSE), "")</f>
        <v>41306</v>
      </c>
      <c r="C1189" s="1481">
        <f t="shared" si="315"/>
        <v>2013</v>
      </c>
      <c r="D1189" s="1285">
        <f>IFERROR(IF('Personalized Bill Menu'!$B$34&lt;&gt;"Natural Gas",VLOOKUP($A1189,'Personalized Bill Menu'!$T$3:$V$93,3,FALSE),VLOOKUP($A1189,'Personalized Bill Menu'!$T$3:$V$93,2,FALSE)), 0)</f>
        <v>0</v>
      </c>
      <c r="E1189" s="1285">
        <f>IFERROR(IF('Personalized Bill Menu'!$B$34&lt;&gt;"Natural Gas",VLOOKUP($A1189,'Personalized Bill Menu'!$T$3:$V$93,2,FALSE),0), 0)</f>
        <v>0</v>
      </c>
      <c r="F1189" s="1472"/>
      <c r="G1189" s="2790" t="s">
        <v>633</v>
      </c>
      <c r="H1189" s="2791"/>
      <c r="I1189" s="2792"/>
      <c r="J1189" s="1129"/>
      <c r="K1189" s="1129"/>
      <c r="L1189" s="1478"/>
    </row>
    <row r="1190" spans="1:12" ht="28" x14ac:dyDescent="0.3">
      <c r="A1190" s="970">
        <v>41334</v>
      </c>
      <c r="B1190" s="1620">
        <f>IFERROR(VLOOKUP($A1190, 'Personalized Bill Menu'!$T$4:$V$93, 1,FALSE), "")</f>
        <v>41334</v>
      </c>
      <c r="C1190" s="1481">
        <f t="shared" si="315"/>
        <v>2013</v>
      </c>
      <c r="D1190" s="1285">
        <f>IFERROR(IF('Personalized Bill Menu'!$B$34&lt;&gt;"Natural Gas",VLOOKUP($A1190,'Personalized Bill Menu'!$T$3:$V$93,3,FALSE),VLOOKUP($A1190,'Personalized Bill Menu'!$T$3:$V$93,2,FALSE)), 0)</f>
        <v>0</v>
      </c>
      <c r="E1190" s="1285">
        <f>IFERROR(IF('Personalized Bill Menu'!$B$34&lt;&gt;"Natural Gas",VLOOKUP($A1190,'Personalized Bill Menu'!$T$3:$V$93,2,FALSE),0), 0)</f>
        <v>0</v>
      </c>
      <c r="F1190" s="1472"/>
      <c r="G1190" s="1481"/>
      <c r="H1190" s="739" t="s">
        <v>674</v>
      </c>
      <c r="I1190" s="1480" t="s">
        <v>631</v>
      </c>
      <c r="J1190" s="1497"/>
      <c r="K1190" s="1497"/>
      <c r="L1190" s="1478"/>
    </row>
    <row r="1191" spans="1:12" x14ac:dyDescent="0.3">
      <c r="A1191" s="970">
        <v>41365</v>
      </c>
      <c r="B1191" s="1620">
        <f>IFERROR(VLOOKUP($A1191, 'Personalized Bill Menu'!$T$4:$V$93, 1,FALSE), "")</f>
        <v>41365</v>
      </c>
      <c r="C1191" s="1481">
        <f t="shared" si="315"/>
        <v>2013</v>
      </c>
      <c r="D1191" s="1285">
        <f>IFERROR(IF('Personalized Bill Menu'!$B$34&lt;&gt;"Natural Gas",VLOOKUP($A1191,'Personalized Bill Menu'!$T$3:$V$93,3,FALSE),VLOOKUP($A1191,'Personalized Bill Menu'!$T$3:$V$93,2,FALSE)), 0)</f>
        <v>0</v>
      </c>
      <c r="E1191" s="1285">
        <f>IFERROR(IF('Personalized Bill Menu'!$B$34&lt;&gt;"Natural Gas",VLOOKUP($A1191,'Personalized Bill Menu'!$T$3:$V$93,2,FALSE),0), 0)</f>
        <v>0</v>
      </c>
      <c r="F1191" s="1472"/>
      <c r="G1191" s="1479" t="s">
        <v>392</v>
      </c>
      <c r="H1191" s="1481">
        <f>SUM($E$1176:$E$1187)</f>
        <v>0</v>
      </c>
      <c r="I1191" s="1481" t="str">
        <f>IF($H1191&lt;250000, "Yes", "No")</f>
        <v>Yes</v>
      </c>
      <c r="J1191" s="1476"/>
      <c r="K1191" s="1476"/>
      <c r="L1191" s="1478"/>
    </row>
    <row r="1192" spans="1:12" x14ac:dyDescent="0.3">
      <c r="A1192" s="970">
        <v>41395</v>
      </c>
      <c r="B1192" s="1620">
        <f>IFERROR(VLOOKUP($A1192, 'Personalized Bill Menu'!$T$4:$V$93, 1,FALSE), "")</f>
        <v>41395</v>
      </c>
      <c r="C1192" s="1481">
        <f t="shared" si="315"/>
        <v>2013</v>
      </c>
      <c r="D1192" s="1285">
        <f>IFERROR(IF('Personalized Bill Menu'!$B$34&lt;&gt;"Natural Gas",VLOOKUP($A1192,'Personalized Bill Menu'!$T$3:$V$93,3,FALSE),VLOOKUP($A1192,'Personalized Bill Menu'!$T$3:$V$93,2,FALSE)), 0)</f>
        <v>0</v>
      </c>
      <c r="E1192" s="1285">
        <f>IFERROR(IF('Personalized Bill Menu'!$B$34&lt;&gt;"Natural Gas",VLOOKUP($A1192,'Personalized Bill Menu'!$T$3:$V$93,2,FALSE),0), 0)</f>
        <v>0</v>
      </c>
      <c r="F1192" s="1472"/>
      <c r="G1192" s="1479" t="s">
        <v>393</v>
      </c>
      <c r="H1192" s="1481">
        <f>SUM($E$1188:$E$1199)</f>
        <v>0</v>
      </c>
      <c r="I1192" s="1481" t="str">
        <f t="shared" ref="I1192:I1196" si="316">IF($H1192&lt;250000, "Yes", "No")</f>
        <v>Yes</v>
      </c>
      <c r="J1192" s="1476"/>
      <c r="K1192" s="1476"/>
      <c r="L1192" s="1478"/>
    </row>
    <row r="1193" spans="1:12" x14ac:dyDescent="0.3">
      <c r="A1193" s="970">
        <v>41426</v>
      </c>
      <c r="B1193" s="1620">
        <f>IFERROR(VLOOKUP($A1193, 'Personalized Bill Menu'!$T$4:$V$93, 1,FALSE), "")</f>
        <v>41426</v>
      </c>
      <c r="C1193" s="1481">
        <f t="shared" si="315"/>
        <v>2013</v>
      </c>
      <c r="D1193" s="1285">
        <f>IFERROR(IF('Personalized Bill Menu'!$B$34&lt;&gt;"Natural Gas",VLOOKUP($A1193,'Personalized Bill Menu'!$T$3:$V$93,3,FALSE),VLOOKUP($A1193,'Personalized Bill Menu'!$T$3:$V$93,2,FALSE)), 0)</f>
        <v>0</v>
      </c>
      <c r="E1193" s="1285">
        <f>IFERROR(IF('Personalized Bill Menu'!$B$34&lt;&gt;"Natural Gas",VLOOKUP($A1193,'Personalized Bill Menu'!$T$3:$V$93,2,FALSE),0), 0)</f>
        <v>0</v>
      </c>
      <c r="F1193" s="1472"/>
      <c r="G1193" s="1479" t="s">
        <v>394</v>
      </c>
      <c r="H1193" s="1481">
        <f>SUM($E$1200:$E$1211)</f>
        <v>0</v>
      </c>
      <c r="I1193" s="1481" t="str">
        <f t="shared" si="316"/>
        <v>Yes</v>
      </c>
      <c r="J1193" s="1476"/>
      <c r="K1193" s="1476"/>
      <c r="L1193" s="1478"/>
    </row>
    <row r="1194" spans="1:12" x14ac:dyDescent="0.3">
      <c r="A1194" s="970">
        <v>41456</v>
      </c>
      <c r="B1194" s="1620">
        <f>IFERROR(VLOOKUP($A1194, 'Personalized Bill Menu'!$T$4:$V$93, 1,FALSE), "")</f>
        <v>41456</v>
      </c>
      <c r="C1194" s="1481">
        <f t="shared" si="315"/>
        <v>2013</v>
      </c>
      <c r="D1194" s="1285">
        <f>IFERROR(IF('Personalized Bill Menu'!$B$34&lt;&gt;"Natural Gas",VLOOKUP($A1194,'Personalized Bill Menu'!$T$3:$V$93,3,FALSE),VLOOKUP($A1194,'Personalized Bill Menu'!$T$3:$V$93,2,FALSE)), 0)</f>
        <v>0</v>
      </c>
      <c r="E1194" s="1285">
        <f>IFERROR(IF('Personalized Bill Menu'!$B$34&lt;&gt;"Natural Gas",VLOOKUP($A1194,'Personalized Bill Menu'!$T$3:$V$93,2,FALSE),0), 0)</f>
        <v>0</v>
      </c>
      <c r="F1194" s="1472"/>
      <c r="G1194" s="1479" t="s">
        <v>395</v>
      </c>
      <c r="H1194" s="1481">
        <f>SUM($E$1212:$E$1223)</f>
        <v>0</v>
      </c>
      <c r="I1194" s="1481" t="str">
        <f t="shared" si="316"/>
        <v>Yes</v>
      </c>
      <c r="J1194" s="1476"/>
      <c r="K1194" s="1476"/>
      <c r="L1194" s="1478"/>
    </row>
    <row r="1195" spans="1:12" x14ac:dyDescent="0.3">
      <c r="A1195" s="970">
        <v>41487</v>
      </c>
      <c r="B1195" s="1620">
        <f>IFERROR(VLOOKUP($A1195, 'Personalized Bill Menu'!$T$4:$V$93, 1,FALSE), "")</f>
        <v>41487</v>
      </c>
      <c r="C1195" s="1481">
        <f t="shared" si="315"/>
        <v>2013</v>
      </c>
      <c r="D1195" s="1285">
        <f>IFERROR(IF('Personalized Bill Menu'!$B$34&lt;&gt;"Natural Gas",VLOOKUP($A1195,'Personalized Bill Menu'!$T$3:$V$93,3,FALSE),VLOOKUP($A1195,'Personalized Bill Menu'!$T$3:$V$93,2,FALSE)), 0)</f>
        <v>0</v>
      </c>
      <c r="E1195" s="1285">
        <f>IFERROR(IF('Personalized Bill Menu'!$B$34&lt;&gt;"Natural Gas",VLOOKUP($A1195,'Personalized Bill Menu'!$T$3:$V$93,2,FALSE),0), 0)</f>
        <v>0</v>
      </c>
      <c r="F1195" s="1472"/>
      <c r="G1195" s="1479" t="s">
        <v>396</v>
      </c>
      <c r="H1195" s="1481">
        <f>SUM($E$1224:$E$1235)</f>
        <v>0</v>
      </c>
      <c r="I1195" s="1481" t="str">
        <f t="shared" si="316"/>
        <v>Yes</v>
      </c>
      <c r="J1195" s="1476"/>
      <c r="K1195" s="1476"/>
      <c r="L1195" s="1478"/>
    </row>
    <row r="1196" spans="1:12" x14ac:dyDescent="0.3">
      <c r="A1196" s="970">
        <v>41518</v>
      </c>
      <c r="B1196" s="1620">
        <f>IFERROR(VLOOKUP($A1196, 'Personalized Bill Menu'!$T$4:$V$93, 1,FALSE), "")</f>
        <v>41518</v>
      </c>
      <c r="C1196" s="1481">
        <f t="shared" si="315"/>
        <v>2013</v>
      </c>
      <c r="D1196" s="1285">
        <f>IFERROR(IF('Personalized Bill Menu'!$B$34&lt;&gt;"Natural Gas",VLOOKUP($A1196,'Personalized Bill Menu'!$T$3:$V$93,3,FALSE),VLOOKUP($A1196,'Personalized Bill Menu'!$T$3:$V$93,2,FALSE)), 0)</f>
        <v>0</v>
      </c>
      <c r="E1196" s="1285">
        <f>IFERROR(IF('Personalized Bill Menu'!$B$34&lt;&gt;"Natural Gas",VLOOKUP($A1196,'Personalized Bill Menu'!$T$3:$V$93,2,FALSE),0), 0)</f>
        <v>0</v>
      </c>
      <c r="F1196" s="1472"/>
      <c r="G1196" s="1479" t="s">
        <v>577</v>
      </c>
      <c r="H1196" s="1481">
        <f>SUM($E$1236:$E$1247)</f>
        <v>0</v>
      </c>
      <c r="I1196" s="1481" t="str">
        <f t="shared" si="316"/>
        <v>Yes</v>
      </c>
      <c r="J1196" s="1476"/>
      <c r="K1196" s="1476"/>
      <c r="L1196" s="1478"/>
    </row>
    <row r="1197" spans="1:12" x14ac:dyDescent="0.3">
      <c r="A1197" s="970">
        <v>41548</v>
      </c>
      <c r="B1197" s="1620">
        <f>IFERROR(VLOOKUP($A1197, 'Personalized Bill Menu'!$T$4:$V$93, 1,FALSE), "")</f>
        <v>41548</v>
      </c>
      <c r="C1197" s="1481">
        <f t="shared" si="315"/>
        <v>2013</v>
      </c>
      <c r="D1197" s="1285">
        <f>IFERROR(IF('Personalized Bill Menu'!$B$34&lt;&gt;"Natural Gas",VLOOKUP($A1197,'Personalized Bill Menu'!$T$3:$V$93,3,FALSE),VLOOKUP($A1197,'Personalized Bill Menu'!$T$3:$V$93,2,FALSE)), 0)</f>
        <v>0</v>
      </c>
      <c r="E1197" s="1285">
        <f>IFERROR(IF('Personalized Bill Menu'!$B$34&lt;&gt;"Natural Gas",VLOOKUP($A1197,'Personalized Bill Menu'!$T$3:$V$93,2,FALSE),0), 0)</f>
        <v>0</v>
      </c>
      <c r="F1197" s="1472"/>
      <c r="G1197" s="1479" t="s">
        <v>578</v>
      </c>
      <c r="H1197" s="1481">
        <f>SUM($E$1248:$E$1259)</f>
        <v>0</v>
      </c>
      <c r="I1197" s="1481" t="str">
        <f>IF($H1197&lt;250000, "Yes", "No")</f>
        <v>Yes</v>
      </c>
      <c r="J1197" s="1476"/>
      <c r="K1197" s="1476"/>
      <c r="L1197" s="1478"/>
    </row>
    <row r="1198" spans="1:12" x14ac:dyDescent="0.3">
      <c r="A1198" s="970">
        <v>41579</v>
      </c>
      <c r="B1198" s="1620">
        <f>IFERROR(VLOOKUP($A1198, 'Personalized Bill Menu'!$T$4:$V$93, 1,FALSE), "")</f>
        <v>41579</v>
      </c>
      <c r="C1198" s="1481">
        <f t="shared" si="315"/>
        <v>2013</v>
      </c>
      <c r="D1198" s="1285">
        <f>IFERROR(IF('Personalized Bill Menu'!$B$34&lt;&gt;"Natural Gas",VLOOKUP($A1198,'Personalized Bill Menu'!$T$3:$V$93,3,FALSE),VLOOKUP($A1198,'Personalized Bill Menu'!$T$3:$V$93,2,FALSE)), 0)</f>
        <v>0</v>
      </c>
      <c r="E1198" s="1285">
        <f>IFERROR(IF('Personalized Bill Menu'!$B$34&lt;&gt;"Natural Gas",VLOOKUP($A1198,'Personalized Bill Menu'!$T$3:$V$93,2,FALSE),0), 0)</f>
        <v>0</v>
      </c>
      <c r="F1198" s="1472"/>
      <c r="G1198" s="1586" t="s">
        <v>673</v>
      </c>
      <c r="H1198" s="1587">
        <f>SUM($E$1260:$E$1265)</f>
        <v>0</v>
      </c>
      <c r="I1198" s="1587" t="str">
        <f>IF($H1198&lt;250000, "Yes", "No")</f>
        <v>Yes</v>
      </c>
      <c r="J1198" s="1472"/>
      <c r="K1198" s="1472"/>
      <c r="L1198" s="1478"/>
    </row>
    <row r="1199" spans="1:12" x14ac:dyDescent="0.3">
      <c r="A1199" s="970">
        <v>41609</v>
      </c>
      <c r="B1199" s="1620">
        <f>IFERROR(VLOOKUP($A1199, 'Personalized Bill Menu'!$T$4:$V$93, 1,FALSE), "")</f>
        <v>41609</v>
      </c>
      <c r="C1199" s="1481">
        <f t="shared" si="315"/>
        <v>2013</v>
      </c>
      <c r="D1199" s="1285">
        <f>IFERROR(IF('Personalized Bill Menu'!$B$34&lt;&gt;"Natural Gas",VLOOKUP($A1199,'Personalized Bill Menu'!$T$3:$V$93,3,FALSE),VLOOKUP($A1199,'Personalized Bill Menu'!$T$3:$V$93,2,FALSE)), 0)</f>
        <v>0</v>
      </c>
      <c r="E1199" s="1285">
        <f>IFERROR(IF('Personalized Bill Menu'!$B$34&lt;&gt;"Natural Gas",VLOOKUP($A1199,'Personalized Bill Menu'!$T$3:$V$93,2,FALSE),0), 0)</f>
        <v>0</v>
      </c>
      <c r="F1199" s="1472"/>
      <c r="G1199" s="1472"/>
      <c r="H1199" s="1472"/>
      <c r="I1199" s="1472"/>
      <c r="J1199" s="1472"/>
      <c r="K1199" s="1472"/>
      <c r="L1199" s="1478"/>
    </row>
    <row r="1200" spans="1:12" x14ac:dyDescent="0.3">
      <c r="A1200" s="970">
        <v>41640</v>
      </c>
      <c r="B1200" s="1620">
        <f>IFERROR(VLOOKUP($A1200, 'Personalized Bill Menu'!$T$4:$V$93, 1,FALSE), "")</f>
        <v>41640</v>
      </c>
      <c r="C1200" s="1481">
        <f t="shared" si="315"/>
        <v>2014</v>
      </c>
      <c r="D1200" s="1285">
        <f>IFERROR(IF('Personalized Bill Menu'!$B$34&lt;&gt;"Natural Gas",VLOOKUP($A1200,'Personalized Bill Menu'!$T$3:$V$93,3,FALSE),VLOOKUP($A1200,'Personalized Bill Menu'!$T$3:$V$93,2,FALSE)), 0)</f>
        <v>0</v>
      </c>
      <c r="E1200" s="1285">
        <f>IFERROR(IF('Personalized Bill Menu'!$B$34&lt;&gt;"Natural Gas",VLOOKUP($A1200,'Personalized Bill Menu'!$T$3:$V$93,2,FALSE),0), 0)</f>
        <v>0</v>
      </c>
      <c r="F1200" s="1472"/>
      <c r="G1200" s="1472"/>
      <c r="H1200" s="1472"/>
      <c r="I1200" s="1472"/>
      <c r="J1200" s="1472"/>
      <c r="K1200" s="1472"/>
      <c r="L1200" s="1478"/>
    </row>
    <row r="1201" spans="1:12" x14ac:dyDescent="0.3">
      <c r="A1201" s="970">
        <v>41671</v>
      </c>
      <c r="B1201" s="1620">
        <f>IFERROR(VLOOKUP($A1201, 'Personalized Bill Menu'!$T$4:$V$93, 1,FALSE), "")</f>
        <v>41671</v>
      </c>
      <c r="C1201" s="1481">
        <f t="shared" si="315"/>
        <v>2014</v>
      </c>
      <c r="D1201" s="1285">
        <f>IFERROR(IF('Personalized Bill Menu'!$B$34&lt;&gt;"Natural Gas",VLOOKUP($A1201,'Personalized Bill Menu'!$T$3:$V$93,3,FALSE),VLOOKUP($A1201,'Personalized Bill Menu'!$T$3:$V$93,2,FALSE)), 0)</f>
        <v>0</v>
      </c>
      <c r="E1201" s="1285">
        <f>IFERROR(IF('Personalized Bill Menu'!$B$34&lt;&gt;"Natural Gas",VLOOKUP($A1201,'Personalized Bill Menu'!$T$3:$V$93,2,FALSE),0), 0)</f>
        <v>0</v>
      </c>
      <c r="F1201" s="1472"/>
      <c r="G1201" s="1472"/>
      <c r="H1201" s="1472"/>
      <c r="I1201" s="1472"/>
      <c r="J1201" s="1472"/>
      <c r="K1201" s="1472"/>
      <c r="L1201" s="1478"/>
    </row>
    <row r="1202" spans="1:12" x14ac:dyDescent="0.3">
      <c r="A1202" s="970">
        <v>41699</v>
      </c>
      <c r="B1202" s="1620">
        <f>IFERROR(VLOOKUP($A1202, 'Personalized Bill Menu'!$T$4:$V$93, 1,FALSE), "")</f>
        <v>41699</v>
      </c>
      <c r="C1202" s="1481">
        <f t="shared" si="315"/>
        <v>2014</v>
      </c>
      <c r="D1202" s="1285">
        <f>IFERROR(IF('Personalized Bill Menu'!$B$34&lt;&gt;"Natural Gas",VLOOKUP($A1202,'Personalized Bill Menu'!$T$3:$V$93,3,FALSE),VLOOKUP($A1202,'Personalized Bill Menu'!$T$3:$V$93,2,FALSE)), 0)</f>
        <v>0</v>
      </c>
      <c r="E1202" s="1285">
        <f>IFERROR(IF('Personalized Bill Menu'!$B$34&lt;&gt;"Natural Gas",VLOOKUP($A1202,'Personalized Bill Menu'!$T$3:$V$93,2,FALSE),0), 0)</f>
        <v>0</v>
      </c>
      <c r="F1202" s="1472"/>
      <c r="G1202" s="1472"/>
      <c r="H1202" s="1472"/>
      <c r="I1202" s="1472"/>
      <c r="J1202" s="1472"/>
      <c r="K1202" s="1472"/>
      <c r="L1202" s="1478"/>
    </row>
    <row r="1203" spans="1:12" x14ac:dyDescent="0.3">
      <c r="A1203" s="970">
        <v>41730</v>
      </c>
      <c r="B1203" s="1620">
        <f>IFERROR(VLOOKUP($A1203, 'Personalized Bill Menu'!$T$4:$V$93, 1,FALSE), "")</f>
        <v>41730</v>
      </c>
      <c r="C1203" s="1481">
        <f t="shared" si="315"/>
        <v>2014</v>
      </c>
      <c r="D1203" s="1285">
        <f>IFERROR(IF('Personalized Bill Menu'!$B$34&lt;&gt;"Natural Gas",VLOOKUP($A1203,'Personalized Bill Menu'!$T$3:$V$93,3,FALSE),VLOOKUP($A1203,'Personalized Bill Menu'!$T$3:$V$93,2,FALSE)), 0)</f>
        <v>0</v>
      </c>
      <c r="E1203" s="1285">
        <f>IFERROR(IF('Personalized Bill Menu'!$B$34&lt;&gt;"Natural Gas",VLOOKUP($A1203,'Personalized Bill Menu'!$T$3:$V$93,2,FALSE),0), 0)</f>
        <v>0</v>
      </c>
      <c r="F1203" s="1472"/>
      <c r="G1203" s="1472"/>
      <c r="H1203" s="1472"/>
      <c r="I1203" s="1472"/>
      <c r="J1203" s="1472"/>
      <c r="K1203" s="1472"/>
      <c r="L1203" s="1478"/>
    </row>
    <row r="1204" spans="1:12" x14ac:dyDescent="0.3">
      <c r="A1204" s="970">
        <v>41760</v>
      </c>
      <c r="B1204" s="1620">
        <f>IFERROR(VLOOKUP($A1204, 'Personalized Bill Menu'!$T$4:$V$93, 1,FALSE), "")</f>
        <v>41760</v>
      </c>
      <c r="C1204" s="1481">
        <f t="shared" si="315"/>
        <v>2014</v>
      </c>
      <c r="D1204" s="1285">
        <f>IFERROR(IF('Personalized Bill Menu'!$B$34&lt;&gt;"Natural Gas",VLOOKUP($A1204,'Personalized Bill Menu'!$T$3:$V$93,3,FALSE),VLOOKUP($A1204,'Personalized Bill Menu'!$T$3:$V$93,2,FALSE)), 0)</f>
        <v>0</v>
      </c>
      <c r="E1204" s="1285">
        <f>IFERROR(IF('Personalized Bill Menu'!$B$34&lt;&gt;"Natural Gas",VLOOKUP($A1204,'Personalized Bill Menu'!$T$3:$V$93,2,FALSE),0), 0)</f>
        <v>0</v>
      </c>
      <c r="F1204" s="1472"/>
      <c r="G1204" s="1472"/>
      <c r="H1204" s="1472"/>
      <c r="I1204" s="1472"/>
      <c r="J1204" s="1472"/>
      <c r="K1204" s="1472"/>
      <c r="L1204" s="1478"/>
    </row>
    <row r="1205" spans="1:12" x14ac:dyDescent="0.3">
      <c r="A1205" s="970">
        <v>41791</v>
      </c>
      <c r="B1205" s="1620">
        <f>IFERROR(VLOOKUP($A1205, 'Personalized Bill Menu'!$T$4:$V$93, 1,FALSE), "")</f>
        <v>41791</v>
      </c>
      <c r="C1205" s="1481">
        <f t="shared" si="315"/>
        <v>2014</v>
      </c>
      <c r="D1205" s="1285">
        <f>IFERROR(IF('Personalized Bill Menu'!$B$34&lt;&gt;"Natural Gas",VLOOKUP($A1205,'Personalized Bill Menu'!$T$3:$V$93,3,FALSE),VLOOKUP($A1205,'Personalized Bill Menu'!$T$3:$V$93,2,FALSE)), 0)</f>
        <v>0</v>
      </c>
      <c r="E1205" s="1285">
        <f>IFERROR(IF('Personalized Bill Menu'!$B$34&lt;&gt;"Natural Gas",VLOOKUP($A1205,'Personalized Bill Menu'!$T$3:$V$93,2,FALSE),0), 0)</f>
        <v>0</v>
      </c>
      <c r="F1205" s="1472"/>
      <c r="G1205" s="1472"/>
      <c r="H1205" s="1472"/>
      <c r="I1205" s="1472"/>
      <c r="J1205" s="1472"/>
      <c r="K1205" s="1472"/>
      <c r="L1205" s="1478"/>
    </row>
    <row r="1206" spans="1:12" x14ac:dyDescent="0.3">
      <c r="A1206" s="970">
        <v>41821</v>
      </c>
      <c r="B1206" s="1620">
        <f>IFERROR(VLOOKUP($A1206, 'Personalized Bill Menu'!$T$4:$V$93, 1,FALSE), "")</f>
        <v>41821</v>
      </c>
      <c r="C1206" s="1481">
        <f t="shared" si="315"/>
        <v>2014</v>
      </c>
      <c r="D1206" s="1285">
        <f>IFERROR(IF('Personalized Bill Menu'!$B$34&lt;&gt;"Natural Gas",VLOOKUP($A1206,'Personalized Bill Menu'!$T$3:$V$93,3,FALSE),VLOOKUP($A1206,'Personalized Bill Menu'!$T$3:$V$93,2,FALSE)), 0)</f>
        <v>0</v>
      </c>
      <c r="E1206" s="1285">
        <f>IFERROR(IF('Personalized Bill Menu'!$B$34&lt;&gt;"Natural Gas",VLOOKUP($A1206,'Personalized Bill Menu'!$T$3:$V$93,2,FALSE),0), 0)</f>
        <v>0</v>
      </c>
      <c r="F1206" s="1472"/>
      <c r="G1206" s="1472"/>
      <c r="H1206" s="1472"/>
      <c r="I1206" s="1472"/>
      <c r="J1206" s="1472"/>
      <c r="K1206" s="1472"/>
      <c r="L1206" s="1478"/>
    </row>
    <row r="1207" spans="1:12" x14ac:dyDescent="0.3">
      <c r="A1207" s="970">
        <v>41852</v>
      </c>
      <c r="B1207" s="1620">
        <f>IFERROR(VLOOKUP($A1207, 'Personalized Bill Menu'!$T$4:$V$93, 1,FALSE), "")</f>
        <v>41852</v>
      </c>
      <c r="C1207" s="1481">
        <f t="shared" si="315"/>
        <v>2014</v>
      </c>
      <c r="D1207" s="1285">
        <f>IFERROR(IF('Personalized Bill Menu'!$B$34&lt;&gt;"Natural Gas",VLOOKUP($A1207,'Personalized Bill Menu'!$T$3:$V$93,3,FALSE),VLOOKUP($A1207,'Personalized Bill Menu'!$T$3:$V$93,2,FALSE)), 0)</f>
        <v>0</v>
      </c>
      <c r="E1207" s="1285">
        <f>IFERROR(IF('Personalized Bill Menu'!$B$34&lt;&gt;"Natural Gas",VLOOKUP($A1207,'Personalized Bill Menu'!$T$3:$V$93,2,FALSE),0), 0)</f>
        <v>0</v>
      </c>
      <c r="F1207" s="1472"/>
      <c r="G1207" s="1472"/>
      <c r="H1207" s="1472"/>
      <c r="I1207" s="1472"/>
      <c r="J1207" s="1472"/>
      <c r="K1207" s="1472"/>
      <c r="L1207" s="1478"/>
    </row>
    <row r="1208" spans="1:12" x14ac:dyDescent="0.3">
      <c r="A1208" s="970">
        <v>41883</v>
      </c>
      <c r="B1208" s="1620">
        <f>IFERROR(VLOOKUP($A1208, 'Personalized Bill Menu'!$T$4:$V$93, 1,FALSE), "")</f>
        <v>41883</v>
      </c>
      <c r="C1208" s="1481">
        <f t="shared" si="315"/>
        <v>2014</v>
      </c>
      <c r="D1208" s="1285">
        <f>IFERROR(IF('Personalized Bill Menu'!$B$34&lt;&gt;"Natural Gas",VLOOKUP($A1208,'Personalized Bill Menu'!$T$3:$V$93,3,FALSE),VLOOKUP($A1208,'Personalized Bill Menu'!$T$3:$V$93,2,FALSE)), 0)</f>
        <v>0</v>
      </c>
      <c r="E1208" s="1285">
        <f>IFERROR(IF('Personalized Bill Menu'!$B$34&lt;&gt;"Natural Gas",VLOOKUP($A1208,'Personalized Bill Menu'!$T$3:$V$93,2,FALSE),0), 0)</f>
        <v>0</v>
      </c>
      <c r="F1208" s="1472"/>
      <c r="G1208" s="1472"/>
      <c r="H1208" s="1472"/>
      <c r="I1208" s="1472"/>
      <c r="J1208" s="1472"/>
      <c r="K1208" s="1472"/>
      <c r="L1208" s="1478"/>
    </row>
    <row r="1209" spans="1:12" x14ac:dyDescent="0.3">
      <c r="A1209" s="970">
        <v>41913</v>
      </c>
      <c r="B1209" s="1620">
        <f>IFERROR(VLOOKUP($A1209, 'Personalized Bill Menu'!$T$4:$V$93, 1,FALSE), "")</f>
        <v>41913</v>
      </c>
      <c r="C1209" s="1481">
        <f t="shared" si="315"/>
        <v>2014</v>
      </c>
      <c r="D1209" s="1285">
        <f>IFERROR(IF('Personalized Bill Menu'!$B$34&lt;&gt;"Natural Gas",VLOOKUP($A1209,'Personalized Bill Menu'!$T$3:$V$93,3,FALSE),VLOOKUP($A1209,'Personalized Bill Menu'!$T$3:$V$93,2,FALSE)), 0)</f>
        <v>0</v>
      </c>
      <c r="E1209" s="1285">
        <f>IFERROR(IF('Personalized Bill Menu'!$B$34&lt;&gt;"Natural Gas",VLOOKUP($A1209,'Personalized Bill Menu'!$T$3:$V$93,2,FALSE),0), 0)</f>
        <v>0</v>
      </c>
      <c r="F1209" s="1472"/>
      <c r="G1209" s="1472"/>
      <c r="H1209" s="1472"/>
      <c r="I1209" s="1472"/>
      <c r="J1209" s="1472"/>
      <c r="K1209" s="1472"/>
      <c r="L1209" s="1478"/>
    </row>
    <row r="1210" spans="1:12" x14ac:dyDescent="0.3">
      <c r="A1210" s="970">
        <v>41944</v>
      </c>
      <c r="B1210" s="1620">
        <f>IFERROR(VLOOKUP($A1210, 'Personalized Bill Menu'!$T$4:$V$93, 1,FALSE), "")</f>
        <v>41944</v>
      </c>
      <c r="C1210" s="1481">
        <f t="shared" si="315"/>
        <v>2014</v>
      </c>
      <c r="D1210" s="1285">
        <f>IFERROR(IF('Personalized Bill Menu'!$B$34&lt;&gt;"Natural Gas",VLOOKUP($A1210,'Personalized Bill Menu'!$T$3:$V$93,3,FALSE),VLOOKUP($A1210,'Personalized Bill Menu'!$T$3:$V$93,2,FALSE)), 0)</f>
        <v>0</v>
      </c>
      <c r="E1210" s="1285">
        <f>IFERROR(IF('Personalized Bill Menu'!$B$34&lt;&gt;"Natural Gas",VLOOKUP($A1210,'Personalized Bill Menu'!$T$3:$V$93,2,FALSE),0), 0)</f>
        <v>0</v>
      </c>
      <c r="F1210" s="1472"/>
      <c r="G1210" s="1472"/>
      <c r="H1210" s="1472"/>
      <c r="I1210" s="1472"/>
      <c r="J1210" s="1472"/>
      <c r="K1210" s="1472"/>
      <c r="L1210" s="1478"/>
    </row>
    <row r="1211" spans="1:12" x14ac:dyDescent="0.3">
      <c r="A1211" s="970">
        <v>41974</v>
      </c>
      <c r="B1211" s="1620">
        <f>IFERROR(VLOOKUP($A1211, 'Personalized Bill Menu'!$T$4:$V$93, 1,FALSE), "")</f>
        <v>41974</v>
      </c>
      <c r="C1211" s="1481">
        <f t="shared" si="315"/>
        <v>2014</v>
      </c>
      <c r="D1211" s="1285">
        <f>IFERROR(IF('Personalized Bill Menu'!$B$34&lt;&gt;"Natural Gas",VLOOKUP($A1211,'Personalized Bill Menu'!$T$3:$V$93,3,FALSE),VLOOKUP($A1211,'Personalized Bill Menu'!$T$3:$V$93,2,FALSE)), 0)</f>
        <v>0</v>
      </c>
      <c r="E1211" s="1285">
        <f>IFERROR(IF('Personalized Bill Menu'!$B$34&lt;&gt;"Natural Gas",VLOOKUP($A1211,'Personalized Bill Menu'!$T$3:$V$93,2,FALSE),0), 0)</f>
        <v>0</v>
      </c>
      <c r="F1211" s="1472"/>
      <c r="G1211" s="1472"/>
      <c r="H1211" s="1472"/>
      <c r="I1211" s="1472"/>
      <c r="J1211" s="1472"/>
      <c r="K1211" s="1472"/>
      <c r="L1211" s="1478"/>
    </row>
    <row r="1212" spans="1:12" x14ac:dyDescent="0.3">
      <c r="A1212" s="970">
        <v>42005</v>
      </c>
      <c r="B1212" s="1620">
        <f>IFERROR(VLOOKUP($A1212, 'Personalized Bill Menu'!$T$4:$V$93, 1,FALSE), "")</f>
        <v>42005</v>
      </c>
      <c r="C1212" s="1481">
        <f t="shared" si="315"/>
        <v>2015</v>
      </c>
      <c r="D1212" s="1285">
        <f>IFERROR(IF('Personalized Bill Menu'!$B$34&lt;&gt;"Natural Gas",VLOOKUP($A1212,'Personalized Bill Menu'!$T$3:$V$93,3,FALSE),VLOOKUP($A1212,'Personalized Bill Menu'!$T$3:$V$93,2,FALSE)), 0)</f>
        <v>0</v>
      </c>
      <c r="E1212" s="1285">
        <f>IFERROR(IF('Personalized Bill Menu'!$B$34&lt;&gt;"Natural Gas",VLOOKUP($A1212,'Personalized Bill Menu'!$T$3:$V$93,2,FALSE),0), 0)</f>
        <v>0</v>
      </c>
      <c r="F1212" s="1472"/>
      <c r="G1212" s="1472"/>
      <c r="H1212" s="1472"/>
      <c r="I1212" s="1472"/>
      <c r="J1212" s="1472"/>
      <c r="K1212" s="1472"/>
      <c r="L1212" s="1478"/>
    </row>
    <row r="1213" spans="1:12" x14ac:dyDescent="0.3">
      <c r="A1213" s="970">
        <v>42036</v>
      </c>
      <c r="B1213" s="1620">
        <f>IFERROR(VLOOKUP($A1213, 'Personalized Bill Menu'!$T$4:$V$93, 1,FALSE), "")</f>
        <v>42036</v>
      </c>
      <c r="C1213" s="1481">
        <f t="shared" si="315"/>
        <v>2015</v>
      </c>
      <c r="D1213" s="1285">
        <f>IFERROR(IF('Personalized Bill Menu'!$B$34&lt;&gt;"Natural Gas",VLOOKUP($A1213,'Personalized Bill Menu'!$T$3:$V$93,3,FALSE),VLOOKUP($A1213,'Personalized Bill Menu'!$T$3:$V$93,2,FALSE)), 0)</f>
        <v>0</v>
      </c>
      <c r="E1213" s="1285">
        <f>IFERROR(IF('Personalized Bill Menu'!$B$34&lt;&gt;"Natural Gas",VLOOKUP($A1213,'Personalized Bill Menu'!$T$3:$V$93,2,FALSE),0), 0)</f>
        <v>0</v>
      </c>
      <c r="F1213" s="1472"/>
      <c r="G1213" s="1472"/>
      <c r="H1213" s="1472"/>
      <c r="I1213" s="1472"/>
      <c r="J1213" s="1472"/>
      <c r="K1213" s="1472"/>
      <c r="L1213" s="1478"/>
    </row>
    <row r="1214" spans="1:12" x14ac:dyDescent="0.3">
      <c r="A1214" s="970">
        <v>42064</v>
      </c>
      <c r="B1214" s="1620">
        <f>IFERROR(VLOOKUP($A1214, 'Personalized Bill Menu'!$T$4:$V$93, 1,FALSE), "")</f>
        <v>42064</v>
      </c>
      <c r="C1214" s="1481">
        <f t="shared" si="315"/>
        <v>2015</v>
      </c>
      <c r="D1214" s="1285">
        <f>IFERROR(IF('Personalized Bill Menu'!$B$34&lt;&gt;"Natural Gas",VLOOKUP($A1214,'Personalized Bill Menu'!$T$3:$V$93,3,FALSE),VLOOKUP($A1214,'Personalized Bill Menu'!$T$3:$V$93,2,FALSE)), 0)</f>
        <v>0</v>
      </c>
      <c r="E1214" s="1285">
        <f>IFERROR(IF('Personalized Bill Menu'!$B$34&lt;&gt;"Natural Gas",VLOOKUP($A1214,'Personalized Bill Menu'!$T$3:$V$93,2,FALSE),0), 0)</f>
        <v>0</v>
      </c>
      <c r="F1214" s="1472"/>
      <c r="G1214" s="1472"/>
      <c r="H1214" s="1472"/>
      <c r="I1214" s="1472"/>
      <c r="J1214" s="1472"/>
      <c r="K1214" s="1472"/>
      <c r="L1214" s="1478"/>
    </row>
    <row r="1215" spans="1:12" x14ac:dyDescent="0.3">
      <c r="A1215" s="970">
        <v>42095</v>
      </c>
      <c r="B1215" s="1620">
        <f>IFERROR(VLOOKUP($A1215, 'Personalized Bill Menu'!$T$4:$V$93, 1,FALSE), "")</f>
        <v>42095</v>
      </c>
      <c r="C1215" s="1481">
        <f t="shared" si="315"/>
        <v>2015</v>
      </c>
      <c r="D1215" s="1285">
        <f>IFERROR(IF('Personalized Bill Menu'!$B$34&lt;&gt;"Natural Gas",VLOOKUP($A1215,'Personalized Bill Menu'!$T$3:$V$93,3,FALSE),VLOOKUP($A1215,'Personalized Bill Menu'!$T$3:$V$93,2,FALSE)), 0)</f>
        <v>0</v>
      </c>
      <c r="E1215" s="1285">
        <f>IFERROR(IF('Personalized Bill Menu'!$B$34&lt;&gt;"Natural Gas",VLOOKUP($A1215,'Personalized Bill Menu'!$T$3:$V$93,2,FALSE),0), 0)</f>
        <v>0</v>
      </c>
      <c r="F1215" s="1472"/>
      <c r="G1215" s="1472"/>
      <c r="H1215" s="1472"/>
      <c r="I1215" s="1472"/>
      <c r="J1215" s="1472"/>
      <c r="K1215" s="1472"/>
      <c r="L1215" s="1478"/>
    </row>
    <row r="1216" spans="1:12" x14ac:dyDescent="0.3">
      <c r="A1216" s="970">
        <v>42125</v>
      </c>
      <c r="B1216" s="1620">
        <f>IFERROR(VLOOKUP($A1216, 'Personalized Bill Menu'!$T$4:$V$93, 1,FALSE), "")</f>
        <v>42125</v>
      </c>
      <c r="C1216" s="1481">
        <f t="shared" si="315"/>
        <v>2015</v>
      </c>
      <c r="D1216" s="1285">
        <f>IFERROR(IF('Personalized Bill Menu'!$B$34&lt;&gt;"Natural Gas",VLOOKUP($A1216,'Personalized Bill Menu'!$T$3:$V$93,3,FALSE),VLOOKUP($A1216,'Personalized Bill Menu'!$T$3:$V$93,2,FALSE)), 0)</f>
        <v>0</v>
      </c>
      <c r="E1216" s="1285">
        <f>IFERROR(IF('Personalized Bill Menu'!$B$34&lt;&gt;"Natural Gas",VLOOKUP($A1216,'Personalized Bill Menu'!$T$3:$V$93,2,FALSE),0), 0)</f>
        <v>0</v>
      </c>
      <c r="F1216" s="1472"/>
      <c r="G1216" s="1472"/>
      <c r="H1216" s="1472"/>
      <c r="I1216" s="1472"/>
      <c r="J1216" s="1472"/>
      <c r="K1216" s="1472"/>
      <c r="L1216" s="1478"/>
    </row>
    <row r="1217" spans="1:12" x14ac:dyDescent="0.3">
      <c r="A1217" s="970">
        <v>42156</v>
      </c>
      <c r="B1217" s="1620">
        <f>IFERROR(VLOOKUP($A1217, 'Personalized Bill Menu'!$T$4:$V$93, 1,FALSE), "")</f>
        <v>42156</v>
      </c>
      <c r="C1217" s="1481">
        <f t="shared" si="315"/>
        <v>2015</v>
      </c>
      <c r="D1217" s="1285">
        <f>IFERROR(IF('Personalized Bill Menu'!$B$34&lt;&gt;"Natural Gas",VLOOKUP($A1217,'Personalized Bill Menu'!$T$3:$V$93,3,FALSE),VLOOKUP($A1217,'Personalized Bill Menu'!$T$3:$V$93,2,FALSE)), 0)</f>
        <v>0</v>
      </c>
      <c r="E1217" s="1285">
        <f>IFERROR(IF('Personalized Bill Menu'!$B$34&lt;&gt;"Natural Gas",VLOOKUP($A1217,'Personalized Bill Menu'!$T$3:$V$93,2,FALSE),0), 0)</f>
        <v>0</v>
      </c>
      <c r="F1217" s="1472"/>
      <c r="G1217" s="1472"/>
      <c r="H1217" s="1472"/>
      <c r="I1217" s="1472"/>
      <c r="J1217" s="1472"/>
      <c r="K1217" s="1472"/>
      <c r="L1217" s="1478"/>
    </row>
    <row r="1218" spans="1:12" x14ac:dyDescent="0.3">
      <c r="A1218" s="970">
        <v>42186</v>
      </c>
      <c r="B1218" s="1620">
        <f>IFERROR(VLOOKUP($A1218, 'Personalized Bill Menu'!$T$4:$V$93, 1,FALSE), "")</f>
        <v>42186</v>
      </c>
      <c r="C1218" s="1481">
        <f t="shared" si="315"/>
        <v>2015</v>
      </c>
      <c r="D1218" s="1285">
        <f>IFERROR(IF('Personalized Bill Menu'!$B$34&lt;&gt;"Natural Gas",VLOOKUP($A1218,'Personalized Bill Menu'!$T$3:$V$93,3,FALSE),VLOOKUP($A1218,'Personalized Bill Menu'!$T$3:$V$93,2,FALSE)), 0)</f>
        <v>0</v>
      </c>
      <c r="E1218" s="1285">
        <f>IFERROR(IF('Personalized Bill Menu'!$B$34&lt;&gt;"Natural Gas",VLOOKUP($A1218,'Personalized Bill Menu'!$T$3:$V$93,2,FALSE),0), 0)</f>
        <v>0</v>
      </c>
      <c r="F1218" s="1472"/>
      <c r="G1218" s="1472"/>
      <c r="H1218" s="1472"/>
      <c r="I1218" s="1472"/>
      <c r="J1218" s="1472"/>
      <c r="K1218" s="1472"/>
      <c r="L1218" s="1478"/>
    </row>
    <row r="1219" spans="1:12" x14ac:dyDescent="0.3">
      <c r="A1219" s="970">
        <v>42217</v>
      </c>
      <c r="B1219" s="1620">
        <f>IFERROR(VLOOKUP($A1219, 'Personalized Bill Menu'!$T$4:$V$93, 1,FALSE), "")</f>
        <v>42217</v>
      </c>
      <c r="C1219" s="1481">
        <f t="shared" si="315"/>
        <v>2015</v>
      </c>
      <c r="D1219" s="1285">
        <f>IFERROR(IF('Personalized Bill Menu'!$B$34&lt;&gt;"Natural Gas",VLOOKUP($A1219,'Personalized Bill Menu'!$T$3:$V$93,3,FALSE),VLOOKUP($A1219,'Personalized Bill Menu'!$T$3:$V$93,2,FALSE)), 0)</f>
        <v>0</v>
      </c>
      <c r="E1219" s="1285">
        <f>IFERROR(IF('Personalized Bill Menu'!$B$34&lt;&gt;"Natural Gas",VLOOKUP($A1219,'Personalized Bill Menu'!$T$3:$V$93,2,FALSE),0), 0)</f>
        <v>0</v>
      </c>
      <c r="F1219" s="1472"/>
      <c r="G1219" s="1472"/>
      <c r="H1219" s="1472"/>
      <c r="I1219" s="1472"/>
      <c r="J1219" s="1472"/>
      <c r="K1219" s="1472"/>
      <c r="L1219" s="1478"/>
    </row>
    <row r="1220" spans="1:12" x14ac:dyDescent="0.3">
      <c r="A1220" s="970">
        <v>42248</v>
      </c>
      <c r="B1220" s="1620">
        <f>IFERROR(VLOOKUP($A1220, 'Personalized Bill Menu'!$T$4:$V$93, 1,FALSE), "")</f>
        <v>42248</v>
      </c>
      <c r="C1220" s="1481">
        <f t="shared" si="315"/>
        <v>2015</v>
      </c>
      <c r="D1220" s="1285">
        <f>IFERROR(IF('Personalized Bill Menu'!$B$34&lt;&gt;"Natural Gas",VLOOKUP($A1220,'Personalized Bill Menu'!$T$3:$V$93,3,FALSE),VLOOKUP($A1220,'Personalized Bill Menu'!$T$3:$V$93,2,FALSE)), 0)</f>
        <v>0</v>
      </c>
      <c r="E1220" s="1285">
        <f>IFERROR(IF('Personalized Bill Menu'!$B$34&lt;&gt;"Natural Gas",VLOOKUP($A1220,'Personalized Bill Menu'!$T$3:$V$93,2,FALSE),0), 0)</f>
        <v>0</v>
      </c>
      <c r="F1220" s="1472"/>
      <c r="G1220" s="1472"/>
      <c r="H1220" s="1472"/>
      <c r="I1220" s="1472"/>
      <c r="J1220" s="1472"/>
      <c r="K1220" s="1472"/>
      <c r="L1220" s="1478"/>
    </row>
    <row r="1221" spans="1:12" x14ac:dyDescent="0.3">
      <c r="A1221" s="970">
        <v>42278</v>
      </c>
      <c r="B1221" s="1620">
        <f>IFERROR(VLOOKUP($A1221, 'Personalized Bill Menu'!$T$4:$V$93, 1,FALSE), "")</f>
        <v>42278</v>
      </c>
      <c r="C1221" s="1481">
        <f t="shared" si="315"/>
        <v>2015</v>
      </c>
      <c r="D1221" s="1285">
        <f>IFERROR(IF('Personalized Bill Menu'!$B$34&lt;&gt;"Natural Gas",VLOOKUP($A1221,'Personalized Bill Menu'!$T$3:$V$93,3,FALSE),VLOOKUP($A1221,'Personalized Bill Menu'!$T$3:$V$93,2,FALSE)), 0)</f>
        <v>0</v>
      </c>
      <c r="E1221" s="1285">
        <f>IFERROR(IF('Personalized Bill Menu'!$B$34&lt;&gt;"Natural Gas",VLOOKUP($A1221,'Personalized Bill Menu'!$T$3:$V$93,2,FALSE),0), 0)</f>
        <v>0</v>
      </c>
      <c r="F1221" s="1472"/>
      <c r="G1221" s="1472"/>
      <c r="H1221" s="1472"/>
      <c r="I1221" s="1472"/>
      <c r="J1221" s="1472"/>
      <c r="K1221" s="1472"/>
      <c r="L1221" s="1478"/>
    </row>
    <row r="1222" spans="1:12" x14ac:dyDescent="0.3">
      <c r="A1222" s="970">
        <v>42309</v>
      </c>
      <c r="B1222" s="1620">
        <f>IFERROR(VLOOKUP($A1222, 'Personalized Bill Menu'!$T$4:$V$93, 1,FALSE), "")</f>
        <v>42309</v>
      </c>
      <c r="C1222" s="1481">
        <f t="shared" si="315"/>
        <v>2015</v>
      </c>
      <c r="D1222" s="1285">
        <f>IFERROR(IF('Personalized Bill Menu'!$B$34&lt;&gt;"Natural Gas",VLOOKUP($A1222,'Personalized Bill Menu'!$T$3:$V$93,3,FALSE),VLOOKUP($A1222,'Personalized Bill Menu'!$T$3:$V$93,2,FALSE)), 0)</f>
        <v>0</v>
      </c>
      <c r="E1222" s="1285">
        <f>IFERROR(IF('Personalized Bill Menu'!$B$34&lt;&gt;"Natural Gas",VLOOKUP($A1222,'Personalized Bill Menu'!$T$3:$V$93,2,FALSE),0), 0)</f>
        <v>0</v>
      </c>
      <c r="F1222" s="1472"/>
      <c r="G1222" s="1472"/>
      <c r="H1222" s="1472"/>
      <c r="I1222" s="1472"/>
      <c r="J1222" s="1472"/>
      <c r="K1222" s="1472"/>
      <c r="L1222" s="1478"/>
    </row>
    <row r="1223" spans="1:12" x14ac:dyDescent="0.3">
      <c r="A1223" s="970">
        <v>42339</v>
      </c>
      <c r="B1223" s="1620">
        <f>IFERROR(VLOOKUP($A1223, 'Personalized Bill Menu'!$T$4:$V$93, 1,FALSE), "")</f>
        <v>42339</v>
      </c>
      <c r="C1223" s="1481">
        <f t="shared" si="315"/>
        <v>2015</v>
      </c>
      <c r="D1223" s="1285">
        <f>IFERROR(IF('Personalized Bill Menu'!$B$34&lt;&gt;"Natural Gas",VLOOKUP($A1223,'Personalized Bill Menu'!$T$3:$V$93,3,FALSE),VLOOKUP($A1223,'Personalized Bill Menu'!$T$3:$V$93,2,FALSE)), 0)</f>
        <v>0</v>
      </c>
      <c r="E1223" s="1285">
        <f>IFERROR(IF('Personalized Bill Menu'!$B$34&lt;&gt;"Natural Gas",VLOOKUP($A1223,'Personalized Bill Menu'!$T$3:$V$93,2,FALSE),0), 0)</f>
        <v>0</v>
      </c>
      <c r="F1223" s="1472"/>
      <c r="G1223" s="1472"/>
      <c r="H1223" s="1472"/>
      <c r="I1223" s="1472"/>
      <c r="J1223" s="1472"/>
      <c r="K1223" s="1472"/>
      <c r="L1223" s="1478"/>
    </row>
    <row r="1224" spans="1:12" x14ac:dyDescent="0.3">
      <c r="A1224" s="970">
        <v>42370</v>
      </c>
      <c r="B1224" s="1620">
        <f>IFERROR(VLOOKUP($A1224, 'Personalized Bill Menu'!$T$4:$V$93, 1,FALSE), "")</f>
        <v>42370</v>
      </c>
      <c r="C1224" s="1481">
        <f t="shared" si="315"/>
        <v>2016</v>
      </c>
      <c r="D1224" s="1285">
        <f>IFERROR(IF('Personalized Bill Menu'!$B$34&lt;&gt;"Natural Gas",VLOOKUP($A1224,'Personalized Bill Menu'!$T$3:$V$93,3,FALSE),VLOOKUP($A1224,'Personalized Bill Menu'!$T$3:$V$93,2,FALSE)), 0)</f>
        <v>0</v>
      </c>
      <c r="E1224" s="1285">
        <f>IFERROR(IF('Personalized Bill Menu'!$B$34&lt;&gt;"Natural Gas",VLOOKUP($A1224,'Personalized Bill Menu'!$T$3:$V$93,2,FALSE),0), 0)</f>
        <v>0</v>
      </c>
      <c r="F1224" s="1472"/>
      <c r="G1224" s="1472"/>
      <c r="H1224" s="1472"/>
      <c r="I1224" s="1472"/>
      <c r="J1224" s="1472"/>
      <c r="K1224" s="1472"/>
      <c r="L1224" s="1478"/>
    </row>
    <row r="1225" spans="1:12" x14ac:dyDescent="0.3">
      <c r="A1225" s="970">
        <v>42401</v>
      </c>
      <c r="B1225" s="1620">
        <f>IFERROR(VLOOKUP($A1225, 'Personalized Bill Menu'!$T$4:$V$93, 1,FALSE), "")</f>
        <v>42401</v>
      </c>
      <c r="C1225" s="1481">
        <f t="shared" si="315"/>
        <v>2016</v>
      </c>
      <c r="D1225" s="1285">
        <f>IFERROR(IF('Personalized Bill Menu'!$B$34&lt;&gt;"Natural Gas",VLOOKUP($A1225,'Personalized Bill Menu'!$T$3:$V$93,3,FALSE),VLOOKUP($A1225,'Personalized Bill Menu'!$T$3:$V$93,2,FALSE)), 0)</f>
        <v>0</v>
      </c>
      <c r="E1225" s="1285">
        <f>IFERROR(IF('Personalized Bill Menu'!$B$34&lt;&gt;"Natural Gas",VLOOKUP($A1225,'Personalized Bill Menu'!$T$3:$V$93,2,FALSE),0), 0)</f>
        <v>0</v>
      </c>
      <c r="F1225" s="1472"/>
      <c r="G1225" s="1472"/>
      <c r="H1225" s="1472"/>
      <c r="I1225" s="1472"/>
      <c r="J1225" s="1472"/>
      <c r="K1225" s="1472"/>
      <c r="L1225" s="1478"/>
    </row>
    <row r="1226" spans="1:12" x14ac:dyDescent="0.3">
      <c r="A1226" s="970">
        <v>42430</v>
      </c>
      <c r="B1226" s="1620">
        <f>IFERROR(VLOOKUP($A1226, 'Personalized Bill Menu'!$T$4:$V$93, 1,FALSE), "")</f>
        <v>42430</v>
      </c>
      <c r="C1226" s="1481">
        <f t="shared" si="315"/>
        <v>2016</v>
      </c>
      <c r="D1226" s="1285">
        <f>IFERROR(IF('Personalized Bill Menu'!$B$34&lt;&gt;"Natural Gas",VLOOKUP($A1226,'Personalized Bill Menu'!$T$3:$V$93,3,FALSE),VLOOKUP($A1226,'Personalized Bill Menu'!$T$3:$V$93,2,FALSE)), 0)</f>
        <v>0</v>
      </c>
      <c r="E1226" s="1285">
        <f>IFERROR(IF('Personalized Bill Menu'!$B$34&lt;&gt;"Natural Gas",VLOOKUP($A1226,'Personalized Bill Menu'!$T$3:$V$93,2,FALSE),0), 0)</f>
        <v>0</v>
      </c>
      <c r="F1226" s="1472"/>
      <c r="G1226" s="1472"/>
      <c r="H1226" s="1472"/>
      <c r="I1226" s="1472"/>
      <c r="J1226" s="1472"/>
      <c r="K1226" s="1472"/>
      <c r="L1226" s="1478"/>
    </row>
    <row r="1227" spans="1:12" x14ac:dyDescent="0.3">
      <c r="A1227" s="970">
        <v>42461</v>
      </c>
      <c r="B1227" s="1620">
        <f>IFERROR(VLOOKUP($A1227, 'Personalized Bill Menu'!$T$4:$V$93, 1,FALSE), "")</f>
        <v>42461</v>
      </c>
      <c r="C1227" s="1481">
        <f t="shared" si="315"/>
        <v>2016</v>
      </c>
      <c r="D1227" s="1285">
        <f>IFERROR(IF('Personalized Bill Menu'!$B$34&lt;&gt;"Natural Gas",VLOOKUP($A1227,'Personalized Bill Menu'!$T$3:$V$93,3,FALSE),VLOOKUP($A1227,'Personalized Bill Menu'!$T$3:$V$93,2,FALSE)), 0)</f>
        <v>0</v>
      </c>
      <c r="E1227" s="1285">
        <f>IFERROR(IF('Personalized Bill Menu'!$B$34&lt;&gt;"Natural Gas",VLOOKUP($A1227,'Personalized Bill Menu'!$T$3:$V$93,2,FALSE),0), 0)</f>
        <v>0</v>
      </c>
      <c r="F1227" s="1472"/>
      <c r="G1227" s="1472"/>
      <c r="H1227" s="1472"/>
      <c r="I1227" s="1472"/>
      <c r="J1227" s="1472"/>
      <c r="K1227" s="1472"/>
      <c r="L1227" s="1478"/>
    </row>
    <row r="1228" spans="1:12" x14ac:dyDescent="0.3">
      <c r="A1228" s="970">
        <v>42491</v>
      </c>
      <c r="B1228" s="1620">
        <f>IFERROR(VLOOKUP($A1228, 'Personalized Bill Menu'!$T$4:$V$93, 1,FALSE), "")</f>
        <v>42491</v>
      </c>
      <c r="C1228" s="1481">
        <f t="shared" ref="C1228:C1253" si="317">YEAR(A1228)</f>
        <v>2016</v>
      </c>
      <c r="D1228" s="1285">
        <f>IFERROR(IF('Personalized Bill Menu'!$B$34&lt;&gt;"Natural Gas",VLOOKUP($A1228,'Personalized Bill Menu'!$T$3:$V$93,3,FALSE),VLOOKUP($A1228,'Personalized Bill Menu'!$T$3:$V$93,2,FALSE)), 0)</f>
        <v>0</v>
      </c>
      <c r="E1228" s="1285">
        <f>IFERROR(IF('Personalized Bill Menu'!$B$34&lt;&gt;"Natural Gas",VLOOKUP($A1228,'Personalized Bill Menu'!$T$3:$V$93,2,FALSE),0), 0)</f>
        <v>0</v>
      </c>
      <c r="F1228" s="1472"/>
      <c r="G1228" s="1472"/>
      <c r="H1228" s="1472"/>
      <c r="I1228" s="1472"/>
      <c r="J1228" s="1472"/>
      <c r="K1228" s="1472"/>
      <c r="L1228" s="1478"/>
    </row>
    <row r="1229" spans="1:12" x14ac:dyDescent="0.3">
      <c r="A1229" s="970">
        <v>42522</v>
      </c>
      <c r="B1229" s="1620">
        <f>IFERROR(VLOOKUP($A1229, 'Personalized Bill Menu'!$T$4:$V$93, 1,FALSE), "")</f>
        <v>42522</v>
      </c>
      <c r="C1229" s="1481">
        <f t="shared" si="317"/>
        <v>2016</v>
      </c>
      <c r="D1229" s="1285">
        <f>IFERROR(IF('Personalized Bill Menu'!$B$34&lt;&gt;"Natural Gas",VLOOKUP($A1229,'Personalized Bill Menu'!$T$3:$V$93,3,FALSE),VLOOKUP($A1229,'Personalized Bill Menu'!$T$3:$V$93,2,FALSE)), 0)</f>
        <v>0</v>
      </c>
      <c r="E1229" s="1285">
        <f>IFERROR(IF('Personalized Bill Menu'!$B$34&lt;&gt;"Natural Gas",VLOOKUP($A1229,'Personalized Bill Menu'!$T$3:$V$93,2,FALSE),0), 0)</f>
        <v>0</v>
      </c>
      <c r="F1229" s="1472"/>
      <c r="G1229" s="1472"/>
      <c r="H1229" s="1472"/>
      <c r="I1229" s="1472"/>
      <c r="J1229" s="1472"/>
      <c r="K1229" s="1472"/>
      <c r="L1229" s="1478"/>
    </row>
    <row r="1230" spans="1:12" x14ac:dyDescent="0.3">
      <c r="A1230" s="970">
        <v>42552</v>
      </c>
      <c r="B1230" s="1620">
        <f>IFERROR(VLOOKUP($A1230, 'Personalized Bill Menu'!$T$4:$V$93, 1,FALSE), "")</f>
        <v>42552</v>
      </c>
      <c r="C1230" s="1481">
        <f t="shared" si="317"/>
        <v>2016</v>
      </c>
      <c r="D1230" s="1285">
        <f>IFERROR(IF('Personalized Bill Menu'!$B$34&lt;&gt;"Natural Gas",VLOOKUP($A1230,'Personalized Bill Menu'!$T$3:$V$93,3,FALSE),VLOOKUP($A1230,'Personalized Bill Menu'!$T$3:$V$93,2,FALSE)), 0)</f>
        <v>0</v>
      </c>
      <c r="E1230" s="1285">
        <f>IFERROR(IF('Personalized Bill Menu'!$B$34&lt;&gt;"Natural Gas",VLOOKUP($A1230,'Personalized Bill Menu'!$T$3:$V$93,2,FALSE),0), 0)</f>
        <v>0</v>
      </c>
      <c r="F1230" s="1472"/>
      <c r="G1230" s="1472"/>
      <c r="H1230" s="1472"/>
      <c r="I1230" s="1472"/>
      <c r="J1230" s="1472"/>
      <c r="K1230" s="1472"/>
      <c r="L1230" s="1478"/>
    </row>
    <row r="1231" spans="1:12" x14ac:dyDescent="0.3">
      <c r="A1231" s="970">
        <v>42583</v>
      </c>
      <c r="B1231" s="1620">
        <f>IFERROR(VLOOKUP($A1231, 'Personalized Bill Menu'!$T$4:$V$93, 1,FALSE), "")</f>
        <v>42583</v>
      </c>
      <c r="C1231" s="1481">
        <f t="shared" si="317"/>
        <v>2016</v>
      </c>
      <c r="D1231" s="1285">
        <f>IFERROR(IF('Personalized Bill Menu'!$B$34&lt;&gt;"Natural Gas",VLOOKUP($A1231,'Personalized Bill Menu'!$T$3:$V$93,3,FALSE),VLOOKUP($A1231,'Personalized Bill Menu'!$T$3:$V$93,2,FALSE)), 0)</f>
        <v>0</v>
      </c>
      <c r="E1231" s="1285">
        <f>IFERROR(IF('Personalized Bill Menu'!$B$34&lt;&gt;"Natural Gas",VLOOKUP($A1231,'Personalized Bill Menu'!$T$3:$V$93,2,FALSE),0), 0)</f>
        <v>0</v>
      </c>
      <c r="F1231" s="1472"/>
      <c r="G1231" s="1472"/>
      <c r="H1231" s="1472"/>
      <c r="I1231" s="1472"/>
      <c r="J1231" s="1472"/>
      <c r="K1231" s="1472"/>
      <c r="L1231" s="1478"/>
    </row>
    <row r="1232" spans="1:12" x14ac:dyDescent="0.3">
      <c r="A1232" s="970">
        <v>42614</v>
      </c>
      <c r="B1232" s="1620">
        <f>IFERROR(VLOOKUP($A1232, 'Personalized Bill Menu'!$T$4:$V$93, 1,FALSE), "")</f>
        <v>42614</v>
      </c>
      <c r="C1232" s="1481">
        <f t="shared" si="317"/>
        <v>2016</v>
      </c>
      <c r="D1232" s="1285">
        <f>IFERROR(IF('Personalized Bill Menu'!$B$34&lt;&gt;"Natural Gas",VLOOKUP($A1232,'Personalized Bill Menu'!$T$3:$V$93,3,FALSE),VLOOKUP($A1232,'Personalized Bill Menu'!$T$3:$V$93,2,FALSE)), 0)</f>
        <v>0</v>
      </c>
      <c r="E1232" s="1285">
        <f>IFERROR(IF('Personalized Bill Menu'!$B$34&lt;&gt;"Natural Gas",VLOOKUP($A1232,'Personalized Bill Menu'!$T$3:$V$93,2,FALSE),0), 0)</f>
        <v>0</v>
      </c>
      <c r="F1232" s="1472"/>
      <c r="G1232" s="1472"/>
      <c r="H1232" s="1472"/>
      <c r="I1232" s="1472"/>
      <c r="J1232" s="1472"/>
      <c r="K1232" s="1472"/>
      <c r="L1232" s="1478"/>
    </row>
    <row r="1233" spans="1:12" x14ac:dyDescent="0.3">
      <c r="A1233" s="970">
        <v>42644</v>
      </c>
      <c r="B1233" s="1620">
        <f>IFERROR(VLOOKUP($A1233, 'Personalized Bill Menu'!$T$4:$V$93, 1,FALSE), "")</f>
        <v>42644</v>
      </c>
      <c r="C1233" s="1481">
        <f t="shared" si="317"/>
        <v>2016</v>
      </c>
      <c r="D1233" s="1285">
        <f>IFERROR(IF('Personalized Bill Menu'!$B$34&lt;&gt;"Natural Gas",VLOOKUP($A1233,'Personalized Bill Menu'!$T$3:$V$93,3,FALSE),VLOOKUP($A1233,'Personalized Bill Menu'!$T$3:$V$93,2,FALSE)), 0)</f>
        <v>0</v>
      </c>
      <c r="E1233" s="1285">
        <f>IFERROR(IF('Personalized Bill Menu'!$B$34&lt;&gt;"Natural Gas",VLOOKUP($A1233,'Personalized Bill Menu'!$T$3:$V$93,2,FALSE),0), 0)</f>
        <v>0</v>
      </c>
      <c r="F1233" s="1472"/>
      <c r="G1233" s="1472"/>
      <c r="H1233" s="1472"/>
      <c r="I1233" s="1472"/>
      <c r="J1233" s="1472"/>
      <c r="K1233" s="1472"/>
      <c r="L1233" s="1478"/>
    </row>
    <row r="1234" spans="1:12" x14ac:dyDescent="0.3">
      <c r="A1234" s="970">
        <v>42675</v>
      </c>
      <c r="B1234" s="1620">
        <f>IFERROR(VLOOKUP($A1234, 'Personalized Bill Menu'!$T$4:$V$93, 1,FALSE), "")</f>
        <v>42675</v>
      </c>
      <c r="C1234" s="1481">
        <f t="shared" si="317"/>
        <v>2016</v>
      </c>
      <c r="D1234" s="1285">
        <f>IFERROR(IF('Personalized Bill Menu'!$B$34&lt;&gt;"Natural Gas",VLOOKUP($A1234,'Personalized Bill Menu'!$T$3:$V$93,3,FALSE),VLOOKUP($A1234,'Personalized Bill Menu'!$T$3:$V$93,2,FALSE)), 0)</f>
        <v>0</v>
      </c>
      <c r="E1234" s="1285">
        <f>IFERROR(IF('Personalized Bill Menu'!$B$34&lt;&gt;"Natural Gas",VLOOKUP($A1234,'Personalized Bill Menu'!$T$3:$V$93,2,FALSE),0), 0)</f>
        <v>0</v>
      </c>
      <c r="F1234" s="1472"/>
      <c r="G1234" s="1472"/>
      <c r="H1234" s="1472"/>
      <c r="I1234" s="1472"/>
      <c r="J1234" s="1472"/>
      <c r="K1234" s="1472"/>
      <c r="L1234" s="1478"/>
    </row>
    <row r="1235" spans="1:12" x14ac:dyDescent="0.3">
      <c r="A1235" s="970">
        <v>42705</v>
      </c>
      <c r="B1235" s="1620">
        <f>IFERROR(VLOOKUP($A1235, 'Personalized Bill Menu'!$T$4:$V$93, 1,FALSE), "")</f>
        <v>42705</v>
      </c>
      <c r="C1235" s="1481">
        <f t="shared" si="317"/>
        <v>2016</v>
      </c>
      <c r="D1235" s="1285">
        <f>IFERROR(IF('Personalized Bill Menu'!$B$34&lt;&gt;"Natural Gas",VLOOKUP($A1235,'Personalized Bill Menu'!$T$3:$V$93,3,FALSE),VLOOKUP($A1235,'Personalized Bill Menu'!$T$3:$V$93,2,FALSE)), 0)</f>
        <v>0</v>
      </c>
      <c r="E1235" s="1285">
        <f>IFERROR(IF('Personalized Bill Menu'!$B$34&lt;&gt;"Natural Gas",VLOOKUP($A1235,'Personalized Bill Menu'!$T$3:$V$93,2,FALSE),0), 0)</f>
        <v>0</v>
      </c>
      <c r="F1235" s="1472"/>
      <c r="G1235" s="1472"/>
      <c r="H1235" s="1472"/>
      <c r="I1235" s="1472"/>
      <c r="J1235" s="1472"/>
      <c r="K1235" s="1472"/>
      <c r="L1235" s="1478"/>
    </row>
    <row r="1236" spans="1:12" x14ac:dyDescent="0.3">
      <c r="A1236" s="970">
        <v>42736</v>
      </c>
      <c r="B1236" s="1620">
        <f>IFERROR(VLOOKUP($A1236, 'Personalized Bill Menu'!$T$4:$V$93, 1,FALSE), "")</f>
        <v>42736</v>
      </c>
      <c r="C1236" s="1481">
        <f t="shared" si="317"/>
        <v>2017</v>
      </c>
      <c r="D1236" s="1285">
        <f>IFERROR(IF('Personalized Bill Menu'!$B$34&lt;&gt;"Natural Gas",VLOOKUP($A1236,'Personalized Bill Menu'!$T$3:$V$93,3,FALSE),VLOOKUP($A1236,'Personalized Bill Menu'!$T$3:$V$93,2,FALSE)), 0)</f>
        <v>0</v>
      </c>
      <c r="E1236" s="1285">
        <f>IFERROR(IF('Personalized Bill Menu'!$B$34&lt;&gt;"Natural Gas",VLOOKUP($A1236,'Personalized Bill Menu'!$T$3:$V$93,2,FALSE),0), 0)</f>
        <v>0</v>
      </c>
      <c r="F1236" s="1472"/>
      <c r="G1236" s="1472"/>
      <c r="H1236" s="1472"/>
      <c r="I1236" s="1472"/>
      <c r="J1236" s="1472"/>
      <c r="K1236" s="1472"/>
      <c r="L1236" s="1478"/>
    </row>
    <row r="1237" spans="1:12" x14ac:dyDescent="0.3">
      <c r="A1237" s="970">
        <v>42767</v>
      </c>
      <c r="B1237" s="1620">
        <f>IFERROR(VLOOKUP($A1237, 'Personalized Bill Menu'!$T$4:$V$93, 1,FALSE), "")</f>
        <v>42767</v>
      </c>
      <c r="C1237" s="1481">
        <f t="shared" si="317"/>
        <v>2017</v>
      </c>
      <c r="D1237" s="1285">
        <f>IFERROR(IF('Personalized Bill Menu'!$B$34&lt;&gt;"Natural Gas",VLOOKUP($A1237,'Personalized Bill Menu'!$T$3:$V$93,3,FALSE),VLOOKUP($A1237,'Personalized Bill Menu'!$T$3:$V$93,2,FALSE)), 0)</f>
        <v>0</v>
      </c>
      <c r="E1237" s="1285">
        <f>IFERROR(IF('Personalized Bill Menu'!$B$34&lt;&gt;"Natural Gas",VLOOKUP($A1237,'Personalized Bill Menu'!$T$3:$V$93,2,FALSE),0), 0)</f>
        <v>0</v>
      </c>
      <c r="F1237" s="1472"/>
      <c r="G1237" s="1472"/>
      <c r="H1237" s="1472"/>
      <c r="I1237" s="1472"/>
      <c r="J1237" s="1472"/>
      <c r="K1237" s="1472"/>
      <c r="L1237" s="1478"/>
    </row>
    <row r="1238" spans="1:12" x14ac:dyDescent="0.3">
      <c r="A1238" s="970">
        <v>42795</v>
      </c>
      <c r="B1238" s="1620">
        <f>IFERROR(VLOOKUP($A1238, 'Personalized Bill Menu'!$T$4:$V$93, 1,FALSE), "")</f>
        <v>42795</v>
      </c>
      <c r="C1238" s="1481">
        <f t="shared" si="317"/>
        <v>2017</v>
      </c>
      <c r="D1238" s="1285">
        <f>IFERROR(IF('Personalized Bill Menu'!$B$34&lt;&gt;"Natural Gas",VLOOKUP($A1238,'Personalized Bill Menu'!$T$3:$V$93,3,FALSE),VLOOKUP($A1238,'Personalized Bill Menu'!$T$3:$V$93,2,FALSE)), 0)</f>
        <v>0</v>
      </c>
      <c r="E1238" s="1285">
        <f>IFERROR(IF('Personalized Bill Menu'!$B$34&lt;&gt;"Natural Gas",VLOOKUP($A1238,'Personalized Bill Menu'!$T$3:$V$93,2,FALSE),0), 0)</f>
        <v>0</v>
      </c>
      <c r="F1238" s="1472"/>
      <c r="G1238" s="1472"/>
      <c r="H1238" s="1472"/>
      <c r="I1238" s="1472"/>
      <c r="J1238" s="1472"/>
      <c r="K1238" s="1472"/>
      <c r="L1238" s="1478"/>
    </row>
    <row r="1239" spans="1:12" x14ac:dyDescent="0.3">
      <c r="A1239" s="970">
        <v>42826</v>
      </c>
      <c r="B1239" s="1620">
        <f>IFERROR(VLOOKUP($A1239, 'Personalized Bill Menu'!$T$4:$V$93, 1,FALSE), "")</f>
        <v>42826</v>
      </c>
      <c r="C1239" s="1481">
        <f t="shared" si="317"/>
        <v>2017</v>
      </c>
      <c r="D1239" s="1285">
        <f>IFERROR(IF('Personalized Bill Menu'!$B$34&lt;&gt;"Natural Gas",VLOOKUP($A1239,'Personalized Bill Menu'!$T$3:$V$93,3,FALSE),VLOOKUP($A1239,'Personalized Bill Menu'!$T$3:$V$93,2,FALSE)), 0)</f>
        <v>0</v>
      </c>
      <c r="E1239" s="1285">
        <f>IFERROR(IF('Personalized Bill Menu'!$B$34&lt;&gt;"Natural Gas",VLOOKUP($A1239,'Personalized Bill Menu'!$T$3:$V$93,2,FALSE),0), 0)</f>
        <v>0</v>
      </c>
      <c r="F1239" s="1472"/>
      <c r="G1239" s="1472"/>
      <c r="H1239" s="1472"/>
      <c r="I1239" s="1472"/>
      <c r="J1239" s="1472"/>
      <c r="K1239" s="1472"/>
      <c r="L1239" s="1478"/>
    </row>
    <row r="1240" spans="1:12" x14ac:dyDescent="0.3">
      <c r="A1240" s="970">
        <v>42856</v>
      </c>
      <c r="B1240" s="1620">
        <f>IFERROR(VLOOKUP($A1240, 'Personalized Bill Menu'!$T$4:$V$93, 1,FALSE), "")</f>
        <v>42856</v>
      </c>
      <c r="C1240" s="1481">
        <f t="shared" si="317"/>
        <v>2017</v>
      </c>
      <c r="D1240" s="1285">
        <f>IFERROR(IF('Personalized Bill Menu'!$B$34&lt;&gt;"Natural Gas",VLOOKUP($A1240,'Personalized Bill Menu'!$T$3:$V$93,3,FALSE),VLOOKUP($A1240,'Personalized Bill Menu'!$T$3:$V$93,2,FALSE)), 0)</f>
        <v>0</v>
      </c>
      <c r="E1240" s="1285">
        <f>IFERROR(IF('Personalized Bill Menu'!$B$34&lt;&gt;"Natural Gas",VLOOKUP($A1240,'Personalized Bill Menu'!$T$3:$V$93,2,FALSE),0), 0)</f>
        <v>0</v>
      </c>
      <c r="F1240" s="1472"/>
      <c r="G1240" s="1472"/>
      <c r="H1240" s="1472"/>
      <c r="I1240" s="1472"/>
      <c r="J1240" s="1472"/>
      <c r="K1240" s="1472"/>
      <c r="L1240" s="1478"/>
    </row>
    <row r="1241" spans="1:12" x14ac:dyDescent="0.3">
      <c r="A1241" s="970">
        <v>42887</v>
      </c>
      <c r="B1241" s="1620">
        <f>IFERROR(VLOOKUP($A1241, 'Personalized Bill Menu'!$T$4:$V$93, 1,FALSE), "")</f>
        <v>42887</v>
      </c>
      <c r="C1241" s="1481">
        <f t="shared" si="317"/>
        <v>2017</v>
      </c>
      <c r="D1241" s="1285">
        <f>IFERROR(IF('Personalized Bill Menu'!$B$34&lt;&gt;"Natural Gas",VLOOKUP($A1241,'Personalized Bill Menu'!$T$3:$V$93,3,FALSE),VLOOKUP($A1241,'Personalized Bill Menu'!$T$3:$V$93,2,FALSE)), 0)</f>
        <v>0</v>
      </c>
      <c r="E1241" s="1285">
        <f>IFERROR(IF('Personalized Bill Menu'!$B$34&lt;&gt;"Natural Gas",VLOOKUP($A1241,'Personalized Bill Menu'!$T$3:$V$93,2,FALSE),0), 0)</f>
        <v>0</v>
      </c>
      <c r="F1241" s="1472"/>
      <c r="G1241" s="1472"/>
      <c r="H1241" s="1472"/>
      <c r="I1241" s="1472"/>
      <c r="J1241" s="1472"/>
      <c r="K1241" s="1472"/>
      <c r="L1241" s="1478"/>
    </row>
    <row r="1242" spans="1:12" x14ac:dyDescent="0.3">
      <c r="A1242" s="970">
        <v>42917</v>
      </c>
      <c r="B1242" s="1620">
        <f>IFERROR(VLOOKUP($A1242, 'Personalized Bill Menu'!$T$4:$V$93, 1,FALSE), "")</f>
        <v>42917</v>
      </c>
      <c r="C1242" s="1481">
        <f t="shared" si="317"/>
        <v>2017</v>
      </c>
      <c r="D1242" s="1285">
        <f>IFERROR(IF('Personalized Bill Menu'!$B$34&lt;&gt;"Natural Gas",VLOOKUP($A1242,'Personalized Bill Menu'!$T$3:$V$93,3,FALSE),VLOOKUP($A1242,'Personalized Bill Menu'!$T$3:$V$93,2,FALSE)), 0)</f>
        <v>0</v>
      </c>
      <c r="E1242" s="1285">
        <f>IFERROR(IF('Personalized Bill Menu'!$B$34&lt;&gt;"Natural Gas",VLOOKUP($A1242,'Personalized Bill Menu'!$T$3:$V$93,2,FALSE),0), 0)</f>
        <v>0</v>
      </c>
      <c r="F1242" s="1472"/>
      <c r="G1242" s="1472"/>
      <c r="H1242" s="1472"/>
      <c r="I1242" s="1472"/>
      <c r="J1242" s="1472"/>
      <c r="K1242" s="1472"/>
      <c r="L1242" s="1478"/>
    </row>
    <row r="1243" spans="1:12" x14ac:dyDescent="0.3">
      <c r="A1243" s="970">
        <v>42948</v>
      </c>
      <c r="B1243" s="1620">
        <f>IFERROR(VLOOKUP($A1243, 'Personalized Bill Menu'!$T$4:$V$93, 1,FALSE), "")</f>
        <v>42948</v>
      </c>
      <c r="C1243" s="1481">
        <f t="shared" si="317"/>
        <v>2017</v>
      </c>
      <c r="D1243" s="1285">
        <f>IFERROR(IF('Personalized Bill Menu'!$B$34&lt;&gt;"Natural Gas",VLOOKUP($A1243,'Personalized Bill Menu'!$T$3:$V$93,3,FALSE),VLOOKUP($A1243,'Personalized Bill Menu'!$T$3:$V$93,2,FALSE)), 0)</f>
        <v>0</v>
      </c>
      <c r="E1243" s="1285">
        <f>IFERROR(IF('Personalized Bill Menu'!$B$34&lt;&gt;"Natural Gas",VLOOKUP($A1243,'Personalized Bill Menu'!$T$3:$V$93,2,FALSE),0), 0)</f>
        <v>0</v>
      </c>
      <c r="F1243" s="1472"/>
      <c r="G1243" s="1472"/>
      <c r="H1243" s="1472"/>
      <c r="I1243" s="1472"/>
      <c r="J1243" s="1472"/>
      <c r="K1243" s="1472"/>
      <c r="L1243" s="1478"/>
    </row>
    <row r="1244" spans="1:12" x14ac:dyDescent="0.3">
      <c r="A1244" s="970">
        <v>42979</v>
      </c>
      <c r="B1244" s="1620">
        <f>IFERROR(VLOOKUP($A1244, 'Personalized Bill Menu'!$T$4:$V$93, 1,FALSE), "")</f>
        <v>42979</v>
      </c>
      <c r="C1244" s="1481">
        <f t="shared" si="317"/>
        <v>2017</v>
      </c>
      <c r="D1244" s="1285">
        <f>IFERROR(IF('Personalized Bill Menu'!$B$34&lt;&gt;"Natural Gas",VLOOKUP($A1244,'Personalized Bill Menu'!$T$3:$V$93,3,FALSE),VLOOKUP($A1244,'Personalized Bill Menu'!$T$3:$V$93,2,FALSE)), 0)</f>
        <v>0</v>
      </c>
      <c r="E1244" s="1285">
        <f>IFERROR(IF('Personalized Bill Menu'!$B$34&lt;&gt;"Natural Gas",VLOOKUP($A1244,'Personalized Bill Menu'!$T$3:$V$93,2,FALSE),0), 0)</f>
        <v>0</v>
      </c>
      <c r="F1244" s="1472"/>
      <c r="G1244" s="1472"/>
      <c r="H1244" s="1472"/>
      <c r="I1244" s="1472"/>
      <c r="J1244" s="1472"/>
      <c r="K1244" s="1472"/>
      <c r="L1244" s="1478"/>
    </row>
    <row r="1245" spans="1:12" x14ac:dyDescent="0.3">
      <c r="A1245" s="970">
        <v>43009</v>
      </c>
      <c r="B1245" s="1620">
        <f>IFERROR(VLOOKUP($A1245, 'Personalized Bill Menu'!$T$4:$V$93, 1,FALSE), "")</f>
        <v>43009</v>
      </c>
      <c r="C1245" s="1481">
        <f t="shared" si="317"/>
        <v>2017</v>
      </c>
      <c r="D1245" s="1285">
        <f>IFERROR(IF('Personalized Bill Menu'!$B$34&lt;&gt;"Natural Gas",VLOOKUP($A1245,'Personalized Bill Menu'!$T$3:$V$93,3,FALSE),VLOOKUP($A1245,'Personalized Bill Menu'!$T$3:$V$93,2,FALSE)), 0)</f>
        <v>0</v>
      </c>
      <c r="E1245" s="1285">
        <f>IFERROR(IF('Personalized Bill Menu'!$B$34&lt;&gt;"Natural Gas",VLOOKUP($A1245,'Personalized Bill Menu'!$T$3:$V$93,2,FALSE),0), 0)</f>
        <v>0</v>
      </c>
      <c r="F1245" s="1472"/>
      <c r="G1245" s="1472"/>
      <c r="H1245" s="1472"/>
      <c r="I1245" s="1472"/>
      <c r="J1245" s="1472"/>
      <c r="K1245" s="1472"/>
      <c r="L1245" s="1478"/>
    </row>
    <row r="1246" spans="1:12" x14ac:dyDescent="0.3">
      <c r="A1246" s="970">
        <v>43040</v>
      </c>
      <c r="B1246" s="1620">
        <f>IFERROR(VLOOKUP($A1246, 'Personalized Bill Menu'!$T$4:$V$93, 1,FALSE), "")</f>
        <v>43040</v>
      </c>
      <c r="C1246" s="1481">
        <f t="shared" si="317"/>
        <v>2017</v>
      </c>
      <c r="D1246" s="1285">
        <f>IFERROR(IF('Personalized Bill Menu'!$B$34&lt;&gt;"Natural Gas",VLOOKUP($A1246,'Personalized Bill Menu'!$T$3:$V$93,3,FALSE),VLOOKUP($A1246,'Personalized Bill Menu'!$T$3:$V$93,2,FALSE)), 0)</f>
        <v>0</v>
      </c>
      <c r="E1246" s="1285">
        <f>IFERROR(IF('Personalized Bill Menu'!$B$34&lt;&gt;"Natural Gas",VLOOKUP($A1246,'Personalized Bill Menu'!$T$3:$V$93,2,FALSE),0), 0)</f>
        <v>0</v>
      </c>
      <c r="F1246" s="1472"/>
      <c r="G1246" s="1472"/>
      <c r="H1246" s="1472"/>
      <c r="I1246" s="1472"/>
      <c r="J1246" s="1472"/>
      <c r="K1246" s="1472"/>
      <c r="L1246" s="1478"/>
    </row>
    <row r="1247" spans="1:12" x14ac:dyDescent="0.3">
      <c r="A1247" s="970">
        <v>43070</v>
      </c>
      <c r="B1247" s="1620">
        <f>IFERROR(VLOOKUP($A1247, 'Personalized Bill Menu'!$T$4:$V$93, 1,FALSE), "")</f>
        <v>43070</v>
      </c>
      <c r="C1247" s="1481">
        <f t="shared" si="317"/>
        <v>2017</v>
      </c>
      <c r="D1247" s="1285">
        <f>IFERROR(IF('Personalized Bill Menu'!$B$34&lt;&gt;"Natural Gas",VLOOKUP($A1247,'Personalized Bill Menu'!$T$3:$V$93,3,FALSE),VLOOKUP($A1247,'Personalized Bill Menu'!$T$3:$V$93,2,FALSE)), 0)</f>
        <v>0</v>
      </c>
      <c r="E1247" s="1285">
        <f>IFERROR(IF('Personalized Bill Menu'!$B$34&lt;&gt;"Natural Gas",VLOOKUP($A1247,'Personalized Bill Menu'!$T$3:$V$93,2,FALSE),0), 0)</f>
        <v>0</v>
      </c>
      <c r="F1247" s="1472"/>
      <c r="G1247" s="1472"/>
      <c r="H1247" s="1472"/>
      <c r="I1247" s="1472"/>
      <c r="J1247" s="1472"/>
      <c r="K1247" s="1472"/>
      <c r="L1247" s="1478"/>
    </row>
    <row r="1248" spans="1:12" x14ac:dyDescent="0.3">
      <c r="A1248" s="970">
        <v>43101</v>
      </c>
      <c r="B1248" s="1620">
        <f>IFERROR(VLOOKUP($A1248, 'Personalized Bill Menu'!$T$4:$V$93, 1,FALSE), "")</f>
        <v>43101</v>
      </c>
      <c r="C1248" s="1481">
        <f t="shared" si="317"/>
        <v>2018</v>
      </c>
      <c r="D1248" s="1285">
        <f>IFERROR(IF('Personalized Bill Menu'!$B$34&lt;&gt;"Natural Gas",VLOOKUP($A1248,'Personalized Bill Menu'!$T$3:$V$93,3,FALSE),VLOOKUP($A1248,'Personalized Bill Menu'!$T$3:$V$93,2,FALSE)), 0)</f>
        <v>0</v>
      </c>
      <c r="E1248" s="1285">
        <f>IFERROR(IF('Personalized Bill Menu'!$B$34&lt;&gt;"Natural Gas",VLOOKUP($A1248,'Personalized Bill Menu'!$T$3:$V$93,2,FALSE),0), 0)</f>
        <v>0</v>
      </c>
      <c r="F1248" s="1472"/>
      <c r="G1248" s="1472"/>
      <c r="H1248" s="1472"/>
      <c r="I1248" s="1472"/>
      <c r="J1248" s="1472"/>
      <c r="K1248" s="1472"/>
      <c r="L1248" s="1478"/>
    </row>
    <row r="1249" spans="1:12" x14ac:dyDescent="0.3">
      <c r="A1249" s="970">
        <v>43132</v>
      </c>
      <c r="B1249" s="1620">
        <f>IFERROR(VLOOKUP($A1249, 'Personalized Bill Menu'!$T$4:$V$93, 1,FALSE), "")</f>
        <v>43132</v>
      </c>
      <c r="C1249" s="1481">
        <f t="shared" si="317"/>
        <v>2018</v>
      </c>
      <c r="D1249" s="1285">
        <f>IFERROR(IF('Personalized Bill Menu'!$B$34&lt;&gt;"Natural Gas",VLOOKUP($A1249,'Personalized Bill Menu'!$T$3:$V$93,3,FALSE),VLOOKUP($A1249,'Personalized Bill Menu'!$T$3:$V$93,2,FALSE)), 0)</f>
        <v>0</v>
      </c>
      <c r="E1249" s="1285">
        <f>IFERROR(IF('Personalized Bill Menu'!$B$34&lt;&gt;"Natural Gas",VLOOKUP($A1249,'Personalized Bill Menu'!$T$3:$V$93,2,FALSE),0), 0)</f>
        <v>0</v>
      </c>
      <c r="F1249" s="1472"/>
      <c r="G1249" s="1472"/>
      <c r="H1249" s="1472"/>
      <c r="I1249" s="1472"/>
      <c r="J1249" s="1472"/>
      <c r="K1249" s="1472"/>
      <c r="L1249" s="1478"/>
    </row>
    <row r="1250" spans="1:12" x14ac:dyDescent="0.3">
      <c r="A1250" s="970">
        <v>43160</v>
      </c>
      <c r="B1250" s="1620">
        <f>IFERROR(VLOOKUP($A1250, 'Personalized Bill Menu'!$T$4:$V$93, 1,FALSE), "")</f>
        <v>43160</v>
      </c>
      <c r="C1250" s="1481">
        <f t="shared" si="317"/>
        <v>2018</v>
      </c>
      <c r="D1250" s="1285">
        <f>IFERROR(IF('Personalized Bill Menu'!$B$34&lt;&gt;"Natural Gas",VLOOKUP($A1250,'Personalized Bill Menu'!$T$3:$V$93,3,FALSE),VLOOKUP($A1250,'Personalized Bill Menu'!$T$3:$V$93,2,FALSE)), 0)</f>
        <v>0</v>
      </c>
      <c r="E1250" s="1285">
        <f>IFERROR(IF('Personalized Bill Menu'!$B$34&lt;&gt;"Natural Gas",VLOOKUP($A1250,'Personalized Bill Menu'!$T$3:$V$93,2,FALSE),0), 0)</f>
        <v>0</v>
      </c>
      <c r="F1250" s="1472"/>
      <c r="G1250" s="1472"/>
      <c r="H1250" s="1472"/>
      <c r="I1250" s="1472"/>
      <c r="J1250" s="1472"/>
      <c r="K1250" s="1472"/>
      <c r="L1250" s="1478"/>
    </row>
    <row r="1251" spans="1:12" x14ac:dyDescent="0.3">
      <c r="A1251" s="970">
        <v>43191</v>
      </c>
      <c r="B1251" s="1620">
        <f>IFERROR(VLOOKUP($A1251, 'Personalized Bill Menu'!$T$4:$V$93, 1,FALSE), "")</f>
        <v>43191</v>
      </c>
      <c r="C1251" s="1492">
        <f t="shared" si="317"/>
        <v>2018</v>
      </c>
      <c r="D1251" s="1285">
        <f>IFERROR(IF('Personalized Bill Menu'!$B$34&lt;&gt;"Natural Gas",VLOOKUP($A1251,'Personalized Bill Menu'!$T$3:$V$93,3,FALSE),VLOOKUP($A1251,'Personalized Bill Menu'!$T$3:$V$93,2,FALSE)), 0)</f>
        <v>0</v>
      </c>
      <c r="E1251" s="1285">
        <f>IFERROR(IF('Personalized Bill Menu'!$B$34&lt;&gt;"Natural Gas",VLOOKUP($A1251,'Personalized Bill Menu'!$T$3:$V$93,2,FALSE),0), 0)</f>
        <v>0</v>
      </c>
      <c r="F1251" s="1483"/>
      <c r="G1251" s="1483"/>
      <c r="H1251" s="1483"/>
      <c r="I1251" s="1483"/>
      <c r="J1251" s="1483"/>
      <c r="K1251" s="1483"/>
      <c r="L1251" s="1493"/>
    </row>
    <row r="1252" spans="1:12" x14ac:dyDescent="0.3">
      <c r="A1252" s="970">
        <v>43221</v>
      </c>
      <c r="B1252" s="1620">
        <f>IFERROR(VLOOKUP($A1252, 'Personalized Bill Menu'!$T$4:$V$93, 1,FALSE), "")</f>
        <v>43221</v>
      </c>
      <c r="C1252" s="1492">
        <f t="shared" si="317"/>
        <v>2018</v>
      </c>
      <c r="D1252" s="1285">
        <f>IFERROR(IF('Personalized Bill Menu'!$B$34&lt;&gt;"Natural Gas",VLOOKUP($A1252,'Personalized Bill Menu'!$T$3:$V$93,3,FALSE),VLOOKUP($A1252,'Personalized Bill Menu'!$T$3:$V$93,2,FALSE)), 0)</f>
        <v>0</v>
      </c>
      <c r="E1252" s="1285">
        <f>IFERROR(IF('Personalized Bill Menu'!$B$34&lt;&gt;"Natural Gas",VLOOKUP($A1252,'Personalized Bill Menu'!$T$3:$V$93,2,FALSE),0), 0)</f>
        <v>0</v>
      </c>
      <c r="F1252" s="1483"/>
      <c r="G1252" s="1483"/>
      <c r="H1252" s="1483"/>
      <c r="I1252" s="1483"/>
      <c r="J1252" s="1483"/>
      <c r="K1252" s="1483"/>
      <c r="L1252" s="1493"/>
    </row>
    <row r="1253" spans="1:12" x14ac:dyDescent="0.3">
      <c r="A1253" s="970">
        <v>43252</v>
      </c>
      <c r="B1253" s="1620">
        <f>IFERROR(VLOOKUP($A1253, 'Personalized Bill Menu'!$T$4:$V$93, 1,FALSE), "")</f>
        <v>43252</v>
      </c>
      <c r="C1253" s="1492">
        <f t="shared" si="317"/>
        <v>2018</v>
      </c>
      <c r="D1253" s="1285">
        <f>IFERROR(IF('Personalized Bill Menu'!$B$34&lt;&gt;"Natural Gas",VLOOKUP($A1253,'Personalized Bill Menu'!$T$3:$V$93,3,FALSE),VLOOKUP($A1253,'Personalized Bill Menu'!$T$3:$V$93,2,FALSE)), 0)</f>
        <v>0</v>
      </c>
      <c r="E1253" s="1285">
        <f>IFERROR(IF('Personalized Bill Menu'!$B$34&lt;&gt;"Natural Gas",VLOOKUP($A1253,'Personalized Bill Menu'!$T$3:$V$93,2,FALSE),0), 0)</f>
        <v>0</v>
      </c>
      <c r="F1253" s="1483"/>
      <c r="G1253" s="1483"/>
      <c r="H1253" s="1483"/>
      <c r="I1253" s="1483"/>
      <c r="J1253" s="1483"/>
      <c r="K1253" s="1483"/>
      <c r="L1253" s="1493"/>
    </row>
    <row r="1254" spans="1:12" x14ac:dyDescent="0.3">
      <c r="A1254" s="970">
        <v>43282</v>
      </c>
      <c r="B1254" s="1620">
        <f>IFERROR(VLOOKUP($A1254, 'Personalized Bill Menu'!$T$4:$V$93, 1,FALSE), "")</f>
        <v>43282</v>
      </c>
      <c r="C1254" s="1515">
        <f t="shared" ref="C1254:C1265" si="318">YEAR(A1254)</f>
        <v>2018</v>
      </c>
      <c r="D1254" s="1285">
        <f>IFERROR(IF('Personalized Bill Menu'!$B$34&lt;&gt;"Natural Gas",VLOOKUP($A1254,'Personalized Bill Menu'!$T$3:$V$93,3,FALSE),VLOOKUP($A1254,'Personalized Bill Menu'!$T$3:$V$93,2,FALSE)), 0)</f>
        <v>0</v>
      </c>
      <c r="E1254" s="1285">
        <f>IFERROR(IF('Personalized Bill Menu'!$B$34&lt;&gt;"Natural Gas",VLOOKUP($A1254,'Personalized Bill Menu'!$T$3:$V$93,2,FALSE),0), 0)</f>
        <v>0</v>
      </c>
      <c r="F1254" s="1483"/>
      <c r="G1254" s="1483"/>
      <c r="H1254" s="1483"/>
      <c r="I1254" s="1483"/>
      <c r="J1254" s="1483"/>
      <c r="K1254" s="1483"/>
      <c r="L1254" s="1493"/>
    </row>
    <row r="1255" spans="1:12" x14ac:dyDescent="0.3">
      <c r="A1255" s="970">
        <v>43313</v>
      </c>
      <c r="B1255" s="1620">
        <f>IFERROR(VLOOKUP($A1255, 'Personalized Bill Menu'!$T$4:$V$93, 1,FALSE), "")</f>
        <v>43313</v>
      </c>
      <c r="C1255" s="1515">
        <f t="shared" si="318"/>
        <v>2018</v>
      </c>
      <c r="D1255" s="1285">
        <f>IFERROR(IF('Personalized Bill Menu'!$B$34&lt;&gt;"Natural Gas",VLOOKUP($A1255,'Personalized Bill Menu'!$T$3:$V$93,3,FALSE),VLOOKUP($A1255,'Personalized Bill Menu'!$T$3:$V$93,2,FALSE)), 0)</f>
        <v>0</v>
      </c>
      <c r="E1255" s="1285">
        <f>IFERROR(IF('Personalized Bill Menu'!$B$34&lt;&gt;"Natural Gas",VLOOKUP($A1255,'Personalized Bill Menu'!$T$3:$V$93,2,FALSE),0), 0)</f>
        <v>0</v>
      </c>
      <c r="F1255" s="1472"/>
      <c r="G1255" s="1472"/>
      <c r="H1255" s="1472"/>
      <c r="I1255" s="1472"/>
      <c r="J1255" s="1472"/>
      <c r="K1255" s="1472"/>
      <c r="L1255" s="1478"/>
    </row>
    <row r="1256" spans="1:12" x14ac:dyDescent="0.3">
      <c r="A1256" s="970">
        <v>43344</v>
      </c>
      <c r="B1256" s="1620">
        <f>IFERROR(VLOOKUP($A1256, 'Personalized Bill Menu'!$T$4:$V$93, 1,FALSE), "")</f>
        <v>43344</v>
      </c>
      <c r="C1256" s="1515">
        <f t="shared" si="318"/>
        <v>2018</v>
      </c>
      <c r="D1256" s="1285">
        <f>IFERROR(IF('Personalized Bill Menu'!$B$34&lt;&gt;"Natural Gas",VLOOKUP($A1256,'Personalized Bill Menu'!$T$3:$V$93,3,FALSE),VLOOKUP($A1256,'Personalized Bill Menu'!$T$3:$V$93,2,FALSE)), 0)</f>
        <v>0</v>
      </c>
      <c r="E1256" s="1285">
        <f>IFERROR(IF('Personalized Bill Menu'!$B$34&lt;&gt;"Natural Gas",VLOOKUP($A1256,'Personalized Bill Menu'!$T$3:$V$93,2,FALSE),0), 0)</f>
        <v>0</v>
      </c>
      <c r="F1256" s="1472"/>
      <c r="G1256" s="1472"/>
      <c r="H1256" s="1472"/>
      <c r="I1256" s="1472"/>
      <c r="J1256" s="1472"/>
      <c r="K1256" s="1472"/>
      <c r="L1256" s="1478"/>
    </row>
    <row r="1257" spans="1:12" x14ac:dyDescent="0.3">
      <c r="A1257" s="970">
        <v>43374</v>
      </c>
      <c r="B1257" s="1620">
        <f>IFERROR(VLOOKUP($A1257, 'Personalized Bill Menu'!$T$4:$V$93, 1,FALSE), "")</f>
        <v>43374</v>
      </c>
      <c r="C1257" s="1545">
        <f t="shared" si="318"/>
        <v>2018</v>
      </c>
      <c r="D1257" s="1285">
        <f>IFERROR(IF('Personalized Bill Menu'!$B$34&lt;&gt;"Natural Gas",VLOOKUP($A1257,'Personalized Bill Menu'!$T$3:$V$93,3,FALSE),VLOOKUP($A1257,'Personalized Bill Menu'!$T$3:$V$93,2,FALSE)), 0)</f>
        <v>0</v>
      </c>
      <c r="E1257" s="1285">
        <f>IFERROR(IF('Personalized Bill Menu'!$B$34&lt;&gt;"Natural Gas",VLOOKUP($A1257,'Personalized Bill Menu'!$T$3:$V$93,2,FALSE),0), 0)</f>
        <v>0</v>
      </c>
      <c r="F1257" s="1540"/>
      <c r="G1257" s="1540"/>
      <c r="H1257" s="1540"/>
      <c r="I1257" s="1540"/>
      <c r="J1257" s="1540"/>
      <c r="K1257" s="1540"/>
      <c r="L1257" s="1493"/>
    </row>
    <row r="1258" spans="1:12" x14ac:dyDescent="0.3">
      <c r="A1258" s="970">
        <v>43405</v>
      </c>
      <c r="B1258" s="1620">
        <f>IFERROR(VLOOKUP($A1258, 'Personalized Bill Menu'!$T$4:$V$93, 1,FALSE), "")</f>
        <v>43405</v>
      </c>
      <c r="C1258" s="1545">
        <f t="shared" si="318"/>
        <v>2018</v>
      </c>
      <c r="D1258" s="1285">
        <f>IFERROR(IF('Personalized Bill Menu'!$B$34&lt;&gt;"Natural Gas",VLOOKUP($A1258,'Personalized Bill Menu'!$T$3:$V$93,3,FALSE),VLOOKUP($A1258,'Personalized Bill Menu'!$T$3:$V$93,2,FALSE)), 0)</f>
        <v>0</v>
      </c>
      <c r="E1258" s="1285">
        <f>IFERROR(IF('Personalized Bill Menu'!$B$34&lt;&gt;"Natural Gas",VLOOKUP($A1258,'Personalized Bill Menu'!$T$3:$V$93,2,FALSE),0), 0)</f>
        <v>0</v>
      </c>
      <c r="F1258" s="1540"/>
      <c r="G1258" s="1540"/>
      <c r="H1258" s="1540"/>
      <c r="I1258" s="1540"/>
      <c r="J1258" s="1540"/>
      <c r="K1258" s="1540"/>
      <c r="L1258" s="1493"/>
    </row>
    <row r="1259" spans="1:12" x14ac:dyDescent="0.3">
      <c r="A1259" s="970">
        <v>43435</v>
      </c>
      <c r="B1259" s="1620">
        <f>IFERROR(VLOOKUP($A1259, 'Personalized Bill Menu'!$T$4:$V$93, 1,FALSE), "")</f>
        <v>43435</v>
      </c>
      <c r="C1259" s="1545">
        <f t="shared" si="318"/>
        <v>2018</v>
      </c>
      <c r="D1259" s="1285">
        <f>IFERROR(IF('Personalized Bill Menu'!$B$34&lt;&gt;"Natural Gas",VLOOKUP($A1259,'Personalized Bill Menu'!$T$3:$V$93,3,FALSE),VLOOKUP($A1259,'Personalized Bill Menu'!$T$3:$V$93,2,FALSE)), 0)</f>
        <v>0</v>
      </c>
      <c r="E1259" s="1285">
        <f>IFERROR(IF('Personalized Bill Menu'!$B$34&lt;&gt;"Natural Gas",VLOOKUP($A1259,'Personalized Bill Menu'!$T$3:$V$93,2,FALSE),0), 0)</f>
        <v>0</v>
      </c>
      <c r="F1259" s="1540"/>
      <c r="G1259" s="1540"/>
      <c r="H1259" s="1540"/>
      <c r="I1259" s="1540"/>
      <c r="J1259" s="1540"/>
      <c r="K1259" s="1540"/>
      <c r="L1259" s="1493"/>
    </row>
    <row r="1260" spans="1:12" x14ac:dyDescent="0.3">
      <c r="A1260" s="970">
        <v>43466</v>
      </c>
      <c r="B1260" s="1620">
        <f>IFERROR(VLOOKUP($A1260, 'Personalized Bill Menu'!$T$4:$V$93, 1,FALSE), "")</f>
        <v>43466</v>
      </c>
      <c r="C1260" s="1587">
        <f t="shared" si="318"/>
        <v>2019</v>
      </c>
      <c r="D1260" s="1285">
        <f>IFERROR(IF('Personalized Bill Menu'!$B$34&lt;&gt;"Natural Gas",VLOOKUP($A1260,'Personalized Bill Menu'!$T$3:$V$93,3,FALSE),VLOOKUP($A1260,'Personalized Bill Menu'!$T$3:$V$93,2,FALSE)), 0)</f>
        <v>0</v>
      </c>
      <c r="E1260" s="1285">
        <f>IFERROR(IF('Personalized Bill Menu'!$B$34&lt;&gt;"Natural Gas",VLOOKUP($A1260,'Personalized Bill Menu'!$T$3:$V$93,2,FALSE),0), 0)</f>
        <v>0</v>
      </c>
      <c r="F1260" s="1583"/>
      <c r="G1260" s="1583"/>
      <c r="H1260" s="1583"/>
      <c r="I1260" s="1583"/>
      <c r="J1260" s="1583"/>
      <c r="K1260" s="1583"/>
      <c r="L1260" s="1493"/>
    </row>
    <row r="1261" spans="1:12" x14ac:dyDescent="0.3">
      <c r="A1261" s="970">
        <v>43497</v>
      </c>
      <c r="B1261" s="1620">
        <f>IFERROR(VLOOKUP($A1261, 'Personalized Bill Menu'!$T$4:$V$93, 1,FALSE), "")</f>
        <v>43497</v>
      </c>
      <c r="C1261" s="1587">
        <f t="shared" si="318"/>
        <v>2019</v>
      </c>
      <c r="D1261" s="1285">
        <f>IFERROR(IF('Personalized Bill Menu'!$B$34&lt;&gt;"Natural Gas",VLOOKUP($A1261,'Personalized Bill Menu'!$T$3:$V$93,3,FALSE),VLOOKUP($A1261,'Personalized Bill Menu'!$T$3:$V$93,2,FALSE)), 0)</f>
        <v>0</v>
      </c>
      <c r="E1261" s="1285">
        <f>IFERROR(IF('Personalized Bill Menu'!$B$34&lt;&gt;"Natural Gas",VLOOKUP($A1261,'Personalized Bill Menu'!$T$3:$V$93,2,FALSE),0), 0)</f>
        <v>0</v>
      </c>
      <c r="F1261" s="1583"/>
      <c r="G1261" s="1583"/>
      <c r="H1261" s="1583"/>
      <c r="I1261" s="1583"/>
      <c r="J1261" s="1583"/>
      <c r="K1261" s="1583"/>
      <c r="L1261" s="1493"/>
    </row>
    <row r="1262" spans="1:12" x14ac:dyDescent="0.3">
      <c r="A1262" s="970">
        <v>43525</v>
      </c>
      <c r="B1262" s="1620">
        <f>IFERROR(VLOOKUP($A1262, 'Personalized Bill Menu'!$T$4:$V$93, 1,FALSE), "")</f>
        <v>43525</v>
      </c>
      <c r="C1262" s="1587">
        <f t="shared" si="318"/>
        <v>2019</v>
      </c>
      <c r="D1262" s="1285">
        <f>IFERROR(IF('Personalized Bill Menu'!$B$34&lt;&gt;"Natural Gas",VLOOKUP($A1262,'Personalized Bill Menu'!$T$3:$V$93,3,FALSE),VLOOKUP($A1262,'Personalized Bill Menu'!$T$3:$V$93,2,FALSE)), 0)</f>
        <v>0</v>
      </c>
      <c r="E1262" s="1285">
        <f>IFERROR(IF('Personalized Bill Menu'!$B$34&lt;&gt;"Natural Gas",VLOOKUP($A1262,'Personalized Bill Menu'!$T$3:$V$93,2,FALSE),0), 0)</f>
        <v>0</v>
      </c>
      <c r="F1262" s="1583"/>
      <c r="G1262" s="1583"/>
      <c r="H1262" s="1583"/>
      <c r="I1262" s="1583"/>
      <c r="J1262" s="1583"/>
      <c r="K1262" s="1583"/>
      <c r="L1262" s="1493"/>
    </row>
    <row r="1263" spans="1:12" x14ac:dyDescent="0.3">
      <c r="A1263" s="970">
        <v>43556</v>
      </c>
      <c r="B1263" s="1620">
        <f>IFERROR(VLOOKUP($A1263, 'Personalized Bill Menu'!$T$4:$V$93, 1,FALSE), "")</f>
        <v>43556</v>
      </c>
      <c r="C1263" s="1611">
        <f t="shared" si="318"/>
        <v>2019</v>
      </c>
      <c r="D1263" s="1285">
        <f>IFERROR(IF('Personalized Bill Menu'!$B$34&lt;&gt;"Natural Gas",VLOOKUP($A1263,'Personalized Bill Menu'!$T$3:$V$93,3,FALSE),VLOOKUP($A1263,'Personalized Bill Menu'!$T$3:$V$93,2,FALSE)), 0)</f>
        <v>0</v>
      </c>
      <c r="E1263" s="1285">
        <f>IFERROR(IF('Personalized Bill Menu'!$B$34&lt;&gt;"Natural Gas",VLOOKUP($A1263,'Personalized Bill Menu'!$T$3:$V$93,2,FALSE),0), 0)</f>
        <v>0</v>
      </c>
      <c r="F1263" s="1609"/>
      <c r="G1263" s="1609"/>
      <c r="H1263" s="1609"/>
      <c r="I1263" s="1609"/>
      <c r="J1263" s="1609"/>
      <c r="K1263" s="1609"/>
      <c r="L1263" s="1493"/>
    </row>
    <row r="1264" spans="1:12" x14ac:dyDescent="0.3">
      <c r="A1264" s="970">
        <v>43586</v>
      </c>
      <c r="B1264" s="1620">
        <f>IFERROR(VLOOKUP($A1264, 'Personalized Bill Menu'!$T$4:$V$93, 1,FALSE), "")</f>
        <v>43586</v>
      </c>
      <c r="C1264" s="1611">
        <f t="shared" si="318"/>
        <v>2019</v>
      </c>
      <c r="D1264" s="1285">
        <f>IFERROR(IF('Personalized Bill Menu'!$B$34&lt;&gt;"Natural Gas",VLOOKUP($A1264,'Personalized Bill Menu'!$T$3:$V$93,3,FALSE),VLOOKUP($A1264,'Personalized Bill Menu'!$T$3:$V$93,2,FALSE)), 0)</f>
        <v>0</v>
      </c>
      <c r="E1264" s="1285">
        <f>IFERROR(IF('Personalized Bill Menu'!$B$34&lt;&gt;"Natural Gas",VLOOKUP($A1264,'Personalized Bill Menu'!$T$3:$V$93,2,FALSE),0), 0)</f>
        <v>0</v>
      </c>
      <c r="F1264" s="1609"/>
      <c r="G1264" s="1609"/>
      <c r="H1264" s="1609"/>
      <c r="I1264" s="1609"/>
      <c r="J1264" s="1609"/>
      <c r="K1264" s="1609"/>
      <c r="L1264" s="1493"/>
    </row>
    <row r="1265" spans="1:12" x14ac:dyDescent="0.3">
      <c r="A1265" s="970">
        <v>43617</v>
      </c>
      <c r="B1265" s="1620">
        <f>IFERROR(VLOOKUP($A1265, 'Personalized Bill Menu'!$T$4:$V$93, 1,FALSE), "")</f>
        <v>43617</v>
      </c>
      <c r="C1265" s="1611">
        <f t="shared" si="318"/>
        <v>2019</v>
      </c>
      <c r="D1265" s="1285">
        <f>IFERROR(IF('Personalized Bill Menu'!$B$34&lt;&gt;"Natural Gas",VLOOKUP($A1265,'Personalized Bill Menu'!$T$3:$V$93,3,FALSE),VLOOKUP($A1265,'Personalized Bill Menu'!$T$3:$V$93,2,FALSE)), 0)</f>
        <v>0</v>
      </c>
      <c r="E1265" s="1285">
        <f>IFERROR(IF('Personalized Bill Menu'!$B$34&lt;&gt;"Natural Gas",VLOOKUP($A1265,'Personalized Bill Menu'!$T$3:$V$93,2,FALSE),0), 0)</f>
        <v>0</v>
      </c>
      <c r="F1265" s="1609"/>
      <c r="G1265" s="1609"/>
      <c r="H1265" s="1609"/>
      <c r="I1265" s="1609"/>
      <c r="J1265" s="1609"/>
      <c r="K1265" s="1609"/>
      <c r="L1265" s="1493"/>
    </row>
    <row r="1266" spans="1:12" x14ac:dyDescent="0.3">
      <c r="A1266" s="963"/>
      <c r="B1266" s="742"/>
      <c r="C1266" s="1472"/>
      <c r="D1266" s="742"/>
      <c r="E1266" s="1472"/>
      <c r="F1266" s="742"/>
      <c r="G1266" s="1472"/>
      <c r="H1266" s="1472"/>
      <c r="I1266" s="1472"/>
      <c r="J1266" s="1472"/>
      <c r="K1266" s="1472"/>
      <c r="L1266" s="1478"/>
    </row>
    <row r="1267" spans="1:12" ht="14.5" thickBot="1" x14ac:dyDescent="0.35">
      <c r="A1267" s="1067"/>
      <c r="B1267" s="1068"/>
      <c r="C1267" s="1475"/>
      <c r="D1267" s="1068"/>
      <c r="E1267" s="1475"/>
      <c r="F1267" s="1068"/>
      <c r="G1267" s="1475"/>
      <c r="H1267" s="1475"/>
      <c r="I1267" s="1475"/>
      <c r="J1267" s="1475"/>
      <c r="K1267" s="1475"/>
      <c r="L1267" s="1477"/>
    </row>
    <row r="1268" spans="1:12" x14ac:dyDescent="0.3">
      <c r="A1268" s="206"/>
      <c r="B1268" s="742"/>
      <c r="C1268" s="1374"/>
      <c r="D1268" s="742"/>
      <c r="E1268" s="1374"/>
      <c r="F1268" s="742"/>
      <c r="G1268" s="1374"/>
    </row>
    <row r="1269" spans="1:12" ht="14.5" thickBot="1" x14ac:dyDescent="0.35"/>
    <row r="1270" spans="1:12" x14ac:dyDescent="0.3">
      <c r="A1270" s="1376"/>
      <c r="B1270" s="1377"/>
      <c r="C1270" s="1377"/>
      <c r="D1270" s="1377"/>
      <c r="E1270" s="1377"/>
      <c r="F1270" s="1377"/>
      <c r="G1270" s="1377"/>
      <c r="H1270" s="1377"/>
      <c r="I1270" s="1377"/>
      <c r="J1270" s="1377"/>
      <c r="K1270" s="1377"/>
      <c r="L1270" s="645"/>
    </row>
    <row r="1271" spans="1:12" x14ac:dyDescent="0.3">
      <c r="A1271" s="1373"/>
      <c r="B1271" s="1374"/>
      <c r="C1271" s="1374"/>
      <c r="D1271" s="1374"/>
      <c r="E1271" s="1374"/>
      <c r="F1271" s="1374"/>
      <c r="G1271" s="1374"/>
      <c r="H1271" s="1374"/>
      <c r="I1271" s="1374"/>
      <c r="J1271" s="1374"/>
      <c r="L1271" s="1439"/>
    </row>
    <row r="1272" spans="1:12" ht="14.25" customHeight="1" x14ac:dyDescent="0.3">
      <c r="A1272" s="2593" t="s">
        <v>602</v>
      </c>
      <c r="B1272" s="2594"/>
      <c r="C1272" s="2594"/>
      <c r="D1272" s="2594"/>
      <c r="E1272" s="2594"/>
      <c r="F1272" s="2594"/>
      <c r="G1272" s="2594"/>
      <c r="H1272" s="2594"/>
      <c r="I1272" s="2594"/>
      <c r="J1272" s="2594"/>
      <c r="K1272" s="2594"/>
      <c r="L1272" s="2762"/>
    </row>
    <row r="1273" spans="1:12" ht="14.25" customHeight="1" x14ac:dyDescent="0.3">
      <c r="A1273" s="2593"/>
      <c r="B1273" s="2594"/>
      <c r="C1273" s="2594"/>
      <c r="D1273" s="2594"/>
      <c r="E1273" s="2594"/>
      <c r="F1273" s="2594"/>
      <c r="G1273" s="2594"/>
      <c r="H1273" s="2594"/>
      <c r="I1273" s="2594"/>
      <c r="J1273" s="2594"/>
      <c r="K1273" s="2594"/>
      <c r="L1273" s="2762"/>
    </row>
    <row r="1274" spans="1:12" ht="14.25" customHeight="1" x14ac:dyDescent="0.3">
      <c r="A1274" s="2593"/>
      <c r="B1274" s="2594"/>
      <c r="C1274" s="2594"/>
      <c r="D1274" s="2594"/>
      <c r="E1274" s="2594"/>
      <c r="F1274" s="2594"/>
      <c r="G1274" s="2594"/>
      <c r="H1274" s="2594"/>
      <c r="I1274" s="2594"/>
      <c r="J1274" s="2594"/>
      <c r="K1274" s="2594"/>
      <c r="L1274" s="2762"/>
    </row>
    <row r="1275" spans="1:12" x14ac:dyDescent="0.3">
      <c r="A1275" s="1066"/>
      <c r="B1275" s="741"/>
      <c r="C1275" s="741"/>
      <c r="D1275" s="741"/>
      <c r="E1275" s="741"/>
      <c r="F1275" s="741"/>
      <c r="G1275" s="741"/>
      <c r="H1275" s="1374"/>
      <c r="I1275" s="1374"/>
      <c r="J1275" s="1374"/>
      <c r="L1275" s="1439"/>
    </row>
    <row r="1276" spans="1:12" x14ac:dyDescent="0.3">
      <c r="A1276" s="963"/>
      <c r="B1276" s="742"/>
      <c r="C1276" s="1374"/>
      <c r="D1276" s="742"/>
      <c r="E1276" s="1374"/>
      <c r="F1276" s="742"/>
      <c r="G1276" s="1374"/>
      <c r="H1276" s="1374"/>
      <c r="I1276" s="1374"/>
      <c r="J1276" s="1374"/>
      <c r="L1276" s="1439"/>
    </row>
    <row r="1277" spans="1:12" ht="18" x14ac:dyDescent="0.4">
      <c r="A1277" s="2760" t="s">
        <v>552</v>
      </c>
      <c r="B1277" s="2761"/>
      <c r="C1277" s="2761"/>
      <c r="D1277" s="2761"/>
      <c r="E1277" s="2761"/>
      <c r="F1277" s="1374"/>
      <c r="G1277" s="2592" t="s">
        <v>603</v>
      </c>
      <c r="H1277" s="2592"/>
      <c r="I1277" s="2592"/>
      <c r="J1277" s="2592"/>
      <c r="K1277" s="2592"/>
      <c r="L1277" s="1439"/>
    </row>
    <row r="1278" spans="1:12" s="796" customFormat="1" ht="18" x14ac:dyDescent="0.35">
      <c r="A1278" s="1516" t="s">
        <v>553</v>
      </c>
      <c r="B1278" s="1517" t="s">
        <v>54</v>
      </c>
      <c r="C1278" s="1517" t="s">
        <v>55</v>
      </c>
      <c r="D1278" s="1517" t="s">
        <v>56</v>
      </c>
      <c r="E1278" s="1517" t="s">
        <v>57</v>
      </c>
      <c r="F1278" s="1129"/>
      <c r="G1278" s="1517" t="s">
        <v>553</v>
      </c>
      <c r="H1278" s="1517" t="s">
        <v>54</v>
      </c>
      <c r="I1278" s="1517" t="s">
        <v>55</v>
      </c>
      <c r="J1278" s="1517" t="s">
        <v>56</v>
      </c>
      <c r="K1278" s="1517" t="s">
        <v>57</v>
      </c>
      <c r="L1278" s="1528"/>
    </row>
    <row r="1279" spans="1:12" x14ac:dyDescent="0.3">
      <c r="A1279" s="970">
        <v>40909</v>
      </c>
      <c r="B1279" s="1097">
        <v>15.284000000000001</v>
      </c>
      <c r="C1279" s="1400">
        <v>15.114000000000001</v>
      </c>
      <c r="D1279" s="1400">
        <v>14.664</v>
      </c>
      <c r="E1279" s="1400">
        <v>15.194000000000001</v>
      </c>
      <c r="F1279" s="1383"/>
      <c r="G1279" s="634">
        <v>40909</v>
      </c>
      <c r="H1279" s="1097">
        <v>15.284000000000001</v>
      </c>
      <c r="I1279" s="1400">
        <v>15.114000000000001</v>
      </c>
      <c r="J1279" s="1400">
        <v>14.664</v>
      </c>
      <c r="K1279" s="1400">
        <v>15.194000000000001</v>
      </c>
      <c r="L1279" s="1439"/>
    </row>
    <row r="1280" spans="1:12" x14ac:dyDescent="0.3">
      <c r="A1280" s="970">
        <v>40940</v>
      </c>
      <c r="B1280" s="1097">
        <v>13.69</v>
      </c>
      <c r="C1280" s="1400">
        <v>13.952</v>
      </c>
      <c r="D1280" s="1400">
        <v>13.561</v>
      </c>
      <c r="E1280" s="1400">
        <v>13.962999999999999</v>
      </c>
      <c r="F1280" s="1128"/>
      <c r="G1280" s="634">
        <v>40940</v>
      </c>
      <c r="H1280" s="1097">
        <v>13.69</v>
      </c>
      <c r="I1280" s="1400">
        <v>13.952</v>
      </c>
      <c r="J1280" s="1400">
        <v>13.561</v>
      </c>
      <c r="K1280" s="1400">
        <v>13.962999999999999</v>
      </c>
      <c r="L1280" s="1439"/>
    </row>
    <row r="1281" spans="1:12" x14ac:dyDescent="0.3">
      <c r="A1281" s="970">
        <v>40969</v>
      </c>
      <c r="B1281" s="1097">
        <v>8.218</v>
      </c>
      <c r="C1281" s="1400">
        <v>7.9829999999999997</v>
      </c>
      <c r="D1281" s="1400">
        <v>7.7869999999999999</v>
      </c>
      <c r="E1281" s="1400">
        <v>8.5079999999999991</v>
      </c>
      <c r="F1281" s="1128"/>
      <c r="G1281" s="634">
        <v>40969</v>
      </c>
      <c r="H1281" s="1097">
        <v>8.218</v>
      </c>
      <c r="I1281" s="1400">
        <v>7.9829999999999997</v>
      </c>
      <c r="J1281" s="1400">
        <v>7.7869999999999999</v>
      </c>
      <c r="K1281" s="1400">
        <v>8.5079999999999991</v>
      </c>
      <c r="L1281" s="1439"/>
    </row>
    <row r="1282" spans="1:12" x14ac:dyDescent="0.3">
      <c r="A1282" s="970">
        <v>41000</v>
      </c>
      <c r="B1282" s="1097">
        <v>7.1760000000000002</v>
      </c>
      <c r="C1282" s="1400">
        <v>7.3</v>
      </c>
      <c r="D1282" s="1400">
        <v>7.0869999999999997</v>
      </c>
      <c r="E1282" s="1400">
        <v>7.383</v>
      </c>
      <c r="F1282" s="1128"/>
      <c r="G1282" s="634">
        <v>41000</v>
      </c>
      <c r="H1282" s="1097">
        <v>7.1760000000000002</v>
      </c>
      <c r="I1282" s="1400">
        <v>7.3</v>
      </c>
      <c r="J1282" s="1400">
        <v>7.0869999999999997</v>
      </c>
      <c r="K1282" s="1400">
        <v>7.383</v>
      </c>
      <c r="L1282" s="1439"/>
    </row>
    <row r="1283" spans="1:12" x14ac:dyDescent="0.3">
      <c r="A1283" s="970">
        <v>41030</v>
      </c>
      <c r="B1283" s="1097">
        <v>6.3503999999999996</v>
      </c>
      <c r="C1283" s="1400">
        <v>6.3559999999999999</v>
      </c>
      <c r="D1283" s="1400">
        <v>6.2069999999999999</v>
      </c>
      <c r="E1283" s="1400">
        <v>6.3040000000000003</v>
      </c>
      <c r="F1283" s="1128"/>
      <c r="G1283" s="634">
        <v>41030</v>
      </c>
      <c r="H1283" s="1097">
        <v>6.3503999999999996</v>
      </c>
      <c r="I1283" s="1400">
        <v>6.3559999999999999</v>
      </c>
      <c r="J1283" s="1400">
        <v>6.2069999999999999</v>
      </c>
      <c r="K1283" s="1400">
        <v>6.3040000000000003</v>
      </c>
      <c r="L1283" s="1439"/>
    </row>
    <row r="1284" spans="1:12" x14ac:dyDescent="0.3">
      <c r="A1284" s="970">
        <v>41061</v>
      </c>
      <c r="B1284" s="1097">
        <v>7.6746999999999996</v>
      </c>
      <c r="C1284" s="1400">
        <v>7.8410000000000002</v>
      </c>
      <c r="D1284" s="1400">
        <v>7.62</v>
      </c>
      <c r="E1284" s="1400">
        <v>7.6429999999999998</v>
      </c>
      <c r="F1284" s="1128"/>
      <c r="G1284" s="634">
        <v>41061</v>
      </c>
      <c r="H1284" s="1097">
        <v>7.6746999999999996</v>
      </c>
      <c r="I1284" s="1400">
        <v>7.8410000000000002</v>
      </c>
      <c r="J1284" s="1400">
        <v>7.62</v>
      </c>
      <c r="K1284" s="1400">
        <v>7.6429999999999998</v>
      </c>
      <c r="L1284" s="1439"/>
    </row>
    <row r="1285" spans="1:12" x14ac:dyDescent="0.3">
      <c r="A1285" s="970">
        <v>41091</v>
      </c>
      <c r="B1285" s="1097">
        <v>9.0332000000000008</v>
      </c>
      <c r="C1285" s="1400">
        <v>9.0299999999999994</v>
      </c>
      <c r="D1285" s="1400">
        <v>8.7739999999999991</v>
      </c>
      <c r="E1285" s="1400">
        <v>8.9320000000000004</v>
      </c>
      <c r="F1285" s="1374"/>
      <c r="G1285" s="634">
        <v>41091</v>
      </c>
      <c r="H1285" s="1097">
        <v>9.0332000000000008</v>
      </c>
      <c r="I1285" s="1400">
        <v>9.0299999999999994</v>
      </c>
      <c r="J1285" s="1400">
        <v>8.7739999999999991</v>
      </c>
      <c r="K1285" s="1400">
        <v>8.9320000000000004</v>
      </c>
      <c r="L1285" s="1439"/>
    </row>
    <row r="1286" spans="1:12" x14ac:dyDescent="0.3">
      <c r="A1286" s="970">
        <v>41122</v>
      </c>
      <c r="B1286" s="1097">
        <v>11.3147</v>
      </c>
      <c r="C1286" s="1400">
        <v>11.547000000000001</v>
      </c>
      <c r="D1286" s="1400">
        <v>11.207000000000001</v>
      </c>
      <c r="E1286" s="1400">
        <v>11.223000000000001</v>
      </c>
      <c r="F1286" s="1374"/>
      <c r="G1286" s="634">
        <v>41122</v>
      </c>
      <c r="H1286" s="1097">
        <v>11.3147</v>
      </c>
      <c r="I1286" s="1400">
        <v>11.547000000000001</v>
      </c>
      <c r="J1286" s="1400">
        <v>11.207000000000001</v>
      </c>
      <c r="K1286" s="1400">
        <v>11.223000000000001</v>
      </c>
      <c r="L1286" s="1439"/>
    </row>
    <row r="1287" spans="1:12" x14ac:dyDescent="0.3">
      <c r="A1287" s="970">
        <v>41153</v>
      </c>
      <c r="B1287" s="1097">
        <v>10.763</v>
      </c>
      <c r="C1287" s="1400">
        <v>10.36</v>
      </c>
      <c r="D1287" s="1400">
        <v>10.042</v>
      </c>
      <c r="E1287" s="1400">
        <v>10.808</v>
      </c>
      <c r="F1287" s="1374"/>
      <c r="G1287" s="634">
        <v>41153</v>
      </c>
      <c r="H1287" s="1097">
        <v>10.763</v>
      </c>
      <c r="I1287" s="1400">
        <v>10.36</v>
      </c>
      <c r="J1287" s="1400">
        <v>10.042</v>
      </c>
      <c r="K1287" s="1400">
        <v>10.808</v>
      </c>
      <c r="L1287" s="1439"/>
    </row>
    <row r="1288" spans="1:12" x14ac:dyDescent="0.3">
      <c r="A1288" s="970">
        <v>41183</v>
      </c>
      <c r="B1288" s="1097">
        <v>9.6221999999999994</v>
      </c>
      <c r="C1288" s="1400">
        <v>10.287000000000001</v>
      </c>
      <c r="D1288" s="1400">
        <v>9.9179999999999993</v>
      </c>
      <c r="E1288" s="1400">
        <v>10.007999999999999</v>
      </c>
      <c r="F1288" s="1374"/>
      <c r="G1288" s="634">
        <v>41183</v>
      </c>
      <c r="H1288" s="1097">
        <v>9.6221999999999994</v>
      </c>
      <c r="I1288" s="1400">
        <v>10.287000000000001</v>
      </c>
      <c r="J1288" s="1400">
        <v>9.9179999999999993</v>
      </c>
      <c r="K1288" s="1400">
        <v>10.007999999999999</v>
      </c>
      <c r="L1288" s="1439"/>
    </row>
    <row r="1289" spans="1:12" x14ac:dyDescent="0.3">
      <c r="A1289" s="970">
        <v>41214</v>
      </c>
      <c r="B1289" s="1097">
        <v>7.3994999999999997</v>
      </c>
      <c r="C1289" s="1400">
        <v>7.5679999999999996</v>
      </c>
      <c r="D1289" s="1400">
        <v>7.3689999999999998</v>
      </c>
      <c r="E1289" s="1400">
        <v>7.5019999999999998</v>
      </c>
      <c r="F1289" s="1374"/>
      <c r="G1289" s="634">
        <v>41214</v>
      </c>
      <c r="H1289" s="1097">
        <v>7.3994999999999997</v>
      </c>
      <c r="I1289" s="1400">
        <v>7.5679999999999996</v>
      </c>
      <c r="J1289" s="1400">
        <v>7.3689999999999998</v>
      </c>
      <c r="K1289" s="1400">
        <v>7.5019999999999998</v>
      </c>
      <c r="L1289" s="1439"/>
    </row>
    <row r="1290" spans="1:12" x14ac:dyDescent="0.3">
      <c r="A1290" s="970">
        <v>41244</v>
      </c>
      <c r="B1290" s="1097">
        <v>8.4816000000000003</v>
      </c>
      <c r="C1290" s="1400">
        <v>8.5609999999999999</v>
      </c>
      <c r="D1290" s="1400">
        <v>8.3650000000000002</v>
      </c>
      <c r="E1290" s="1400">
        <v>8.6319999999999997</v>
      </c>
      <c r="F1290" s="1374"/>
      <c r="G1290" s="634">
        <v>41244</v>
      </c>
      <c r="H1290" s="1097">
        <v>8.4816000000000003</v>
      </c>
      <c r="I1290" s="1400">
        <v>8.5609999999999999</v>
      </c>
      <c r="J1290" s="1400">
        <v>8.3650000000000002</v>
      </c>
      <c r="K1290" s="1400">
        <v>8.6319999999999997</v>
      </c>
      <c r="L1290" s="1439"/>
    </row>
    <row r="1291" spans="1:12" x14ac:dyDescent="0.3">
      <c r="A1291" s="970">
        <v>41275</v>
      </c>
      <c r="B1291" s="1097">
        <v>9.1424000000000003</v>
      </c>
      <c r="C1291" s="1400">
        <v>8.8759999999999994</v>
      </c>
      <c r="D1291" s="1400">
        <v>8.6430000000000007</v>
      </c>
      <c r="E1291" s="1400">
        <v>9.4450000000000003</v>
      </c>
      <c r="F1291" s="1374"/>
      <c r="G1291" s="634">
        <v>41275</v>
      </c>
      <c r="H1291" s="1097">
        <v>9.1424000000000003</v>
      </c>
      <c r="I1291" s="1400">
        <v>8.8759999999999994</v>
      </c>
      <c r="J1291" s="1400">
        <v>8.6430000000000007</v>
      </c>
      <c r="K1291" s="1400">
        <v>9.4450000000000003</v>
      </c>
      <c r="L1291" s="1439"/>
    </row>
    <row r="1292" spans="1:12" x14ac:dyDescent="0.3">
      <c r="A1292" s="970">
        <v>41306</v>
      </c>
      <c r="B1292" s="1097">
        <v>7.6902999999999997</v>
      </c>
      <c r="C1292" s="1400">
        <v>7.5229999999999997</v>
      </c>
      <c r="D1292" s="1400">
        <v>7.327</v>
      </c>
      <c r="E1292" s="1400">
        <v>7.7560000000000002</v>
      </c>
      <c r="F1292" s="1374"/>
      <c r="G1292" s="634">
        <v>41306</v>
      </c>
      <c r="H1292" s="1097">
        <v>7.6902999999999997</v>
      </c>
      <c r="I1292" s="1400">
        <v>7.5229999999999997</v>
      </c>
      <c r="J1292" s="1400">
        <v>7.327</v>
      </c>
      <c r="K1292" s="1400">
        <v>7.7560000000000002</v>
      </c>
      <c r="L1292" s="1439"/>
    </row>
    <row r="1293" spans="1:12" x14ac:dyDescent="0.3">
      <c r="A1293" s="970">
        <v>41334</v>
      </c>
      <c r="B1293" s="1097">
        <v>7.2336</v>
      </c>
      <c r="C1293" s="1400">
        <v>7.2880000000000003</v>
      </c>
      <c r="D1293" s="1400">
        <v>7.12</v>
      </c>
      <c r="E1293" s="1400">
        <v>7.3250000000000002</v>
      </c>
      <c r="F1293" s="1374"/>
      <c r="G1293" s="634">
        <v>41334</v>
      </c>
      <c r="H1293" s="1097">
        <v>7.2336</v>
      </c>
      <c r="I1293" s="1400">
        <v>7.2880000000000003</v>
      </c>
      <c r="J1293" s="1400">
        <v>7.12</v>
      </c>
      <c r="K1293" s="1400">
        <v>7.3250000000000002</v>
      </c>
      <c r="L1293" s="1439"/>
    </row>
    <row r="1294" spans="1:12" x14ac:dyDescent="0.3">
      <c r="A1294" s="970">
        <v>41365</v>
      </c>
      <c r="B1294" s="1097">
        <v>8.3926999999999996</v>
      </c>
      <c r="C1294" s="1400">
        <v>8.2059999999999995</v>
      </c>
      <c r="D1294" s="1400">
        <v>8.0039999999999996</v>
      </c>
      <c r="E1294" s="1400">
        <v>8.4890000000000008</v>
      </c>
      <c r="F1294" s="1374"/>
      <c r="G1294" s="634">
        <v>41365</v>
      </c>
      <c r="H1294" s="1097">
        <v>8.3926999999999996</v>
      </c>
      <c r="I1294" s="1400">
        <v>8.2059999999999995</v>
      </c>
      <c r="J1294" s="1400">
        <v>8.0039999999999996</v>
      </c>
      <c r="K1294" s="1400">
        <v>8.4890000000000008</v>
      </c>
      <c r="L1294" s="1439"/>
    </row>
    <row r="1295" spans="1:12" x14ac:dyDescent="0.3">
      <c r="A1295" s="970">
        <v>41395</v>
      </c>
      <c r="B1295" s="1097">
        <v>7.2154999999999996</v>
      </c>
      <c r="C1295" s="1400">
        <v>7.1</v>
      </c>
      <c r="D1295" s="1400">
        <v>6.8949999999999996</v>
      </c>
      <c r="E1295" s="1400">
        <v>7.2270000000000003</v>
      </c>
      <c r="F1295" s="1374"/>
      <c r="G1295" s="634">
        <v>41395</v>
      </c>
      <c r="H1295" s="1097">
        <v>7.2154999999999996</v>
      </c>
      <c r="I1295" s="1400">
        <v>7.1</v>
      </c>
      <c r="J1295" s="1400">
        <v>6.8949999999999996</v>
      </c>
      <c r="K1295" s="1400">
        <v>7.2270000000000003</v>
      </c>
      <c r="L1295" s="1439"/>
    </row>
    <row r="1296" spans="1:12" x14ac:dyDescent="0.3">
      <c r="A1296" s="970">
        <v>41426</v>
      </c>
      <c r="B1296" s="1097">
        <v>7.7211999999999996</v>
      </c>
      <c r="C1296" s="1400">
        <v>7.0739999999999998</v>
      </c>
      <c r="D1296" s="1400">
        <v>6.867</v>
      </c>
      <c r="E1296" s="1400">
        <v>7.7969999999999997</v>
      </c>
      <c r="F1296" s="1374"/>
      <c r="G1296" s="634">
        <v>41426</v>
      </c>
      <c r="H1296" s="1097">
        <v>7.7211999999999996</v>
      </c>
      <c r="I1296" s="1400">
        <v>7.0739999999999998</v>
      </c>
      <c r="J1296" s="1400">
        <v>6.867</v>
      </c>
      <c r="K1296" s="1400">
        <v>7.7969999999999997</v>
      </c>
      <c r="L1296" s="1439"/>
    </row>
    <row r="1297" spans="1:12" x14ac:dyDescent="0.3">
      <c r="A1297" s="970">
        <v>41456</v>
      </c>
      <c r="B1297" s="1097">
        <v>11.292999999999999</v>
      </c>
      <c r="C1297" s="1400">
        <v>10.76</v>
      </c>
      <c r="D1297" s="1400">
        <v>10.465</v>
      </c>
      <c r="E1297" s="1400">
        <v>11.314</v>
      </c>
      <c r="F1297" s="1374"/>
      <c r="G1297" s="634">
        <v>41456</v>
      </c>
      <c r="H1297" s="1097">
        <v>11.292999999999999</v>
      </c>
      <c r="I1297" s="1400">
        <v>10.76</v>
      </c>
      <c r="J1297" s="1400">
        <v>10.465</v>
      </c>
      <c r="K1297" s="1400">
        <v>11.314</v>
      </c>
      <c r="L1297" s="1439"/>
    </row>
    <row r="1298" spans="1:12" x14ac:dyDescent="0.3">
      <c r="A1298" s="970">
        <v>41487</v>
      </c>
      <c r="B1298" s="1097">
        <v>11.211</v>
      </c>
      <c r="C1298" s="1400">
        <v>11.406000000000001</v>
      </c>
      <c r="D1298" s="1400">
        <v>11.106999999999999</v>
      </c>
      <c r="E1298" s="1400">
        <v>11.141999999999999</v>
      </c>
      <c r="F1298" s="1374"/>
      <c r="G1298" s="634">
        <v>41487</v>
      </c>
      <c r="H1298" s="1097">
        <v>11.211</v>
      </c>
      <c r="I1298" s="1400">
        <v>11.406000000000001</v>
      </c>
      <c r="J1298" s="1400">
        <v>11.106999999999999</v>
      </c>
      <c r="K1298" s="1400">
        <v>11.141999999999999</v>
      </c>
      <c r="L1298" s="1439"/>
    </row>
    <row r="1299" spans="1:12" x14ac:dyDescent="0.3">
      <c r="A1299" s="970">
        <v>41518</v>
      </c>
      <c r="B1299" s="1097">
        <v>10.948</v>
      </c>
      <c r="C1299" s="1400">
        <v>10.522</v>
      </c>
      <c r="D1299" s="1400">
        <v>10.247999999999999</v>
      </c>
      <c r="E1299" s="1400">
        <v>11.632</v>
      </c>
      <c r="F1299" s="1374"/>
      <c r="G1299" s="634">
        <v>41518</v>
      </c>
      <c r="H1299" s="1097">
        <v>10.948</v>
      </c>
      <c r="I1299" s="1400">
        <v>10.522</v>
      </c>
      <c r="J1299" s="1400">
        <v>10.247999999999999</v>
      </c>
      <c r="K1299" s="1400">
        <v>11.632</v>
      </c>
      <c r="L1299" s="1439"/>
    </row>
    <row r="1300" spans="1:12" x14ac:dyDescent="0.3">
      <c r="A1300" s="970">
        <v>41548</v>
      </c>
      <c r="B1300" s="1097">
        <v>8.0594000000000001</v>
      </c>
      <c r="C1300" s="1400">
        <v>8.2319999999999993</v>
      </c>
      <c r="D1300" s="1400">
        <v>8.0090000000000003</v>
      </c>
      <c r="E1300" s="1400">
        <v>8.1880000000000006</v>
      </c>
      <c r="F1300" s="1374"/>
      <c r="G1300" s="634">
        <v>41548</v>
      </c>
      <c r="H1300" s="1097">
        <v>8.0594000000000001</v>
      </c>
      <c r="I1300" s="1400">
        <v>8.2319999999999993</v>
      </c>
      <c r="J1300" s="1400">
        <v>8.0090000000000003</v>
      </c>
      <c r="K1300" s="1400">
        <v>8.1880000000000006</v>
      </c>
      <c r="L1300" s="1439"/>
    </row>
    <row r="1301" spans="1:12" x14ac:dyDescent="0.3">
      <c r="A1301" s="970">
        <v>41579</v>
      </c>
      <c r="B1301" s="1097">
        <v>7.9027000000000003</v>
      </c>
      <c r="C1301" s="1400">
        <v>8.2439999999999998</v>
      </c>
      <c r="D1301" s="1400">
        <v>8.0180000000000007</v>
      </c>
      <c r="E1301" s="1400">
        <v>8.0470000000000006</v>
      </c>
      <c r="F1301" s="1374"/>
      <c r="G1301" s="634">
        <v>41579</v>
      </c>
      <c r="H1301" s="1097">
        <v>7.9027000000000003</v>
      </c>
      <c r="I1301" s="1400">
        <v>8.2439999999999998</v>
      </c>
      <c r="J1301" s="1400">
        <v>8.0180000000000007</v>
      </c>
      <c r="K1301" s="1400">
        <v>8.0470000000000006</v>
      </c>
      <c r="L1301" s="1439"/>
    </row>
    <row r="1302" spans="1:12" x14ac:dyDescent="0.3">
      <c r="A1302" s="970">
        <v>41609</v>
      </c>
      <c r="B1302" s="1097">
        <v>7.5796000000000001</v>
      </c>
      <c r="C1302" s="1400">
        <v>8.1460000000000008</v>
      </c>
      <c r="D1302" s="1400">
        <v>7.9390000000000001</v>
      </c>
      <c r="E1302" s="1400">
        <v>7.8019999999999996</v>
      </c>
      <c r="F1302" s="1374"/>
      <c r="G1302" s="634">
        <v>41609</v>
      </c>
      <c r="H1302" s="1097">
        <v>7.5796000000000001</v>
      </c>
      <c r="I1302" s="1400">
        <v>8.1460000000000008</v>
      </c>
      <c r="J1302" s="1400">
        <v>7.9390000000000001</v>
      </c>
      <c r="K1302" s="1400">
        <v>7.8019999999999996</v>
      </c>
      <c r="L1302" s="1439"/>
    </row>
    <row r="1303" spans="1:12" x14ac:dyDescent="0.3">
      <c r="A1303" s="970">
        <v>41640</v>
      </c>
      <c r="B1303" s="1097">
        <v>7.8040000000000003</v>
      </c>
      <c r="C1303" s="1400">
        <v>8.6890000000000001</v>
      </c>
      <c r="D1303" s="1400">
        <v>8.4559999999999995</v>
      </c>
      <c r="E1303" s="1400">
        <v>7.9390000000000001</v>
      </c>
      <c r="F1303" s="1374"/>
      <c r="G1303" s="634">
        <v>41640</v>
      </c>
      <c r="H1303" s="1097">
        <v>7.8040000000000003</v>
      </c>
      <c r="I1303" s="1400">
        <v>8.6890000000000001</v>
      </c>
      <c r="J1303" s="1400">
        <v>8.4559999999999995</v>
      </c>
      <c r="K1303" s="1400">
        <v>7.9390000000000001</v>
      </c>
      <c r="L1303" s="1439"/>
    </row>
    <row r="1304" spans="1:12" x14ac:dyDescent="0.3">
      <c r="A1304" s="970">
        <v>41671</v>
      </c>
      <c r="B1304" s="1097">
        <v>7.1909000000000001</v>
      </c>
      <c r="C1304" s="1400">
        <v>7.4710000000000001</v>
      </c>
      <c r="D1304" s="1400">
        <v>7.2830000000000004</v>
      </c>
      <c r="E1304" s="1400">
        <v>7.319</v>
      </c>
      <c r="F1304" s="1374"/>
      <c r="G1304" s="634">
        <v>41671</v>
      </c>
      <c r="H1304" s="1097">
        <v>7.1909000000000001</v>
      </c>
      <c r="I1304" s="1400">
        <v>7.4710000000000001</v>
      </c>
      <c r="J1304" s="1400">
        <v>7.2830000000000004</v>
      </c>
      <c r="K1304" s="1400">
        <v>7.319</v>
      </c>
      <c r="L1304" s="1439"/>
    </row>
    <row r="1305" spans="1:12" x14ac:dyDescent="0.3">
      <c r="A1305" s="970">
        <v>41699</v>
      </c>
      <c r="B1305" s="1097">
        <v>7.3186999999999998</v>
      </c>
      <c r="C1305" s="1400">
        <v>6.9909999999999997</v>
      </c>
      <c r="D1305" s="1400">
        <v>6.8159999999999998</v>
      </c>
      <c r="E1305" s="1400">
        <v>7.4080000000000004</v>
      </c>
      <c r="F1305" s="1374"/>
      <c r="G1305" s="634">
        <v>41699</v>
      </c>
      <c r="H1305" s="1097">
        <v>7.3186999999999998</v>
      </c>
      <c r="I1305" s="1400">
        <v>6.9909999999999997</v>
      </c>
      <c r="J1305" s="1400">
        <v>6.8159999999999998</v>
      </c>
      <c r="K1305" s="1400">
        <v>7.4080000000000004</v>
      </c>
      <c r="L1305" s="1439"/>
    </row>
    <row r="1306" spans="1:12" x14ac:dyDescent="0.3">
      <c r="A1306" s="970">
        <v>41730</v>
      </c>
      <c r="B1306" s="1097">
        <v>7.0838000000000001</v>
      </c>
      <c r="C1306" s="1400">
        <v>6.9859999999999998</v>
      </c>
      <c r="D1306" s="1400">
        <v>6.8040000000000003</v>
      </c>
      <c r="E1306" s="1400">
        <v>7.1159999999999997</v>
      </c>
      <c r="F1306" s="1374"/>
      <c r="G1306" s="634">
        <v>41730</v>
      </c>
      <c r="H1306" s="1097">
        <v>7.0838000000000001</v>
      </c>
      <c r="I1306" s="1400">
        <v>6.9859999999999998</v>
      </c>
      <c r="J1306" s="1400">
        <v>6.8040000000000003</v>
      </c>
      <c r="K1306" s="1400">
        <v>7.1159999999999997</v>
      </c>
      <c r="L1306" s="1439"/>
    </row>
    <row r="1307" spans="1:12" x14ac:dyDescent="0.3">
      <c r="A1307" s="970">
        <v>41760</v>
      </c>
      <c r="B1307" s="1097">
        <v>10.612</v>
      </c>
      <c r="C1307" s="1400">
        <v>8.9220000000000006</v>
      </c>
      <c r="D1307" s="1400">
        <v>8.6679999999999993</v>
      </c>
      <c r="E1307" s="1400">
        <v>11.224</v>
      </c>
      <c r="F1307" s="1374"/>
      <c r="G1307" s="634">
        <v>41760</v>
      </c>
      <c r="H1307" s="1097">
        <v>10.612</v>
      </c>
      <c r="I1307" s="1400">
        <v>8.9220000000000006</v>
      </c>
      <c r="J1307" s="1400">
        <v>8.6679999999999993</v>
      </c>
      <c r="K1307" s="1400">
        <v>11.224</v>
      </c>
      <c r="L1307" s="1439"/>
    </row>
    <row r="1308" spans="1:12" x14ac:dyDescent="0.3">
      <c r="A1308" s="970">
        <v>41791</v>
      </c>
      <c r="B1308" s="1097">
        <v>5.4981</v>
      </c>
      <c r="C1308" s="1400">
        <v>5.9950000000000001</v>
      </c>
      <c r="D1308" s="1400">
        <v>5.8570000000000002</v>
      </c>
      <c r="E1308" s="1400">
        <v>5.5279999999999996</v>
      </c>
      <c r="F1308" s="1374"/>
      <c r="G1308" s="634">
        <v>41791</v>
      </c>
      <c r="H1308" s="1097">
        <v>5.4981</v>
      </c>
      <c r="I1308" s="1400">
        <v>5.9950000000000001</v>
      </c>
      <c r="J1308" s="1400">
        <v>5.8570000000000002</v>
      </c>
      <c r="K1308" s="1400">
        <v>5.5279999999999996</v>
      </c>
      <c r="L1308" s="1439"/>
    </row>
    <row r="1309" spans="1:12" x14ac:dyDescent="0.3">
      <c r="A1309" s="970">
        <v>41821</v>
      </c>
      <c r="B1309" s="1097">
        <v>7.7039999999999997</v>
      </c>
      <c r="C1309" s="1400">
        <v>7.1980000000000004</v>
      </c>
      <c r="D1309" s="1400">
        <v>7.032</v>
      </c>
      <c r="E1309" s="1400">
        <v>7.8280000000000003</v>
      </c>
      <c r="F1309" s="1374"/>
      <c r="G1309" s="634">
        <v>41821</v>
      </c>
      <c r="H1309" s="1097">
        <v>7.7039999999999997</v>
      </c>
      <c r="I1309" s="1400">
        <v>7.1980000000000004</v>
      </c>
      <c r="J1309" s="1400">
        <v>7.032</v>
      </c>
      <c r="K1309" s="1400">
        <v>7.8280000000000003</v>
      </c>
      <c r="L1309" s="1439"/>
    </row>
    <row r="1310" spans="1:12" x14ac:dyDescent="0.3">
      <c r="A1310" s="970">
        <v>41852</v>
      </c>
      <c r="B1310" s="1097">
        <v>8.6411999999999995</v>
      </c>
      <c r="C1310" s="1400">
        <v>8.0210000000000008</v>
      </c>
      <c r="D1310" s="1400">
        <v>7.827</v>
      </c>
      <c r="E1310" s="1400">
        <v>8.7750000000000004</v>
      </c>
      <c r="F1310" s="1374"/>
      <c r="G1310" s="634">
        <v>41852</v>
      </c>
      <c r="H1310" s="1097">
        <v>8.6411999999999995</v>
      </c>
      <c r="I1310" s="1400">
        <v>8.0210000000000008</v>
      </c>
      <c r="J1310" s="1400">
        <v>7.827</v>
      </c>
      <c r="K1310" s="1400">
        <v>8.7750000000000004</v>
      </c>
      <c r="L1310" s="1439"/>
    </row>
    <row r="1311" spans="1:12" x14ac:dyDescent="0.3">
      <c r="A1311" s="970">
        <v>41883</v>
      </c>
      <c r="B1311" s="1097">
        <v>9.0046999999999997</v>
      </c>
      <c r="C1311" s="1400">
        <v>7.9539999999999997</v>
      </c>
      <c r="D1311" s="1400">
        <v>7.774</v>
      </c>
      <c r="E1311" s="1400">
        <v>9.0640000000000001</v>
      </c>
      <c r="F1311" s="1374"/>
      <c r="G1311" s="634">
        <v>41883</v>
      </c>
      <c r="H1311" s="1097">
        <v>9.0046999999999997</v>
      </c>
      <c r="I1311" s="1400">
        <v>7.9539999999999997</v>
      </c>
      <c r="J1311" s="1400">
        <v>7.774</v>
      </c>
      <c r="K1311" s="1400">
        <v>9.0640000000000001</v>
      </c>
      <c r="L1311" s="1439"/>
    </row>
    <row r="1312" spans="1:12" x14ac:dyDescent="0.3">
      <c r="A1312" s="970">
        <v>41913</v>
      </c>
      <c r="B1312" s="1097">
        <v>8.4507999999999992</v>
      </c>
      <c r="C1312" s="1400">
        <v>8.7370000000000001</v>
      </c>
      <c r="D1312" s="1400">
        <v>8.4930000000000003</v>
      </c>
      <c r="E1312" s="1400">
        <v>8.6340000000000003</v>
      </c>
      <c r="F1312" s="1374"/>
      <c r="G1312" s="634">
        <v>41913</v>
      </c>
      <c r="H1312" s="1097">
        <v>8.4507999999999992</v>
      </c>
      <c r="I1312" s="1400">
        <v>8.7370000000000001</v>
      </c>
      <c r="J1312" s="1400">
        <v>8.4930000000000003</v>
      </c>
      <c r="K1312" s="1400">
        <v>8.6340000000000003</v>
      </c>
      <c r="L1312" s="1439"/>
    </row>
    <row r="1313" spans="1:12" x14ac:dyDescent="0.3">
      <c r="A1313" s="970">
        <v>41944</v>
      </c>
      <c r="B1313" s="1097">
        <v>6.3208000000000002</v>
      </c>
      <c r="C1313" s="1400">
        <v>7.1269999999999998</v>
      </c>
      <c r="D1313" s="1400">
        <v>6.9420000000000002</v>
      </c>
      <c r="E1313" s="1400">
        <v>6.2880000000000003</v>
      </c>
      <c r="F1313" s="1374"/>
      <c r="G1313" s="634">
        <v>41944</v>
      </c>
      <c r="H1313" s="1097">
        <v>6.3208000000000002</v>
      </c>
      <c r="I1313" s="1400">
        <v>7.1269999999999998</v>
      </c>
      <c r="J1313" s="1400">
        <v>6.9420000000000002</v>
      </c>
      <c r="K1313" s="1400">
        <v>6.2880000000000003</v>
      </c>
      <c r="L1313" s="1439"/>
    </row>
    <row r="1314" spans="1:12" x14ac:dyDescent="0.3">
      <c r="A1314" s="970">
        <v>41974</v>
      </c>
      <c r="B1314" s="1097">
        <v>7.2981999999999996</v>
      </c>
      <c r="C1314" s="1400">
        <v>7.5449999999999999</v>
      </c>
      <c r="D1314" s="1400">
        <v>7.3760000000000003</v>
      </c>
      <c r="E1314" s="1400">
        <v>7.274</v>
      </c>
      <c r="F1314" s="1374"/>
      <c r="G1314" s="634">
        <v>41974</v>
      </c>
      <c r="H1314" s="1097">
        <v>7.2981999999999996</v>
      </c>
      <c r="I1314" s="1400">
        <v>7.5449999999999999</v>
      </c>
      <c r="J1314" s="1400">
        <v>7.3760000000000003</v>
      </c>
      <c r="K1314" s="1400">
        <v>7.274</v>
      </c>
      <c r="L1314" s="1439"/>
    </row>
    <row r="1315" spans="1:12" x14ac:dyDescent="0.3">
      <c r="A1315" s="970">
        <v>42005</v>
      </c>
      <c r="B1315" s="1097">
        <v>7.4088000000000003</v>
      </c>
      <c r="C1315" s="1400">
        <v>7.3019999999999996</v>
      </c>
      <c r="D1315" s="1400">
        <v>7.1390000000000002</v>
      </c>
      <c r="E1315" s="1400">
        <v>7.423</v>
      </c>
      <c r="F1315" s="1374"/>
      <c r="G1315" s="634">
        <v>42005</v>
      </c>
      <c r="H1315" s="1097">
        <v>7.4088000000000003</v>
      </c>
      <c r="I1315" s="1400">
        <v>7.3019999999999996</v>
      </c>
      <c r="J1315" s="1400">
        <v>7.1390000000000002</v>
      </c>
      <c r="K1315" s="1400">
        <v>7.423</v>
      </c>
      <c r="L1315" s="1439"/>
    </row>
    <row r="1316" spans="1:12" x14ac:dyDescent="0.3">
      <c r="A1316" s="970">
        <v>42036</v>
      </c>
      <c r="B1316" s="1097">
        <v>5.9298999999999999</v>
      </c>
      <c r="C1316" s="1400">
        <v>6.5830000000000002</v>
      </c>
      <c r="D1316" s="1400">
        <v>6.4219999999999997</v>
      </c>
      <c r="E1316" s="1400">
        <v>5.8730000000000002</v>
      </c>
      <c r="F1316" s="1374"/>
      <c r="G1316" s="634">
        <v>42036</v>
      </c>
      <c r="H1316" s="1097">
        <v>5.9298999999999999</v>
      </c>
      <c r="I1316" s="1400">
        <v>6.5830000000000002</v>
      </c>
      <c r="J1316" s="1400">
        <v>6.4219999999999997</v>
      </c>
      <c r="K1316" s="1400">
        <v>5.8730000000000002</v>
      </c>
      <c r="L1316" s="1439"/>
    </row>
    <row r="1317" spans="1:12" x14ac:dyDescent="0.3">
      <c r="A1317" s="970">
        <v>42064</v>
      </c>
      <c r="B1317" s="1097">
        <v>4.9176000000000002</v>
      </c>
      <c r="C1317" s="1400">
        <v>5.431</v>
      </c>
      <c r="D1317" s="1400">
        <v>5.3280000000000003</v>
      </c>
      <c r="E1317" s="1400">
        <v>4.8949999999999996</v>
      </c>
      <c r="F1317" s="1374"/>
      <c r="G1317" s="634">
        <v>42064</v>
      </c>
      <c r="H1317" s="1097">
        <v>4.9176000000000002</v>
      </c>
      <c r="I1317" s="1400">
        <v>5.431</v>
      </c>
      <c r="J1317" s="1400">
        <v>5.3280000000000003</v>
      </c>
      <c r="K1317" s="1400">
        <v>4.8949999999999996</v>
      </c>
      <c r="L1317" s="1439"/>
    </row>
    <row r="1318" spans="1:12" x14ac:dyDescent="0.3">
      <c r="A1318" s="970">
        <v>42095</v>
      </c>
      <c r="B1318" s="1097">
        <v>5.1140999999999996</v>
      </c>
      <c r="C1318" s="1400">
        <v>5.8319999999999999</v>
      </c>
      <c r="D1318" s="1400">
        <v>5.6890000000000001</v>
      </c>
      <c r="E1318" s="1400">
        <v>5.1769999999999996</v>
      </c>
      <c r="F1318" s="1374"/>
      <c r="G1318" s="634">
        <v>42095</v>
      </c>
      <c r="H1318" s="1097">
        <v>5.1140999999999996</v>
      </c>
      <c r="I1318" s="1400">
        <v>5.8319999999999999</v>
      </c>
      <c r="J1318" s="1400">
        <v>5.6890000000000001</v>
      </c>
      <c r="K1318" s="1400">
        <v>5.1769999999999996</v>
      </c>
      <c r="L1318" s="1439"/>
    </row>
    <row r="1319" spans="1:12" x14ac:dyDescent="0.3">
      <c r="A1319" s="970">
        <v>42125</v>
      </c>
      <c r="B1319" s="1097">
        <v>4.5153999999999996</v>
      </c>
      <c r="C1319" s="1400">
        <v>4.3369999999999997</v>
      </c>
      <c r="D1319" s="1400">
        <v>4.2290000000000001</v>
      </c>
      <c r="E1319" s="1400">
        <v>4.5380000000000003</v>
      </c>
      <c r="F1319" s="1374"/>
      <c r="G1319" s="634">
        <v>42125</v>
      </c>
      <c r="H1319" s="1097">
        <v>4.5153999999999996</v>
      </c>
      <c r="I1319" s="1400">
        <v>4.3369999999999997</v>
      </c>
      <c r="J1319" s="1400">
        <v>4.2290000000000001</v>
      </c>
      <c r="K1319" s="1400">
        <v>4.5380000000000003</v>
      </c>
      <c r="L1319" s="1439"/>
    </row>
    <row r="1320" spans="1:12" x14ac:dyDescent="0.3">
      <c r="A1320" s="970">
        <v>42156</v>
      </c>
      <c r="B1320" s="1097">
        <v>3.8008000000000002</v>
      </c>
      <c r="C1320" s="1400">
        <v>4.0890000000000004</v>
      </c>
      <c r="D1320" s="1400">
        <v>3.992</v>
      </c>
      <c r="E1320" s="1400">
        <v>3.831</v>
      </c>
      <c r="F1320" s="1374"/>
      <c r="G1320" s="634">
        <v>42156</v>
      </c>
      <c r="H1320" s="1097">
        <v>3.8008000000000002</v>
      </c>
      <c r="I1320" s="1400">
        <v>4.0890000000000004</v>
      </c>
      <c r="J1320" s="1400">
        <v>3.992</v>
      </c>
      <c r="K1320" s="1400">
        <v>3.831</v>
      </c>
      <c r="L1320" s="1439"/>
    </row>
    <row r="1321" spans="1:12" x14ac:dyDescent="0.3">
      <c r="A1321" s="970">
        <v>42186</v>
      </c>
      <c r="B1321" s="1097">
        <v>8.2159999999999993</v>
      </c>
      <c r="C1321" s="1400">
        <v>6.14</v>
      </c>
      <c r="D1321" s="1400">
        <v>5.9790000000000001</v>
      </c>
      <c r="E1321" s="1400">
        <v>8.6340000000000003</v>
      </c>
      <c r="F1321" s="1374"/>
      <c r="G1321" s="634">
        <v>42186</v>
      </c>
      <c r="H1321" s="1097">
        <v>8.2159999999999993</v>
      </c>
      <c r="I1321" s="1400">
        <v>6.14</v>
      </c>
      <c r="J1321" s="1400">
        <v>5.9790000000000001</v>
      </c>
      <c r="K1321" s="1400">
        <v>8.6340000000000003</v>
      </c>
      <c r="L1321" s="1439"/>
    </row>
    <row r="1322" spans="1:12" x14ac:dyDescent="0.3">
      <c r="A1322" s="970">
        <v>42217</v>
      </c>
      <c r="B1322" s="1097">
        <v>7.8959999999999999</v>
      </c>
      <c r="C1322" s="1400">
        <v>5.8129999999999997</v>
      </c>
      <c r="D1322" s="1400">
        <v>5.6740000000000004</v>
      </c>
      <c r="E1322" s="1400">
        <v>7.82</v>
      </c>
      <c r="F1322" s="1374"/>
      <c r="G1322" s="634">
        <v>42217</v>
      </c>
      <c r="H1322" s="1097">
        <v>7.8959999999999999</v>
      </c>
      <c r="I1322" s="1400">
        <v>5.8129999999999997</v>
      </c>
      <c r="J1322" s="1400">
        <v>5.6740000000000004</v>
      </c>
      <c r="K1322" s="1400">
        <v>7.82</v>
      </c>
      <c r="L1322" s="1439"/>
    </row>
    <row r="1323" spans="1:12" x14ac:dyDescent="0.3">
      <c r="A1323" s="970">
        <v>42248</v>
      </c>
      <c r="B1323" s="1097">
        <v>5.407</v>
      </c>
      <c r="C1323" s="1400">
        <v>5.3869999999999996</v>
      </c>
      <c r="D1323" s="1400">
        <v>5.234</v>
      </c>
      <c r="E1323" s="1400">
        <v>5.577</v>
      </c>
      <c r="F1323" s="1374"/>
      <c r="G1323" s="634">
        <v>42248</v>
      </c>
      <c r="H1323" s="1097">
        <v>5.407</v>
      </c>
      <c r="I1323" s="1400">
        <v>5.3869999999999996</v>
      </c>
      <c r="J1323" s="1400">
        <v>5.234</v>
      </c>
      <c r="K1323" s="1400">
        <v>5.577</v>
      </c>
      <c r="L1323" s="1439"/>
    </row>
    <row r="1324" spans="1:12" x14ac:dyDescent="0.3">
      <c r="A1324" s="970">
        <v>42278</v>
      </c>
      <c r="B1324" s="1097">
        <v>5.5547000000000004</v>
      </c>
      <c r="C1324" s="1400">
        <v>5.4980000000000002</v>
      </c>
      <c r="D1324" s="1400">
        <v>5.36</v>
      </c>
      <c r="E1324" s="1400">
        <v>5.5819999999999999</v>
      </c>
      <c r="F1324" s="1374"/>
      <c r="G1324" s="634">
        <v>42278</v>
      </c>
      <c r="H1324" s="1097">
        <v>5.5547000000000004</v>
      </c>
      <c r="I1324" s="1400">
        <v>5.4980000000000002</v>
      </c>
      <c r="J1324" s="1400">
        <v>5.36</v>
      </c>
      <c r="K1324" s="1400">
        <v>5.5819999999999999</v>
      </c>
      <c r="L1324" s="1439"/>
    </row>
    <row r="1325" spans="1:12" x14ac:dyDescent="0.3">
      <c r="A1325" s="970">
        <v>42309</v>
      </c>
      <c r="B1325" s="1097">
        <v>5.0035999999999996</v>
      </c>
      <c r="C1325" s="1400">
        <v>5.2119999999999997</v>
      </c>
      <c r="D1325" s="1400">
        <v>5.0830000000000002</v>
      </c>
      <c r="E1325" s="1400">
        <v>5.0819999999999999</v>
      </c>
      <c r="F1325" s="1374"/>
      <c r="G1325" s="634">
        <v>42309</v>
      </c>
      <c r="H1325" s="1097">
        <v>5.0035999999999996</v>
      </c>
      <c r="I1325" s="1400">
        <v>5.2119999999999997</v>
      </c>
      <c r="J1325" s="1400">
        <v>5.0830000000000002</v>
      </c>
      <c r="K1325" s="1400">
        <v>5.0819999999999999</v>
      </c>
      <c r="L1325" s="1439"/>
    </row>
    <row r="1326" spans="1:12" x14ac:dyDescent="0.3">
      <c r="A1326" s="970">
        <v>42339</v>
      </c>
      <c r="B1326" s="1097">
        <v>5.1921999999999997</v>
      </c>
      <c r="C1326" s="1400">
        <v>5.4889999999999999</v>
      </c>
      <c r="D1326" s="1400">
        <v>5.3639999999999999</v>
      </c>
      <c r="E1326" s="1400">
        <v>5.2080000000000002</v>
      </c>
      <c r="F1326" s="1374"/>
      <c r="G1326" s="634">
        <v>42339</v>
      </c>
      <c r="H1326" s="1097">
        <v>5.1921999999999997</v>
      </c>
      <c r="I1326" s="1400">
        <v>5.4889999999999999</v>
      </c>
      <c r="J1326" s="1400">
        <v>5.3639999999999999</v>
      </c>
      <c r="K1326" s="1400">
        <v>5.2080000000000002</v>
      </c>
      <c r="L1326" s="1439"/>
    </row>
    <row r="1327" spans="1:12" x14ac:dyDescent="0.3">
      <c r="A1327" s="970">
        <v>42370</v>
      </c>
      <c r="B1327" s="1097">
        <v>4.7946999999999997</v>
      </c>
      <c r="C1327" s="1400">
        <v>5.3040000000000003</v>
      </c>
      <c r="D1327" s="1400">
        <v>5.1859999999999999</v>
      </c>
      <c r="E1327" s="1400">
        <v>4.8520000000000003</v>
      </c>
      <c r="F1327" s="1374"/>
      <c r="G1327" s="634">
        <v>42370</v>
      </c>
      <c r="H1327" s="1097">
        <v>4.7946999999999997</v>
      </c>
      <c r="I1327" s="1400">
        <v>5.3040000000000003</v>
      </c>
      <c r="J1327" s="1400">
        <v>5.1859999999999999</v>
      </c>
      <c r="K1327" s="1400">
        <v>4.8520000000000003</v>
      </c>
      <c r="L1327" s="1439"/>
    </row>
    <row r="1328" spans="1:12" x14ac:dyDescent="0.3">
      <c r="A1328" s="970">
        <v>42401</v>
      </c>
      <c r="B1328" s="1097">
        <v>4.3921000000000001</v>
      </c>
      <c r="C1328" s="1400">
        <v>4.7530000000000001</v>
      </c>
      <c r="D1328" s="1400">
        <v>4.66</v>
      </c>
      <c r="E1328" s="1400">
        <v>4.4610000000000003</v>
      </c>
      <c r="F1328" s="1374"/>
      <c r="G1328" s="634">
        <v>42401</v>
      </c>
      <c r="H1328" s="1097">
        <v>4.3921000000000001</v>
      </c>
      <c r="I1328" s="1400">
        <v>4.7530000000000001</v>
      </c>
      <c r="J1328" s="1400">
        <v>4.66</v>
      </c>
      <c r="K1328" s="1400">
        <v>4.4610000000000003</v>
      </c>
      <c r="L1328" s="1439"/>
    </row>
    <row r="1329" spans="1:12" x14ac:dyDescent="0.3">
      <c r="A1329" s="970">
        <v>42430</v>
      </c>
      <c r="B1329" s="1097">
        <v>4.1858000000000004</v>
      </c>
      <c r="C1329" s="1400">
        <v>4.5209999999999999</v>
      </c>
      <c r="D1329" s="1400">
        <v>4.4290000000000003</v>
      </c>
      <c r="E1329" s="1400">
        <v>4.2649999999999997</v>
      </c>
      <c r="F1329" s="1374"/>
      <c r="G1329" s="634">
        <v>42430</v>
      </c>
      <c r="H1329" s="1097">
        <v>4.1858000000000004</v>
      </c>
      <c r="I1329" s="1400">
        <v>4.5209999999999999</v>
      </c>
      <c r="J1329" s="1400">
        <v>4.4290000000000003</v>
      </c>
      <c r="K1329" s="1400">
        <v>4.2649999999999997</v>
      </c>
      <c r="L1329" s="1439"/>
    </row>
    <row r="1330" spans="1:12" x14ac:dyDescent="0.3">
      <c r="A1330" s="970">
        <v>42461</v>
      </c>
      <c r="B1330" s="1097">
        <v>3.3496999999999999</v>
      </c>
      <c r="C1330" s="1400">
        <v>3.65</v>
      </c>
      <c r="D1330" s="1400">
        <v>3.5840000000000001</v>
      </c>
      <c r="E1330" s="1400">
        <v>3.4380000000000002</v>
      </c>
      <c r="F1330" s="1374"/>
      <c r="G1330" s="634">
        <v>42461</v>
      </c>
      <c r="H1330" s="1097">
        <v>3.3496999999999999</v>
      </c>
      <c r="I1330" s="1400">
        <v>3.65</v>
      </c>
      <c r="J1330" s="1400">
        <v>3.5840000000000001</v>
      </c>
      <c r="K1330" s="1400">
        <v>3.4380000000000002</v>
      </c>
      <c r="L1330" s="1439"/>
    </row>
    <row r="1331" spans="1:12" x14ac:dyDescent="0.3">
      <c r="A1331" s="970">
        <v>42491</v>
      </c>
      <c r="B1331" s="1097">
        <v>3.3043</v>
      </c>
      <c r="C1331" s="1400">
        <v>3.3460000000000001</v>
      </c>
      <c r="D1331" s="1400">
        <v>3.294</v>
      </c>
      <c r="E1331" s="1400">
        <v>3.2810000000000001</v>
      </c>
      <c r="F1331" s="1374"/>
      <c r="G1331" s="634">
        <v>42491</v>
      </c>
      <c r="H1331" s="1097">
        <v>3.3043</v>
      </c>
      <c r="I1331" s="1400">
        <v>3.3460000000000001</v>
      </c>
      <c r="J1331" s="1400">
        <v>3.294</v>
      </c>
      <c r="K1331" s="1400">
        <v>3.2810000000000001</v>
      </c>
      <c r="L1331" s="1439"/>
    </row>
    <row r="1332" spans="1:12" x14ac:dyDescent="0.3">
      <c r="A1332" s="970">
        <v>42522</v>
      </c>
      <c r="B1332" s="1097">
        <v>3.4636999999999998</v>
      </c>
      <c r="C1332" s="1400">
        <v>3.6110000000000002</v>
      </c>
      <c r="D1332" s="1400">
        <v>3.5430000000000001</v>
      </c>
      <c r="E1332" s="1400">
        <v>3.5790000000000002</v>
      </c>
      <c r="F1332" s="1374"/>
      <c r="G1332" s="634">
        <v>42522</v>
      </c>
      <c r="H1332" s="1097">
        <v>3.4636999999999998</v>
      </c>
      <c r="I1332" s="1400">
        <v>3.6110000000000002</v>
      </c>
      <c r="J1332" s="1400">
        <v>3.5430000000000001</v>
      </c>
      <c r="K1332" s="1400">
        <v>3.5790000000000002</v>
      </c>
      <c r="L1332" s="1439"/>
    </row>
    <row r="1333" spans="1:12" x14ac:dyDescent="0.3">
      <c r="A1333" s="970">
        <v>42552</v>
      </c>
      <c r="B1333" s="1097">
        <v>4.9828000000000001</v>
      </c>
      <c r="C1333" s="1400">
        <v>4.9749999999999996</v>
      </c>
      <c r="D1333" s="1400">
        <v>4.8869999999999996</v>
      </c>
      <c r="E1333" s="1400">
        <v>5.0410000000000004</v>
      </c>
      <c r="F1333" s="1374"/>
      <c r="G1333" s="634">
        <v>42552</v>
      </c>
      <c r="H1333" s="1097">
        <v>4.9828000000000001</v>
      </c>
      <c r="I1333" s="1400">
        <v>4.9749999999999996</v>
      </c>
      <c r="J1333" s="1400">
        <v>4.8869999999999996</v>
      </c>
      <c r="K1333" s="1400">
        <v>5.0410000000000004</v>
      </c>
      <c r="L1333" s="1439"/>
    </row>
    <row r="1334" spans="1:12" x14ac:dyDescent="0.3">
      <c r="A1334" s="970">
        <v>42583</v>
      </c>
      <c r="B1334" s="1097">
        <v>4.8665000000000003</v>
      </c>
      <c r="C1334" s="1400">
        <v>4.7539999999999996</v>
      </c>
      <c r="D1334" s="1400">
        <v>4.6779999999999999</v>
      </c>
      <c r="E1334" s="1400">
        <v>4.9909999999999997</v>
      </c>
      <c r="F1334" s="1374"/>
      <c r="G1334" s="634">
        <v>42583</v>
      </c>
      <c r="H1334" s="1097">
        <v>4.8665000000000003</v>
      </c>
      <c r="I1334" s="1400">
        <v>4.7539999999999996</v>
      </c>
      <c r="J1334" s="1400">
        <v>4.6779999999999999</v>
      </c>
      <c r="K1334" s="1400">
        <v>4.9909999999999997</v>
      </c>
      <c r="L1334" s="1439"/>
    </row>
    <row r="1335" spans="1:12" x14ac:dyDescent="0.3">
      <c r="A1335" s="970">
        <v>42614</v>
      </c>
      <c r="B1335" s="1097">
        <v>3.6665999999999999</v>
      </c>
      <c r="C1335" s="1400">
        <v>3.9710000000000001</v>
      </c>
      <c r="D1335" s="1400">
        <v>3.9079999999999999</v>
      </c>
      <c r="E1335" s="1400">
        <v>3.7250000000000001</v>
      </c>
      <c r="F1335" s="1374"/>
      <c r="G1335" s="634">
        <v>42614</v>
      </c>
      <c r="H1335" s="1097">
        <v>3.6665999999999999</v>
      </c>
      <c r="I1335" s="1400">
        <v>3.9710000000000001</v>
      </c>
      <c r="J1335" s="1400">
        <v>3.9079999999999999</v>
      </c>
      <c r="K1335" s="1400">
        <v>3.7250000000000001</v>
      </c>
      <c r="L1335" s="1439"/>
    </row>
    <row r="1336" spans="1:12" x14ac:dyDescent="0.3">
      <c r="A1336" s="970">
        <v>42644</v>
      </c>
      <c r="B1336" s="1097">
        <v>4.1272000000000002</v>
      </c>
      <c r="C1336" s="1400">
        <v>4.4560000000000004</v>
      </c>
      <c r="D1336" s="1400">
        <v>4.3849999999999998</v>
      </c>
      <c r="E1336" s="1400">
        <v>4.1859999999999999</v>
      </c>
      <c r="F1336" s="1374"/>
      <c r="G1336" s="634">
        <v>42644</v>
      </c>
      <c r="H1336" s="1097">
        <v>4.1272000000000002</v>
      </c>
      <c r="I1336" s="1400">
        <v>4.4560000000000004</v>
      </c>
      <c r="J1336" s="1400">
        <v>4.3849999999999998</v>
      </c>
      <c r="K1336" s="1400">
        <v>4.1859999999999999</v>
      </c>
      <c r="L1336" s="1439"/>
    </row>
    <row r="1337" spans="1:12" x14ac:dyDescent="0.3">
      <c r="A1337" s="970">
        <v>42675</v>
      </c>
      <c r="B1337" s="1097">
        <v>3.8113999999999999</v>
      </c>
      <c r="C1337" s="1400">
        <v>3.7360000000000002</v>
      </c>
      <c r="D1337" s="1400">
        <v>3.6840000000000002</v>
      </c>
      <c r="E1337" s="1400">
        <v>3.8879999999999999</v>
      </c>
      <c r="F1337" s="1374"/>
      <c r="G1337" s="634">
        <v>42675</v>
      </c>
      <c r="H1337" s="1097">
        <v>3.8113999999999999</v>
      </c>
      <c r="I1337" s="1400">
        <v>3.7360000000000002</v>
      </c>
      <c r="J1337" s="1400">
        <v>3.6840000000000002</v>
      </c>
      <c r="K1337" s="1400">
        <v>3.8879999999999999</v>
      </c>
      <c r="L1337" s="1439"/>
    </row>
    <row r="1338" spans="1:12" x14ac:dyDescent="0.3">
      <c r="A1338" s="970">
        <v>42705</v>
      </c>
      <c r="B1338" s="1097">
        <v>4.1670999999999996</v>
      </c>
      <c r="C1338" s="1400">
        <v>3.9820000000000002</v>
      </c>
      <c r="D1338" s="1400">
        <v>3.9249999999999998</v>
      </c>
      <c r="E1338" s="1400">
        <v>4.1760000000000002</v>
      </c>
      <c r="F1338" s="1374"/>
      <c r="G1338" s="634">
        <v>42705</v>
      </c>
      <c r="H1338" s="1097">
        <v>4.1670999999999996</v>
      </c>
      <c r="I1338" s="1400">
        <v>3.9820000000000002</v>
      </c>
      <c r="J1338" s="1400">
        <v>3.9249999999999998</v>
      </c>
      <c r="K1338" s="1400">
        <v>4.1760000000000002</v>
      </c>
      <c r="L1338" s="1439"/>
    </row>
    <row r="1339" spans="1:12" x14ac:dyDescent="0.3">
      <c r="A1339" s="970">
        <v>42736</v>
      </c>
      <c r="B1339" s="1097">
        <v>4.3943000000000003</v>
      </c>
      <c r="C1339" s="1400">
        <v>4.1109999999999998</v>
      </c>
      <c r="D1339" s="1400">
        <v>4.056</v>
      </c>
      <c r="E1339" s="1400">
        <v>4.3979999999999997</v>
      </c>
      <c r="F1339" s="1374"/>
      <c r="G1339" s="634">
        <v>42736</v>
      </c>
      <c r="H1339" s="1097">
        <v>4.3943000000000003</v>
      </c>
      <c r="I1339" s="1400">
        <v>4.1109999999999998</v>
      </c>
      <c r="J1339" s="1400">
        <v>4.056</v>
      </c>
      <c r="K1339" s="1400">
        <v>4.3979999999999997</v>
      </c>
      <c r="L1339" s="1439"/>
    </row>
    <row r="1340" spans="1:12" x14ac:dyDescent="0.3">
      <c r="A1340" s="970">
        <v>42767</v>
      </c>
      <c r="B1340" s="1097">
        <v>3.9241999999999999</v>
      </c>
      <c r="C1340" s="1400">
        <v>3.8729999999999998</v>
      </c>
      <c r="D1340" s="1400">
        <v>3.8159999999999998</v>
      </c>
      <c r="E1340" s="1400">
        <v>3.9769999999999999</v>
      </c>
      <c r="F1340" s="1374"/>
      <c r="G1340" s="634">
        <v>42767</v>
      </c>
      <c r="H1340" s="1097">
        <v>3.9241999999999999</v>
      </c>
      <c r="I1340" s="1400">
        <v>3.8729999999999998</v>
      </c>
      <c r="J1340" s="1400">
        <v>3.8159999999999998</v>
      </c>
      <c r="K1340" s="1400">
        <v>3.9769999999999999</v>
      </c>
      <c r="L1340" s="1439"/>
    </row>
    <row r="1341" spans="1:12" x14ac:dyDescent="0.3">
      <c r="A1341" s="970">
        <v>42795</v>
      </c>
      <c r="B1341" s="1097">
        <v>3.4390000000000001</v>
      </c>
      <c r="C1341" s="1400">
        <v>3.32</v>
      </c>
      <c r="D1341" s="1400">
        <v>3.2749999999999999</v>
      </c>
      <c r="E1341" s="1400">
        <v>3.4620000000000002</v>
      </c>
      <c r="F1341" s="1374"/>
      <c r="G1341" s="634">
        <v>42795</v>
      </c>
      <c r="H1341" s="1097">
        <v>3.4390000000000001</v>
      </c>
      <c r="I1341" s="1400">
        <v>3.32</v>
      </c>
      <c r="J1341" s="1400">
        <v>3.2749999999999999</v>
      </c>
      <c r="K1341" s="1400">
        <v>3.4620000000000002</v>
      </c>
      <c r="L1341" s="1439"/>
    </row>
    <row r="1342" spans="1:12" x14ac:dyDescent="0.3">
      <c r="A1342" s="970">
        <v>42826</v>
      </c>
      <c r="B1342" s="1097">
        <v>3.0567000000000002</v>
      </c>
      <c r="C1342" s="1400">
        <v>3.032</v>
      </c>
      <c r="D1342" s="1400">
        <v>2.9849999999999999</v>
      </c>
      <c r="E1342" s="1400">
        <v>3.0830000000000002</v>
      </c>
      <c r="F1342" s="1374"/>
      <c r="G1342" s="634">
        <v>42826</v>
      </c>
      <c r="H1342" s="1097">
        <v>3.0567000000000002</v>
      </c>
      <c r="I1342" s="1400">
        <v>3.032</v>
      </c>
      <c r="J1342" s="1400">
        <v>2.9849999999999999</v>
      </c>
      <c r="K1342" s="1400">
        <v>3.0830000000000002</v>
      </c>
      <c r="L1342" s="1439"/>
    </row>
    <row r="1343" spans="1:12" x14ac:dyDescent="0.3">
      <c r="A1343" s="970">
        <v>42856</v>
      </c>
      <c r="B1343" s="1097">
        <v>2.9834999999999998</v>
      </c>
      <c r="C1343" s="1400">
        <v>2.782</v>
      </c>
      <c r="D1343" s="1400">
        <v>2.7440000000000002</v>
      </c>
      <c r="E1343" s="1400">
        <v>3.016</v>
      </c>
      <c r="F1343" s="1374"/>
      <c r="G1343" s="634">
        <v>42856</v>
      </c>
      <c r="H1343" s="1097">
        <v>2.9834999999999998</v>
      </c>
      <c r="I1343" s="1400">
        <v>2.782</v>
      </c>
      <c r="J1343" s="1400">
        <v>2.7440000000000002</v>
      </c>
      <c r="K1343" s="1400">
        <v>3.016</v>
      </c>
      <c r="L1343" s="1439"/>
    </row>
    <row r="1344" spans="1:12" x14ac:dyDescent="0.3">
      <c r="A1344" s="970">
        <v>42887</v>
      </c>
      <c r="B1344" s="1097">
        <v>3.3946999999999998</v>
      </c>
      <c r="C1344" s="1400">
        <v>2.823</v>
      </c>
      <c r="D1344" s="1400">
        <v>2.7890000000000001</v>
      </c>
      <c r="E1344" s="1400">
        <v>3.4340000000000002</v>
      </c>
      <c r="F1344" s="1374"/>
      <c r="G1344" s="634">
        <v>42887</v>
      </c>
      <c r="H1344" s="1097">
        <v>3.3946999999999998</v>
      </c>
      <c r="I1344" s="1400">
        <v>2.823</v>
      </c>
      <c r="J1344" s="1400">
        <v>2.7890000000000001</v>
      </c>
      <c r="K1344" s="1400">
        <v>3.4340000000000002</v>
      </c>
      <c r="L1344" s="1439"/>
    </row>
    <row r="1345" spans="1:12" x14ac:dyDescent="0.3">
      <c r="A1345" s="970">
        <v>42917</v>
      </c>
      <c r="B1345" s="1097">
        <v>4.2127999999999997</v>
      </c>
      <c r="C1345" s="1400">
        <v>3.4689999999999999</v>
      </c>
      <c r="D1345" s="1400">
        <v>3.4319999999999999</v>
      </c>
      <c r="E1345" s="1400">
        <v>4.1989999999999998</v>
      </c>
      <c r="F1345" s="1374"/>
      <c r="G1345" s="634">
        <v>42917</v>
      </c>
      <c r="H1345" s="1097">
        <v>4.2127999999999997</v>
      </c>
      <c r="I1345" s="1400">
        <v>3.4689999999999999</v>
      </c>
      <c r="J1345" s="1400">
        <v>3.4319999999999999</v>
      </c>
      <c r="K1345" s="1400">
        <v>4.1989999999999998</v>
      </c>
      <c r="L1345" s="1439"/>
    </row>
    <row r="1346" spans="1:12" x14ac:dyDescent="0.3">
      <c r="A1346" s="970">
        <v>42948</v>
      </c>
      <c r="B1346" s="1097">
        <v>4.1050000000000004</v>
      </c>
      <c r="C1346" s="1400">
        <v>3.7149999999999999</v>
      </c>
      <c r="D1346" s="1400">
        <v>3.6779999999999999</v>
      </c>
      <c r="E1346" s="1400">
        <v>4.0860000000000003</v>
      </c>
      <c r="F1346" s="1374"/>
      <c r="G1346" s="634">
        <v>42948</v>
      </c>
      <c r="H1346" s="1097">
        <v>4.1050000000000004</v>
      </c>
      <c r="I1346" s="1400">
        <v>3.7149999999999999</v>
      </c>
      <c r="J1346" s="1400">
        <v>3.6779999999999999</v>
      </c>
      <c r="K1346" s="1400">
        <v>4.0860000000000003</v>
      </c>
      <c r="L1346" s="1439"/>
    </row>
    <row r="1347" spans="1:12" x14ac:dyDescent="0.3">
      <c r="A1347" s="970">
        <v>42979</v>
      </c>
      <c r="B1347" s="1097">
        <v>3.766</v>
      </c>
      <c r="C1347" s="1400">
        <v>3.3650000000000002</v>
      </c>
      <c r="D1347" s="1400">
        <v>3.32</v>
      </c>
      <c r="E1347" s="1400">
        <v>3.8250000000000002</v>
      </c>
      <c r="F1347" s="1374"/>
      <c r="G1347" s="634">
        <v>42979</v>
      </c>
      <c r="H1347" s="1097">
        <v>3.766</v>
      </c>
      <c r="I1347" s="1400">
        <v>3.3650000000000002</v>
      </c>
      <c r="J1347" s="1400">
        <v>3.32</v>
      </c>
      <c r="K1347" s="1400">
        <v>3.8250000000000002</v>
      </c>
      <c r="L1347" s="1439"/>
    </row>
    <row r="1348" spans="1:12" x14ac:dyDescent="0.3">
      <c r="A1348" s="970">
        <v>43009</v>
      </c>
      <c r="B1348" s="1097">
        <v>3.8519999999999999</v>
      </c>
      <c r="C1348" s="1400">
        <v>3.444</v>
      </c>
      <c r="D1348" s="1400">
        <v>3.4049999999999998</v>
      </c>
      <c r="E1348" s="1400">
        <v>3.8740000000000001</v>
      </c>
      <c r="F1348" s="1374"/>
      <c r="G1348" s="634">
        <v>43009</v>
      </c>
      <c r="H1348" s="1097">
        <v>3.8519999999999999</v>
      </c>
      <c r="I1348" s="1400">
        <v>3.444</v>
      </c>
      <c r="J1348" s="1400">
        <v>3.4049999999999998</v>
      </c>
      <c r="K1348" s="1400">
        <v>3.8740000000000001</v>
      </c>
      <c r="L1348" s="1439"/>
    </row>
    <row r="1349" spans="1:12" x14ac:dyDescent="0.3">
      <c r="A1349" s="970">
        <v>43040</v>
      </c>
      <c r="B1349" s="1097">
        <v>3.653</v>
      </c>
      <c r="C1349" s="1400">
        <v>3.3330000000000002</v>
      </c>
      <c r="D1349" s="1400">
        <v>3.2869999999999999</v>
      </c>
      <c r="E1349" s="1400">
        <v>3.6589999999999998</v>
      </c>
      <c r="F1349" s="1374"/>
      <c r="G1349" s="634">
        <v>43040</v>
      </c>
      <c r="H1349" s="1097">
        <v>3.653</v>
      </c>
      <c r="I1349" s="1400">
        <v>3.3330000000000002</v>
      </c>
      <c r="J1349" s="1400">
        <v>3.2869999999999999</v>
      </c>
      <c r="K1349" s="1400">
        <v>3.6589999999999998</v>
      </c>
      <c r="L1349" s="1439"/>
    </row>
    <row r="1350" spans="1:12" x14ac:dyDescent="0.3">
      <c r="A1350" s="970">
        <v>43070</v>
      </c>
      <c r="B1350" s="1097">
        <v>3.996</v>
      </c>
      <c r="C1350" s="1400">
        <v>3.774</v>
      </c>
      <c r="D1350" s="1400">
        <v>3.7320000000000002</v>
      </c>
      <c r="E1350" s="1400">
        <v>4.0270000000000001</v>
      </c>
      <c r="F1350" s="1374"/>
      <c r="G1350" s="634">
        <v>43070</v>
      </c>
      <c r="H1350" s="1097">
        <v>3.996</v>
      </c>
      <c r="I1350" s="1400">
        <v>3.774</v>
      </c>
      <c r="J1350" s="1400">
        <v>3.7320000000000002</v>
      </c>
      <c r="K1350" s="1400">
        <v>4.0270000000000001</v>
      </c>
      <c r="L1350" s="1439"/>
    </row>
    <row r="1351" spans="1:12" x14ac:dyDescent="0.3">
      <c r="A1351" s="970">
        <v>43101</v>
      </c>
      <c r="B1351" s="1097">
        <v>5.1120000000000001</v>
      </c>
      <c r="C1351" s="1400">
        <v>4.7720000000000002</v>
      </c>
      <c r="D1351" s="1400">
        <v>4.7030000000000003</v>
      </c>
      <c r="E1351" s="1400">
        <v>5.1429999999999998</v>
      </c>
      <c r="F1351" s="1374"/>
      <c r="G1351" s="634">
        <v>43101</v>
      </c>
      <c r="H1351" s="1097">
        <v>5.1120000000000001</v>
      </c>
      <c r="I1351" s="1400">
        <v>4.7720000000000002</v>
      </c>
      <c r="J1351" s="1400">
        <v>4.7030000000000003</v>
      </c>
      <c r="K1351" s="1400">
        <v>5.1429999999999998</v>
      </c>
      <c r="L1351" s="1439"/>
    </row>
    <row r="1352" spans="1:12" x14ac:dyDescent="0.3">
      <c r="A1352" s="970">
        <v>43132</v>
      </c>
      <c r="B1352" s="1097">
        <v>5.1829999999999998</v>
      </c>
      <c r="C1352" s="1400">
        <v>4.7809999999999997</v>
      </c>
      <c r="D1352" s="1400">
        <v>4.72</v>
      </c>
      <c r="E1352" s="1400">
        <v>4.8310000000000004</v>
      </c>
      <c r="F1352" s="1374"/>
      <c r="G1352" s="634">
        <v>43132</v>
      </c>
      <c r="H1352" s="1097">
        <v>5.1829999999999998</v>
      </c>
      <c r="I1352" s="1400">
        <v>4.7809999999999997</v>
      </c>
      <c r="J1352" s="1400">
        <v>4.72</v>
      </c>
      <c r="K1352" s="1400">
        <v>4.8310000000000004</v>
      </c>
      <c r="L1352" s="1439"/>
    </row>
    <row r="1353" spans="1:12" x14ac:dyDescent="0.3">
      <c r="A1353" s="970">
        <v>43160</v>
      </c>
      <c r="B1353" s="1097">
        <v>5.1100000000000003</v>
      </c>
      <c r="C1353" s="1400">
        <v>4.5650000000000004</v>
      </c>
      <c r="D1353" s="1400">
        <v>4.5149999999999997</v>
      </c>
      <c r="E1353" s="1400">
        <v>4.5970000000000004</v>
      </c>
      <c r="F1353" s="1374"/>
      <c r="G1353" s="634">
        <v>43160</v>
      </c>
      <c r="H1353" s="1097">
        <v>5.1100000000000003</v>
      </c>
      <c r="I1353" s="1400">
        <v>4.5650000000000004</v>
      </c>
      <c r="J1353" s="1400">
        <v>4.5149999999999997</v>
      </c>
      <c r="K1353" s="1400">
        <v>4.5970000000000004</v>
      </c>
      <c r="L1353" s="1439"/>
    </row>
    <row r="1354" spans="1:12" x14ac:dyDescent="0.3">
      <c r="A1354" s="970">
        <v>43191</v>
      </c>
      <c r="B1354" s="1097">
        <v>6.8</v>
      </c>
      <c r="C1354" s="1492">
        <v>6.8</v>
      </c>
      <c r="D1354" s="1492">
        <v>6.8</v>
      </c>
      <c r="E1354" s="1492">
        <v>6.8</v>
      </c>
      <c r="F1354" s="1483"/>
      <c r="G1354" s="634">
        <v>43191</v>
      </c>
      <c r="H1354" s="1097">
        <v>9.2799999999999994</v>
      </c>
      <c r="I1354" s="1492">
        <v>7.8719999999999999</v>
      </c>
      <c r="J1354" s="1492">
        <v>7.7670000000000003</v>
      </c>
      <c r="K1354" s="1492">
        <v>7.9189999999999996</v>
      </c>
      <c r="L1354" s="1493"/>
    </row>
    <row r="1355" spans="1:12" x14ac:dyDescent="0.3">
      <c r="A1355" s="970">
        <v>43221</v>
      </c>
      <c r="B1355" s="1097">
        <v>5.5659999999999998</v>
      </c>
      <c r="C1355" s="1492">
        <v>5.3789999999999996</v>
      </c>
      <c r="D1355" s="1492">
        <v>5.3120000000000003</v>
      </c>
      <c r="E1355" s="1492">
        <v>5.7</v>
      </c>
      <c r="F1355" s="1483"/>
      <c r="G1355" s="634">
        <v>43221</v>
      </c>
      <c r="H1355" s="1097">
        <v>5.5659999999999998</v>
      </c>
      <c r="I1355" s="1492">
        <v>5.3789999999999996</v>
      </c>
      <c r="J1355" s="1492">
        <v>5.3120000000000003</v>
      </c>
      <c r="K1355" s="1492">
        <v>5.7</v>
      </c>
      <c r="L1355" s="1493"/>
    </row>
    <row r="1356" spans="1:12" x14ac:dyDescent="0.3">
      <c r="A1356" s="970">
        <v>43252</v>
      </c>
      <c r="B1356" s="1097">
        <v>5.0620000000000003</v>
      </c>
      <c r="C1356" s="1492">
        <v>5.9279999999999999</v>
      </c>
      <c r="D1356" s="1492">
        <v>5.8419999999999996</v>
      </c>
      <c r="E1356" s="1492">
        <v>6.3490000000000002</v>
      </c>
      <c r="F1356" s="1483"/>
      <c r="G1356" s="634">
        <v>43252</v>
      </c>
      <c r="H1356" s="1097">
        <v>5.0620000000000003</v>
      </c>
      <c r="I1356" s="1492">
        <v>5.9279999999999999</v>
      </c>
      <c r="J1356" s="1492">
        <v>5.8419999999999996</v>
      </c>
      <c r="K1356" s="1492">
        <v>6.3490000000000002</v>
      </c>
      <c r="L1356" s="1493"/>
    </row>
    <row r="1357" spans="1:12" x14ac:dyDescent="0.3">
      <c r="A1357" s="970">
        <v>43282</v>
      </c>
      <c r="B1357" s="1097">
        <v>6.8</v>
      </c>
      <c r="C1357" s="1515">
        <v>6.8</v>
      </c>
      <c r="D1357" s="1515">
        <v>6.8</v>
      </c>
      <c r="E1357" s="1515">
        <v>6.8</v>
      </c>
      <c r="F1357" s="1514"/>
      <c r="G1357" s="634">
        <v>43282</v>
      </c>
      <c r="H1357" s="1097">
        <v>8.4179999999999993</v>
      </c>
      <c r="I1357" s="1515">
        <v>7.8559999999999999</v>
      </c>
      <c r="J1357" s="1515">
        <v>7.7750000000000004</v>
      </c>
      <c r="K1357" s="1515">
        <v>7.8259999999999996</v>
      </c>
      <c r="L1357" s="1493"/>
    </row>
    <row r="1358" spans="1:12" x14ac:dyDescent="0.3">
      <c r="A1358" s="970">
        <v>43313</v>
      </c>
      <c r="B1358" s="1097">
        <v>6.8</v>
      </c>
      <c r="C1358" s="1515">
        <v>6.8</v>
      </c>
      <c r="D1358" s="1515">
        <v>6.8</v>
      </c>
      <c r="E1358" s="1515">
        <v>6.8</v>
      </c>
      <c r="F1358" s="1514"/>
      <c r="G1358" s="634">
        <v>43313</v>
      </c>
      <c r="H1358" s="1097">
        <v>9.4689999999999994</v>
      </c>
      <c r="I1358" s="1515">
        <v>8.4700000000000006</v>
      </c>
      <c r="J1358" s="1515">
        <v>8.3580000000000005</v>
      </c>
      <c r="K1358" s="1515">
        <v>8.3409999999999993</v>
      </c>
      <c r="L1358" s="1493"/>
    </row>
    <row r="1359" spans="1:12" x14ac:dyDescent="0.3">
      <c r="A1359" s="970">
        <v>43344</v>
      </c>
      <c r="B1359" s="1097">
        <v>6.8</v>
      </c>
      <c r="C1359" s="1515">
        <v>6.8</v>
      </c>
      <c r="D1359" s="1515">
        <v>6.8</v>
      </c>
      <c r="E1359" s="1515">
        <v>6.8</v>
      </c>
      <c r="F1359" s="1514"/>
      <c r="G1359" s="634">
        <v>43344</v>
      </c>
      <c r="H1359" s="1097">
        <v>8.3170000000000002</v>
      </c>
      <c r="I1359" s="1515">
        <v>7.774</v>
      </c>
      <c r="J1359" s="1515">
        <v>7.6360000000000001</v>
      </c>
      <c r="K1359" s="1515">
        <v>8.4719999999999995</v>
      </c>
      <c r="L1359" s="1493"/>
    </row>
    <row r="1360" spans="1:12" x14ac:dyDescent="0.3">
      <c r="A1360" s="970">
        <v>43374</v>
      </c>
      <c r="B1360" s="1097">
        <v>6.4139999999999997</v>
      </c>
      <c r="C1360" s="1535">
        <v>6.577</v>
      </c>
      <c r="D1360" s="1535">
        <v>6.4630000000000001</v>
      </c>
      <c r="E1360" s="1535">
        <v>6.8</v>
      </c>
      <c r="F1360" s="1534"/>
      <c r="G1360" s="634">
        <v>43374</v>
      </c>
      <c r="H1360" s="1097">
        <v>6.4139999999999997</v>
      </c>
      <c r="I1360" s="1535">
        <v>6.577</v>
      </c>
      <c r="J1360" s="1535">
        <v>6.4630000000000001</v>
      </c>
      <c r="K1360" s="1535">
        <v>7.0309999999999997</v>
      </c>
      <c r="L1360" s="1493"/>
    </row>
    <row r="1361" spans="1:12" x14ac:dyDescent="0.3">
      <c r="A1361" s="970">
        <v>43405</v>
      </c>
      <c r="B1361" s="1097">
        <v>6.306</v>
      </c>
      <c r="C1361" s="1535">
        <v>6.2220000000000004</v>
      </c>
      <c r="D1361" s="1535">
        <v>6.1340000000000003</v>
      </c>
      <c r="E1361" s="1535">
        <v>6.8</v>
      </c>
      <c r="F1361" s="1534"/>
      <c r="G1361" s="634">
        <v>43405</v>
      </c>
      <c r="H1361" s="1097">
        <v>6.306</v>
      </c>
      <c r="I1361" s="1535">
        <v>6.2220000000000004</v>
      </c>
      <c r="J1361" s="1535">
        <v>6.1340000000000003</v>
      </c>
      <c r="K1361" s="1535">
        <v>6.8780000000000001</v>
      </c>
      <c r="L1361" s="1493"/>
    </row>
    <row r="1362" spans="1:12" x14ac:dyDescent="0.3">
      <c r="A1362" s="970">
        <v>43435</v>
      </c>
      <c r="B1362" s="1097">
        <v>6.8</v>
      </c>
      <c r="C1362" s="1535">
        <v>6.8</v>
      </c>
      <c r="D1362" s="1535">
        <v>6.8</v>
      </c>
      <c r="E1362" s="1535">
        <v>6.8</v>
      </c>
      <c r="F1362" s="1534"/>
      <c r="G1362" s="634">
        <v>43435</v>
      </c>
      <c r="H1362" s="1097">
        <v>7.3739999999999997</v>
      </c>
      <c r="I1362" s="1535">
        <v>7.7690000000000001</v>
      </c>
      <c r="J1362" s="1535">
        <v>7.6719999999999997</v>
      </c>
      <c r="K1362" s="1535">
        <v>7.5250000000000004</v>
      </c>
      <c r="L1362" s="1493"/>
    </row>
    <row r="1363" spans="1:12" x14ac:dyDescent="0.3">
      <c r="A1363" s="970">
        <v>43466</v>
      </c>
      <c r="B1363" s="1097">
        <v>6.8</v>
      </c>
      <c r="C1363" s="1580">
        <v>6.8</v>
      </c>
      <c r="D1363" s="1580">
        <v>6.8</v>
      </c>
      <c r="E1363" s="1580">
        <v>6.8</v>
      </c>
      <c r="F1363" s="1579"/>
      <c r="G1363" s="634">
        <v>43466</v>
      </c>
      <c r="H1363" s="1097">
        <v>7.7270000000000003</v>
      </c>
      <c r="I1363" s="1580">
        <v>7.7329999999999997</v>
      </c>
      <c r="J1363" s="1580">
        <v>7.6260000000000003</v>
      </c>
      <c r="K1363" s="1580">
        <v>7.6550000000000002</v>
      </c>
      <c r="L1363" s="1493"/>
    </row>
    <row r="1364" spans="1:12" x14ac:dyDescent="0.3">
      <c r="A1364" s="970">
        <v>43497</v>
      </c>
      <c r="B1364" s="1097">
        <v>6.8</v>
      </c>
      <c r="C1364" s="1580">
        <v>6.8</v>
      </c>
      <c r="D1364" s="1580">
        <v>6.8</v>
      </c>
      <c r="E1364" s="1580">
        <v>6.8</v>
      </c>
      <c r="F1364" s="1579"/>
      <c r="G1364" s="634">
        <v>43497</v>
      </c>
      <c r="H1364" s="1097">
        <v>7.0090000000000003</v>
      </c>
      <c r="I1364" s="1580">
        <v>7.1890000000000001</v>
      </c>
      <c r="J1364" s="1580">
        <v>7.0860000000000003</v>
      </c>
      <c r="K1364" s="1580">
        <v>7.109</v>
      </c>
      <c r="L1364" s="1493"/>
    </row>
    <row r="1365" spans="1:12" x14ac:dyDescent="0.3">
      <c r="A1365" s="970">
        <v>43525</v>
      </c>
      <c r="B1365" s="1097">
        <v>5.9139999999999997</v>
      </c>
      <c r="C1365" s="1580">
        <v>5.9909999999999997</v>
      </c>
      <c r="D1365" s="1580">
        <v>5.9180000000000001</v>
      </c>
      <c r="E1365" s="1580">
        <v>5.9630000000000001</v>
      </c>
      <c r="F1365" s="1579"/>
      <c r="G1365" s="634">
        <v>43525</v>
      </c>
      <c r="H1365" s="1097">
        <v>5.9139999999999997</v>
      </c>
      <c r="I1365" s="1580">
        <v>5.9909999999999997</v>
      </c>
      <c r="J1365" s="1580">
        <v>5.9180000000000001</v>
      </c>
      <c r="K1365" s="1580">
        <v>5.9630000000000001</v>
      </c>
      <c r="L1365" s="1493"/>
    </row>
    <row r="1366" spans="1:12" x14ac:dyDescent="0.3">
      <c r="A1366" s="970">
        <v>43556</v>
      </c>
      <c r="B1366" s="1098">
        <v>6.0670000000000002</v>
      </c>
      <c r="C1366" s="1285">
        <v>6.8</v>
      </c>
      <c r="D1366" s="1285">
        <v>6.8</v>
      </c>
      <c r="E1366" s="1285">
        <v>5.9260000000000002</v>
      </c>
      <c r="F1366" s="1609"/>
      <c r="G1366" s="634">
        <v>43556</v>
      </c>
      <c r="H1366" s="1098">
        <v>6.0670000000000002</v>
      </c>
      <c r="I1366" s="1285">
        <v>6.9809999999999999</v>
      </c>
      <c r="J1366" s="1285">
        <v>6.8689999999999998</v>
      </c>
      <c r="K1366" s="1285">
        <v>5.9260000000000002</v>
      </c>
      <c r="L1366" s="1493"/>
    </row>
    <row r="1367" spans="1:12" x14ac:dyDescent="0.3">
      <c r="A1367" s="970">
        <v>43586</v>
      </c>
      <c r="B1367" s="1098">
        <v>6.39</v>
      </c>
      <c r="C1367" s="1285">
        <v>6.8</v>
      </c>
      <c r="D1367" s="1285">
        <v>6.8</v>
      </c>
      <c r="E1367" s="1285">
        <v>6.2149999999999999</v>
      </c>
      <c r="F1367" s="1609"/>
      <c r="G1367" s="634">
        <v>43586</v>
      </c>
      <c r="H1367" s="1098">
        <v>6.39</v>
      </c>
      <c r="I1367" s="1285">
        <v>6.99</v>
      </c>
      <c r="J1367" s="1285">
        <v>6.8680000000000003</v>
      </c>
      <c r="K1367" s="1285">
        <v>6.2149999999999999</v>
      </c>
      <c r="L1367" s="1493"/>
    </row>
    <row r="1368" spans="1:12" x14ac:dyDescent="0.3">
      <c r="A1368" s="970">
        <v>43617</v>
      </c>
      <c r="B1368" s="1098">
        <v>6.391</v>
      </c>
      <c r="C1368" s="1285">
        <v>6.8</v>
      </c>
      <c r="D1368" s="1285">
        <v>6.8</v>
      </c>
      <c r="E1368" s="1285">
        <v>6.351</v>
      </c>
      <c r="F1368" s="1609"/>
      <c r="G1368" s="634">
        <v>43617</v>
      </c>
      <c r="H1368" s="1098">
        <v>6.391</v>
      </c>
      <c r="I1368" s="1285">
        <v>7.2309999999999999</v>
      </c>
      <c r="J1368" s="1285">
        <v>7.1120000000000001</v>
      </c>
      <c r="K1368" s="1285">
        <v>6.351</v>
      </c>
      <c r="L1368" s="1493"/>
    </row>
    <row r="1369" spans="1:12" x14ac:dyDescent="0.3">
      <c r="A1369" s="1375"/>
      <c r="B1369" s="740"/>
      <c r="C1369" s="695"/>
      <c r="D1369" s="695"/>
      <c r="E1369" s="1374"/>
      <c r="F1369" s="1374"/>
      <c r="G1369" s="1374"/>
      <c r="H1369" s="1374"/>
      <c r="I1369" s="1374"/>
      <c r="J1369" s="1374"/>
      <c r="K1369" s="1374"/>
      <c r="L1369" s="1439"/>
    </row>
    <row r="1370" spans="1:12" ht="14.5" thickBot="1" x14ac:dyDescent="0.35">
      <c r="A1370" s="1067"/>
      <c r="B1370" s="1068"/>
      <c r="C1370" s="1378"/>
      <c r="D1370" s="1068"/>
      <c r="E1370" s="1378"/>
      <c r="F1370" s="1068"/>
      <c r="G1370" s="1378"/>
      <c r="H1370" s="1378"/>
      <c r="I1370" s="1378"/>
      <c r="J1370" s="1378"/>
      <c r="K1370" s="1378"/>
      <c r="L1370" s="1440"/>
    </row>
    <row r="1371" spans="1:12" x14ac:dyDescent="0.3">
      <c r="J1371" s="1374"/>
    </row>
    <row r="1372" spans="1:12" ht="14.5" thickBot="1" x14ac:dyDescent="0.35">
      <c r="J1372" s="1374"/>
    </row>
    <row r="1373" spans="1:12" x14ac:dyDescent="0.3">
      <c r="A1373" s="1376"/>
      <c r="B1373" s="1377"/>
      <c r="C1373" s="1377"/>
      <c r="D1373" s="1377"/>
      <c r="E1373" s="645"/>
      <c r="J1373" s="1374"/>
    </row>
    <row r="1374" spans="1:12" x14ac:dyDescent="0.3">
      <c r="A1374" s="1373"/>
      <c r="B1374" s="1374"/>
      <c r="C1374" s="1374"/>
      <c r="D1374" s="1374"/>
      <c r="E1374" s="1439"/>
      <c r="J1374" s="1374"/>
    </row>
    <row r="1375" spans="1:12" ht="14.25" customHeight="1" x14ac:dyDescent="0.3">
      <c r="A1375" s="2593" t="s">
        <v>567</v>
      </c>
      <c r="B1375" s="2594"/>
      <c r="C1375" s="2594"/>
      <c r="D1375" s="2594"/>
      <c r="E1375" s="1439"/>
    </row>
    <row r="1376" spans="1:12" ht="14.25" customHeight="1" x14ac:dyDescent="0.3">
      <c r="A1376" s="2593"/>
      <c r="B1376" s="2594"/>
      <c r="C1376" s="2594"/>
      <c r="D1376" s="2594"/>
      <c r="E1376" s="1439"/>
    </row>
    <row r="1377" spans="1:5" ht="14.25" customHeight="1" x14ac:dyDescent="0.3">
      <c r="A1377" s="2593"/>
      <c r="B1377" s="2594"/>
      <c r="C1377" s="2594"/>
      <c r="D1377" s="2594"/>
      <c r="E1377" s="1439"/>
    </row>
    <row r="1378" spans="1:5" x14ac:dyDescent="0.3">
      <c r="A1378" s="1373"/>
      <c r="B1378" s="1374"/>
      <c r="C1378" s="1374"/>
      <c r="D1378" s="1374"/>
      <c r="E1378" s="1439"/>
    </row>
    <row r="1379" spans="1:5" x14ac:dyDescent="0.3">
      <c r="A1379" s="1373"/>
      <c r="B1379" s="1374"/>
      <c r="C1379" s="1374"/>
      <c r="D1379" s="1374"/>
      <c r="E1379" s="1439"/>
    </row>
    <row r="1380" spans="1:5" ht="18" x14ac:dyDescent="0.4">
      <c r="A1380" s="2591" t="s">
        <v>566</v>
      </c>
      <c r="B1380" s="2592"/>
      <c r="C1380" s="2592"/>
      <c r="D1380" s="2592"/>
      <c r="E1380" s="1189"/>
    </row>
    <row r="1381" spans="1:5" x14ac:dyDescent="0.3">
      <c r="A1381" s="1073" t="s">
        <v>553</v>
      </c>
      <c r="B1381" s="1400" t="s">
        <v>99</v>
      </c>
      <c r="C1381" s="1400" t="s">
        <v>100</v>
      </c>
      <c r="D1381" s="1188" t="s">
        <v>101</v>
      </c>
      <c r="E1381" s="1190"/>
    </row>
    <row r="1382" spans="1:5" x14ac:dyDescent="0.3">
      <c r="A1382" s="970">
        <v>40909</v>
      </c>
      <c r="B1382" s="1097">
        <v>2.952</v>
      </c>
      <c r="C1382" s="1400">
        <v>2.9569999999999999</v>
      </c>
      <c r="D1382" s="1188">
        <v>3.0569999999999999</v>
      </c>
      <c r="E1382" s="1190"/>
    </row>
    <row r="1383" spans="1:5" x14ac:dyDescent="0.3">
      <c r="A1383" s="970">
        <v>40940</v>
      </c>
      <c r="B1383" s="1097">
        <v>2.1469999999999998</v>
      </c>
      <c r="C1383" s="1400">
        <v>2.0640000000000001</v>
      </c>
      <c r="D1383" s="1188">
        <v>2.2370000000000001</v>
      </c>
      <c r="E1383" s="1190"/>
    </row>
    <row r="1384" spans="1:5" x14ac:dyDescent="0.3">
      <c r="A1384" s="970">
        <v>40969</v>
      </c>
      <c r="B1384" s="1097">
        <v>2.0939999999999999</v>
      </c>
      <c r="C1384" s="1400">
        <v>2.0990000000000002</v>
      </c>
      <c r="D1384" s="1188">
        <v>2.238</v>
      </c>
      <c r="E1384" s="1190"/>
    </row>
    <row r="1385" spans="1:5" x14ac:dyDescent="0.3">
      <c r="A1385" s="970">
        <v>41000</v>
      </c>
      <c r="B1385" s="1097">
        <v>1.5940000000000001</v>
      </c>
      <c r="C1385" s="1400">
        <v>1.7</v>
      </c>
      <c r="D1385" s="1188">
        <v>1.181</v>
      </c>
      <c r="E1385" s="1190"/>
    </row>
    <row r="1386" spans="1:5" x14ac:dyDescent="0.3">
      <c r="A1386" s="970">
        <v>41030</v>
      </c>
      <c r="B1386" s="1097">
        <v>1.448</v>
      </c>
      <c r="C1386" s="1400">
        <v>1.331</v>
      </c>
      <c r="D1386" s="1188">
        <v>1.107</v>
      </c>
      <c r="E1386" s="1190"/>
    </row>
    <row r="1387" spans="1:5" x14ac:dyDescent="0.3">
      <c r="A1387" s="970">
        <v>41061</v>
      </c>
      <c r="B1387" s="1097">
        <v>2.7650000000000001</v>
      </c>
      <c r="C1387" s="1400">
        <v>2.7480000000000002</v>
      </c>
      <c r="D1387" s="1188">
        <v>2.14</v>
      </c>
      <c r="E1387" s="1190"/>
    </row>
    <row r="1388" spans="1:5" x14ac:dyDescent="0.3">
      <c r="A1388" s="970">
        <v>41091</v>
      </c>
      <c r="B1388" s="1097">
        <v>2.097</v>
      </c>
      <c r="C1388" s="1400">
        <v>2.21</v>
      </c>
      <c r="D1388" s="1188">
        <v>1.0569999999999999</v>
      </c>
      <c r="E1388" s="1190"/>
    </row>
    <row r="1389" spans="1:5" x14ac:dyDescent="0.3">
      <c r="A1389" s="970">
        <v>41122</v>
      </c>
      <c r="B1389" s="1097">
        <v>2.31</v>
      </c>
      <c r="C1389" s="1400">
        <v>2.1859999999999999</v>
      </c>
      <c r="D1389" s="1188">
        <v>2.2200000000000002</v>
      </c>
      <c r="E1389" s="1190"/>
    </row>
    <row r="1390" spans="1:5" x14ac:dyDescent="0.3">
      <c r="A1390" s="970">
        <v>41153</v>
      </c>
      <c r="B1390" s="1097">
        <v>1.8320000000000001</v>
      </c>
      <c r="C1390" s="1400">
        <v>1.7010000000000001</v>
      </c>
      <c r="D1390" s="1188">
        <v>1.54</v>
      </c>
      <c r="E1390" s="1190"/>
    </row>
    <row r="1391" spans="1:5" x14ac:dyDescent="0.3">
      <c r="A1391" s="970">
        <v>41183</v>
      </c>
      <c r="B1391" s="1097">
        <v>2.5070000000000001</v>
      </c>
      <c r="C1391" s="1400">
        <v>2.5830000000000002</v>
      </c>
      <c r="D1391" s="1188">
        <v>2.4249999999999998</v>
      </c>
      <c r="E1391" s="1190"/>
    </row>
    <row r="1392" spans="1:5" x14ac:dyDescent="0.3">
      <c r="A1392" s="970">
        <v>41214</v>
      </c>
      <c r="B1392" s="1097">
        <v>3.5409999999999999</v>
      </c>
      <c r="C1392" s="1400">
        <v>3.573</v>
      </c>
      <c r="D1392" s="1188">
        <v>3.3730000000000002</v>
      </c>
      <c r="E1392" s="1190"/>
    </row>
    <row r="1393" spans="1:5" x14ac:dyDescent="0.3">
      <c r="A1393" s="970">
        <v>41244</v>
      </c>
      <c r="B1393" s="1097">
        <v>3.5819999999999999</v>
      </c>
      <c r="C1393" s="1400">
        <v>3.5419999999999998</v>
      </c>
      <c r="D1393" s="1188">
        <v>3.3809999999999998</v>
      </c>
      <c r="E1393" s="1190"/>
    </row>
    <row r="1394" spans="1:5" x14ac:dyDescent="0.3">
      <c r="A1394" s="970">
        <v>41275</v>
      </c>
      <c r="B1394" s="1097">
        <v>2.8149999999999999</v>
      </c>
      <c r="C1394" s="1400">
        <v>2.9169999999999998</v>
      </c>
      <c r="D1394" s="1188">
        <v>2.8519999999999999</v>
      </c>
      <c r="E1394" s="1190"/>
    </row>
    <row r="1395" spans="1:5" x14ac:dyDescent="0.3">
      <c r="A1395" s="970">
        <v>41306</v>
      </c>
      <c r="B1395" s="1097">
        <v>3.129</v>
      </c>
      <c r="C1395" s="1400">
        <v>3.2530000000000001</v>
      </c>
      <c r="D1395" s="1188">
        <v>2.8639999999999999</v>
      </c>
      <c r="E1395" s="1190"/>
    </row>
    <row r="1396" spans="1:5" x14ac:dyDescent="0.3">
      <c r="A1396" s="970">
        <v>41334</v>
      </c>
      <c r="B1396" s="1097">
        <v>2.931</v>
      </c>
      <c r="C1396" s="1400">
        <v>2.8439999999999999</v>
      </c>
      <c r="D1396" s="1188">
        <v>2.5939999999999999</v>
      </c>
      <c r="E1396" s="1190"/>
    </row>
    <row r="1397" spans="1:5" x14ac:dyDescent="0.3">
      <c r="A1397" s="970">
        <v>41365</v>
      </c>
      <c r="B1397" s="1097">
        <v>3.762</v>
      </c>
      <c r="C1397" s="1400">
        <v>3.472</v>
      </c>
      <c r="D1397" s="1188">
        <v>3.306</v>
      </c>
      <c r="E1397" s="1190"/>
    </row>
    <row r="1398" spans="1:5" x14ac:dyDescent="0.3">
      <c r="A1398" s="970">
        <v>41395</v>
      </c>
      <c r="B1398" s="1097">
        <v>4.1879999999999997</v>
      </c>
      <c r="C1398" s="1400">
        <v>4.1459999999999999</v>
      </c>
      <c r="D1398" s="1188">
        <v>2.8780000000000001</v>
      </c>
      <c r="E1398" s="1190"/>
    </row>
    <row r="1399" spans="1:5" x14ac:dyDescent="0.3">
      <c r="A1399" s="970">
        <v>41426</v>
      </c>
      <c r="B1399" s="1097">
        <v>4.5940000000000003</v>
      </c>
      <c r="C1399" s="1400">
        <v>4.2889999999999997</v>
      </c>
      <c r="D1399" s="1188">
        <v>3.8969999999999998</v>
      </c>
      <c r="E1399" s="1190"/>
    </row>
    <row r="1400" spans="1:5" x14ac:dyDescent="0.3">
      <c r="A1400" s="970">
        <v>41456</v>
      </c>
      <c r="B1400" s="1097">
        <v>1.8540000000000001</v>
      </c>
      <c r="C1400" s="1400">
        <v>2.9260000000000002</v>
      </c>
      <c r="D1400" s="1188">
        <v>3.76</v>
      </c>
      <c r="E1400" s="1190"/>
    </row>
    <row r="1401" spans="1:5" x14ac:dyDescent="0.3">
      <c r="A1401" s="970">
        <v>41487</v>
      </c>
      <c r="B1401" s="1097">
        <v>1.778</v>
      </c>
      <c r="C1401" s="1400">
        <v>2.0539999999999998</v>
      </c>
      <c r="D1401" s="1188">
        <v>2.4569999999999999</v>
      </c>
      <c r="E1401" s="1190"/>
    </row>
    <row r="1402" spans="1:5" x14ac:dyDescent="0.3">
      <c r="A1402" s="970">
        <v>41518</v>
      </c>
      <c r="B1402" s="1097">
        <v>2.3220000000000001</v>
      </c>
      <c r="C1402" s="1400">
        <v>2.5470000000000002</v>
      </c>
      <c r="D1402" s="1188">
        <v>2.3490000000000002</v>
      </c>
      <c r="E1402" s="1190"/>
    </row>
    <row r="1403" spans="1:5" x14ac:dyDescent="0.3">
      <c r="A1403" s="970">
        <v>41548</v>
      </c>
      <c r="B1403" s="1097">
        <v>2.427</v>
      </c>
      <c r="C1403" s="1400">
        <v>2.3969999999999998</v>
      </c>
      <c r="D1403" s="1188">
        <v>2.3690000000000002</v>
      </c>
      <c r="E1403" s="1190"/>
    </row>
    <row r="1404" spans="1:5" x14ac:dyDescent="0.3">
      <c r="A1404" s="970">
        <v>41579</v>
      </c>
      <c r="B1404" s="1097">
        <v>3.7210000000000001</v>
      </c>
      <c r="C1404" s="1400">
        <v>3.6850000000000001</v>
      </c>
      <c r="D1404" s="1188">
        <v>3.637</v>
      </c>
      <c r="E1404" s="1190"/>
    </row>
    <row r="1405" spans="1:5" x14ac:dyDescent="0.3">
      <c r="A1405" s="970">
        <v>41609</v>
      </c>
      <c r="B1405" s="1097">
        <v>3.3010000000000002</v>
      </c>
      <c r="C1405" s="1400">
        <v>3.294</v>
      </c>
      <c r="D1405" s="1188">
        <v>3.19</v>
      </c>
      <c r="E1405" s="1190"/>
    </row>
    <row r="1406" spans="1:5" x14ac:dyDescent="0.3">
      <c r="A1406" s="970">
        <v>41640</v>
      </c>
      <c r="B1406" s="1097">
        <v>4.085</v>
      </c>
      <c r="C1406" s="1400">
        <v>4.1070000000000002</v>
      </c>
      <c r="D1406" s="1188">
        <v>4.2309999999999999</v>
      </c>
      <c r="E1406" s="1190"/>
    </row>
    <row r="1407" spans="1:5" x14ac:dyDescent="0.3">
      <c r="A1407" s="970">
        <v>41671</v>
      </c>
      <c r="B1407" s="1097">
        <v>4.5679999999999996</v>
      </c>
      <c r="C1407" s="1400">
        <v>4.4939999999999998</v>
      </c>
      <c r="D1407" s="1188">
        <v>4.8639999999999999</v>
      </c>
      <c r="E1407" s="1190"/>
    </row>
    <row r="1408" spans="1:5" x14ac:dyDescent="0.3">
      <c r="A1408" s="970">
        <v>41699</v>
      </c>
      <c r="B1408" s="1097">
        <v>9.0239999999999991</v>
      </c>
      <c r="C1408" s="1400">
        <v>9.3879999999999999</v>
      </c>
      <c r="D1408" s="1188">
        <v>7.383</v>
      </c>
      <c r="E1408" s="1190"/>
    </row>
    <row r="1409" spans="1:5" x14ac:dyDescent="0.3">
      <c r="A1409" s="970">
        <v>41730</v>
      </c>
      <c r="B1409" s="1097">
        <v>5.1890000000000001</v>
      </c>
      <c r="C1409" s="1400">
        <v>4.226</v>
      </c>
      <c r="D1409" s="1188">
        <v>6.3860000000000001</v>
      </c>
      <c r="E1409" s="1190"/>
    </row>
    <row r="1410" spans="1:5" x14ac:dyDescent="0.3">
      <c r="A1410" s="970">
        <v>41760</v>
      </c>
      <c r="B1410" s="1097">
        <v>2.7480000000000002</v>
      </c>
      <c r="C1410" s="1400">
        <v>3.915</v>
      </c>
      <c r="D1410" s="1188">
        <v>4.9690000000000003</v>
      </c>
      <c r="E1410" s="1190"/>
    </row>
    <row r="1411" spans="1:5" x14ac:dyDescent="0.3">
      <c r="A1411" s="970">
        <v>41791</v>
      </c>
      <c r="B1411" s="1097">
        <v>3.847</v>
      </c>
      <c r="C1411" s="1400">
        <v>2.73</v>
      </c>
      <c r="D1411" s="1188">
        <v>3.073</v>
      </c>
      <c r="E1411" s="1190"/>
    </row>
    <row r="1412" spans="1:5" x14ac:dyDescent="0.3">
      <c r="A1412" s="970">
        <v>41821</v>
      </c>
      <c r="B1412" s="1097">
        <v>5.7809999999999997</v>
      </c>
      <c r="C1412" s="1400">
        <v>5.1379999999999999</v>
      </c>
      <c r="D1412" s="1188">
        <v>3.0009999999999999</v>
      </c>
      <c r="E1412" s="1190"/>
    </row>
    <row r="1413" spans="1:5" x14ac:dyDescent="0.3">
      <c r="A1413" s="970">
        <v>41852</v>
      </c>
      <c r="B1413" s="1097">
        <v>3.5630000000000002</v>
      </c>
      <c r="C1413" s="1400">
        <v>3.7490000000000001</v>
      </c>
      <c r="D1413" s="1188">
        <v>2.6309999999999998</v>
      </c>
      <c r="E1413" s="1190"/>
    </row>
    <row r="1414" spans="1:5" x14ac:dyDescent="0.3">
      <c r="A1414" s="970">
        <v>41883</v>
      </c>
      <c r="B1414" s="1097">
        <v>3.35</v>
      </c>
      <c r="C1414" s="1400">
        <v>3.7080000000000002</v>
      </c>
      <c r="D1414" s="1188">
        <v>5.0789999999999997</v>
      </c>
      <c r="E1414" s="1190"/>
    </row>
    <row r="1415" spans="1:5" x14ac:dyDescent="0.3">
      <c r="A1415" s="970">
        <v>41913</v>
      </c>
      <c r="B1415" s="1097">
        <v>4.149</v>
      </c>
      <c r="C1415" s="1400">
        <v>4.18</v>
      </c>
      <c r="D1415" s="1188">
        <v>3.9990000000000001</v>
      </c>
      <c r="E1415" s="1190"/>
    </row>
    <row r="1416" spans="1:5" x14ac:dyDescent="0.3">
      <c r="A1416" s="970">
        <v>41944</v>
      </c>
      <c r="B1416" s="1097">
        <v>3.6859999999999999</v>
      </c>
      <c r="C1416" s="1400">
        <v>3.6829999999999998</v>
      </c>
      <c r="D1416" s="1188">
        <v>3.3450000000000002</v>
      </c>
      <c r="E1416" s="1190"/>
    </row>
    <row r="1417" spans="1:5" x14ac:dyDescent="0.3">
      <c r="A1417" s="970">
        <v>41974</v>
      </c>
      <c r="B1417" s="1097">
        <v>4.1840000000000002</v>
      </c>
      <c r="C1417" s="1400">
        <v>4.1820000000000004</v>
      </c>
      <c r="D1417" s="1188">
        <v>4.1749999999999998</v>
      </c>
      <c r="E1417" s="1190"/>
    </row>
    <row r="1418" spans="1:5" x14ac:dyDescent="0.3">
      <c r="A1418" s="970">
        <v>42005</v>
      </c>
      <c r="B1418" s="1097">
        <v>3.335</v>
      </c>
      <c r="C1418" s="1400">
        <v>3.1059999999999999</v>
      </c>
      <c r="D1418" s="1188">
        <v>2.76</v>
      </c>
      <c r="E1418" s="1190"/>
    </row>
    <row r="1419" spans="1:5" x14ac:dyDescent="0.3">
      <c r="A1419" s="970">
        <v>42036</v>
      </c>
      <c r="B1419" s="1097">
        <v>2.4609999999999999</v>
      </c>
      <c r="C1419" s="1400">
        <v>2.6080000000000001</v>
      </c>
      <c r="D1419" s="1188">
        <v>2.7570000000000001</v>
      </c>
      <c r="E1419" s="1190"/>
    </row>
    <row r="1420" spans="1:5" x14ac:dyDescent="0.3">
      <c r="A1420" s="970">
        <v>42064</v>
      </c>
      <c r="B1420" s="1097">
        <v>2.68</v>
      </c>
      <c r="C1420" s="1400">
        <v>2.97</v>
      </c>
      <c r="D1420" s="1188">
        <v>2.3690000000000002</v>
      </c>
      <c r="E1420" s="1190"/>
    </row>
    <row r="1421" spans="1:5" x14ac:dyDescent="0.3">
      <c r="A1421" s="970">
        <v>42095</v>
      </c>
      <c r="B1421" s="1097">
        <v>2.919</v>
      </c>
      <c r="C1421" s="1400">
        <v>2.903</v>
      </c>
      <c r="D1421" s="1188">
        <v>3.754</v>
      </c>
      <c r="E1421" s="1190"/>
    </row>
    <row r="1422" spans="1:5" x14ac:dyDescent="0.3">
      <c r="A1422" s="970">
        <v>42125</v>
      </c>
      <c r="B1422" s="1097">
        <v>2.1859999999999999</v>
      </c>
      <c r="C1422" s="1400">
        <v>2.2269999999999999</v>
      </c>
      <c r="D1422" s="1188">
        <v>2.202</v>
      </c>
      <c r="E1422" s="1190"/>
    </row>
    <row r="1423" spans="1:5" x14ac:dyDescent="0.3">
      <c r="A1423" s="970">
        <v>42156</v>
      </c>
      <c r="B1423" s="1097">
        <v>3.4710000000000001</v>
      </c>
      <c r="C1423" s="1400">
        <v>3.7410000000000001</v>
      </c>
      <c r="D1423" s="1188">
        <v>1.2090000000000001</v>
      </c>
      <c r="E1423" s="1190"/>
    </row>
    <row r="1424" spans="1:5" x14ac:dyDescent="0.3">
      <c r="A1424" s="970">
        <v>42186</v>
      </c>
      <c r="B1424" s="1097">
        <v>1.8220000000000001</v>
      </c>
      <c r="C1424" s="1400">
        <v>2.133</v>
      </c>
      <c r="D1424" s="1188">
        <v>2.63</v>
      </c>
      <c r="E1424" s="1190"/>
    </row>
    <row r="1425" spans="1:5" x14ac:dyDescent="0.3">
      <c r="A1425" s="970">
        <v>42217</v>
      </c>
      <c r="B1425" s="1097">
        <v>3.2040000000000002</v>
      </c>
      <c r="C1425" s="1400">
        <v>2.4449999999999998</v>
      </c>
      <c r="D1425" s="1188">
        <v>2.8719999999999999</v>
      </c>
      <c r="E1425" s="1190"/>
    </row>
    <row r="1426" spans="1:5" x14ac:dyDescent="0.3">
      <c r="A1426" s="970">
        <v>42248</v>
      </c>
      <c r="B1426" s="1097">
        <v>3.3580000000000001</v>
      </c>
      <c r="C1426" s="1400">
        <v>3.0710000000000002</v>
      </c>
      <c r="D1426" s="1188">
        <v>2.9590000000000001</v>
      </c>
      <c r="E1426" s="1190"/>
    </row>
    <row r="1427" spans="1:5" x14ac:dyDescent="0.3">
      <c r="A1427" s="970">
        <v>42278</v>
      </c>
      <c r="B1427" s="1097">
        <v>2.61</v>
      </c>
      <c r="C1427" s="1400">
        <v>2.8279999999999998</v>
      </c>
      <c r="D1427" s="1188">
        <v>2.819</v>
      </c>
      <c r="E1427" s="1190"/>
    </row>
    <row r="1428" spans="1:5" x14ac:dyDescent="0.3">
      <c r="A1428" s="970">
        <v>42309</v>
      </c>
      <c r="B1428" s="1097">
        <v>2.4239999999999999</v>
      </c>
      <c r="C1428" s="1400">
        <v>2.5539999999999998</v>
      </c>
      <c r="D1428" s="1188">
        <v>2.4769999999999999</v>
      </c>
      <c r="E1428" s="1190"/>
    </row>
    <row r="1429" spans="1:5" x14ac:dyDescent="0.3">
      <c r="A1429" s="970">
        <v>42339</v>
      </c>
      <c r="B1429" s="1097">
        <v>2.2000000000000002</v>
      </c>
      <c r="C1429" s="1400">
        <v>2.2000000000000002</v>
      </c>
      <c r="D1429" s="1188">
        <v>2.472</v>
      </c>
      <c r="E1429" s="1190"/>
    </row>
    <row r="1430" spans="1:5" x14ac:dyDescent="0.3">
      <c r="A1430" s="970">
        <v>42370</v>
      </c>
      <c r="B1430" s="1097">
        <v>2.004</v>
      </c>
      <c r="C1430" s="1400">
        <v>2.004</v>
      </c>
      <c r="D1430" s="1188">
        <v>1.6439999999999999</v>
      </c>
      <c r="E1430" s="1190"/>
    </row>
    <row r="1431" spans="1:5" x14ac:dyDescent="0.3">
      <c r="A1431" s="970">
        <v>42401</v>
      </c>
      <c r="B1431" s="1097">
        <v>2.97</v>
      </c>
      <c r="C1431" s="1400">
        <v>2.97</v>
      </c>
      <c r="D1431" s="1188">
        <v>2.0099999999999998</v>
      </c>
      <c r="E1431" s="1190"/>
    </row>
    <row r="1432" spans="1:5" x14ac:dyDescent="0.3">
      <c r="A1432" s="970">
        <v>42430</v>
      </c>
      <c r="B1432" s="1097">
        <v>2.165</v>
      </c>
      <c r="C1432" s="1400">
        <v>2.165</v>
      </c>
      <c r="D1432" s="1188">
        <v>1.1259999999999999</v>
      </c>
      <c r="E1432" s="1190"/>
    </row>
    <row r="1433" spans="1:5" x14ac:dyDescent="0.3">
      <c r="A1433" s="970">
        <v>42461</v>
      </c>
      <c r="B1433" s="1097">
        <v>0.86199999999999999</v>
      </c>
      <c r="C1433" s="1400">
        <v>0.86199999999999999</v>
      </c>
      <c r="D1433" s="1188">
        <v>1.179</v>
      </c>
      <c r="E1433" s="1190"/>
    </row>
    <row r="1434" spans="1:5" x14ac:dyDescent="0.3">
      <c r="A1434" s="970">
        <v>42491</v>
      </c>
      <c r="B1434" s="1097">
        <v>0.79500000000000004</v>
      </c>
      <c r="C1434" s="1400">
        <v>0.79500000000000004</v>
      </c>
      <c r="D1434" s="1188">
        <v>1.579</v>
      </c>
      <c r="E1434" s="1190"/>
    </row>
    <row r="1435" spans="1:5" x14ac:dyDescent="0.3">
      <c r="A1435" s="970">
        <v>42522</v>
      </c>
      <c r="B1435" s="1097">
        <v>1.3740000000000001</v>
      </c>
      <c r="C1435" s="1400">
        <v>1.3740000000000001</v>
      </c>
      <c r="D1435" s="1188">
        <v>1.8480000000000001</v>
      </c>
      <c r="E1435" s="1190"/>
    </row>
    <row r="1436" spans="1:5" x14ac:dyDescent="0.3">
      <c r="A1436" s="970">
        <v>42552</v>
      </c>
      <c r="B1436" s="1097">
        <v>1.631</v>
      </c>
      <c r="C1436" s="1400">
        <v>1.631</v>
      </c>
      <c r="D1436" s="1188">
        <v>3.206</v>
      </c>
      <c r="E1436" s="1190"/>
    </row>
    <row r="1437" spans="1:5" x14ac:dyDescent="0.3">
      <c r="A1437" s="970">
        <v>42583</v>
      </c>
      <c r="B1437" s="1097">
        <v>2.3639999999999999</v>
      </c>
      <c r="C1437" s="1400">
        <v>2.3639999999999999</v>
      </c>
      <c r="D1437" s="1188">
        <v>3.0910000000000002</v>
      </c>
      <c r="E1437" s="1190"/>
    </row>
    <row r="1438" spans="1:5" x14ac:dyDescent="0.3">
      <c r="A1438" s="970">
        <v>42614</v>
      </c>
      <c r="B1438" s="1097">
        <v>2.351</v>
      </c>
      <c r="C1438" s="1400">
        <v>2.351</v>
      </c>
      <c r="D1438" s="1188">
        <v>2.3199999999999998</v>
      </c>
      <c r="E1438" s="1190"/>
    </row>
    <row r="1439" spans="1:5" x14ac:dyDescent="0.3">
      <c r="A1439" s="970">
        <v>42644</v>
      </c>
      <c r="B1439" s="1097">
        <v>2.6589999999999998</v>
      </c>
      <c r="C1439" s="1400">
        <v>2.6589999999999998</v>
      </c>
      <c r="D1439" s="1188">
        <v>2.605</v>
      </c>
      <c r="E1439" s="1190"/>
    </row>
    <row r="1440" spans="1:5" x14ac:dyDescent="0.3">
      <c r="A1440" s="970">
        <v>42675</v>
      </c>
      <c r="B1440" s="1097">
        <v>3.3029999999999999</v>
      </c>
      <c r="C1440" s="1400">
        <v>3.3029999999999999</v>
      </c>
      <c r="D1440" s="1188">
        <v>3.1240000000000001</v>
      </c>
      <c r="E1440" s="1190"/>
    </row>
    <row r="1441" spans="1:5" x14ac:dyDescent="0.3">
      <c r="A1441" s="970">
        <v>42705</v>
      </c>
      <c r="B1441" s="1097">
        <v>2.5790000000000002</v>
      </c>
      <c r="C1441" s="1400">
        <v>2.5790000000000002</v>
      </c>
      <c r="D1441" s="1188">
        <v>2.5510000000000002</v>
      </c>
      <c r="E1441" s="1190"/>
    </row>
    <row r="1442" spans="1:5" x14ac:dyDescent="0.3">
      <c r="A1442" s="970">
        <v>42736</v>
      </c>
      <c r="B1442" s="1097">
        <v>3.7450000000000001</v>
      </c>
      <c r="C1442" s="1400">
        <v>3.7450000000000001</v>
      </c>
      <c r="D1442" s="1188">
        <v>3.0859999999999999</v>
      </c>
      <c r="E1442" s="1190"/>
    </row>
    <row r="1443" spans="1:5" x14ac:dyDescent="0.3">
      <c r="A1443" s="970">
        <v>42767</v>
      </c>
      <c r="B1443" s="1097">
        <v>2.6419999999999999</v>
      </c>
      <c r="C1443" s="1400">
        <v>2.6419999999999999</v>
      </c>
      <c r="D1443" s="1188">
        <v>2.2029999999999998</v>
      </c>
      <c r="E1443" s="1190"/>
    </row>
    <row r="1444" spans="1:5" x14ac:dyDescent="0.3">
      <c r="A1444" s="970">
        <v>42795</v>
      </c>
      <c r="B1444" s="1097">
        <v>1.885</v>
      </c>
      <c r="C1444" s="1400">
        <v>1.885</v>
      </c>
      <c r="D1444" s="1188">
        <v>2.968</v>
      </c>
      <c r="E1444" s="1190"/>
    </row>
    <row r="1445" spans="1:5" x14ac:dyDescent="0.3">
      <c r="A1445" s="970">
        <v>42826</v>
      </c>
      <c r="B1445" s="1097">
        <v>2.2669999999999999</v>
      </c>
      <c r="C1445" s="1400">
        <v>2.2669999999999999</v>
      </c>
      <c r="D1445" s="1188">
        <v>3.3839999999999999</v>
      </c>
      <c r="E1445" s="1190"/>
    </row>
    <row r="1446" spans="1:5" x14ac:dyDescent="0.3">
      <c r="A1446" s="970">
        <v>42856</v>
      </c>
      <c r="B1446" s="1097">
        <v>1.952</v>
      </c>
      <c r="C1446" s="1400">
        <v>1.952</v>
      </c>
      <c r="D1446" s="1188">
        <v>3.726</v>
      </c>
      <c r="E1446" s="1190"/>
    </row>
    <row r="1447" spans="1:5" x14ac:dyDescent="0.3">
      <c r="A1447" s="970">
        <v>42887</v>
      </c>
      <c r="B1447" s="1097">
        <v>1.2350000000000001</v>
      </c>
      <c r="C1447" s="1400">
        <v>1.2350000000000001</v>
      </c>
      <c r="D1447" s="1188">
        <v>4.8040000000000003</v>
      </c>
      <c r="E1447" s="1190"/>
    </row>
    <row r="1448" spans="1:5" x14ac:dyDescent="0.3">
      <c r="A1448" s="970">
        <v>42917</v>
      </c>
      <c r="B1448" s="1097">
        <v>1.8220000000000001</v>
      </c>
      <c r="C1448" s="1400">
        <v>1.8220000000000001</v>
      </c>
      <c r="D1448" s="1188">
        <v>2.9020000000000001</v>
      </c>
      <c r="E1448" s="1190"/>
    </row>
    <row r="1449" spans="1:5" x14ac:dyDescent="0.3">
      <c r="A1449" s="970">
        <v>42948</v>
      </c>
      <c r="B1449" s="1097">
        <v>2.3279999999999998</v>
      </c>
      <c r="C1449" s="1400">
        <v>2.3279999999999998</v>
      </c>
      <c r="D1449" s="1188">
        <v>2.069</v>
      </c>
      <c r="E1449" s="1190"/>
    </row>
    <row r="1450" spans="1:5" x14ac:dyDescent="0.3">
      <c r="A1450" s="970">
        <v>42979</v>
      </c>
      <c r="B1450" s="1097">
        <v>1.4339999999999999</v>
      </c>
      <c r="C1450" s="1400">
        <v>1.4339999999999999</v>
      </c>
      <c r="D1450" s="1188">
        <v>1.2110000000000001</v>
      </c>
      <c r="E1450" s="1190"/>
    </row>
    <row r="1451" spans="1:5" x14ac:dyDescent="0.3">
      <c r="A1451" s="970">
        <v>43009</v>
      </c>
      <c r="B1451" s="1097">
        <v>1.6819999999999999</v>
      </c>
      <c r="C1451" s="1400">
        <v>1.6819999999999999</v>
      </c>
      <c r="D1451" s="1188">
        <v>1.5189999999999999</v>
      </c>
      <c r="E1451" s="1190"/>
    </row>
    <row r="1452" spans="1:5" x14ac:dyDescent="0.3">
      <c r="A1452" s="970">
        <v>43040</v>
      </c>
      <c r="B1452" s="1097">
        <v>1.825</v>
      </c>
      <c r="C1452" s="1400">
        <v>1.825</v>
      </c>
      <c r="D1452" s="1188">
        <v>1.675</v>
      </c>
      <c r="E1452" s="1190"/>
    </row>
    <row r="1453" spans="1:5" x14ac:dyDescent="0.3">
      <c r="A1453" s="970">
        <v>43070</v>
      </c>
      <c r="B1453" s="1097">
        <v>2.3029999999999999</v>
      </c>
      <c r="C1453" s="1400">
        <v>2.3029999999999999</v>
      </c>
      <c r="D1453" s="1188">
        <v>2.214</v>
      </c>
      <c r="E1453" s="1190"/>
    </row>
    <row r="1454" spans="1:5" x14ac:dyDescent="0.3">
      <c r="A1454" s="970">
        <v>43101</v>
      </c>
      <c r="B1454" s="1097">
        <v>1.911</v>
      </c>
      <c r="C1454" s="1400">
        <v>1.911</v>
      </c>
      <c r="D1454" s="1188">
        <v>1.56</v>
      </c>
      <c r="E1454" s="1190"/>
    </row>
    <row r="1455" spans="1:5" x14ac:dyDescent="0.3">
      <c r="A1455" s="970">
        <v>43132</v>
      </c>
      <c r="B1455" s="1097">
        <v>2.3279999999999998</v>
      </c>
      <c r="C1455" s="1400">
        <v>2.3279999999999998</v>
      </c>
      <c r="D1455" s="1188">
        <v>2.1429999999999998</v>
      </c>
      <c r="E1455" s="1190"/>
    </row>
    <row r="1456" spans="1:5" x14ac:dyDescent="0.3">
      <c r="A1456" s="970">
        <v>43160</v>
      </c>
      <c r="B1456" s="1097">
        <v>1.7330000000000001</v>
      </c>
      <c r="C1456" s="1400">
        <v>1.7330000000000001</v>
      </c>
      <c r="D1456" s="1188">
        <v>1.9810000000000001</v>
      </c>
      <c r="E1456" s="1190"/>
    </row>
    <row r="1457" spans="1:5" x14ac:dyDescent="0.3">
      <c r="A1457" s="970">
        <v>43191</v>
      </c>
      <c r="B1457" s="1097">
        <v>1.9670000000000001</v>
      </c>
      <c r="C1457" s="1492">
        <v>1.9670000000000001</v>
      </c>
      <c r="D1457" s="1492">
        <v>2.1970000000000001</v>
      </c>
      <c r="E1457" s="1503"/>
    </row>
    <row r="1458" spans="1:5" x14ac:dyDescent="0.3">
      <c r="A1458" s="970">
        <v>43221</v>
      </c>
      <c r="B1458" s="1097">
        <v>0.98899999999999999</v>
      </c>
      <c r="C1458" s="1492">
        <v>0.98899999999999999</v>
      </c>
      <c r="D1458" s="1492">
        <v>0.60299999999999998</v>
      </c>
      <c r="E1458" s="1503"/>
    </row>
    <row r="1459" spans="1:5" x14ac:dyDescent="0.3">
      <c r="A1459" s="970">
        <v>43252</v>
      </c>
      <c r="B1459" s="1492">
        <v>0.54400000000000004</v>
      </c>
      <c r="C1459" s="1492">
        <v>0.54400000000000004</v>
      </c>
      <c r="D1459" s="1492">
        <v>2.589</v>
      </c>
      <c r="E1459" s="1439"/>
    </row>
    <row r="1460" spans="1:5" x14ac:dyDescent="0.3">
      <c r="A1460" s="970">
        <v>43282</v>
      </c>
      <c r="B1460" s="1515">
        <v>1.4850000000000001</v>
      </c>
      <c r="C1460" s="1515">
        <v>1.4850000000000001</v>
      </c>
      <c r="D1460" s="1515">
        <v>3.2229999999999999</v>
      </c>
      <c r="E1460" s="1493"/>
    </row>
    <row r="1461" spans="1:5" x14ac:dyDescent="0.3">
      <c r="A1461" s="970">
        <v>43313</v>
      </c>
      <c r="B1461" s="1515">
        <v>1.1599999999999999</v>
      </c>
      <c r="C1461" s="1515">
        <v>1.1599999999999999</v>
      </c>
      <c r="D1461" s="1515">
        <v>0.94299999999999995</v>
      </c>
      <c r="E1461" s="1493"/>
    </row>
    <row r="1462" spans="1:5" x14ac:dyDescent="0.3">
      <c r="A1462" s="970">
        <v>43344</v>
      </c>
      <c r="B1462" s="1515">
        <v>1.321</v>
      </c>
      <c r="C1462" s="1515">
        <v>1.321</v>
      </c>
      <c r="D1462" s="1515">
        <v>0.91900000000000004</v>
      </c>
      <c r="E1462" s="1493"/>
    </row>
    <row r="1463" spans="1:5" x14ac:dyDescent="0.3">
      <c r="A1463" s="970">
        <v>43374</v>
      </c>
      <c r="B1463" s="1535">
        <v>1.3220000000000001</v>
      </c>
      <c r="C1463" s="1535">
        <v>1.3220000000000001</v>
      </c>
      <c r="D1463" s="1535">
        <v>1.254</v>
      </c>
      <c r="E1463" s="1493"/>
    </row>
    <row r="1464" spans="1:5" x14ac:dyDescent="0.3">
      <c r="A1464" s="970">
        <v>43405</v>
      </c>
      <c r="B1464" s="1535">
        <v>2.3690000000000002</v>
      </c>
      <c r="C1464" s="1535">
        <v>2.3690000000000002</v>
      </c>
      <c r="D1464" s="1535">
        <v>2.2010000000000001</v>
      </c>
      <c r="E1464" s="1493"/>
    </row>
    <row r="1465" spans="1:5" x14ac:dyDescent="0.3">
      <c r="A1465" s="970">
        <v>43435</v>
      </c>
      <c r="B1465" s="1535">
        <v>2.004</v>
      </c>
      <c r="C1465" s="1535">
        <v>2.004</v>
      </c>
      <c r="D1465" s="1535">
        <v>1.9339999999999999</v>
      </c>
      <c r="E1465" s="1493"/>
    </row>
    <row r="1466" spans="1:5" x14ac:dyDescent="0.3">
      <c r="A1466" s="970">
        <v>43466</v>
      </c>
      <c r="B1466" s="1580">
        <v>1.5149999999999999</v>
      </c>
      <c r="C1466" s="1580">
        <v>1.5149999999999999</v>
      </c>
      <c r="D1466" s="1580">
        <v>1.179</v>
      </c>
      <c r="E1466" s="1493"/>
    </row>
    <row r="1467" spans="1:5" x14ac:dyDescent="0.3">
      <c r="A1467" s="970">
        <v>43497</v>
      </c>
      <c r="B1467" s="1580">
        <v>1.99</v>
      </c>
      <c r="C1467" s="1580">
        <v>1.99</v>
      </c>
      <c r="D1467" s="1580">
        <v>2.327</v>
      </c>
      <c r="E1467" s="1493"/>
    </row>
    <row r="1468" spans="1:5" x14ac:dyDescent="0.3">
      <c r="A1468" s="970">
        <v>43525</v>
      </c>
      <c r="B1468" s="1580">
        <v>3.18</v>
      </c>
      <c r="C1468" s="1580">
        <v>3.18</v>
      </c>
      <c r="D1468" s="1580">
        <v>3.0870000000000002</v>
      </c>
      <c r="E1468" s="1493"/>
    </row>
    <row r="1469" spans="1:5" x14ac:dyDescent="0.3">
      <c r="A1469" s="970">
        <v>43556</v>
      </c>
      <c r="B1469" s="1285">
        <v>2.89</v>
      </c>
      <c r="C1469" s="1285">
        <v>2.89</v>
      </c>
      <c r="D1469" s="1285">
        <v>2.3090000000000002</v>
      </c>
      <c r="E1469" s="1493"/>
    </row>
    <row r="1470" spans="1:5" x14ac:dyDescent="0.3">
      <c r="A1470" s="970">
        <v>43586</v>
      </c>
      <c r="B1470" s="1285">
        <v>2.2850000000000001</v>
      </c>
      <c r="C1470" s="1285">
        <v>2.2850000000000001</v>
      </c>
      <c r="D1470" s="1285">
        <v>1.891</v>
      </c>
      <c r="E1470" s="1493"/>
    </row>
    <row r="1471" spans="1:5" x14ac:dyDescent="0.3">
      <c r="A1471" s="970">
        <v>43617</v>
      </c>
      <c r="B1471" s="1285">
        <v>0.36499999999999999</v>
      </c>
      <c r="C1471" s="1285">
        <v>0.36499999999999999</v>
      </c>
      <c r="D1471" s="1285">
        <v>2.581</v>
      </c>
      <c r="E1471" s="1493"/>
    </row>
    <row r="1472" spans="1:5" ht="14.5" thickBot="1" x14ac:dyDescent="0.35">
      <c r="A1472" s="1386"/>
      <c r="B1472" s="1378"/>
      <c r="C1472" s="1378"/>
      <c r="D1472" s="1378"/>
      <c r="E1472" s="1440"/>
    </row>
    <row r="1475" spans="1:13" ht="14.5" thickBot="1" x14ac:dyDescent="0.35"/>
    <row r="1476" spans="1:13" x14ac:dyDescent="0.3">
      <c r="A1476" s="1376"/>
      <c r="B1476" s="1377"/>
      <c r="C1476" s="1377"/>
      <c r="D1476" s="1377"/>
      <c r="E1476" s="1377"/>
      <c r="F1476" s="1377"/>
      <c r="G1476" s="1377"/>
      <c r="H1476" s="1377"/>
      <c r="I1476" s="1377"/>
      <c r="J1476" s="1377"/>
      <c r="K1476" s="1377"/>
      <c r="L1476" s="1377"/>
      <c r="M1476" s="645"/>
    </row>
    <row r="1477" spans="1:13" x14ac:dyDescent="0.3">
      <c r="A1477" s="1373"/>
      <c r="B1477" s="1374"/>
      <c r="C1477" s="1374"/>
      <c r="D1477" s="1374"/>
      <c r="E1477" s="1374"/>
      <c r="F1477" s="1374"/>
      <c r="G1477" s="1374"/>
      <c r="H1477" s="1374"/>
      <c r="I1477" s="575"/>
      <c r="J1477" s="575"/>
      <c r="K1477" s="575"/>
      <c r="L1477" s="575"/>
      <c r="M1477" s="1439"/>
    </row>
    <row r="1478" spans="1:13" ht="14.25" customHeight="1" x14ac:dyDescent="0.3">
      <c r="A1478" s="2593" t="s">
        <v>592</v>
      </c>
      <c r="B1478" s="2594"/>
      <c r="C1478" s="2594"/>
      <c r="D1478" s="2594"/>
      <c r="E1478" s="2594"/>
      <c r="F1478" s="2594"/>
      <c r="G1478" s="2594"/>
      <c r="H1478" s="2594"/>
      <c r="I1478" s="1278"/>
      <c r="J1478" s="1278"/>
      <c r="K1478" s="1278"/>
      <c r="L1478" s="1278"/>
      <c r="M1478" s="1439"/>
    </row>
    <row r="1479" spans="1:13" ht="14.25" customHeight="1" x14ac:dyDescent="0.3">
      <c r="A1479" s="2593"/>
      <c r="B1479" s="2594"/>
      <c r="C1479" s="2594"/>
      <c r="D1479" s="2594"/>
      <c r="E1479" s="2594"/>
      <c r="F1479" s="2594"/>
      <c r="G1479" s="2594"/>
      <c r="H1479" s="2594"/>
      <c r="I1479" s="1278"/>
      <c r="J1479" s="1278"/>
      <c r="K1479" s="1278"/>
      <c r="L1479" s="1278"/>
      <c r="M1479" s="1439"/>
    </row>
    <row r="1480" spans="1:13" ht="14.25" customHeight="1" x14ac:dyDescent="0.3">
      <c r="A1480" s="2593"/>
      <c r="B1480" s="2594"/>
      <c r="C1480" s="2594"/>
      <c r="D1480" s="2594"/>
      <c r="E1480" s="2594"/>
      <c r="F1480" s="2594"/>
      <c r="G1480" s="2594"/>
      <c r="H1480" s="2594"/>
      <c r="I1480" s="1278"/>
      <c r="J1480" s="1278"/>
      <c r="K1480" s="1278"/>
      <c r="L1480" s="1278"/>
      <c r="M1480" s="1439"/>
    </row>
    <row r="1481" spans="1:13" x14ac:dyDescent="0.3">
      <c r="A1481" s="1373"/>
      <c r="B1481" s="1374"/>
      <c r="C1481" s="1374"/>
      <c r="D1481" s="1374"/>
      <c r="E1481" s="1374"/>
      <c r="F1481" s="1374"/>
      <c r="G1481" s="1374"/>
      <c r="H1481" s="1374"/>
      <c r="I1481" s="1374"/>
      <c r="J1481" s="1374"/>
      <c r="K1481" s="1374"/>
      <c r="L1481" s="1374"/>
      <c r="M1481" s="1439"/>
    </row>
    <row r="1482" spans="1:13" x14ac:dyDescent="0.3">
      <c r="A1482" s="1373"/>
      <c r="B1482" s="1374"/>
      <c r="C1482" s="1374"/>
      <c r="D1482" s="1374"/>
      <c r="E1482" s="1374"/>
      <c r="F1482" s="1374"/>
      <c r="G1482" s="1374"/>
      <c r="H1482" s="1374"/>
      <c r="I1482" s="1374"/>
      <c r="J1482" s="1374"/>
      <c r="K1482" s="1374"/>
      <c r="L1482" s="1374"/>
      <c r="M1482" s="1439"/>
    </row>
    <row r="1483" spans="1:13" x14ac:dyDescent="0.3">
      <c r="A1483" s="1072"/>
      <c r="B1483" s="664" t="s">
        <v>54</v>
      </c>
      <c r="C1483" s="664" t="s">
        <v>55</v>
      </c>
      <c r="D1483" s="664" t="s">
        <v>56</v>
      </c>
      <c r="E1483" s="664" t="s">
        <v>57</v>
      </c>
      <c r="F1483" s="664" t="s">
        <v>99</v>
      </c>
      <c r="G1483" s="664" t="s">
        <v>100</v>
      </c>
      <c r="H1483" s="664" t="s">
        <v>101</v>
      </c>
      <c r="I1483" s="1374"/>
      <c r="J1483" s="1374"/>
      <c r="K1483" s="1406" t="s">
        <v>597</v>
      </c>
      <c r="L1483" s="1406" t="s">
        <v>598</v>
      </c>
      <c r="M1483" s="1439"/>
    </row>
    <row r="1484" spans="1:13" x14ac:dyDescent="0.3">
      <c r="A1484" s="1072"/>
      <c r="B1484" s="1076" t="s">
        <v>446</v>
      </c>
      <c r="C1484" s="1076" t="s">
        <v>444</v>
      </c>
      <c r="D1484" s="1076" t="s">
        <v>444</v>
      </c>
      <c r="E1484" s="1076" t="s">
        <v>445</v>
      </c>
      <c r="F1484" s="1076" t="s">
        <v>447</v>
      </c>
      <c r="G1484" s="1076" t="s">
        <v>447</v>
      </c>
      <c r="H1484" s="1076" t="s">
        <v>448</v>
      </c>
      <c r="I1484" s="1374"/>
      <c r="J1484" s="1374"/>
      <c r="K1484" s="1076" t="s">
        <v>54</v>
      </c>
      <c r="L1484" s="1076" t="s">
        <v>35</v>
      </c>
      <c r="M1484" s="1439"/>
    </row>
    <row r="1485" spans="1:13" x14ac:dyDescent="0.3">
      <c r="A1485" s="970">
        <v>40909</v>
      </c>
      <c r="B1485" s="1076">
        <v>0.23369999999999999</v>
      </c>
      <c r="C1485" s="1076">
        <v>6.24</v>
      </c>
      <c r="D1485" s="633">
        <v>6.27</v>
      </c>
      <c r="E1485" s="1076">
        <v>0.28499999999999998</v>
      </c>
      <c r="F1485" s="1076">
        <v>0.223</v>
      </c>
      <c r="G1485" s="1076">
        <v>0.223</v>
      </c>
      <c r="H1485" s="1264">
        <v>0.06</v>
      </c>
      <c r="I1485" s="1374"/>
      <c r="J1485" s="1374"/>
      <c r="K1485" s="1076" t="s">
        <v>55</v>
      </c>
      <c r="L1485" s="1076" t="s">
        <v>34</v>
      </c>
      <c r="M1485" s="1439"/>
    </row>
    <row r="1486" spans="1:13" x14ac:dyDescent="0.3">
      <c r="A1486" s="970">
        <v>40940</v>
      </c>
      <c r="B1486" s="1076">
        <v>0.23369999999999999</v>
      </c>
      <c r="C1486" s="1076">
        <v>6.24</v>
      </c>
      <c r="D1486" s="633">
        <v>6.27</v>
      </c>
      <c r="E1486" s="1076">
        <v>0.28499999999999998</v>
      </c>
      <c r="F1486" s="1076">
        <v>0.223</v>
      </c>
      <c r="G1486" s="1076">
        <v>0.223</v>
      </c>
      <c r="H1486" s="1076">
        <v>6.8000000000000005E-2</v>
      </c>
      <c r="I1486" s="1374"/>
      <c r="J1486" s="1374"/>
      <c r="K1486" s="1076" t="s">
        <v>56</v>
      </c>
      <c r="L1486" s="1076" t="s">
        <v>34</v>
      </c>
      <c r="M1486" s="1439"/>
    </row>
    <row r="1487" spans="1:13" x14ac:dyDescent="0.3">
      <c r="A1487" s="970">
        <v>40969</v>
      </c>
      <c r="B1487" s="1076">
        <v>0.23369999999999999</v>
      </c>
      <c r="C1487" s="1076">
        <v>6.24</v>
      </c>
      <c r="D1487" s="633">
        <v>6.27</v>
      </c>
      <c r="E1487" s="1076">
        <v>0.28499999999999998</v>
      </c>
      <c r="F1487" s="1076">
        <v>0.223</v>
      </c>
      <c r="G1487" s="1076">
        <v>0.223</v>
      </c>
      <c r="H1487" s="1076">
        <v>6.8000000000000005E-2</v>
      </c>
      <c r="I1487" s="1374"/>
      <c r="J1487" s="1374"/>
      <c r="K1487" s="1076" t="s">
        <v>57</v>
      </c>
      <c r="L1487" s="1076" t="s">
        <v>35</v>
      </c>
      <c r="M1487" s="1439"/>
    </row>
    <row r="1488" spans="1:13" x14ac:dyDescent="0.3">
      <c r="A1488" s="970">
        <v>41000</v>
      </c>
      <c r="B1488" s="1076">
        <v>0.23369999999999999</v>
      </c>
      <c r="C1488" s="1076">
        <v>6.15</v>
      </c>
      <c r="D1488" s="633">
        <v>6.2</v>
      </c>
      <c r="E1488" s="1076">
        <v>0.28499999999999998</v>
      </c>
      <c r="F1488" s="1076">
        <v>0.223</v>
      </c>
      <c r="G1488" s="1076">
        <v>0.223</v>
      </c>
      <c r="H1488" s="1076">
        <v>6.8000000000000005E-2</v>
      </c>
      <c r="I1488" s="1374"/>
      <c r="J1488" s="1374"/>
      <c r="K1488" s="1076" t="s">
        <v>99</v>
      </c>
      <c r="L1488" s="1076" t="s">
        <v>35</v>
      </c>
      <c r="M1488" s="1439"/>
    </row>
    <row r="1489" spans="1:13" x14ac:dyDescent="0.3">
      <c r="A1489" s="970">
        <v>41030</v>
      </c>
      <c r="B1489" s="1076">
        <v>0.23369999999999999</v>
      </c>
      <c r="C1489" s="1076">
        <v>6.15</v>
      </c>
      <c r="D1489" s="633">
        <v>6.2</v>
      </c>
      <c r="E1489" s="1076">
        <v>0.28499999999999998</v>
      </c>
      <c r="F1489" s="1076">
        <v>0.223</v>
      </c>
      <c r="G1489" s="1076">
        <v>0.223</v>
      </c>
      <c r="H1489" s="1076">
        <v>6.8000000000000005E-2</v>
      </c>
      <c r="I1489" s="1374"/>
      <c r="J1489" s="1374"/>
      <c r="K1489" s="1076" t="s">
        <v>100</v>
      </c>
      <c r="L1489" s="1076" t="s">
        <v>35</v>
      </c>
      <c r="M1489" s="1439"/>
    </row>
    <row r="1490" spans="1:13" x14ac:dyDescent="0.3">
      <c r="A1490" s="970">
        <v>41061</v>
      </c>
      <c r="B1490" s="1076">
        <v>0.23369999999999999</v>
      </c>
      <c r="C1490" s="1076">
        <v>6.15</v>
      </c>
      <c r="D1490" s="633">
        <v>6.2</v>
      </c>
      <c r="E1490" s="1076">
        <v>0.28499999999999998</v>
      </c>
      <c r="F1490" s="1076">
        <v>0.223</v>
      </c>
      <c r="G1490" s="1076">
        <v>0.223</v>
      </c>
      <c r="H1490" s="1076">
        <v>6.8000000000000005E-2</v>
      </c>
      <c r="I1490" s="1374"/>
      <c r="J1490" s="1374"/>
      <c r="K1490" s="1076" t="s">
        <v>101</v>
      </c>
      <c r="L1490" s="1076" t="s">
        <v>35</v>
      </c>
      <c r="M1490" s="1439"/>
    </row>
    <row r="1491" spans="1:13" x14ac:dyDescent="0.3">
      <c r="A1491" s="970">
        <v>41091</v>
      </c>
      <c r="B1491" s="1076">
        <v>0.23369999999999999</v>
      </c>
      <c r="C1491" s="1076">
        <v>5.91</v>
      </c>
      <c r="D1491" s="633">
        <v>6.11</v>
      </c>
      <c r="E1491" s="1076">
        <v>0.28499999999999998</v>
      </c>
      <c r="F1491" s="1076">
        <v>0.223</v>
      </c>
      <c r="G1491" s="1076">
        <v>0.223</v>
      </c>
      <c r="H1491" s="1076">
        <v>6.8000000000000005E-2</v>
      </c>
      <c r="I1491" s="1374"/>
      <c r="J1491" s="1374"/>
      <c r="K1491" s="1374"/>
      <c r="L1491" s="1374"/>
      <c r="M1491" s="1439"/>
    </row>
    <row r="1492" spans="1:13" x14ac:dyDescent="0.3">
      <c r="A1492" s="970">
        <v>41122</v>
      </c>
      <c r="B1492" s="1076">
        <v>0.23369999999999999</v>
      </c>
      <c r="C1492" s="1076">
        <v>5.91</v>
      </c>
      <c r="D1492" s="633">
        <v>6.11</v>
      </c>
      <c r="E1492" s="1076">
        <v>0.28499999999999998</v>
      </c>
      <c r="F1492" s="1076">
        <v>0.223</v>
      </c>
      <c r="G1492" s="1076">
        <v>0.223</v>
      </c>
      <c r="H1492" s="1076">
        <v>6.8000000000000005E-2</v>
      </c>
      <c r="I1492" s="1374"/>
      <c r="J1492" s="1374"/>
      <c r="K1492" s="1374"/>
      <c r="L1492" s="1374"/>
      <c r="M1492" s="1439"/>
    </row>
    <row r="1493" spans="1:13" x14ac:dyDescent="0.3">
      <c r="A1493" s="970">
        <v>41153</v>
      </c>
      <c r="B1493" s="1076">
        <v>0.23369999999999999</v>
      </c>
      <c r="C1493" s="1076">
        <v>5.91</v>
      </c>
      <c r="D1493" s="633">
        <v>6.11</v>
      </c>
      <c r="E1493" s="1076">
        <v>0.28499999999999998</v>
      </c>
      <c r="F1493" s="1076">
        <v>0.223</v>
      </c>
      <c r="G1493" s="1076">
        <v>0.223</v>
      </c>
      <c r="H1493" s="1076">
        <v>6.8000000000000005E-2</v>
      </c>
      <c r="I1493" s="1374"/>
      <c r="J1493" s="1374"/>
      <c r="K1493" s="1406" t="s">
        <v>600</v>
      </c>
      <c r="L1493" s="1406" t="s">
        <v>599</v>
      </c>
      <c r="M1493" s="1439"/>
    </row>
    <row r="1494" spans="1:13" x14ac:dyDescent="0.3">
      <c r="A1494" s="970">
        <v>41183</v>
      </c>
      <c r="B1494" s="1076">
        <v>0.23369999999999999</v>
      </c>
      <c r="C1494" s="1076">
        <v>5.91</v>
      </c>
      <c r="D1494" s="633">
        <v>6.11</v>
      </c>
      <c r="E1494" s="1076">
        <v>0.28499999999999998</v>
      </c>
      <c r="F1494" s="1076">
        <v>0.223</v>
      </c>
      <c r="G1494" s="1076">
        <v>0.223</v>
      </c>
      <c r="H1494" s="1076">
        <v>6.8000000000000005E-2</v>
      </c>
      <c r="I1494" s="1374"/>
      <c r="J1494" s="1374"/>
      <c r="K1494" s="1076" t="s">
        <v>259</v>
      </c>
      <c r="L1494" s="1076" t="str">
        <f>VLOOKUP('Personalized Bill Menu'!$B$22,'Misc. Data &amp; Mechanisms'!$K$1483:$L$1490,2,FALSE)</f>
        <v>$/day</v>
      </c>
      <c r="M1494" s="1439"/>
    </row>
    <row r="1495" spans="1:13" x14ac:dyDescent="0.3">
      <c r="A1495" s="970">
        <v>41214</v>
      </c>
      <c r="B1495" s="1076">
        <v>0.23369999999999999</v>
      </c>
      <c r="C1495" s="1076">
        <v>5.91</v>
      </c>
      <c r="D1495" s="633">
        <v>6.11</v>
      </c>
      <c r="E1495" s="1076">
        <v>0.28499999999999998</v>
      </c>
      <c r="F1495" s="1076">
        <v>0.223</v>
      </c>
      <c r="G1495" s="1076">
        <v>0.223</v>
      </c>
      <c r="H1495" s="1076">
        <v>6.8000000000000005E-2</v>
      </c>
      <c r="I1495" s="1374"/>
      <c r="J1495" s="1374"/>
      <c r="K1495" s="1076" t="s">
        <v>260</v>
      </c>
      <c r="L1495" s="1076" t="str">
        <f>VLOOKUP('Personalized Bill Menu'!$B$23,'Misc. Data &amp; Mechanisms'!$K$1483:$L$1490,2,FALSE)</f>
        <v>$/day</v>
      </c>
      <c r="M1495" s="1439"/>
    </row>
    <row r="1496" spans="1:13" x14ac:dyDescent="0.3">
      <c r="A1496" s="970">
        <v>41244</v>
      </c>
      <c r="B1496" s="1076">
        <v>0.23369999999999999</v>
      </c>
      <c r="C1496" s="1076">
        <v>5.91</v>
      </c>
      <c r="D1496" s="633">
        <v>6.11</v>
      </c>
      <c r="E1496" s="1076">
        <v>0.28499999999999998</v>
      </c>
      <c r="F1496" s="1076">
        <v>0.223</v>
      </c>
      <c r="G1496" s="1076">
        <v>0.223</v>
      </c>
      <c r="H1496" s="1076">
        <v>6.8000000000000005E-2</v>
      </c>
      <c r="I1496" s="1374"/>
      <c r="J1496" s="1374"/>
      <c r="K1496" s="1374"/>
      <c r="L1496" s="1374"/>
      <c r="M1496" s="1439"/>
    </row>
    <row r="1497" spans="1:13" x14ac:dyDescent="0.3">
      <c r="A1497" s="970">
        <v>41275</v>
      </c>
      <c r="B1497" s="1076">
        <v>0.23369999999999999</v>
      </c>
      <c r="C1497" s="1076">
        <v>5.91</v>
      </c>
      <c r="D1497" s="633">
        <v>6.11</v>
      </c>
      <c r="E1497" s="1076">
        <v>0.28499999999999998</v>
      </c>
      <c r="F1497" s="1076">
        <v>0.223</v>
      </c>
      <c r="G1497" s="1076">
        <v>0.223</v>
      </c>
      <c r="H1497" s="1076">
        <v>7.4999999999999997E-2</v>
      </c>
      <c r="I1497" s="1374"/>
      <c r="J1497" s="1374"/>
      <c r="K1497" s="1374"/>
      <c r="L1497" s="1374"/>
      <c r="M1497" s="1439"/>
    </row>
    <row r="1498" spans="1:13" x14ac:dyDescent="0.3">
      <c r="A1498" s="970">
        <v>41306</v>
      </c>
      <c r="B1498" s="1076">
        <v>0.23369999999999999</v>
      </c>
      <c r="C1498" s="1076">
        <v>5.91</v>
      </c>
      <c r="D1498" s="633">
        <v>6.11</v>
      </c>
      <c r="E1498" s="1076">
        <v>0.28499999999999998</v>
      </c>
      <c r="F1498" s="1076">
        <v>0.223</v>
      </c>
      <c r="G1498" s="1076">
        <v>0.223</v>
      </c>
      <c r="H1498" s="1076">
        <v>7.4999999999999997E-2</v>
      </c>
      <c r="I1498" s="1374"/>
      <c r="J1498" s="1374"/>
      <c r="K1498" s="1374"/>
      <c r="L1498" s="1374"/>
      <c r="M1498" s="1439"/>
    </row>
    <row r="1499" spans="1:13" x14ac:dyDescent="0.3">
      <c r="A1499" s="970">
        <v>41334</v>
      </c>
      <c r="B1499" s="1076">
        <v>0.23369999999999999</v>
      </c>
      <c r="C1499" s="1076">
        <v>5.91</v>
      </c>
      <c r="D1499" s="633">
        <v>6.11</v>
      </c>
      <c r="E1499" s="1076">
        <v>0.28499999999999998</v>
      </c>
      <c r="F1499" s="1076">
        <v>0.223</v>
      </c>
      <c r="G1499" s="1076">
        <v>0.223</v>
      </c>
      <c r="H1499" s="1076">
        <v>7.4999999999999997E-2</v>
      </c>
      <c r="I1499" s="1374"/>
      <c r="J1499" s="1374"/>
      <c r="K1499" s="1374"/>
      <c r="L1499" s="1374"/>
      <c r="M1499" s="1439"/>
    </row>
    <row r="1500" spans="1:13" x14ac:dyDescent="0.3">
      <c r="A1500" s="970">
        <v>41365</v>
      </c>
      <c r="B1500" s="1076">
        <v>0.23369999999999999</v>
      </c>
      <c r="C1500" s="1076">
        <v>6.15</v>
      </c>
      <c r="D1500" s="633">
        <v>6.25</v>
      </c>
      <c r="E1500" s="1076">
        <v>0.28499999999999998</v>
      </c>
      <c r="F1500" s="1076">
        <v>0.223</v>
      </c>
      <c r="G1500" s="1076">
        <v>0.223</v>
      </c>
      <c r="H1500" s="1076">
        <v>7.4999999999999997E-2</v>
      </c>
      <c r="I1500" s="1374"/>
      <c r="J1500" s="1374"/>
      <c r="K1500" s="1374"/>
      <c r="L1500" s="1374"/>
      <c r="M1500" s="1439"/>
    </row>
    <row r="1501" spans="1:13" x14ac:dyDescent="0.3">
      <c r="A1501" s="970">
        <v>41395</v>
      </c>
      <c r="B1501" s="1076">
        <v>0.23369999999999999</v>
      </c>
      <c r="C1501" s="1076">
        <v>6.15</v>
      </c>
      <c r="D1501" s="633">
        <v>6.25</v>
      </c>
      <c r="E1501" s="1076">
        <v>0.28499999999999998</v>
      </c>
      <c r="F1501" s="1076">
        <v>0.223</v>
      </c>
      <c r="G1501" s="1076">
        <v>0.223</v>
      </c>
      <c r="H1501" s="1076">
        <v>7.4999999999999997E-2</v>
      </c>
      <c r="I1501" s="1374"/>
      <c r="J1501" s="1374"/>
      <c r="K1501" s="1374"/>
      <c r="L1501" s="1374"/>
      <c r="M1501" s="1439"/>
    </row>
    <row r="1502" spans="1:13" x14ac:dyDescent="0.3">
      <c r="A1502" s="970">
        <v>41426</v>
      </c>
      <c r="B1502" s="1076">
        <v>0.23369999999999999</v>
      </c>
      <c r="C1502" s="1076">
        <v>6.15</v>
      </c>
      <c r="D1502" s="633">
        <v>6.25</v>
      </c>
      <c r="E1502" s="1076">
        <v>0.28499999999999998</v>
      </c>
      <c r="F1502" s="1076">
        <v>0.223</v>
      </c>
      <c r="G1502" s="1076">
        <v>0.223</v>
      </c>
      <c r="H1502" s="1076">
        <v>7.4999999999999997E-2</v>
      </c>
      <c r="I1502" s="1374"/>
      <c r="J1502" s="1374"/>
      <c r="K1502" s="1374"/>
      <c r="L1502" s="1374"/>
      <c r="M1502" s="1439"/>
    </row>
    <row r="1503" spans="1:13" x14ac:dyDescent="0.3">
      <c r="A1503" s="970">
        <v>41456</v>
      </c>
      <c r="B1503" s="1076">
        <v>0.23369999999999999</v>
      </c>
      <c r="C1503" s="1076">
        <v>5.95</v>
      </c>
      <c r="D1503" s="633">
        <v>6.09</v>
      </c>
      <c r="E1503" s="1076">
        <v>0.28499999999999998</v>
      </c>
      <c r="F1503" s="1076">
        <v>0.223</v>
      </c>
      <c r="G1503" s="1076">
        <v>0.223</v>
      </c>
      <c r="H1503" s="1076">
        <v>7.4999999999999997E-2</v>
      </c>
      <c r="I1503" s="1374"/>
      <c r="J1503" s="1374"/>
      <c r="K1503" s="1374"/>
      <c r="L1503" s="1374"/>
      <c r="M1503" s="1439"/>
    </row>
    <row r="1504" spans="1:13" x14ac:dyDescent="0.3">
      <c r="A1504" s="970">
        <v>41487</v>
      </c>
      <c r="B1504" s="1076">
        <v>0.23369999999999999</v>
      </c>
      <c r="C1504" s="1076">
        <v>6.54</v>
      </c>
      <c r="D1504" s="633">
        <v>6.53</v>
      </c>
      <c r="E1504" s="1076">
        <v>0.28499999999999998</v>
      </c>
      <c r="F1504" s="1076">
        <v>0.223</v>
      </c>
      <c r="G1504" s="1076">
        <v>0.223</v>
      </c>
      <c r="H1504" s="1076">
        <v>7.4999999999999997E-2</v>
      </c>
      <c r="I1504" s="1374"/>
      <c r="J1504" s="1374"/>
      <c r="K1504" s="1374"/>
      <c r="L1504" s="1374"/>
      <c r="M1504" s="1439"/>
    </row>
    <row r="1505" spans="1:13" x14ac:dyDescent="0.3">
      <c r="A1505" s="970">
        <v>41518</v>
      </c>
      <c r="B1505" s="1076">
        <v>0.23369999999999999</v>
      </c>
      <c r="C1505" s="1076">
        <v>6.54</v>
      </c>
      <c r="D1505" s="633">
        <v>6.53</v>
      </c>
      <c r="E1505" s="1076">
        <v>0.28499999999999998</v>
      </c>
      <c r="F1505" s="1076">
        <v>0.223</v>
      </c>
      <c r="G1505" s="1076">
        <v>0.223</v>
      </c>
      <c r="H1505" s="1076">
        <v>7.4999999999999997E-2</v>
      </c>
      <c r="I1505" s="1374"/>
      <c r="J1505" s="1374"/>
      <c r="K1505" s="1374"/>
      <c r="L1505" s="1374"/>
      <c r="M1505" s="1439"/>
    </row>
    <row r="1506" spans="1:13" x14ac:dyDescent="0.3">
      <c r="A1506" s="970">
        <v>41548</v>
      </c>
      <c r="B1506" s="1076">
        <v>0.23369999999999999</v>
      </c>
      <c r="C1506" s="1076">
        <v>7.43</v>
      </c>
      <c r="D1506" s="633">
        <v>5.4</v>
      </c>
      <c r="E1506" s="1076">
        <v>0.28499999999999998</v>
      </c>
      <c r="F1506" s="1076">
        <v>0.223</v>
      </c>
      <c r="G1506" s="1076">
        <v>0.223</v>
      </c>
      <c r="H1506" s="1076">
        <v>7.4999999999999997E-2</v>
      </c>
      <c r="I1506" s="1374"/>
      <c r="J1506" s="1374"/>
      <c r="K1506" s="1374"/>
      <c r="L1506" s="1374"/>
      <c r="M1506" s="1439"/>
    </row>
    <row r="1507" spans="1:13" x14ac:dyDescent="0.3">
      <c r="A1507" s="970">
        <v>41579</v>
      </c>
      <c r="B1507" s="1076">
        <v>0.23369999999999999</v>
      </c>
      <c r="C1507" s="1076">
        <v>7.43</v>
      </c>
      <c r="D1507" s="633">
        <v>5.4</v>
      </c>
      <c r="E1507" s="1076">
        <v>0.28499999999999998</v>
      </c>
      <c r="F1507" s="1076">
        <v>0.223</v>
      </c>
      <c r="G1507" s="1076">
        <v>0.223</v>
      </c>
      <c r="H1507" s="1076">
        <v>7.4999999999999997E-2</v>
      </c>
      <c r="I1507" s="1374"/>
      <c r="J1507" s="1374"/>
      <c r="K1507" s="1374"/>
      <c r="L1507" s="1374"/>
      <c r="M1507" s="1439"/>
    </row>
    <row r="1508" spans="1:13" x14ac:dyDescent="0.3">
      <c r="A1508" s="970">
        <v>41609</v>
      </c>
      <c r="B1508" s="1076">
        <v>0.23369999999999999</v>
      </c>
      <c r="C1508" s="1076">
        <v>7.43</v>
      </c>
      <c r="D1508" s="633">
        <v>5.4</v>
      </c>
      <c r="E1508" s="1076">
        <v>0.28499999999999998</v>
      </c>
      <c r="F1508" s="1076">
        <v>0.223</v>
      </c>
      <c r="G1508" s="1076">
        <v>0.223</v>
      </c>
      <c r="H1508" s="1076">
        <v>7.4999999999999997E-2</v>
      </c>
      <c r="I1508" s="1374"/>
      <c r="J1508" s="1374"/>
      <c r="K1508" s="1374"/>
      <c r="L1508" s="1374"/>
      <c r="M1508" s="1439"/>
    </row>
    <row r="1509" spans="1:13" x14ac:dyDescent="0.3">
      <c r="A1509" s="970">
        <v>41640</v>
      </c>
      <c r="B1509" s="1076">
        <v>0.23369999999999999</v>
      </c>
      <c r="C1509" s="1076">
        <v>6.27</v>
      </c>
      <c r="D1509" s="633">
        <v>5.95</v>
      </c>
      <c r="E1509" s="1076">
        <v>0.28499999999999998</v>
      </c>
      <c r="F1509" s="1076">
        <v>0.223</v>
      </c>
      <c r="G1509" s="1076">
        <v>0.223</v>
      </c>
      <c r="H1509" s="1076">
        <v>8.4000000000000005E-2</v>
      </c>
      <c r="I1509" s="1374"/>
      <c r="J1509" s="1374"/>
      <c r="K1509" s="1374"/>
      <c r="L1509" s="1374"/>
      <c r="M1509" s="1439"/>
    </row>
    <row r="1510" spans="1:13" x14ac:dyDescent="0.3">
      <c r="A1510" s="970">
        <v>41671</v>
      </c>
      <c r="B1510" s="1076">
        <v>0.23369999999999999</v>
      </c>
      <c r="C1510" s="1076">
        <v>6.27</v>
      </c>
      <c r="D1510" s="633">
        <v>5.95</v>
      </c>
      <c r="E1510" s="1076">
        <v>0.28499999999999998</v>
      </c>
      <c r="F1510" s="1076">
        <v>0.223</v>
      </c>
      <c r="G1510" s="1076">
        <v>0.223</v>
      </c>
      <c r="H1510" s="1076">
        <v>8.4000000000000005E-2</v>
      </c>
      <c r="I1510" s="1374"/>
      <c r="J1510" s="1374"/>
      <c r="K1510" s="1374"/>
      <c r="L1510" s="1374"/>
      <c r="M1510" s="1439"/>
    </row>
    <row r="1511" spans="1:13" x14ac:dyDescent="0.3">
      <c r="A1511" s="970">
        <v>41699</v>
      </c>
      <c r="B1511" s="1076">
        <v>0.23369999999999999</v>
      </c>
      <c r="C1511" s="1076">
        <v>6.27</v>
      </c>
      <c r="D1511" s="633">
        <v>5.95</v>
      </c>
      <c r="E1511" s="1076">
        <v>0.28499999999999998</v>
      </c>
      <c r="F1511" s="1076">
        <v>0.223</v>
      </c>
      <c r="G1511" s="1076">
        <v>0.223</v>
      </c>
      <c r="H1511" s="1076">
        <v>8.4000000000000005E-2</v>
      </c>
      <c r="I1511" s="1374"/>
      <c r="J1511" s="1374"/>
      <c r="K1511" s="1374"/>
      <c r="L1511" s="1374"/>
      <c r="M1511" s="1439"/>
    </row>
    <row r="1512" spans="1:13" x14ac:dyDescent="0.3">
      <c r="A1512" s="970">
        <v>41730</v>
      </c>
      <c r="B1512" s="1076">
        <v>0.23369999999999999</v>
      </c>
      <c r="C1512" s="1076">
        <v>5.92</v>
      </c>
      <c r="D1512" s="633">
        <v>5.87</v>
      </c>
      <c r="E1512" s="1076">
        <v>0.28499999999999998</v>
      </c>
      <c r="F1512" s="1076">
        <v>0.223</v>
      </c>
      <c r="G1512" s="1076">
        <v>0.223</v>
      </c>
      <c r="H1512" s="1076">
        <v>8.4000000000000005E-2</v>
      </c>
      <c r="I1512" s="1374"/>
      <c r="J1512" s="1374"/>
      <c r="K1512" s="1374"/>
      <c r="L1512" s="1374"/>
      <c r="M1512" s="1439"/>
    </row>
    <row r="1513" spans="1:13" x14ac:dyDescent="0.3">
      <c r="A1513" s="970">
        <v>41760</v>
      </c>
      <c r="B1513" s="1076">
        <v>0.23369999999999999</v>
      </c>
      <c r="C1513" s="1076">
        <v>5.92</v>
      </c>
      <c r="D1513" s="633">
        <v>5.87</v>
      </c>
      <c r="E1513" s="1076">
        <v>0.28499999999999998</v>
      </c>
      <c r="F1513" s="1076">
        <v>0.223</v>
      </c>
      <c r="G1513" s="1076">
        <v>0.223</v>
      </c>
      <c r="H1513" s="1076">
        <v>8.4000000000000005E-2</v>
      </c>
      <c r="I1513" s="1374"/>
      <c r="J1513" s="1374"/>
      <c r="K1513" s="1374"/>
      <c r="L1513" s="1374"/>
      <c r="M1513" s="1439"/>
    </row>
    <row r="1514" spans="1:13" x14ac:dyDescent="0.3">
      <c r="A1514" s="970">
        <v>41791</v>
      </c>
      <c r="B1514" s="1076">
        <v>0.23369999999999999</v>
      </c>
      <c r="C1514" s="1076">
        <v>5.92</v>
      </c>
      <c r="D1514" s="633">
        <v>5.87</v>
      </c>
      <c r="E1514" s="1076">
        <v>0.28499999999999998</v>
      </c>
      <c r="F1514" s="1076">
        <v>0.223</v>
      </c>
      <c r="G1514" s="1076">
        <v>0.223</v>
      </c>
      <c r="H1514" s="1076">
        <v>8.4000000000000005E-2</v>
      </c>
      <c r="I1514" s="1374"/>
      <c r="J1514" s="1374"/>
      <c r="K1514" s="1374"/>
      <c r="L1514" s="1374"/>
      <c r="M1514" s="1439"/>
    </row>
    <row r="1515" spans="1:13" x14ac:dyDescent="0.3">
      <c r="A1515" s="970">
        <v>41821</v>
      </c>
      <c r="B1515" s="1076">
        <v>0.23369999999999999</v>
      </c>
      <c r="C1515" s="1076">
        <v>5.89</v>
      </c>
      <c r="D1515" s="633">
        <v>5.72</v>
      </c>
      <c r="E1515" s="1076">
        <v>0.28499999999999998</v>
      </c>
      <c r="F1515" s="1076">
        <v>0.223</v>
      </c>
      <c r="G1515" s="1076">
        <v>0.223</v>
      </c>
      <c r="H1515" s="1076">
        <v>8.4000000000000005E-2</v>
      </c>
      <c r="I1515" s="1374"/>
      <c r="J1515" s="1374"/>
      <c r="K1515" s="1374"/>
      <c r="L1515" s="1374"/>
      <c r="M1515" s="1439"/>
    </row>
    <row r="1516" spans="1:13" x14ac:dyDescent="0.3">
      <c r="A1516" s="970">
        <v>41852</v>
      </c>
      <c r="B1516" s="1076">
        <v>0.23369999999999999</v>
      </c>
      <c r="C1516" s="1076">
        <v>5.89</v>
      </c>
      <c r="D1516" s="633">
        <v>5.72</v>
      </c>
      <c r="E1516" s="1076">
        <v>0.28499999999999998</v>
      </c>
      <c r="F1516" s="1076">
        <v>0.223</v>
      </c>
      <c r="G1516" s="1076">
        <v>0.223</v>
      </c>
      <c r="H1516" s="1076">
        <v>8.4000000000000005E-2</v>
      </c>
      <c r="I1516" s="1374"/>
      <c r="J1516" s="1374"/>
      <c r="K1516" s="1374"/>
      <c r="L1516" s="1374"/>
      <c r="M1516" s="1439"/>
    </row>
    <row r="1517" spans="1:13" x14ac:dyDescent="0.3">
      <c r="A1517" s="970">
        <v>41883</v>
      </c>
      <c r="B1517" s="1076">
        <v>0.23369999999999999</v>
      </c>
      <c r="C1517" s="1076">
        <v>5.89</v>
      </c>
      <c r="D1517" s="633">
        <v>5.72</v>
      </c>
      <c r="E1517" s="1076">
        <v>0.28499999999999998</v>
      </c>
      <c r="F1517" s="1076">
        <v>0.223</v>
      </c>
      <c r="G1517" s="1076">
        <v>0.223</v>
      </c>
      <c r="H1517" s="1076">
        <v>8.4000000000000005E-2</v>
      </c>
      <c r="I1517" s="1374"/>
      <c r="J1517" s="1374"/>
      <c r="K1517" s="1374"/>
      <c r="L1517" s="1374"/>
      <c r="M1517" s="1439"/>
    </row>
    <row r="1518" spans="1:13" x14ac:dyDescent="0.3">
      <c r="A1518" s="970">
        <v>41913</v>
      </c>
      <c r="B1518" s="1076">
        <v>0.23369999999999999</v>
      </c>
      <c r="C1518" s="1076">
        <v>6.04</v>
      </c>
      <c r="D1518" s="633">
        <v>5.89</v>
      </c>
      <c r="E1518" s="1076">
        <v>0.28499999999999998</v>
      </c>
      <c r="F1518" s="1076">
        <v>0.223</v>
      </c>
      <c r="G1518" s="1076">
        <v>0.223</v>
      </c>
      <c r="H1518" s="1076">
        <v>8.4000000000000005E-2</v>
      </c>
      <c r="I1518" s="1374"/>
      <c r="J1518" s="1374"/>
      <c r="K1518" s="1374"/>
      <c r="L1518" s="1374"/>
      <c r="M1518" s="1439"/>
    </row>
    <row r="1519" spans="1:13" x14ac:dyDescent="0.3">
      <c r="A1519" s="970">
        <v>41944</v>
      </c>
      <c r="B1519" s="1076">
        <v>0.23369999999999999</v>
      </c>
      <c r="C1519" s="1076">
        <v>6.04</v>
      </c>
      <c r="D1519" s="633">
        <v>5.89</v>
      </c>
      <c r="E1519" s="1076">
        <v>0.28499999999999998</v>
      </c>
      <c r="F1519" s="1076">
        <v>0.223</v>
      </c>
      <c r="G1519" s="1076">
        <v>0.223</v>
      </c>
      <c r="H1519" s="1076">
        <v>8.4000000000000005E-2</v>
      </c>
      <c r="I1519" s="1374"/>
      <c r="J1519" s="1374"/>
      <c r="K1519" s="1374"/>
      <c r="L1519" s="1374"/>
      <c r="M1519" s="1439"/>
    </row>
    <row r="1520" spans="1:13" x14ac:dyDescent="0.3">
      <c r="A1520" s="970">
        <v>41974</v>
      </c>
      <c r="B1520" s="1076">
        <v>0.23369999999999999</v>
      </c>
      <c r="C1520" s="1076">
        <v>6.04</v>
      </c>
      <c r="D1520" s="633">
        <v>5.89</v>
      </c>
      <c r="E1520" s="1076">
        <v>0.28499999999999998</v>
      </c>
      <c r="F1520" s="1076">
        <v>0.223</v>
      </c>
      <c r="G1520" s="1076">
        <v>0.223</v>
      </c>
      <c r="H1520" s="1076">
        <v>8.4000000000000005E-2</v>
      </c>
      <c r="I1520" s="1374"/>
      <c r="J1520" s="1374"/>
      <c r="K1520" s="1374"/>
      <c r="L1520" s="1374"/>
      <c r="M1520" s="1439"/>
    </row>
    <row r="1521" spans="1:13" x14ac:dyDescent="0.3">
      <c r="A1521" s="970">
        <v>42005</v>
      </c>
      <c r="B1521" s="1076">
        <v>0.2291</v>
      </c>
      <c r="C1521" s="1076">
        <v>6.02</v>
      </c>
      <c r="D1521" s="633">
        <v>5.78</v>
      </c>
      <c r="E1521" s="1076">
        <v>0.28499999999999998</v>
      </c>
      <c r="F1521" s="1076">
        <v>0.223</v>
      </c>
      <c r="G1521" s="1076">
        <v>0.223</v>
      </c>
      <c r="H1521" s="1076">
        <v>8.4000000000000005E-2</v>
      </c>
      <c r="I1521" s="1374"/>
      <c r="J1521" s="1374"/>
      <c r="K1521" s="1374"/>
      <c r="L1521" s="1374"/>
      <c r="M1521" s="1439"/>
    </row>
    <row r="1522" spans="1:13" x14ac:dyDescent="0.3">
      <c r="A1522" s="970">
        <v>42036</v>
      </c>
      <c r="B1522" s="1076">
        <v>0.2291</v>
      </c>
      <c r="C1522" s="1076">
        <v>6.56</v>
      </c>
      <c r="D1522" s="633">
        <v>6.49</v>
      </c>
      <c r="E1522" s="1076">
        <v>0.28499999999999998</v>
      </c>
      <c r="F1522" s="1076">
        <v>0.223</v>
      </c>
      <c r="G1522" s="1076">
        <v>0.223</v>
      </c>
      <c r="H1522" s="1076">
        <v>8.4000000000000005E-2</v>
      </c>
      <c r="I1522" s="1374"/>
      <c r="J1522" s="1374"/>
      <c r="K1522" s="1374"/>
      <c r="L1522" s="1374"/>
      <c r="M1522" s="1439"/>
    </row>
    <row r="1523" spans="1:13" x14ac:dyDescent="0.3">
      <c r="A1523" s="970">
        <v>42064</v>
      </c>
      <c r="B1523" s="1076">
        <v>0.2291</v>
      </c>
      <c r="C1523" s="1076">
        <v>6.56</v>
      </c>
      <c r="D1523" s="633">
        <v>6.49</v>
      </c>
      <c r="E1523" s="1076">
        <v>0.28499999999999998</v>
      </c>
      <c r="F1523" s="1076">
        <v>0.223</v>
      </c>
      <c r="G1523" s="1076">
        <v>0.223</v>
      </c>
      <c r="H1523" s="1076">
        <v>8.4000000000000005E-2</v>
      </c>
      <c r="I1523" s="1374"/>
      <c r="J1523" s="1374"/>
      <c r="K1523" s="1374"/>
      <c r="L1523" s="1374"/>
      <c r="M1523" s="1439"/>
    </row>
    <row r="1524" spans="1:13" x14ac:dyDescent="0.3">
      <c r="A1524" s="970">
        <v>42095</v>
      </c>
      <c r="B1524" s="1076">
        <v>0.2291</v>
      </c>
      <c r="C1524" s="1076">
        <v>6.56</v>
      </c>
      <c r="D1524" s="633">
        <v>6.49</v>
      </c>
      <c r="E1524" s="1076">
        <v>0.28499999999999998</v>
      </c>
      <c r="F1524" s="1076">
        <v>0.223</v>
      </c>
      <c r="G1524" s="1076">
        <v>0.223</v>
      </c>
      <c r="H1524" s="1076">
        <v>8.4000000000000005E-2</v>
      </c>
      <c r="I1524" s="1374"/>
      <c r="J1524" s="1374"/>
      <c r="K1524" s="1374"/>
      <c r="L1524" s="1374"/>
      <c r="M1524" s="1439"/>
    </row>
    <row r="1525" spans="1:13" x14ac:dyDescent="0.3">
      <c r="A1525" s="970">
        <v>42125</v>
      </c>
      <c r="B1525" s="1076">
        <v>0.2291</v>
      </c>
      <c r="C1525" s="1076">
        <v>6.56</v>
      </c>
      <c r="D1525" s="633">
        <v>6.49</v>
      </c>
      <c r="E1525" s="1076">
        <v>0.28499999999999998</v>
      </c>
      <c r="F1525" s="1076">
        <v>0.223</v>
      </c>
      <c r="G1525" s="1076">
        <v>0.223</v>
      </c>
      <c r="H1525" s="1076">
        <v>8.4000000000000005E-2</v>
      </c>
      <c r="I1525" s="1374"/>
      <c r="J1525" s="1374"/>
      <c r="K1525" s="1374"/>
      <c r="L1525" s="1374"/>
      <c r="M1525" s="1439"/>
    </row>
    <row r="1526" spans="1:13" x14ac:dyDescent="0.3">
      <c r="A1526" s="970">
        <v>42156</v>
      </c>
      <c r="B1526" s="1076">
        <v>0.2291</v>
      </c>
      <c r="C1526" s="1076">
        <v>6.56</v>
      </c>
      <c r="D1526" s="633">
        <v>6.49</v>
      </c>
      <c r="E1526" s="1076">
        <v>0.28499999999999998</v>
      </c>
      <c r="F1526" s="1076">
        <v>0.223</v>
      </c>
      <c r="G1526" s="1076">
        <v>0.223</v>
      </c>
      <c r="H1526" s="1076">
        <v>8.4000000000000005E-2</v>
      </c>
      <c r="I1526" s="1374"/>
      <c r="J1526" s="1374"/>
      <c r="K1526" s="1374"/>
      <c r="L1526" s="1374"/>
      <c r="M1526" s="1439"/>
    </row>
    <row r="1527" spans="1:13" x14ac:dyDescent="0.3">
      <c r="A1527" s="970">
        <v>42186</v>
      </c>
      <c r="B1527" s="1076">
        <v>0.2291</v>
      </c>
      <c r="C1527" s="1076">
        <v>8.17</v>
      </c>
      <c r="D1527" s="633">
        <v>9.01</v>
      </c>
      <c r="E1527" s="1076">
        <v>0.28499999999999998</v>
      </c>
      <c r="F1527" s="1076">
        <v>0.223</v>
      </c>
      <c r="G1527" s="1076">
        <v>0.223</v>
      </c>
      <c r="H1527" s="1076">
        <v>8.4000000000000005E-2</v>
      </c>
      <c r="I1527" s="1374"/>
      <c r="J1527" s="1374"/>
      <c r="K1527" s="1374"/>
      <c r="L1527" s="1374"/>
      <c r="M1527" s="1439"/>
    </row>
    <row r="1528" spans="1:13" x14ac:dyDescent="0.3">
      <c r="A1528" s="970">
        <v>42217</v>
      </c>
      <c r="B1528" s="1076">
        <v>0.2291</v>
      </c>
      <c r="C1528" s="1076">
        <v>8.17</v>
      </c>
      <c r="D1528" s="633">
        <v>9.01</v>
      </c>
      <c r="E1528" s="1076">
        <v>0.28499999999999998</v>
      </c>
      <c r="F1528" s="1076">
        <v>0.223</v>
      </c>
      <c r="G1528" s="1076">
        <v>0.223</v>
      </c>
      <c r="H1528" s="1076">
        <v>8.4000000000000005E-2</v>
      </c>
      <c r="I1528" s="1374"/>
      <c r="J1528" s="1374"/>
      <c r="K1528" s="1374"/>
      <c r="L1528" s="1374"/>
      <c r="M1528" s="1439"/>
    </row>
    <row r="1529" spans="1:13" x14ac:dyDescent="0.3">
      <c r="A1529" s="970">
        <v>42248</v>
      </c>
      <c r="B1529" s="1076">
        <v>0.2291</v>
      </c>
      <c r="C1529" s="1076">
        <v>8.17</v>
      </c>
      <c r="D1529" s="633">
        <v>9.01</v>
      </c>
      <c r="E1529" s="1076">
        <v>0.28499999999999998</v>
      </c>
      <c r="F1529" s="1076">
        <v>0.223</v>
      </c>
      <c r="G1529" s="1076">
        <v>0.223</v>
      </c>
      <c r="H1529" s="1076">
        <v>8.4000000000000005E-2</v>
      </c>
      <c r="I1529" s="1374"/>
      <c r="J1529" s="1374"/>
      <c r="K1529" s="1374"/>
      <c r="L1529" s="1374"/>
      <c r="M1529" s="1439"/>
    </row>
    <row r="1530" spans="1:13" x14ac:dyDescent="0.3">
      <c r="A1530" s="970">
        <v>42278</v>
      </c>
      <c r="B1530" s="1076">
        <v>0.2291</v>
      </c>
      <c r="C1530" s="1076">
        <v>8.16</v>
      </c>
      <c r="D1530" s="633">
        <v>9</v>
      </c>
      <c r="E1530" s="1076">
        <v>0.28499999999999998</v>
      </c>
      <c r="F1530" s="1076">
        <v>0.223</v>
      </c>
      <c r="G1530" s="1076">
        <v>0.223</v>
      </c>
      <c r="H1530" s="1076">
        <v>8.4000000000000005E-2</v>
      </c>
      <c r="I1530" s="1374"/>
      <c r="J1530" s="1374"/>
      <c r="K1530" s="1374"/>
      <c r="L1530" s="1374"/>
      <c r="M1530" s="1439"/>
    </row>
    <row r="1531" spans="1:13" x14ac:dyDescent="0.3">
      <c r="A1531" s="970">
        <v>42309</v>
      </c>
      <c r="B1531" s="1076">
        <v>0.2291</v>
      </c>
      <c r="C1531" s="1076">
        <v>8.16</v>
      </c>
      <c r="D1531" s="633">
        <v>9</v>
      </c>
      <c r="E1531" s="1076">
        <v>0.28499999999999998</v>
      </c>
      <c r="F1531" s="1076">
        <v>0.223</v>
      </c>
      <c r="G1531" s="1076">
        <v>0.223</v>
      </c>
      <c r="H1531" s="1076">
        <v>8.4000000000000005E-2</v>
      </c>
      <c r="I1531" s="1374"/>
      <c r="J1531" s="1374"/>
      <c r="K1531" s="1374"/>
      <c r="L1531" s="1374"/>
      <c r="M1531" s="1439"/>
    </row>
    <row r="1532" spans="1:13" x14ac:dyDescent="0.3">
      <c r="A1532" s="970">
        <v>42339</v>
      </c>
      <c r="B1532" s="1076">
        <v>0.2291</v>
      </c>
      <c r="C1532" s="1076">
        <v>8.16</v>
      </c>
      <c r="D1532" s="633">
        <v>9</v>
      </c>
      <c r="E1532" s="1076">
        <v>0.28499999999999998</v>
      </c>
      <c r="F1532" s="1076">
        <v>0.223</v>
      </c>
      <c r="G1532" s="1076">
        <v>0.223</v>
      </c>
      <c r="H1532" s="1076">
        <v>8.4000000000000005E-2</v>
      </c>
      <c r="I1532" s="1374"/>
      <c r="J1532" s="1374"/>
      <c r="K1532" s="1374"/>
      <c r="L1532" s="1374"/>
      <c r="M1532" s="1439"/>
    </row>
    <row r="1533" spans="1:13" x14ac:dyDescent="0.3">
      <c r="A1533" s="970">
        <v>42370</v>
      </c>
      <c r="B1533" s="1076">
        <v>0.2291</v>
      </c>
      <c r="C1533" s="1076">
        <v>5.31</v>
      </c>
      <c r="D1533" s="633">
        <v>5.42</v>
      </c>
      <c r="E1533" s="1076">
        <v>0.28499999999999998</v>
      </c>
      <c r="F1533" s="1076">
        <v>0.223</v>
      </c>
      <c r="G1533" s="1076">
        <v>0.223</v>
      </c>
      <c r="H1533" s="1076">
        <v>8.4000000000000005E-2</v>
      </c>
      <c r="I1533" s="1374"/>
      <c r="J1533" s="1374"/>
      <c r="K1533" s="1374"/>
      <c r="L1533" s="1374"/>
      <c r="M1533" s="1439"/>
    </row>
    <row r="1534" spans="1:13" x14ac:dyDescent="0.3">
      <c r="A1534" s="970">
        <v>42401</v>
      </c>
      <c r="B1534" s="1076">
        <v>0.2291</v>
      </c>
      <c r="C1534" s="1076">
        <v>5.31</v>
      </c>
      <c r="D1534" s="633">
        <v>5.42</v>
      </c>
      <c r="E1534" s="1076">
        <v>0.28499999999999998</v>
      </c>
      <c r="F1534" s="1076">
        <v>0.223</v>
      </c>
      <c r="G1534" s="1076">
        <v>0.223</v>
      </c>
      <c r="H1534" s="1076">
        <v>8.4000000000000005E-2</v>
      </c>
      <c r="I1534" s="1374"/>
      <c r="J1534" s="1374"/>
      <c r="K1534" s="1374"/>
      <c r="L1534" s="1374"/>
      <c r="M1534" s="1439"/>
    </row>
    <row r="1535" spans="1:13" x14ac:dyDescent="0.3">
      <c r="A1535" s="970">
        <v>42430</v>
      </c>
      <c r="B1535" s="1076">
        <v>0.2291</v>
      </c>
      <c r="C1535" s="1076">
        <v>5.31</v>
      </c>
      <c r="D1535" s="633">
        <v>5.42</v>
      </c>
      <c r="E1535" s="1076">
        <v>0.28499999999999998</v>
      </c>
      <c r="F1535" s="1076">
        <v>0.223</v>
      </c>
      <c r="G1535" s="1076">
        <v>0.223</v>
      </c>
      <c r="H1535" s="1076">
        <v>8.4000000000000005E-2</v>
      </c>
      <c r="I1535" s="1374"/>
      <c r="J1535" s="1374"/>
      <c r="K1535" s="1374"/>
      <c r="L1535" s="1374"/>
      <c r="M1535" s="1439"/>
    </row>
    <row r="1536" spans="1:13" x14ac:dyDescent="0.3">
      <c r="A1536" s="970">
        <v>42461</v>
      </c>
      <c r="B1536" s="1076">
        <v>0.2291</v>
      </c>
      <c r="C1536" s="1076">
        <v>5.28</v>
      </c>
      <c r="D1536" s="633">
        <v>5.39</v>
      </c>
      <c r="E1536" s="1076">
        <v>0.35199999999999998</v>
      </c>
      <c r="F1536" s="1076">
        <v>0.249</v>
      </c>
      <c r="G1536" s="1076">
        <v>0.249</v>
      </c>
      <c r="H1536" s="1076">
        <v>8.4000000000000005E-2</v>
      </c>
      <c r="I1536" s="1374"/>
      <c r="J1536" s="1374"/>
      <c r="K1536" s="1374"/>
      <c r="L1536" s="1374"/>
      <c r="M1536" s="1439"/>
    </row>
    <row r="1537" spans="1:13" x14ac:dyDescent="0.3">
      <c r="A1537" s="970">
        <v>42491</v>
      </c>
      <c r="B1537" s="1076">
        <v>0.2291</v>
      </c>
      <c r="C1537" s="1076">
        <v>5.28</v>
      </c>
      <c r="D1537" s="633">
        <v>5.39</v>
      </c>
      <c r="E1537" s="1076">
        <v>0.35199999999999998</v>
      </c>
      <c r="F1537" s="1076">
        <v>0.249</v>
      </c>
      <c r="G1537" s="1076">
        <v>0.249</v>
      </c>
      <c r="H1537" s="1076">
        <v>8.4000000000000005E-2</v>
      </c>
      <c r="I1537" s="1374"/>
      <c r="J1537" s="1374"/>
      <c r="K1537" s="1374"/>
      <c r="L1537" s="1374"/>
      <c r="M1537" s="1439"/>
    </row>
    <row r="1538" spans="1:13" x14ac:dyDescent="0.3">
      <c r="A1538" s="970">
        <v>42522</v>
      </c>
      <c r="B1538" s="1076">
        <v>0.2291</v>
      </c>
      <c r="C1538" s="1076">
        <v>5.28</v>
      </c>
      <c r="D1538" s="633">
        <v>5.39</v>
      </c>
      <c r="E1538" s="1076">
        <v>0.35199999999999998</v>
      </c>
      <c r="F1538" s="1076">
        <v>0.249</v>
      </c>
      <c r="G1538" s="1076">
        <v>0.249</v>
      </c>
      <c r="H1538" s="1076">
        <v>8.4000000000000005E-2</v>
      </c>
      <c r="I1538" s="1374"/>
      <c r="J1538" s="1374"/>
      <c r="K1538" s="1374"/>
      <c r="L1538" s="1374"/>
      <c r="M1538" s="1439"/>
    </row>
    <row r="1539" spans="1:13" x14ac:dyDescent="0.3">
      <c r="A1539" s="970">
        <v>42552</v>
      </c>
      <c r="B1539" s="1076">
        <v>0.2291</v>
      </c>
      <c r="C1539" s="1076">
        <v>5.25</v>
      </c>
      <c r="D1539" s="633">
        <v>5.36</v>
      </c>
      <c r="E1539" s="1076">
        <v>0.35199999999999998</v>
      </c>
      <c r="F1539" s="1076">
        <v>0.249</v>
      </c>
      <c r="G1539" s="1076">
        <v>0.249</v>
      </c>
      <c r="H1539" s="1076">
        <v>8.4000000000000005E-2</v>
      </c>
      <c r="I1539" s="1374"/>
      <c r="J1539" s="1374"/>
      <c r="K1539" s="1374"/>
      <c r="L1539" s="1374"/>
      <c r="M1539" s="1439"/>
    </row>
    <row r="1540" spans="1:13" x14ac:dyDescent="0.3">
      <c r="A1540" s="970">
        <v>42583</v>
      </c>
      <c r="B1540" s="1076">
        <v>0.2291</v>
      </c>
      <c r="C1540" s="1076">
        <v>5.25</v>
      </c>
      <c r="D1540" s="633">
        <v>5.36</v>
      </c>
      <c r="E1540" s="1076">
        <v>0.35199999999999998</v>
      </c>
      <c r="F1540" s="1076">
        <v>0.249</v>
      </c>
      <c r="G1540" s="1076">
        <v>0.249</v>
      </c>
      <c r="H1540" s="1076">
        <v>8.4000000000000005E-2</v>
      </c>
      <c r="I1540" s="1374"/>
      <c r="J1540" s="1374"/>
      <c r="K1540" s="1374"/>
      <c r="L1540" s="1374"/>
      <c r="M1540" s="1439"/>
    </row>
    <row r="1541" spans="1:13" x14ac:dyDescent="0.3">
      <c r="A1541" s="970">
        <v>42614</v>
      </c>
      <c r="B1541" s="1076">
        <v>0.2291</v>
      </c>
      <c r="C1541" s="1076">
        <v>5.25</v>
      </c>
      <c r="D1541" s="633">
        <v>5.36</v>
      </c>
      <c r="E1541" s="1076">
        <v>0.35199999999999998</v>
      </c>
      <c r="F1541" s="1076">
        <v>0.249</v>
      </c>
      <c r="G1541" s="1076">
        <v>0.249</v>
      </c>
      <c r="H1541" s="1076">
        <v>8.4000000000000005E-2</v>
      </c>
      <c r="I1541" s="1374"/>
      <c r="J1541" s="1374"/>
      <c r="K1541" s="1374"/>
      <c r="L1541" s="1374"/>
      <c r="M1541" s="1439"/>
    </row>
    <row r="1542" spans="1:13" x14ac:dyDescent="0.3">
      <c r="A1542" s="970">
        <v>42644</v>
      </c>
      <c r="B1542" s="1076">
        <v>0.2291</v>
      </c>
      <c r="C1542" s="1076">
        <v>5.4</v>
      </c>
      <c r="D1542" s="633">
        <v>5.51</v>
      </c>
      <c r="E1542" s="1076">
        <v>0.35199999999999998</v>
      </c>
      <c r="F1542" s="1076">
        <v>0.249</v>
      </c>
      <c r="G1542" s="1076">
        <v>0.249</v>
      </c>
      <c r="H1542" s="1076">
        <v>8.4000000000000005E-2</v>
      </c>
      <c r="I1542" s="1374"/>
      <c r="J1542" s="1374"/>
      <c r="K1542" s="1374"/>
      <c r="L1542" s="1374"/>
      <c r="M1542" s="1439"/>
    </row>
    <row r="1543" spans="1:13" x14ac:dyDescent="0.3">
      <c r="A1543" s="970">
        <v>42675</v>
      </c>
      <c r="B1543" s="1076">
        <v>0.2064</v>
      </c>
      <c r="C1543" s="1076">
        <v>5.4</v>
      </c>
      <c r="D1543" s="633">
        <v>5.51</v>
      </c>
      <c r="E1543" s="1076">
        <v>0.35199999999999998</v>
      </c>
      <c r="F1543" s="1076">
        <v>0.249</v>
      </c>
      <c r="G1543" s="1076">
        <v>0.249</v>
      </c>
      <c r="H1543" s="1076">
        <v>8.4000000000000005E-2</v>
      </c>
      <c r="I1543" s="1374"/>
      <c r="J1543" s="1374"/>
      <c r="K1543" s="1374"/>
      <c r="L1543" s="1374"/>
      <c r="M1543" s="1439"/>
    </row>
    <row r="1544" spans="1:13" x14ac:dyDescent="0.3">
      <c r="A1544" s="970">
        <v>42705</v>
      </c>
      <c r="B1544" s="1076">
        <v>0.2064</v>
      </c>
      <c r="C1544" s="1076">
        <v>5.4</v>
      </c>
      <c r="D1544" s="633">
        <v>5.51</v>
      </c>
      <c r="E1544" s="1076">
        <v>0.35199999999999998</v>
      </c>
      <c r="F1544" s="1076">
        <v>0.249</v>
      </c>
      <c r="G1544" s="1076">
        <v>0.249</v>
      </c>
      <c r="H1544" s="1076">
        <v>8.4000000000000005E-2</v>
      </c>
      <c r="I1544" s="1374"/>
      <c r="J1544" s="1374"/>
      <c r="K1544" s="1374"/>
      <c r="L1544" s="1374"/>
      <c r="M1544" s="1439"/>
    </row>
    <row r="1545" spans="1:13" x14ac:dyDescent="0.3">
      <c r="A1545" s="970">
        <v>42736</v>
      </c>
      <c r="B1545" s="1076">
        <v>0.2064</v>
      </c>
      <c r="C1545" s="1076">
        <v>5.4</v>
      </c>
      <c r="D1545" s="633">
        <v>5.51</v>
      </c>
      <c r="E1545" s="1076">
        <v>0.35199999999999998</v>
      </c>
      <c r="F1545" s="1076">
        <v>0.249</v>
      </c>
      <c r="G1545" s="1076">
        <v>0.249</v>
      </c>
      <c r="H1545" s="1076">
        <v>8.2000000000000003E-2</v>
      </c>
      <c r="I1545" s="1374"/>
      <c r="J1545" s="1374"/>
      <c r="K1545" s="1374"/>
      <c r="L1545" s="1374"/>
      <c r="M1545" s="1439"/>
    </row>
    <row r="1546" spans="1:13" x14ac:dyDescent="0.3">
      <c r="A1546" s="970">
        <v>42767</v>
      </c>
      <c r="B1546" s="1076">
        <v>0.2064</v>
      </c>
      <c r="C1546" s="1076">
        <v>5.4</v>
      </c>
      <c r="D1546" s="633">
        <v>5.51</v>
      </c>
      <c r="E1546" s="1076">
        <v>0.35199999999999998</v>
      </c>
      <c r="F1546" s="1076">
        <v>0.249</v>
      </c>
      <c r="G1546" s="1076">
        <v>0.249</v>
      </c>
      <c r="H1546" s="1076">
        <v>8.2000000000000003E-2</v>
      </c>
      <c r="I1546" s="1374"/>
      <c r="J1546" s="1374"/>
      <c r="K1546" s="1374"/>
      <c r="L1546" s="1374"/>
      <c r="M1546" s="1439"/>
    </row>
    <row r="1547" spans="1:13" x14ac:dyDescent="0.3">
      <c r="A1547" s="970">
        <v>42795</v>
      </c>
      <c r="B1547" s="1076">
        <v>0.2064</v>
      </c>
      <c r="C1547" s="1076">
        <v>5.4</v>
      </c>
      <c r="D1547" s="633">
        <v>5.51</v>
      </c>
      <c r="E1547" s="1076">
        <v>0.35199999999999998</v>
      </c>
      <c r="F1547" s="1076">
        <v>0.249</v>
      </c>
      <c r="G1547" s="1076">
        <v>0.249</v>
      </c>
      <c r="H1547" s="1076">
        <v>8.2000000000000003E-2</v>
      </c>
      <c r="I1547" s="1374"/>
      <c r="J1547" s="1374"/>
      <c r="K1547" s="1374"/>
      <c r="L1547" s="1374"/>
      <c r="M1547" s="1439"/>
    </row>
    <row r="1548" spans="1:13" x14ac:dyDescent="0.3">
      <c r="A1548" s="970">
        <v>42826</v>
      </c>
      <c r="B1548" s="1076">
        <v>0.2064</v>
      </c>
      <c r="C1548" s="1076">
        <v>5.4</v>
      </c>
      <c r="D1548" s="633">
        <v>5.51</v>
      </c>
      <c r="E1548" s="1076">
        <v>0.35199999999999998</v>
      </c>
      <c r="F1548" s="1076">
        <v>0.249</v>
      </c>
      <c r="G1548" s="1076">
        <v>0.249</v>
      </c>
      <c r="H1548" s="1076">
        <v>8.2000000000000003E-2</v>
      </c>
      <c r="I1548" s="1374"/>
      <c r="J1548" s="1374"/>
      <c r="K1548" s="1374"/>
      <c r="L1548" s="1374"/>
      <c r="M1548" s="1439"/>
    </row>
    <row r="1549" spans="1:13" x14ac:dyDescent="0.3">
      <c r="A1549" s="970">
        <v>42856</v>
      </c>
      <c r="B1549" s="1076">
        <v>0.2064</v>
      </c>
      <c r="C1549" s="1076">
        <v>5.4</v>
      </c>
      <c r="D1549" s="633">
        <v>5.51</v>
      </c>
      <c r="E1549" s="1076">
        <v>0.35199999999999998</v>
      </c>
      <c r="F1549" s="1076">
        <v>0.249</v>
      </c>
      <c r="G1549" s="1076">
        <v>0.249</v>
      </c>
      <c r="H1549" s="1076">
        <v>8.2000000000000003E-2</v>
      </c>
      <c r="I1549" s="1374"/>
      <c r="J1549" s="1374"/>
      <c r="K1549" s="1374"/>
      <c r="L1549" s="1374"/>
      <c r="M1549" s="1439"/>
    </row>
    <row r="1550" spans="1:13" x14ac:dyDescent="0.3">
      <c r="A1550" s="970">
        <v>42887</v>
      </c>
      <c r="B1550" s="1076">
        <v>0.2064</v>
      </c>
      <c r="C1550" s="1076">
        <v>5.4</v>
      </c>
      <c r="D1550" s="633">
        <v>5.51</v>
      </c>
      <c r="E1550" s="1076">
        <v>0.35199999999999998</v>
      </c>
      <c r="F1550" s="1076">
        <v>0.249</v>
      </c>
      <c r="G1550" s="1076">
        <v>0.249</v>
      </c>
      <c r="H1550" s="1076">
        <v>8.2000000000000003E-2</v>
      </c>
      <c r="I1550" s="1374"/>
      <c r="J1550" s="1374"/>
      <c r="K1550" s="1374"/>
      <c r="L1550" s="1374"/>
      <c r="M1550" s="1439"/>
    </row>
    <row r="1551" spans="1:13" x14ac:dyDescent="0.3">
      <c r="A1551" s="970">
        <v>42917</v>
      </c>
      <c r="B1551" s="1076">
        <v>0.2064</v>
      </c>
      <c r="C1551" s="1076">
        <v>5.4</v>
      </c>
      <c r="D1551" s="633">
        <v>5.51</v>
      </c>
      <c r="E1551" s="1076">
        <v>0.35199999999999998</v>
      </c>
      <c r="F1551" s="1076">
        <v>0.249</v>
      </c>
      <c r="G1551" s="1076">
        <v>0.249</v>
      </c>
      <c r="H1551" s="1076">
        <v>8.2000000000000003E-2</v>
      </c>
      <c r="I1551" s="1374"/>
      <c r="J1551" s="1374"/>
      <c r="K1551" s="1374"/>
      <c r="L1551" s="1374"/>
      <c r="M1551" s="1439"/>
    </row>
    <row r="1552" spans="1:13" x14ac:dyDescent="0.3">
      <c r="A1552" s="970">
        <v>42948</v>
      </c>
      <c r="B1552" s="1076">
        <v>0.2064</v>
      </c>
      <c r="C1552" s="1076">
        <v>5.4</v>
      </c>
      <c r="D1552" s="633">
        <v>5.51</v>
      </c>
      <c r="E1552" s="1076">
        <v>0.35199999999999998</v>
      </c>
      <c r="F1552" s="1076">
        <v>0.249</v>
      </c>
      <c r="G1552" s="1076">
        <v>0.249</v>
      </c>
      <c r="H1552" s="1076">
        <v>8.2000000000000003E-2</v>
      </c>
      <c r="I1552" s="1374"/>
      <c r="J1552" s="1374"/>
      <c r="K1552" s="1374"/>
      <c r="L1552" s="1374"/>
      <c r="M1552" s="1439"/>
    </row>
    <row r="1553" spans="1:13" x14ac:dyDescent="0.3">
      <c r="A1553" s="970">
        <v>42979</v>
      </c>
      <c r="B1553" s="1076">
        <v>0.2064</v>
      </c>
      <c r="C1553" s="1076">
        <v>5.2</v>
      </c>
      <c r="D1553" s="633">
        <v>5.35</v>
      </c>
      <c r="E1553" s="1076">
        <v>0.35199999999999998</v>
      </c>
      <c r="F1553" s="1076">
        <v>0.249</v>
      </c>
      <c r="G1553" s="1076">
        <v>0.249</v>
      </c>
      <c r="H1553" s="1076">
        <v>8.2000000000000003E-2</v>
      </c>
      <c r="I1553" s="1374"/>
      <c r="J1553" s="1374"/>
      <c r="K1553" s="1374"/>
      <c r="L1553" s="1374"/>
      <c r="M1553" s="1439"/>
    </row>
    <row r="1554" spans="1:13" x14ac:dyDescent="0.3">
      <c r="A1554" s="970">
        <v>43009</v>
      </c>
      <c r="B1554" s="1076">
        <v>0.2064</v>
      </c>
      <c r="C1554" s="1076">
        <v>5.2</v>
      </c>
      <c r="D1554" s="633">
        <v>5.35</v>
      </c>
      <c r="E1554" s="1076">
        <v>0.35199999999999998</v>
      </c>
      <c r="F1554" s="1076">
        <v>0.249</v>
      </c>
      <c r="G1554" s="1076">
        <v>0.249</v>
      </c>
      <c r="H1554" s="1076">
        <v>8.2000000000000003E-2</v>
      </c>
      <c r="I1554" s="1374"/>
      <c r="J1554" s="1374"/>
      <c r="K1554" s="1374"/>
      <c r="L1554" s="1374"/>
      <c r="M1554" s="1439"/>
    </row>
    <row r="1555" spans="1:13" x14ac:dyDescent="0.3">
      <c r="A1555" s="970">
        <v>43040</v>
      </c>
      <c r="B1555" s="1076">
        <v>0.2064</v>
      </c>
      <c r="C1555" s="1076">
        <v>5.2</v>
      </c>
      <c r="D1555" s="633">
        <v>5.35</v>
      </c>
      <c r="E1555" s="1076">
        <v>0.35199999999999998</v>
      </c>
      <c r="F1555" s="1076">
        <v>0.249</v>
      </c>
      <c r="G1555" s="1076">
        <v>0.249</v>
      </c>
      <c r="H1555" s="1076">
        <v>8.2000000000000003E-2</v>
      </c>
      <c r="I1555" s="1374"/>
      <c r="J1555" s="1374"/>
      <c r="K1555" s="1374"/>
      <c r="L1555" s="1374"/>
      <c r="M1555" s="1439"/>
    </row>
    <row r="1556" spans="1:13" x14ac:dyDescent="0.3">
      <c r="A1556" s="970">
        <v>43070</v>
      </c>
      <c r="B1556" s="1076">
        <v>0.2064</v>
      </c>
      <c r="C1556" s="1076">
        <v>5.2</v>
      </c>
      <c r="D1556" s="633">
        <v>5.35</v>
      </c>
      <c r="E1556" s="1076">
        <v>0.35199999999999998</v>
      </c>
      <c r="F1556" s="1076">
        <v>0.249</v>
      </c>
      <c r="G1556" s="1076">
        <v>0.249</v>
      </c>
      <c r="H1556" s="1076">
        <v>8.2000000000000003E-2</v>
      </c>
      <c r="I1556" s="1374"/>
      <c r="J1556" s="1374"/>
      <c r="K1556" s="1374"/>
      <c r="L1556" s="1374"/>
      <c r="M1556" s="1439"/>
    </row>
    <row r="1557" spans="1:13" x14ac:dyDescent="0.3">
      <c r="A1557" s="970">
        <v>43101</v>
      </c>
      <c r="B1557" s="1076">
        <v>0.2064</v>
      </c>
      <c r="C1557" s="1076">
        <v>5.36</v>
      </c>
      <c r="D1557" s="633">
        <v>5.46</v>
      </c>
      <c r="E1557" s="1076">
        <v>0.35199999999999998</v>
      </c>
      <c r="F1557" s="1076">
        <v>0.249</v>
      </c>
      <c r="G1557" s="1076">
        <v>0.249</v>
      </c>
      <c r="H1557" s="1076">
        <v>8.2000000000000003E-2</v>
      </c>
      <c r="I1557" s="1374"/>
      <c r="J1557" s="1374"/>
      <c r="K1557" s="1374"/>
      <c r="L1557" s="1374"/>
      <c r="M1557" s="1439"/>
    </row>
    <row r="1558" spans="1:13" x14ac:dyDescent="0.3">
      <c r="A1558" s="970">
        <v>43132</v>
      </c>
      <c r="B1558" s="1076">
        <v>0.2064</v>
      </c>
      <c r="C1558" s="1076">
        <v>5.36</v>
      </c>
      <c r="D1558" s="633">
        <v>5.46</v>
      </c>
      <c r="E1558" s="1076">
        <v>0.35199999999999998</v>
      </c>
      <c r="F1558" s="1076">
        <v>0.249</v>
      </c>
      <c r="G1558" s="1076">
        <v>0.249</v>
      </c>
      <c r="H1558" s="1076">
        <v>8.2000000000000003E-2</v>
      </c>
      <c r="I1558" s="1374"/>
      <c r="J1558" s="1374"/>
      <c r="K1558" s="1374"/>
      <c r="L1558" s="1374"/>
      <c r="M1558" s="1439"/>
    </row>
    <row r="1559" spans="1:13" x14ac:dyDescent="0.3">
      <c r="A1559" s="970">
        <v>43160</v>
      </c>
      <c r="B1559" s="1076">
        <v>0.2064</v>
      </c>
      <c r="C1559" s="1076">
        <v>5.36</v>
      </c>
      <c r="D1559" s="633">
        <v>5.46</v>
      </c>
      <c r="E1559" s="1076">
        <v>0.35199999999999998</v>
      </c>
      <c r="F1559" s="1076">
        <v>0.249</v>
      </c>
      <c r="G1559" s="1076">
        <v>0.249</v>
      </c>
      <c r="H1559" s="1076">
        <v>8.2000000000000003E-2</v>
      </c>
      <c r="I1559" s="1374"/>
      <c r="J1559" s="1374"/>
      <c r="K1559" s="1374"/>
      <c r="L1559" s="1374"/>
      <c r="M1559" s="1439"/>
    </row>
    <row r="1560" spans="1:13" x14ac:dyDescent="0.3">
      <c r="A1560" s="970">
        <v>43191</v>
      </c>
      <c r="B1560" s="1076">
        <v>0.2064</v>
      </c>
      <c r="C1560" s="1076">
        <v>3.98</v>
      </c>
      <c r="D1560" s="633">
        <v>4.34</v>
      </c>
      <c r="E1560" s="1076">
        <v>0.35199999999999998</v>
      </c>
      <c r="F1560" s="1076">
        <v>0.249</v>
      </c>
      <c r="G1560" s="1076">
        <v>0.249</v>
      </c>
      <c r="H1560" s="1076">
        <v>8.3000000000000004E-2</v>
      </c>
      <c r="I1560" s="1483"/>
      <c r="J1560" s="1483"/>
      <c r="K1560" s="1483"/>
      <c r="L1560" s="1483"/>
      <c r="M1560" s="1493"/>
    </row>
    <row r="1561" spans="1:13" x14ac:dyDescent="0.3">
      <c r="A1561" s="970">
        <v>43221</v>
      </c>
      <c r="B1561" s="1076">
        <v>0.2064</v>
      </c>
      <c r="C1561" s="1076">
        <v>5.36</v>
      </c>
      <c r="D1561" s="633">
        <v>5.46</v>
      </c>
      <c r="E1561" s="1076">
        <v>0.35199999999999998</v>
      </c>
      <c r="F1561" s="1076">
        <v>0.249</v>
      </c>
      <c r="G1561" s="1076">
        <v>0.249</v>
      </c>
      <c r="H1561" s="1076">
        <v>8.3000000000000004E-2</v>
      </c>
      <c r="I1561" s="1483"/>
      <c r="J1561" s="1483"/>
      <c r="K1561" s="1483"/>
      <c r="L1561" s="1483"/>
      <c r="M1561" s="1493"/>
    </row>
    <row r="1562" spans="1:13" x14ac:dyDescent="0.3">
      <c r="A1562" s="970">
        <v>43252</v>
      </c>
      <c r="B1562" s="1076">
        <v>0.2064</v>
      </c>
      <c r="C1562" s="1076">
        <v>5.36</v>
      </c>
      <c r="D1562" s="633">
        <v>5.46</v>
      </c>
      <c r="E1562" s="1076">
        <v>0.35199999999999998</v>
      </c>
      <c r="F1562" s="1076">
        <v>0.249</v>
      </c>
      <c r="G1562" s="1076">
        <v>0.249</v>
      </c>
      <c r="H1562" s="1076">
        <v>8.3000000000000004E-2</v>
      </c>
      <c r="I1562" s="1483"/>
      <c r="J1562" s="1483"/>
      <c r="K1562" s="1483"/>
      <c r="L1562" s="1483"/>
      <c r="M1562" s="1493"/>
    </row>
    <row r="1563" spans="1:13" x14ac:dyDescent="0.3">
      <c r="A1563" s="970">
        <v>43282</v>
      </c>
      <c r="B1563" s="1076">
        <v>0.2064</v>
      </c>
      <c r="C1563" s="1076">
        <v>5.36</v>
      </c>
      <c r="D1563" s="633">
        <v>5.46</v>
      </c>
      <c r="E1563" s="1076">
        <v>0.35199999999999998</v>
      </c>
      <c r="F1563" s="1076">
        <v>0.249</v>
      </c>
      <c r="G1563" s="1076">
        <v>0.249</v>
      </c>
      <c r="H1563" s="1076">
        <v>8.3000000000000004E-2</v>
      </c>
      <c r="I1563" s="1514"/>
      <c r="J1563" s="1514"/>
      <c r="K1563" s="1514"/>
      <c r="L1563" s="1514"/>
      <c r="M1563" s="1493"/>
    </row>
    <row r="1564" spans="1:13" x14ac:dyDescent="0.3">
      <c r="A1564" s="970">
        <v>43313</v>
      </c>
      <c r="B1564" s="1076">
        <v>0.2064</v>
      </c>
      <c r="C1564" s="1076">
        <v>5.36</v>
      </c>
      <c r="D1564" s="633">
        <v>5.46</v>
      </c>
      <c r="E1564" s="1076">
        <v>0.35199999999999998</v>
      </c>
      <c r="F1564" s="1076">
        <v>0.249</v>
      </c>
      <c r="G1564" s="1076">
        <v>0.249</v>
      </c>
      <c r="H1564" s="1076">
        <v>8.3000000000000004E-2</v>
      </c>
      <c r="I1564" s="1514"/>
      <c r="J1564" s="1514"/>
      <c r="K1564" s="1514"/>
      <c r="L1564" s="1514"/>
      <c r="M1564" s="1493"/>
    </row>
    <row r="1565" spans="1:13" x14ac:dyDescent="0.3">
      <c r="A1565" s="970">
        <v>43344</v>
      </c>
      <c r="B1565" s="1076">
        <v>0.2064</v>
      </c>
      <c r="C1565" s="1076">
        <v>5.36</v>
      </c>
      <c r="D1565" s="633">
        <v>5.46</v>
      </c>
      <c r="E1565" s="1076">
        <v>0.35199999999999998</v>
      </c>
      <c r="F1565" s="1076">
        <v>0.249</v>
      </c>
      <c r="G1565" s="1076">
        <v>0.249</v>
      </c>
      <c r="H1565" s="1076">
        <v>8.3000000000000004E-2</v>
      </c>
      <c r="I1565" s="1514"/>
      <c r="J1565" s="1514"/>
      <c r="K1565" s="1514"/>
      <c r="L1565" s="1514"/>
      <c r="M1565" s="1493"/>
    </row>
    <row r="1566" spans="1:13" x14ac:dyDescent="0.3">
      <c r="A1566" s="970">
        <v>43374</v>
      </c>
      <c r="B1566" s="1076">
        <v>0.2064</v>
      </c>
      <c r="C1566" s="1076">
        <v>5.36</v>
      </c>
      <c r="D1566" s="633">
        <v>5.46</v>
      </c>
      <c r="E1566" s="1076">
        <v>0.38700000000000001</v>
      </c>
      <c r="F1566" s="1076">
        <v>0.27200000000000002</v>
      </c>
      <c r="G1566" s="1076">
        <v>0.27200000000000002</v>
      </c>
      <c r="H1566" s="1076">
        <v>8.3000000000000004E-2</v>
      </c>
      <c r="I1566" s="1534"/>
      <c r="J1566" s="1534"/>
      <c r="K1566" s="1534"/>
      <c r="L1566" s="1534"/>
      <c r="M1566" s="1493"/>
    </row>
    <row r="1567" spans="1:13" x14ac:dyDescent="0.3">
      <c r="A1567" s="970">
        <v>43405</v>
      </c>
      <c r="B1567" s="1076">
        <v>0.2064</v>
      </c>
      <c r="C1567" s="1076">
        <v>5.36</v>
      </c>
      <c r="D1567" s="633">
        <v>5.46</v>
      </c>
      <c r="E1567" s="1076">
        <v>0.38700000000000001</v>
      </c>
      <c r="F1567" s="1076">
        <v>0.27200000000000002</v>
      </c>
      <c r="G1567" s="1076">
        <v>0.27200000000000002</v>
      </c>
      <c r="H1567" s="1076">
        <v>8.3000000000000004E-2</v>
      </c>
      <c r="I1567" s="1534"/>
      <c r="J1567" s="1534"/>
      <c r="K1567" s="1534"/>
      <c r="L1567" s="1534"/>
      <c r="M1567" s="1493"/>
    </row>
    <row r="1568" spans="1:13" x14ac:dyDescent="0.3">
      <c r="A1568" s="970">
        <v>43435</v>
      </c>
      <c r="B1568" s="1076">
        <v>0.2064</v>
      </c>
      <c r="C1568" s="1076">
        <v>5.36</v>
      </c>
      <c r="D1568" s="633">
        <v>5.46</v>
      </c>
      <c r="E1568" s="1076">
        <v>0.38700000000000001</v>
      </c>
      <c r="F1568" s="1076">
        <v>0.27200000000000002</v>
      </c>
      <c r="G1568" s="1076">
        <v>0.27200000000000002</v>
      </c>
      <c r="H1568" s="1076">
        <v>8.3000000000000004E-2</v>
      </c>
      <c r="I1568" s="1534"/>
      <c r="J1568" s="1534"/>
      <c r="K1568" s="1534"/>
      <c r="L1568" s="1534"/>
      <c r="M1568" s="1493"/>
    </row>
    <row r="1569" spans="1:13" x14ac:dyDescent="0.3">
      <c r="A1569" s="634">
        <v>43466</v>
      </c>
      <c r="B1569" s="1076">
        <v>0.2064</v>
      </c>
      <c r="C1569" s="1076">
        <v>5.36</v>
      </c>
      <c r="D1569" s="633">
        <v>5.46</v>
      </c>
      <c r="E1569" s="1076">
        <v>0.38700000000000001</v>
      </c>
      <c r="F1569" s="1076">
        <v>0.27200000000000002</v>
      </c>
      <c r="G1569" s="1076">
        <v>0.27200000000000002</v>
      </c>
      <c r="H1569" s="1076">
        <v>8.3000000000000004E-2</v>
      </c>
      <c r="I1569" s="1579"/>
      <c r="J1569" s="1579"/>
      <c r="K1569" s="1579"/>
      <c r="L1569" s="1579"/>
      <c r="M1569" s="1493"/>
    </row>
    <row r="1570" spans="1:13" x14ac:dyDescent="0.3">
      <c r="A1570" s="634">
        <v>43497</v>
      </c>
      <c r="B1570" s="1076">
        <v>0.2064</v>
      </c>
      <c r="C1570" s="1076">
        <v>5.36</v>
      </c>
      <c r="D1570" s="633">
        <v>5.46</v>
      </c>
      <c r="E1570" s="1076">
        <v>0.38700000000000001</v>
      </c>
      <c r="F1570" s="1076">
        <v>0.27200000000000002</v>
      </c>
      <c r="G1570" s="1076">
        <v>0.27200000000000002</v>
      </c>
      <c r="H1570" s="1076">
        <v>8.3000000000000004E-2</v>
      </c>
      <c r="I1570" s="1579"/>
      <c r="J1570" s="1579"/>
      <c r="K1570" s="1579"/>
      <c r="L1570" s="1579"/>
      <c r="M1570" s="1493"/>
    </row>
    <row r="1571" spans="1:13" x14ac:dyDescent="0.3">
      <c r="A1571" s="634">
        <v>43525</v>
      </c>
      <c r="B1571" s="1076">
        <v>0.2064</v>
      </c>
      <c r="C1571" s="1076">
        <v>5.36</v>
      </c>
      <c r="D1571" s="633">
        <v>5.46</v>
      </c>
      <c r="E1571" s="1076">
        <v>0.38700000000000001</v>
      </c>
      <c r="F1571" s="1076">
        <v>0.27200000000000002</v>
      </c>
      <c r="G1571" s="1076">
        <v>0.27200000000000002</v>
      </c>
      <c r="H1571" s="1076">
        <v>8.3000000000000004E-2</v>
      </c>
      <c r="I1571" s="1579"/>
      <c r="J1571" s="1579"/>
      <c r="K1571" s="1579"/>
      <c r="L1571" s="1579"/>
      <c r="M1571" s="1493"/>
    </row>
    <row r="1572" spans="1:13" x14ac:dyDescent="0.3">
      <c r="A1572" s="970">
        <v>43556</v>
      </c>
      <c r="B1572" s="1273">
        <v>0.2064</v>
      </c>
      <c r="C1572" s="1273">
        <v>5.36</v>
      </c>
      <c r="D1572" s="1268">
        <v>5.46</v>
      </c>
      <c r="E1572" s="1273">
        <v>0.38700000000000001</v>
      </c>
      <c r="F1572" s="1273">
        <v>0.27200000000000002</v>
      </c>
      <c r="G1572" s="1273">
        <v>0.27200000000000002</v>
      </c>
      <c r="H1572" s="1273">
        <v>8.3000000000000004E-2</v>
      </c>
      <c r="I1572" s="1609"/>
      <c r="J1572" s="1609"/>
      <c r="K1572" s="1609"/>
      <c r="L1572" s="1609"/>
      <c r="M1572" s="1493"/>
    </row>
    <row r="1573" spans="1:13" x14ac:dyDescent="0.3">
      <c r="A1573" s="970">
        <v>43586</v>
      </c>
      <c r="B1573" s="1273">
        <v>0.2064</v>
      </c>
      <c r="C1573" s="1273">
        <v>5.36</v>
      </c>
      <c r="D1573" s="1268">
        <v>5.46</v>
      </c>
      <c r="E1573" s="1273">
        <v>0.38700000000000001</v>
      </c>
      <c r="F1573" s="1273">
        <v>0.27200000000000002</v>
      </c>
      <c r="G1573" s="1273">
        <v>0.27200000000000002</v>
      </c>
      <c r="H1573" s="1273">
        <v>8.3000000000000004E-2</v>
      </c>
      <c r="I1573" s="1609"/>
      <c r="J1573" s="1609"/>
      <c r="K1573" s="1609"/>
      <c r="L1573" s="1609"/>
      <c r="M1573" s="1493"/>
    </row>
    <row r="1574" spans="1:13" x14ac:dyDescent="0.3">
      <c r="A1574" s="970">
        <v>43617</v>
      </c>
      <c r="B1574" s="1273">
        <v>0.2064</v>
      </c>
      <c r="C1574" s="1273">
        <v>5.36</v>
      </c>
      <c r="D1574" s="1268">
        <v>5.46</v>
      </c>
      <c r="E1574" s="1273">
        <v>0.38700000000000001</v>
      </c>
      <c r="F1574" s="1273">
        <v>0.27200000000000002</v>
      </c>
      <c r="G1574" s="1273">
        <v>0.27200000000000002</v>
      </c>
      <c r="H1574" s="1273">
        <v>8.3000000000000004E-2</v>
      </c>
      <c r="I1574" s="1609"/>
      <c r="J1574" s="1609"/>
      <c r="K1574" s="1609"/>
      <c r="L1574" s="1609"/>
      <c r="M1574" s="1493"/>
    </row>
    <row r="1575" spans="1:13" x14ac:dyDescent="0.3">
      <c r="A1575" s="1373"/>
      <c r="B1575" s="1374"/>
      <c r="C1575" s="1374"/>
      <c r="D1575" s="1374"/>
      <c r="E1575" s="1374"/>
      <c r="F1575" s="1374"/>
      <c r="G1575" s="1374"/>
      <c r="H1575" s="1374"/>
      <c r="I1575" s="1374"/>
      <c r="J1575" s="1374"/>
      <c r="K1575" s="1374"/>
      <c r="L1575" s="1374"/>
      <c r="M1575" s="1439"/>
    </row>
    <row r="1576" spans="1:13" ht="14.5" thickBot="1" x14ac:dyDescent="0.35">
      <c r="A1576" s="1386"/>
      <c r="B1576" s="1378"/>
      <c r="C1576" s="1378"/>
      <c r="D1576" s="1378"/>
      <c r="E1576" s="1378"/>
      <c r="F1576" s="1378"/>
      <c r="G1576" s="1378"/>
      <c r="H1576" s="1378"/>
      <c r="I1576" s="1378"/>
      <c r="J1576" s="1378"/>
      <c r="K1576" s="1378"/>
      <c r="L1576" s="1378"/>
      <c r="M1576" s="1440"/>
    </row>
  </sheetData>
  <mergeCells count="200">
    <mergeCell ref="G1189:I1189"/>
    <mergeCell ref="A1174:E1174"/>
    <mergeCell ref="D43:E43"/>
    <mergeCell ref="D28:E28"/>
    <mergeCell ref="D29:E29"/>
    <mergeCell ref="D30:E30"/>
    <mergeCell ref="D31:E31"/>
    <mergeCell ref="D32:E32"/>
    <mergeCell ref="D33:E33"/>
    <mergeCell ref="D34:E34"/>
    <mergeCell ref="D35:E35"/>
    <mergeCell ref="D36:E36"/>
    <mergeCell ref="B202:X202"/>
    <mergeCell ref="K674:M675"/>
    <mergeCell ref="A671:M672"/>
    <mergeCell ref="A384:AL385"/>
    <mergeCell ref="A805:E807"/>
    <mergeCell ref="A233:Q234"/>
    <mergeCell ref="A228:D230"/>
    <mergeCell ref="A507:E507"/>
    <mergeCell ref="A520:E520"/>
    <mergeCell ref="A267:D267"/>
    <mergeCell ref="A490:F490"/>
    <mergeCell ref="A52:E53"/>
    <mergeCell ref="D27:E27"/>
    <mergeCell ref="D37:E37"/>
    <mergeCell ref="D38:E38"/>
    <mergeCell ref="D39:E39"/>
    <mergeCell ref="D40:E40"/>
    <mergeCell ref="D41:E41"/>
    <mergeCell ref="A26:C26"/>
    <mergeCell ref="A27:C27"/>
    <mergeCell ref="A28:C28"/>
    <mergeCell ref="A29:C29"/>
    <mergeCell ref="A30:C30"/>
    <mergeCell ref="A31:C31"/>
    <mergeCell ref="A32:C32"/>
    <mergeCell ref="A33:C33"/>
    <mergeCell ref="A34:C34"/>
    <mergeCell ref="A35:C35"/>
    <mergeCell ref="A36:C36"/>
    <mergeCell ref="D26:E26"/>
    <mergeCell ref="A159:D160"/>
    <mergeCell ref="D25:E25"/>
    <mergeCell ref="D7:E7"/>
    <mergeCell ref="D8:E8"/>
    <mergeCell ref="D9:E9"/>
    <mergeCell ref="D10:E10"/>
    <mergeCell ref="D11:E11"/>
    <mergeCell ref="D12:E12"/>
    <mergeCell ref="D13:E13"/>
    <mergeCell ref="D14:E14"/>
    <mergeCell ref="D15:E15"/>
    <mergeCell ref="D16:E16"/>
    <mergeCell ref="D17:E17"/>
    <mergeCell ref="D18:E18"/>
    <mergeCell ref="D19:E19"/>
    <mergeCell ref="D20:E20"/>
    <mergeCell ref="D21:E21"/>
    <mergeCell ref="D22:E22"/>
    <mergeCell ref="D23:E23"/>
    <mergeCell ref="D24:E24"/>
    <mergeCell ref="A22:C22"/>
    <mergeCell ref="A23:C23"/>
    <mergeCell ref="A40:C40"/>
    <mergeCell ref="A13:C13"/>
    <mergeCell ref="A199:X200"/>
    <mergeCell ref="K277:M277"/>
    <mergeCell ref="A1478:H1480"/>
    <mergeCell ref="A1277:E1277"/>
    <mergeCell ref="A1272:L1274"/>
    <mergeCell ref="G1277:K1277"/>
    <mergeCell ref="A24:C24"/>
    <mergeCell ref="N257:O257"/>
    <mergeCell ref="A41:C41"/>
    <mergeCell ref="A1021:E1023"/>
    <mergeCell ref="O684:R684"/>
    <mergeCell ref="A262:D262"/>
    <mergeCell ref="G262:J262"/>
    <mergeCell ref="G257:J257"/>
    <mergeCell ref="A257:D257"/>
    <mergeCell ref="X673:Z674"/>
    <mergeCell ref="O673:R673"/>
    <mergeCell ref="A387:K388"/>
    <mergeCell ref="M387:W388"/>
    <mergeCell ref="M246:P246"/>
    <mergeCell ref="A246:D246"/>
    <mergeCell ref="G246:J246"/>
    <mergeCell ref="A489:B489"/>
    <mergeCell ref="M236:Q236"/>
    <mergeCell ref="A1:E4"/>
    <mergeCell ref="A47:E49"/>
    <mergeCell ref="A7:C7"/>
    <mergeCell ref="A8:C8"/>
    <mergeCell ref="A14:C14"/>
    <mergeCell ref="A15:C15"/>
    <mergeCell ref="A16:C16"/>
    <mergeCell ref="A17:C17"/>
    <mergeCell ref="A18:C18"/>
    <mergeCell ref="A19:C19"/>
    <mergeCell ref="A20:C20"/>
    <mergeCell ref="A21:C21"/>
    <mergeCell ref="A42:C42"/>
    <mergeCell ref="A43:C43"/>
    <mergeCell ref="A37:C37"/>
    <mergeCell ref="A38:C38"/>
    <mergeCell ref="A39:C39"/>
    <mergeCell ref="A6:E6"/>
    <mergeCell ref="A25:C25"/>
    <mergeCell ref="D42:E42"/>
    <mergeCell ref="A9:C9"/>
    <mergeCell ref="A10:C10"/>
    <mergeCell ref="A11:C11"/>
    <mergeCell ref="A12:C12"/>
    <mergeCell ref="A236:E236"/>
    <mergeCell ref="G236:K236"/>
    <mergeCell ref="A487:B487"/>
    <mergeCell ref="Z277:AB277"/>
    <mergeCell ref="T277:V277"/>
    <mergeCell ref="A216:F218"/>
    <mergeCell ref="A477:F478"/>
    <mergeCell ref="J275:AE276"/>
    <mergeCell ref="A275:H276"/>
    <mergeCell ref="A377:E379"/>
    <mergeCell ref="M477:W478"/>
    <mergeCell ref="Y477:AI478"/>
    <mergeCell ref="N277:P277"/>
    <mergeCell ref="Q277:S277"/>
    <mergeCell ref="W277:Y277"/>
    <mergeCell ref="AC277:AE277"/>
    <mergeCell ref="AG278:AQ278"/>
    <mergeCell ref="A488:B488"/>
    <mergeCell ref="A484:F484"/>
    <mergeCell ref="A486:B486"/>
    <mergeCell ref="A481:B481"/>
    <mergeCell ref="A482:B482"/>
    <mergeCell ref="A480:B480"/>
    <mergeCell ref="A479:F479"/>
    <mergeCell ref="A483:B483"/>
    <mergeCell ref="A485:F485"/>
    <mergeCell ref="N1067:W1068"/>
    <mergeCell ref="O810:Z811"/>
    <mergeCell ref="P812:Z812"/>
    <mergeCell ref="O917:W918"/>
    <mergeCell ref="P919:W919"/>
    <mergeCell ref="A909:A910"/>
    <mergeCell ref="P913:Q913"/>
    <mergeCell ref="O914:O915"/>
    <mergeCell ref="P914:Q915"/>
    <mergeCell ref="B908:C908"/>
    <mergeCell ref="A1062:E1064"/>
    <mergeCell ref="P1026:AA1027"/>
    <mergeCell ref="P1029:W1030"/>
    <mergeCell ref="Q1031:W1031"/>
    <mergeCell ref="P1048:W1048"/>
    <mergeCell ref="A1026:N1027"/>
    <mergeCell ref="A1044:H1044"/>
    <mergeCell ref="B1031:H1031"/>
    <mergeCell ref="A1029:H1030"/>
    <mergeCell ref="A674:E674"/>
    <mergeCell ref="O671:Z671"/>
    <mergeCell ref="O707:R708"/>
    <mergeCell ref="T673:U674"/>
    <mergeCell ref="A597:C598"/>
    <mergeCell ref="E597:I598"/>
    <mergeCell ref="M569:R570"/>
    <mergeCell ref="A504:G505"/>
    <mergeCell ref="A537:D537"/>
    <mergeCell ref="A595:I596"/>
    <mergeCell ref="A534:D535"/>
    <mergeCell ref="A570:E571"/>
    <mergeCell ref="P597:S598"/>
    <mergeCell ref="L595:S596"/>
    <mergeCell ref="L597:N598"/>
    <mergeCell ref="A589:E591"/>
    <mergeCell ref="A667:E669"/>
    <mergeCell ref="A1380:D1380"/>
    <mergeCell ref="A1375:D1377"/>
    <mergeCell ref="B909:C910"/>
    <mergeCell ref="B919:I919"/>
    <mergeCell ref="A917:I918"/>
    <mergeCell ref="A1169:J1171"/>
    <mergeCell ref="A1067:K1068"/>
    <mergeCell ref="A497:B497"/>
    <mergeCell ref="A491:F491"/>
    <mergeCell ref="A492:B492"/>
    <mergeCell ref="A498:F498"/>
    <mergeCell ref="G674:H675"/>
    <mergeCell ref="A499:B499"/>
    <mergeCell ref="A705:E706"/>
    <mergeCell ref="A810:L811"/>
    <mergeCell ref="B812:L812"/>
    <mergeCell ref="A493:B493"/>
    <mergeCell ref="A494:B494"/>
    <mergeCell ref="A495:B495"/>
    <mergeCell ref="A496:B496"/>
    <mergeCell ref="G1174:K1174"/>
    <mergeCell ref="A573:E573"/>
    <mergeCell ref="A500:B500"/>
    <mergeCell ref="A687:E687"/>
  </mergeCells>
  <conditionalFormatting sqref="A1162:A1166 A1176:A1265">
    <cfRule type="expression" dxfId="5" priority="6">
      <formula>$H$65="No"</formula>
    </cfRule>
  </conditionalFormatting>
  <conditionalFormatting sqref="A1279:A1369">
    <cfRule type="expression" dxfId="4" priority="5">
      <formula>$H$65="No"</formula>
    </cfRule>
  </conditionalFormatting>
  <conditionalFormatting sqref="G1279:G1362 G1366:G1367">
    <cfRule type="expression" dxfId="3" priority="4">
      <formula>$H$65="No"</formula>
    </cfRule>
  </conditionalFormatting>
  <conditionalFormatting sqref="A1382:A1471">
    <cfRule type="expression" dxfId="2" priority="3">
      <formula>$H$65="No"</formula>
    </cfRule>
  </conditionalFormatting>
  <conditionalFormatting sqref="A1485:A1574">
    <cfRule type="expression" dxfId="1" priority="2">
      <formula>$H$65="No"</formula>
    </cfRule>
  </conditionalFormatting>
  <conditionalFormatting sqref="G1363:G1365 G1368">
    <cfRule type="expression" dxfId="0" priority="1">
      <formula>$H$65="No"</formula>
    </cfRule>
  </conditionalFormatting>
  <hyperlinks>
    <hyperlink ref="A7" location="'Misc. Data &amp; Mechanisms'!A14" display="1. Municipality Data"/>
    <hyperlink ref="A8" location="'Misc. Data &amp; Mechanisms'!A19" display="a) Local Access Fee Database"/>
    <hyperlink ref="A9" location="'Misc. Data &amp; Mechanisms'!A90" display="b) City Service Zone Database, by City"/>
    <hyperlink ref="A10" location="'Misc. Data &amp; Mechanisms'!A130" display="'Misc. Data &amp; Mechanisms'!A130"/>
    <hyperlink ref="A11" location="'Misc. Data &amp; Mechanisms'!A147" display="2. Drop Down Options Database"/>
    <hyperlink ref="A12" location="'Misc. Data &amp; Mechanisms'!A167" display="3. Household-Preset RRO &amp; DRT Consumption"/>
    <hyperlink ref="A13" location="'Misc. Data &amp; Mechanisms'!A172" display="3a) Annual Average RROs by Service Zone"/>
    <hyperlink ref="A14" location="'Misc. Data &amp; Mechanisms'!A203" display="3b) My Regulated Bill Preset-Consumption Basket Database"/>
    <hyperlink ref="A15" location="'Misc. Data &amp; Mechanisms'!J203" display="3c) Interjurisdictional Preset-Consumption Basket Database"/>
    <hyperlink ref="A16" location="'Misc. Data &amp; Mechanisms'!AG206" display="3d) Average Monthly RRO &amp; DRT Summary"/>
    <hyperlink ref="A17" location="'Misc. Data &amp; Mechanisms'!A269" display="4. Report Miscellaneous Data and Graphs"/>
    <hyperlink ref="A18" location="'Misc. Data &amp; Mechanisms'!A276" display="4a) Municipality Graphs"/>
    <hyperlink ref="A19" location="'Misc. Data &amp; Mechanisms'!A334" display="4b) Disaggregation of Relative Differences in Total Bill between Service Regions"/>
    <hyperlink ref="A20" location="'Misc. Data &amp; Mechanisms'!A361" display="4c) Annual Total Cost per kWh Historical (Electricity)"/>
    <hyperlink ref="A21" location="'Misc. Data &amp; Mechanisms'!A381" display="4d) Average Monthly Average Variable Cost per GJ Historical (Natural Gas)"/>
    <hyperlink ref="A22" location="'Misc. Data &amp; Mechanisms'!A394" display="4e) Average Monthly Average Variable Cost per kWh Historical (Electricity)"/>
    <hyperlink ref="A26" location="'Misc. Data &amp; Mechanisms'!A414" display="5) Elecricity Bill &amp; Natural Gas Bill Sheets Column Calibration"/>
    <hyperlink ref="A27" location="'Misc. Data &amp; Mechanisms'!A420" display="5a) My Electricity Bill Name and Variable - Column Retrieval Database"/>
    <hyperlink ref="A28" location="'Misc. Data &amp; Mechanisms'!L420" display="5b) My Natural Gas Bill Name and Column Retrieval Database"/>
    <hyperlink ref="A29" location="'Misc. Data &amp; Mechanisms'!A492" display="6) Analysis Sheets Graph &amp; Table Tools"/>
    <hyperlink ref="A30" location="'Misc. Data &amp; Mechanisms'!A496" display="6a) 'Elec. Analysis' Reference Tools"/>
    <hyperlink ref="A31" location="'Misc. Data &amp; Mechanisms'!O496" display="6b) 'NG Analysis' Reference Tools"/>
    <hyperlink ref="A32" location="'Misc. Data &amp; Mechanisms'!A559" display="7) Area Chart Bill Percentage Graph Data"/>
    <hyperlink ref="A33" location="'Misc. Data &amp; Mechanisms'!A604" display="7a) Elec. Analysis Percentage Bill, Monthly"/>
    <hyperlink ref="A34" location="'Misc. Data &amp; Mechanisms'!O604" display="7b) NG Analysis Percentage Bill, MonthlY"/>
    <hyperlink ref="A35" location="'Misc. Data &amp; Mechanisms'!A674" display="7c) Elec. Analysis Percentage Bill, Monthly (OPTION 2 - NO RIDER)"/>
    <hyperlink ref="A36" location="'Misc. Data &amp; Mechanisms'!O676" display="7d) NG Analysis Percentage Bill, Monthly (OPTION 2 - NO RIDER)"/>
    <hyperlink ref="A37" location="'Misc. Data &amp; Mechanisms'!A742" display="8) Analysis Sheets - Stacked Bar Graphs"/>
    <hyperlink ref="A38" location="'Misc. Data &amp; Mechanisms'!A747" display="8a) Stacked Bar Graph by Service Zone, Electricity"/>
    <hyperlink ref="A39" location="'Misc. Data &amp; Mechanisms'!O747" display="8b) Stacked Bar Graph by Service Zone, Natural Gas"/>
    <hyperlink ref="A40" location="'Misc. Data &amp; Mechanisms'!A779" display="9) Monthly RRO Cost Variation Graphs"/>
    <hyperlink ref="A41" location="'Misc. Data &amp; Mechanisms'!A784" display="9a) Monthly RRO Cost Comparison Graph Data"/>
    <hyperlink ref="A42" location="'Misc. Data &amp; Mechanisms'!N784" display="9b) Monthly DRT Cost Comparison Graph Data"/>
    <hyperlink ref="A43" location="'Misc. Data &amp; Mechanisms'!A848" display="10) Natural Gas Residential Consumption Applicability Error"/>
    <hyperlink ref="A23:C23" location="'Misc. Data &amp; Mechanisms'!M477" display="4f) Average Variable &amp; Fixed Costs in the ENMAX Zone by House Type"/>
    <hyperlink ref="A24:C24" location="'Misc. Data &amp; Mechanisms'!M569" display="4g) 2017 Component Share of Bill by Region"/>
    <hyperlink ref="A7:C7" location="'Misc. Data &amp; Mechanisms'!A47" display="1) Municipality Data"/>
    <hyperlink ref="A8:C8" location="'Misc. Data &amp; Mechanisms'!A52" display="a) Local Access Fee Database"/>
    <hyperlink ref="A9:C9" location="'Misc. Data &amp; Mechanisms'!A159" display="b) City Service Zone Database, by City"/>
    <hyperlink ref="A10:C10" location="'Misc. Data &amp; Mechanisms'!A199" display="c) City Service Zone Database, by Zone"/>
    <hyperlink ref="A11:C11" location="'Misc. Data &amp; Mechanisms'!A216" display="2) Drop Down Options Database"/>
    <hyperlink ref="A12:C12" location="'Misc. Data &amp; Mechanisms'!A228" display="3) Household-Preset RRO &amp; DRT Consumption"/>
    <hyperlink ref="A13:C13" location="'Misc. Data &amp; Mechanisms'!A233" display="3a) Annual Average RROs by Service Zone"/>
    <hyperlink ref="A14:C14" location="'Misc. Data &amp; Mechanisms'!A275" display="3b) My Regulated Bill Preset-Consumption Basket Database"/>
    <hyperlink ref="A15:C15" location="'Misc. Data &amp; Mechanisms'!J275" display="3c) Interjurisdictional Preset-Consumption Basket Database"/>
    <hyperlink ref="A16:C16" location="'Misc. Data &amp; Mechanisms'!AG278" display="3d) Average Monthly RRO &amp; DRT Summary"/>
    <hyperlink ref="A17:C17" location="'Misc. Data &amp; Mechanisms'!A377" display="4) Report Miscellaneous Data and Graphs"/>
    <hyperlink ref="A18:C18" location="'Misc. Data &amp; Mechanisms'!A384" display="4a) Municipality Graphs"/>
    <hyperlink ref="A19:C19" location="'Misc. Data &amp; Mechanisms'!A477" display="4b) Disaggregation of Relative Differences in Total Bill between Service Regions"/>
    <hyperlink ref="A20:C20" location="'Misc. Data &amp; Mechanisms'!A504" display="4c) Annual Total Cost per kWh Historical (Electricity)"/>
    <hyperlink ref="A21:C21" location="'Misc. Data &amp; Mechanisms'!A534" display="4d) Marginal Cost ($/GJ) Historical (Natural Gas)"/>
    <hyperlink ref="A22:C22" location="'Misc. Data &amp; Mechanisms'!A570" display="4e) Marginal Cost (¢/kWh) Historical (Electricity)"/>
    <hyperlink ref="A26:C26" location="'Misc. Data &amp; Mechanisms'!A589" display="5) Electricity Bill &amp; Natural Gas Bill Sheets Column Calibration"/>
    <hyperlink ref="A27:C27" location="'Misc. Data &amp; Mechanisms'!A595" display="5a) My Electricity Bill Name and Variable - Column Retrieval Database"/>
    <hyperlink ref="A28:C28" location="'Misc. Data &amp; Mechanisms'!L595" display="5b) My Natural Gas Bill Name and Column Retrieval Database"/>
    <hyperlink ref="A29:C29" location="'Misc. Data &amp; Mechanisms'!A667" display="6) Analysis Sheets Graph &amp; Table Tools"/>
    <hyperlink ref="A30:C30" location="'Misc. Data &amp; Mechanisms'!A671" display="6a) 'Elec. Analysis' Reference Tools"/>
    <hyperlink ref="A31:C31" location="'Misc. Data &amp; Mechanisms'!O671" display="6b) 'NG Analysis' Reference Tools"/>
    <hyperlink ref="A32:C32" location="'Misc. Data &amp; Mechanisms'!A805" display="7) Area Chart Bill Percentage Graph Data"/>
    <hyperlink ref="A33:C33" location="'Misc. Data &amp; Mechanisms'!A810" display="7a) Elec. Analysis Percentage Bill, Monthly"/>
    <hyperlink ref="A34:C34" location="'Misc. Data &amp; Mechanisms'!O810" display="7b) NG Analysis Percentage Bill, Monthly"/>
    <hyperlink ref="A35:C35" location="'Misc. Data &amp; Mechanisms'!A917" display="7c) Elec. Analysis Percentage Bill, Monthly (OPTION 2 - NO RIDER)"/>
    <hyperlink ref="A36:C36" location="'Misc. Data &amp; Mechanisms'!O917" display="7d) NG Analysis Percentage Bill, Monthly (OPTION 2 - NO RIDER)"/>
    <hyperlink ref="A37:C37" location="'Misc. Data &amp; Mechanisms'!A1021" display="8) Analysis Sheets - Stacked Bar Graphs"/>
    <hyperlink ref="A38:C38" location="'Misc. Data &amp; Mechanisms'!A1026" display="8a) Stacked Bar Graph by Service Zone, Electricity"/>
    <hyperlink ref="A39:C39" location="'Misc. Data &amp; Mechanisms'!P1026" display="8b) Stacked Bar Graph by Service Zone, Natural Gas"/>
    <hyperlink ref="A40:C40" location="'Misc. Data &amp; Mechanisms'!A1062" display="9) Monthly RRO Cost Variation Graphs"/>
    <hyperlink ref="A41:C41" location="'Misc. Data &amp; Mechanisms'!A1067" display="9a) Monthly RRO Cost Comparison Graph Data"/>
    <hyperlink ref="A42:C42" location="'Misc. Data &amp; Mechanisms'!N1067" display="9b) Monthly DRT Cost Comparison Graph Data"/>
    <hyperlink ref="A43:C43" location="'Misc. Data &amp; Mechanisms'!A1169" display="10) Natural Gas &amp; Electricity Residential Consumption Applicability Error"/>
    <hyperlink ref="A25:C25" location="'Misc. Data &amp; Mechanisms'!Y477" display="4h) ENMAX Apartment &amp; Detached Total Annual Bills, 2012 - 2017"/>
    <hyperlink ref="D9" location="'Misc. Data &amp; Mechanisms'!A1337" display="13) Administration Rates (RRO Actuals)"/>
    <hyperlink ref="D8" location="'Misc. Data &amp; Mechanisms'!A1248" display="12) DRT Rates"/>
    <hyperlink ref="D7" location="'Misc. Data &amp; Mechanisms'!A1160" display="11) RRO Energy Rates (Capped and Uncapped)"/>
    <hyperlink ref="D7:E7" location="'Misc. Data &amp; Mechanisms'!A1272" display="11) RRO Energy Rates (Capped and Uncapped)"/>
    <hyperlink ref="D8:E8" location="'Misc. Data &amp; Mechanisms'!A1375" display="12) DRT Rates"/>
    <hyperlink ref="D9:E9" location="'Misc. Data &amp; Mechanisms'!A1478" display="13) Administration Rates (RRO Actuals)"/>
  </hyperlinks>
  <pageMargins left="0.7" right="0.7" top="0.75" bottom="0.75" header="0.3" footer="0.3"/>
  <pageSetup orientation="portrait" r:id="rId1"/>
  <ignoredErrors>
    <ignoredError sqref="N259:N262 O259:O261 O262:O263 N263 N264:N265 O264:O265 I1009:I1011" formulaRange="1"/>
    <ignoredError sqref="J902:J904 X902:X904" evalError="1" formulaRange="1"/>
    <ignoredError sqref="U815:U904 T922:T1011" formula="1"/>
    <ignoredError sqref="W1009:W1011" evalError="1"/>
  </ignoredErrors>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theme="1"/>
  </sheetPr>
  <dimension ref="A1:AL217"/>
  <sheetViews>
    <sheetView showGridLines="0" zoomScale="80" zoomScaleNormal="80" workbookViewId="0">
      <selection sqref="A1:E1"/>
    </sheetView>
  </sheetViews>
  <sheetFormatPr defaultColWidth="9.1796875" defaultRowHeight="14" x14ac:dyDescent="0.3"/>
  <cols>
    <col min="1" max="1" width="68.26953125" style="29" customWidth="1"/>
    <col min="2" max="2" width="48.81640625" style="29" customWidth="1"/>
    <col min="3" max="3" width="3.453125" style="29" customWidth="1"/>
    <col min="4" max="4" width="28.7265625" style="29" customWidth="1"/>
    <col min="5" max="7" width="3.453125" style="29" customWidth="1"/>
    <col min="8" max="8" width="12.81640625" style="29" customWidth="1"/>
    <col min="9" max="9" width="17" style="29" customWidth="1"/>
    <col min="10" max="10" width="11.1796875" style="29" customWidth="1"/>
    <col min="11" max="11" width="17.1796875" style="29" customWidth="1"/>
    <col min="12" max="12" width="14.453125" style="29" customWidth="1"/>
    <col min="13" max="13" width="15.26953125" style="29" customWidth="1"/>
    <col min="14" max="14" width="14.81640625" style="29" customWidth="1"/>
    <col min="15" max="15" width="17.1796875" style="29" customWidth="1"/>
    <col min="16" max="16" width="15.453125" style="29" customWidth="1"/>
    <col min="17" max="17" width="3.453125" style="29" customWidth="1"/>
    <col min="18" max="18" width="13.1796875" style="29" customWidth="1"/>
    <col min="19" max="19" width="5" style="29" customWidth="1"/>
    <col min="20" max="20" width="12.54296875" style="29" customWidth="1"/>
    <col min="21" max="21" width="22.54296875" style="29" customWidth="1"/>
    <col min="22" max="22" width="21.7265625" style="29" customWidth="1"/>
    <col min="23" max="23" width="20" style="29" customWidth="1"/>
    <col min="24" max="24" width="12.26953125" style="40" customWidth="1"/>
    <col min="25" max="25" width="18.7265625" style="29" customWidth="1"/>
    <col min="26" max="26" width="21.26953125" style="29" customWidth="1"/>
    <col min="27" max="27" width="17.26953125" style="29" customWidth="1"/>
    <col min="28" max="28" width="18" style="29" customWidth="1"/>
    <col min="29" max="29" width="9.1796875" style="29"/>
    <col min="30" max="30" width="11.453125" style="29" customWidth="1"/>
    <col min="31" max="16384" width="9.1796875" style="29"/>
  </cols>
  <sheetData>
    <row r="1" spans="1:30" ht="45" customHeight="1" thickBot="1" x14ac:dyDescent="0.25">
      <c r="A1" s="1687" t="s">
        <v>624</v>
      </c>
      <c r="B1" s="1688"/>
      <c r="C1" s="1688"/>
      <c r="D1" s="1688"/>
      <c r="E1" s="1689"/>
      <c r="F1" s="1355"/>
      <c r="G1" s="30"/>
      <c r="H1" s="1690" t="str">
        <f>IF($B$34 = "Both", "Monthly Electricity &amp; Natural Gas Bill Summary", IF($B$34 = "Electricity", "Monthly Electricity Bill Summary", "Monthly Natural Gas Bill Summary"))</f>
        <v>Monthly Electricity &amp; Natural Gas Bill Summary</v>
      </c>
      <c r="I1" s="1691"/>
      <c r="J1" s="1691"/>
      <c r="K1" s="1691"/>
      <c r="L1" s="1691"/>
      <c r="M1" s="1691"/>
      <c r="N1" s="1691"/>
      <c r="O1" s="1691"/>
      <c r="P1" s="1692"/>
      <c r="Q1" s="33"/>
      <c r="S1" s="30"/>
      <c r="T1" s="1715" t="s">
        <v>265</v>
      </c>
      <c r="U1" s="1716"/>
      <c r="V1" s="1717"/>
      <c r="W1" s="45"/>
      <c r="X1" s="1715" t="s">
        <v>596</v>
      </c>
      <c r="Y1" s="1716"/>
      <c r="Z1" s="1716"/>
      <c r="AA1" s="1716"/>
      <c r="AB1" s="1717"/>
      <c r="AC1" s="1364"/>
      <c r="AD1" s="1367"/>
    </row>
    <row r="2" spans="1:30" ht="17.25" customHeight="1" x14ac:dyDescent="0.3">
      <c r="A2" s="1706" t="s">
        <v>629</v>
      </c>
      <c r="B2" s="1707"/>
      <c r="C2" s="1707"/>
      <c r="D2" s="1707"/>
      <c r="E2" s="1708"/>
      <c r="F2" s="44"/>
      <c r="G2" s="30"/>
      <c r="H2" s="1353"/>
      <c r="I2" s="1353"/>
      <c r="J2" s="1353"/>
      <c r="K2" s="1353"/>
      <c r="L2" s="1353"/>
      <c r="M2" s="1353"/>
      <c r="N2" s="1353"/>
      <c r="O2" s="1353"/>
      <c r="P2" s="1353"/>
      <c r="Q2" s="33"/>
      <c r="S2" s="30"/>
      <c r="V2" s="31"/>
      <c r="W2" s="1353"/>
      <c r="X2" s="1339"/>
      <c r="Y2" s="1353"/>
      <c r="Z2" s="1353"/>
      <c r="AA2" s="1353"/>
      <c r="AB2" s="1353"/>
      <c r="AC2" s="1364"/>
      <c r="AD2" s="1363"/>
    </row>
    <row r="3" spans="1:30" ht="89.25" customHeight="1" thickBot="1" x14ac:dyDescent="0.35">
      <c r="A3" s="1706"/>
      <c r="B3" s="1707"/>
      <c r="C3" s="1707"/>
      <c r="D3" s="1707"/>
      <c r="E3" s="1708"/>
      <c r="F3" s="44"/>
      <c r="G3" s="30"/>
      <c r="H3" s="1332" t="s">
        <v>242</v>
      </c>
      <c r="I3" s="1333" t="str">
        <f>IF($B$34&lt;&gt;"Natural Gas", "Monthly Electricity Consumption (in kWh):", "Monthly Natural Gas Consumption (in GJ):")</f>
        <v>Monthly Electricity Consumption (in kWh):</v>
      </c>
      <c r="J3" s="1333" t="str">
        <f>IF($B$34&lt;&gt;"Natural Gas", IF($C$36&lt;&gt;"Custom",IF($C$36= "RRO (Capped)","RRO - Capped (¢/kWh)", "RRO - Uncapped (¢/kWh)"),"Custom Electric Energy Rate (¢/kWh)"), IF($C$37&lt;&gt;"Custom","DRT ($/GJ)","Custom Natural Gas Energy Rate ($/GJ)"))</f>
        <v>RRO - Capped (¢/kWh)</v>
      </c>
      <c r="K3" s="1333" t="str">
        <f>IF($B$34&lt;&gt;"Natural Gas", IF($C$36&lt;&gt;"Custom","Electricity Administration Rate ("&amp;'Misc. Data &amp; Mechanisms'!$L$1494 &amp; ")","Custom Electric Administration Rate ("&amp;'Misc. Data &amp; Mechanisms'!$L$1494 &amp; ")"), IF($C$37&lt;&gt;"Custom","Natural Gas Administration Rate ("&amp;'Misc. Data &amp; Mechanisms'!$L$1495 &amp; ")","Custom Natural Gas Administration Rate ("&amp;'Misc. Data &amp; Mechanisms'!$L$1495 &amp; ")"))</f>
        <v>Electricity Administration Rate ($/day)</v>
      </c>
      <c r="L3" s="1527" t="str">
        <f>IF($B$34&lt;&gt;"Natural Gas", "Monthly Electricity Bill ($)", "My Monthly Natural Gas Bill ($)")</f>
        <v>Monthly Electricity Bill ($)</v>
      </c>
      <c r="M3" s="1333" t="str">
        <f>IF($B$34="Both", "Monthly Natural Gas Consumption (in GJ):","")</f>
        <v>Monthly Natural Gas Consumption (in GJ):</v>
      </c>
      <c r="N3" s="1333" t="str">
        <f>IF($B$34="Both",IF($C$37&lt;&gt;"Custom","DRT ($/GJ)","Custom Natural Gas Energy Rate ($/GJ)"),"")</f>
        <v>DRT ($/GJ)</v>
      </c>
      <c r="O3" s="1333" t="str">
        <f>IF($B$34="Both",IF($C$37&lt;&gt;"Custom","Natural Gas Administration Rate ("&amp;'Misc. Data &amp; Mechanisms'!$L$1495 &amp; ")","Custom Natural Gas Administration Rate ("&amp;'Misc. Data &amp; Mechanisms'!$L$1495 &amp; ")"), "")</f>
        <v>Natural Gas Administration Rate ($/day)</v>
      </c>
      <c r="P3" s="1334" t="s">
        <v>373</v>
      </c>
      <c r="Q3" s="33"/>
      <c r="S3" s="30"/>
      <c r="T3" s="1332" t="s">
        <v>242</v>
      </c>
      <c r="U3" s="1332" t="str">
        <f>IF($B$34&lt;&gt;"Natural Gas", "Enter Your Monthly Electricity Consumption (in kWh):", "Enter Your Monthly Natural Gas Consumption (in GJ):")</f>
        <v>Enter Your Monthly Electricity Consumption (in kWh):</v>
      </c>
      <c r="V3" s="1332" t="str">
        <f>IF($B$34&lt;&gt;"Both","", "Enter Your Monthly Natural Gas Consumption (in GJ):")</f>
        <v>Enter Your Monthly Natural Gas Consumption (in GJ):</v>
      </c>
      <c r="W3" s="1353"/>
      <c r="X3" s="1332" t="s">
        <v>242</v>
      </c>
      <c r="Y3" s="1332" t="str">
        <f>IF($B$34&lt;&gt;"Natural Gas", IF($C$36 = "Custom","Enter Your Monthly Electric Energy Rate (in ¢/kWh):",IF($B$34 = "Both",IF($C$37 = "Custom", "Enter Your Monthly Natural Gas Energy Rate (in $/GJ):",""),"")),IF($C$37 = "Custom", "Enter Your Monthly Natural Gas Energy Rate (in $/GJ):",""))</f>
        <v/>
      </c>
      <c r="Z3" s="1336" t="str">
        <f>IF($B$34&lt;&gt;"Natural Gas", IF($C$36 = "Custom","Enter Your Monthly Electricity Admin/Billing Rate ("&amp;'Misc. Data &amp; Mechanisms'!$L$1494 &amp; "):",IF($B$34 = "Both",IF($C$37 = "Custom", "Enter Your Monthly Natural Gas Admin/Billing Rate ("&amp;'Misc. Data &amp; Mechanisms'!$L$1495 &amp; "):",""),"")),IF($C$37 = "Custom", "Enter Your Monthly Natural Gas Admin/Billing Rate ("&amp;'Misc. Data &amp; Mechanisms'!$L$1495 &amp; "):",""))</f>
        <v/>
      </c>
      <c r="AA3" s="1336" t="str">
        <f>IF($Y$3="Enter Your Monthly Natural Gas Energy Rate (in $/GJ):","",IF($B$34&lt;&gt;"Both","", IF($C$37="Custom","Enter Your Monthly Natural Gas Energy Rate (in $/GJ):","")))</f>
        <v/>
      </c>
      <c r="AB3" s="1336" t="str">
        <f>IF($Y$3="Enter Your Monthly Natural Gas Energy Rate (in $/GJ):","",IF($B$34&lt;&gt;"Both","", IF($C$37="Custom","Enter Your Monthly Natural Gas Admin/Billing Rate ("&amp;'Misc. Data &amp; Mechanisms'!$L$1495 &amp; "):","")))</f>
        <v/>
      </c>
      <c r="AD3" s="1363"/>
    </row>
    <row r="4" spans="1:30" ht="18" customHeight="1" x14ac:dyDescent="0.3">
      <c r="A4" s="1706"/>
      <c r="B4" s="1707"/>
      <c r="C4" s="1707"/>
      <c r="D4" s="1707"/>
      <c r="E4" s="1708"/>
      <c r="F4" s="44"/>
      <c r="G4" s="30"/>
      <c r="H4" s="1518">
        <f>IF($B$25="Yes", 'Misc. Data &amp; Mechanisms'!$A63,IF($C$27&lt;=$C$28, $C$27, ""))</f>
        <v>40909</v>
      </c>
      <c r="I4" s="1522">
        <f>IF($T4="", "",IFERROR(IF($B$30="Yes", VLOOKUP($H4, $T$3:$V$93, 2, FALSE), IF($B$34&lt;&gt;"Natural Gas", VLOOKUP($H4, 'Misc. Data &amp; Mechanisms'!$A$280:$D$369, HLOOKUP($C$32,'Misc. Data &amp; Mechanisms'!$A$277:$D$279, 3, FALSE), FALSE), IF($C$32="Apartment", "Not Applicable",VLOOKUP($H4, 'Misc. Data &amp; Mechanisms'!$E$280:$H$369, HLOOKUP($C$32,'Misc. Data &amp; Mechanisms'!$E$277:$H$279, 3, FALSE), FALSE)))), ""))</f>
        <v>706.749077999924</v>
      </c>
      <c r="J4" s="1529">
        <f>IF($X4="", "",IFERROR(IF($B$34&lt;&gt;"Natural Gas", IF($C$36&lt;&gt;"Custom", IF($C$36 = "RRO (Capped)", VLOOKUP($H4,'Misc. Data &amp; Mechanisms'!$A$1278:$E$1368,MATCH($B$22,'Misc. Data &amp; Mechanisms'!$B$1278:$E$1278,0)+1,FALSE), VLOOKUP($H4,'Misc. Data &amp; Mechanisms'!$G$1278:$K$1368,MATCH($B$22,'Misc. Data &amp; Mechanisms'!$H$1278:$K$1278,0)+1,FALSE)),VLOOKUP($H4,$X$3:$AB$93,2,FALSE)),  IF($C$37&lt;&gt;"Custom", IF($C$37 = "DRT", VLOOKUP($H4,'Misc. Data &amp; Mechanisms'!$A$1381:$D$1471,MATCH($B$23,'Misc. Data &amp; Mechanisms'!$B$1381:$D$1381,0)+1,FALSE)),VLOOKUP($H4,$X$3:$AB$93,2,FALSE))),""))</f>
        <v>15.284000000000001</v>
      </c>
      <c r="K4" s="1529">
        <f>IF($X4="", "",IFERROR(IF($B$34&lt;&gt;"Natural Gas", IF($C$36&lt;&gt;"Custom", VLOOKUP($H4,'Misc. Data &amp; Mechanisms'!$A$1483:$H$1574,MATCH($B$22,'Misc. Data &amp; Mechanisms'!$B$1483:$H$1483,0)+1,FALSE),VLOOKUP($H4,$X$3:$AB$93,3,FALSE)),  IF($C$37&lt;&gt;"Custom", VLOOKUP($H4,'Misc. Data &amp; Mechanisms'!$A$1483:$H$1574,MATCH($B$23,'Misc. Data &amp; Mechanisms'!$B$1483:$H$1483,0)+1,FALSE),VLOOKUP($H4,$X$3:$AB$93,3,FALSE))),""))</f>
        <v>0.23369999999999999</v>
      </c>
      <c r="L4" s="1531">
        <f ca="1">IF(OR($H4="",$I4=""),"",IF($I4="Not Applicable", "-",IF($B$34&lt;&gt;"Natural Gas",VLOOKUP($H4,'Electricity Bill'!$A$5:$AR$96,6,FALSE),VLOOKUP($H4,'Natural Gas Bill'!$A$5:$AS$96,6,FALSE))))</f>
        <v>176.03224583567183</v>
      </c>
      <c r="M4" s="1522">
        <f>IF($T4="", "", IFERROR(IF($B$30="Yes", $V4, IF($B$34="Both",IF($C$32="Apartment","Not Applicable", VLOOKUP($H4, 'Misc. Data &amp; Mechanisms'!$E$280:$H$369, HLOOKUP($C$32,'Misc. Data &amp; Mechanisms'!$E$277:$H$279, 3, FALSE), FALSE)),"")), ""))</f>
        <v>16.955826922722459</v>
      </c>
      <c r="N4" s="1530">
        <f>IF($X4="", "",IFERROR(IF($B$34="Both",IF($C$37&lt;&gt;"Custom", IF($C$37 = "DRT", VLOOKUP($H4,'Misc. Data &amp; Mechanisms'!$A$1381:$D$1471,MATCH($B$23,'Misc. Data &amp; Mechanisms'!$B$1381:$D$1381,0)+1,FALSE)),IF($C$36="Custom",VLOOKUP($H4,$X$3:$AB$93,4,FALSE),VLOOKUP($H4,$X$3:$AB$93,2,FALSE))),""),""))</f>
        <v>2.9569999999999999</v>
      </c>
      <c r="O4" s="1529">
        <f>IF($X4="", "",IFERROR(IF($B$34="Both",IF($C$37&lt;&gt;"Custom", VLOOKUP($H4,'Misc. Data &amp; Mechanisms'!$A$1483:$H$1574,MATCH($B$23,'Misc. Data &amp; Mechanisms'!$B$1483:$H$1483,0)+1,FALSE),IF($C$36="Custom",VLOOKUP($H4,$X$3:$AB$93,5,FALSE),VLOOKUP($H4,$X$3:$AB$93,3,FALSE))),""),""))</f>
        <v>0.223</v>
      </c>
      <c r="P4" s="1531">
        <f ca="1">IF(OR($H4="",$M4=""), "", IF($M4="Not Applicable", "-",VLOOKUP($H4,'Natural Gas Bill'!$A$5:$AS$96,6,FALSE)))</f>
        <v>110.67641450594077</v>
      </c>
      <c r="Q4" s="33"/>
      <c r="S4" s="30"/>
      <c r="T4" s="1518">
        <f>IF($B$25="Yes", 'Misc. Data &amp; Mechanisms'!$A63,IF($C$27&lt;=$C$28, $C$27, ""))</f>
        <v>40909</v>
      </c>
      <c r="U4" s="1519"/>
      <c r="V4" s="1519"/>
      <c r="W4" s="1719" t="str">
        <f>IFERROR(IF(AND(MATCH("No", IF($B$23="AltaGas", 'Misc. Data &amp; Mechanisms'!$K$1176:$K$1183, 'Misc. Data &amp; Mechanisms'!$J$1176:$J$1183), 0)&gt;0, $B$30="Yes"), "Error: Natural Gas Consumption entered exceeds the limit set by " &amp; $B$23 &amp; " to qualify for Residential Rates.",""), "")</f>
        <v/>
      </c>
      <c r="X4" s="1518">
        <f>IF($B$25="Yes", 'Misc. Data &amp; Mechanisms'!$A63,IF($C$27&lt;=$C$28, $C$27, ""))</f>
        <v>40909</v>
      </c>
      <c r="Y4" s="1519"/>
      <c r="Z4" s="1519"/>
      <c r="AA4" s="1520"/>
      <c r="AB4" s="1520"/>
      <c r="AC4" s="1362"/>
      <c r="AD4" s="1363"/>
    </row>
    <row r="5" spans="1:30" ht="18" customHeight="1" x14ac:dyDescent="0.3">
      <c r="A5" s="1706"/>
      <c r="B5" s="1707"/>
      <c r="C5" s="1707"/>
      <c r="D5" s="1707"/>
      <c r="E5" s="1708"/>
      <c r="F5" s="44"/>
      <c r="G5" s="30"/>
      <c r="H5" s="1521">
        <f>IF($B$25="Yes", 'Misc. Data &amp; Mechanisms'!$A64,IF(H4="", "", IF(($H4+DAY(DATE(YEAR($H4),MONTH($H4)+1,1)-1))&lt;=$C$28, ($H4+DAY(DATE(YEAR($H4),MONTH($H4)+1,1)-1)), "")))</f>
        <v>40940</v>
      </c>
      <c r="I5" s="1522">
        <f>IF($T5="", "",IFERROR(IF($B$30="Yes", VLOOKUP($H5, $T$3:$V$93, 2, FALSE), IF($B$34&lt;&gt;"Natural Gas", VLOOKUP($H5, 'Misc. Data &amp; Mechanisms'!$A$280:$D$369, HLOOKUP($C$32,'Misc. Data &amp; Mechanisms'!$A$277:$D$279, 3, FALSE), FALSE), IF($C$32="Apartment", "Not Applicable",VLOOKUP($H5, 'Misc. Data &amp; Mechanisms'!$E$280:$H$369, HLOOKUP($C$32,'Misc. Data &amp; Mechanisms'!$E$277:$H$279, 3, FALSE), FALSE)))), ""))</f>
        <v>631.50245411531682</v>
      </c>
      <c r="J5" s="1529">
        <f>IF($X5="", "",IFERROR(IF($B$34&lt;&gt;"Natural Gas", IF($C$36&lt;&gt;"Custom", IF($C$36 = "RRO (Capped)", VLOOKUP($H5,'Misc. Data &amp; Mechanisms'!$A$1278:$E$1368,MATCH($B$22,'Misc. Data &amp; Mechanisms'!$B$1278:$E$1278,0)+1,FALSE), VLOOKUP($H5,'Misc. Data &amp; Mechanisms'!$G$1278:$K$1368,MATCH($B$22,'Misc. Data &amp; Mechanisms'!$H$1278:$K$1278,0)+1,FALSE)),VLOOKUP($H5,$X$3:$AB$93,2,FALSE)),  IF($C$37&lt;&gt;"Custom", IF($C$37 = "DRT", VLOOKUP($H5,'Misc. Data &amp; Mechanisms'!$A$1381:$D$1471,MATCH($B$23,'Misc. Data &amp; Mechanisms'!$B$1381:$D$1381,0)+1,FALSE)),VLOOKUP($H5,$X$3:$AB$93,2,FALSE))),""))</f>
        <v>13.69</v>
      </c>
      <c r="K5" s="1529">
        <f>IF($X5="", "",IFERROR(IF($B$34&lt;&gt;"Natural Gas", IF($C$36&lt;&gt;"Custom", VLOOKUP($H5,'Misc. Data &amp; Mechanisms'!$A$1483:$H$1574,MATCH($B$22,'Misc. Data &amp; Mechanisms'!$B$1483:$H$1483,0)+1,FALSE),VLOOKUP($H5,$X$3:$AB$93,3,FALSE)),  IF($C$37&lt;&gt;"Custom", VLOOKUP($H5,'Misc. Data &amp; Mechanisms'!$A$1483:$H$1574,MATCH($B$23,'Misc. Data &amp; Mechanisms'!$B$1483:$H$1483,0)+1,FALSE),VLOOKUP($H5,$X$3:$AB$93,3,FALSE))),""))</f>
        <v>0.23369999999999999</v>
      </c>
      <c r="L5" s="1531">
        <f ca="1">IF(OR($H5="",$I5=""),"",IF($I5="Not Applicable", "-",IF($B$34&lt;&gt;"Natural Gas",VLOOKUP($H5,'Electricity Bill'!$A$5:$AR$96,6,FALSE),VLOOKUP($H5,'Natural Gas Bill'!$A$5:$AS$96,6,FALSE))))</f>
        <v>146.38684193791593</v>
      </c>
      <c r="M5" s="1522">
        <f>IF($T5="", "", IFERROR(IF($B$30="Yes", $V5, IF($B$34="Both",IF($C$32="Apartment","Not Applicable", VLOOKUP($H5, 'Misc. Data &amp; Mechanisms'!$E$280:$H$369, HLOOKUP($C$32,'Misc. Data &amp; Mechanisms'!$E$277:$H$279, 3, FALSE), FALSE)),"")), ""))</f>
        <v>15.590669862509053</v>
      </c>
      <c r="N5" s="1530">
        <f>IF($X5="", "",IFERROR(IF($B$34="Both",IF($C$37&lt;&gt;"Custom", IF($C$37 = "DRT", VLOOKUP($H5,'Misc. Data &amp; Mechanisms'!$A$1381:$D$1471,MATCH($B$23,'Misc. Data &amp; Mechanisms'!$B$1381:$D$1381,0)+1,FALSE)),IF($C$36="Custom",VLOOKUP($H5,$X$3:$AB$93,4,FALSE),VLOOKUP($H5,$X$3:$AB$93,2,FALSE))),""),""))</f>
        <v>2.0640000000000001</v>
      </c>
      <c r="O5" s="1529">
        <f>IF($X5="", "",IFERROR(IF($B$34="Both",IF($C$37&lt;&gt;"Custom", VLOOKUP($H5,'Misc. Data &amp; Mechanisms'!$A$1483:$H$1574,MATCH($B$23,'Misc. Data &amp; Mechanisms'!$B$1483:$H$1483,0)+1,FALSE),IF($C$36="Custom",VLOOKUP($H5,$X$3:$AB$93,5,FALSE),VLOOKUP($H5,$X$3:$AB$93,3,FALSE))),""),""))</f>
        <v>0.223</v>
      </c>
      <c r="P5" s="1531">
        <f ca="1">IF(OR($H5="",$M5=""), "", IF($M5="Not Applicable", "-",VLOOKUP($H5,'Natural Gas Bill'!$A$5:$AS$96,6,FALSE)))</f>
        <v>86.080388053429772</v>
      </c>
      <c r="Q5" s="33"/>
      <c r="S5" s="30"/>
      <c r="T5" s="1521">
        <f>IF($B$25="Yes", 'Misc. Data &amp; Mechanisms'!$A64,IF(T4="", "", IF(($H4+DAY(DATE(YEAR($H4),MONTH($H4)+1,1)-1))&lt;=$C$28, ($H4+DAY(DATE(YEAR($H4),MONTH($H4)+1,1)-1)), "")))</f>
        <v>40940</v>
      </c>
      <c r="U5" s="1519"/>
      <c r="V5" s="1519"/>
      <c r="W5" s="1719"/>
      <c r="X5" s="1521">
        <f>IF($B$25="Yes", 'Misc. Data &amp; Mechanisms'!$A64,IF(X4="", "", IF(($H4+DAY(DATE(YEAR($H4),MONTH($H4)+1,1)-1))&lt;=$C$28, ($H4+DAY(DATE(YEAR($H4),MONTH($H4)+1,1)-1)), "")))</f>
        <v>40940</v>
      </c>
      <c r="Y5" s="1519"/>
      <c r="Z5" s="1519"/>
      <c r="AA5" s="1520"/>
      <c r="AB5" s="1520"/>
      <c r="AC5" s="1362"/>
      <c r="AD5" s="1363"/>
    </row>
    <row r="6" spans="1:30" ht="18" customHeight="1" x14ac:dyDescent="0.3">
      <c r="A6" s="1706"/>
      <c r="B6" s="1707"/>
      <c r="C6" s="1707"/>
      <c r="D6" s="1707"/>
      <c r="E6" s="1708"/>
      <c r="F6" s="44"/>
      <c r="G6" s="30"/>
      <c r="H6" s="1521">
        <f>IF($B$25="Yes", 'Misc. Data &amp; Mechanisms'!$A65,IF(H5="", "", IF(($H5+DAY(DATE(YEAR($H5),MONTH($H5)+1,1)-1))&lt;=$C$28, ($H5+DAY(DATE(YEAR($H5),MONTH($H5)+1,1)-1)), "")))</f>
        <v>40969</v>
      </c>
      <c r="I6" s="1522">
        <f>IF($T6="", "",IFERROR(IF($B$30="Yes", VLOOKUP($H6, $T$3:$V$93, 2, FALSE), IF($B$34&lt;&gt;"Natural Gas", VLOOKUP($H6, 'Misc. Data &amp; Mechanisms'!$A$280:$D$369, HLOOKUP($C$32,'Misc. Data &amp; Mechanisms'!$A$277:$D$279, 3, FALSE), FALSE), IF($C$32="Apartment", "Not Applicable",VLOOKUP($H6, 'Misc. Data &amp; Mechanisms'!$E$280:$H$369, HLOOKUP($C$32,'Misc. Data &amp; Mechanisms'!$E$277:$H$279, 3, FALSE), FALSE)))), ""))</f>
        <v>610.5311897530521</v>
      </c>
      <c r="J6" s="1529">
        <f>IF($X6="", "",IFERROR(IF($B$34&lt;&gt;"Natural Gas", IF($C$36&lt;&gt;"Custom", IF($C$36 = "RRO (Capped)", VLOOKUP($H6,'Misc. Data &amp; Mechanisms'!$A$1278:$E$1368,MATCH($B$22,'Misc. Data &amp; Mechanisms'!$B$1278:$E$1278,0)+1,FALSE), VLOOKUP($H6,'Misc. Data &amp; Mechanisms'!$G$1278:$K$1368,MATCH($B$22,'Misc. Data &amp; Mechanisms'!$H$1278:$K$1278,0)+1,FALSE)),VLOOKUP($H6,$X$3:$AB$93,2,FALSE)),  IF($C$37&lt;&gt;"Custom", IF($C$37 = "DRT", VLOOKUP($H6,'Misc. Data &amp; Mechanisms'!$A$1381:$D$1471,MATCH($B$23,'Misc. Data &amp; Mechanisms'!$B$1381:$D$1381,0)+1,FALSE)),VLOOKUP($H6,$X$3:$AB$93,2,FALSE))),""))</f>
        <v>8.218</v>
      </c>
      <c r="K6" s="1529">
        <f>IF($X6="", "",IFERROR(IF($B$34&lt;&gt;"Natural Gas", IF($C$36&lt;&gt;"Custom", VLOOKUP($H6,'Misc. Data &amp; Mechanisms'!$A$1483:$H$1574,MATCH($B$22,'Misc. Data &amp; Mechanisms'!$B$1483:$H$1483,0)+1,FALSE),VLOOKUP($H6,$X$3:$AB$93,3,FALSE)),  IF($C$37&lt;&gt;"Custom", VLOOKUP($H6,'Misc. Data &amp; Mechanisms'!$A$1483:$H$1574,MATCH($B$23,'Misc. Data &amp; Mechanisms'!$B$1483:$H$1483,0)+1,FALSE),VLOOKUP($H6,$X$3:$AB$93,3,FALSE))),""))</f>
        <v>0.23369999999999999</v>
      </c>
      <c r="L6" s="1531">
        <f ca="1">IF(OR($H6="",$I6=""),"",IF($I6="Not Applicable", "-",IF($B$34&lt;&gt;"Natural Gas",VLOOKUP($H6,'Electricity Bill'!$A$5:$AR$96,6,FALSE),VLOOKUP($H6,'Natural Gas Bill'!$A$5:$AS$96,6,FALSE))))</f>
        <v>104.46397338464241</v>
      </c>
      <c r="M6" s="1522">
        <f>IF($T6="", "", IFERROR(IF($B$30="Yes", $V6, IF($B$34="Both",IF($C$32="Apartment","Not Applicable", VLOOKUP($H6, 'Misc. Data &amp; Mechanisms'!$E$280:$H$369, HLOOKUP($C$32,'Misc. Data &amp; Mechanisms'!$E$277:$H$279, 3, FALSE), FALSE)),"")), ""))</f>
        <v>12.508593180345372</v>
      </c>
      <c r="N6" s="1530">
        <f>IF($X6="", "",IFERROR(IF($B$34="Both",IF($C$37&lt;&gt;"Custom", IF($C$37 = "DRT", VLOOKUP($H6,'Misc. Data &amp; Mechanisms'!$A$1381:$D$1471,MATCH($B$23,'Misc. Data &amp; Mechanisms'!$B$1381:$D$1381,0)+1,FALSE)),IF($C$36="Custom",VLOOKUP($H6,$X$3:$AB$93,4,FALSE),VLOOKUP($H6,$X$3:$AB$93,2,FALSE))),""),""))</f>
        <v>2.0990000000000002</v>
      </c>
      <c r="O6" s="1529">
        <f>IF($X6="", "",IFERROR(IF($B$34="Both",IF($C$37&lt;&gt;"Custom", VLOOKUP($H6,'Misc. Data &amp; Mechanisms'!$A$1483:$H$1574,MATCH($B$23,'Misc. Data &amp; Mechanisms'!$B$1483:$H$1483,0)+1,FALSE),IF($C$36="Custom",VLOOKUP($H6,$X$3:$AB$93,5,FALSE),VLOOKUP($H6,$X$3:$AB$93,3,FALSE))),""),""))</f>
        <v>0.223</v>
      </c>
      <c r="P6" s="1531">
        <f ca="1">IF(OR($H6="",$M6=""), "", IF($M6="Not Applicable", "-",VLOOKUP($H6,'Natural Gas Bill'!$A$5:$AS$96,6,FALSE)))</f>
        <v>78.268348726027085</v>
      </c>
      <c r="Q6" s="33"/>
      <c r="S6" s="30"/>
      <c r="T6" s="1521">
        <f>IF($B$25="Yes", 'Misc. Data &amp; Mechanisms'!$A65,IF(T5="", "", IF(($H5+DAY(DATE(YEAR($H5),MONTH($H5)+1,1)-1))&lt;=$C$28, ($H5+DAY(DATE(YEAR($H5),MONTH($H5)+1,1)-1)), "")))</f>
        <v>40969</v>
      </c>
      <c r="U6" s="1519"/>
      <c r="V6" s="1519"/>
      <c r="W6" s="1719"/>
      <c r="X6" s="1521">
        <f>IF($B$25="Yes", 'Misc. Data &amp; Mechanisms'!$A65,IF(X5="", "", IF(($H5+DAY(DATE(YEAR($H5),MONTH($H5)+1,1)-1))&lt;=$C$28, ($H5+DAY(DATE(YEAR($H5),MONTH($H5)+1,1)-1)), "")))</f>
        <v>40969</v>
      </c>
      <c r="Y6" s="1519"/>
      <c r="Z6" s="1519"/>
      <c r="AA6" s="1520"/>
      <c r="AB6" s="1520"/>
      <c r="AC6" s="1362"/>
      <c r="AD6" s="1363"/>
    </row>
    <row r="7" spans="1:30" ht="18" customHeight="1" x14ac:dyDescent="0.3">
      <c r="A7" s="1706"/>
      <c r="B7" s="1707"/>
      <c r="C7" s="1707"/>
      <c r="D7" s="1707"/>
      <c r="E7" s="1708"/>
      <c r="F7" s="44"/>
      <c r="G7" s="30"/>
      <c r="H7" s="1521">
        <f>IF($B$25="Yes", 'Misc. Data &amp; Mechanisms'!$A66,IF(H6="", "", IF(($H6+DAY(DATE(YEAR($H6),MONTH($H6)+1,1)-1))&lt;=$C$28, ($H6+DAY(DATE(YEAR($H6),MONTH($H6)+1,1)-1)), "")))</f>
        <v>41000</v>
      </c>
      <c r="I7" s="1522">
        <f>IF($T7="", "",IFERROR(IF($B$30="Yes", VLOOKUP($H7, $T$3:$V$93, 2, FALSE), IF($B$34&lt;&gt;"Natural Gas", VLOOKUP($H7, 'Misc. Data &amp; Mechanisms'!$A$280:$D$369, HLOOKUP($C$32,'Misc. Data &amp; Mechanisms'!$A$277:$D$279, 3, FALSE), FALSE), IF($C$32="Apartment", "Not Applicable",VLOOKUP($H7, 'Misc. Data &amp; Mechanisms'!$E$280:$H$369, HLOOKUP($C$32,'Misc. Data &amp; Mechanisms'!$E$277:$H$279, 3, FALSE), FALSE)))), ""))</f>
        <v>553.50674210245211</v>
      </c>
      <c r="J7" s="1529">
        <f>IF($X7="", "",IFERROR(IF($B$34&lt;&gt;"Natural Gas", IF($C$36&lt;&gt;"Custom", IF($C$36 = "RRO (Capped)", VLOOKUP($H7,'Misc. Data &amp; Mechanisms'!$A$1278:$E$1368,MATCH($B$22,'Misc. Data &amp; Mechanisms'!$B$1278:$E$1278,0)+1,FALSE), VLOOKUP($H7,'Misc. Data &amp; Mechanisms'!$G$1278:$K$1368,MATCH($B$22,'Misc. Data &amp; Mechanisms'!$H$1278:$K$1278,0)+1,FALSE)),VLOOKUP($H7,$X$3:$AB$93,2,FALSE)),  IF($C$37&lt;&gt;"Custom", IF($C$37 = "DRT", VLOOKUP($H7,'Misc. Data &amp; Mechanisms'!$A$1381:$D$1471,MATCH($B$23,'Misc. Data &amp; Mechanisms'!$B$1381:$D$1381,0)+1,FALSE)),VLOOKUP($H7,$X$3:$AB$93,2,FALSE))),""))</f>
        <v>7.1760000000000002</v>
      </c>
      <c r="K7" s="1529">
        <f>IF($X7="", "",IFERROR(IF($B$34&lt;&gt;"Natural Gas", IF($C$36&lt;&gt;"Custom", VLOOKUP($H7,'Misc. Data &amp; Mechanisms'!$A$1483:$H$1574,MATCH($B$22,'Misc. Data &amp; Mechanisms'!$B$1483:$H$1483,0)+1,FALSE),VLOOKUP($H7,$X$3:$AB$93,3,FALSE)),  IF($C$37&lt;&gt;"Custom", VLOOKUP($H7,'Misc. Data &amp; Mechanisms'!$A$1483:$H$1574,MATCH($B$23,'Misc. Data &amp; Mechanisms'!$B$1483:$H$1483,0)+1,FALSE),VLOOKUP($H7,$X$3:$AB$93,3,FALSE))),""))</f>
        <v>0.23369999999999999</v>
      </c>
      <c r="L7" s="1531">
        <f ca="1">IF(OR($H7="",$I7=""),"",IF($I7="Not Applicable", "-",IF($B$34&lt;&gt;"Natural Gas",VLOOKUP($H7,'Electricity Bill'!$A$5:$AR$96,6,FALSE),VLOOKUP($H7,'Natural Gas Bill'!$A$5:$AS$96,6,FALSE))))</f>
        <v>89.20275930212344</v>
      </c>
      <c r="M7" s="1522">
        <f>IF($T7="", "", IFERROR(IF($B$30="Yes", $V7, IF($B$34="Both",IF($C$32="Apartment","Not Applicable", VLOOKUP($H7, 'Misc. Data &amp; Mechanisms'!$E$280:$H$369, HLOOKUP($C$32,'Misc. Data &amp; Mechanisms'!$E$277:$H$279, 3, FALSE), FALSE)),"")), ""))</f>
        <v>9.733329308349191</v>
      </c>
      <c r="N7" s="1530">
        <f>IF($X7="", "",IFERROR(IF($B$34="Both",IF($C$37&lt;&gt;"Custom", IF($C$37 = "DRT", VLOOKUP($H7,'Misc. Data &amp; Mechanisms'!$A$1381:$D$1471,MATCH($B$23,'Misc. Data &amp; Mechanisms'!$B$1381:$D$1381,0)+1,FALSE)),IF($C$36="Custom",VLOOKUP($H7,$X$3:$AB$93,4,FALSE),VLOOKUP($H7,$X$3:$AB$93,2,FALSE))),""),""))</f>
        <v>1.7</v>
      </c>
      <c r="O7" s="1529">
        <f>IF($X7="", "",IFERROR(IF($B$34="Both",IF($C$37&lt;&gt;"Custom", VLOOKUP($H7,'Misc. Data &amp; Mechanisms'!$A$1483:$H$1574,MATCH($B$23,'Misc. Data &amp; Mechanisms'!$B$1483:$H$1483,0)+1,FALSE),IF($C$36="Custom",VLOOKUP($H7,$X$3:$AB$93,5,FALSE),VLOOKUP($H7,$X$3:$AB$93,3,FALSE))),""),""))</f>
        <v>0.223</v>
      </c>
      <c r="P7" s="1531">
        <f ca="1">IF(OR($H7="",$M7=""), "", IF($M7="Not Applicable", "-",VLOOKUP($H7,'Natural Gas Bill'!$A$5:$AS$96,6,FALSE)))</f>
        <v>62.98083944570196</v>
      </c>
      <c r="Q7" s="33"/>
      <c r="S7" s="30"/>
      <c r="T7" s="1521">
        <f>IF($B$25="Yes", 'Misc. Data &amp; Mechanisms'!$A66,IF(T6="", "", IF(($H6+DAY(DATE(YEAR($H6),MONTH($H6)+1,1)-1))&lt;=$C$28, ($H6+DAY(DATE(YEAR($H6),MONTH($H6)+1,1)-1)), "")))</f>
        <v>41000</v>
      </c>
      <c r="U7" s="1519"/>
      <c r="V7" s="1519"/>
      <c r="W7" s="1719"/>
      <c r="X7" s="1521">
        <f>IF($B$25="Yes", 'Misc. Data &amp; Mechanisms'!$A66,IF(X6="", "", IF(($H6+DAY(DATE(YEAR($H6),MONTH($H6)+1,1)-1))&lt;=$C$28, ($H6+DAY(DATE(YEAR($H6),MONTH($H6)+1,1)-1)), "")))</f>
        <v>41000</v>
      </c>
      <c r="Y7" s="1519"/>
      <c r="Z7" s="1519"/>
      <c r="AA7" s="1520"/>
      <c r="AB7" s="1520"/>
      <c r="AC7" s="1362"/>
      <c r="AD7" s="1363"/>
    </row>
    <row r="8" spans="1:30" ht="18" customHeight="1" x14ac:dyDescent="0.3">
      <c r="A8" s="1706"/>
      <c r="B8" s="1707"/>
      <c r="C8" s="1707"/>
      <c r="D8" s="1707"/>
      <c r="E8" s="1708"/>
      <c r="F8" s="44"/>
      <c r="G8" s="30"/>
      <c r="H8" s="1521">
        <f>IF($B$25="Yes", 'Misc. Data &amp; Mechanisms'!$A67,IF(H7="", "", IF(($H7+DAY(DATE(YEAR($H7),MONTH($H7)+1,1)-1))&lt;=$C$28, ($H7+DAY(DATE(YEAR($H7),MONTH($H7)+1,1)-1)), "")))</f>
        <v>41030</v>
      </c>
      <c r="I8" s="1522">
        <f>IF($T8="", "",IFERROR(IF($B$30="Yes", VLOOKUP($H8, $T$3:$V$93, 2, FALSE), IF($B$34&lt;&gt;"Natural Gas", VLOOKUP($H8, 'Misc. Data &amp; Mechanisms'!$A$280:$D$369, HLOOKUP($C$32,'Misc. Data &amp; Mechanisms'!$A$277:$D$279, 3, FALSE), FALSE), IF($C$32="Apartment", "Not Applicable",VLOOKUP($H8, 'Misc. Data &amp; Mechanisms'!$E$280:$H$369, HLOOKUP($C$32,'Misc. Data &amp; Mechanisms'!$E$277:$H$279, 3, FALSE), FALSE)))), ""))</f>
        <v>541.91428860302665</v>
      </c>
      <c r="J8" s="1529">
        <f>IF($X8="", "",IFERROR(IF($B$34&lt;&gt;"Natural Gas", IF($C$36&lt;&gt;"Custom", IF($C$36 = "RRO (Capped)", VLOOKUP($H8,'Misc. Data &amp; Mechanisms'!$A$1278:$E$1368,MATCH($B$22,'Misc. Data &amp; Mechanisms'!$B$1278:$E$1278,0)+1,FALSE), VLOOKUP($H8,'Misc. Data &amp; Mechanisms'!$G$1278:$K$1368,MATCH($B$22,'Misc. Data &amp; Mechanisms'!$H$1278:$K$1278,0)+1,FALSE)),VLOOKUP($H8,$X$3:$AB$93,2,FALSE)),  IF($C$37&lt;&gt;"Custom", IF($C$37 = "DRT", VLOOKUP($H8,'Misc. Data &amp; Mechanisms'!$A$1381:$D$1471,MATCH($B$23,'Misc. Data &amp; Mechanisms'!$B$1381:$D$1381,0)+1,FALSE)),VLOOKUP($H8,$X$3:$AB$93,2,FALSE))),""))</f>
        <v>6.3503999999999996</v>
      </c>
      <c r="K8" s="1529">
        <f>IF($X8="", "",IFERROR(IF($B$34&lt;&gt;"Natural Gas", IF($C$36&lt;&gt;"Custom", VLOOKUP($H8,'Misc. Data &amp; Mechanisms'!$A$1483:$H$1574,MATCH($B$22,'Misc. Data &amp; Mechanisms'!$B$1483:$H$1483,0)+1,FALSE),VLOOKUP($H8,$X$3:$AB$93,3,FALSE)),  IF($C$37&lt;&gt;"Custom", VLOOKUP($H8,'Misc. Data &amp; Mechanisms'!$A$1483:$H$1574,MATCH($B$23,'Misc. Data &amp; Mechanisms'!$B$1483:$H$1483,0)+1,FALSE),VLOOKUP($H8,$X$3:$AB$93,3,FALSE))),""))</f>
        <v>0.23369999999999999</v>
      </c>
      <c r="L8" s="1531">
        <f ca="1">IF(OR($H8="",$I8=""),"",IF($I8="Not Applicable", "-",IF($B$34&lt;&gt;"Natural Gas",VLOOKUP($H8,'Electricity Bill'!$A$5:$AR$96,6,FALSE),VLOOKUP($H8,'Natural Gas Bill'!$A$5:$AS$96,6,FALSE))))</f>
        <v>83.166867696355169</v>
      </c>
      <c r="M8" s="1522">
        <f>IF($T8="", "", IFERROR(IF($B$30="Yes", $V8, IF($B$34="Both",IF($C$32="Apartment","Not Applicable", VLOOKUP($H8, 'Misc. Data &amp; Mechanisms'!$E$280:$H$369, HLOOKUP($C$32,'Misc. Data &amp; Mechanisms'!$E$277:$H$279, 3, FALSE), FALSE)),"")), ""))</f>
        <v>6.8593521950446235</v>
      </c>
      <c r="N8" s="1530">
        <f>IF($X8="", "",IFERROR(IF($B$34="Both",IF($C$37&lt;&gt;"Custom", IF($C$37 = "DRT", VLOOKUP($H8,'Misc. Data &amp; Mechanisms'!$A$1381:$D$1471,MATCH($B$23,'Misc. Data &amp; Mechanisms'!$B$1381:$D$1381,0)+1,FALSE)),IF($C$36="Custom",VLOOKUP($H8,$X$3:$AB$93,4,FALSE),VLOOKUP($H8,$X$3:$AB$93,2,FALSE))),""),""))</f>
        <v>1.331</v>
      </c>
      <c r="O8" s="1529">
        <f>IF($X8="", "",IFERROR(IF($B$34="Both",IF($C$37&lt;&gt;"Custom", VLOOKUP($H8,'Misc. Data &amp; Mechanisms'!$A$1483:$H$1574,MATCH($B$23,'Misc. Data &amp; Mechanisms'!$B$1483:$H$1483,0)+1,FALSE),IF($C$36="Custom",VLOOKUP($H8,$X$3:$AB$93,5,FALSE),VLOOKUP($H8,$X$3:$AB$93,3,FALSE))),""),""))</f>
        <v>0.223</v>
      </c>
      <c r="P8" s="1531">
        <f ca="1">IF(OR($H8="",$M8=""), "", IF($M8="Not Applicable", "-",VLOOKUP($H8,'Natural Gas Bill'!$A$5:$AS$96,6,FALSE)))</f>
        <v>46.952203773786366</v>
      </c>
      <c r="Q8" s="33"/>
      <c r="S8" s="30"/>
      <c r="T8" s="1521">
        <f>IF($B$25="Yes", 'Misc. Data &amp; Mechanisms'!$A67,IF(T7="", "", IF(($H7+DAY(DATE(YEAR($H7),MONTH($H7)+1,1)-1))&lt;=$C$28, ($H7+DAY(DATE(YEAR($H7),MONTH($H7)+1,1)-1)), "")))</f>
        <v>41030</v>
      </c>
      <c r="U8" s="1519"/>
      <c r="V8" s="1519"/>
      <c r="W8" s="1719"/>
      <c r="X8" s="1521">
        <f>IF($B$25="Yes", 'Misc. Data &amp; Mechanisms'!$A67,IF(X7="", "", IF(($H7+DAY(DATE(YEAR($H7),MONTH($H7)+1,1)-1))&lt;=$C$28, ($H7+DAY(DATE(YEAR($H7),MONTH($H7)+1,1)-1)), "")))</f>
        <v>41030</v>
      </c>
      <c r="Y8" s="1519"/>
      <c r="Z8" s="1519"/>
      <c r="AA8" s="1520"/>
      <c r="AB8" s="1520"/>
      <c r="AD8" s="1363"/>
    </row>
    <row r="9" spans="1:30" ht="18" customHeight="1" x14ac:dyDescent="0.3">
      <c r="A9" s="1706"/>
      <c r="B9" s="1707"/>
      <c r="C9" s="1707"/>
      <c r="D9" s="1707"/>
      <c r="E9" s="1708"/>
      <c r="F9" s="44"/>
      <c r="G9" s="30"/>
      <c r="H9" s="1521">
        <f>IF($B$25="Yes", 'Misc. Data &amp; Mechanisms'!$A68,IF(H8="", "", IF(($H8+DAY(DATE(YEAR($H8),MONTH($H8)+1,1)-1))&lt;=$C$28, ($H8+DAY(DATE(YEAR($H8),MONTH($H8)+1,1)-1)), "")))</f>
        <v>41061</v>
      </c>
      <c r="I9" s="1522">
        <f>IF($T9="", "",IFERROR(IF($B$30="Yes", VLOOKUP($H9, $T$3:$V$93, 2, FALSE), IF($B$34&lt;&gt;"Natural Gas", VLOOKUP($H9, 'Misc. Data &amp; Mechanisms'!$A$280:$D$369, HLOOKUP($C$32,'Misc. Data &amp; Mechanisms'!$A$277:$D$279, 3, FALSE), FALSE), IF($C$32="Apartment", "Not Applicable",VLOOKUP($H9, 'Misc. Data &amp; Mechanisms'!$E$280:$H$369, HLOOKUP($C$32,'Misc. Data &amp; Mechanisms'!$E$277:$H$279, 3, FALSE), FALSE)))), ""))</f>
        <v>515.57253474242975</v>
      </c>
      <c r="J9" s="1529">
        <f>IF($X9="", "",IFERROR(IF($B$34&lt;&gt;"Natural Gas", IF($C$36&lt;&gt;"Custom", IF($C$36 = "RRO (Capped)", VLOOKUP($H9,'Misc. Data &amp; Mechanisms'!$A$1278:$E$1368,MATCH($B$22,'Misc. Data &amp; Mechanisms'!$B$1278:$E$1278,0)+1,FALSE), VLOOKUP($H9,'Misc. Data &amp; Mechanisms'!$G$1278:$K$1368,MATCH($B$22,'Misc. Data &amp; Mechanisms'!$H$1278:$K$1278,0)+1,FALSE)),VLOOKUP($H9,$X$3:$AB$93,2,FALSE)),  IF($C$37&lt;&gt;"Custom", IF($C$37 = "DRT", VLOOKUP($H9,'Misc. Data &amp; Mechanisms'!$A$1381:$D$1471,MATCH($B$23,'Misc. Data &amp; Mechanisms'!$B$1381:$D$1381,0)+1,FALSE)),VLOOKUP($H9,$X$3:$AB$93,2,FALSE))),""))</f>
        <v>7.6746999999999996</v>
      </c>
      <c r="K9" s="1529">
        <f>IF($X9="", "",IFERROR(IF($B$34&lt;&gt;"Natural Gas", IF($C$36&lt;&gt;"Custom", VLOOKUP($H9,'Misc. Data &amp; Mechanisms'!$A$1483:$H$1574,MATCH($B$22,'Misc. Data &amp; Mechanisms'!$B$1483:$H$1483,0)+1,FALSE),VLOOKUP($H9,$X$3:$AB$93,3,FALSE)),  IF($C$37&lt;&gt;"Custom", VLOOKUP($H9,'Misc. Data &amp; Mechanisms'!$A$1483:$H$1574,MATCH($B$23,'Misc. Data &amp; Mechanisms'!$B$1483:$H$1483,0)+1,FALSE),VLOOKUP($H9,$X$3:$AB$93,3,FALSE))),""))</f>
        <v>0.23369999999999999</v>
      </c>
      <c r="L9" s="1531">
        <f ca="1">IF(OR($H9="",$I9=""),"",IF($I9="Not Applicable", "-",IF($B$34&lt;&gt;"Natural Gas",VLOOKUP($H9,'Electricity Bill'!$A$5:$AR$96,6,FALSE),VLOOKUP($H9,'Natural Gas Bill'!$A$5:$AS$96,6,FALSE))))</f>
        <v>87.41731040655921</v>
      </c>
      <c r="M9" s="1522">
        <f>IF($T9="", "", IFERROR(IF($B$30="Yes", $V9, IF($B$34="Both",IF($C$32="Apartment","Not Applicable", VLOOKUP($H9, 'Misc. Data &amp; Mechanisms'!$E$280:$H$369, HLOOKUP($C$32,'Misc. Data &amp; Mechanisms'!$E$277:$H$279, 3, FALSE), FALSE)),"")), ""))</f>
        <v>3.7578718591467029</v>
      </c>
      <c r="N9" s="1530">
        <f>IF($X9="", "",IFERROR(IF($B$34="Both",IF($C$37&lt;&gt;"Custom", IF($C$37 = "DRT", VLOOKUP($H9,'Misc. Data &amp; Mechanisms'!$A$1381:$D$1471,MATCH($B$23,'Misc. Data &amp; Mechanisms'!$B$1381:$D$1381,0)+1,FALSE)),IF($C$36="Custom",VLOOKUP($H9,$X$3:$AB$93,4,FALSE),VLOOKUP($H9,$X$3:$AB$93,2,FALSE))),""),""))</f>
        <v>2.7480000000000002</v>
      </c>
      <c r="O9" s="1529">
        <f>IF($X9="", "",IFERROR(IF($B$34="Both",IF($C$37&lt;&gt;"Custom", VLOOKUP($H9,'Misc. Data &amp; Mechanisms'!$A$1483:$H$1574,MATCH($B$23,'Misc. Data &amp; Mechanisms'!$B$1483:$H$1483,0)+1,FALSE),IF($C$36="Custom",VLOOKUP($H9,$X$3:$AB$93,5,FALSE),VLOOKUP($H9,$X$3:$AB$93,3,FALSE))),""),""))</f>
        <v>0.223</v>
      </c>
      <c r="P9" s="1531">
        <f ca="1">IF(OR($H9="",$M9=""), "", IF($M9="Not Applicable", "-",VLOOKUP($H9,'Natural Gas Bill'!$A$5:$AS$96,6,FALSE)))</f>
        <v>44.109626167421865</v>
      </c>
      <c r="Q9" s="33"/>
      <c r="S9" s="30"/>
      <c r="T9" s="1521">
        <f>IF($B$25="Yes", 'Misc. Data &amp; Mechanisms'!$A68,IF(T8="", "", IF(($H8+DAY(DATE(YEAR($H8),MONTH($H8)+1,1)-1))&lt;=$C$28, ($H8+DAY(DATE(YEAR($H8),MONTH($H8)+1,1)-1)), "")))</f>
        <v>41061</v>
      </c>
      <c r="U9" s="1519"/>
      <c r="V9" s="1519"/>
      <c r="W9" s="1719"/>
      <c r="X9" s="1521">
        <f>IF($B$25="Yes", 'Misc. Data &amp; Mechanisms'!$A68,IF(X8="", "", IF(($H8+DAY(DATE(YEAR($H8),MONTH($H8)+1,1)-1))&lt;=$C$28, ($H8+DAY(DATE(YEAR($H8),MONTH($H8)+1,1)-1)), "")))</f>
        <v>41061</v>
      </c>
      <c r="Y9" s="1519"/>
      <c r="Z9" s="1519"/>
      <c r="AA9" s="1520"/>
      <c r="AB9" s="1520"/>
      <c r="AC9" s="1362"/>
      <c r="AD9" s="1363"/>
    </row>
    <row r="10" spans="1:30" ht="18" customHeight="1" x14ac:dyDescent="0.3">
      <c r="A10" s="1706"/>
      <c r="B10" s="1707"/>
      <c r="C10" s="1707"/>
      <c r="D10" s="1707"/>
      <c r="E10" s="1708"/>
      <c r="F10" s="44"/>
      <c r="G10" s="30"/>
      <c r="H10" s="1521">
        <f>IF($B$25="Yes", 'Misc. Data &amp; Mechanisms'!$A69,IF(H9="", "", IF(($H9+DAY(DATE(YEAR($H9),MONTH($H9)+1,1)-1))&lt;=$C$28, ($H9+DAY(DATE(YEAR($H9),MONTH($H9)+1,1)-1)), "")))</f>
        <v>41091</v>
      </c>
      <c r="I10" s="1522">
        <f>IF($T10="", "",IFERROR(IF($B$30="Yes", VLOOKUP($H10, $T$3:$V$93, 2, FALSE), IF($B$34&lt;&gt;"Natural Gas", VLOOKUP($H10, 'Misc. Data &amp; Mechanisms'!$A$280:$D$369, HLOOKUP($C$32,'Misc. Data &amp; Mechanisms'!$A$277:$D$279, 3, FALSE), FALSE), IF($C$32="Apartment", "Not Applicable",VLOOKUP($H10, 'Misc. Data &amp; Mechanisms'!$E$280:$H$369, HLOOKUP($C$32,'Misc. Data &amp; Mechanisms'!$E$277:$H$279, 3, FALSE), FALSE)))), ""))</f>
        <v>564.82318192701314</v>
      </c>
      <c r="J10" s="1529">
        <f>IF($X10="", "",IFERROR(IF($B$34&lt;&gt;"Natural Gas", IF($C$36&lt;&gt;"Custom", IF($C$36 = "RRO (Capped)", VLOOKUP($H10,'Misc. Data &amp; Mechanisms'!$A$1278:$E$1368,MATCH($B$22,'Misc. Data &amp; Mechanisms'!$B$1278:$E$1278,0)+1,FALSE), VLOOKUP($H10,'Misc. Data &amp; Mechanisms'!$G$1278:$K$1368,MATCH($B$22,'Misc. Data &amp; Mechanisms'!$H$1278:$K$1278,0)+1,FALSE)),VLOOKUP($H10,$X$3:$AB$93,2,FALSE)),  IF($C$37&lt;&gt;"Custom", IF($C$37 = "DRT", VLOOKUP($H10,'Misc. Data &amp; Mechanisms'!$A$1381:$D$1471,MATCH($B$23,'Misc. Data &amp; Mechanisms'!$B$1381:$D$1381,0)+1,FALSE)),VLOOKUP($H10,$X$3:$AB$93,2,FALSE))),""))</f>
        <v>9.0332000000000008</v>
      </c>
      <c r="K10" s="1529">
        <f>IF($X10="", "",IFERROR(IF($B$34&lt;&gt;"Natural Gas", IF($C$36&lt;&gt;"Custom", VLOOKUP($H10,'Misc. Data &amp; Mechanisms'!$A$1483:$H$1574,MATCH($B$22,'Misc. Data &amp; Mechanisms'!$B$1483:$H$1483,0)+1,FALSE),VLOOKUP($H10,$X$3:$AB$93,3,FALSE)),  IF($C$37&lt;&gt;"Custom", VLOOKUP($H10,'Misc. Data &amp; Mechanisms'!$A$1483:$H$1574,MATCH($B$23,'Misc. Data &amp; Mechanisms'!$B$1483:$H$1483,0)+1,FALSE),VLOOKUP($H10,$X$3:$AB$93,3,FALSE))),""))</f>
        <v>0.23369999999999999</v>
      </c>
      <c r="L10" s="1531">
        <f ca="1">IF(OR($H10="",$I10=""),"",IF($I10="Not Applicable", "-",IF($B$34&lt;&gt;"Natural Gas",VLOOKUP($H10,'Electricity Bill'!$A$5:$AR$96,6,FALSE),VLOOKUP($H10,'Natural Gas Bill'!$A$5:$AS$96,6,FALSE))))</f>
        <v>103.51440278901468</v>
      </c>
      <c r="M10" s="1522">
        <f>IF($T10="", "", IFERROR(IF($B$30="Yes", $V10, IF($B$34="Both",IF($C$32="Apartment","Not Applicable", VLOOKUP($H10, 'Misc. Data &amp; Mechanisms'!$E$280:$H$369, HLOOKUP($C$32,'Misc. Data &amp; Mechanisms'!$E$277:$H$279, 3, FALSE), FALSE)),"")), ""))</f>
        <v>2.6288830750628787</v>
      </c>
      <c r="N10" s="1530">
        <f>IF($X10="", "",IFERROR(IF($B$34="Both",IF($C$37&lt;&gt;"Custom", IF($C$37 = "DRT", VLOOKUP($H10,'Misc. Data &amp; Mechanisms'!$A$1381:$D$1471,MATCH($B$23,'Misc. Data &amp; Mechanisms'!$B$1381:$D$1381,0)+1,FALSE)),IF($C$36="Custom",VLOOKUP($H10,$X$3:$AB$93,4,FALSE),VLOOKUP($H10,$X$3:$AB$93,2,FALSE))),""),""))</f>
        <v>2.21</v>
      </c>
      <c r="O10" s="1529">
        <f>IF($X10="", "",IFERROR(IF($B$34="Both",IF($C$37&lt;&gt;"Custom", VLOOKUP($H10,'Misc. Data &amp; Mechanisms'!$A$1483:$H$1574,MATCH($B$23,'Misc. Data &amp; Mechanisms'!$B$1483:$H$1483,0)+1,FALSE),IF($C$36="Custom",VLOOKUP($H10,$X$3:$AB$93,5,FALSE),VLOOKUP($H10,$X$3:$AB$93,3,FALSE))),""),""))</f>
        <v>0.223</v>
      </c>
      <c r="P10" s="1531">
        <f ca="1">IF(OR($H10="",$M10=""), "", IF($M10="Not Applicable", "-",VLOOKUP($H10,'Natural Gas Bill'!$A$5:$AS$96,6,FALSE)))</f>
        <v>38.572839005636759</v>
      </c>
      <c r="Q10" s="33"/>
      <c r="S10" s="30"/>
      <c r="T10" s="1521">
        <f>IF($B$25="Yes", 'Misc. Data &amp; Mechanisms'!$A69,IF(T9="", "", IF(($H9+DAY(DATE(YEAR($H9),MONTH($H9)+1,1)-1))&lt;=$C$28, ($H9+DAY(DATE(YEAR($H9),MONTH($H9)+1,1)-1)), "")))</f>
        <v>41091</v>
      </c>
      <c r="U10" s="1519"/>
      <c r="V10" s="1519"/>
      <c r="W10" s="1339"/>
      <c r="X10" s="1521">
        <f>IF($B$25="Yes", 'Misc. Data &amp; Mechanisms'!$A69,IF(X9="", "", IF(($H9+DAY(DATE(YEAR($H9),MONTH($H9)+1,1)-1))&lt;=$C$28, ($H9+DAY(DATE(YEAR($H9),MONTH($H9)+1,1)-1)), "")))</f>
        <v>41091</v>
      </c>
      <c r="Y10" s="1519"/>
      <c r="Z10" s="1519"/>
      <c r="AA10" s="1520"/>
      <c r="AB10" s="1520"/>
      <c r="AC10" s="1362"/>
      <c r="AD10" s="1363"/>
    </row>
    <row r="11" spans="1:30" ht="18" customHeight="1" x14ac:dyDescent="0.3">
      <c r="A11" s="1706"/>
      <c r="B11" s="1707"/>
      <c r="C11" s="1707"/>
      <c r="D11" s="1707"/>
      <c r="E11" s="1708"/>
      <c r="F11" s="44"/>
      <c r="G11" s="30"/>
      <c r="H11" s="1521">
        <f>IF($B$25="Yes", 'Misc. Data &amp; Mechanisms'!$A70,IF(H10="", "", IF(($H10+DAY(DATE(YEAR($H10),MONTH($H10)+1,1)-1))&lt;=$C$28, ($H10+DAY(DATE(YEAR($H10),MONTH($H10)+1,1)-1)), "")))</f>
        <v>41122</v>
      </c>
      <c r="I11" s="1522">
        <f>IF($T11="", "",IFERROR(IF($B$30="Yes", VLOOKUP($H11, $T$3:$V$93, 2, FALSE), IF($B$34&lt;&gt;"Natural Gas", VLOOKUP($H11, 'Misc. Data &amp; Mechanisms'!$A$280:$D$369, HLOOKUP($C$32,'Misc. Data &amp; Mechanisms'!$A$277:$D$279, 3, FALSE), FALSE), IF($C$32="Apartment", "Not Applicable",VLOOKUP($H11, 'Misc. Data &amp; Mechanisms'!$E$280:$H$369, HLOOKUP($C$32,'Misc. Data &amp; Mechanisms'!$E$277:$H$279, 3, FALSE), FALSE)))), ""))</f>
        <v>546.71745545533315</v>
      </c>
      <c r="J11" s="1529">
        <f>IF($X11="", "",IFERROR(IF($B$34&lt;&gt;"Natural Gas", IF($C$36&lt;&gt;"Custom", IF($C$36 = "RRO (Capped)", VLOOKUP($H11,'Misc. Data &amp; Mechanisms'!$A$1278:$E$1368,MATCH($B$22,'Misc. Data &amp; Mechanisms'!$B$1278:$E$1278,0)+1,FALSE), VLOOKUP($H11,'Misc. Data &amp; Mechanisms'!$G$1278:$K$1368,MATCH($B$22,'Misc. Data &amp; Mechanisms'!$H$1278:$K$1278,0)+1,FALSE)),VLOOKUP($H11,$X$3:$AB$93,2,FALSE)),  IF($C$37&lt;&gt;"Custom", IF($C$37 = "DRT", VLOOKUP($H11,'Misc. Data &amp; Mechanisms'!$A$1381:$D$1471,MATCH($B$23,'Misc. Data &amp; Mechanisms'!$B$1381:$D$1381,0)+1,FALSE)),VLOOKUP($H11,$X$3:$AB$93,2,FALSE))),""))</f>
        <v>11.3147</v>
      </c>
      <c r="K11" s="1529">
        <f>IF($X11="", "",IFERROR(IF($B$34&lt;&gt;"Natural Gas", IF($C$36&lt;&gt;"Custom", VLOOKUP($H11,'Misc. Data &amp; Mechanisms'!$A$1483:$H$1574,MATCH($B$22,'Misc. Data &amp; Mechanisms'!$B$1483:$H$1483,0)+1,FALSE),VLOOKUP($H11,$X$3:$AB$93,3,FALSE)),  IF($C$37&lt;&gt;"Custom", VLOOKUP($H11,'Misc. Data &amp; Mechanisms'!$A$1483:$H$1574,MATCH($B$23,'Misc. Data &amp; Mechanisms'!$B$1483:$H$1483,0)+1,FALSE),VLOOKUP($H11,$X$3:$AB$93,3,FALSE))),""))</f>
        <v>0.23369999999999999</v>
      </c>
      <c r="L11" s="1531">
        <f ca="1">IF(OR($H11="",$I11=""),"",IF($I11="Not Applicable", "-",IF($B$34&lt;&gt;"Natural Gas",VLOOKUP($H11,'Electricity Bill'!$A$5:$AR$96,6,FALSE),VLOOKUP($H11,'Natural Gas Bill'!$A$5:$AS$96,6,FALSE))))</f>
        <v>115.39031338141906</v>
      </c>
      <c r="M11" s="1522">
        <f>IF($T11="", "", IFERROR(IF($B$30="Yes", $V11, IF($B$34="Both",IF($C$32="Apartment","Not Applicable", VLOOKUP($H11, 'Misc. Data &amp; Mechanisms'!$E$280:$H$369, HLOOKUP($C$32,'Misc. Data &amp; Mechanisms'!$E$277:$H$279, 3, FALSE), FALSE)),"")), ""))</f>
        <v>3.0892805662191671</v>
      </c>
      <c r="N11" s="1530">
        <f>IF($X11="", "",IFERROR(IF($B$34="Both",IF($C$37&lt;&gt;"Custom", IF($C$37 = "DRT", VLOOKUP($H11,'Misc. Data &amp; Mechanisms'!$A$1381:$D$1471,MATCH($B$23,'Misc. Data &amp; Mechanisms'!$B$1381:$D$1381,0)+1,FALSE)),IF($C$36="Custom",VLOOKUP($H11,$X$3:$AB$93,4,FALSE),VLOOKUP($H11,$X$3:$AB$93,2,FALSE))),""),""))</f>
        <v>2.1859999999999999</v>
      </c>
      <c r="O11" s="1529">
        <f>IF($X11="", "",IFERROR(IF($B$34="Both",IF($C$37&lt;&gt;"Custom", VLOOKUP($H11,'Misc. Data &amp; Mechanisms'!$A$1483:$H$1574,MATCH($B$23,'Misc. Data &amp; Mechanisms'!$B$1483:$H$1483,0)+1,FALSE),IF($C$36="Custom",VLOOKUP($H11,$X$3:$AB$93,5,FALSE),VLOOKUP($H11,$X$3:$AB$93,3,FALSE))),""),""))</f>
        <v>0.223</v>
      </c>
      <c r="P11" s="1531">
        <f ca="1">IF(OR($H11="",$M11=""), "", IF($M11="Not Applicable", "-",VLOOKUP($H11,'Natural Gas Bill'!$A$5:$AS$96,6,FALSE)))</f>
        <v>40.686379568978985</v>
      </c>
      <c r="Q11" s="33"/>
      <c r="S11" s="30"/>
      <c r="T11" s="1521">
        <f>IF($B$25="Yes", 'Misc. Data &amp; Mechanisms'!$A70,IF(T10="", "", IF(($H10+DAY(DATE(YEAR($H10),MONTH($H10)+1,1)-1))&lt;=$C$28, ($H10+DAY(DATE(YEAR($H10),MONTH($H10)+1,1)-1)), "")))</f>
        <v>41122</v>
      </c>
      <c r="U11" s="1519"/>
      <c r="V11" s="1519"/>
      <c r="W11" s="1720" t="str">
        <f>IF($W$4="", "", IF($B$23="AltaGas", "AltaGas Residential Rate No. 1 (Small General Service) applies where annual consumption is at most 5,326 GJ.", IF($B$23="ATCO-N", "ATCO-N Low Use Delivery Service Rates apply where annual consumption is less than 1,200 GJ.", "ATCO-S Low Use Delivery Service Rates apply where annual consumption is less than 1,200 GJ.")))</f>
        <v/>
      </c>
      <c r="X11" s="1521">
        <f>IF($B$25="Yes", 'Misc. Data &amp; Mechanisms'!$A70,IF(X10="", "", IF(($H10+DAY(DATE(YEAR($H10),MONTH($H10)+1,1)-1))&lt;=$C$28, ($H10+DAY(DATE(YEAR($H10),MONTH($H10)+1,1)-1)), "")))</f>
        <v>41122</v>
      </c>
      <c r="Y11" s="1519"/>
      <c r="Z11" s="1519"/>
      <c r="AA11" s="1520"/>
      <c r="AB11" s="1520"/>
      <c r="AC11" s="1362"/>
      <c r="AD11" s="1363"/>
    </row>
    <row r="12" spans="1:30" ht="18" customHeight="1" x14ac:dyDescent="0.3">
      <c r="A12" s="1706"/>
      <c r="B12" s="1707"/>
      <c r="C12" s="1707"/>
      <c r="D12" s="1707"/>
      <c r="E12" s="1708"/>
      <c r="F12" s="44"/>
      <c r="G12" s="30"/>
      <c r="H12" s="1521">
        <f>IF($B$25="Yes", 'Misc. Data &amp; Mechanisms'!$A71,IF(H11="", "", IF(($H11+DAY(DATE(YEAR($H11),MONTH($H11)+1,1)-1))&lt;=$C$28, ($H11+DAY(DATE(YEAR($H11),MONTH($H11)+1,1)-1)), "")))</f>
        <v>41153</v>
      </c>
      <c r="I12" s="1522">
        <f>IF($T12="", "",IFERROR(IF($B$30="Yes", VLOOKUP($H12, $T$3:$V$93, 2, FALSE), IF($B$34&lt;&gt;"Natural Gas", VLOOKUP($H12, 'Misc. Data &amp; Mechanisms'!$A$280:$D$369, HLOOKUP($C$32,'Misc. Data &amp; Mechanisms'!$A$277:$D$279, 3, FALSE), FALSE), IF($C$32="Apartment", "Not Applicable",VLOOKUP($H12, 'Misc. Data &amp; Mechanisms'!$E$280:$H$369, HLOOKUP($C$32,'Misc. Data &amp; Mechanisms'!$E$277:$H$279, 3, FALSE), FALSE)))), ""))</f>
        <v>539.75497456034395</v>
      </c>
      <c r="J12" s="1529">
        <f>IF($X12="", "",IFERROR(IF($B$34&lt;&gt;"Natural Gas", IF($C$36&lt;&gt;"Custom", IF($C$36 = "RRO (Capped)", VLOOKUP($H12,'Misc. Data &amp; Mechanisms'!$A$1278:$E$1368,MATCH($B$22,'Misc. Data &amp; Mechanisms'!$B$1278:$E$1278,0)+1,FALSE), VLOOKUP($H12,'Misc. Data &amp; Mechanisms'!$G$1278:$K$1368,MATCH($B$22,'Misc. Data &amp; Mechanisms'!$H$1278:$K$1278,0)+1,FALSE)),VLOOKUP($H12,$X$3:$AB$93,2,FALSE)),  IF($C$37&lt;&gt;"Custom", IF($C$37 = "DRT", VLOOKUP($H12,'Misc. Data &amp; Mechanisms'!$A$1381:$D$1471,MATCH($B$23,'Misc. Data &amp; Mechanisms'!$B$1381:$D$1381,0)+1,FALSE)),VLOOKUP($H12,$X$3:$AB$93,2,FALSE))),""))</f>
        <v>10.763</v>
      </c>
      <c r="K12" s="1529">
        <f>IF($X12="", "",IFERROR(IF($B$34&lt;&gt;"Natural Gas", IF($C$36&lt;&gt;"Custom", VLOOKUP($H12,'Misc. Data &amp; Mechanisms'!$A$1483:$H$1574,MATCH($B$22,'Misc. Data &amp; Mechanisms'!$B$1483:$H$1483,0)+1,FALSE),VLOOKUP($H12,$X$3:$AB$93,3,FALSE)),  IF($C$37&lt;&gt;"Custom", VLOOKUP($H12,'Misc. Data &amp; Mechanisms'!$A$1483:$H$1574,MATCH($B$23,'Misc. Data &amp; Mechanisms'!$B$1483:$H$1483,0)+1,FALSE),VLOOKUP($H12,$X$3:$AB$93,3,FALSE))),""))</f>
        <v>0.23369999999999999</v>
      </c>
      <c r="L12" s="1531">
        <f ca="1">IF(OR($H12="",$I12=""),"",IF($I12="Not Applicable", "-",IF($B$34&lt;&gt;"Natural Gas",VLOOKUP($H12,'Electricity Bill'!$A$5:$AR$96,6,FALSE),VLOOKUP($H12,'Natural Gas Bill'!$A$5:$AS$96,6,FALSE))))</f>
        <v>110.05570077540159</v>
      </c>
      <c r="M12" s="1522">
        <f>IF($T12="", "", IFERROR(IF($B$30="Yes", $V12, IF($B$34="Both",IF($C$32="Apartment","Not Applicable", VLOOKUP($H12, 'Misc. Data &amp; Mechanisms'!$E$280:$H$369, HLOOKUP($C$32,'Misc. Data &amp; Mechanisms'!$E$277:$H$279, 3, FALSE), FALSE)),"")), ""))</f>
        <v>3.2815686387127947</v>
      </c>
      <c r="N12" s="1530">
        <f>IF($X12="", "",IFERROR(IF($B$34="Both",IF($C$37&lt;&gt;"Custom", IF($C$37 = "DRT", VLOOKUP($H12,'Misc. Data &amp; Mechanisms'!$A$1381:$D$1471,MATCH($B$23,'Misc. Data &amp; Mechanisms'!$B$1381:$D$1381,0)+1,FALSE)),IF($C$36="Custom",VLOOKUP($H12,$X$3:$AB$93,4,FALSE),VLOOKUP($H12,$X$3:$AB$93,2,FALSE))),""),""))</f>
        <v>1.7010000000000001</v>
      </c>
      <c r="O12" s="1529">
        <f>IF($X12="", "",IFERROR(IF($B$34="Both",IF($C$37&lt;&gt;"Custom", VLOOKUP($H12,'Misc. Data &amp; Mechanisms'!$A$1483:$H$1574,MATCH($B$23,'Misc. Data &amp; Mechanisms'!$B$1483:$H$1483,0)+1,FALSE),IF($C$36="Custom",VLOOKUP($H12,$X$3:$AB$93,5,FALSE),VLOOKUP($H12,$X$3:$AB$93,3,FALSE))),""),""))</f>
        <v>0.223</v>
      </c>
      <c r="P12" s="1531">
        <f ca="1">IF(OR($H12="",$M12=""), "", IF($M12="Not Applicable", "-",VLOOKUP($H12,'Natural Gas Bill'!$A$5:$AS$96,6,FALSE)))</f>
        <v>38.62200654168484</v>
      </c>
      <c r="Q12" s="33"/>
      <c r="S12" s="30"/>
      <c r="T12" s="1521">
        <f>IF($B$25="Yes", 'Misc. Data &amp; Mechanisms'!$A71,IF(T11="", "", IF(($H11+DAY(DATE(YEAR($H11),MONTH($H11)+1,1)-1))&lt;=$C$28, ($H11+DAY(DATE(YEAR($H11),MONTH($H11)+1,1)-1)), "")))</f>
        <v>41153</v>
      </c>
      <c r="U12" s="1519"/>
      <c r="V12" s="1519"/>
      <c r="W12" s="1720"/>
      <c r="X12" s="1521">
        <f>IF($B$25="Yes", 'Misc. Data &amp; Mechanisms'!$A71,IF(X11="", "", IF(($H11+DAY(DATE(YEAR($H11),MONTH($H11)+1,1)-1))&lt;=$C$28, ($H11+DAY(DATE(YEAR($H11),MONTH($H11)+1,1)-1)), "")))</f>
        <v>41153</v>
      </c>
      <c r="Y12" s="1519"/>
      <c r="Z12" s="1519"/>
      <c r="AA12" s="1520"/>
      <c r="AB12" s="1520"/>
      <c r="AC12" s="1362"/>
      <c r="AD12" s="1363"/>
    </row>
    <row r="13" spans="1:30" ht="18" customHeight="1" x14ac:dyDescent="0.3">
      <c r="A13" s="1706"/>
      <c r="B13" s="1707"/>
      <c r="C13" s="1707"/>
      <c r="D13" s="1707"/>
      <c r="E13" s="1708"/>
      <c r="F13" s="44"/>
      <c r="G13" s="30"/>
      <c r="H13" s="1521">
        <f>IF($B$25="Yes", 'Misc. Data &amp; Mechanisms'!$A72,IF(H12="", "", IF(($H12+DAY(DATE(YEAR($H12),MONTH($H12)+1,1)-1))&lt;=$C$28, ($H12+DAY(DATE(YEAR($H12),MONTH($H12)+1,1)-1)), "")))</f>
        <v>41183</v>
      </c>
      <c r="I13" s="1522">
        <f>IF($T13="", "",IFERROR(IF($B$30="Yes", VLOOKUP($H13, $T$3:$V$93, 2, FALSE), IF($B$34&lt;&gt;"Natural Gas", VLOOKUP($H13, 'Misc. Data &amp; Mechanisms'!$A$280:$D$369, HLOOKUP($C$32,'Misc. Data &amp; Mechanisms'!$A$277:$D$279, 3, FALSE), FALSE), IF($C$32="Apartment", "Not Applicable",VLOOKUP($H13, 'Misc. Data &amp; Mechanisms'!$E$280:$H$369, HLOOKUP($C$32,'Misc. Data &amp; Mechanisms'!$E$277:$H$279, 3, FALSE), FALSE)))), ""))</f>
        <v>629.88348353718152</v>
      </c>
      <c r="J13" s="1529">
        <f>IF($X13="", "",IFERROR(IF($B$34&lt;&gt;"Natural Gas", IF($C$36&lt;&gt;"Custom", IF($C$36 = "RRO (Capped)", VLOOKUP($H13,'Misc. Data &amp; Mechanisms'!$A$1278:$E$1368,MATCH($B$22,'Misc. Data &amp; Mechanisms'!$B$1278:$E$1278,0)+1,FALSE), VLOOKUP($H13,'Misc. Data &amp; Mechanisms'!$G$1278:$K$1368,MATCH($B$22,'Misc. Data &amp; Mechanisms'!$H$1278:$K$1278,0)+1,FALSE)),VLOOKUP($H13,$X$3:$AB$93,2,FALSE)),  IF($C$37&lt;&gt;"Custom", IF($C$37 = "DRT", VLOOKUP($H13,'Misc. Data &amp; Mechanisms'!$A$1381:$D$1471,MATCH($B$23,'Misc. Data &amp; Mechanisms'!$B$1381:$D$1381,0)+1,FALSE)),VLOOKUP($H13,$X$3:$AB$93,2,FALSE))),""))</f>
        <v>9.6221999999999994</v>
      </c>
      <c r="K13" s="1529">
        <f>IF($X13="", "",IFERROR(IF($B$34&lt;&gt;"Natural Gas", IF($C$36&lt;&gt;"Custom", VLOOKUP($H13,'Misc. Data &amp; Mechanisms'!$A$1483:$H$1574,MATCH($B$22,'Misc. Data &amp; Mechanisms'!$B$1483:$H$1483,0)+1,FALSE),VLOOKUP($H13,$X$3:$AB$93,3,FALSE)),  IF($C$37&lt;&gt;"Custom", VLOOKUP($H13,'Misc. Data &amp; Mechanisms'!$A$1483:$H$1574,MATCH($B$23,'Misc. Data &amp; Mechanisms'!$B$1483:$H$1483,0)+1,FALSE),VLOOKUP($H13,$X$3:$AB$93,3,FALSE))),""))</f>
        <v>0.23369999999999999</v>
      </c>
      <c r="L13" s="1531">
        <f ca="1">IF(OR($H13="",$I13=""),"",IF($I13="Not Applicable", "-",IF($B$34&lt;&gt;"Natural Gas",VLOOKUP($H13,'Electricity Bill'!$A$5:$AR$96,6,FALSE),VLOOKUP($H13,'Natural Gas Bill'!$A$5:$AS$96,6,FALSE))))</f>
        <v>110.1496103260307</v>
      </c>
      <c r="M13" s="1522">
        <f>IF($T13="", "", IFERROR(IF($B$30="Yes", $V13, IF($B$34="Both",IF($C$32="Apartment","Not Applicable", VLOOKUP($H13, 'Misc. Data &amp; Mechanisms'!$E$280:$H$369, HLOOKUP($C$32,'Misc. Data &amp; Mechanisms'!$E$277:$H$279, 3, FALSE), FALSE)),"")), ""))</f>
        <v>12.414546391241233</v>
      </c>
      <c r="N13" s="1530">
        <f>IF($X13="", "",IFERROR(IF($B$34="Both",IF($C$37&lt;&gt;"Custom", IF($C$37 = "DRT", VLOOKUP($H13,'Misc. Data &amp; Mechanisms'!$A$1381:$D$1471,MATCH($B$23,'Misc. Data &amp; Mechanisms'!$B$1381:$D$1381,0)+1,FALSE)),IF($C$36="Custom",VLOOKUP($H13,$X$3:$AB$93,4,FALSE),VLOOKUP($H13,$X$3:$AB$93,2,FALSE))),""),""))</f>
        <v>2.5830000000000002</v>
      </c>
      <c r="O13" s="1529">
        <f>IF($X13="", "",IFERROR(IF($B$34="Both",IF($C$37&lt;&gt;"Custom", VLOOKUP($H13,'Misc. Data &amp; Mechanisms'!$A$1483:$H$1574,MATCH($B$23,'Misc. Data &amp; Mechanisms'!$B$1483:$H$1483,0)+1,FALSE),IF($C$36="Custom",VLOOKUP($H13,$X$3:$AB$93,5,FALSE),VLOOKUP($H13,$X$3:$AB$93,3,FALSE))),""),""))</f>
        <v>0.223</v>
      </c>
      <c r="P13" s="1531">
        <f ca="1">IF(OR($H13="",$M13=""), "", IF($M13="Not Applicable", "-",VLOOKUP($H13,'Natural Gas Bill'!$A$5:$AS$96,6,FALSE)))</f>
        <v>81.728995934687759</v>
      </c>
      <c r="Q13" s="33"/>
      <c r="S13" s="30"/>
      <c r="T13" s="1521">
        <f>IF($B$25="Yes", 'Misc. Data &amp; Mechanisms'!$A72,IF(T12="", "", IF(($H12+DAY(DATE(YEAR($H12),MONTH($H12)+1,1)-1))&lt;=$C$28, ($H12+DAY(DATE(YEAR($H12),MONTH($H12)+1,1)-1)), "")))</f>
        <v>41183</v>
      </c>
      <c r="U13" s="1519"/>
      <c r="V13" s="1519"/>
      <c r="W13" s="1720"/>
      <c r="X13" s="1521">
        <f>IF($B$25="Yes", 'Misc. Data &amp; Mechanisms'!$A72,IF(X12="", "", IF(($H12+DAY(DATE(YEAR($H12),MONTH($H12)+1,1)-1))&lt;=$C$28, ($H12+DAY(DATE(YEAR($H12),MONTH($H12)+1,1)-1)), "")))</f>
        <v>41183</v>
      </c>
      <c r="Y13" s="1519"/>
      <c r="Z13" s="1519"/>
      <c r="AA13" s="1520"/>
      <c r="AB13" s="1520"/>
      <c r="AC13" s="1362"/>
      <c r="AD13" s="1363"/>
    </row>
    <row r="14" spans="1:30" ht="18" customHeight="1" thickBot="1" x14ac:dyDescent="0.35">
      <c r="A14" s="1709"/>
      <c r="B14" s="1710"/>
      <c r="C14" s="1710"/>
      <c r="D14" s="1710"/>
      <c r="E14" s="1711"/>
      <c r="F14" s="44"/>
      <c r="G14" s="30"/>
      <c r="H14" s="1521">
        <f>IF($B$25="Yes", 'Misc. Data &amp; Mechanisms'!$A73,IF(H13="", "", IF(($H13+DAY(DATE(YEAR($H13),MONTH($H13)+1,1)-1))&lt;=$C$28, ($H13+DAY(DATE(YEAR($H13),MONTH($H13)+1,1)-1)), "")))</f>
        <v>41214</v>
      </c>
      <c r="I14" s="1522">
        <f>IF($T14="", "",IFERROR(IF($B$30="Yes", VLOOKUP($H14, $T$3:$V$93, 2, FALSE), IF($B$34&lt;&gt;"Natural Gas", VLOOKUP($H14, 'Misc. Data &amp; Mechanisms'!$A$280:$D$369, HLOOKUP($C$32,'Misc. Data &amp; Mechanisms'!$A$277:$D$279, 3, FALSE), FALSE), IF($C$32="Apartment", "Not Applicable",VLOOKUP($H14, 'Misc. Data &amp; Mechanisms'!$E$280:$H$369, HLOOKUP($C$32,'Misc. Data &amp; Mechanisms'!$E$277:$H$279, 3, FALSE), FALSE)))), ""))</f>
        <v>657.98042355140103</v>
      </c>
      <c r="J14" s="1529">
        <f>IF($X14="", "",IFERROR(IF($B$34&lt;&gt;"Natural Gas", IF($C$36&lt;&gt;"Custom", IF($C$36 = "RRO (Capped)", VLOOKUP($H14,'Misc. Data &amp; Mechanisms'!$A$1278:$E$1368,MATCH($B$22,'Misc. Data &amp; Mechanisms'!$B$1278:$E$1278,0)+1,FALSE), VLOOKUP($H14,'Misc. Data &amp; Mechanisms'!$G$1278:$K$1368,MATCH($B$22,'Misc. Data &amp; Mechanisms'!$H$1278:$K$1278,0)+1,FALSE)),VLOOKUP($H14,$X$3:$AB$93,2,FALSE)),  IF($C$37&lt;&gt;"Custom", IF($C$37 = "DRT", VLOOKUP($H14,'Misc. Data &amp; Mechanisms'!$A$1381:$D$1471,MATCH($B$23,'Misc. Data &amp; Mechanisms'!$B$1381:$D$1381,0)+1,FALSE)),VLOOKUP($H14,$X$3:$AB$93,2,FALSE))),""))</f>
        <v>7.3994999999999997</v>
      </c>
      <c r="K14" s="1529">
        <f>IF($X14="", "",IFERROR(IF($B$34&lt;&gt;"Natural Gas", IF($C$36&lt;&gt;"Custom", VLOOKUP($H14,'Misc. Data &amp; Mechanisms'!$A$1483:$H$1574,MATCH($B$22,'Misc. Data &amp; Mechanisms'!$B$1483:$H$1483,0)+1,FALSE),VLOOKUP($H14,$X$3:$AB$93,3,FALSE)),  IF($C$37&lt;&gt;"Custom", VLOOKUP($H14,'Misc. Data &amp; Mechanisms'!$A$1483:$H$1574,MATCH($B$23,'Misc. Data &amp; Mechanisms'!$B$1483:$H$1483,0)+1,FALSE),VLOOKUP($H14,$X$3:$AB$93,3,FALSE))),""))</f>
        <v>0.23369999999999999</v>
      </c>
      <c r="L14" s="1531">
        <f ca="1">IF(OR($H14="",$I14=""),"",IF($I14="Not Applicable", "-",IF($B$34&lt;&gt;"Natural Gas",VLOOKUP($H14,'Electricity Bill'!$A$5:$AR$96,6,FALSE),VLOOKUP($H14,'Natural Gas Bill'!$A$5:$AS$96,6,FALSE))))</f>
        <v>96.461293354412746</v>
      </c>
      <c r="M14" s="1522">
        <f>IF($T14="", "", IFERROR(IF($B$30="Yes", $V14, IF($B$34="Both",IF($C$32="Apartment","Not Applicable", VLOOKUP($H14, 'Misc. Data &amp; Mechanisms'!$E$280:$H$369, HLOOKUP($C$32,'Misc. Data &amp; Mechanisms'!$E$277:$H$279, 3, FALSE), FALSE)),"")), ""))</f>
        <v>16.022770401470297</v>
      </c>
      <c r="N14" s="1530">
        <f>IF($X14="", "",IFERROR(IF($B$34="Both",IF($C$37&lt;&gt;"Custom", IF($C$37 = "DRT", VLOOKUP($H14,'Misc. Data &amp; Mechanisms'!$A$1381:$D$1471,MATCH($B$23,'Misc. Data &amp; Mechanisms'!$B$1381:$D$1381,0)+1,FALSE)),IF($C$36="Custom",VLOOKUP($H14,$X$3:$AB$93,4,FALSE),VLOOKUP($H14,$X$3:$AB$93,2,FALSE))),""),""))</f>
        <v>3.573</v>
      </c>
      <c r="O14" s="1529">
        <f>IF($X14="", "",IFERROR(IF($B$34="Both",IF($C$37&lt;&gt;"Custom", VLOOKUP($H14,'Misc. Data &amp; Mechanisms'!$A$1483:$H$1574,MATCH($B$23,'Misc. Data &amp; Mechanisms'!$B$1483:$H$1483,0)+1,FALSE),IF($C$36="Custom",VLOOKUP($H14,$X$3:$AB$93,5,FALSE),VLOOKUP($H14,$X$3:$AB$93,3,FALSE))),""),""))</f>
        <v>0.223</v>
      </c>
      <c r="P14" s="1531">
        <f ca="1">IF(OR($H14="",$M14=""), "", IF($M14="Not Applicable", "-",VLOOKUP($H14,'Natural Gas Bill'!$A$5:$AS$96,6,FALSE)))</f>
        <v>114.62678198383027</v>
      </c>
      <c r="Q14" s="33"/>
      <c r="S14" s="30"/>
      <c r="T14" s="1521">
        <f>IF($B$25="Yes", 'Misc. Data &amp; Mechanisms'!$A73,IF(T13="", "", IF(($H13+DAY(DATE(YEAR($H13),MONTH($H13)+1,1)-1))&lt;=$C$28, ($H13+DAY(DATE(YEAR($H13),MONTH($H13)+1,1)-1)), "")))</f>
        <v>41214</v>
      </c>
      <c r="U14" s="1519"/>
      <c r="V14" s="1519"/>
      <c r="W14" s="1720"/>
      <c r="X14" s="1521">
        <f>IF($B$25="Yes", 'Misc. Data &amp; Mechanisms'!$A73,IF(X13="", "", IF(($H13+DAY(DATE(YEAR($H13),MONTH($H13)+1,1)-1))&lt;=$C$28, ($H13+DAY(DATE(YEAR($H13),MONTH($H13)+1,1)-1)), "")))</f>
        <v>41214</v>
      </c>
      <c r="Y14" s="1519"/>
      <c r="Z14" s="1519"/>
      <c r="AA14" s="1520"/>
      <c r="AB14" s="1520"/>
      <c r="AC14" s="1362"/>
      <c r="AD14" s="1363"/>
    </row>
    <row r="15" spans="1:30" ht="18" customHeight="1" x14ac:dyDescent="0.3">
      <c r="A15" s="44"/>
      <c r="B15" s="44"/>
      <c r="C15" s="44"/>
      <c r="D15" s="44"/>
      <c r="E15" s="31"/>
      <c r="F15" s="1339"/>
      <c r="G15" s="30"/>
      <c r="H15" s="1521">
        <f>IF($B$25="Yes", 'Misc. Data &amp; Mechanisms'!$A74,IF(H14="", "", IF(($H14+DAY(DATE(YEAR($H14),MONTH($H14)+1,1)-1))&lt;=$C$28, ($H14+DAY(DATE(YEAR($H14),MONTH($H14)+1,1)-1)), "")))</f>
        <v>41244</v>
      </c>
      <c r="I15" s="1522">
        <f>IF($T15="", "",IFERROR(IF($B$30="Yes", VLOOKUP($H15, $T$3:$V$93, 2, FALSE), IF($B$34&lt;&gt;"Natural Gas", VLOOKUP($H15, 'Misc. Data &amp; Mechanisms'!$A$280:$D$369, HLOOKUP($C$32,'Misc. Data &amp; Mechanisms'!$A$277:$D$279, 3, FALSE), FALSE), IF($C$32="Apartment", "Not Applicable",VLOOKUP($H15, 'Misc. Data &amp; Mechanisms'!$E$280:$H$369, HLOOKUP($C$32,'Misc. Data &amp; Mechanisms'!$E$277:$H$279, 3, FALSE), FALSE)))), ""))</f>
        <v>761.27007914030821</v>
      </c>
      <c r="J15" s="1529">
        <f>IF($X15="", "",IFERROR(IF($B$34&lt;&gt;"Natural Gas", IF($C$36&lt;&gt;"Custom", IF($C$36 = "RRO (Capped)", VLOOKUP($H15,'Misc. Data &amp; Mechanisms'!$A$1278:$E$1368,MATCH($B$22,'Misc. Data &amp; Mechanisms'!$B$1278:$E$1278,0)+1,FALSE), VLOOKUP($H15,'Misc. Data &amp; Mechanisms'!$G$1278:$K$1368,MATCH($B$22,'Misc. Data &amp; Mechanisms'!$H$1278:$K$1278,0)+1,FALSE)),VLOOKUP($H15,$X$3:$AB$93,2,FALSE)),  IF($C$37&lt;&gt;"Custom", IF($C$37 = "DRT", VLOOKUP($H15,'Misc. Data &amp; Mechanisms'!$A$1381:$D$1471,MATCH($B$23,'Misc. Data &amp; Mechanisms'!$B$1381:$D$1381,0)+1,FALSE)),VLOOKUP($H15,$X$3:$AB$93,2,FALSE))),""))</f>
        <v>8.4816000000000003</v>
      </c>
      <c r="K15" s="1529">
        <f>IF($X15="", "",IFERROR(IF($B$34&lt;&gt;"Natural Gas", IF($C$36&lt;&gt;"Custom", VLOOKUP($H15,'Misc. Data &amp; Mechanisms'!$A$1483:$H$1574,MATCH($B$22,'Misc. Data &amp; Mechanisms'!$B$1483:$H$1483,0)+1,FALSE),VLOOKUP($H15,$X$3:$AB$93,3,FALSE)),  IF($C$37&lt;&gt;"Custom", VLOOKUP($H15,'Misc. Data &amp; Mechanisms'!$A$1483:$H$1574,MATCH($B$23,'Misc. Data &amp; Mechanisms'!$B$1483:$H$1483,0)+1,FALSE),VLOOKUP($H15,$X$3:$AB$93,3,FALSE))),""))</f>
        <v>0.23369999999999999</v>
      </c>
      <c r="L15" s="1531">
        <f ca="1">IF(OR($H15="",$I15=""),"",IF($I15="Not Applicable", "-",IF($B$34&lt;&gt;"Natural Gas",VLOOKUP($H15,'Electricity Bill'!$A$5:$AR$96,6,FALSE),VLOOKUP($H15,'Natural Gas Bill'!$A$5:$AS$96,6,FALSE))))</f>
        <v>118.81779023041705</v>
      </c>
      <c r="M15" s="1522">
        <f>IF($T15="", "", IFERROR(IF($B$30="Yes", $V15, IF($B$34="Both",IF($C$32="Apartment","Not Applicable", VLOOKUP($H15, 'Misc. Data &amp; Mechanisms'!$E$280:$H$369, HLOOKUP($C$32,'Misc. Data &amp; Mechanisms'!$E$277:$H$279, 3, FALSE), FALSE)),"")), ""))</f>
        <v>21.388281285725743</v>
      </c>
      <c r="N15" s="1530">
        <f>IF($X15="", "",IFERROR(IF($B$34="Both",IF($C$37&lt;&gt;"Custom", IF($C$37 = "DRT", VLOOKUP($H15,'Misc. Data &amp; Mechanisms'!$A$1381:$D$1471,MATCH($B$23,'Misc. Data &amp; Mechanisms'!$B$1381:$D$1381,0)+1,FALSE)),IF($C$36="Custom",VLOOKUP($H15,$X$3:$AB$93,4,FALSE),VLOOKUP($H15,$X$3:$AB$93,2,FALSE))),""),""))</f>
        <v>3.5419999999999998</v>
      </c>
      <c r="O15" s="1529">
        <f>IF($X15="", "",IFERROR(IF($B$34="Both",IF($C$37&lt;&gt;"Custom", VLOOKUP($H15,'Misc. Data &amp; Mechanisms'!$A$1483:$H$1574,MATCH($B$23,'Misc. Data &amp; Mechanisms'!$B$1483:$H$1483,0)+1,FALSE),IF($C$36="Custom",VLOOKUP($H15,$X$3:$AB$93,5,FALSE),VLOOKUP($H15,$X$3:$AB$93,3,FALSE))),""),""))</f>
        <v>0.223</v>
      </c>
      <c r="P15" s="1531">
        <f ca="1">IF(OR($H15="",$M15=""), "", IF($M15="Not Applicable", "-",VLOOKUP($H15,'Natural Gas Bill'!$A$5:$AS$96,6,FALSE)))</f>
        <v>135.87316923267124</v>
      </c>
      <c r="Q15" s="33"/>
      <c r="S15" s="30"/>
      <c r="T15" s="1521">
        <f>IF($B$25="Yes", 'Misc. Data &amp; Mechanisms'!$A74,IF(T14="", "", IF(($H14+DAY(DATE(YEAR($H14),MONTH($H14)+1,1)-1))&lt;=$C$28, ($H14+DAY(DATE(YEAR($H14),MONTH($H14)+1,1)-1)), "")))</f>
        <v>41244</v>
      </c>
      <c r="U15" s="1519"/>
      <c r="V15" s="1519"/>
      <c r="W15" s="1720"/>
      <c r="X15" s="1521">
        <f>IF($B$25="Yes", 'Misc. Data &amp; Mechanisms'!$A74,IF(X14="", "", IF(($H14+DAY(DATE(YEAR($H14),MONTH($H14)+1,1)-1))&lt;=$C$28, ($H14+DAY(DATE(YEAR($H14),MONTH($H14)+1,1)-1)), "")))</f>
        <v>41244</v>
      </c>
      <c r="Y15" s="1519"/>
      <c r="Z15" s="1519"/>
      <c r="AA15" s="1520"/>
      <c r="AB15" s="1520"/>
      <c r="AC15" s="1362"/>
      <c r="AD15" s="1363"/>
    </row>
    <row r="16" spans="1:30" ht="18" customHeight="1" x14ac:dyDescent="0.3">
      <c r="A16" s="1434" t="s">
        <v>369</v>
      </c>
      <c r="B16" s="1713" t="str">
        <f>IF(AND($B$30="No", $B$34&lt;&gt;"Electricity", $C$32="Apartment"), "Note: Natural Gas Residential Billing is not applicable to Apartments, and has been omitted", "")</f>
        <v/>
      </c>
      <c r="C16" s="1714"/>
      <c r="D16" s="1714"/>
      <c r="E16" s="1714"/>
      <c r="F16" s="1339"/>
      <c r="G16" s="30"/>
      <c r="H16" s="1521">
        <f>IF($B$25="Yes", 'Misc. Data &amp; Mechanisms'!$A75,IF(H15="", "", IF(($H15+DAY(DATE(YEAR($H15),MONTH($H15)+1,1)-1))&lt;=$C$28, ($H15+DAY(DATE(YEAR($H15),MONTH($H15)+1,1)-1)), "")))</f>
        <v>41275</v>
      </c>
      <c r="I16" s="1522">
        <f>IF($T16="", "",IFERROR(IF($B$30="Yes", VLOOKUP($H16, $T$3:$V$93, 2, FALSE), IF($B$34&lt;&gt;"Natural Gas", VLOOKUP($H16, 'Misc. Data &amp; Mechanisms'!$A$280:$D$369, HLOOKUP($C$32,'Misc. Data &amp; Mechanisms'!$A$277:$D$279, 3, FALSE), FALSE), IF($C$32="Apartment", "Not Applicable",VLOOKUP($H16, 'Misc. Data &amp; Mechanisms'!$E$280:$H$369, HLOOKUP($C$32,'Misc. Data &amp; Mechanisms'!$E$277:$H$279, 3, FALSE), FALSE)))), ""))</f>
        <v>695.70470034835296</v>
      </c>
      <c r="J16" s="1529">
        <f>IF($X16="", "",IFERROR(IF($B$34&lt;&gt;"Natural Gas", IF($C$36&lt;&gt;"Custom", IF($C$36 = "RRO (Capped)", VLOOKUP($H16,'Misc. Data &amp; Mechanisms'!$A$1278:$E$1368,MATCH($B$22,'Misc. Data &amp; Mechanisms'!$B$1278:$E$1278,0)+1,FALSE), VLOOKUP($H16,'Misc. Data &amp; Mechanisms'!$G$1278:$K$1368,MATCH($B$22,'Misc. Data &amp; Mechanisms'!$H$1278:$K$1278,0)+1,FALSE)),VLOOKUP($H16,$X$3:$AB$93,2,FALSE)),  IF($C$37&lt;&gt;"Custom", IF($C$37 = "DRT", VLOOKUP($H16,'Misc. Data &amp; Mechanisms'!$A$1381:$D$1471,MATCH($B$23,'Misc. Data &amp; Mechanisms'!$B$1381:$D$1381,0)+1,FALSE)),VLOOKUP($H16,$X$3:$AB$93,2,FALSE))),""))</f>
        <v>9.1424000000000003</v>
      </c>
      <c r="K16" s="1529">
        <f>IF($X16="", "",IFERROR(IF($B$34&lt;&gt;"Natural Gas", IF($C$36&lt;&gt;"Custom", VLOOKUP($H16,'Misc. Data &amp; Mechanisms'!$A$1483:$H$1574,MATCH($B$22,'Misc. Data &amp; Mechanisms'!$B$1483:$H$1483,0)+1,FALSE),VLOOKUP($H16,$X$3:$AB$93,3,FALSE)),  IF($C$37&lt;&gt;"Custom", VLOOKUP($H16,'Misc. Data &amp; Mechanisms'!$A$1483:$H$1574,MATCH($B$23,'Misc. Data &amp; Mechanisms'!$B$1483:$H$1483,0)+1,FALSE),VLOOKUP($H16,$X$3:$AB$93,3,FALSE))),""))</f>
        <v>0.23369999999999999</v>
      </c>
      <c r="L16" s="1531">
        <f ca="1">IF(OR($H16="",$I16=""),"",IF($I16="Not Applicable", "-",IF($B$34&lt;&gt;"Natural Gas",VLOOKUP($H16,'Electricity Bill'!$A$5:$AR$96,6,FALSE),VLOOKUP($H16,'Natural Gas Bill'!$A$5:$AS$96,6,FALSE))))</f>
        <v>115.67277820131953</v>
      </c>
      <c r="M16" s="1522">
        <f>IF($T16="", "", IFERROR(IF($B$30="Yes", $V16, IF($B$34="Both",IF($C$32="Apartment","Not Applicable", VLOOKUP($H16, 'Misc. Data &amp; Mechanisms'!$E$280:$H$369, HLOOKUP($C$32,'Misc. Data &amp; Mechanisms'!$E$277:$H$279, 3, FALSE), FALSE)),"")), ""))</f>
        <v>17.728016094174261</v>
      </c>
      <c r="N16" s="1530">
        <f>IF($X16="", "",IFERROR(IF($B$34="Both",IF($C$37&lt;&gt;"Custom", IF($C$37 = "DRT", VLOOKUP($H16,'Misc. Data &amp; Mechanisms'!$A$1381:$D$1471,MATCH($B$23,'Misc. Data &amp; Mechanisms'!$B$1381:$D$1381,0)+1,FALSE)),IF($C$36="Custom",VLOOKUP($H16,$X$3:$AB$93,4,FALSE),VLOOKUP($H16,$X$3:$AB$93,2,FALSE))),""),""))</f>
        <v>2.9169999999999998</v>
      </c>
      <c r="O16" s="1529">
        <f>IF($X16="", "",IFERROR(IF($B$34="Both",IF($C$37&lt;&gt;"Custom", VLOOKUP($H16,'Misc. Data &amp; Mechanisms'!$A$1483:$H$1574,MATCH($B$23,'Misc. Data &amp; Mechanisms'!$B$1483:$H$1483,0)+1,FALSE),IF($C$36="Custom",VLOOKUP($H16,$X$3:$AB$93,5,FALSE),VLOOKUP($H16,$X$3:$AB$93,3,FALSE))),""),""))</f>
        <v>0.223</v>
      </c>
      <c r="P16" s="1531">
        <f ca="1">IF(OR($H16="",$M16=""), "", IF($M16="Not Applicable", "-",VLOOKUP($H16,'Natural Gas Bill'!$A$5:$AS$96,6,FALSE)))</f>
        <v>118.84553489725054</v>
      </c>
      <c r="Q16" s="33"/>
      <c r="S16" s="30"/>
      <c r="T16" s="1521">
        <f>IF($B$25="Yes", 'Misc. Data &amp; Mechanisms'!$A75,IF(T15="", "", IF(($H15+DAY(DATE(YEAR($H15),MONTH($H15)+1,1)-1))&lt;=$C$28, ($H15+DAY(DATE(YEAR($H15),MONTH($H15)+1,1)-1)), "")))</f>
        <v>41275</v>
      </c>
      <c r="U16" s="1519"/>
      <c r="V16" s="1519"/>
      <c r="W16" s="1720"/>
      <c r="X16" s="1521">
        <f>IF($B$25="Yes", 'Misc. Data &amp; Mechanisms'!$A75,IF(X15="", "", IF(($H15+DAY(DATE(YEAR($H15),MONTH($H15)+1,1)-1))&lt;=$C$28, ($H15+DAY(DATE(YEAR($H15),MONTH($H15)+1,1)-1)), "")))</f>
        <v>41275</v>
      </c>
      <c r="Y16" s="1519"/>
      <c r="Z16" s="1519"/>
      <c r="AA16" s="1520"/>
      <c r="AB16" s="1520"/>
      <c r="AC16" s="1362"/>
      <c r="AD16" s="1363"/>
    </row>
    <row r="17" spans="1:30" ht="18" customHeight="1" x14ac:dyDescent="0.3">
      <c r="A17" s="1435" t="s">
        <v>370</v>
      </c>
      <c r="B17" s="1713"/>
      <c r="C17" s="1714"/>
      <c r="D17" s="1714"/>
      <c r="E17" s="1714"/>
      <c r="F17" s="1339"/>
      <c r="G17" s="30"/>
      <c r="H17" s="1521">
        <f>IF($B$25="Yes", 'Misc. Data &amp; Mechanisms'!$A76,IF(H16="", "", IF(($H16+DAY(DATE(YEAR($H16),MONTH($H16)+1,1)-1))&lt;=$C$28, ($H16+DAY(DATE(YEAR($H16),MONTH($H16)+1,1)-1)), "")))</f>
        <v>41306</v>
      </c>
      <c r="I17" s="1522">
        <f>IF($T17="", "",IFERROR(IF($B$30="Yes", VLOOKUP($H17, $T$3:$V$93, 2, FALSE), IF($B$34&lt;&gt;"Natural Gas", VLOOKUP($H17, 'Misc. Data &amp; Mechanisms'!$A$280:$D$369, HLOOKUP($C$32,'Misc. Data &amp; Mechanisms'!$A$277:$D$279, 3, FALSE), FALSE), IF($C$32="Apartment", "Not Applicable",VLOOKUP($H17, 'Misc. Data &amp; Mechanisms'!$E$280:$H$369, HLOOKUP($C$32,'Misc. Data &amp; Mechanisms'!$E$277:$H$279, 3, FALSE), FALSE)))), ""))</f>
        <v>588.63103674874526</v>
      </c>
      <c r="J17" s="1529">
        <f>IF($X17="", "",IFERROR(IF($B$34&lt;&gt;"Natural Gas", IF($C$36&lt;&gt;"Custom", IF($C$36 = "RRO (Capped)", VLOOKUP($H17,'Misc. Data &amp; Mechanisms'!$A$1278:$E$1368,MATCH($B$22,'Misc. Data &amp; Mechanisms'!$B$1278:$E$1278,0)+1,FALSE), VLOOKUP($H17,'Misc. Data &amp; Mechanisms'!$G$1278:$K$1368,MATCH($B$22,'Misc. Data &amp; Mechanisms'!$H$1278:$K$1278,0)+1,FALSE)),VLOOKUP($H17,$X$3:$AB$93,2,FALSE)),  IF($C$37&lt;&gt;"Custom", IF($C$37 = "DRT", VLOOKUP($H17,'Misc. Data &amp; Mechanisms'!$A$1381:$D$1471,MATCH($B$23,'Misc. Data &amp; Mechanisms'!$B$1381:$D$1381,0)+1,FALSE)),VLOOKUP($H17,$X$3:$AB$93,2,FALSE))),""))</f>
        <v>7.6902999999999997</v>
      </c>
      <c r="K17" s="1529">
        <f>IF($X17="", "",IFERROR(IF($B$34&lt;&gt;"Natural Gas", IF($C$36&lt;&gt;"Custom", VLOOKUP($H17,'Misc. Data &amp; Mechanisms'!$A$1483:$H$1574,MATCH($B$22,'Misc. Data &amp; Mechanisms'!$B$1483:$H$1483,0)+1,FALSE),VLOOKUP($H17,$X$3:$AB$93,3,FALSE)),  IF($C$37&lt;&gt;"Custom", VLOOKUP($H17,'Misc. Data &amp; Mechanisms'!$A$1483:$H$1574,MATCH($B$23,'Misc. Data &amp; Mechanisms'!$B$1483:$H$1483,0)+1,FALSE),VLOOKUP($H17,$X$3:$AB$93,3,FALSE))),""))</f>
        <v>0.23369999999999999</v>
      </c>
      <c r="L17" s="1531">
        <f ca="1">IF(OR($H17="",$I17=""),"",IF($I17="Not Applicable", "-",IF($B$34&lt;&gt;"Natural Gas",VLOOKUP($H17,'Electricity Bill'!$A$5:$AR$96,6,FALSE),VLOOKUP($H17,'Natural Gas Bill'!$A$5:$AS$96,6,FALSE))))</f>
        <v>89.04222337749988</v>
      </c>
      <c r="M17" s="1522">
        <f>IF($T17="", "", IFERROR(IF($B$30="Yes", $V17, IF($B$34="Both",IF($C$32="Apartment","Not Applicable", VLOOKUP($H17, 'Misc. Data &amp; Mechanisms'!$E$280:$H$369, HLOOKUP($C$32,'Misc. Data &amp; Mechanisms'!$E$277:$H$279, 3, FALSE), FALSE)),"")), ""))</f>
        <v>12.907658869082555</v>
      </c>
      <c r="N17" s="1530">
        <f>IF($X17="", "",IFERROR(IF($B$34="Both",IF($C$37&lt;&gt;"Custom", IF($C$37 = "DRT", VLOOKUP($H17,'Misc. Data &amp; Mechanisms'!$A$1381:$D$1471,MATCH($B$23,'Misc. Data &amp; Mechanisms'!$B$1381:$D$1381,0)+1,FALSE)),IF($C$36="Custom",VLOOKUP($H17,$X$3:$AB$93,4,FALSE),VLOOKUP($H17,$X$3:$AB$93,2,FALSE))),""),""))</f>
        <v>3.2530000000000001</v>
      </c>
      <c r="O17" s="1529">
        <f>IF($X17="", "",IFERROR(IF($B$34="Both",IF($C$37&lt;&gt;"Custom", VLOOKUP($H17,'Misc. Data &amp; Mechanisms'!$A$1483:$H$1574,MATCH($B$23,'Misc. Data &amp; Mechanisms'!$B$1483:$H$1483,0)+1,FALSE),IF($C$36="Custom",VLOOKUP($H17,$X$3:$AB$93,5,FALSE),VLOOKUP($H17,$X$3:$AB$93,3,FALSE))),""),""))</f>
        <v>0.223</v>
      </c>
      <c r="P17" s="1531">
        <f ca="1">IF(OR($H17="",$M17=""), "", IF($M17="Not Applicable", "-",VLOOKUP($H17,'Natural Gas Bill'!$A$5:$AS$96,6,FALSE)))</f>
        <v>97.593078533749576</v>
      </c>
      <c r="Q17" s="33"/>
      <c r="S17" s="30"/>
      <c r="T17" s="1521">
        <f>IF($B$25="Yes", 'Misc. Data &amp; Mechanisms'!$A76,IF(T16="", "", IF(($H16+DAY(DATE(YEAR($H16),MONTH($H16)+1,1)-1))&lt;=$C$28, ($H16+DAY(DATE(YEAR($H16),MONTH($H16)+1,1)-1)), "")))</f>
        <v>41306</v>
      </c>
      <c r="U17" s="1519"/>
      <c r="V17" s="1519"/>
      <c r="W17" s="1720"/>
      <c r="X17" s="1521">
        <f>IF($B$25="Yes", 'Misc. Data &amp; Mechanisms'!$A76,IF(X16="", "", IF(($H16+DAY(DATE(YEAR($H16),MONTH($H16)+1,1)-1))&lt;=$C$28, ($H16+DAY(DATE(YEAR($H16),MONTH($H16)+1,1)-1)), "")))</f>
        <v>41306</v>
      </c>
      <c r="Y17" s="1519"/>
      <c r="Z17" s="1519"/>
      <c r="AA17" s="1520"/>
      <c r="AB17" s="1520"/>
      <c r="AC17" s="1362"/>
      <c r="AD17" s="1363"/>
    </row>
    <row r="18" spans="1:30" ht="18" customHeight="1" thickBot="1" x14ac:dyDescent="0.35">
      <c r="F18" s="1342"/>
      <c r="G18" s="30"/>
      <c r="H18" s="1521">
        <f>IF($B$25="Yes", 'Misc. Data &amp; Mechanisms'!$A77,IF(H17="", "", IF(($H17+DAY(DATE(YEAR($H17),MONTH($H17)+1,1)-1))&lt;=$C$28, ($H17+DAY(DATE(YEAR($H17),MONTH($H17)+1,1)-1)), "")))</f>
        <v>41334</v>
      </c>
      <c r="I18" s="1522">
        <f>IF($T18="", "",IFERROR(IF($B$30="Yes", VLOOKUP($H18, $T$3:$V$93, 2, FALSE), IF($B$34&lt;&gt;"Natural Gas", VLOOKUP($H18, 'Misc. Data &amp; Mechanisms'!$A$280:$D$369, HLOOKUP($C$32,'Misc. Data &amp; Mechanisms'!$A$277:$D$279, 3, FALSE), FALSE), IF($C$32="Apartment", "Not Applicable",VLOOKUP($H18, 'Misc. Data &amp; Mechanisms'!$E$280:$H$369, HLOOKUP($C$32,'Misc. Data &amp; Mechanisms'!$E$277:$H$279, 3, FALSE), FALSE)))), ""))</f>
        <v>635.48405455189265</v>
      </c>
      <c r="J18" s="1529">
        <f>IF($X18="", "",IFERROR(IF($B$34&lt;&gt;"Natural Gas", IF($C$36&lt;&gt;"Custom", IF($C$36 = "RRO (Capped)", VLOOKUP($H18,'Misc. Data &amp; Mechanisms'!$A$1278:$E$1368,MATCH($B$22,'Misc. Data &amp; Mechanisms'!$B$1278:$E$1278,0)+1,FALSE), VLOOKUP($H18,'Misc. Data &amp; Mechanisms'!$G$1278:$K$1368,MATCH($B$22,'Misc. Data &amp; Mechanisms'!$H$1278:$K$1278,0)+1,FALSE)),VLOOKUP($H18,$X$3:$AB$93,2,FALSE)),  IF($C$37&lt;&gt;"Custom", IF($C$37 = "DRT", VLOOKUP($H18,'Misc. Data &amp; Mechanisms'!$A$1381:$D$1471,MATCH($B$23,'Misc. Data &amp; Mechanisms'!$B$1381:$D$1381,0)+1,FALSE)),VLOOKUP($H18,$X$3:$AB$93,2,FALSE))),""))</f>
        <v>7.2336</v>
      </c>
      <c r="K18" s="1529">
        <f>IF($X18="", "",IFERROR(IF($B$34&lt;&gt;"Natural Gas", IF($C$36&lt;&gt;"Custom", VLOOKUP($H18,'Misc. Data &amp; Mechanisms'!$A$1483:$H$1574,MATCH($B$22,'Misc. Data &amp; Mechanisms'!$B$1483:$H$1483,0)+1,FALSE),VLOOKUP($H18,$X$3:$AB$93,3,FALSE)),  IF($C$37&lt;&gt;"Custom", VLOOKUP($H18,'Misc. Data &amp; Mechanisms'!$A$1483:$H$1574,MATCH($B$23,'Misc. Data &amp; Mechanisms'!$B$1483:$H$1483,0)+1,FALSE),VLOOKUP($H18,$X$3:$AB$93,3,FALSE))),""))</f>
        <v>0.23369999999999999</v>
      </c>
      <c r="L18" s="1531">
        <f ca="1">IF(OR($H18="",$I18=""),"",IF($I18="Not Applicable", "-",IF($B$34&lt;&gt;"Natural Gas",VLOOKUP($H18,'Electricity Bill'!$A$5:$AR$96,6,FALSE),VLOOKUP($H18,'Natural Gas Bill'!$A$5:$AS$96,6,FALSE))))</f>
        <v>93.242061887794094</v>
      </c>
      <c r="M18" s="1522">
        <f>IF($T18="", "", IFERROR(IF($B$30="Yes", $V18, IF($B$34="Both",IF($C$32="Apartment","Not Applicable", VLOOKUP($H18, 'Misc. Data &amp; Mechanisms'!$E$280:$H$369, HLOOKUP($C$32,'Misc. Data &amp; Mechanisms'!$E$277:$H$279, 3, FALSE), FALSE)),"")), ""))</f>
        <v>15.132218796418558</v>
      </c>
      <c r="N18" s="1530">
        <f>IF($X18="", "",IFERROR(IF($B$34="Both",IF($C$37&lt;&gt;"Custom", IF($C$37 = "DRT", VLOOKUP($H18,'Misc. Data &amp; Mechanisms'!$A$1381:$D$1471,MATCH($B$23,'Misc. Data &amp; Mechanisms'!$B$1381:$D$1381,0)+1,FALSE)),IF($C$36="Custom",VLOOKUP($H18,$X$3:$AB$93,4,FALSE),VLOOKUP($H18,$X$3:$AB$93,2,FALSE))),""),""))</f>
        <v>2.8439999999999999</v>
      </c>
      <c r="O18" s="1529">
        <f>IF($X18="", "",IFERROR(IF($B$34="Both",IF($C$37&lt;&gt;"Custom", VLOOKUP($H18,'Misc. Data &amp; Mechanisms'!$A$1483:$H$1574,MATCH($B$23,'Misc. Data &amp; Mechanisms'!$B$1483:$H$1483,0)+1,FALSE),IF($C$36="Custom",VLOOKUP($H18,$X$3:$AB$93,5,FALSE),VLOOKUP($H18,$X$3:$AB$93,3,FALSE))),""),""))</f>
        <v>0.223</v>
      </c>
      <c r="P18" s="1531">
        <f ca="1">IF(OR($H18="",$M18=""), "", IF($M18="Not Applicable", "-",VLOOKUP($H18,'Natural Gas Bill'!$A$5:$AS$96,6,FALSE)))</f>
        <v>106.07401798897844</v>
      </c>
      <c r="Q18" s="33"/>
      <c r="S18" s="30"/>
      <c r="T18" s="1521">
        <f>IF($B$25="Yes", 'Misc. Data &amp; Mechanisms'!$A77,IF(T17="", "", IF(($H17+DAY(DATE(YEAR($H17),MONTH($H17)+1,1)-1))&lt;=$C$28, ($H17+DAY(DATE(YEAR($H17),MONTH($H17)+1,1)-1)), "")))</f>
        <v>41334</v>
      </c>
      <c r="U18" s="1519"/>
      <c r="V18" s="1519"/>
      <c r="W18" s="1720"/>
      <c r="X18" s="1521">
        <f>IF($B$25="Yes", 'Misc. Data &amp; Mechanisms'!$A77,IF(X17="", "", IF(($H17+DAY(DATE(YEAR($H17),MONTH($H17)+1,1)-1))&lt;=$C$28, ($H17+DAY(DATE(YEAR($H17),MONTH($H17)+1,1)-1)), "")))</f>
        <v>41334</v>
      </c>
      <c r="Y18" s="1519"/>
      <c r="Z18" s="1519"/>
      <c r="AA18" s="1520"/>
      <c r="AB18" s="1520"/>
      <c r="AC18" s="1362"/>
      <c r="AD18" s="1363"/>
    </row>
    <row r="19" spans="1:30" ht="36.75" customHeight="1" thickBot="1" x14ac:dyDescent="0.25">
      <c r="A19" s="1690" t="s">
        <v>368</v>
      </c>
      <c r="B19" s="1691"/>
      <c r="C19" s="1691"/>
      <c r="D19" s="1691"/>
      <c r="E19" s="1692"/>
      <c r="F19" s="1361"/>
      <c r="G19" s="30"/>
      <c r="H19" s="1521">
        <f>IF($B$25="Yes", 'Misc. Data &amp; Mechanisms'!$A78,IF(H18="", "", IF(($H18+DAY(DATE(YEAR($H18),MONTH($H18)+1,1)-1))&lt;=$C$28, ($H18+DAY(DATE(YEAR($H18),MONTH($H18)+1,1)-1)), "")))</f>
        <v>41365</v>
      </c>
      <c r="I19" s="1522">
        <f>IF($T19="", "",IFERROR(IF($B$30="Yes", VLOOKUP($H19, $T$3:$V$93, 2, FALSE), IF($B$34&lt;&gt;"Natural Gas", VLOOKUP($H19, 'Misc. Data &amp; Mechanisms'!$A$280:$D$369, HLOOKUP($C$32,'Misc. Data &amp; Mechanisms'!$A$277:$D$279, 3, FALSE), FALSE), IF($C$32="Apartment", "Not Applicable",VLOOKUP($H19, 'Misc. Data &amp; Mechanisms'!$E$280:$H$369, HLOOKUP($C$32,'Misc. Data &amp; Mechanisms'!$E$277:$H$279, 3, FALSE), FALSE)))), ""))</f>
        <v>582.137273709135</v>
      </c>
      <c r="J19" s="1529">
        <f>IF($X19="", "",IFERROR(IF($B$34&lt;&gt;"Natural Gas", IF($C$36&lt;&gt;"Custom", IF($C$36 = "RRO (Capped)", VLOOKUP($H19,'Misc. Data &amp; Mechanisms'!$A$1278:$E$1368,MATCH($B$22,'Misc. Data &amp; Mechanisms'!$B$1278:$E$1278,0)+1,FALSE), VLOOKUP($H19,'Misc. Data &amp; Mechanisms'!$G$1278:$K$1368,MATCH($B$22,'Misc. Data &amp; Mechanisms'!$H$1278:$K$1278,0)+1,FALSE)),VLOOKUP($H19,$X$3:$AB$93,2,FALSE)),  IF($C$37&lt;&gt;"Custom", IF($C$37 = "DRT", VLOOKUP($H19,'Misc. Data &amp; Mechanisms'!$A$1381:$D$1471,MATCH($B$23,'Misc. Data &amp; Mechanisms'!$B$1381:$D$1381,0)+1,FALSE)),VLOOKUP($H19,$X$3:$AB$93,2,FALSE))),""))</f>
        <v>8.3926999999999996</v>
      </c>
      <c r="K19" s="1529">
        <f>IF($X19="", "",IFERROR(IF($B$34&lt;&gt;"Natural Gas", IF($C$36&lt;&gt;"Custom", VLOOKUP($H19,'Misc. Data &amp; Mechanisms'!$A$1483:$H$1574,MATCH($B$22,'Misc. Data &amp; Mechanisms'!$B$1483:$H$1483,0)+1,FALSE),VLOOKUP($H19,$X$3:$AB$93,3,FALSE)),  IF($C$37&lt;&gt;"Custom", VLOOKUP($H19,'Misc. Data &amp; Mechanisms'!$A$1483:$H$1574,MATCH($B$23,'Misc. Data &amp; Mechanisms'!$B$1483:$H$1483,0)+1,FALSE),VLOOKUP($H19,$X$3:$AB$93,3,FALSE))),""))</f>
        <v>0.23369999999999999</v>
      </c>
      <c r="L19" s="1531">
        <f ca="1">IF(OR($H19="",$I19=""),"",IF($I19="Not Applicable", "-",IF($B$34&lt;&gt;"Natural Gas",VLOOKUP($H19,'Electricity Bill'!$A$5:$AR$96,6,FALSE),VLOOKUP($H19,'Natural Gas Bill'!$A$5:$AS$96,6,FALSE))))</f>
        <v>98.476380221446362</v>
      </c>
      <c r="M19" s="1522">
        <f>IF($T19="", "", IFERROR(IF($B$30="Yes", $V19, IF($B$34="Both",IF($C$32="Apartment","Not Applicable", VLOOKUP($H19, 'Misc. Data &amp; Mechanisms'!$E$280:$H$369, HLOOKUP($C$32,'Misc. Data &amp; Mechanisms'!$E$277:$H$279, 3, FALSE), FALSE)),"")), ""))</f>
        <v>11.951872910186294</v>
      </c>
      <c r="N19" s="1530">
        <f>IF($X19="", "",IFERROR(IF($B$34="Both",IF($C$37&lt;&gt;"Custom", IF($C$37 = "DRT", VLOOKUP($H19,'Misc. Data &amp; Mechanisms'!$A$1381:$D$1471,MATCH($B$23,'Misc. Data &amp; Mechanisms'!$B$1381:$D$1381,0)+1,FALSE)),IF($C$36="Custom",VLOOKUP($H19,$X$3:$AB$93,4,FALSE),VLOOKUP($H19,$X$3:$AB$93,2,FALSE))),""),""))</f>
        <v>3.472</v>
      </c>
      <c r="O19" s="1529">
        <f>IF($X19="", "",IFERROR(IF($B$34="Both",IF($C$37&lt;&gt;"Custom", VLOOKUP($H19,'Misc. Data &amp; Mechanisms'!$A$1483:$H$1574,MATCH($B$23,'Misc. Data &amp; Mechanisms'!$B$1483:$H$1483,0)+1,FALSE),IF($C$36="Custom",VLOOKUP($H19,$X$3:$AB$93,5,FALSE),VLOOKUP($H19,$X$3:$AB$93,3,FALSE))),""),""))</f>
        <v>0.223</v>
      </c>
      <c r="P19" s="1531">
        <f ca="1">IF(OR($H19="",$M19=""), "", IF($M19="Not Applicable", "-",VLOOKUP($H19,'Natural Gas Bill'!$A$5:$AS$96,6,FALSE)))</f>
        <v>99.481510100027037</v>
      </c>
      <c r="Q19" s="33"/>
      <c r="S19" s="30"/>
      <c r="T19" s="1521">
        <f>IF($B$25="Yes", 'Misc. Data &amp; Mechanisms'!$A78,IF(T18="", "", IF(($H18+DAY(DATE(YEAR($H18),MONTH($H18)+1,1)-1))&lt;=$C$28, ($H18+DAY(DATE(YEAR($H18),MONTH($H18)+1,1)-1)), "")))</f>
        <v>41365</v>
      </c>
      <c r="U19" s="1519"/>
      <c r="V19" s="1519"/>
      <c r="W19" s="31"/>
      <c r="X19" s="1521">
        <f>IF($B$25="Yes", 'Misc. Data &amp; Mechanisms'!$A78,IF(X18="", "", IF(($H18+DAY(DATE(YEAR($H18),MONTH($H18)+1,1)-1))&lt;=$C$28, ($H18+DAY(DATE(YEAR($H18),MONTH($H18)+1,1)-1)), "")))</f>
        <v>41365</v>
      </c>
      <c r="Y19" s="1519"/>
      <c r="Z19" s="1519"/>
      <c r="AA19" s="1520"/>
      <c r="AB19" s="1520"/>
      <c r="AC19" s="1362"/>
      <c r="AD19" s="1363"/>
    </row>
    <row r="20" spans="1:30" ht="18" customHeight="1" thickBot="1" x14ac:dyDescent="0.35">
      <c r="A20" s="30"/>
      <c r="B20" s="31"/>
      <c r="C20" s="31"/>
      <c r="D20" s="31"/>
      <c r="E20" s="1340"/>
      <c r="F20" s="1339"/>
      <c r="G20" s="30"/>
      <c r="H20" s="1521">
        <f>IF($B$25="Yes", 'Misc. Data &amp; Mechanisms'!$A79,IF(H19="", "", IF(($H19+DAY(DATE(YEAR($H19),MONTH($H19)+1,1)-1))&lt;=$C$28, ($H19+DAY(DATE(YEAR($H19),MONTH($H19)+1,1)-1)), "")))</f>
        <v>41395</v>
      </c>
      <c r="I20" s="1522">
        <f>IF($T20="", "",IFERROR(IF($B$30="Yes", VLOOKUP($H20, $T$3:$V$93, 2, FALSE), IF($B$34&lt;&gt;"Natural Gas", VLOOKUP($H20, 'Misc. Data &amp; Mechanisms'!$A$280:$D$369, HLOOKUP($C$32,'Misc. Data &amp; Mechanisms'!$A$277:$D$279, 3, FALSE), FALSE), IF($C$32="Apartment", "Not Applicable",VLOOKUP($H20, 'Misc. Data &amp; Mechanisms'!$E$280:$H$369, HLOOKUP($C$32,'Misc. Data &amp; Mechanisms'!$E$277:$H$279, 3, FALSE), FALSE)))), ""))</f>
        <v>524.18966004109279</v>
      </c>
      <c r="J20" s="1529">
        <f>IF($X20="", "",IFERROR(IF($B$34&lt;&gt;"Natural Gas", IF($C$36&lt;&gt;"Custom", IF($C$36 = "RRO (Capped)", VLOOKUP($H20,'Misc. Data &amp; Mechanisms'!$A$1278:$E$1368,MATCH($B$22,'Misc. Data &amp; Mechanisms'!$B$1278:$E$1278,0)+1,FALSE), VLOOKUP($H20,'Misc. Data &amp; Mechanisms'!$G$1278:$K$1368,MATCH($B$22,'Misc. Data &amp; Mechanisms'!$H$1278:$K$1278,0)+1,FALSE)),VLOOKUP($H20,$X$3:$AB$93,2,FALSE)),  IF($C$37&lt;&gt;"Custom", IF($C$37 = "DRT", VLOOKUP($H20,'Misc. Data &amp; Mechanisms'!$A$1381:$D$1471,MATCH($B$23,'Misc. Data &amp; Mechanisms'!$B$1381:$D$1381,0)+1,FALSE)),VLOOKUP($H20,$X$3:$AB$93,2,FALSE))),""))</f>
        <v>7.2154999999999996</v>
      </c>
      <c r="K20" s="1529">
        <f>IF($X20="", "",IFERROR(IF($B$34&lt;&gt;"Natural Gas", IF($C$36&lt;&gt;"Custom", VLOOKUP($H20,'Misc. Data &amp; Mechanisms'!$A$1483:$H$1574,MATCH($B$22,'Misc. Data &amp; Mechanisms'!$B$1483:$H$1483,0)+1,FALSE),VLOOKUP($H20,$X$3:$AB$93,3,FALSE)),  IF($C$37&lt;&gt;"Custom", VLOOKUP($H20,'Misc. Data &amp; Mechanisms'!$A$1483:$H$1574,MATCH($B$23,'Misc. Data &amp; Mechanisms'!$B$1483:$H$1483,0)+1,FALSE),VLOOKUP($H20,$X$3:$AB$93,3,FALSE))),""))</f>
        <v>0.23369999999999999</v>
      </c>
      <c r="L20" s="1531">
        <f ca="1">IF(OR($H20="",$I20=""),"",IF($I20="Not Applicable", "-",IF($B$34&lt;&gt;"Natural Gas",VLOOKUP($H20,'Electricity Bill'!$A$5:$AR$96,6,FALSE),VLOOKUP($H20,'Natural Gas Bill'!$A$5:$AS$96,6,FALSE))))</f>
        <v>84.05004054674572</v>
      </c>
      <c r="M20" s="1522">
        <f>IF($T20="", "", IFERROR(IF($B$30="Yes", $V20, IF($B$34="Both",IF($C$32="Apartment","Not Applicable", VLOOKUP($H20, 'Misc. Data &amp; Mechanisms'!$E$280:$H$369, HLOOKUP($C$32,'Misc. Data &amp; Mechanisms'!$E$277:$H$279, 3, FALSE), FALSE)),"")), ""))</f>
        <v>5.0917294193510614</v>
      </c>
      <c r="N20" s="1530">
        <f>IF($X20="", "",IFERROR(IF($B$34="Both",IF($C$37&lt;&gt;"Custom", IF($C$37 = "DRT", VLOOKUP($H20,'Misc. Data &amp; Mechanisms'!$A$1381:$D$1471,MATCH($B$23,'Misc. Data &amp; Mechanisms'!$B$1381:$D$1381,0)+1,FALSE)),IF($C$36="Custom",VLOOKUP($H20,$X$3:$AB$93,4,FALSE),VLOOKUP($H20,$X$3:$AB$93,2,FALSE))),""),""))</f>
        <v>4.1459999999999999</v>
      </c>
      <c r="O20" s="1529">
        <f>IF($X20="", "",IFERROR(IF($B$34="Both",IF($C$37&lt;&gt;"Custom", VLOOKUP($H20,'Misc. Data &amp; Mechanisms'!$A$1483:$H$1574,MATCH($B$23,'Misc. Data &amp; Mechanisms'!$B$1483:$H$1483,0)+1,FALSE),IF($C$36="Custom",VLOOKUP($H20,$X$3:$AB$93,5,FALSE),VLOOKUP($H20,$X$3:$AB$93,3,FALSE))),""),""))</f>
        <v>0.223</v>
      </c>
      <c r="P20" s="1531">
        <f ca="1">IF(OR($H20="",$M20=""), "", IF($M20="Not Applicable", "-",VLOOKUP($H20,'Natural Gas Bill'!$A$5:$AS$96,6,FALSE)))</f>
        <v>66.975320096486413</v>
      </c>
      <c r="Q20" s="33"/>
      <c r="S20" s="30"/>
      <c r="T20" s="1521">
        <f>IF($B$25="Yes", 'Misc. Data &amp; Mechanisms'!$A79,IF(T19="", "", IF(($H19+DAY(DATE(YEAR($H19),MONTH($H19)+1,1)-1))&lt;=$C$28, ($H19+DAY(DATE(YEAR($H19),MONTH($H19)+1,1)-1)), "")))</f>
        <v>41395</v>
      </c>
      <c r="U20" s="1519"/>
      <c r="V20" s="1519"/>
      <c r="W20" s="1721" t="str">
        <f>IFERROR(IF(AND(MATCH("No", 'Misc. Data &amp; Mechanisms'!$I$1191:$I$1198,0)&gt;0, $B$30="Yes"), "Warning: Annual Electricity Consumption is not less than 250,000 kWh, and so exceeds the consumption limit for RRO eligibility.",""), "")</f>
        <v/>
      </c>
      <c r="X20" s="1521">
        <f>IF($B$25="Yes", 'Misc. Data &amp; Mechanisms'!$A79,IF(X19="", "", IF(($H19+DAY(DATE(YEAR($H19),MONTH($H19)+1,1)-1))&lt;=$C$28, ($H19+DAY(DATE(YEAR($H19),MONTH($H19)+1,1)-1)), "")))</f>
        <v>41395</v>
      </c>
      <c r="Y20" s="1519"/>
      <c r="Z20" s="1519"/>
      <c r="AA20" s="1520"/>
      <c r="AB20" s="1520"/>
      <c r="AC20" s="1362"/>
      <c r="AD20" s="1363"/>
    </row>
    <row r="21" spans="1:30" ht="18" customHeight="1" x14ac:dyDescent="0.3">
      <c r="A21" s="34" t="s">
        <v>244</v>
      </c>
      <c r="B21" s="1430" t="s">
        <v>201</v>
      </c>
      <c r="C21" s="26" t="str">
        <f>HYPERLINK("#"&amp;ADDRESS(ROW(), COLUMN()-1), "€")</f>
        <v>€</v>
      </c>
      <c r="D21" s="1359"/>
      <c r="E21" s="33"/>
      <c r="F21" s="1339"/>
      <c r="G21" s="30"/>
      <c r="H21" s="1521">
        <f>IF($B$25="Yes", 'Misc. Data &amp; Mechanisms'!$A80,IF(H20="", "", IF(($H20+DAY(DATE(YEAR($H20),MONTH($H20)+1,1)-1))&lt;=$C$28, ($H20+DAY(DATE(YEAR($H20),MONTH($H20)+1,1)-1)), "")))</f>
        <v>41426</v>
      </c>
      <c r="I21" s="1522">
        <f>IF($T21="", "",IFERROR(IF($B$30="Yes", VLOOKUP($H21, $T$3:$V$93, 2, FALSE), IF($B$34&lt;&gt;"Natural Gas", VLOOKUP($H21, 'Misc. Data &amp; Mechanisms'!$A$280:$D$369, HLOOKUP($C$32,'Misc. Data &amp; Mechanisms'!$A$277:$D$279, 3, FALSE), FALSE), IF($C$32="Apartment", "Not Applicable",VLOOKUP($H21, 'Misc. Data &amp; Mechanisms'!$E$280:$H$369, HLOOKUP($C$32,'Misc. Data &amp; Mechanisms'!$E$277:$H$279, 3, FALSE), FALSE)))), ""))</f>
        <v>529.52087601301878</v>
      </c>
      <c r="J21" s="1529">
        <f>IF($X21="", "",IFERROR(IF($B$34&lt;&gt;"Natural Gas", IF($C$36&lt;&gt;"Custom", IF($C$36 = "RRO (Capped)", VLOOKUP($H21,'Misc. Data &amp; Mechanisms'!$A$1278:$E$1368,MATCH($B$22,'Misc. Data &amp; Mechanisms'!$B$1278:$E$1278,0)+1,FALSE), VLOOKUP($H21,'Misc. Data &amp; Mechanisms'!$G$1278:$K$1368,MATCH($B$22,'Misc. Data &amp; Mechanisms'!$H$1278:$K$1278,0)+1,FALSE)),VLOOKUP($H21,$X$3:$AB$93,2,FALSE)),  IF($C$37&lt;&gt;"Custom", IF($C$37 = "DRT", VLOOKUP($H21,'Misc. Data &amp; Mechanisms'!$A$1381:$D$1471,MATCH($B$23,'Misc. Data &amp; Mechanisms'!$B$1381:$D$1381,0)+1,FALSE)),VLOOKUP($H21,$X$3:$AB$93,2,FALSE))),""))</f>
        <v>7.7211999999999996</v>
      </c>
      <c r="K21" s="1529">
        <f>IF($X21="", "",IFERROR(IF($B$34&lt;&gt;"Natural Gas", IF($C$36&lt;&gt;"Custom", VLOOKUP($H21,'Misc. Data &amp; Mechanisms'!$A$1483:$H$1574,MATCH($B$22,'Misc. Data &amp; Mechanisms'!$B$1483:$H$1483,0)+1,FALSE),VLOOKUP($H21,$X$3:$AB$93,3,FALSE)),  IF($C$37&lt;&gt;"Custom", VLOOKUP($H21,'Misc. Data &amp; Mechanisms'!$A$1483:$H$1574,MATCH($B$23,'Misc. Data &amp; Mechanisms'!$B$1483:$H$1483,0)+1,FALSE),VLOOKUP($H21,$X$3:$AB$93,3,FALSE))),""))</f>
        <v>0.23369999999999999</v>
      </c>
      <c r="L21" s="1531">
        <f ca="1">IF(OR($H21="",$I21=""),"",IF($I21="Not Applicable", "-",IF($B$34&lt;&gt;"Natural Gas",VLOOKUP($H21,'Electricity Bill'!$A$5:$AR$96,6,FALSE),VLOOKUP($H21,'Natural Gas Bill'!$A$5:$AS$96,6,FALSE))))</f>
        <v>85.968160553757244</v>
      </c>
      <c r="M21" s="1522">
        <f>IF($T21="", "", IFERROR(IF($B$30="Yes", $V21, IF($B$34="Both",IF($C$32="Apartment","Not Applicable", VLOOKUP($H21, 'Misc. Data &amp; Mechanisms'!$E$280:$H$369, HLOOKUP($C$32,'Misc. Data &amp; Mechanisms'!$E$277:$H$279, 3, FALSE), FALSE)),"")), ""))</f>
        <v>3.6507685773041474</v>
      </c>
      <c r="N21" s="1530">
        <f>IF($X21="", "",IFERROR(IF($B$34="Both",IF($C$37&lt;&gt;"Custom", IF($C$37 = "DRT", VLOOKUP($H21,'Misc. Data &amp; Mechanisms'!$A$1381:$D$1471,MATCH($B$23,'Misc. Data &amp; Mechanisms'!$B$1381:$D$1381,0)+1,FALSE)),IF($C$36="Custom",VLOOKUP($H21,$X$3:$AB$93,4,FALSE),VLOOKUP($H21,$X$3:$AB$93,2,FALSE))),""),""))</f>
        <v>4.2889999999999997</v>
      </c>
      <c r="O21" s="1529">
        <f>IF($X21="", "",IFERROR(IF($B$34="Both",IF($C$37&lt;&gt;"Custom", VLOOKUP($H21,'Misc. Data &amp; Mechanisms'!$A$1483:$H$1574,MATCH($B$23,'Misc. Data &amp; Mechanisms'!$B$1483:$H$1483,0)+1,FALSE),IF($C$36="Custom",VLOOKUP($H21,$X$3:$AB$93,5,FALSE),VLOOKUP($H21,$X$3:$AB$93,3,FALSE))),""),""))</f>
        <v>0.223</v>
      </c>
      <c r="P21" s="1531">
        <f ca="1">IF(OR($H21="",$M21=""), "", IF($M21="Not Applicable", "-",VLOOKUP($H21,'Natural Gas Bill'!$A$5:$AS$96,6,FALSE)))</f>
        <v>57.414945728342317</v>
      </c>
      <c r="Q21" s="33"/>
      <c r="R21" s="31"/>
      <c r="S21" s="30"/>
      <c r="T21" s="1521">
        <f>IF($B$25="Yes", 'Misc. Data &amp; Mechanisms'!$A80,IF(T20="", "", IF(($H20+DAY(DATE(YEAR($H20),MONTH($H20)+1,1)-1))&lt;=$C$28, ($H20+DAY(DATE(YEAR($H20),MONTH($H20)+1,1)-1)), "")))</f>
        <v>41426</v>
      </c>
      <c r="U21" s="1519"/>
      <c r="V21" s="1519"/>
      <c r="W21" s="1721"/>
      <c r="X21" s="1521">
        <f>IF($B$25="Yes", 'Misc. Data &amp; Mechanisms'!$A80,IF(X20="", "", IF(($H20+DAY(DATE(YEAR($H20),MONTH($H20)+1,1)-1))&lt;=$C$28, ($H20+DAY(DATE(YEAR($H20),MONTH($H20)+1,1)-1)), "")))</f>
        <v>41426</v>
      </c>
      <c r="Y21" s="1519"/>
      <c r="Z21" s="1519"/>
      <c r="AA21" s="1520"/>
      <c r="AB21" s="1520"/>
      <c r="AC21" s="1362"/>
      <c r="AD21" s="1363"/>
    </row>
    <row r="22" spans="1:30" ht="18" customHeight="1" x14ac:dyDescent="0.3">
      <c r="A22" s="35" t="str">
        <f>$B$21&amp; "'s Electricity Service Zone:"</f>
        <v>Calgary's Electricity Service Zone:</v>
      </c>
      <c r="B22" s="1702" t="str">
        <f>VLOOKUP($B$21, 'Misc. Data &amp; Mechanisms'!$A$162:$C$194, 2, FALSE)</f>
        <v>ENMAX</v>
      </c>
      <c r="C22" s="1703"/>
      <c r="D22" s="1357"/>
      <c r="E22" s="1360"/>
      <c r="F22" s="1357"/>
      <c r="G22" s="30"/>
      <c r="H22" s="1521">
        <f>IF($B$25="Yes", 'Misc. Data &amp; Mechanisms'!$A81,IF(H21="", "", IF(($H21+DAY(DATE(YEAR($H21),MONTH($H21)+1,1)-1))&lt;=$C$28, ($H21+DAY(DATE(YEAR($H21),MONTH($H21)+1,1)-1)), "")))</f>
        <v>41456</v>
      </c>
      <c r="I22" s="1522">
        <f>IF($T22="", "",IFERROR(IF($B$30="Yes", VLOOKUP($H22, $T$3:$V$93, 2, FALSE), IF($B$34&lt;&gt;"Natural Gas", VLOOKUP($H22, 'Misc. Data &amp; Mechanisms'!$A$280:$D$369, HLOOKUP($C$32,'Misc. Data &amp; Mechanisms'!$A$277:$D$279, 3, FALSE), FALSE), IF($C$32="Apartment", "Not Applicable",VLOOKUP($H22, 'Misc. Data &amp; Mechanisms'!$E$280:$H$369, HLOOKUP($C$32,'Misc. Data &amp; Mechanisms'!$E$277:$H$279, 3, FALSE), FALSE)))), ""))</f>
        <v>542.78935903304478</v>
      </c>
      <c r="J22" s="1529">
        <f>IF($X22="", "",IFERROR(IF($B$34&lt;&gt;"Natural Gas", IF($C$36&lt;&gt;"Custom", IF($C$36 = "RRO (Capped)", VLOOKUP($H22,'Misc. Data &amp; Mechanisms'!$A$1278:$E$1368,MATCH($B$22,'Misc. Data &amp; Mechanisms'!$B$1278:$E$1278,0)+1,FALSE), VLOOKUP($H22,'Misc. Data &amp; Mechanisms'!$G$1278:$K$1368,MATCH($B$22,'Misc. Data &amp; Mechanisms'!$H$1278:$K$1278,0)+1,FALSE)),VLOOKUP($H22,$X$3:$AB$93,2,FALSE)),  IF($C$37&lt;&gt;"Custom", IF($C$37 = "DRT", VLOOKUP($H22,'Misc. Data &amp; Mechanisms'!$A$1381:$D$1471,MATCH($B$23,'Misc. Data &amp; Mechanisms'!$B$1381:$D$1381,0)+1,FALSE)),VLOOKUP($H22,$X$3:$AB$93,2,FALSE))),""))</f>
        <v>11.292999999999999</v>
      </c>
      <c r="K22" s="1529">
        <f>IF($X22="", "",IFERROR(IF($B$34&lt;&gt;"Natural Gas", IF($C$36&lt;&gt;"Custom", VLOOKUP($H22,'Misc. Data &amp; Mechanisms'!$A$1483:$H$1574,MATCH($B$22,'Misc. Data &amp; Mechanisms'!$B$1483:$H$1483,0)+1,FALSE),VLOOKUP($H22,$X$3:$AB$93,3,FALSE)),  IF($C$37&lt;&gt;"Custom", VLOOKUP($H22,'Misc. Data &amp; Mechanisms'!$A$1483:$H$1574,MATCH($B$23,'Misc. Data &amp; Mechanisms'!$B$1483:$H$1483,0)+1,FALSE),VLOOKUP($H22,$X$3:$AB$93,3,FALSE))),""))</f>
        <v>0.23369999999999999</v>
      </c>
      <c r="L22" s="1531">
        <f ca="1">IF(OR($H22="",$I22=""),"",IF($I22="Not Applicable", "-",IF($B$34&lt;&gt;"Natural Gas",VLOOKUP($H22,'Electricity Bill'!$A$5:$AR$96,6,FALSE),VLOOKUP($H22,'Natural Gas Bill'!$A$5:$AS$96,6,FALSE))))</f>
        <v>108.53599142391927</v>
      </c>
      <c r="M22" s="1522">
        <f>IF($T22="", "", IFERROR(IF($B$30="Yes", $V22, IF($B$34="Both",IF($C$32="Apartment","Not Applicable", VLOOKUP($H22, 'Misc. Data &amp; Mechanisms'!$E$280:$H$369, HLOOKUP($C$32,'Misc. Data &amp; Mechanisms'!$E$277:$H$279, 3, FALSE), FALSE)),"")), ""))</f>
        <v>3.0114309199989338</v>
      </c>
      <c r="N22" s="1530">
        <f>IF($X22="", "",IFERROR(IF($B$34="Both",IF($C$37&lt;&gt;"Custom", IF($C$37 = "DRT", VLOOKUP($H22,'Misc. Data &amp; Mechanisms'!$A$1381:$D$1471,MATCH($B$23,'Misc. Data &amp; Mechanisms'!$B$1381:$D$1381,0)+1,FALSE)),IF($C$36="Custom",VLOOKUP($H22,$X$3:$AB$93,4,FALSE),VLOOKUP($H22,$X$3:$AB$93,2,FALSE))),""),""))</f>
        <v>2.9260000000000002</v>
      </c>
      <c r="O22" s="1529">
        <f>IF($X22="", "",IFERROR(IF($B$34="Both",IF($C$37&lt;&gt;"Custom", VLOOKUP($H22,'Misc. Data &amp; Mechanisms'!$A$1483:$H$1574,MATCH($B$23,'Misc. Data &amp; Mechanisms'!$B$1483:$H$1483,0)+1,FALSE),IF($C$36="Custom",VLOOKUP($H22,$X$3:$AB$93,5,FALSE),VLOOKUP($H22,$X$3:$AB$93,3,FALSE))),""),""))</f>
        <v>0.223</v>
      </c>
      <c r="P22" s="1531">
        <f ca="1">IF(OR($H22="",$M22=""), "", IF($M22="Not Applicable", "-",VLOOKUP($H22,'Natural Gas Bill'!$A$5:$AS$96,6,FALSE)))</f>
        <v>49.639164247460933</v>
      </c>
      <c r="Q22" s="33"/>
      <c r="S22" s="30"/>
      <c r="T22" s="1521">
        <f>IF($B$25="Yes", 'Misc. Data &amp; Mechanisms'!$A81,IF(T21="", "", IF(($H21+DAY(DATE(YEAR($H21),MONTH($H21)+1,1)-1))&lt;=$C$28, ($H21+DAY(DATE(YEAR($H21),MONTH($H21)+1,1)-1)), "")))</f>
        <v>41456</v>
      </c>
      <c r="U22" s="1519"/>
      <c r="V22" s="1519"/>
      <c r="W22" s="1721"/>
      <c r="X22" s="1521">
        <f>IF($B$25="Yes", 'Misc. Data &amp; Mechanisms'!$A81,IF(X21="", "", IF(($H21+DAY(DATE(YEAR($H21),MONTH($H21)+1,1)-1))&lt;=$C$28, ($H21+DAY(DATE(YEAR($H21),MONTH($H21)+1,1)-1)), "")))</f>
        <v>41456</v>
      </c>
      <c r="Y22" s="1519"/>
      <c r="Z22" s="1519"/>
      <c r="AA22" s="1520"/>
      <c r="AB22" s="1520"/>
      <c r="AC22" s="1362"/>
      <c r="AD22" s="1363"/>
    </row>
    <row r="23" spans="1:30" ht="18" customHeight="1" thickBot="1" x14ac:dyDescent="0.35">
      <c r="A23" s="36" t="str">
        <f>$B$21 &amp;"'s Natural Gas Service Zone:"</f>
        <v>Calgary's Natural Gas Service Zone:</v>
      </c>
      <c r="B23" s="1704" t="str">
        <f>VLOOKUP($B$21, 'Misc. Data &amp; Mechanisms'!$A$162:$C$194,3, FALSE)</f>
        <v>ATCO-S</v>
      </c>
      <c r="C23" s="1705"/>
      <c r="D23" s="1357"/>
      <c r="E23" s="1360"/>
      <c r="F23" s="1357"/>
      <c r="G23" s="30"/>
      <c r="H23" s="1521">
        <f>IF($B$25="Yes", 'Misc. Data &amp; Mechanisms'!$A82,IF(H22="", "", IF(($H22+DAY(DATE(YEAR($H22),MONTH($H22)+1,1)-1))&lt;=$C$28, ($H22+DAY(DATE(YEAR($H22),MONTH($H22)+1,1)-1)), "")))</f>
        <v>41487</v>
      </c>
      <c r="I23" s="1522">
        <f>IF($T23="", "",IFERROR(IF($B$30="Yes", VLOOKUP($H23, $T$3:$V$93, 2, FALSE), IF($B$34&lt;&gt;"Natural Gas", VLOOKUP($H23, 'Misc. Data &amp; Mechanisms'!$A$280:$D$369, HLOOKUP($C$32,'Misc. Data &amp; Mechanisms'!$A$277:$D$279, 3, FALSE), FALSE), IF($C$32="Apartment", "Not Applicable",VLOOKUP($H23, 'Misc. Data &amp; Mechanisms'!$E$280:$H$369, HLOOKUP($C$32,'Misc. Data &amp; Mechanisms'!$E$277:$H$279, 3, FALSE), FALSE)))), ""))</f>
        <v>552.5367918507244</v>
      </c>
      <c r="J23" s="1529">
        <f>IF($X23="", "",IFERROR(IF($B$34&lt;&gt;"Natural Gas", IF($C$36&lt;&gt;"Custom", IF($C$36 = "RRO (Capped)", VLOOKUP($H23,'Misc. Data &amp; Mechanisms'!$A$1278:$E$1368,MATCH($B$22,'Misc. Data &amp; Mechanisms'!$B$1278:$E$1278,0)+1,FALSE), VLOOKUP($H23,'Misc. Data &amp; Mechanisms'!$G$1278:$K$1368,MATCH($B$22,'Misc. Data &amp; Mechanisms'!$H$1278:$K$1278,0)+1,FALSE)),VLOOKUP($H23,$X$3:$AB$93,2,FALSE)),  IF($C$37&lt;&gt;"Custom", IF($C$37 = "DRT", VLOOKUP($H23,'Misc. Data &amp; Mechanisms'!$A$1381:$D$1471,MATCH($B$23,'Misc. Data &amp; Mechanisms'!$B$1381:$D$1381,0)+1,FALSE)),VLOOKUP($H23,$X$3:$AB$93,2,FALSE))),""))</f>
        <v>11.211</v>
      </c>
      <c r="K23" s="1529">
        <f>IF($X23="", "",IFERROR(IF($B$34&lt;&gt;"Natural Gas", IF($C$36&lt;&gt;"Custom", VLOOKUP($H23,'Misc. Data &amp; Mechanisms'!$A$1483:$H$1574,MATCH($B$22,'Misc. Data &amp; Mechanisms'!$B$1483:$H$1483,0)+1,FALSE),VLOOKUP($H23,$X$3:$AB$93,3,FALSE)),  IF($C$37&lt;&gt;"Custom", VLOOKUP($H23,'Misc. Data &amp; Mechanisms'!$A$1483:$H$1574,MATCH($B$23,'Misc. Data &amp; Mechanisms'!$B$1483:$H$1483,0)+1,FALSE),VLOOKUP($H23,$X$3:$AB$93,3,FALSE))),""))</f>
        <v>0.23369999999999999</v>
      </c>
      <c r="L23" s="1531">
        <f ca="1">IF(OR($H23="",$I23=""),"",IF($I23="Not Applicable", "-",IF($B$34&lt;&gt;"Natural Gas",VLOOKUP($H23,'Electricity Bill'!$A$5:$AR$96,6,FALSE),VLOOKUP($H23,'Natural Gas Bill'!$A$5:$AS$96,6,FALSE))))</f>
        <v>109.6193005300434</v>
      </c>
      <c r="M23" s="1522">
        <f>IF($T23="", "", IFERROR(IF($B$30="Yes", $V23, IF($B$34="Both",IF($C$32="Apartment","Not Applicable", VLOOKUP($H23, 'Misc. Data &amp; Mechanisms'!$E$280:$H$369, HLOOKUP($C$32,'Misc. Data &amp; Mechanisms'!$E$277:$H$279, 3, FALSE), FALSE)),"")), ""))</f>
        <v>2.6293565011386297</v>
      </c>
      <c r="N23" s="1530">
        <f>IF($X23="", "",IFERROR(IF($B$34="Both",IF($C$37&lt;&gt;"Custom", IF($C$37 = "DRT", VLOOKUP($H23,'Misc. Data &amp; Mechanisms'!$A$1381:$D$1471,MATCH($B$23,'Misc. Data &amp; Mechanisms'!$B$1381:$D$1381,0)+1,FALSE)),IF($C$36="Custom",VLOOKUP($H23,$X$3:$AB$93,4,FALSE),VLOOKUP($H23,$X$3:$AB$93,2,FALSE))),""),""))</f>
        <v>2.0539999999999998</v>
      </c>
      <c r="O23" s="1529">
        <f>IF($X23="", "",IFERROR(IF($B$34="Both",IF($C$37&lt;&gt;"Custom", VLOOKUP($H23,'Misc. Data &amp; Mechanisms'!$A$1483:$H$1574,MATCH($B$23,'Misc. Data &amp; Mechanisms'!$B$1483:$H$1483,0)+1,FALSE),IF($C$36="Custom",VLOOKUP($H23,$X$3:$AB$93,5,FALSE),VLOOKUP($H23,$X$3:$AB$93,3,FALSE))),""),""))</f>
        <v>0.223</v>
      </c>
      <c r="P23" s="1531">
        <f ca="1">IF(OR($H23="",$M23=""), "", IF($M23="Not Applicable", "-",VLOOKUP($H23,'Natural Gas Bill'!$A$5:$AS$96,6,FALSE)))</f>
        <v>45.111280260525895</v>
      </c>
      <c r="Q23" s="33"/>
      <c r="S23" s="30"/>
      <c r="T23" s="1521">
        <f>IF($B$25="Yes", 'Misc. Data &amp; Mechanisms'!$A82,IF(T22="", "", IF(($H22+DAY(DATE(YEAR($H22),MONTH($H22)+1,1)-1))&lt;=$C$28, ($H22+DAY(DATE(YEAR($H22),MONTH($H22)+1,1)-1)), "")))</f>
        <v>41487</v>
      </c>
      <c r="U23" s="1519"/>
      <c r="V23" s="1519"/>
      <c r="W23" s="1721"/>
      <c r="X23" s="1521">
        <f>IF($B$25="Yes", 'Misc. Data &amp; Mechanisms'!$A82,IF(X22="", "", IF(($H22+DAY(DATE(YEAR($H22),MONTH($H22)+1,1)-1))&lt;=$C$28, ($H22+DAY(DATE(YEAR($H22),MONTH($H22)+1,1)-1)), "")))</f>
        <v>41487</v>
      </c>
      <c r="Y23" s="1519"/>
      <c r="Z23" s="1519"/>
      <c r="AA23" s="1520"/>
      <c r="AB23" s="1520"/>
      <c r="AC23" s="1362"/>
      <c r="AD23" s="1363"/>
    </row>
    <row r="24" spans="1:30" ht="18" customHeight="1" thickBot="1" x14ac:dyDescent="0.35">
      <c r="A24" s="30"/>
      <c r="B24" s="31"/>
      <c r="C24" s="31"/>
      <c r="D24" s="31"/>
      <c r="E24" s="1340"/>
      <c r="F24" s="1339"/>
      <c r="G24" s="30"/>
      <c r="H24" s="1521">
        <f>IF($B$25="Yes", 'Misc. Data &amp; Mechanisms'!$A83,IF(H23="", "", IF(($H23+DAY(DATE(YEAR($H23),MONTH($H23)+1,1)-1))&lt;=$C$28, ($H23+DAY(DATE(YEAR($H23),MONTH($H23)+1,1)-1)), "")))</f>
        <v>41518</v>
      </c>
      <c r="I24" s="1522">
        <f>IF($T24="", "",IFERROR(IF($B$30="Yes", VLOOKUP($H24, $T$3:$V$93, 2, FALSE), IF($B$34&lt;&gt;"Natural Gas", VLOOKUP($H24, 'Misc. Data &amp; Mechanisms'!$A$280:$D$369, HLOOKUP($C$32,'Misc. Data &amp; Mechanisms'!$A$277:$D$279, 3, FALSE), FALSE), IF($C$32="Apartment", "Not Applicable",VLOOKUP($H24, 'Misc. Data &amp; Mechanisms'!$E$280:$H$369, HLOOKUP($C$32,'Misc. Data &amp; Mechanisms'!$E$277:$H$279, 3, FALSE), FALSE)))), ""))</f>
        <v>548.43636134944279</v>
      </c>
      <c r="J24" s="1529">
        <f>IF($X24="", "",IFERROR(IF($B$34&lt;&gt;"Natural Gas", IF($C$36&lt;&gt;"Custom", IF($C$36 = "RRO (Capped)", VLOOKUP($H24,'Misc. Data &amp; Mechanisms'!$A$1278:$E$1368,MATCH($B$22,'Misc. Data &amp; Mechanisms'!$B$1278:$E$1278,0)+1,FALSE), VLOOKUP($H24,'Misc. Data &amp; Mechanisms'!$G$1278:$K$1368,MATCH($B$22,'Misc. Data &amp; Mechanisms'!$H$1278:$K$1278,0)+1,FALSE)),VLOOKUP($H24,$X$3:$AB$93,2,FALSE)),  IF($C$37&lt;&gt;"Custom", IF($C$37 = "DRT", VLOOKUP($H24,'Misc. Data &amp; Mechanisms'!$A$1381:$D$1471,MATCH($B$23,'Misc. Data &amp; Mechanisms'!$B$1381:$D$1381,0)+1,FALSE)),VLOOKUP($H24,$X$3:$AB$93,2,FALSE))),""))</f>
        <v>10.948</v>
      </c>
      <c r="K24" s="1529">
        <f>IF($X24="", "",IFERROR(IF($B$34&lt;&gt;"Natural Gas", IF($C$36&lt;&gt;"Custom", VLOOKUP($H24,'Misc. Data &amp; Mechanisms'!$A$1483:$H$1574,MATCH($B$22,'Misc. Data &amp; Mechanisms'!$B$1483:$H$1483,0)+1,FALSE),VLOOKUP($H24,$X$3:$AB$93,3,FALSE)),  IF($C$37&lt;&gt;"Custom", VLOOKUP($H24,'Misc. Data &amp; Mechanisms'!$A$1483:$H$1574,MATCH($B$23,'Misc. Data &amp; Mechanisms'!$B$1483:$H$1483,0)+1,FALSE),VLOOKUP($H24,$X$3:$AB$93,3,FALSE))),""))</f>
        <v>0.23369999999999999</v>
      </c>
      <c r="L24" s="1531">
        <f ca="1">IF(OR($H24="",$I24=""),"",IF($I24="Not Applicable", "-",IF($B$34&lt;&gt;"Natural Gas",VLOOKUP($H24,'Electricity Bill'!$A$5:$AR$96,6,FALSE),VLOOKUP($H24,'Natural Gas Bill'!$A$5:$AS$96,6,FALSE))))</f>
        <v>107.86766277802467</v>
      </c>
      <c r="M24" s="1522">
        <f>IF($T24="", "", IFERROR(IF($B$30="Yes", $V24, IF($B$34="Both",IF($C$32="Apartment","Not Applicable", VLOOKUP($H24, 'Misc. Data &amp; Mechanisms'!$E$280:$H$369, HLOOKUP($C$32,'Misc. Data &amp; Mechanisms'!$E$277:$H$279, 3, FALSE), FALSE)),"")), ""))</f>
        <v>4.5340172280842532</v>
      </c>
      <c r="N24" s="1530">
        <f>IF($X24="", "",IFERROR(IF($B$34="Both",IF($C$37&lt;&gt;"Custom", IF($C$37 = "DRT", VLOOKUP($H24,'Misc. Data &amp; Mechanisms'!$A$1381:$D$1471,MATCH($B$23,'Misc. Data &amp; Mechanisms'!$B$1381:$D$1381,0)+1,FALSE)),IF($C$36="Custom",VLOOKUP($H24,$X$3:$AB$93,4,FALSE),VLOOKUP($H24,$X$3:$AB$93,2,FALSE))),""),""))</f>
        <v>2.5470000000000002</v>
      </c>
      <c r="O24" s="1529">
        <f>IF($X24="", "",IFERROR(IF($B$34="Both",IF($C$37&lt;&gt;"Custom", VLOOKUP($H24,'Misc. Data &amp; Mechanisms'!$A$1483:$H$1574,MATCH($B$23,'Misc. Data &amp; Mechanisms'!$B$1483:$H$1483,0)+1,FALSE),IF($C$36="Custom",VLOOKUP($H24,$X$3:$AB$93,5,FALSE),VLOOKUP($H24,$X$3:$AB$93,3,FALSE))),""),""))</f>
        <v>0.223</v>
      </c>
      <c r="P24" s="1531">
        <f ca="1">IF(OR($H24="",$M24=""), "", IF($M24="Not Applicable", "-",VLOOKUP($H24,'Natural Gas Bill'!$A$5:$AS$96,6,FALSE)))</f>
        <v>53.888467957953324</v>
      </c>
      <c r="Q24" s="33"/>
      <c r="S24" s="30"/>
      <c r="T24" s="1521">
        <f>IF($B$25="Yes", 'Misc. Data &amp; Mechanisms'!$A83,IF(T23="", "", IF(($H23+DAY(DATE(YEAR($H23),MONTH($H23)+1,1)-1))&lt;=$C$28, ($H23+DAY(DATE(YEAR($H23),MONTH($H23)+1,1)-1)), "")))</f>
        <v>41518</v>
      </c>
      <c r="U24" s="1519"/>
      <c r="V24" s="1519"/>
      <c r="W24" s="1721"/>
      <c r="X24" s="1521">
        <f>IF($B$25="Yes", 'Misc. Data &amp; Mechanisms'!$A83,IF(X23="", "", IF(($H23+DAY(DATE(YEAR($H23),MONTH($H23)+1,1)-1))&lt;=$C$28, ($H23+DAY(DATE(YEAR($H23),MONTH($H23)+1,1)-1)), "")))</f>
        <v>41518</v>
      </c>
      <c r="Y24" s="1519"/>
      <c r="Z24" s="1519"/>
      <c r="AA24" s="1520"/>
      <c r="AB24" s="1520"/>
      <c r="AC24" s="1362"/>
      <c r="AD24" s="1363"/>
    </row>
    <row r="25" spans="1:30" ht="18" customHeight="1" thickBot="1" x14ac:dyDescent="0.35">
      <c r="A25" s="37" t="s">
        <v>253</v>
      </c>
      <c r="B25" s="1431" t="s">
        <v>251</v>
      </c>
      <c r="C25" s="27" t="str">
        <f>HYPERLINK("#"&amp;ADDRESS(ROW(), COLUMN()-1), "€")</f>
        <v>€</v>
      </c>
      <c r="D25" s="1354"/>
      <c r="E25" s="33"/>
      <c r="F25" s="1339"/>
      <c r="G25" s="30"/>
      <c r="H25" s="1521">
        <f>IF($B$25="Yes", 'Misc. Data &amp; Mechanisms'!$A84,IF(H24="", "", IF(($H24+DAY(DATE(YEAR($H24),MONTH($H24)+1,1)-1))&lt;=$C$28, ($H24+DAY(DATE(YEAR($H24),MONTH($H24)+1,1)-1)), "")))</f>
        <v>41548</v>
      </c>
      <c r="I25" s="1522">
        <f>IF($T25="", "",IFERROR(IF($B$30="Yes", VLOOKUP($H25, $T$3:$V$93, 2, FALSE), IF($B$34&lt;&gt;"Natural Gas", VLOOKUP($H25, 'Misc. Data &amp; Mechanisms'!$A$280:$D$369, HLOOKUP($C$32,'Misc. Data &amp; Mechanisms'!$A$277:$D$279, 3, FALSE), FALSE), IF($C$32="Apartment", "Not Applicable",VLOOKUP($H25, 'Misc. Data &amp; Mechanisms'!$E$280:$H$369, HLOOKUP($C$32,'Misc. Data &amp; Mechanisms'!$E$277:$H$279, 3, FALSE), FALSE)))), ""))</f>
        <v>603.77371963474275</v>
      </c>
      <c r="J25" s="1529">
        <f>IF($X25="", "",IFERROR(IF($B$34&lt;&gt;"Natural Gas", IF($C$36&lt;&gt;"Custom", IF($C$36 = "RRO (Capped)", VLOOKUP($H25,'Misc. Data &amp; Mechanisms'!$A$1278:$E$1368,MATCH($B$22,'Misc. Data &amp; Mechanisms'!$B$1278:$E$1278,0)+1,FALSE), VLOOKUP($H25,'Misc. Data &amp; Mechanisms'!$G$1278:$K$1368,MATCH($B$22,'Misc. Data &amp; Mechanisms'!$H$1278:$K$1278,0)+1,FALSE)),VLOOKUP($H25,$X$3:$AB$93,2,FALSE)),  IF($C$37&lt;&gt;"Custom", IF($C$37 = "DRT", VLOOKUP($H25,'Misc. Data &amp; Mechanisms'!$A$1381:$D$1471,MATCH($B$23,'Misc. Data &amp; Mechanisms'!$B$1381:$D$1381,0)+1,FALSE)),VLOOKUP($H25,$X$3:$AB$93,2,FALSE))),""))</f>
        <v>8.0594000000000001</v>
      </c>
      <c r="K25" s="1529">
        <f>IF($X25="", "",IFERROR(IF($B$34&lt;&gt;"Natural Gas", IF($C$36&lt;&gt;"Custom", VLOOKUP($H25,'Misc. Data &amp; Mechanisms'!$A$1483:$H$1574,MATCH($B$22,'Misc. Data &amp; Mechanisms'!$B$1483:$H$1483,0)+1,FALSE),VLOOKUP($H25,$X$3:$AB$93,3,FALSE)),  IF($C$37&lt;&gt;"Custom", VLOOKUP($H25,'Misc. Data &amp; Mechanisms'!$A$1483:$H$1574,MATCH($B$23,'Misc. Data &amp; Mechanisms'!$B$1483:$H$1483,0)+1,FALSE),VLOOKUP($H25,$X$3:$AB$93,3,FALSE))),""))</f>
        <v>0.23369999999999999</v>
      </c>
      <c r="L25" s="1531">
        <f ca="1">IF(OR($H25="",$I25=""),"",IF($I25="Not Applicable", "-",IF($B$34&lt;&gt;"Natural Gas",VLOOKUP($H25,'Electricity Bill'!$A$5:$AR$96,6,FALSE),VLOOKUP($H25,'Natural Gas Bill'!$A$5:$AS$96,6,FALSE))))</f>
        <v>104.79381364046809</v>
      </c>
      <c r="M25" s="1522">
        <f>IF($T25="", "", IFERROR(IF($B$30="Yes", $V25, IF($B$34="Both",IF($C$32="Apartment","Not Applicable", VLOOKUP($H25, 'Misc. Data &amp; Mechanisms'!$E$280:$H$369, HLOOKUP($C$32,'Misc. Data &amp; Mechanisms'!$E$277:$H$279, 3, FALSE), FALSE)),"")), ""))</f>
        <v>10.594286816954245</v>
      </c>
      <c r="N25" s="1530">
        <f>IF($X25="", "",IFERROR(IF($B$34="Both",IF($C$37&lt;&gt;"Custom", IF($C$37 = "DRT", VLOOKUP($H25,'Misc. Data &amp; Mechanisms'!$A$1381:$D$1471,MATCH($B$23,'Misc. Data &amp; Mechanisms'!$B$1381:$D$1381,0)+1,FALSE)),IF($C$36="Custom",VLOOKUP($H25,$X$3:$AB$93,4,FALSE),VLOOKUP($H25,$X$3:$AB$93,2,FALSE))),""),""))</f>
        <v>2.3969999999999998</v>
      </c>
      <c r="O25" s="1529">
        <f>IF($X25="", "",IFERROR(IF($B$34="Both",IF($C$37&lt;&gt;"Custom", VLOOKUP($H25,'Misc. Data &amp; Mechanisms'!$A$1483:$H$1574,MATCH($B$23,'Misc. Data &amp; Mechanisms'!$B$1483:$H$1483,0)+1,FALSE),IF($C$36="Custom",VLOOKUP($H25,$X$3:$AB$93,5,FALSE),VLOOKUP($H25,$X$3:$AB$93,3,FALSE))),""),""))</f>
        <v>0.223</v>
      </c>
      <c r="P25" s="1531">
        <f ca="1">IF(OR($H25="",$M25=""), "", IF($M25="Not Applicable", "-",VLOOKUP($H25,'Natural Gas Bill'!$A$5:$AS$96,6,FALSE)))</f>
        <v>79.87600848638165</v>
      </c>
      <c r="Q25" s="33"/>
      <c r="S25" s="30"/>
      <c r="T25" s="1521">
        <f>IF($B$25="Yes", 'Misc. Data &amp; Mechanisms'!$A84,IF(T24="", "", IF(($H24+DAY(DATE(YEAR($H24),MONTH($H24)+1,1)-1))&lt;=$C$28, ($H24+DAY(DATE(YEAR($H24),MONTH($H24)+1,1)-1)), "")))</f>
        <v>41548</v>
      </c>
      <c r="U25" s="1519"/>
      <c r="V25" s="1519"/>
      <c r="W25" s="1721"/>
      <c r="X25" s="1521">
        <f>IF($B$25="Yes", 'Misc. Data &amp; Mechanisms'!$A84,IF(X24="", "", IF(($H24+DAY(DATE(YEAR($H24),MONTH($H24)+1,1)-1))&lt;=$C$28, ($H24+DAY(DATE(YEAR($H24),MONTH($H24)+1,1)-1)), "")))</f>
        <v>41548</v>
      </c>
      <c r="Y25" s="1519"/>
      <c r="Z25" s="1519"/>
      <c r="AA25" s="1520"/>
      <c r="AB25" s="1520"/>
      <c r="AC25" s="1362"/>
      <c r="AD25" s="1363"/>
    </row>
    <row r="26" spans="1:30" ht="18" customHeight="1" thickBot="1" x14ac:dyDescent="0.35">
      <c r="A26" s="30"/>
      <c r="B26" s="31"/>
      <c r="C26" s="31"/>
      <c r="D26" s="31"/>
      <c r="E26" s="1340"/>
      <c r="F26" s="1339"/>
      <c r="G26" s="30"/>
      <c r="H26" s="1521">
        <f>IF($B$25="Yes", 'Misc. Data &amp; Mechanisms'!$A85,IF(H25="", "", IF(($H25+DAY(DATE(YEAR($H25),MONTH($H25)+1,1)-1))&lt;=$C$28, ($H25+DAY(DATE(YEAR($H25),MONTH($H25)+1,1)-1)), "")))</f>
        <v>41579</v>
      </c>
      <c r="I26" s="1522">
        <f>IF($T26="", "",IFERROR(IF($B$30="Yes", VLOOKUP($H26, $T$3:$V$93, 2, FALSE), IF($B$34&lt;&gt;"Natural Gas", VLOOKUP($H26, 'Misc. Data &amp; Mechanisms'!$A$280:$D$369, HLOOKUP($C$32,'Misc. Data &amp; Mechanisms'!$A$277:$D$279, 3, FALSE), FALSE), IF($C$32="Apartment", "Not Applicable",VLOOKUP($H26, 'Misc. Data &amp; Mechanisms'!$E$280:$H$369, HLOOKUP($C$32,'Misc. Data &amp; Mechanisms'!$E$277:$H$279, 3, FALSE), FALSE)))), ""))</f>
        <v>654.080202180794</v>
      </c>
      <c r="J26" s="1529">
        <f>IF($X26="", "",IFERROR(IF($B$34&lt;&gt;"Natural Gas", IF($C$36&lt;&gt;"Custom", IF($C$36 = "RRO (Capped)", VLOOKUP($H26,'Misc. Data &amp; Mechanisms'!$A$1278:$E$1368,MATCH($B$22,'Misc. Data &amp; Mechanisms'!$B$1278:$E$1278,0)+1,FALSE), VLOOKUP($H26,'Misc. Data &amp; Mechanisms'!$G$1278:$K$1368,MATCH($B$22,'Misc. Data &amp; Mechanisms'!$H$1278:$K$1278,0)+1,FALSE)),VLOOKUP($H26,$X$3:$AB$93,2,FALSE)),  IF($C$37&lt;&gt;"Custom", IF($C$37 = "DRT", VLOOKUP($H26,'Misc. Data &amp; Mechanisms'!$A$1381:$D$1471,MATCH($B$23,'Misc. Data &amp; Mechanisms'!$B$1381:$D$1381,0)+1,FALSE)),VLOOKUP($H26,$X$3:$AB$93,2,FALSE))),""))</f>
        <v>7.9027000000000003</v>
      </c>
      <c r="K26" s="1529">
        <f>IF($X26="", "",IFERROR(IF($B$34&lt;&gt;"Natural Gas", IF($C$36&lt;&gt;"Custom", VLOOKUP($H26,'Misc. Data &amp; Mechanisms'!$A$1483:$H$1574,MATCH($B$22,'Misc. Data &amp; Mechanisms'!$B$1483:$H$1483,0)+1,FALSE),VLOOKUP($H26,$X$3:$AB$93,3,FALSE)),  IF($C$37&lt;&gt;"Custom", VLOOKUP($H26,'Misc. Data &amp; Mechanisms'!$A$1483:$H$1574,MATCH($B$23,'Misc. Data &amp; Mechanisms'!$B$1483:$H$1483,0)+1,FALSE),VLOOKUP($H26,$X$3:$AB$93,3,FALSE))),""))</f>
        <v>0.23369999999999999</v>
      </c>
      <c r="L26" s="1531">
        <f ca="1">IF(OR($H26="",$I26=""),"",IF($I26="Not Applicable", "-",IF($B$34&lt;&gt;"Natural Gas",VLOOKUP($H26,'Electricity Bill'!$A$5:$AR$96,6,FALSE),VLOOKUP($H26,'Natural Gas Bill'!$A$5:$AS$96,6,FALSE))))</f>
        <v>110.01465976738784</v>
      </c>
      <c r="M26" s="1522">
        <f>IF($T26="", "", IFERROR(IF($B$30="Yes", $V26, IF($B$34="Both",IF($C$32="Apartment","Not Applicable", VLOOKUP($H26, 'Misc. Data &amp; Mechanisms'!$E$280:$H$369, HLOOKUP($C$32,'Misc. Data &amp; Mechanisms'!$E$277:$H$279, 3, FALSE), FALSE)),"")), ""))</f>
        <v>16.963833197620971</v>
      </c>
      <c r="N26" s="1530">
        <f>IF($X26="", "",IFERROR(IF($B$34="Both",IF($C$37&lt;&gt;"Custom", IF($C$37 = "DRT", VLOOKUP($H26,'Misc. Data &amp; Mechanisms'!$A$1381:$D$1471,MATCH($B$23,'Misc. Data &amp; Mechanisms'!$B$1381:$D$1381,0)+1,FALSE)),IF($C$36="Custom",VLOOKUP($H26,$X$3:$AB$93,4,FALSE),VLOOKUP($H26,$X$3:$AB$93,2,FALSE))),""),""))</f>
        <v>3.6850000000000001</v>
      </c>
      <c r="O26" s="1529">
        <f>IF($X26="", "",IFERROR(IF($B$34="Both",IF($C$37&lt;&gt;"Custom", VLOOKUP($H26,'Misc. Data &amp; Mechanisms'!$A$1483:$H$1574,MATCH($B$23,'Misc. Data &amp; Mechanisms'!$B$1483:$H$1483,0)+1,FALSE),IF($C$36="Custom",VLOOKUP($H26,$X$3:$AB$93,5,FALSE),VLOOKUP($H26,$X$3:$AB$93,3,FALSE))),""),""))</f>
        <v>0.223</v>
      </c>
      <c r="P26" s="1531">
        <f ca="1">IF(OR($H26="",$M26=""), "", IF($M26="Not Applicable", "-",VLOOKUP($H26,'Natural Gas Bill'!$A$5:$AS$96,6,FALSE)))</f>
        <v>131.19649626704214</v>
      </c>
      <c r="Q26" s="33"/>
      <c r="S26" s="30"/>
      <c r="T26" s="1521">
        <f>IF($B$25="Yes", 'Misc. Data &amp; Mechanisms'!$A85,IF(T25="", "", IF(($H25+DAY(DATE(YEAR($H25),MONTH($H25)+1,1)-1))&lt;=$C$28, ($H25+DAY(DATE(YEAR($H25),MONTH($H25)+1,1)-1)), "")))</f>
        <v>41579</v>
      </c>
      <c r="U26" s="1519"/>
      <c r="V26" s="1519"/>
      <c r="W26" s="1721"/>
      <c r="X26" s="1521">
        <f>IF($B$25="Yes", 'Misc. Data &amp; Mechanisms'!$A85,IF(X25="", "", IF(($H25+DAY(DATE(YEAR($H25),MONTH($H25)+1,1)-1))&lt;=$C$28, ($H25+DAY(DATE(YEAR($H25),MONTH($H25)+1,1)-1)), "")))</f>
        <v>41579</v>
      </c>
      <c r="Y26" s="1519"/>
      <c r="Z26" s="1519"/>
      <c r="AA26" s="1520"/>
      <c r="AB26" s="1520"/>
      <c r="AC26" s="1362"/>
      <c r="AD26" s="1363"/>
    </row>
    <row r="27" spans="1:30" ht="18" customHeight="1" x14ac:dyDescent="0.3">
      <c r="A27" s="1433" t="str">
        <f>IF(AND($B$25="No", $C$27&gt;$C$28),"Error: Invalid Date Range", "")</f>
        <v/>
      </c>
      <c r="B27" s="38" t="s">
        <v>371</v>
      </c>
      <c r="C27" s="1693">
        <v>40909</v>
      </c>
      <c r="D27" s="1694"/>
      <c r="E27" s="26" t="str">
        <f>HYPERLINK("#"&amp;ADDRESS(ROW(), COLUMN()-1), "€")</f>
        <v>€</v>
      </c>
      <c r="F27" s="1356"/>
      <c r="G27" s="30"/>
      <c r="H27" s="1521">
        <f>IF($B$25="Yes", 'Misc. Data &amp; Mechanisms'!$A86,IF(H26="", "", IF(($H26+DAY(DATE(YEAR($H26),MONTH($H26)+1,1)-1))&lt;=$C$28, ($H26+DAY(DATE(YEAR($H26),MONTH($H26)+1,1)-1)), "")))</f>
        <v>41609</v>
      </c>
      <c r="I27" s="1522">
        <f>IF($T27="", "",IFERROR(IF($B$30="Yes", VLOOKUP($H27, $T$3:$V$93, 2, FALSE), IF($B$34&lt;&gt;"Natural Gas", VLOOKUP($H27, 'Misc. Data &amp; Mechanisms'!$A$280:$D$369, HLOOKUP($C$32,'Misc. Data &amp; Mechanisms'!$A$277:$D$279, 3, FALSE), FALSE), IF($C$32="Apartment", "Not Applicable",VLOOKUP($H27, 'Misc. Data &amp; Mechanisms'!$E$280:$H$369, HLOOKUP($C$32,'Misc. Data &amp; Mechanisms'!$E$277:$H$279, 3, FALSE), FALSE)))), ""))</f>
        <v>767.71589655293087</v>
      </c>
      <c r="J27" s="1529">
        <f>IF($X27="", "",IFERROR(IF($B$34&lt;&gt;"Natural Gas", IF($C$36&lt;&gt;"Custom", IF($C$36 = "RRO (Capped)", VLOOKUP($H27,'Misc. Data &amp; Mechanisms'!$A$1278:$E$1368,MATCH($B$22,'Misc. Data &amp; Mechanisms'!$B$1278:$E$1278,0)+1,FALSE), VLOOKUP($H27,'Misc. Data &amp; Mechanisms'!$G$1278:$K$1368,MATCH($B$22,'Misc. Data &amp; Mechanisms'!$H$1278:$K$1278,0)+1,FALSE)),VLOOKUP($H27,$X$3:$AB$93,2,FALSE)),  IF($C$37&lt;&gt;"Custom", IF($C$37 = "DRT", VLOOKUP($H27,'Misc. Data &amp; Mechanisms'!$A$1381:$D$1471,MATCH($B$23,'Misc. Data &amp; Mechanisms'!$B$1381:$D$1381,0)+1,FALSE)),VLOOKUP($H27,$X$3:$AB$93,2,FALSE))),""))</f>
        <v>7.5796000000000001</v>
      </c>
      <c r="K27" s="1529">
        <f>IF($X27="", "",IFERROR(IF($B$34&lt;&gt;"Natural Gas", IF($C$36&lt;&gt;"Custom", VLOOKUP($H27,'Misc. Data &amp; Mechanisms'!$A$1483:$H$1574,MATCH($B$22,'Misc. Data &amp; Mechanisms'!$B$1483:$H$1483,0)+1,FALSE),VLOOKUP($H27,$X$3:$AB$93,3,FALSE)),  IF($C$37&lt;&gt;"Custom", VLOOKUP($H27,'Misc. Data &amp; Mechanisms'!$A$1483:$H$1574,MATCH($B$23,'Misc. Data &amp; Mechanisms'!$B$1483:$H$1483,0)+1,FALSE),VLOOKUP($H27,$X$3:$AB$93,3,FALSE))),""))</f>
        <v>0.23369999999999999</v>
      </c>
      <c r="L27" s="1531">
        <f ca="1">IF(OR($H27="",$I27=""),"",IF($I27="Not Applicable", "-",IF($B$34&lt;&gt;"Natural Gas",VLOOKUP($H27,'Electricity Bill'!$A$5:$AR$96,6,FALSE),VLOOKUP($H27,'Natural Gas Bill'!$A$5:$AS$96,6,FALSE))))</f>
        <v>125.24407138526182</v>
      </c>
      <c r="M27" s="1522">
        <f>IF($T27="", "", IFERROR(IF($B$30="Yes", $V27, IF($B$34="Both",IF($C$32="Apartment","Not Applicable", VLOOKUP($H27, 'Misc. Data &amp; Mechanisms'!$E$280:$H$369, HLOOKUP($C$32,'Misc. Data &amp; Mechanisms'!$E$277:$H$279, 3, FALSE), FALSE)),"")), ""))</f>
        <v>22.923188669247907</v>
      </c>
      <c r="N27" s="1530">
        <f>IF($X27="", "",IFERROR(IF($B$34="Both",IF($C$37&lt;&gt;"Custom", IF($C$37 = "DRT", VLOOKUP($H27,'Misc. Data &amp; Mechanisms'!$A$1381:$D$1471,MATCH($B$23,'Misc. Data &amp; Mechanisms'!$B$1381:$D$1381,0)+1,FALSE)),IF($C$36="Custom",VLOOKUP($H27,$X$3:$AB$93,4,FALSE),VLOOKUP($H27,$X$3:$AB$93,2,FALSE))),""),""))</f>
        <v>3.294</v>
      </c>
      <c r="O27" s="1529">
        <f>IF($X27="", "",IFERROR(IF($B$34="Both",IF($C$37&lt;&gt;"Custom", VLOOKUP($H27,'Misc. Data &amp; Mechanisms'!$A$1483:$H$1574,MATCH($B$23,'Misc. Data &amp; Mechanisms'!$B$1483:$H$1483,0)+1,FALSE),IF($C$36="Custom",VLOOKUP($H27,$X$3:$AB$93,5,FALSE),VLOOKUP($H27,$X$3:$AB$93,3,FALSE))),""),""))</f>
        <v>0.223</v>
      </c>
      <c r="P27" s="1531">
        <f ca="1">IF(OR($H27="",$M27=""), "", IF($M27="Not Applicable", "-",VLOOKUP($H27,'Natural Gas Bill'!$A$5:$AS$96,6,FALSE)))</f>
        <v>156.04849560306945</v>
      </c>
      <c r="Q27" s="33"/>
      <c r="S27" s="30"/>
      <c r="T27" s="1521">
        <f>IF($B$25="Yes", 'Misc. Data &amp; Mechanisms'!$A86,IF(T26="", "", IF(($H26+DAY(DATE(YEAR($H26),MONTH($H26)+1,1)-1))&lt;=$C$28, ($H26+DAY(DATE(YEAR($H26),MONTH($H26)+1,1)-1)), "")))</f>
        <v>41609</v>
      </c>
      <c r="U27" s="1519"/>
      <c r="V27" s="1519"/>
      <c r="W27" s="1721"/>
      <c r="X27" s="1521">
        <f>IF($B$25="Yes", 'Misc. Data &amp; Mechanisms'!$A86,IF(X26="", "", IF(($H26+DAY(DATE(YEAR($H26),MONTH($H26)+1,1)-1))&lt;=$C$28, ($H26+DAY(DATE(YEAR($H26),MONTH($H26)+1,1)-1)), "")))</f>
        <v>41609</v>
      </c>
      <c r="Y27" s="1519"/>
      <c r="Z27" s="1519"/>
      <c r="AA27" s="1520"/>
      <c r="AB27" s="1520"/>
      <c r="AC27" s="1362"/>
      <c r="AD27" s="1363"/>
    </row>
    <row r="28" spans="1:30" ht="18" customHeight="1" thickBot="1" x14ac:dyDescent="0.35">
      <c r="A28" s="30"/>
      <c r="B28" s="1337" t="s">
        <v>372</v>
      </c>
      <c r="C28" s="1695">
        <v>43617</v>
      </c>
      <c r="D28" s="1696"/>
      <c r="E28" s="1338" t="str">
        <f>HYPERLINK("#"&amp;ADDRESS(ROW(), COLUMN()-1), "€")</f>
        <v>€</v>
      </c>
      <c r="F28" s="1356"/>
      <c r="G28" s="30"/>
      <c r="H28" s="1521">
        <f>IF($B$25="Yes", 'Misc. Data &amp; Mechanisms'!$A87,IF(H27="", "", IF(($H27+DAY(DATE(YEAR($H27),MONTH($H27)+1,1)-1))&lt;=$C$28, ($H27+DAY(DATE(YEAR($H27),MONTH($H27)+1,1)-1)), "")))</f>
        <v>41640</v>
      </c>
      <c r="I28" s="1522">
        <f>IF($T28="", "",IFERROR(IF($B$30="Yes", VLOOKUP($H28, $T$3:$V$93, 2, FALSE), IF($B$34&lt;&gt;"Natural Gas", VLOOKUP($H28, 'Misc. Data &amp; Mechanisms'!$A$280:$D$369, HLOOKUP($C$32,'Misc. Data &amp; Mechanisms'!$A$277:$D$279, 3, FALSE), FALSE), IF($C$32="Apartment", "Not Applicable",VLOOKUP($H28, 'Misc. Data &amp; Mechanisms'!$E$280:$H$369, HLOOKUP($C$32,'Misc. Data &amp; Mechanisms'!$E$277:$H$279, 3, FALSE), FALSE)))), ""))</f>
        <v>679.80526265539095</v>
      </c>
      <c r="J28" s="1529">
        <f>IF($X28="", "",IFERROR(IF($B$34&lt;&gt;"Natural Gas", IF($C$36&lt;&gt;"Custom", IF($C$36 = "RRO (Capped)", VLOOKUP($H28,'Misc. Data &amp; Mechanisms'!$A$1278:$E$1368,MATCH($B$22,'Misc. Data &amp; Mechanisms'!$B$1278:$E$1278,0)+1,FALSE), VLOOKUP($H28,'Misc. Data &amp; Mechanisms'!$G$1278:$K$1368,MATCH($B$22,'Misc. Data &amp; Mechanisms'!$H$1278:$K$1278,0)+1,FALSE)),VLOOKUP($H28,$X$3:$AB$93,2,FALSE)),  IF($C$37&lt;&gt;"Custom", IF($C$37 = "DRT", VLOOKUP($H28,'Misc. Data &amp; Mechanisms'!$A$1381:$D$1471,MATCH($B$23,'Misc. Data &amp; Mechanisms'!$B$1381:$D$1381,0)+1,FALSE)),VLOOKUP($H28,$X$3:$AB$93,2,FALSE))),""))</f>
        <v>7.8040000000000003</v>
      </c>
      <c r="K28" s="1529">
        <f>IF($X28="", "",IFERROR(IF($B$34&lt;&gt;"Natural Gas", IF($C$36&lt;&gt;"Custom", VLOOKUP($H28,'Misc. Data &amp; Mechanisms'!$A$1483:$H$1574,MATCH($B$22,'Misc. Data &amp; Mechanisms'!$B$1483:$H$1483,0)+1,FALSE),VLOOKUP($H28,$X$3:$AB$93,3,FALSE)),  IF($C$37&lt;&gt;"Custom", VLOOKUP($H28,'Misc. Data &amp; Mechanisms'!$A$1483:$H$1574,MATCH($B$23,'Misc. Data &amp; Mechanisms'!$B$1483:$H$1483,0)+1,FALSE),VLOOKUP($H28,$X$3:$AB$93,3,FALSE))),""))</f>
        <v>0.23369999999999999</v>
      </c>
      <c r="L28" s="1531">
        <f ca="1">IF(OR($H28="",$I28=""),"",IF($I28="Not Applicable", "-",IF($B$34&lt;&gt;"Natural Gas",VLOOKUP($H28,'Electricity Bill'!$A$5:$AR$96,6,FALSE),VLOOKUP($H28,'Natural Gas Bill'!$A$5:$AS$96,6,FALSE))))</f>
        <v>118.94385744842</v>
      </c>
      <c r="M28" s="1522">
        <f>IF($T28="", "", IFERROR(IF($B$30="Yes", $V28, IF($B$34="Both",IF($C$32="Apartment","Not Applicable", VLOOKUP($H28, 'Misc. Data &amp; Mechanisms'!$E$280:$H$369, HLOOKUP($C$32,'Misc. Data &amp; Mechanisms'!$E$277:$H$279, 3, FALSE), FALSE)),"")), ""))</f>
        <v>17.678761695170117</v>
      </c>
      <c r="N28" s="1530">
        <f>IF($X28="", "",IFERROR(IF($B$34="Both",IF($C$37&lt;&gt;"Custom", IF($C$37 = "DRT", VLOOKUP($H28,'Misc. Data &amp; Mechanisms'!$A$1381:$D$1471,MATCH($B$23,'Misc. Data &amp; Mechanisms'!$B$1381:$D$1381,0)+1,FALSE)),IF($C$36="Custom",VLOOKUP($H28,$X$3:$AB$93,4,FALSE),VLOOKUP($H28,$X$3:$AB$93,2,FALSE))),""),""))</f>
        <v>4.1070000000000002</v>
      </c>
      <c r="O28" s="1529">
        <f>IF($X28="", "",IFERROR(IF($B$34="Both",IF($C$37&lt;&gt;"Custom", VLOOKUP($H28,'Misc. Data &amp; Mechanisms'!$A$1483:$H$1574,MATCH($B$23,'Misc. Data &amp; Mechanisms'!$B$1483:$H$1483,0)+1,FALSE),IF($C$36="Custom",VLOOKUP($H28,$X$3:$AB$93,5,FALSE),VLOOKUP($H28,$X$3:$AB$93,3,FALSE))),""),""))</f>
        <v>0.223</v>
      </c>
      <c r="P28" s="1531">
        <f ca="1">IF(OR($H28="",$M28=""), "", IF($M28="Not Applicable", "-",VLOOKUP($H28,'Natural Gas Bill'!$A$5:$AS$96,6,FALSE)))</f>
        <v>145.53783266074225</v>
      </c>
      <c r="Q28" s="33"/>
      <c r="S28" s="30"/>
      <c r="T28" s="1521">
        <f>IF($B$25="Yes", 'Misc. Data &amp; Mechanisms'!$A87,IF(T27="", "", IF(($H27+DAY(DATE(YEAR($H27),MONTH($H27)+1,1)-1))&lt;=$C$28, ($H27+DAY(DATE(YEAR($H27),MONTH($H27)+1,1)-1)), "")))</f>
        <v>41640</v>
      </c>
      <c r="U28" s="1519"/>
      <c r="V28" s="1519"/>
      <c r="W28" s="1352"/>
      <c r="X28" s="1521">
        <f>IF($B$25="Yes", 'Misc. Data &amp; Mechanisms'!$A87,IF(X27="", "", IF(($H27+DAY(DATE(YEAR($H27),MONTH($H27)+1,1)-1))&lt;=$C$28, ($H27+DAY(DATE(YEAR($H27),MONTH($H27)+1,1)-1)), "")))</f>
        <v>41640</v>
      </c>
      <c r="Y28" s="1519"/>
      <c r="Z28" s="1519"/>
      <c r="AA28" s="1520"/>
      <c r="AB28" s="1520"/>
      <c r="AC28" s="1362"/>
      <c r="AD28" s="1363"/>
    </row>
    <row r="29" spans="1:30" ht="18" customHeight="1" thickBot="1" x14ac:dyDescent="0.35">
      <c r="A29" s="30"/>
      <c r="B29" s="31"/>
      <c r="C29" s="31"/>
      <c r="D29" s="31"/>
      <c r="E29" s="1340"/>
      <c r="F29" s="1339"/>
      <c r="G29" s="30"/>
      <c r="H29" s="1521">
        <f>IF($B$25="Yes", 'Misc. Data &amp; Mechanisms'!$A88,IF(H28="", "", IF(($H28+DAY(DATE(YEAR($H28),MONTH($H28)+1,1)-1))&lt;=$C$28, ($H28+DAY(DATE(YEAR($H28),MONTH($H28)+1,1)-1)), "")))</f>
        <v>41671</v>
      </c>
      <c r="I29" s="1522">
        <f>IF($T29="", "",IFERROR(IF($B$30="Yes", VLOOKUP($H29, $T$3:$V$93, 2, FALSE), IF($B$34&lt;&gt;"Natural Gas", VLOOKUP($H29, 'Misc. Data &amp; Mechanisms'!$A$280:$D$369, HLOOKUP($C$32,'Misc. Data &amp; Mechanisms'!$A$277:$D$279, 3, FALSE), FALSE), IF($C$32="Apartment", "Not Applicable",VLOOKUP($H29, 'Misc. Data &amp; Mechanisms'!$E$280:$H$369, HLOOKUP($C$32,'Misc. Data &amp; Mechanisms'!$E$277:$H$279, 3, FALSE), FALSE)))), ""))</f>
        <v>651.69079712842574</v>
      </c>
      <c r="J29" s="1529">
        <f>IF($X29="", "",IFERROR(IF($B$34&lt;&gt;"Natural Gas", IF($C$36&lt;&gt;"Custom", IF($C$36 = "RRO (Capped)", VLOOKUP($H29,'Misc. Data &amp; Mechanisms'!$A$1278:$E$1368,MATCH($B$22,'Misc. Data &amp; Mechanisms'!$B$1278:$E$1278,0)+1,FALSE), VLOOKUP($H29,'Misc. Data &amp; Mechanisms'!$G$1278:$K$1368,MATCH($B$22,'Misc. Data &amp; Mechanisms'!$H$1278:$K$1278,0)+1,FALSE)),VLOOKUP($H29,$X$3:$AB$93,2,FALSE)),  IF($C$37&lt;&gt;"Custom", IF($C$37 = "DRT", VLOOKUP($H29,'Misc. Data &amp; Mechanisms'!$A$1381:$D$1471,MATCH($B$23,'Misc. Data &amp; Mechanisms'!$B$1381:$D$1381,0)+1,FALSE)),VLOOKUP($H29,$X$3:$AB$93,2,FALSE))),""))</f>
        <v>7.1909000000000001</v>
      </c>
      <c r="K29" s="1529">
        <f>IF($X29="", "",IFERROR(IF($B$34&lt;&gt;"Natural Gas", IF($C$36&lt;&gt;"Custom", VLOOKUP($H29,'Misc. Data &amp; Mechanisms'!$A$1483:$H$1574,MATCH($B$22,'Misc. Data &amp; Mechanisms'!$B$1483:$H$1483,0)+1,FALSE),VLOOKUP($H29,$X$3:$AB$93,3,FALSE)),  IF($C$37&lt;&gt;"Custom", VLOOKUP($H29,'Misc. Data &amp; Mechanisms'!$A$1483:$H$1574,MATCH($B$23,'Misc. Data &amp; Mechanisms'!$B$1483:$H$1483,0)+1,FALSE),VLOOKUP($H29,$X$3:$AB$93,3,FALSE))),""))</f>
        <v>0.23369999999999999</v>
      </c>
      <c r="L29" s="1531">
        <f ca="1">IF(OR($H29="",$I29=""),"",IF($I29="Not Applicable", "-",IF($B$34&lt;&gt;"Natural Gas",VLOOKUP($H29,'Electricity Bill'!$A$5:$AR$96,6,FALSE),VLOOKUP($H29,'Natural Gas Bill'!$A$5:$AS$96,6,FALSE))))</f>
        <v>108.11127147150229</v>
      </c>
      <c r="M29" s="1522">
        <f>IF($T29="", "", IFERROR(IF($B$30="Yes", $V29, IF($B$34="Both",IF($C$32="Apartment","Not Applicable", VLOOKUP($H29, 'Misc. Data &amp; Mechanisms'!$E$280:$H$369, HLOOKUP($C$32,'Misc. Data &amp; Mechanisms'!$E$277:$H$279, 3, FALSE), FALSE)),"")), ""))</f>
        <v>23.856327590100207</v>
      </c>
      <c r="N29" s="1530">
        <f>IF($X29="", "",IFERROR(IF($B$34="Both",IF($C$37&lt;&gt;"Custom", IF($C$37 = "DRT", VLOOKUP($H29,'Misc. Data &amp; Mechanisms'!$A$1381:$D$1471,MATCH($B$23,'Misc. Data &amp; Mechanisms'!$B$1381:$D$1381,0)+1,FALSE)),IF($C$36="Custom",VLOOKUP($H29,$X$3:$AB$93,4,FALSE),VLOOKUP($H29,$X$3:$AB$93,2,FALSE))),""),""))</f>
        <v>4.4939999999999998</v>
      </c>
      <c r="O29" s="1529">
        <f>IF($X29="", "",IFERROR(IF($B$34="Both",IF($C$37&lt;&gt;"Custom", VLOOKUP($H29,'Misc. Data &amp; Mechanisms'!$A$1483:$H$1574,MATCH($B$23,'Misc. Data &amp; Mechanisms'!$B$1483:$H$1483,0)+1,FALSE),IF($C$36="Custom",VLOOKUP($H29,$X$3:$AB$93,5,FALSE),VLOOKUP($H29,$X$3:$AB$93,3,FALSE))),""),""))</f>
        <v>0.223</v>
      </c>
      <c r="P29" s="1531">
        <f ca="1">IF(OR($H29="",$M29=""), "", IF($M29="Not Applicable", "-",VLOOKUP($H29,'Natural Gas Bill'!$A$5:$AS$96,6,FALSE)))</f>
        <v>191.58054732161304</v>
      </c>
      <c r="Q29" s="33"/>
      <c r="S29" s="30"/>
      <c r="T29" s="1521">
        <f>IF($B$25="Yes", 'Misc. Data &amp; Mechanisms'!$A88,IF(T28="", "", IF(($H28+DAY(DATE(YEAR($H28),MONTH($H28)+1,1)-1))&lt;=$C$28, ($H28+DAY(DATE(YEAR($H28),MONTH($H28)+1,1)-1)), "")))</f>
        <v>41671</v>
      </c>
      <c r="U29" s="1519"/>
      <c r="V29" s="1519"/>
      <c r="W29" s="1352"/>
      <c r="X29" s="1521">
        <f>IF($B$25="Yes", 'Misc. Data &amp; Mechanisms'!$A88,IF(X28="", "", IF(($H28+DAY(DATE(YEAR($H28),MONTH($H28)+1,1)-1))&lt;=$C$28, ($H28+DAY(DATE(YEAR($H28),MONTH($H28)+1,1)-1)), "")))</f>
        <v>41671</v>
      </c>
      <c r="Y29" s="1519"/>
      <c r="Z29" s="1519"/>
      <c r="AA29" s="1520"/>
      <c r="AB29" s="1520"/>
      <c r="AC29" s="1362"/>
      <c r="AD29" s="1363"/>
    </row>
    <row r="30" spans="1:30" ht="18" customHeight="1" thickBot="1" x14ac:dyDescent="0.35">
      <c r="A30" s="39" t="s">
        <v>264</v>
      </c>
      <c r="B30" s="1431" t="s">
        <v>252</v>
      </c>
      <c r="C30" s="27" t="str">
        <f>HYPERLINK("#"&amp;ADDRESS(ROW(), COLUMN()-1), "€")</f>
        <v>€</v>
      </c>
      <c r="D30" s="1356"/>
      <c r="E30" s="1340"/>
      <c r="F30" s="1339"/>
      <c r="G30" s="30"/>
      <c r="H30" s="1521">
        <f>IF($B$25="Yes", 'Misc. Data &amp; Mechanisms'!$A89,IF(H29="", "", IF(($H29+DAY(DATE(YEAR($H29),MONTH($H29)+1,1)-1))&lt;=$C$28, ($H29+DAY(DATE(YEAR($H29),MONTH($H29)+1,1)-1)), "")))</f>
        <v>41699</v>
      </c>
      <c r="I30" s="1522">
        <f>IF($T30="", "",IFERROR(IF($B$30="Yes", VLOOKUP($H30, $T$3:$V$93, 2, FALSE), IF($B$34&lt;&gt;"Natural Gas", VLOOKUP($H30, 'Misc. Data &amp; Mechanisms'!$A$280:$D$369, HLOOKUP($C$32,'Misc. Data &amp; Mechanisms'!$A$277:$D$279, 3, FALSE), FALSE), IF($C$32="Apartment", "Not Applicable",VLOOKUP($H30, 'Misc. Data &amp; Mechanisms'!$E$280:$H$369, HLOOKUP($C$32,'Misc. Data &amp; Mechanisms'!$E$277:$H$279, 3, FALSE), FALSE)))), ""))</f>
        <v>672.47295275973647</v>
      </c>
      <c r="J30" s="1529">
        <f>IF($X30="", "",IFERROR(IF($B$34&lt;&gt;"Natural Gas", IF($C$36&lt;&gt;"Custom", IF($C$36 = "RRO (Capped)", VLOOKUP($H30,'Misc. Data &amp; Mechanisms'!$A$1278:$E$1368,MATCH($B$22,'Misc. Data &amp; Mechanisms'!$B$1278:$E$1278,0)+1,FALSE), VLOOKUP($H30,'Misc. Data &amp; Mechanisms'!$G$1278:$K$1368,MATCH($B$22,'Misc. Data &amp; Mechanisms'!$H$1278:$K$1278,0)+1,FALSE)),VLOOKUP($H30,$X$3:$AB$93,2,FALSE)),  IF($C$37&lt;&gt;"Custom", IF($C$37 = "DRT", VLOOKUP($H30,'Misc. Data &amp; Mechanisms'!$A$1381:$D$1471,MATCH($B$23,'Misc. Data &amp; Mechanisms'!$B$1381:$D$1381,0)+1,FALSE)),VLOOKUP($H30,$X$3:$AB$93,2,FALSE))),""))</f>
        <v>7.3186999999999998</v>
      </c>
      <c r="K30" s="1529">
        <f>IF($X30="", "",IFERROR(IF($B$34&lt;&gt;"Natural Gas", IF($C$36&lt;&gt;"Custom", VLOOKUP($H30,'Misc. Data &amp; Mechanisms'!$A$1483:$H$1574,MATCH($B$22,'Misc. Data &amp; Mechanisms'!$B$1483:$H$1483,0)+1,FALSE),VLOOKUP($H30,$X$3:$AB$93,3,FALSE)),  IF($C$37&lt;&gt;"Custom", VLOOKUP($H30,'Misc. Data &amp; Mechanisms'!$A$1483:$H$1574,MATCH($B$23,'Misc. Data &amp; Mechanisms'!$B$1483:$H$1483,0)+1,FALSE),VLOOKUP($H30,$X$3:$AB$93,3,FALSE))),""))</f>
        <v>0.23369999999999999</v>
      </c>
      <c r="L30" s="1531">
        <f ca="1">IF(OR($H30="",$I30=""),"",IF($I30="Not Applicable", "-",IF($B$34&lt;&gt;"Natural Gas",VLOOKUP($H30,'Electricity Bill'!$A$5:$AR$96,6,FALSE),VLOOKUP($H30,'Natural Gas Bill'!$A$5:$AS$96,6,FALSE))))</f>
        <v>116.9334600996698</v>
      </c>
      <c r="M30" s="1522">
        <f>IF($T30="", "", IFERROR(IF($B$30="Yes", $V30, IF($B$34="Both",IF($C$32="Apartment","Not Applicable", VLOOKUP($H30, 'Misc. Data &amp; Mechanisms'!$E$280:$H$369, HLOOKUP($C$32,'Misc. Data &amp; Mechanisms'!$E$277:$H$279, 3, FALSE), FALSE)),"")), ""))</f>
        <v>20.574128672770144</v>
      </c>
      <c r="N30" s="1530">
        <f>IF($X30="", "",IFERROR(IF($B$34="Both",IF($C$37&lt;&gt;"Custom", IF($C$37 = "DRT", VLOOKUP($H30,'Misc. Data &amp; Mechanisms'!$A$1381:$D$1471,MATCH($B$23,'Misc. Data &amp; Mechanisms'!$B$1381:$D$1381,0)+1,FALSE)),IF($C$36="Custom",VLOOKUP($H30,$X$3:$AB$93,4,FALSE),VLOOKUP($H30,$X$3:$AB$93,2,FALSE))),""),""))</f>
        <v>9.3879999999999999</v>
      </c>
      <c r="O30" s="1529">
        <f>IF($X30="", "",IFERROR(IF($B$34="Both",IF($C$37&lt;&gt;"Custom", VLOOKUP($H30,'Misc. Data &amp; Mechanisms'!$A$1483:$H$1574,MATCH($B$23,'Misc. Data &amp; Mechanisms'!$B$1483:$H$1483,0)+1,FALSE),IF($C$36="Custom",VLOOKUP($H30,$X$3:$AB$93,5,FALSE),VLOOKUP($H30,$X$3:$AB$93,3,FALSE))),""),""))</f>
        <v>0.223</v>
      </c>
      <c r="P30" s="1531">
        <f ca="1">IF(OR($H30="",$M30=""), "", IF($M30="Not Applicable", "-",VLOOKUP($H30,'Natural Gas Bill'!$A$5:$AS$96,6,FALSE)))</f>
        <v>290.41284828816111</v>
      </c>
      <c r="Q30" s="33"/>
      <c r="S30" s="30"/>
      <c r="T30" s="1521">
        <f>IF($B$25="Yes", 'Misc. Data &amp; Mechanisms'!$A89,IF(T29="", "", IF(($H29+DAY(DATE(YEAR($H29),MONTH($H29)+1,1)-1))&lt;=$C$28, ($H29+DAY(DATE(YEAR($H29),MONTH($H29)+1,1)-1)), "")))</f>
        <v>41699</v>
      </c>
      <c r="U30" s="1519"/>
      <c r="V30" s="1519"/>
      <c r="W30" s="1352"/>
      <c r="X30" s="1521">
        <f>IF($B$25="Yes", 'Misc. Data &amp; Mechanisms'!$A89,IF(X29="", "", IF(($H29+DAY(DATE(YEAR($H29),MONTH($H29)+1,1)-1))&lt;=$C$28, ($H29+DAY(DATE(YEAR($H29),MONTH($H29)+1,1)-1)), "")))</f>
        <v>41699</v>
      </c>
      <c r="Y30" s="1519"/>
      <c r="Z30" s="1519"/>
      <c r="AA30" s="1520"/>
      <c r="AB30" s="1520"/>
      <c r="AC30" s="1362"/>
      <c r="AD30" s="1363"/>
    </row>
    <row r="31" spans="1:30" ht="18" customHeight="1" thickBot="1" x14ac:dyDescent="0.35">
      <c r="A31" s="1699" t="s">
        <v>604</v>
      </c>
      <c r="B31" s="31"/>
      <c r="C31" s="31"/>
      <c r="D31" s="31"/>
      <c r="E31" s="1340"/>
      <c r="F31" s="1339"/>
      <c r="G31" s="30"/>
      <c r="H31" s="1521">
        <f>IF($B$25="Yes", 'Misc. Data &amp; Mechanisms'!$A90,IF(H30="", "", IF(($H30+DAY(DATE(YEAR($H30),MONTH($H30)+1,1)-1))&lt;=$C$28, ($H30+DAY(DATE(YEAR($H30),MONTH($H30)+1,1)-1)), "")))</f>
        <v>41730</v>
      </c>
      <c r="I31" s="1522">
        <f>IF($T31="", "",IFERROR(IF($B$30="Yes", VLOOKUP($H31, $T$3:$V$93, 2, FALSE), IF($B$34&lt;&gt;"Natural Gas", VLOOKUP($H31, 'Misc. Data &amp; Mechanisms'!$A$280:$D$369, HLOOKUP($C$32,'Misc. Data &amp; Mechanisms'!$A$277:$D$279, 3, FALSE), FALSE), IF($C$32="Apartment", "Not Applicable",VLOOKUP($H31, 'Misc. Data &amp; Mechanisms'!$E$280:$H$369, HLOOKUP($C$32,'Misc. Data &amp; Mechanisms'!$E$277:$H$279, 3, FALSE), FALSE)))), ""))</f>
        <v>549.22593994361023</v>
      </c>
      <c r="J31" s="1529">
        <f>IF($X31="", "",IFERROR(IF($B$34&lt;&gt;"Natural Gas", IF($C$36&lt;&gt;"Custom", IF($C$36 = "RRO (Capped)", VLOOKUP($H31,'Misc. Data &amp; Mechanisms'!$A$1278:$E$1368,MATCH($B$22,'Misc. Data &amp; Mechanisms'!$B$1278:$E$1278,0)+1,FALSE), VLOOKUP($H31,'Misc. Data &amp; Mechanisms'!$G$1278:$K$1368,MATCH($B$22,'Misc. Data &amp; Mechanisms'!$H$1278:$K$1278,0)+1,FALSE)),VLOOKUP($H31,$X$3:$AB$93,2,FALSE)),  IF($C$37&lt;&gt;"Custom", IF($C$37 = "DRT", VLOOKUP($H31,'Misc. Data &amp; Mechanisms'!$A$1381:$D$1471,MATCH($B$23,'Misc. Data &amp; Mechanisms'!$B$1381:$D$1381,0)+1,FALSE)),VLOOKUP($H31,$X$3:$AB$93,2,FALSE))),""))</f>
        <v>7.0838000000000001</v>
      </c>
      <c r="K31" s="1529">
        <f>IF($X31="", "",IFERROR(IF($B$34&lt;&gt;"Natural Gas", IF($C$36&lt;&gt;"Custom", VLOOKUP($H31,'Misc. Data &amp; Mechanisms'!$A$1483:$H$1574,MATCH($B$22,'Misc. Data &amp; Mechanisms'!$B$1483:$H$1483,0)+1,FALSE),VLOOKUP($H31,$X$3:$AB$93,3,FALSE)),  IF($C$37&lt;&gt;"Custom", VLOOKUP($H31,'Misc. Data &amp; Mechanisms'!$A$1483:$H$1574,MATCH($B$23,'Misc. Data &amp; Mechanisms'!$B$1483:$H$1483,0)+1,FALSE),VLOOKUP($H31,$X$3:$AB$93,3,FALSE))),""))</f>
        <v>0.23369999999999999</v>
      </c>
      <c r="L31" s="1531">
        <f ca="1">IF(OR($H31="",$I31=""),"",IF($I31="Not Applicable", "-",IF($B$34&lt;&gt;"Natural Gas",VLOOKUP($H31,'Electricity Bill'!$A$5:$AR$96,6,FALSE),VLOOKUP($H31,'Natural Gas Bill'!$A$5:$AS$96,6,FALSE))))</f>
        <v>87.840720182916058</v>
      </c>
      <c r="M31" s="1522">
        <f>IF($T31="", "", IFERROR(IF($B$30="Yes", $V31, IF($B$34="Both",IF($C$32="Apartment","Not Applicable", VLOOKUP($H31, 'Misc. Data &amp; Mechanisms'!$E$280:$H$369, HLOOKUP($C$32,'Misc. Data &amp; Mechanisms'!$E$277:$H$279, 3, FALSE), FALSE)),"")), ""))</f>
        <v>11.107498159818526</v>
      </c>
      <c r="N31" s="1530">
        <f>IF($X31="", "",IFERROR(IF($B$34="Both",IF($C$37&lt;&gt;"Custom", IF($C$37 = "DRT", VLOOKUP($H31,'Misc. Data &amp; Mechanisms'!$A$1381:$D$1471,MATCH($B$23,'Misc. Data &amp; Mechanisms'!$B$1381:$D$1381,0)+1,FALSE)),IF($C$36="Custom",VLOOKUP($H31,$X$3:$AB$93,4,FALSE),VLOOKUP($H31,$X$3:$AB$93,2,FALSE))),""),""))</f>
        <v>4.226</v>
      </c>
      <c r="O31" s="1529">
        <f>IF($X31="", "",IFERROR(IF($B$34="Both",IF($C$37&lt;&gt;"Custom", VLOOKUP($H31,'Misc. Data &amp; Mechanisms'!$A$1483:$H$1574,MATCH($B$23,'Misc. Data &amp; Mechanisms'!$B$1483:$H$1483,0)+1,FALSE),IF($C$36="Custom",VLOOKUP($H31,$X$3:$AB$93,5,FALSE),VLOOKUP($H31,$X$3:$AB$93,3,FALSE))),""),""))</f>
        <v>0.223</v>
      </c>
      <c r="P31" s="1531">
        <f ca="1">IF(OR($H31="",$M31=""), "", IF($M31="Not Applicable", "-",VLOOKUP($H31,'Natural Gas Bill'!$A$5:$AS$96,6,FALSE)))</f>
        <v>107.87069425641586</v>
      </c>
      <c r="Q31" s="33"/>
      <c r="S31" s="30"/>
      <c r="T31" s="1521">
        <f>IF($B$25="Yes", 'Misc. Data &amp; Mechanisms'!$A90,IF(T30="", "", IF(($H30+DAY(DATE(YEAR($H30),MONTH($H30)+1,1)-1))&lt;=$C$28, ($H30+DAY(DATE(YEAR($H30),MONTH($H30)+1,1)-1)), "")))</f>
        <v>41730</v>
      </c>
      <c r="U31" s="1519"/>
      <c r="V31" s="1519"/>
      <c r="W31" s="1352"/>
      <c r="X31" s="1521">
        <f>IF($B$25="Yes", 'Misc. Data &amp; Mechanisms'!$A90,IF(X30="", "", IF(($H30+DAY(DATE(YEAR($H30),MONTH($H30)+1,1)-1))&lt;=$C$28, ($H30+DAY(DATE(YEAR($H30),MONTH($H30)+1,1)-1)), "")))</f>
        <v>41730</v>
      </c>
      <c r="Y31" s="1519"/>
      <c r="Z31" s="1519"/>
      <c r="AA31" s="1520"/>
      <c r="AB31" s="1520"/>
      <c r="AC31" s="1362"/>
      <c r="AD31" s="1363"/>
    </row>
    <row r="32" spans="1:30" ht="18" customHeight="1" thickBot="1" x14ac:dyDescent="0.35">
      <c r="A32" s="1700"/>
      <c r="B32" s="1288" t="s">
        <v>262</v>
      </c>
      <c r="C32" s="1697" t="s">
        <v>339</v>
      </c>
      <c r="D32" s="1698"/>
      <c r="E32" s="27" t="str">
        <f>HYPERLINK("#"&amp;ADDRESS(ROW(), COLUMN()-1), "€")</f>
        <v>€</v>
      </c>
      <c r="F32" s="1369"/>
      <c r="G32" s="1368"/>
      <c r="H32" s="1521">
        <f>IF($B$25="Yes", 'Misc. Data &amp; Mechanisms'!$A91,IF(H31="", "", IF(($H31+DAY(DATE(YEAR($H31),MONTH($H31)+1,1)-1))&lt;=$C$28, ($H31+DAY(DATE(YEAR($H31),MONTH($H31)+1,1)-1)), "")))</f>
        <v>41760</v>
      </c>
      <c r="I32" s="1522">
        <f>IF($T32="", "",IFERROR(IF($B$30="Yes", VLOOKUP($H32, $T$3:$V$93, 2, FALSE), IF($B$34&lt;&gt;"Natural Gas", VLOOKUP($H32, 'Misc. Data &amp; Mechanisms'!$A$280:$D$369, HLOOKUP($C$32,'Misc. Data &amp; Mechanisms'!$A$277:$D$279, 3, FALSE), FALSE), IF($C$32="Apartment", "Not Applicable",VLOOKUP($H32, 'Misc. Data &amp; Mechanisms'!$E$280:$H$369, HLOOKUP($C$32,'Misc. Data &amp; Mechanisms'!$E$277:$H$279, 3, FALSE), FALSE)))), ""))</f>
        <v>544.89601415275456</v>
      </c>
      <c r="J32" s="1529">
        <f>IF($X32="", "",IFERROR(IF($B$34&lt;&gt;"Natural Gas", IF($C$36&lt;&gt;"Custom", IF($C$36 = "RRO (Capped)", VLOOKUP($H32,'Misc. Data &amp; Mechanisms'!$A$1278:$E$1368,MATCH($B$22,'Misc. Data &amp; Mechanisms'!$B$1278:$E$1278,0)+1,FALSE), VLOOKUP($H32,'Misc. Data &amp; Mechanisms'!$G$1278:$K$1368,MATCH($B$22,'Misc. Data &amp; Mechanisms'!$H$1278:$K$1278,0)+1,FALSE)),VLOOKUP($H32,$X$3:$AB$93,2,FALSE)),  IF($C$37&lt;&gt;"Custom", IF($C$37 = "DRT", VLOOKUP($H32,'Misc. Data &amp; Mechanisms'!$A$1381:$D$1471,MATCH($B$23,'Misc. Data &amp; Mechanisms'!$B$1381:$D$1381,0)+1,FALSE)),VLOOKUP($H32,$X$3:$AB$93,2,FALSE))),""))</f>
        <v>10.612</v>
      </c>
      <c r="K32" s="1529">
        <f>IF($X32="", "",IFERROR(IF($B$34&lt;&gt;"Natural Gas", IF($C$36&lt;&gt;"Custom", VLOOKUP($H32,'Misc. Data &amp; Mechanisms'!$A$1483:$H$1574,MATCH($B$22,'Misc. Data &amp; Mechanisms'!$B$1483:$H$1483,0)+1,FALSE),VLOOKUP($H32,$X$3:$AB$93,3,FALSE)),  IF($C$37&lt;&gt;"Custom", VLOOKUP($H32,'Misc. Data &amp; Mechanisms'!$A$1483:$H$1574,MATCH($B$23,'Misc. Data &amp; Mechanisms'!$B$1483:$H$1483,0)+1,FALSE),VLOOKUP($H32,$X$3:$AB$93,3,FALSE))),""))</f>
        <v>0.23369999999999999</v>
      </c>
      <c r="L32" s="1531">
        <f ca="1">IF(OR($H32="",$I32=""),"",IF($I32="Not Applicable", "-",IF($B$34&lt;&gt;"Natural Gas",VLOOKUP($H32,'Electricity Bill'!$A$5:$AR$96,6,FALSE),VLOOKUP($H32,'Natural Gas Bill'!$A$5:$AS$96,6,FALSE))))</f>
        <v>110.5563265567594</v>
      </c>
      <c r="M32" s="1522">
        <f>IF($T32="", "", IFERROR(IF($B$30="Yes", $V32, IF($B$34="Both",IF($C$32="Apartment","Not Applicable", VLOOKUP($H32, 'Misc. Data &amp; Mechanisms'!$E$280:$H$369, HLOOKUP($C$32,'Misc. Data &amp; Mechanisms'!$E$277:$H$279, 3, FALSE), FALSE)),"")), ""))</f>
        <v>7.6720066184584503</v>
      </c>
      <c r="N32" s="1530">
        <f>IF($X32="", "",IFERROR(IF($B$34="Both",IF($C$37&lt;&gt;"Custom", IF($C$37 = "DRT", VLOOKUP($H32,'Misc. Data &amp; Mechanisms'!$A$1381:$D$1471,MATCH($B$23,'Misc. Data &amp; Mechanisms'!$B$1381:$D$1381,0)+1,FALSE)),IF($C$36="Custom",VLOOKUP($H32,$X$3:$AB$93,4,FALSE),VLOOKUP($H32,$X$3:$AB$93,2,FALSE))),""),""))</f>
        <v>3.915</v>
      </c>
      <c r="O32" s="1529">
        <f>IF($X32="", "",IFERROR(IF($B$34="Both",IF($C$37&lt;&gt;"Custom", VLOOKUP($H32,'Misc. Data &amp; Mechanisms'!$A$1483:$H$1574,MATCH($B$23,'Misc. Data &amp; Mechanisms'!$B$1483:$H$1483,0)+1,FALSE),IF($C$36="Custom",VLOOKUP($H32,$X$3:$AB$93,5,FALSE),VLOOKUP($H32,$X$3:$AB$93,3,FALSE))),""),""))</f>
        <v>0.223</v>
      </c>
      <c r="P32" s="1531">
        <f ca="1">IF(OR($H32="",$M32=""), "", IF($M32="Not Applicable", "-",VLOOKUP($H32,'Natural Gas Bill'!$A$5:$AS$96,6,FALSE)))</f>
        <v>83.303784609278566</v>
      </c>
      <c r="Q32" s="33"/>
      <c r="S32" s="30"/>
      <c r="T32" s="1521">
        <f>IF($B$25="Yes", 'Misc. Data &amp; Mechanisms'!$A91,IF(T31="", "", IF(($H31+DAY(DATE(YEAR($H31),MONTH($H31)+1,1)-1))&lt;=$C$28, ($H31+DAY(DATE(YEAR($H31),MONTH($H31)+1,1)-1)), "")))</f>
        <v>41760</v>
      </c>
      <c r="U32" s="1519"/>
      <c r="V32" s="1519"/>
      <c r="W32" s="1352"/>
      <c r="X32" s="1521">
        <f>IF($B$25="Yes", 'Misc. Data &amp; Mechanisms'!$A91,IF(X31="", "", IF(($H31+DAY(DATE(YEAR($H31),MONTH($H31)+1,1)-1))&lt;=$C$28, ($H31+DAY(DATE(YEAR($H31),MONTH($H31)+1,1)-1)), "")))</f>
        <v>41760</v>
      </c>
      <c r="Y32" s="1519"/>
      <c r="Z32" s="1519"/>
      <c r="AA32" s="1520"/>
      <c r="AB32" s="1520"/>
      <c r="AC32" s="1362"/>
      <c r="AD32" s="1363"/>
    </row>
    <row r="33" spans="1:30" ht="18" customHeight="1" thickBot="1" x14ac:dyDescent="0.35">
      <c r="A33" s="1701"/>
      <c r="B33" s="31"/>
      <c r="C33" s="31"/>
      <c r="D33" s="31"/>
      <c r="E33" s="1340"/>
      <c r="F33" s="1339"/>
      <c r="G33" s="30"/>
      <c r="H33" s="1521">
        <f>IF($B$25="Yes", 'Misc. Data &amp; Mechanisms'!$A92,IF(H32="", "", IF(($H32+DAY(DATE(YEAR($H32),MONTH($H32)+1,1)-1))&lt;=$C$28, ($H32+DAY(DATE(YEAR($H32),MONTH($H32)+1,1)-1)), "")))</f>
        <v>41791</v>
      </c>
      <c r="I33" s="1522">
        <f>IF($T33="", "",IFERROR(IF($B$30="Yes", VLOOKUP($H33, $T$3:$V$93, 2, FALSE), IF($B$34&lt;&gt;"Natural Gas", VLOOKUP($H33, 'Misc. Data &amp; Mechanisms'!$A$280:$D$369, HLOOKUP($C$32,'Misc. Data &amp; Mechanisms'!$A$277:$D$279, 3, FALSE), FALSE), IF($C$32="Apartment", "Not Applicable",VLOOKUP($H33, 'Misc. Data &amp; Mechanisms'!$E$280:$H$369, HLOOKUP($C$32,'Misc. Data &amp; Mechanisms'!$E$277:$H$279, 3, FALSE), FALSE)))), ""))</f>
        <v>508.11715523587856</v>
      </c>
      <c r="J33" s="1529">
        <f>IF($X33="", "",IFERROR(IF($B$34&lt;&gt;"Natural Gas", IF($C$36&lt;&gt;"Custom", IF($C$36 = "RRO (Capped)", VLOOKUP($H33,'Misc. Data &amp; Mechanisms'!$A$1278:$E$1368,MATCH($B$22,'Misc. Data &amp; Mechanisms'!$B$1278:$E$1278,0)+1,FALSE), VLOOKUP($H33,'Misc. Data &amp; Mechanisms'!$G$1278:$K$1368,MATCH($B$22,'Misc. Data &amp; Mechanisms'!$H$1278:$K$1278,0)+1,FALSE)),VLOOKUP($H33,$X$3:$AB$93,2,FALSE)),  IF($C$37&lt;&gt;"Custom", IF($C$37 = "DRT", VLOOKUP($H33,'Misc. Data &amp; Mechanisms'!$A$1381:$D$1471,MATCH($B$23,'Misc. Data &amp; Mechanisms'!$B$1381:$D$1381,0)+1,FALSE)),VLOOKUP($H33,$X$3:$AB$93,2,FALSE))),""))</f>
        <v>5.4981</v>
      </c>
      <c r="K33" s="1529">
        <f>IF($X33="", "",IFERROR(IF($B$34&lt;&gt;"Natural Gas", IF($C$36&lt;&gt;"Custom", VLOOKUP($H33,'Misc. Data &amp; Mechanisms'!$A$1483:$H$1574,MATCH($B$22,'Misc. Data &amp; Mechanisms'!$B$1483:$H$1483,0)+1,FALSE),VLOOKUP($H33,$X$3:$AB$93,3,FALSE)),  IF($C$37&lt;&gt;"Custom", VLOOKUP($H33,'Misc. Data &amp; Mechanisms'!$A$1483:$H$1574,MATCH($B$23,'Misc. Data &amp; Mechanisms'!$B$1483:$H$1483,0)+1,FALSE),VLOOKUP($H33,$X$3:$AB$93,3,FALSE))),""))</f>
        <v>0.23369999999999999</v>
      </c>
      <c r="L33" s="1531">
        <f ca="1">IF(OR($H33="",$I33=""),"",IF($I33="Not Applicable", "-",IF($B$34&lt;&gt;"Natural Gas",VLOOKUP($H33,'Electricity Bill'!$A$5:$AR$96,6,FALSE),VLOOKUP($H33,'Natural Gas Bill'!$A$5:$AS$96,6,FALSE))))</f>
        <v>72.498197170599155</v>
      </c>
      <c r="M33" s="1522">
        <f>IF($T33="", "", IFERROR(IF($B$30="Yes", $V33, IF($B$34="Both",IF($C$32="Apartment","Not Applicable", VLOOKUP($H33, 'Misc. Data &amp; Mechanisms'!$E$280:$H$369, HLOOKUP($C$32,'Misc. Data &amp; Mechanisms'!$E$277:$H$279, 3, FALSE), FALSE)),"")), ""))</f>
        <v>4.5897978449022441</v>
      </c>
      <c r="N33" s="1530">
        <f>IF($X33="", "",IFERROR(IF($B$34="Both",IF($C$37&lt;&gt;"Custom", IF($C$37 = "DRT", VLOOKUP($H33,'Misc. Data &amp; Mechanisms'!$A$1381:$D$1471,MATCH($B$23,'Misc. Data &amp; Mechanisms'!$B$1381:$D$1381,0)+1,FALSE)),IF($C$36="Custom",VLOOKUP($H33,$X$3:$AB$93,4,FALSE),VLOOKUP($H33,$X$3:$AB$93,2,FALSE))),""),""))</f>
        <v>2.73</v>
      </c>
      <c r="O33" s="1529">
        <f>IF($X33="", "",IFERROR(IF($B$34="Both",IF($C$37&lt;&gt;"Custom", VLOOKUP($H33,'Misc. Data &amp; Mechanisms'!$A$1483:$H$1574,MATCH($B$23,'Misc. Data &amp; Mechanisms'!$B$1483:$H$1483,0)+1,FALSE),IF($C$36="Custom",VLOOKUP($H33,$X$3:$AB$93,5,FALSE),VLOOKUP($H33,$X$3:$AB$93,3,FALSE))),""),""))</f>
        <v>0.223</v>
      </c>
      <c r="P33" s="1531">
        <f ca="1">IF(OR($H33="",$M33=""), "", IF($M33="Not Applicable", "-",VLOOKUP($H33,'Natural Gas Bill'!$A$5:$AS$96,6,FALSE)))</f>
        <v>56.39611100202147</v>
      </c>
      <c r="Q33" s="33"/>
      <c r="S33" s="30"/>
      <c r="T33" s="1521">
        <f>IF($B$25="Yes", 'Misc. Data &amp; Mechanisms'!$A92,IF(T32="", "", IF(($H32+DAY(DATE(YEAR($H32),MONTH($H32)+1,1)-1))&lt;=$C$28, ($H32+DAY(DATE(YEAR($H32),MONTH($H32)+1,1)-1)), "")))</f>
        <v>41791</v>
      </c>
      <c r="U33" s="1519"/>
      <c r="V33" s="1519"/>
      <c r="W33" s="1352"/>
      <c r="X33" s="1521">
        <f>IF($B$25="Yes", 'Misc. Data &amp; Mechanisms'!$A92,IF(X32="", "", IF(($H32+DAY(DATE(YEAR($H32),MONTH($H32)+1,1)-1))&lt;=$C$28, ($H32+DAY(DATE(YEAR($H32),MONTH($H32)+1,1)-1)), "")))</f>
        <v>41791</v>
      </c>
      <c r="Y33" s="1519"/>
      <c r="Z33" s="1519"/>
      <c r="AA33" s="1520"/>
      <c r="AB33" s="1520"/>
      <c r="AC33" s="1362"/>
      <c r="AD33" s="1363"/>
    </row>
    <row r="34" spans="1:30" ht="18" customHeight="1" thickBot="1" x14ac:dyDescent="0.35">
      <c r="A34" s="39" t="s">
        <v>595</v>
      </c>
      <c r="B34" s="1432" t="s">
        <v>261</v>
      </c>
      <c r="C34" s="27" t="str">
        <f>HYPERLINK("#"&amp;ADDRESS(ROW(), COLUMN()-1), "€")</f>
        <v>€</v>
      </c>
      <c r="D34" s="1358"/>
      <c r="E34" s="33"/>
      <c r="F34" s="1339"/>
      <c r="G34" s="30"/>
      <c r="H34" s="1521">
        <f>IF($B$25="Yes", 'Misc. Data &amp; Mechanisms'!$A93,IF(H33="", "", IF(($H33+DAY(DATE(YEAR($H33),MONTH($H33)+1,1)-1))&lt;=$C$28, ($H33+DAY(DATE(YEAR($H33),MONTH($H33)+1,1)-1)), "")))</f>
        <v>41821</v>
      </c>
      <c r="I34" s="1522">
        <f>IF($T34="", "",IFERROR(IF($B$30="Yes", VLOOKUP($H34, $T$3:$V$93, 2, FALSE), IF($B$34&lt;&gt;"Natural Gas", VLOOKUP($H34, 'Misc. Data &amp; Mechanisms'!$A$280:$D$369, HLOOKUP($C$32,'Misc. Data &amp; Mechanisms'!$A$277:$D$279, 3, FALSE), FALSE), IF($C$32="Apartment", "Not Applicable",VLOOKUP($H34, 'Misc. Data &amp; Mechanisms'!$E$280:$H$369, HLOOKUP($C$32,'Misc. Data &amp; Mechanisms'!$E$277:$H$279, 3, FALSE), FALSE)))), ""))</f>
        <v>550.27564308737453</v>
      </c>
      <c r="J34" s="1529">
        <f>IF($X34="", "",IFERROR(IF($B$34&lt;&gt;"Natural Gas", IF($C$36&lt;&gt;"Custom", IF($C$36 = "RRO (Capped)", VLOOKUP($H34,'Misc. Data &amp; Mechanisms'!$A$1278:$E$1368,MATCH($B$22,'Misc. Data &amp; Mechanisms'!$B$1278:$E$1278,0)+1,FALSE), VLOOKUP($H34,'Misc. Data &amp; Mechanisms'!$G$1278:$K$1368,MATCH($B$22,'Misc. Data &amp; Mechanisms'!$H$1278:$K$1278,0)+1,FALSE)),VLOOKUP($H34,$X$3:$AB$93,2,FALSE)),  IF($C$37&lt;&gt;"Custom", IF($C$37 = "DRT", VLOOKUP($H34,'Misc. Data &amp; Mechanisms'!$A$1381:$D$1471,MATCH($B$23,'Misc. Data &amp; Mechanisms'!$B$1381:$D$1381,0)+1,FALSE)),VLOOKUP($H34,$X$3:$AB$93,2,FALSE))),""))</f>
        <v>7.7039999999999997</v>
      </c>
      <c r="K34" s="1529">
        <f>IF($X34="", "",IFERROR(IF($B$34&lt;&gt;"Natural Gas", IF($C$36&lt;&gt;"Custom", VLOOKUP($H34,'Misc. Data &amp; Mechanisms'!$A$1483:$H$1574,MATCH($B$22,'Misc. Data &amp; Mechanisms'!$B$1483:$H$1483,0)+1,FALSE),VLOOKUP($H34,$X$3:$AB$93,3,FALSE)),  IF($C$37&lt;&gt;"Custom", VLOOKUP($H34,'Misc. Data &amp; Mechanisms'!$A$1483:$H$1574,MATCH($B$23,'Misc. Data &amp; Mechanisms'!$B$1483:$H$1483,0)+1,FALSE),VLOOKUP($H34,$X$3:$AB$93,3,FALSE))),""))</f>
        <v>0.23369999999999999</v>
      </c>
      <c r="L34" s="1531">
        <f ca="1">IF(OR($H34="",$I34=""),"",IF($I34="Not Applicable", "-",IF($B$34&lt;&gt;"Natural Gas",VLOOKUP($H34,'Electricity Bill'!$A$5:$AR$96,6,FALSE),VLOOKUP($H34,'Natural Gas Bill'!$A$5:$AS$96,6,FALSE))))</f>
        <v>92.784785516980946</v>
      </c>
      <c r="M34" s="1522">
        <f>IF($T34="", "", IFERROR(IF($B$30="Yes", $V34, IF($B$34="Both",IF($C$32="Apartment","Not Applicable", VLOOKUP($H34, 'Misc. Data &amp; Mechanisms'!$E$280:$H$369, HLOOKUP($C$32,'Misc. Data &amp; Mechanisms'!$E$277:$H$279, 3, FALSE), FALSE)),"")), ""))</f>
        <v>2.7320829657733774</v>
      </c>
      <c r="N34" s="1530">
        <f>IF($X34="", "",IFERROR(IF($B$34="Both",IF($C$37&lt;&gt;"Custom", IF($C$37 = "DRT", VLOOKUP($H34,'Misc. Data &amp; Mechanisms'!$A$1381:$D$1471,MATCH($B$23,'Misc. Data &amp; Mechanisms'!$B$1381:$D$1381,0)+1,FALSE)),IF($C$36="Custom",VLOOKUP($H34,$X$3:$AB$93,4,FALSE),VLOOKUP($H34,$X$3:$AB$93,2,FALSE))),""),""))</f>
        <v>5.1379999999999999</v>
      </c>
      <c r="O34" s="1529">
        <f>IF($X34="", "",IFERROR(IF($B$34="Both",IF($C$37&lt;&gt;"Custom", VLOOKUP($H34,'Misc. Data &amp; Mechanisms'!$A$1483:$H$1574,MATCH($B$23,'Misc. Data &amp; Mechanisms'!$B$1483:$H$1483,0)+1,FALSE),IF($C$36="Custom",VLOOKUP($H34,$X$3:$AB$93,5,FALSE),VLOOKUP($H34,$X$3:$AB$93,3,FALSE))),""),""))</f>
        <v>0.223</v>
      </c>
      <c r="P34" s="1531">
        <f ca="1">IF(OR($H34="",$M34=""), "", IF($M34="Not Applicable", "-",VLOOKUP($H34,'Natural Gas Bill'!$A$5:$AS$96,6,FALSE)))</f>
        <v>56.0519489421348</v>
      </c>
      <c r="Q34" s="33"/>
      <c r="S34" s="30"/>
      <c r="T34" s="1521">
        <f>IF($B$25="Yes", 'Misc. Data &amp; Mechanisms'!$A93,IF(T33="", "", IF(($H33+DAY(DATE(YEAR($H33),MONTH($H33)+1,1)-1))&lt;=$C$28, ($H33+DAY(DATE(YEAR($H33),MONTH($H33)+1,1)-1)), "")))</f>
        <v>41821</v>
      </c>
      <c r="U34" s="1519"/>
      <c r="V34" s="1519"/>
      <c r="W34" s="1352"/>
      <c r="X34" s="1521">
        <f>IF($B$25="Yes", 'Misc. Data &amp; Mechanisms'!$A93,IF(X33="", "", IF(($H33+DAY(DATE(YEAR($H33),MONTH($H33)+1,1)-1))&lt;=$C$28, ($H33+DAY(DATE(YEAR($H33),MONTH($H33)+1,1)-1)), "")))</f>
        <v>41821</v>
      </c>
      <c r="Y34" s="1519"/>
      <c r="Z34" s="1519"/>
      <c r="AA34" s="1520"/>
      <c r="AB34" s="1520"/>
      <c r="AC34" s="1362"/>
      <c r="AD34" s="1363"/>
    </row>
    <row r="35" spans="1:30" ht="18" customHeight="1" thickBot="1" x14ac:dyDescent="0.35">
      <c r="A35" s="30"/>
      <c r="B35" s="31"/>
      <c r="C35" s="31"/>
      <c r="D35" s="31"/>
      <c r="E35" s="33"/>
      <c r="F35" s="1339"/>
      <c r="G35" s="30"/>
      <c r="H35" s="1521">
        <f>IF($B$25="Yes", 'Misc. Data &amp; Mechanisms'!$A94,IF(H34="", "", IF(($H34+DAY(DATE(YEAR($H34),MONTH($H34)+1,1)-1))&lt;=$C$28, ($H34+DAY(DATE(YEAR($H34),MONTH($H34)+1,1)-1)), "")))</f>
        <v>41852</v>
      </c>
      <c r="I35" s="1522">
        <f>IF($T35="", "",IFERROR(IF($B$30="Yes", VLOOKUP($H35, $T$3:$V$93, 2, FALSE), IF($B$34&lt;&gt;"Natural Gas", VLOOKUP($H35, 'Misc. Data &amp; Mechanisms'!$A$280:$D$369, HLOOKUP($C$32,'Misc. Data &amp; Mechanisms'!$A$277:$D$279, 3, FALSE), FALSE), IF($C$32="Apartment", "Not Applicable",VLOOKUP($H35, 'Misc. Data &amp; Mechanisms'!$E$280:$H$369, HLOOKUP($C$32,'Misc. Data &amp; Mechanisms'!$E$277:$H$279, 3, FALSE), FALSE)))), ""))</f>
        <v>548.4852192164833</v>
      </c>
      <c r="J35" s="1529">
        <f>IF($X35="", "",IFERROR(IF($B$34&lt;&gt;"Natural Gas", IF($C$36&lt;&gt;"Custom", IF($C$36 = "RRO (Capped)", VLOOKUP($H35,'Misc. Data &amp; Mechanisms'!$A$1278:$E$1368,MATCH($B$22,'Misc. Data &amp; Mechanisms'!$B$1278:$E$1278,0)+1,FALSE), VLOOKUP($H35,'Misc. Data &amp; Mechanisms'!$G$1278:$K$1368,MATCH($B$22,'Misc. Data &amp; Mechanisms'!$H$1278:$K$1278,0)+1,FALSE)),VLOOKUP($H35,$X$3:$AB$93,2,FALSE)),  IF($C$37&lt;&gt;"Custom", IF($C$37 = "DRT", VLOOKUP($H35,'Misc. Data &amp; Mechanisms'!$A$1381:$D$1471,MATCH($B$23,'Misc. Data &amp; Mechanisms'!$B$1381:$D$1381,0)+1,FALSE)),VLOOKUP($H35,$X$3:$AB$93,2,FALSE))),""))</f>
        <v>8.6411999999999995</v>
      </c>
      <c r="K35" s="1529">
        <f>IF($X35="", "",IFERROR(IF($B$34&lt;&gt;"Natural Gas", IF($C$36&lt;&gt;"Custom", VLOOKUP($H35,'Misc. Data &amp; Mechanisms'!$A$1483:$H$1574,MATCH($B$22,'Misc. Data &amp; Mechanisms'!$B$1483:$H$1483,0)+1,FALSE),VLOOKUP($H35,$X$3:$AB$93,3,FALSE)),  IF($C$37&lt;&gt;"Custom", VLOOKUP($H35,'Misc. Data &amp; Mechanisms'!$A$1483:$H$1574,MATCH($B$23,'Misc. Data &amp; Mechanisms'!$B$1483:$H$1483,0)+1,FALSE),VLOOKUP($H35,$X$3:$AB$93,3,FALSE))),""))</f>
        <v>0.23369999999999999</v>
      </c>
      <c r="L35" s="1531">
        <f ca="1">IF(OR($H35="",$I35=""),"",IF($I35="Not Applicable", "-",IF($B$34&lt;&gt;"Natural Gas",VLOOKUP($H35,'Electricity Bill'!$A$5:$AR$96,6,FALSE),VLOOKUP($H35,'Natural Gas Bill'!$A$5:$AS$96,6,FALSE))))</f>
        <v>98.559841179175223</v>
      </c>
      <c r="M35" s="1522">
        <f>IF($T35="", "", IFERROR(IF($B$30="Yes", $V35, IF($B$34="Both",IF($C$32="Apartment","Not Applicable", VLOOKUP($H35, 'Misc. Data &amp; Mechanisms'!$E$280:$H$369, HLOOKUP($C$32,'Misc. Data &amp; Mechanisms'!$E$277:$H$279, 3, FALSE), FALSE)),"")), ""))</f>
        <v>3.3502929773367698</v>
      </c>
      <c r="N35" s="1530">
        <f>IF($X35="", "",IFERROR(IF($B$34="Both",IF($C$37&lt;&gt;"Custom", IF($C$37 = "DRT", VLOOKUP($H35,'Misc. Data &amp; Mechanisms'!$A$1381:$D$1471,MATCH($B$23,'Misc. Data &amp; Mechanisms'!$B$1381:$D$1381,0)+1,FALSE)),IF($C$36="Custom",VLOOKUP($H35,$X$3:$AB$93,4,FALSE),VLOOKUP($H35,$X$3:$AB$93,2,FALSE))),""),""))</f>
        <v>3.7490000000000001</v>
      </c>
      <c r="O35" s="1529">
        <f>IF($X35="", "",IFERROR(IF($B$34="Both",IF($C$37&lt;&gt;"Custom", VLOOKUP($H35,'Misc. Data &amp; Mechanisms'!$A$1483:$H$1574,MATCH($B$23,'Misc. Data &amp; Mechanisms'!$B$1483:$H$1483,0)+1,FALSE),IF($C$36="Custom",VLOOKUP($H35,$X$3:$AB$93,5,FALSE),VLOOKUP($H35,$X$3:$AB$93,3,FALSE))),""),""))</f>
        <v>0.223</v>
      </c>
      <c r="P35" s="1531">
        <f ca="1">IF(OR($H35="",$M35=""), "", IF($M35="Not Applicable", "-",VLOOKUP($H35,'Natural Gas Bill'!$A$5:$AS$96,6,FALSE)))</f>
        <v>55.40321760915463</v>
      </c>
      <c r="Q35" s="33"/>
      <c r="S35" s="30"/>
      <c r="T35" s="1521">
        <f>IF($B$25="Yes", 'Misc. Data &amp; Mechanisms'!$A94,IF(T34="", "", IF(($H34+DAY(DATE(YEAR($H34),MONTH($H34)+1,1)-1))&lt;=$C$28, ($H34+DAY(DATE(YEAR($H34),MONTH($H34)+1,1)-1)), "")))</f>
        <v>41852</v>
      </c>
      <c r="U35" s="1519"/>
      <c r="V35" s="1519"/>
      <c r="W35" s="1352"/>
      <c r="X35" s="1521">
        <f>IF($B$25="Yes", 'Misc. Data &amp; Mechanisms'!$A94,IF(X34="", "", IF(($H34+DAY(DATE(YEAR($H34),MONTH($H34)+1,1)-1))&lt;=$C$28, ($H34+DAY(DATE(YEAR($H34),MONTH($H34)+1,1)-1)), "")))</f>
        <v>41852</v>
      </c>
      <c r="Y35" s="1519"/>
      <c r="Z35" s="1519"/>
      <c r="AA35" s="1520"/>
      <c r="AB35" s="1520"/>
      <c r="AC35" s="1362"/>
      <c r="AD35" s="1363"/>
    </row>
    <row r="36" spans="1:30" ht="18" customHeight="1" x14ac:dyDescent="0.3">
      <c r="A36" s="1712" t="s">
        <v>614</v>
      </c>
      <c r="B36" s="38" t="s">
        <v>593</v>
      </c>
      <c r="C36" s="1693" t="s">
        <v>555</v>
      </c>
      <c r="D36" s="1694"/>
      <c r="E36" s="26" t="str">
        <f>HYPERLINK("#"&amp;ADDRESS(ROW(), COLUMN()-1), "€")</f>
        <v>€</v>
      </c>
      <c r="F36" s="1369"/>
      <c r="G36" s="30"/>
      <c r="H36" s="1521">
        <f>IF($B$25="Yes", 'Misc. Data &amp; Mechanisms'!$A95,IF(H35="", "", IF(($H35+DAY(DATE(YEAR($H35),MONTH($H35)+1,1)-1))&lt;=$C$28, ($H35+DAY(DATE(YEAR($H35),MONTH($H35)+1,1)-1)), "")))</f>
        <v>41883</v>
      </c>
      <c r="I36" s="1522">
        <f>IF($T36="", "",IFERROR(IF($B$30="Yes", VLOOKUP($H36, $T$3:$V$93, 2, FALSE), IF($B$34&lt;&gt;"Natural Gas", VLOOKUP($H36, 'Misc. Data &amp; Mechanisms'!$A$280:$D$369, HLOOKUP($C$32,'Misc. Data &amp; Mechanisms'!$A$277:$D$279, 3, FALSE), FALSE), IF($C$32="Apartment", "Not Applicable",VLOOKUP($H36, 'Misc. Data &amp; Mechanisms'!$E$280:$H$369, HLOOKUP($C$32,'Misc. Data &amp; Mechanisms'!$E$277:$H$279, 3, FALSE), FALSE)))), ""))</f>
        <v>539.49057792869712</v>
      </c>
      <c r="J36" s="1529">
        <f>IF($X36="", "",IFERROR(IF($B$34&lt;&gt;"Natural Gas", IF($C$36&lt;&gt;"Custom", IF($C$36 = "RRO (Capped)", VLOOKUP($H36,'Misc. Data &amp; Mechanisms'!$A$1278:$E$1368,MATCH($B$22,'Misc. Data &amp; Mechanisms'!$B$1278:$E$1278,0)+1,FALSE), VLOOKUP($H36,'Misc. Data &amp; Mechanisms'!$G$1278:$K$1368,MATCH($B$22,'Misc. Data &amp; Mechanisms'!$H$1278:$K$1278,0)+1,FALSE)),VLOOKUP($H36,$X$3:$AB$93,2,FALSE)),  IF($C$37&lt;&gt;"Custom", IF($C$37 = "DRT", VLOOKUP($H36,'Misc. Data &amp; Mechanisms'!$A$1381:$D$1471,MATCH($B$23,'Misc. Data &amp; Mechanisms'!$B$1381:$D$1381,0)+1,FALSE)),VLOOKUP($H36,$X$3:$AB$93,2,FALSE))),""))</f>
        <v>9.0046999999999997</v>
      </c>
      <c r="K36" s="1529">
        <f>IF($X36="", "",IFERROR(IF($B$34&lt;&gt;"Natural Gas", IF($C$36&lt;&gt;"Custom", VLOOKUP($H36,'Misc. Data &amp; Mechanisms'!$A$1483:$H$1574,MATCH($B$22,'Misc. Data &amp; Mechanisms'!$B$1483:$H$1483,0)+1,FALSE),VLOOKUP($H36,$X$3:$AB$93,3,FALSE)),  IF($C$37&lt;&gt;"Custom", VLOOKUP($H36,'Misc. Data &amp; Mechanisms'!$A$1483:$H$1574,MATCH($B$23,'Misc. Data &amp; Mechanisms'!$B$1483:$H$1483,0)+1,FALSE),VLOOKUP($H36,$X$3:$AB$93,3,FALSE))),""))</f>
        <v>0.23369999999999999</v>
      </c>
      <c r="L36" s="1531">
        <f ca="1">IF(OR($H36="",$I36=""),"",IF($I36="Not Applicable", "-",IF($B$34&lt;&gt;"Natural Gas",VLOOKUP($H36,'Electricity Bill'!$A$5:$AR$96,6,FALSE),VLOOKUP($H36,'Natural Gas Bill'!$A$5:$AS$96,6,FALSE))))</f>
        <v>98.842115917858933</v>
      </c>
      <c r="M36" s="1522">
        <f>IF($T36="", "", IFERROR(IF($B$30="Yes", $V36, IF($B$34="Both",IF($C$32="Apartment","Not Applicable", VLOOKUP($H36, 'Misc. Data &amp; Mechanisms'!$E$280:$H$369, HLOOKUP($C$32,'Misc. Data &amp; Mechanisms'!$E$277:$H$279, 3, FALSE), FALSE)),"")), ""))</f>
        <v>6.0677895827545711</v>
      </c>
      <c r="N36" s="1530">
        <f>IF($X36="", "",IFERROR(IF($B$34="Both",IF($C$37&lt;&gt;"Custom", IF($C$37 = "DRT", VLOOKUP($H36,'Misc. Data &amp; Mechanisms'!$A$1381:$D$1471,MATCH($B$23,'Misc. Data &amp; Mechanisms'!$B$1381:$D$1381,0)+1,FALSE)),IF($C$36="Custom",VLOOKUP($H36,$X$3:$AB$93,4,FALSE),VLOOKUP($H36,$X$3:$AB$93,2,FALSE))),""),""))</f>
        <v>3.7080000000000002</v>
      </c>
      <c r="O36" s="1529">
        <f>IF($X36="", "",IFERROR(IF($B$34="Both",IF($C$37&lt;&gt;"Custom", VLOOKUP($H36,'Misc. Data &amp; Mechanisms'!$A$1483:$H$1574,MATCH($B$23,'Misc. Data &amp; Mechanisms'!$B$1483:$H$1483,0)+1,FALSE),IF($C$36="Custom",VLOOKUP($H36,$X$3:$AB$93,5,FALSE),VLOOKUP($H36,$X$3:$AB$93,3,FALSE))),""),""))</f>
        <v>0.223</v>
      </c>
      <c r="P36" s="1531">
        <f ca="1">IF(OR($H36="",$M36=""), "", IF($M36="Not Applicable", "-",VLOOKUP($H36,'Natural Gas Bill'!$A$5:$AS$96,6,FALSE)))</f>
        <v>70.595962905365027</v>
      </c>
      <c r="Q36" s="33"/>
      <c r="S36" s="30"/>
      <c r="T36" s="1521">
        <f>IF($B$25="Yes", 'Misc. Data &amp; Mechanisms'!$A95,IF(T35="", "", IF(($H35+DAY(DATE(YEAR($H35),MONTH($H35)+1,1)-1))&lt;=$C$28, ($H35+DAY(DATE(YEAR($H35),MONTH($H35)+1,1)-1)), "")))</f>
        <v>41883</v>
      </c>
      <c r="U36" s="1519"/>
      <c r="V36" s="1519"/>
      <c r="W36" s="1352"/>
      <c r="X36" s="1521">
        <f>IF($B$25="Yes", 'Misc. Data &amp; Mechanisms'!$A95,IF(X35="", "", IF(($H35+DAY(DATE(YEAR($H35),MONTH($H35)+1,1)-1))&lt;=$C$28, ($H35+DAY(DATE(YEAR($H35),MONTH($H35)+1,1)-1)), "")))</f>
        <v>41883</v>
      </c>
      <c r="Y36" s="1519"/>
      <c r="Z36" s="1519"/>
      <c r="AA36" s="1520"/>
      <c r="AB36" s="1520"/>
      <c r="AC36" s="1362"/>
      <c r="AD36" s="1363"/>
    </row>
    <row r="37" spans="1:30" ht="18" customHeight="1" thickBot="1" x14ac:dyDescent="0.35">
      <c r="A37" s="1712"/>
      <c r="B37" s="1337" t="s">
        <v>594</v>
      </c>
      <c r="C37" s="1695" t="s">
        <v>568</v>
      </c>
      <c r="D37" s="1696"/>
      <c r="E37" s="1338" t="str">
        <f>HYPERLINK("#"&amp;ADDRESS(ROW(), COLUMN()-1), "€")</f>
        <v>€</v>
      </c>
      <c r="F37" s="1369"/>
      <c r="G37" s="30"/>
      <c r="H37" s="1521">
        <f>IF($B$25="Yes", 'Misc. Data &amp; Mechanisms'!$A96,IF(H36="", "", IF(($H36+DAY(DATE(YEAR($H36),MONTH($H36)+1,1)-1))&lt;=$C$28, ($H36+DAY(DATE(YEAR($H36),MONTH($H36)+1,1)-1)), "")))</f>
        <v>41913</v>
      </c>
      <c r="I37" s="1522">
        <f>IF($T37="", "",IFERROR(IF($B$30="Yes", VLOOKUP($H37, $T$3:$V$93, 2, FALSE), IF($B$34&lt;&gt;"Natural Gas", VLOOKUP($H37, 'Misc. Data &amp; Mechanisms'!$A$280:$D$369, HLOOKUP($C$32,'Misc. Data &amp; Mechanisms'!$A$277:$D$279, 3, FALSE), FALSE), IF($C$32="Apartment", "Not Applicable",VLOOKUP($H37, 'Misc. Data &amp; Mechanisms'!$E$280:$H$369, HLOOKUP($C$32,'Misc. Data &amp; Mechanisms'!$E$277:$H$279, 3, FALSE), FALSE)))), ""))</f>
        <v>577.81210120705612</v>
      </c>
      <c r="J37" s="1529">
        <f>IF($X37="", "",IFERROR(IF($B$34&lt;&gt;"Natural Gas", IF($C$36&lt;&gt;"Custom", IF($C$36 = "RRO (Capped)", VLOOKUP($H37,'Misc. Data &amp; Mechanisms'!$A$1278:$E$1368,MATCH($B$22,'Misc. Data &amp; Mechanisms'!$B$1278:$E$1278,0)+1,FALSE), VLOOKUP($H37,'Misc. Data &amp; Mechanisms'!$G$1278:$K$1368,MATCH($B$22,'Misc. Data &amp; Mechanisms'!$H$1278:$K$1278,0)+1,FALSE)),VLOOKUP($H37,$X$3:$AB$93,2,FALSE)),  IF($C$37&lt;&gt;"Custom", IF($C$37 = "DRT", VLOOKUP($H37,'Misc. Data &amp; Mechanisms'!$A$1381:$D$1471,MATCH($B$23,'Misc. Data &amp; Mechanisms'!$B$1381:$D$1381,0)+1,FALSE)),VLOOKUP($H37,$X$3:$AB$93,2,FALSE))),""))</f>
        <v>8.4507999999999992</v>
      </c>
      <c r="K37" s="1529">
        <f>IF($X37="", "",IFERROR(IF($B$34&lt;&gt;"Natural Gas", IF($C$36&lt;&gt;"Custom", VLOOKUP($H37,'Misc. Data &amp; Mechanisms'!$A$1483:$H$1574,MATCH($B$22,'Misc. Data &amp; Mechanisms'!$B$1483:$H$1483,0)+1,FALSE),VLOOKUP($H37,$X$3:$AB$93,3,FALSE)),  IF($C$37&lt;&gt;"Custom", VLOOKUP($H37,'Misc. Data &amp; Mechanisms'!$A$1483:$H$1574,MATCH($B$23,'Misc. Data &amp; Mechanisms'!$B$1483:$H$1483,0)+1,FALSE),VLOOKUP($H37,$X$3:$AB$93,3,FALSE))),""))</f>
        <v>0.23369999999999999</v>
      </c>
      <c r="L37" s="1531">
        <f ca="1">IF(OR($H37="",$I37=""),"",IF($I37="Not Applicable", "-",IF($B$34&lt;&gt;"Natural Gas",VLOOKUP($H37,'Electricity Bill'!$A$5:$AR$96,6,FALSE),VLOOKUP($H37,'Natural Gas Bill'!$A$5:$AS$96,6,FALSE))))</f>
        <v>103.0807358200106</v>
      </c>
      <c r="M37" s="1522">
        <f>IF($T37="", "", IFERROR(IF($B$30="Yes", $V37, IF($B$34="Both",IF($C$32="Apartment","Not Applicable", VLOOKUP($H37, 'Misc. Data &amp; Mechanisms'!$E$280:$H$369, HLOOKUP($C$32,'Misc. Data &amp; Mechanisms'!$E$277:$H$279, 3, FALSE), FALSE)),"")), ""))</f>
        <v>8.4870216904286888</v>
      </c>
      <c r="N37" s="1530">
        <f>IF($X37="", "",IFERROR(IF($B$34="Both",IF($C$37&lt;&gt;"Custom", IF($C$37 = "DRT", VLOOKUP($H37,'Misc. Data &amp; Mechanisms'!$A$1381:$D$1471,MATCH($B$23,'Misc. Data &amp; Mechanisms'!$B$1381:$D$1381,0)+1,FALSE)),IF($C$36="Custom",VLOOKUP($H37,$X$3:$AB$93,4,FALSE),VLOOKUP($H37,$X$3:$AB$93,2,FALSE))),""),""))</f>
        <v>4.18</v>
      </c>
      <c r="O37" s="1529">
        <f>IF($X37="", "",IFERROR(IF($B$34="Both",IF($C$37&lt;&gt;"Custom", VLOOKUP($H37,'Misc. Data &amp; Mechanisms'!$A$1483:$H$1574,MATCH($B$23,'Misc. Data &amp; Mechanisms'!$B$1483:$H$1483,0)+1,FALSE),IF($C$36="Custom",VLOOKUP($H37,$X$3:$AB$93,5,FALSE),VLOOKUP($H37,$X$3:$AB$93,3,FALSE))),""),""))</f>
        <v>0.223</v>
      </c>
      <c r="P37" s="1531">
        <f ca="1">IF(OR($H37="",$M37=""), "", IF($M37="Not Applicable", "-",VLOOKUP($H37,'Natural Gas Bill'!$A$5:$AS$96,6,FALSE)))</f>
        <v>93.661134078745661</v>
      </c>
      <c r="Q37" s="33"/>
      <c r="S37" s="30"/>
      <c r="T37" s="1521">
        <f>IF($B$25="Yes", 'Misc. Data &amp; Mechanisms'!$A96,IF(T36="", "", IF(($H36+DAY(DATE(YEAR($H36),MONTH($H36)+1,1)-1))&lt;=$C$28, ($H36+DAY(DATE(YEAR($H36),MONTH($H36)+1,1)-1)), "")))</f>
        <v>41913</v>
      </c>
      <c r="U37" s="1519"/>
      <c r="V37" s="1519"/>
      <c r="W37" s="1352"/>
      <c r="X37" s="1521">
        <f>IF($B$25="Yes", 'Misc. Data &amp; Mechanisms'!$A96,IF(X36="", "", IF(($H36+DAY(DATE(YEAR($H36),MONTH($H36)+1,1)-1))&lt;=$C$28, ($H36+DAY(DATE(YEAR($H36),MONTH($H36)+1,1)-1)), "")))</f>
        <v>41913</v>
      </c>
      <c r="Y37" s="1519"/>
      <c r="Z37" s="1519"/>
      <c r="AA37" s="1520"/>
      <c r="AB37" s="1520"/>
      <c r="AC37" s="1362"/>
      <c r="AD37" s="1363"/>
    </row>
    <row r="38" spans="1:30" ht="18" customHeight="1" thickBot="1" x14ac:dyDescent="0.35">
      <c r="A38" s="41"/>
      <c r="B38" s="42"/>
      <c r="C38" s="42"/>
      <c r="D38" s="42"/>
      <c r="E38" s="1341"/>
      <c r="F38" s="1339"/>
      <c r="G38" s="30"/>
      <c r="H38" s="1521">
        <f>IF($B$25="Yes", 'Misc. Data &amp; Mechanisms'!$A97,IF(H37="", "", IF(($H37+DAY(DATE(YEAR($H37),MONTH($H37)+1,1)-1))&lt;=$C$28, ($H37+DAY(DATE(YEAR($H37),MONTH($H37)+1,1)-1)), "")))</f>
        <v>41944</v>
      </c>
      <c r="I38" s="1522">
        <f>IF($T38="", "",IFERROR(IF($B$30="Yes", VLOOKUP($H38, $T$3:$V$93, 2, FALSE), IF($B$34&lt;&gt;"Natural Gas", VLOOKUP($H38, 'Misc. Data &amp; Mechanisms'!$A$280:$D$369, HLOOKUP($C$32,'Misc. Data &amp; Mechanisms'!$A$277:$D$279, 3, FALSE), FALSE), IF($C$32="Apartment", "Not Applicable",VLOOKUP($H38, 'Misc. Data &amp; Mechanisms'!$E$280:$H$369, HLOOKUP($C$32,'Misc. Data &amp; Mechanisms'!$E$277:$H$279, 3, FALSE), FALSE)))), ""))</f>
        <v>681.40742022456311</v>
      </c>
      <c r="J38" s="1529">
        <f>IF($X38="", "",IFERROR(IF($B$34&lt;&gt;"Natural Gas", IF($C$36&lt;&gt;"Custom", IF($C$36 = "RRO (Capped)", VLOOKUP($H38,'Misc. Data &amp; Mechanisms'!$A$1278:$E$1368,MATCH($B$22,'Misc. Data &amp; Mechanisms'!$B$1278:$E$1278,0)+1,FALSE), VLOOKUP($H38,'Misc. Data &amp; Mechanisms'!$G$1278:$K$1368,MATCH($B$22,'Misc. Data &amp; Mechanisms'!$H$1278:$K$1278,0)+1,FALSE)),VLOOKUP($H38,$X$3:$AB$93,2,FALSE)),  IF($C$37&lt;&gt;"Custom", IF($C$37 = "DRT", VLOOKUP($H38,'Misc. Data &amp; Mechanisms'!$A$1381:$D$1471,MATCH($B$23,'Misc. Data &amp; Mechanisms'!$B$1381:$D$1381,0)+1,FALSE)),VLOOKUP($H38,$X$3:$AB$93,2,FALSE))),""))</f>
        <v>6.3208000000000002</v>
      </c>
      <c r="K38" s="1529">
        <f>IF($X38="", "",IFERROR(IF($B$34&lt;&gt;"Natural Gas", IF($C$36&lt;&gt;"Custom", VLOOKUP($H38,'Misc. Data &amp; Mechanisms'!$A$1483:$H$1574,MATCH($B$22,'Misc. Data &amp; Mechanisms'!$B$1483:$H$1483,0)+1,FALSE),VLOOKUP($H38,$X$3:$AB$93,3,FALSE)),  IF($C$37&lt;&gt;"Custom", VLOOKUP($H38,'Misc. Data &amp; Mechanisms'!$A$1483:$H$1574,MATCH($B$23,'Misc. Data &amp; Mechanisms'!$B$1483:$H$1483,0)+1,FALSE),VLOOKUP($H38,$X$3:$AB$93,3,FALSE))),""))</f>
        <v>0.23369999999999999</v>
      </c>
      <c r="L38" s="1531">
        <f ca="1">IF(OR($H38="",$I38=""),"",IF($I38="Not Applicable", "-",IF($B$34&lt;&gt;"Natural Gas",VLOOKUP($H38,'Electricity Bill'!$A$5:$AR$96,6,FALSE),VLOOKUP($H38,'Natural Gas Bill'!$A$5:$AS$96,6,FALSE))))</f>
        <v>99.432182382399986</v>
      </c>
      <c r="M38" s="1522">
        <f>IF($T38="", "", IFERROR(IF($B$30="Yes", $V38, IF($B$34="Both",IF($C$32="Apartment","Not Applicable", VLOOKUP($H38, 'Misc. Data &amp; Mechanisms'!$E$280:$H$369, HLOOKUP($C$32,'Misc. Data &amp; Mechanisms'!$E$277:$H$279, 3, FALSE), FALSE)),"")), ""))</f>
        <v>16.328982044219593</v>
      </c>
      <c r="N38" s="1530">
        <f>IF($X38="", "",IFERROR(IF($B$34="Both",IF($C$37&lt;&gt;"Custom", IF($C$37 = "DRT", VLOOKUP($H38,'Misc. Data &amp; Mechanisms'!$A$1381:$D$1471,MATCH($B$23,'Misc. Data &amp; Mechanisms'!$B$1381:$D$1381,0)+1,FALSE)),IF($C$36="Custom",VLOOKUP($H38,$X$3:$AB$93,4,FALSE),VLOOKUP($H38,$X$3:$AB$93,2,FALSE))),""),""))</f>
        <v>3.6829999999999998</v>
      </c>
      <c r="O38" s="1529">
        <f>IF($X38="", "",IFERROR(IF($B$34="Both",IF($C$37&lt;&gt;"Custom", VLOOKUP($H38,'Misc. Data &amp; Mechanisms'!$A$1483:$H$1574,MATCH($B$23,'Misc. Data &amp; Mechanisms'!$B$1483:$H$1483,0)+1,FALSE),IF($C$36="Custom",VLOOKUP($H38,$X$3:$AB$93,5,FALSE),VLOOKUP($H38,$X$3:$AB$93,3,FALSE))),""),""))</f>
        <v>0.223</v>
      </c>
      <c r="P38" s="1531">
        <f ca="1">IF(OR($H38="",$M38=""), "", IF($M38="Not Applicable", "-",VLOOKUP($H38,'Natural Gas Bill'!$A$5:$AS$96,6,FALSE)))</f>
        <v>124.75058571022659</v>
      </c>
      <c r="Q38" s="33"/>
      <c r="S38" s="30"/>
      <c r="T38" s="1521">
        <f>IF($B$25="Yes", 'Misc. Data &amp; Mechanisms'!$A97,IF(T37="", "", IF(($H37+DAY(DATE(YEAR($H37),MONTH($H37)+1,1)-1))&lt;=$C$28, ($H37+DAY(DATE(YEAR($H37),MONTH($H37)+1,1)-1)), "")))</f>
        <v>41944</v>
      </c>
      <c r="U38" s="1519"/>
      <c r="V38" s="1519"/>
      <c r="W38" s="1352"/>
      <c r="X38" s="1521">
        <f>IF($B$25="Yes", 'Misc. Data &amp; Mechanisms'!$A97,IF(X37="", "", IF(($H37+DAY(DATE(YEAR($H37),MONTH($H37)+1,1)-1))&lt;=$C$28, ($H37+DAY(DATE(YEAR($H37),MONTH($H37)+1,1)-1)), "")))</f>
        <v>41944</v>
      </c>
      <c r="Y38" s="1519"/>
      <c r="Z38" s="1519"/>
      <c r="AA38" s="1520"/>
      <c r="AB38" s="1520"/>
      <c r="AC38" s="1362"/>
      <c r="AD38" s="1363"/>
    </row>
    <row r="39" spans="1:30" ht="18" customHeight="1" x14ac:dyDescent="0.3">
      <c r="F39" s="1342"/>
      <c r="G39" s="30"/>
      <c r="H39" s="1521">
        <f>IF($B$25="Yes", 'Misc. Data &amp; Mechanisms'!$A98,IF(H38="", "", IF(($H38+DAY(DATE(YEAR($H38),MONTH($H38)+1,1)-1))&lt;=$C$28, ($H38+DAY(DATE(YEAR($H38),MONTH($H38)+1,1)-1)), "")))</f>
        <v>41974</v>
      </c>
      <c r="I39" s="1522">
        <f>IF($T39="", "",IFERROR(IF($B$30="Yes", VLOOKUP($H39, $T$3:$V$93, 2, FALSE), IF($B$34&lt;&gt;"Natural Gas", VLOOKUP($H39, 'Misc. Data &amp; Mechanisms'!$A$280:$D$369, HLOOKUP($C$32,'Misc. Data &amp; Mechanisms'!$A$277:$D$279, 3, FALSE), FALSE), IF($C$32="Apartment", "Not Applicable",VLOOKUP($H39, 'Misc. Data &amp; Mechanisms'!$E$280:$H$369, HLOOKUP($C$32,'Misc. Data &amp; Mechanisms'!$E$277:$H$279, 3, FALSE), FALSE)))), ""))</f>
        <v>703.19710101169528</v>
      </c>
      <c r="J39" s="1529">
        <f>IF($X39="", "",IFERROR(IF($B$34&lt;&gt;"Natural Gas", IF($C$36&lt;&gt;"Custom", IF($C$36 = "RRO (Capped)", VLOOKUP($H39,'Misc. Data &amp; Mechanisms'!$A$1278:$E$1368,MATCH($B$22,'Misc. Data &amp; Mechanisms'!$B$1278:$E$1278,0)+1,FALSE), VLOOKUP($H39,'Misc. Data &amp; Mechanisms'!$G$1278:$K$1368,MATCH($B$22,'Misc. Data &amp; Mechanisms'!$H$1278:$K$1278,0)+1,FALSE)),VLOOKUP($H39,$X$3:$AB$93,2,FALSE)),  IF($C$37&lt;&gt;"Custom", IF($C$37 = "DRT", VLOOKUP($H39,'Misc. Data &amp; Mechanisms'!$A$1381:$D$1471,MATCH($B$23,'Misc. Data &amp; Mechanisms'!$B$1381:$D$1381,0)+1,FALSE)),VLOOKUP($H39,$X$3:$AB$93,2,FALSE))),""))</f>
        <v>7.2981999999999996</v>
      </c>
      <c r="K39" s="1529">
        <f>IF($X39="", "",IFERROR(IF($B$34&lt;&gt;"Natural Gas", IF($C$36&lt;&gt;"Custom", VLOOKUP($H39,'Misc. Data &amp; Mechanisms'!$A$1483:$H$1574,MATCH($B$22,'Misc. Data &amp; Mechanisms'!$B$1483:$H$1483,0)+1,FALSE),VLOOKUP($H39,$X$3:$AB$93,3,FALSE)),  IF($C$37&lt;&gt;"Custom", VLOOKUP($H39,'Misc. Data &amp; Mechanisms'!$A$1483:$H$1574,MATCH($B$23,'Misc. Data &amp; Mechanisms'!$B$1483:$H$1483,0)+1,FALSE),VLOOKUP($H39,$X$3:$AB$93,3,FALSE))),""))</f>
        <v>0.23369999999999999</v>
      </c>
      <c r="L39" s="1531">
        <f ca="1">IF(OR($H39="",$I39=""),"",IF($I39="Not Applicable", "-",IF($B$34&lt;&gt;"Natural Gas",VLOOKUP($H39,'Electricity Bill'!$A$5:$AR$96,6,FALSE),VLOOKUP($H39,'Natural Gas Bill'!$A$5:$AS$96,6,FALSE))))</f>
        <v>110.66245763938612</v>
      </c>
      <c r="M39" s="1522">
        <f>IF($T39="", "", IFERROR(IF($B$30="Yes", $V39, IF($B$34="Both",IF($C$32="Apartment","Not Applicable", VLOOKUP($H39, 'Misc. Data &amp; Mechanisms'!$E$280:$H$369, HLOOKUP($C$32,'Misc. Data &amp; Mechanisms'!$E$277:$H$279, 3, FALSE), FALSE)),"")), ""))</f>
        <v>17.155085931907376</v>
      </c>
      <c r="N39" s="1530">
        <f>IF($X39="", "",IFERROR(IF($B$34="Both",IF($C$37&lt;&gt;"Custom", IF($C$37 = "DRT", VLOOKUP($H39,'Misc. Data &amp; Mechanisms'!$A$1381:$D$1471,MATCH($B$23,'Misc. Data &amp; Mechanisms'!$B$1381:$D$1381,0)+1,FALSE)),IF($C$36="Custom",VLOOKUP($H39,$X$3:$AB$93,4,FALSE),VLOOKUP($H39,$X$3:$AB$93,2,FALSE))),""),""))</f>
        <v>4.1820000000000004</v>
      </c>
      <c r="O39" s="1529">
        <f>IF($X39="", "",IFERROR(IF($B$34="Both",IF($C$37&lt;&gt;"Custom", VLOOKUP($H39,'Misc. Data &amp; Mechanisms'!$A$1483:$H$1574,MATCH($B$23,'Misc. Data &amp; Mechanisms'!$B$1483:$H$1483,0)+1,FALSE),IF($C$36="Custom",VLOOKUP($H39,$X$3:$AB$93,5,FALSE),VLOOKUP($H39,$X$3:$AB$93,3,FALSE))),""),""))</f>
        <v>0.223</v>
      </c>
      <c r="P39" s="1531">
        <f ca="1">IF(OR($H39="",$M39=""), "", IF($M39="Not Applicable", "-",VLOOKUP($H39,'Natural Gas Bill'!$A$5:$AS$96,6,FALSE)))</f>
        <v>140.55196539239572</v>
      </c>
      <c r="Q39" s="33"/>
      <c r="S39" s="30"/>
      <c r="T39" s="1521">
        <f>IF($B$25="Yes", 'Misc. Data &amp; Mechanisms'!$A98,IF(T38="", "", IF(($H38+DAY(DATE(YEAR($H38),MONTH($H38)+1,1)-1))&lt;=$C$28, ($H38+DAY(DATE(YEAR($H38),MONTH($H38)+1,1)-1)), "")))</f>
        <v>41974</v>
      </c>
      <c r="U39" s="1519"/>
      <c r="V39" s="1519"/>
      <c r="W39" s="1352"/>
      <c r="X39" s="1521">
        <f>IF($B$25="Yes", 'Misc. Data &amp; Mechanisms'!$A98,IF(X38="", "", IF(($H38+DAY(DATE(YEAR($H38),MONTH($H38)+1,1)-1))&lt;=$C$28, ($H38+DAY(DATE(YEAR($H38),MONTH($H38)+1,1)-1)), "")))</f>
        <v>41974</v>
      </c>
      <c r="Y39" s="1519"/>
      <c r="Z39" s="1519"/>
      <c r="AA39" s="1520"/>
      <c r="AB39" s="1520"/>
      <c r="AC39" s="1362"/>
      <c r="AD39" s="1363"/>
    </row>
    <row r="40" spans="1:30" ht="18" customHeight="1" x14ac:dyDescent="0.3">
      <c r="F40" s="1342"/>
      <c r="G40" s="30"/>
      <c r="H40" s="1521">
        <f>IF($B$25="Yes", 'Misc. Data &amp; Mechanisms'!$A99,IF(H39="", "", IF(($H39+DAY(DATE(YEAR($H39),MONTH($H39)+1,1)-1))&lt;=$C$28, ($H39+DAY(DATE(YEAR($H39),MONTH($H39)+1,1)-1)), "")))</f>
        <v>42005</v>
      </c>
      <c r="I40" s="1522">
        <f>IF($T40="", "",IFERROR(IF($B$30="Yes", VLOOKUP($H40, $T$3:$V$93, 2, FALSE), IF($B$34&lt;&gt;"Natural Gas", VLOOKUP($H40, 'Misc. Data &amp; Mechanisms'!$A$280:$D$369, HLOOKUP($C$32,'Misc. Data &amp; Mechanisms'!$A$277:$D$279, 3, FALSE), FALSE), IF($C$32="Apartment", "Not Applicable",VLOOKUP($H40, 'Misc. Data &amp; Mechanisms'!$E$280:$H$369, HLOOKUP($C$32,'Misc. Data &amp; Mechanisms'!$E$277:$H$279, 3, FALSE), FALSE)))), ""))</f>
        <v>672.43278272761768</v>
      </c>
      <c r="J40" s="1529">
        <f>IF($X40="", "",IFERROR(IF($B$34&lt;&gt;"Natural Gas", IF($C$36&lt;&gt;"Custom", IF($C$36 = "RRO (Capped)", VLOOKUP($H40,'Misc. Data &amp; Mechanisms'!$A$1278:$E$1368,MATCH($B$22,'Misc. Data &amp; Mechanisms'!$B$1278:$E$1278,0)+1,FALSE), VLOOKUP($H40,'Misc. Data &amp; Mechanisms'!$G$1278:$K$1368,MATCH($B$22,'Misc. Data &amp; Mechanisms'!$H$1278:$K$1278,0)+1,FALSE)),VLOOKUP($H40,$X$3:$AB$93,2,FALSE)),  IF($C$37&lt;&gt;"Custom", IF($C$37 = "DRT", VLOOKUP($H40,'Misc. Data &amp; Mechanisms'!$A$1381:$D$1471,MATCH($B$23,'Misc. Data &amp; Mechanisms'!$B$1381:$D$1381,0)+1,FALSE)),VLOOKUP($H40,$X$3:$AB$93,2,FALSE))),""))</f>
        <v>7.4088000000000003</v>
      </c>
      <c r="K40" s="1529">
        <f>IF($X40="", "",IFERROR(IF($B$34&lt;&gt;"Natural Gas", IF($C$36&lt;&gt;"Custom", VLOOKUP($H40,'Misc. Data &amp; Mechanisms'!$A$1483:$H$1574,MATCH($B$22,'Misc. Data &amp; Mechanisms'!$B$1483:$H$1483,0)+1,FALSE),VLOOKUP($H40,$X$3:$AB$93,3,FALSE)),  IF($C$37&lt;&gt;"Custom", VLOOKUP($H40,'Misc. Data &amp; Mechanisms'!$A$1483:$H$1574,MATCH($B$23,'Misc. Data &amp; Mechanisms'!$B$1483:$H$1483,0)+1,FALSE),VLOOKUP($H40,$X$3:$AB$93,3,FALSE))),""))</f>
        <v>0.2291</v>
      </c>
      <c r="L40" s="1531">
        <f ca="1">IF(OR($H40="",$I40=""),"",IF($I40="Not Applicable", "-",IF($B$34&lt;&gt;"Natural Gas",VLOOKUP($H40,'Electricity Bill'!$A$5:$AR$96,6,FALSE),VLOOKUP($H40,'Natural Gas Bill'!$A$5:$AS$96,6,FALSE))))</f>
        <v>113.20600559155233</v>
      </c>
      <c r="M40" s="1522">
        <f>IF($T40="", "", IFERROR(IF($B$30="Yes", $V40, IF($B$34="Both",IF($C$32="Apartment","Not Applicable", VLOOKUP($H40, 'Misc. Data &amp; Mechanisms'!$E$280:$H$369, HLOOKUP($C$32,'Misc. Data &amp; Mechanisms'!$E$277:$H$279, 3, FALSE), FALSE)),"")), ""))</f>
        <v>17.023240041667705</v>
      </c>
      <c r="N40" s="1530">
        <f>IF($X40="", "",IFERROR(IF($B$34="Both",IF($C$37&lt;&gt;"Custom", IF($C$37 = "DRT", VLOOKUP($H40,'Misc. Data &amp; Mechanisms'!$A$1381:$D$1471,MATCH($B$23,'Misc. Data &amp; Mechanisms'!$B$1381:$D$1381,0)+1,FALSE)),IF($C$36="Custom",VLOOKUP($H40,$X$3:$AB$93,4,FALSE),VLOOKUP($H40,$X$3:$AB$93,2,FALSE))),""),""))</f>
        <v>3.1059999999999999</v>
      </c>
      <c r="O40" s="1529">
        <f>IF($X40="", "",IFERROR(IF($B$34="Both",IF($C$37&lt;&gt;"Custom", VLOOKUP($H40,'Misc. Data &amp; Mechanisms'!$A$1483:$H$1574,MATCH($B$23,'Misc. Data &amp; Mechanisms'!$B$1483:$H$1483,0)+1,FALSE),IF($C$36="Custom",VLOOKUP($H40,$X$3:$AB$93,5,FALSE),VLOOKUP($H40,$X$3:$AB$93,3,FALSE))),""),""))</f>
        <v>0.223</v>
      </c>
      <c r="P40" s="1531">
        <f ca="1">IF(OR($H40="",$M40=""), "", IF($M40="Not Applicable", "-",VLOOKUP($H40,'Natural Gas Bill'!$A$5:$AS$96,6,FALSE)))</f>
        <v>128.83682163849937</v>
      </c>
      <c r="Q40" s="33"/>
      <c r="S40" s="30"/>
      <c r="T40" s="1521">
        <f>IF($B$25="Yes", 'Misc. Data &amp; Mechanisms'!$A99,IF(T39="", "", IF(($H39+DAY(DATE(YEAR($H39),MONTH($H39)+1,1)-1))&lt;=$C$28, ($H39+DAY(DATE(YEAR($H39),MONTH($H39)+1,1)-1)), "")))</f>
        <v>42005</v>
      </c>
      <c r="U40" s="1519"/>
      <c r="V40" s="1519"/>
      <c r="W40" s="1352"/>
      <c r="X40" s="1521">
        <f>IF($B$25="Yes", 'Misc. Data &amp; Mechanisms'!$A99,IF(X39="", "", IF(($H39+DAY(DATE(YEAR($H39),MONTH($H39)+1,1)-1))&lt;=$C$28, ($H39+DAY(DATE(YEAR($H39),MONTH($H39)+1,1)-1)), "")))</f>
        <v>42005</v>
      </c>
      <c r="Y40" s="1519"/>
      <c r="Z40" s="1519"/>
      <c r="AA40" s="1520"/>
      <c r="AB40" s="1520"/>
      <c r="AC40" s="1362"/>
      <c r="AD40" s="1363"/>
    </row>
    <row r="41" spans="1:30" ht="18" customHeight="1" x14ac:dyDescent="0.3">
      <c r="B41" s="1436"/>
      <c r="C41" s="1436"/>
      <c r="D41" s="1436"/>
      <c r="F41" s="1342"/>
      <c r="G41" s="30"/>
      <c r="H41" s="1521">
        <f>IF($B$25="Yes", 'Misc. Data &amp; Mechanisms'!$A100,IF(H40="", "", IF(($H40+DAY(DATE(YEAR($H40),MONTH($H40)+1,1)-1))&lt;=$C$28, ($H40+DAY(DATE(YEAR($H40),MONTH($H40)+1,1)-1)), "")))</f>
        <v>42036</v>
      </c>
      <c r="I41" s="1522">
        <f>IF($T41="", "",IFERROR(IF($B$30="Yes", VLOOKUP($H41, $T$3:$V$93, 2, FALSE), IF($B$34&lt;&gt;"Natural Gas", VLOOKUP($H41, 'Misc. Data &amp; Mechanisms'!$A$280:$D$369, HLOOKUP($C$32,'Misc. Data &amp; Mechanisms'!$A$277:$D$279, 3, FALSE), FALSE), IF($C$32="Apartment", "Not Applicable",VLOOKUP($H41, 'Misc. Data &amp; Mechanisms'!$E$280:$H$369, HLOOKUP($C$32,'Misc. Data &amp; Mechanisms'!$E$277:$H$279, 3, FALSE), FALSE)))), ""))</f>
        <v>589.22827055193079</v>
      </c>
      <c r="J41" s="1529">
        <f>IF($X41="", "",IFERROR(IF($B$34&lt;&gt;"Natural Gas", IF($C$36&lt;&gt;"Custom", IF($C$36 = "RRO (Capped)", VLOOKUP($H41,'Misc. Data &amp; Mechanisms'!$A$1278:$E$1368,MATCH($B$22,'Misc. Data &amp; Mechanisms'!$B$1278:$E$1278,0)+1,FALSE), VLOOKUP($H41,'Misc. Data &amp; Mechanisms'!$G$1278:$K$1368,MATCH($B$22,'Misc. Data &amp; Mechanisms'!$H$1278:$K$1278,0)+1,FALSE)),VLOOKUP($H41,$X$3:$AB$93,2,FALSE)),  IF($C$37&lt;&gt;"Custom", IF($C$37 = "DRT", VLOOKUP($H41,'Misc. Data &amp; Mechanisms'!$A$1381:$D$1471,MATCH($B$23,'Misc. Data &amp; Mechanisms'!$B$1381:$D$1381,0)+1,FALSE)),VLOOKUP($H41,$X$3:$AB$93,2,FALSE))),""))</f>
        <v>5.9298999999999999</v>
      </c>
      <c r="K41" s="1529">
        <f>IF($X41="", "",IFERROR(IF($B$34&lt;&gt;"Natural Gas", IF($C$36&lt;&gt;"Custom", VLOOKUP($H41,'Misc. Data &amp; Mechanisms'!$A$1483:$H$1574,MATCH($B$22,'Misc. Data &amp; Mechanisms'!$B$1483:$H$1483,0)+1,FALSE),VLOOKUP($H41,$X$3:$AB$93,3,FALSE)),  IF($C$37&lt;&gt;"Custom", VLOOKUP($H41,'Misc. Data &amp; Mechanisms'!$A$1483:$H$1574,MATCH($B$23,'Misc. Data &amp; Mechanisms'!$B$1483:$H$1483,0)+1,FALSE),VLOOKUP($H41,$X$3:$AB$93,3,FALSE))),""))</f>
        <v>0.2291</v>
      </c>
      <c r="L41" s="1531">
        <f ca="1">IF(OR($H41="",$I41=""),"",IF($I41="Not Applicable", "-",IF($B$34&lt;&gt;"Natural Gas",VLOOKUP($H41,'Electricity Bill'!$A$5:$AR$96,6,FALSE),VLOOKUP($H41,'Natural Gas Bill'!$A$5:$AS$96,6,FALSE))))</f>
        <v>89.713420061713649</v>
      </c>
      <c r="M41" s="1522">
        <f>IF($T41="", "", IFERROR(IF($B$30="Yes", $V41, IF($B$34="Both",IF($C$32="Apartment","Not Applicable", VLOOKUP($H41, 'Misc. Data &amp; Mechanisms'!$E$280:$H$369, HLOOKUP($C$32,'Misc. Data &amp; Mechanisms'!$E$277:$H$279, 3, FALSE), FALSE)),"")), ""))</f>
        <v>16.070433558291903</v>
      </c>
      <c r="N41" s="1530">
        <f>IF($X41="", "",IFERROR(IF($B$34="Both",IF($C$37&lt;&gt;"Custom", IF($C$37 = "DRT", VLOOKUP($H41,'Misc. Data &amp; Mechanisms'!$A$1381:$D$1471,MATCH($B$23,'Misc. Data &amp; Mechanisms'!$B$1381:$D$1381,0)+1,FALSE)),IF($C$36="Custom",VLOOKUP($H41,$X$3:$AB$93,4,FALSE),VLOOKUP($H41,$X$3:$AB$93,2,FALSE))),""),""))</f>
        <v>2.6080000000000001</v>
      </c>
      <c r="O41" s="1529">
        <f>IF($X41="", "",IFERROR(IF($B$34="Both",IF($C$37&lt;&gt;"Custom", VLOOKUP($H41,'Misc. Data &amp; Mechanisms'!$A$1483:$H$1574,MATCH($B$23,'Misc. Data &amp; Mechanisms'!$B$1483:$H$1483,0)+1,FALSE),IF($C$36="Custom",VLOOKUP($H41,$X$3:$AB$93,5,FALSE),VLOOKUP($H41,$X$3:$AB$93,3,FALSE))),""),""))</f>
        <v>0.223</v>
      </c>
      <c r="P41" s="1531">
        <f ca="1">IF(OR($H41="",$M41=""), "", IF($M41="Not Applicable", "-",VLOOKUP($H41,'Natural Gas Bill'!$A$5:$AS$96,6,FALSE)))</f>
        <v>110.79442922292377</v>
      </c>
      <c r="Q41" s="33"/>
      <c r="S41" s="30"/>
      <c r="T41" s="1521">
        <f>IF($B$25="Yes", 'Misc. Data &amp; Mechanisms'!$A100,IF(T40="", "", IF(($H40+DAY(DATE(YEAR($H40),MONTH($H40)+1,1)-1))&lt;=$C$28, ($H40+DAY(DATE(YEAR($H40),MONTH($H40)+1,1)-1)), "")))</f>
        <v>42036</v>
      </c>
      <c r="U41" s="1519"/>
      <c r="V41" s="1519"/>
      <c r="W41" s="1352"/>
      <c r="X41" s="1521">
        <f>IF($B$25="Yes", 'Misc. Data &amp; Mechanisms'!$A100,IF(X40="", "", IF(($H40+DAY(DATE(YEAR($H40),MONTH($H40)+1,1)-1))&lt;=$C$28, ($H40+DAY(DATE(YEAR($H40),MONTH($H40)+1,1)-1)), "")))</f>
        <v>42036</v>
      </c>
      <c r="Y41" s="1519"/>
      <c r="Z41" s="1519"/>
      <c r="AA41" s="1520"/>
      <c r="AB41" s="1520"/>
      <c r="AC41" s="1362"/>
      <c r="AD41" s="1363"/>
    </row>
    <row r="42" spans="1:30" ht="18" customHeight="1" x14ac:dyDescent="0.3">
      <c r="B42" s="1437"/>
      <c r="C42" s="1437"/>
      <c r="D42" s="1437"/>
      <c r="F42" s="1342"/>
      <c r="G42" s="30"/>
      <c r="H42" s="1521">
        <f>IF($B$25="Yes", 'Misc. Data &amp; Mechanisms'!$A101,IF(H41="", "", IF(($H41+DAY(DATE(YEAR($H41),MONTH($H41)+1,1)-1))&lt;=$C$28, ($H41+DAY(DATE(YEAR($H41),MONTH($H41)+1,1)-1)), "")))</f>
        <v>42064</v>
      </c>
      <c r="I42" s="1522">
        <f>IF($T42="", "",IFERROR(IF($B$30="Yes", VLOOKUP($H42, $T$3:$V$93, 2, FALSE), IF($B$34&lt;&gt;"Natural Gas", VLOOKUP($H42, 'Misc. Data &amp; Mechanisms'!$A$280:$D$369, HLOOKUP($C$32,'Misc. Data &amp; Mechanisms'!$A$277:$D$279, 3, FALSE), FALSE), IF($C$32="Apartment", "Not Applicable",VLOOKUP($H42, 'Misc. Data &amp; Mechanisms'!$E$280:$H$369, HLOOKUP($C$32,'Misc. Data &amp; Mechanisms'!$E$277:$H$279, 3, FALSE), FALSE)))), ""))</f>
        <v>591.76623672893038</v>
      </c>
      <c r="J42" s="1529">
        <f>IF($X42="", "",IFERROR(IF($B$34&lt;&gt;"Natural Gas", IF($C$36&lt;&gt;"Custom", IF($C$36 = "RRO (Capped)", VLOOKUP($H42,'Misc. Data &amp; Mechanisms'!$A$1278:$E$1368,MATCH($B$22,'Misc. Data &amp; Mechanisms'!$B$1278:$E$1278,0)+1,FALSE), VLOOKUP($H42,'Misc. Data &amp; Mechanisms'!$G$1278:$K$1368,MATCH($B$22,'Misc. Data &amp; Mechanisms'!$H$1278:$K$1278,0)+1,FALSE)),VLOOKUP($H42,$X$3:$AB$93,2,FALSE)),  IF($C$37&lt;&gt;"Custom", IF($C$37 = "DRT", VLOOKUP($H42,'Misc. Data &amp; Mechanisms'!$A$1381:$D$1471,MATCH($B$23,'Misc. Data &amp; Mechanisms'!$B$1381:$D$1381,0)+1,FALSE)),VLOOKUP($H42,$X$3:$AB$93,2,FALSE))),""))</f>
        <v>4.9176000000000002</v>
      </c>
      <c r="K42" s="1529">
        <f>IF($X42="", "",IFERROR(IF($B$34&lt;&gt;"Natural Gas", IF($C$36&lt;&gt;"Custom", VLOOKUP($H42,'Misc. Data &amp; Mechanisms'!$A$1483:$H$1574,MATCH($B$22,'Misc. Data &amp; Mechanisms'!$B$1483:$H$1483,0)+1,FALSE),VLOOKUP($H42,$X$3:$AB$93,3,FALSE)),  IF($C$37&lt;&gt;"Custom", VLOOKUP($H42,'Misc. Data &amp; Mechanisms'!$A$1483:$H$1574,MATCH($B$23,'Misc. Data &amp; Mechanisms'!$B$1483:$H$1483,0)+1,FALSE),VLOOKUP($H42,$X$3:$AB$93,3,FALSE))),""))</f>
        <v>0.2291</v>
      </c>
      <c r="L42" s="1531">
        <f ca="1">IF(OR($H42="",$I42=""),"",IF($I42="Not Applicable", "-",IF($B$34&lt;&gt;"Natural Gas",VLOOKUP($H42,'Electricity Bill'!$A$5:$AR$96,6,FALSE),VLOOKUP($H42,'Natural Gas Bill'!$A$5:$AS$96,6,FALSE))))</f>
        <v>85.446869439449046</v>
      </c>
      <c r="M42" s="1522">
        <f>IF($T42="", "", IFERROR(IF($B$30="Yes", $V42, IF($B$34="Both",IF($C$32="Apartment","Not Applicable", VLOOKUP($H42, 'Misc. Data &amp; Mechanisms'!$E$280:$H$369, HLOOKUP($C$32,'Misc. Data &amp; Mechanisms'!$E$277:$H$279, 3, FALSE), FALSE)),"")), ""))</f>
        <v>12.142155132331677</v>
      </c>
      <c r="N42" s="1530">
        <f>IF($X42="", "",IFERROR(IF($B$34="Both",IF($C$37&lt;&gt;"Custom", IF($C$37 = "DRT", VLOOKUP($H42,'Misc. Data &amp; Mechanisms'!$A$1381:$D$1471,MATCH($B$23,'Misc. Data &amp; Mechanisms'!$B$1381:$D$1381,0)+1,FALSE)),IF($C$36="Custom",VLOOKUP($H42,$X$3:$AB$93,4,FALSE),VLOOKUP($H42,$X$3:$AB$93,2,FALSE))),""),""))</f>
        <v>2.97</v>
      </c>
      <c r="O42" s="1529">
        <f>IF($X42="", "",IFERROR(IF($B$34="Both",IF($C$37&lt;&gt;"Custom", VLOOKUP($H42,'Misc. Data &amp; Mechanisms'!$A$1483:$H$1574,MATCH($B$23,'Misc. Data &amp; Mechanisms'!$B$1483:$H$1483,0)+1,FALSE),IF($C$36="Custom",VLOOKUP($H42,$X$3:$AB$93,5,FALSE),VLOOKUP($H42,$X$3:$AB$93,3,FALSE))),""),""))</f>
        <v>0.223</v>
      </c>
      <c r="P42" s="1531">
        <f ca="1">IF(OR($H42="",$M42=""), "", IF($M42="Not Applicable", "-",VLOOKUP($H42,'Natural Gas Bill'!$A$5:$AS$96,6,FALSE)))</f>
        <v>100.13054963966638</v>
      </c>
      <c r="Q42" s="33"/>
      <c r="S42" s="30"/>
      <c r="T42" s="1521">
        <f>IF($B$25="Yes", 'Misc. Data &amp; Mechanisms'!$A101,IF(T41="", "", IF(($H41+DAY(DATE(YEAR($H41),MONTH($H41)+1,1)-1))&lt;=$C$28, ($H41+DAY(DATE(YEAR($H41),MONTH($H41)+1,1)-1)), "")))</f>
        <v>42064</v>
      </c>
      <c r="U42" s="1519"/>
      <c r="V42" s="1519"/>
      <c r="W42" s="1352"/>
      <c r="X42" s="1521">
        <f>IF($B$25="Yes", 'Misc. Data &amp; Mechanisms'!$A101,IF(X41="", "", IF(($H41+DAY(DATE(YEAR($H41),MONTH($H41)+1,1)-1))&lt;=$C$28, ($H41+DAY(DATE(YEAR($H41),MONTH($H41)+1,1)-1)), "")))</f>
        <v>42064</v>
      </c>
      <c r="Y42" s="1519"/>
      <c r="Z42" s="1519"/>
      <c r="AA42" s="1520"/>
      <c r="AB42" s="1520"/>
      <c r="AC42" s="1362"/>
      <c r="AD42" s="1363"/>
    </row>
    <row r="43" spans="1:30" ht="18" customHeight="1" x14ac:dyDescent="0.3">
      <c r="F43" s="1342"/>
      <c r="G43" s="30"/>
      <c r="H43" s="1521">
        <f>IF($B$25="Yes", 'Misc. Data &amp; Mechanisms'!$A102,IF(H42="", "", IF(($H42+DAY(DATE(YEAR($H42),MONTH($H42)+1,1)-1))&lt;=$C$28, ($H42+DAY(DATE(YEAR($H42),MONTH($H42)+1,1)-1)), "")))</f>
        <v>42095</v>
      </c>
      <c r="I43" s="1522">
        <f>IF($T43="", "",IFERROR(IF($B$30="Yes", VLOOKUP($H43, $T$3:$V$93, 2, FALSE), IF($B$34&lt;&gt;"Natural Gas", VLOOKUP($H43, 'Misc. Data &amp; Mechanisms'!$A$280:$D$369, HLOOKUP($C$32,'Misc. Data &amp; Mechanisms'!$A$277:$D$279, 3, FALSE), FALSE), IF($C$32="Apartment", "Not Applicable",VLOOKUP($H43, 'Misc. Data &amp; Mechanisms'!$E$280:$H$369, HLOOKUP($C$32,'Misc. Data &amp; Mechanisms'!$E$277:$H$279, 3, FALSE), FALSE)))), ""))</f>
        <v>534.43170590601471</v>
      </c>
      <c r="J43" s="1529">
        <f>IF($X43="", "",IFERROR(IF($B$34&lt;&gt;"Natural Gas", IF($C$36&lt;&gt;"Custom", IF($C$36 = "RRO (Capped)", VLOOKUP($H43,'Misc. Data &amp; Mechanisms'!$A$1278:$E$1368,MATCH($B$22,'Misc. Data &amp; Mechanisms'!$B$1278:$E$1278,0)+1,FALSE), VLOOKUP($H43,'Misc. Data &amp; Mechanisms'!$G$1278:$K$1368,MATCH($B$22,'Misc. Data &amp; Mechanisms'!$H$1278:$K$1278,0)+1,FALSE)),VLOOKUP($H43,$X$3:$AB$93,2,FALSE)),  IF($C$37&lt;&gt;"Custom", IF($C$37 = "DRT", VLOOKUP($H43,'Misc. Data &amp; Mechanisms'!$A$1381:$D$1471,MATCH($B$23,'Misc. Data &amp; Mechanisms'!$B$1381:$D$1381,0)+1,FALSE)),VLOOKUP($H43,$X$3:$AB$93,2,FALSE))),""))</f>
        <v>5.1140999999999996</v>
      </c>
      <c r="K43" s="1529">
        <f>IF($X43="", "",IFERROR(IF($B$34&lt;&gt;"Natural Gas", IF($C$36&lt;&gt;"Custom", VLOOKUP($H43,'Misc. Data &amp; Mechanisms'!$A$1483:$H$1574,MATCH($B$22,'Misc. Data &amp; Mechanisms'!$B$1483:$H$1483,0)+1,FALSE),VLOOKUP($H43,$X$3:$AB$93,3,FALSE)),  IF($C$37&lt;&gt;"Custom", VLOOKUP($H43,'Misc. Data &amp; Mechanisms'!$A$1483:$H$1574,MATCH($B$23,'Misc. Data &amp; Mechanisms'!$B$1483:$H$1483,0)+1,FALSE),VLOOKUP($H43,$X$3:$AB$93,3,FALSE))),""))</f>
        <v>0.2291</v>
      </c>
      <c r="L43" s="1531">
        <f ca="1">IF(OR($H43="",$I43=""),"",IF($I43="Not Applicable", "-",IF($B$34&lt;&gt;"Natural Gas",VLOOKUP($H43,'Electricity Bill'!$A$5:$AR$96,6,FALSE),VLOOKUP($H43,'Natural Gas Bill'!$A$5:$AS$96,6,FALSE))))</f>
        <v>75.564647608827087</v>
      </c>
      <c r="M43" s="1522">
        <f>IF($T43="", "", IFERROR(IF($B$30="Yes", $V43, IF($B$34="Both",IF($C$32="Apartment","Not Applicable", VLOOKUP($H43, 'Misc. Data &amp; Mechanisms'!$E$280:$H$369, HLOOKUP($C$32,'Misc. Data &amp; Mechanisms'!$E$277:$H$279, 3, FALSE), FALSE)),"")), ""))</f>
        <v>9.7936096292748651</v>
      </c>
      <c r="N43" s="1530">
        <f>IF($X43="", "",IFERROR(IF($B$34="Both",IF($C$37&lt;&gt;"Custom", IF($C$37 = "DRT", VLOOKUP($H43,'Misc. Data &amp; Mechanisms'!$A$1381:$D$1471,MATCH($B$23,'Misc. Data &amp; Mechanisms'!$B$1381:$D$1381,0)+1,FALSE)),IF($C$36="Custom",VLOOKUP($H43,$X$3:$AB$93,4,FALSE),VLOOKUP($H43,$X$3:$AB$93,2,FALSE))),""),""))</f>
        <v>2.903</v>
      </c>
      <c r="O43" s="1529">
        <f>IF($X43="", "",IFERROR(IF($B$34="Both",IF($C$37&lt;&gt;"Custom", VLOOKUP($H43,'Misc. Data &amp; Mechanisms'!$A$1483:$H$1574,MATCH($B$23,'Misc. Data &amp; Mechanisms'!$B$1483:$H$1483,0)+1,FALSE),IF($C$36="Custom",VLOOKUP($H43,$X$3:$AB$93,5,FALSE),VLOOKUP($H43,$X$3:$AB$93,3,FALSE))),""),""))</f>
        <v>0.223</v>
      </c>
      <c r="P43" s="1531">
        <f ca="1">IF(OR($H43="",$M43=""), "", IF($M43="Not Applicable", "-",VLOOKUP($H43,'Natural Gas Bill'!$A$5:$AS$96,6,FALSE)))</f>
        <v>85.900388043256001</v>
      </c>
      <c r="Q43" s="33"/>
      <c r="S43" s="30"/>
      <c r="T43" s="1521">
        <f>IF($B$25="Yes", 'Misc. Data &amp; Mechanisms'!$A102,IF(T42="", "", IF(($H42+DAY(DATE(YEAR($H42),MONTH($H42)+1,1)-1))&lt;=$C$28, ($H42+DAY(DATE(YEAR($H42),MONTH($H42)+1,1)-1)), "")))</f>
        <v>42095</v>
      </c>
      <c r="U43" s="1519"/>
      <c r="V43" s="1519"/>
      <c r="W43" s="1352"/>
      <c r="X43" s="1521">
        <f>IF($B$25="Yes", 'Misc. Data &amp; Mechanisms'!$A102,IF(X42="", "", IF(($H42+DAY(DATE(YEAR($H42),MONTH($H42)+1,1)-1))&lt;=$C$28, ($H42+DAY(DATE(YEAR($H42),MONTH($H42)+1,1)-1)), "")))</f>
        <v>42095</v>
      </c>
      <c r="Y43" s="1519"/>
      <c r="Z43" s="1519"/>
      <c r="AA43" s="1520"/>
      <c r="AB43" s="1520"/>
      <c r="AC43" s="1362"/>
      <c r="AD43" s="1363"/>
    </row>
    <row r="44" spans="1:30" ht="18" customHeight="1" x14ac:dyDescent="0.3">
      <c r="F44" s="1342"/>
      <c r="G44" s="30"/>
      <c r="H44" s="1521">
        <f>IF($B$25="Yes", 'Misc. Data &amp; Mechanisms'!$A103,IF(H43="", "", IF(($H43+DAY(DATE(YEAR($H43),MONTH($H43)+1,1)-1))&lt;=$C$28, ($H43+DAY(DATE(YEAR($H43),MONTH($H43)+1,1)-1)), "")))</f>
        <v>42125</v>
      </c>
      <c r="I44" s="1522">
        <f>IF($T44="", "",IFERROR(IF($B$30="Yes", VLOOKUP($H44, $T$3:$V$93, 2, FALSE), IF($B$34&lt;&gt;"Natural Gas", VLOOKUP($H44, 'Misc. Data &amp; Mechanisms'!$A$280:$D$369, HLOOKUP($C$32,'Misc. Data &amp; Mechanisms'!$A$277:$D$279, 3, FALSE), FALSE), IF($C$32="Apartment", "Not Applicable",VLOOKUP($H44, 'Misc. Data &amp; Mechanisms'!$E$280:$H$369, HLOOKUP($C$32,'Misc. Data &amp; Mechanisms'!$E$277:$H$279, 3, FALSE), FALSE)))), ""))</f>
        <v>527.54718087523224</v>
      </c>
      <c r="J44" s="1529">
        <f>IF($X44="", "",IFERROR(IF($B$34&lt;&gt;"Natural Gas", IF($C$36&lt;&gt;"Custom", IF($C$36 = "RRO (Capped)", VLOOKUP($H44,'Misc. Data &amp; Mechanisms'!$A$1278:$E$1368,MATCH($B$22,'Misc. Data &amp; Mechanisms'!$B$1278:$E$1278,0)+1,FALSE), VLOOKUP($H44,'Misc. Data &amp; Mechanisms'!$G$1278:$K$1368,MATCH($B$22,'Misc. Data &amp; Mechanisms'!$H$1278:$K$1278,0)+1,FALSE)),VLOOKUP($H44,$X$3:$AB$93,2,FALSE)),  IF($C$37&lt;&gt;"Custom", IF($C$37 = "DRT", VLOOKUP($H44,'Misc. Data &amp; Mechanisms'!$A$1381:$D$1471,MATCH($B$23,'Misc. Data &amp; Mechanisms'!$B$1381:$D$1381,0)+1,FALSE)),VLOOKUP($H44,$X$3:$AB$93,2,FALSE))),""))</f>
        <v>4.5153999999999996</v>
      </c>
      <c r="K44" s="1529">
        <f>IF($X44="", "",IFERROR(IF($B$34&lt;&gt;"Natural Gas", IF($C$36&lt;&gt;"Custom", VLOOKUP($H44,'Misc. Data &amp; Mechanisms'!$A$1483:$H$1574,MATCH($B$22,'Misc. Data &amp; Mechanisms'!$B$1483:$H$1483,0)+1,FALSE),VLOOKUP($H44,$X$3:$AB$93,3,FALSE)),  IF($C$37&lt;&gt;"Custom", VLOOKUP($H44,'Misc. Data &amp; Mechanisms'!$A$1483:$H$1574,MATCH($B$23,'Misc. Data &amp; Mechanisms'!$B$1483:$H$1483,0)+1,FALSE),VLOOKUP($H44,$X$3:$AB$93,3,FALSE))),""))</f>
        <v>0.2291</v>
      </c>
      <c r="L44" s="1531">
        <f ca="1">IF(OR($H44="",$I44=""),"",IF($I44="Not Applicable", "-",IF($B$34&lt;&gt;"Natural Gas",VLOOKUP($H44,'Electricity Bill'!$A$5:$AR$96,6,FALSE),VLOOKUP($H44,'Natural Gas Bill'!$A$5:$AS$96,6,FALSE))))</f>
        <v>71.931584570078343</v>
      </c>
      <c r="M44" s="1522">
        <f>IF($T44="", "", IFERROR(IF($B$30="Yes", $V44, IF($B$34="Both",IF($C$32="Apartment","Not Applicable", VLOOKUP($H44, 'Misc. Data &amp; Mechanisms'!$E$280:$H$369, HLOOKUP($C$32,'Misc. Data &amp; Mechanisms'!$E$277:$H$279, 3, FALSE), FALSE)),"")), ""))</f>
        <v>6.5541395721350089</v>
      </c>
      <c r="N44" s="1530">
        <f>IF($X44="", "",IFERROR(IF($B$34="Both",IF($C$37&lt;&gt;"Custom", IF($C$37 = "DRT", VLOOKUP($H44,'Misc. Data &amp; Mechanisms'!$A$1381:$D$1471,MATCH($B$23,'Misc. Data &amp; Mechanisms'!$B$1381:$D$1381,0)+1,FALSE)),IF($C$36="Custom",VLOOKUP($H44,$X$3:$AB$93,4,FALSE),VLOOKUP($H44,$X$3:$AB$93,2,FALSE))),""),""))</f>
        <v>2.2269999999999999</v>
      </c>
      <c r="O44" s="1529">
        <f>IF($X44="", "",IFERROR(IF($B$34="Both",IF($C$37&lt;&gt;"Custom", VLOOKUP($H44,'Misc. Data &amp; Mechanisms'!$A$1483:$H$1574,MATCH($B$23,'Misc. Data &amp; Mechanisms'!$B$1483:$H$1483,0)+1,FALSE),IF($C$36="Custom",VLOOKUP($H44,$X$3:$AB$93,5,FALSE),VLOOKUP($H44,$X$3:$AB$93,3,FALSE))),""),""))</f>
        <v>0.223</v>
      </c>
      <c r="P44" s="1531">
        <f ca="1">IF(OR($H44="",$M44=""), "", IF($M44="Not Applicable", "-",VLOOKUP($H44,'Natural Gas Bill'!$A$5:$AS$96,6,FALSE)))</f>
        <v>65.22329934745909</v>
      </c>
      <c r="Q44" s="33"/>
      <c r="S44" s="30"/>
      <c r="T44" s="1521">
        <f>IF($B$25="Yes", 'Misc. Data &amp; Mechanisms'!$A103,IF(T43="", "", IF(($H43+DAY(DATE(YEAR($H43),MONTH($H43)+1,1)-1))&lt;=$C$28, ($H43+DAY(DATE(YEAR($H43),MONTH($H43)+1,1)-1)), "")))</f>
        <v>42125</v>
      </c>
      <c r="U44" s="1519"/>
      <c r="V44" s="1519"/>
      <c r="W44" s="1352"/>
      <c r="X44" s="1521">
        <f>IF($B$25="Yes", 'Misc. Data &amp; Mechanisms'!$A103,IF(X43="", "", IF(($H43+DAY(DATE(YEAR($H43),MONTH($H43)+1,1)-1))&lt;=$C$28, ($H43+DAY(DATE(YEAR($H43),MONTH($H43)+1,1)-1)), "")))</f>
        <v>42125</v>
      </c>
      <c r="Y44" s="1519"/>
      <c r="Z44" s="1519"/>
      <c r="AA44" s="1520"/>
      <c r="AB44" s="1520"/>
      <c r="AC44" s="1362"/>
      <c r="AD44" s="1363"/>
    </row>
    <row r="45" spans="1:30" ht="18" customHeight="1" x14ac:dyDescent="0.3">
      <c r="F45" s="1342"/>
      <c r="G45" s="30"/>
      <c r="H45" s="1521">
        <f>IF($B$25="Yes", 'Misc. Data &amp; Mechanisms'!$A104,IF(H44="", "", IF(($H44+DAY(DATE(YEAR($H44),MONTH($H44)+1,1)-1))&lt;=$C$28, ($H44+DAY(DATE(YEAR($H44),MONTH($H44)+1,1)-1)), "")))</f>
        <v>42156</v>
      </c>
      <c r="I45" s="1522">
        <f>IF($T45="", "",IFERROR(IF($B$30="Yes", VLOOKUP($H45, $T$3:$V$93, 2, FALSE), IF($B$34&lt;&gt;"Natural Gas", VLOOKUP($H45, 'Misc. Data &amp; Mechanisms'!$A$280:$D$369, HLOOKUP($C$32,'Misc. Data &amp; Mechanisms'!$A$277:$D$279, 3, FALSE), FALSE), IF($C$32="Apartment", "Not Applicable",VLOOKUP($H45, 'Misc. Data &amp; Mechanisms'!$E$280:$H$369, HLOOKUP($C$32,'Misc. Data &amp; Mechanisms'!$E$277:$H$279, 3, FALSE), FALSE)))), ""))</f>
        <v>534.45054632951371</v>
      </c>
      <c r="J45" s="1529">
        <f>IF($X45="", "",IFERROR(IF($B$34&lt;&gt;"Natural Gas", IF($C$36&lt;&gt;"Custom", IF($C$36 = "RRO (Capped)", VLOOKUP($H45,'Misc. Data &amp; Mechanisms'!$A$1278:$E$1368,MATCH($B$22,'Misc. Data &amp; Mechanisms'!$B$1278:$E$1278,0)+1,FALSE), VLOOKUP($H45,'Misc. Data &amp; Mechanisms'!$G$1278:$K$1368,MATCH($B$22,'Misc. Data &amp; Mechanisms'!$H$1278:$K$1278,0)+1,FALSE)),VLOOKUP($H45,$X$3:$AB$93,2,FALSE)),  IF($C$37&lt;&gt;"Custom", IF($C$37 = "DRT", VLOOKUP($H45,'Misc. Data &amp; Mechanisms'!$A$1381:$D$1471,MATCH($B$23,'Misc. Data &amp; Mechanisms'!$B$1381:$D$1381,0)+1,FALSE)),VLOOKUP($H45,$X$3:$AB$93,2,FALSE))),""))</f>
        <v>3.8008000000000002</v>
      </c>
      <c r="K45" s="1529">
        <f>IF($X45="", "",IFERROR(IF($B$34&lt;&gt;"Natural Gas", IF($C$36&lt;&gt;"Custom", VLOOKUP($H45,'Misc. Data &amp; Mechanisms'!$A$1483:$H$1574,MATCH($B$22,'Misc. Data &amp; Mechanisms'!$B$1483:$H$1483,0)+1,FALSE),VLOOKUP($H45,$X$3:$AB$93,3,FALSE)),  IF($C$37&lt;&gt;"Custom", VLOOKUP($H45,'Misc. Data &amp; Mechanisms'!$A$1483:$H$1574,MATCH($B$23,'Misc. Data &amp; Mechanisms'!$B$1483:$H$1483,0)+1,FALSE),VLOOKUP($H45,$X$3:$AB$93,3,FALSE))),""))</f>
        <v>0.2291</v>
      </c>
      <c r="L45" s="1531">
        <f ca="1">IF(OR($H45="",$I45=""),"",IF($I45="Not Applicable", "-",IF($B$34&lt;&gt;"Natural Gas",VLOOKUP($H45,'Electricity Bill'!$A$5:$AR$96,6,FALSE),VLOOKUP($H45,'Natural Gas Bill'!$A$5:$AS$96,6,FALSE))))</f>
        <v>67.377849207802342</v>
      </c>
      <c r="M45" s="1522">
        <f>IF($T45="", "", IFERROR(IF($B$30="Yes", $V45, IF($B$34="Both",IF($C$32="Apartment","Not Applicable", VLOOKUP($H45, 'Misc. Data &amp; Mechanisms'!$E$280:$H$369, HLOOKUP($C$32,'Misc. Data &amp; Mechanisms'!$E$277:$H$279, 3, FALSE), FALSE)),"")), ""))</f>
        <v>3.4828054769975751</v>
      </c>
      <c r="N45" s="1530">
        <f>IF($X45="", "",IFERROR(IF($B$34="Both",IF($C$37&lt;&gt;"Custom", IF($C$37 = "DRT", VLOOKUP($H45,'Misc. Data &amp; Mechanisms'!$A$1381:$D$1471,MATCH($B$23,'Misc. Data &amp; Mechanisms'!$B$1381:$D$1381,0)+1,FALSE)),IF($C$36="Custom",VLOOKUP($H45,$X$3:$AB$93,4,FALSE),VLOOKUP($H45,$X$3:$AB$93,2,FALSE))),""),""))</f>
        <v>3.7410000000000001</v>
      </c>
      <c r="O45" s="1529">
        <f>IF($X45="", "",IFERROR(IF($B$34="Both",IF($C$37&lt;&gt;"Custom", VLOOKUP($H45,'Misc. Data &amp; Mechanisms'!$A$1483:$H$1574,MATCH($B$23,'Misc. Data &amp; Mechanisms'!$B$1483:$H$1483,0)+1,FALSE),IF($C$36="Custom",VLOOKUP($H45,$X$3:$AB$93,5,FALSE),VLOOKUP($H45,$X$3:$AB$93,3,FALSE))),""),""))</f>
        <v>0.223</v>
      </c>
      <c r="P45" s="1531">
        <f ca="1">IF(OR($H45="",$M45=""), "", IF($M45="Not Applicable", "-",VLOOKUP($H45,'Natural Gas Bill'!$A$5:$AS$96,6,FALSE)))</f>
        <v>56.792438954469745</v>
      </c>
      <c r="Q45" s="33"/>
      <c r="S45" s="30"/>
      <c r="T45" s="1521">
        <f>IF($B$25="Yes", 'Misc. Data &amp; Mechanisms'!$A104,IF(T44="", "", IF(($H44+DAY(DATE(YEAR($H44),MONTH($H44)+1,1)-1))&lt;=$C$28, ($H44+DAY(DATE(YEAR($H44),MONTH($H44)+1,1)-1)), "")))</f>
        <v>42156</v>
      </c>
      <c r="U45" s="1519"/>
      <c r="V45" s="1519"/>
      <c r="W45" s="1352"/>
      <c r="X45" s="1521">
        <f>IF($B$25="Yes", 'Misc. Data &amp; Mechanisms'!$A104,IF(X44="", "", IF(($H44+DAY(DATE(YEAR($H44),MONTH($H44)+1,1)-1))&lt;=$C$28, ($H44+DAY(DATE(YEAR($H44),MONTH($H44)+1,1)-1)), "")))</f>
        <v>42156</v>
      </c>
      <c r="Y45" s="1519"/>
      <c r="Z45" s="1519"/>
      <c r="AA45" s="1520"/>
      <c r="AB45" s="1520"/>
      <c r="AC45" s="1362"/>
      <c r="AD45" s="1363"/>
    </row>
    <row r="46" spans="1:30" ht="18" customHeight="1" x14ac:dyDescent="0.3">
      <c r="F46" s="1342"/>
      <c r="G46" s="30"/>
      <c r="H46" s="1521">
        <f>IF($B$25="Yes", 'Misc. Data &amp; Mechanisms'!$A105,IF(H45="", "", IF(($H45+DAY(DATE(YEAR($H45),MONTH($H45)+1,1)-1))&lt;=$C$28, ($H45+DAY(DATE(YEAR($H45),MONTH($H45)+1,1)-1)), "")))</f>
        <v>42186</v>
      </c>
      <c r="I46" s="1522">
        <f>IF($T46="", "",IFERROR(IF($B$30="Yes", VLOOKUP($H46, $T$3:$V$93, 2, FALSE), IF($B$34&lt;&gt;"Natural Gas", VLOOKUP($H46, 'Misc. Data &amp; Mechanisms'!$A$280:$D$369, HLOOKUP($C$32,'Misc. Data &amp; Mechanisms'!$A$277:$D$279, 3, FALSE), FALSE), IF($C$32="Apartment", "Not Applicable",VLOOKUP($H46, 'Misc. Data &amp; Mechanisms'!$E$280:$H$369, HLOOKUP($C$32,'Misc. Data &amp; Mechanisms'!$E$277:$H$279, 3, FALSE), FALSE)))), ""))</f>
        <v>545.29132412881165</v>
      </c>
      <c r="J46" s="1529">
        <f>IF($X46="", "",IFERROR(IF($B$34&lt;&gt;"Natural Gas", IF($C$36&lt;&gt;"Custom", IF($C$36 = "RRO (Capped)", VLOOKUP($H46,'Misc. Data &amp; Mechanisms'!$A$1278:$E$1368,MATCH($B$22,'Misc. Data &amp; Mechanisms'!$B$1278:$E$1278,0)+1,FALSE), VLOOKUP($H46,'Misc. Data &amp; Mechanisms'!$G$1278:$K$1368,MATCH($B$22,'Misc. Data &amp; Mechanisms'!$H$1278:$K$1278,0)+1,FALSE)),VLOOKUP($H46,$X$3:$AB$93,2,FALSE)),  IF($C$37&lt;&gt;"Custom", IF($C$37 = "DRT", VLOOKUP($H46,'Misc. Data &amp; Mechanisms'!$A$1381:$D$1471,MATCH($B$23,'Misc. Data &amp; Mechanisms'!$B$1381:$D$1381,0)+1,FALSE)),VLOOKUP($H46,$X$3:$AB$93,2,FALSE))),""))</f>
        <v>8.2159999999999993</v>
      </c>
      <c r="K46" s="1529">
        <f>IF($X46="", "",IFERROR(IF($B$34&lt;&gt;"Natural Gas", IF($C$36&lt;&gt;"Custom", VLOOKUP($H46,'Misc. Data &amp; Mechanisms'!$A$1483:$H$1574,MATCH($B$22,'Misc. Data &amp; Mechanisms'!$B$1483:$H$1483,0)+1,FALSE),VLOOKUP($H46,$X$3:$AB$93,3,FALSE)),  IF($C$37&lt;&gt;"Custom", VLOOKUP($H46,'Misc. Data &amp; Mechanisms'!$A$1483:$H$1574,MATCH($B$23,'Misc. Data &amp; Mechanisms'!$B$1483:$H$1483,0)+1,FALSE),VLOOKUP($H46,$X$3:$AB$93,3,FALSE))),""))</f>
        <v>0.2291</v>
      </c>
      <c r="L46" s="1531">
        <f ca="1">IF(OR($H46="",$I46=""),"",IF($I46="Not Applicable", "-",IF($B$34&lt;&gt;"Natural Gas",VLOOKUP($H46,'Electricity Bill'!$A$5:$AR$96,6,FALSE),VLOOKUP($H46,'Natural Gas Bill'!$A$5:$AS$96,6,FALSE))))</f>
        <v>96.213593449055423</v>
      </c>
      <c r="M46" s="1522">
        <f>IF($T46="", "", IFERROR(IF($B$30="Yes", $V46, IF($B$34="Both",IF($C$32="Apartment","Not Applicable", VLOOKUP($H46, 'Misc. Data &amp; Mechanisms'!$E$280:$H$369, HLOOKUP($C$32,'Misc. Data &amp; Mechanisms'!$E$277:$H$279, 3, FALSE), FALSE)),"")), ""))</f>
        <v>2.6677858527249043</v>
      </c>
      <c r="N46" s="1530">
        <f>IF($X46="", "",IFERROR(IF($B$34="Both",IF($C$37&lt;&gt;"Custom", IF($C$37 = "DRT", VLOOKUP($H46,'Misc. Data &amp; Mechanisms'!$A$1381:$D$1471,MATCH($B$23,'Misc. Data &amp; Mechanisms'!$B$1381:$D$1381,0)+1,FALSE)),IF($C$36="Custom",VLOOKUP($H46,$X$3:$AB$93,4,FALSE),VLOOKUP($H46,$X$3:$AB$93,2,FALSE))),""),""))</f>
        <v>2.133</v>
      </c>
      <c r="O46" s="1529">
        <f>IF($X46="", "",IFERROR(IF($B$34="Both",IF($C$37&lt;&gt;"Custom", VLOOKUP($H46,'Misc. Data &amp; Mechanisms'!$A$1483:$H$1574,MATCH($B$23,'Misc. Data &amp; Mechanisms'!$B$1483:$H$1483,0)+1,FALSE),IF($C$36="Custom",VLOOKUP($H46,$X$3:$AB$93,5,FALSE),VLOOKUP($H46,$X$3:$AB$93,3,FALSE))),""),""))</f>
        <v>0.223</v>
      </c>
      <c r="P46" s="1531">
        <f ca="1">IF(OR($H46="",$M46=""), "", IF($M46="Not Applicable", "-",VLOOKUP($H46,'Natural Gas Bill'!$A$5:$AS$96,6,FALSE)))</f>
        <v>47.973447936823277</v>
      </c>
      <c r="Q46" s="33"/>
      <c r="S46" s="30"/>
      <c r="T46" s="1521">
        <f>IF($B$25="Yes", 'Misc. Data &amp; Mechanisms'!$A105,IF(T45="", "", IF(($H45+DAY(DATE(YEAR($H45),MONTH($H45)+1,1)-1))&lt;=$C$28, ($H45+DAY(DATE(YEAR($H45),MONTH($H45)+1,1)-1)), "")))</f>
        <v>42186</v>
      </c>
      <c r="U46" s="1519"/>
      <c r="V46" s="1519"/>
      <c r="W46" s="1352"/>
      <c r="X46" s="1521">
        <f>IF($B$25="Yes", 'Misc. Data &amp; Mechanisms'!$A105,IF(X45="", "", IF(($H45+DAY(DATE(YEAR($H45),MONTH($H45)+1,1)-1))&lt;=$C$28, ($H45+DAY(DATE(YEAR($H45),MONTH($H45)+1,1)-1)), "")))</f>
        <v>42186</v>
      </c>
      <c r="Y46" s="1519"/>
      <c r="Z46" s="1519"/>
      <c r="AA46" s="1520"/>
      <c r="AB46" s="1520"/>
      <c r="AC46" s="1362"/>
      <c r="AD46" s="1363"/>
    </row>
    <row r="47" spans="1:30" ht="18" customHeight="1" x14ac:dyDescent="0.3">
      <c r="G47" s="30"/>
      <c r="H47" s="1521">
        <f>IF($B$25="Yes", 'Misc. Data &amp; Mechanisms'!$A106,IF(H46="", "", IF(($H46+DAY(DATE(YEAR($H46),MONTH($H46)+1,1)-1))&lt;=$C$28, ($H46+DAY(DATE(YEAR($H46),MONTH($H46)+1,1)-1)), "")))</f>
        <v>42217</v>
      </c>
      <c r="I47" s="1522">
        <f>IF($T47="", "",IFERROR(IF($B$30="Yes", VLOOKUP($H47, $T$3:$V$93, 2, FALSE), IF($B$34&lt;&gt;"Natural Gas", VLOOKUP($H47, 'Misc. Data &amp; Mechanisms'!$A$280:$D$369, HLOOKUP($C$32,'Misc. Data &amp; Mechanisms'!$A$277:$D$279, 3, FALSE), FALSE), IF($C$32="Apartment", "Not Applicable",VLOOKUP($H47, 'Misc. Data &amp; Mechanisms'!$E$280:$H$369, HLOOKUP($C$32,'Misc. Data &amp; Mechanisms'!$E$277:$H$279, 3, FALSE), FALSE)))), ""))</f>
        <v>548.24925977459793</v>
      </c>
      <c r="J47" s="1529">
        <f>IF($X47="", "",IFERROR(IF($B$34&lt;&gt;"Natural Gas", IF($C$36&lt;&gt;"Custom", IF($C$36 = "RRO (Capped)", VLOOKUP($H47,'Misc. Data &amp; Mechanisms'!$A$1278:$E$1368,MATCH($B$22,'Misc. Data &amp; Mechanisms'!$B$1278:$E$1278,0)+1,FALSE), VLOOKUP($H47,'Misc. Data &amp; Mechanisms'!$G$1278:$K$1368,MATCH($B$22,'Misc. Data &amp; Mechanisms'!$H$1278:$K$1278,0)+1,FALSE)),VLOOKUP($H47,$X$3:$AB$93,2,FALSE)),  IF($C$37&lt;&gt;"Custom", IF($C$37 = "DRT", VLOOKUP($H47,'Misc. Data &amp; Mechanisms'!$A$1381:$D$1471,MATCH($B$23,'Misc. Data &amp; Mechanisms'!$B$1381:$D$1381,0)+1,FALSE)),VLOOKUP($H47,$X$3:$AB$93,2,FALSE))),""))</f>
        <v>7.8959999999999999</v>
      </c>
      <c r="K47" s="1529">
        <f>IF($X47="", "",IFERROR(IF($B$34&lt;&gt;"Natural Gas", IF($C$36&lt;&gt;"Custom", VLOOKUP($H47,'Misc. Data &amp; Mechanisms'!$A$1483:$H$1574,MATCH($B$22,'Misc. Data &amp; Mechanisms'!$B$1483:$H$1483,0)+1,FALSE),VLOOKUP($H47,$X$3:$AB$93,3,FALSE)),  IF($C$37&lt;&gt;"Custom", VLOOKUP($H47,'Misc. Data &amp; Mechanisms'!$A$1483:$H$1574,MATCH($B$23,'Misc. Data &amp; Mechanisms'!$B$1483:$H$1483,0)+1,FALSE),VLOOKUP($H47,$X$3:$AB$93,3,FALSE))),""))</f>
        <v>0.2291</v>
      </c>
      <c r="L47" s="1531">
        <f ca="1">IF(OR($H47="",$I47=""),"",IF($I47="Not Applicable", "-",IF($B$34&lt;&gt;"Natural Gas",VLOOKUP($H47,'Electricity Bill'!$A$5:$AR$96,6,FALSE),VLOOKUP($H47,'Natural Gas Bill'!$A$5:$AS$96,6,FALSE))))</f>
        <v>94.564390313877794</v>
      </c>
      <c r="M47" s="1522">
        <f>IF($T47="", "", IFERROR(IF($B$30="Yes", $V47, IF($B$34="Both",IF($C$32="Apartment","Not Applicable", VLOOKUP($H47, 'Misc. Data &amp; Mechanisms'!$E$280:$H$369, HLOOKUP($C$32,'Misc. Data &amp; Mechanisms'!$E$277:$H$279, 3, FALSE), FALSE)),"")), ""))</f>
        <v>3.1336200677179931</v>
      </c>
      <c r="N47" s="1530">
        <f>IF($X47="", "",IFERROR(IF($B$34="Both",IF($C$37&lt;&gt;"Custom", IF($C$37 = "DRT", VLOOKUP($H47,'Misc. Data &amp; Mechanisms'!$A$1381:$D$1471,MATCH($B$23,'Misc. Data &amp; Mechanisms'!$B$1381:$D$1381,0)+1,FALSE)),IF($C$36="Custom",VLOOKUP($H47,$X$3:$AB$93,4,FALSE),VLOOKUP($H47,$X$3:$AB$93,2,FALSE))),""),""))</f>
        <v>2.4449999999999998</v>
      </c>
      <c r="O47" s="1529">
        <f>IF($X47="", "",IFERROR(IF($B$34="Both",IF($C$37&lt;&gt;"Custom", VLOOKUP($H47,'Misc. Data &amp; Mechanisms'!$A$1483:$H$1574,MATCH($B$23,'Misc. Data &amp; Mechanisms'!$B$1483:$H$1483,0)+1,FALSE),IF($C$36="Custom",VLOOKUP($H47,$X$3:$AB$93,5,FALSE),VLOOKUP($H47,$X$3:$AB$93,3,FALSE))),""),""))</f>
        <v>0.223</v>
      </c>
      <c r="P47" s="1531">
        <f ca="1">IF(OR($H47="",$M47=""), "", IF($M47="Not Applicable", "-",VLOOKUP($H47,'Natural Gas Bill'!$A$5:$AS$96,6,FALSE)))</f>
        <v>51.095557892569801</v>
      </c>
      <c r="Q47" s="33"/>
      <c r="S47" s="30"/>
      <c r="T47" s="1521">
        <f>IF($B$25="Yes", 'Misc. Data &amp; Mechanisms'!$A106,IF(T46="", "", IF(($H46+DAY(DATE(YEAR($H46),MONTH($H46)+1,1)-1))&lt;=$C$28, ($H46+DAY(DATE(YEAR($H46),MONTH($H46)+1,1)-1)), "")))</f>
        <v>42217</v>
      </c>
      <c r="U47" s="1519"/>
      <c r="V47" s="1519"/>
      <c r="W47" s="1352"/>
      <c r="X47" s="1521">
        <f>IF($B$25="Yes", 'Misc. Data &amp; Mechanisms'!$A106,IF(X46="", "", IF(($H46+DAY(DATE(YEAR($H46),MONTH($H46)+1,1)-1))&lt;=$C$28, ($H46+DAY(DATE(YEAR($H46),MONTH($H46)+1,1)-1)), "")))</f>
        <v>42217</v>
      </c>
      <c r="Y47" s="1519"/>
      <c r="Z47" s="1519"/>
      <c r="AA47" s="1520"/>
      <c r="AB47" s="1520"/>
      <c r="AC47" s="1362"/>
      <c r="AD47" s="1363"/>
    </row>
    <row r="48" spans="1:30" ht="18" customHeight="1" x14ac:dyDescent="0.3">
      <c r="G48" s="30"/>
      <c r="H48" s="1521">
        <f>IF($B$25="Yes", 'Misc. Data &amp; Mechanisms'!$A107,IF(H47="", "", IF(($H47+DAY(DATE(YEAR($H47),MONTH($H47)+1,1)-1))&lt;=$C$28, ($H47+DAY(DATE(YEAR($H47),MONTH($H47)+1,1)-1)), "")))</f>
        <v>42248</v>
      </c>
      <c r="I48" s="1522">
        <f>IF($T48="", "",IFERROR(IF($B$30="Yes", VLOOKUP($H48, $T$3:$V$93, 2, FALSE), IF($B$34&lt;&gt;"Natural Gas", VLOOKUP($H48, 'Misc. Data &amp; Mechanisms'!$A$280:$D$369, HLOOKUP($C$32,'Misc. Data &amp; Mechanisms'!$A$277:$D$279, 3, FALSE), FALSE), IF($C$32="Apartment", "Not Applicable",VLOOKUP($H48, 'Misc. Data &amp; Mechanisms'!$E$280:$H$369, HLOOKUP($C$32,'Misc. Data &amp; Mechanisms'!$E$277:$H$279, 3, FALSE), FALSE)))), ""))</f>
        <v>519.19357702298203</v>
      </c>
      <c r="J48" s="1529">
        <f>IF($X48="", "",IFERROR(IF($B$34&lt;&gt;"Natural Gas", IF($C$36&lt;&gt;"Custom", IF($C$36 = "RRO (Capped)", VLOOKUP($H48,'Misc. Data &amp; Mechanisms'!$A$1278:$E$1368,MATCH($B$22,'Misc. Data &amp; Mechanisms'!$B$1278:$E$1278,0)+1,FALSE), VLOOKUP($H48,'Misc. Data &amp; Mechanisms'!$G$1278:$K$1368,MATCH($B$22,'Misc. Data &amp; Mechanisms'!$H$1278:$K$1278,0)+1,FALSE)),VLOOKUP($H48,$X$3:$AB$93,2,FALSE)),  IF($C$37&lt;&gt;"Custom", IF($C$37 = "DRT", VLOOKUP($H48,'Misc. Data &amp; Mechanisms'!$A$1381:$D$1471,MATCH($B$23,'Misc. Data &amp; Mechanisms'!$B$1381:$D$1381,0)+1,FALSE)),VLOOKUP($H48,$X$3:$AB$93,2,FALSE))),""))</f>
        <v>5.407</v>
      </c>
      <c r="K48" s="1529">
        <f>IF($X48="", "",IFERROR(IF($B$34&lt;&gt;"Natural Gas", IF($C$36&lt;&gt;"Custom", VLOOKUP($H48,'Misc. Data &amp; Mechanisms'!$A$1483:$H$1574,MATCH($B$22,'Misc. Data &amp; Mechanisms'!$B$1483:$H$1483,0)+1,FALSE),VLOOKUP($H48,$X$3:$AB$93,3,FALSE)),  IF($C$37&lt;&gt;"Custom", VLOOKUP($H48,'Misc. Data &amp; Mechanisms'!$A$1483:$H$1574,MATCH($B$23,'Misc. Data &amp; Mechanisms'!$B$1483:$H$1483,0)+1,FALSE),VLOOKUP($H48,$X$3:$AB$93,3,FALSE))),""))</f>
        <v>0.2291</v>
      </c>
      <c r="L48" s="1531">
        <f ca="1">IF(OR($H48="",$I48=""),"",IF($I48="Not Applicable", "-",IF($B$34&lt;&gt;"Natural Gas",VLOOKUP($H48,'Electricity Bill'!$A$5:$AR$96,6,FALSE),VLOOKUP($H48,'Natural Gas Bill'!$A$5:$AS$96,6,FALSE))))</f>
        <v>74.719712869783052</v>
      </c>
      <c r="M48" s="1522">
        <f>IF($T48="", "", IFERROR(IF($B$30="Yes", $V48, IF($B$34="Both",IF($C$32="Apartment","Not Applicable", VLOOKUP($H48, 'Misc. Data &amp; Mechanisms'!$E$280:$H$369, HLOOKUP($C$32,'Misc. Data &amp; Mechanisms'!$E$277:$H$279, 3, FALSE), FALSE)),"")), ""))</f>
        <v>6.2236099217630061</v>
      </c>
      <c r="N48" s="1530">
        <f>IF($X48="", "",IFERROR(IF($B$34="Both",IF($C$37&lt;&gt;"Custom", IF($C$37 = "DRT", VLOOKUP($H48,'Misc. Data &amp; Mechanisms'!$A$1381:$D$1471,MATCH($B$23,'Misc. Data &amp; Mechanisms'!$B$1381:$D$1381,0)+1,FALSE)),IF($C$36="Custom",VLOOKUP($H48,$X$3:$AB$93,4,FALSE),VLOOKUP($H48,$X$3:$AB$93,2,FALSE))),""),""))</f>
        <v>3.0710000000000002</v>
      </c>
      <c r="O48" s="1529">
        <f>IF($X48="", "",IFERROR(IF($B$34="Both",IF($C$37&lt;&gt;"Custom", VLOOKUP($H48,'Misc. Data &amp; Mechanisms'!$A$1483:$H$1574,MATCH($B$23,'Misc. Data &amp; Mechanisms'!$B$1483:$H$1483,0)+1,FALSE),IF($C$36="Custom",VLOOKUP($H48,$X$3:$AB$93,5,FALSE),VLOOKUP($H48,$X$3:$AB$93,3,FALSE))),""),""))</f>
        <v>0.223</v>
      </c>
      <c r="P48" s="1531">
        <f ca="1">IF(OR($H48="",$M48=""), "", IF($M48="Not Applicable", "-",VLOOKUP($H48,'Natural Gas Bill'!$A$5:$AS$96,6,FALSE)))</f>
        <v>67.369676375690318</v>
      </c>
      <c r="Q48" s="33"/>
      <c r="S48" s="30"/>
      <c r="T48" s="1521">
        <f>IF($B$25="Yes", 'Misc. Data &amp; Mechanisms'!$A107,IF(T47="", "", IF(($H47+DAY(DATE(YEAR($H47),MONTH($H47)+1,1)-1))&lt;=$C$28, ($H47+DAY(DATE(YEAR($H47),MONTH($H47)+1,1)-1)), "")))</f>
        <v>42248</v>
      </c>
      <c r="U48" s="1519"/>
      <c r="V48" s="1519"/>
      <c r="W48" s="1352"/>
      <c r="X48" s="1521">
        <f>IF($B$25="Yes", 'Misc. Data &amp; Mechanisms'!$A107,IF(X47="", "", IF(($H47+DAY(DATE(YEAR($H47),MONTH($H47)+1,1)-1))&lt;=$C$28, ($H47+DAY(DATE(YEAR($H47),MONTH($H47)+1,1)-1)), "")))</f>
        <v>42248</v>
      </c>
      <c r="Y48" s="1519"/>
      <c r="Z48" s="1519"/>
      <c r="AA48" s="1520"/>
      <c r="AB48" s="1520"/>
      <c r="AC48" s="1362"/>
      <c r="AD48" s="1363"/>
    </row>
    <row r="49" spans="7:30" ht="18" customHeight="1" x14ac:dyDescent="0.3">
      <c r="G49" s="30"/>
      <c r="H49" s="1521">
        <f>IF($B$25="Yes", 'Misc. Data &amp; Mechanisms'!$A108,IF(H48="", "", IF(($H48+DAY(DATE(YEAR($H48),MONTH($H48)+1,1)-1))&lt;=$C$28, ($H48+DAY(DATE(YEAR($H48),MONTH($H48)+1,1)-1)), "")))</f>
        <v>42278</v>
      </c>
      <c r="I49" s="1522">
        <f>IF($T49="", "",IFERROR(IF($B$30="Yes", VLOOKUP($H49, $T$3:$V$93, 2, FALSE), IF($B$34&lt;&gt;"Natural Gas", VLOOKUP($H49, 'Misc. Data &amp; Mechanisms'!$A$280:$D$369, HLOOKUP($C$32,'Misc. Data &amp; Mechanisms'!$A$277:$D$279, 3, FALSE), FALSE), IF($C$32="Apartment", "Not Applicable",VLOOKUP($H49, 'Misc. Data &amp; Mechanisms'!$E$280:$H$369, HLOOKUP($C$32,'Misc. Data &amp; Mechanisms'!$E$277:$H$279, 3, FALSE), FALSE)))), ""))</f>
        <v>571.6210749094887</v>
      </c>
      <c r="J49" s="1529">
        <f>IF($X49="", "",IFERROR(IF($B$34&lt;&gt;"Natural Gas", IF($C$36&lt;&gt;"Custom", IF($C$36 = "RRO (Capped)", VLOOKUP($H49,'Misc. Data &amp; Mechanisms'!$A$1278:$E$1368,MATCH($B$22,'Misc. Data &amp; Mechanisms'!$B$1278:$E$1278,0)+1,FALSE), VLOOKUP($H49,'Misc. Data &amp; Mechanisms'!$G$1278:$K$1368,MATCH($B$22,'Misc. Data &amp; Mechanisms'!$H$1278:$K$1278,0)+1,FALSE)),VLOOKUP($H49,$X$3:$AB$93,2,FALSE)),  IF($C$37&lt;&gt;"Custom", IF($C$37 = "DRT", VLOOKUP($H49,'Misc. Data &amp; Mechanisms'!$A$1381:$D$1471,MATCH($B$23,'Misc. Data &amp; Mechanisms'!$B$1381:$D$1381,0)+1,FALSE)),VLOOKUP($H49,$X$3:$AB$93,2,FALSE))),""))</f>
        <v>5.5547000000000004</v>
      </c>
      <c r="K49" s="1529">
        <f>IF($X49="", "",IFERROR(IF($B$34&lt;&gt;"Natural Gas", IF($C$36&lt;&gt;"Custom", VLOOKUP($H49,'Misc. Data &amp; Mechanisms'!$A$1483:$H$1574,MATCH($B$22,'Misc. Data &amp; Mechanisms'!$B$1483:$H$1483,0)+1,FALSE),VLOOKUP($H49,$X$3:$AB$93,3,FALSE)),  IF($C$37&lt;&gt;"Custom", VLOOKUP($H49,'Misc. Data &amp; Mechanisms'!$A$1483:$H$1574,MATCH($B$23,'Misc. Data &amp; Mechanisms'!$B$1483:$H$1483,0)+1,FALSE),VLOOKUP($H49,$X$3:$AB$93,3,FALSE))),""))</f>
        <v>0.2291</v>
      </c>
      <c r="L49" s="1531">
        <f ca="1">IF(OR($H49="",$I49=""),"",IF($I49="Not Applicable", "-",IF($B$34&lt;&gt;"Natural Gas",VLOOKUP($H49,'Electricity Bill'!$A$5:$AR$96,6,FALSE),VLOOKUP($H49,'Natural Gas Bill'!$A$5:$AS$96,6,FALSE))))</f>
        <v>84.375683962990621</v>
      </c>
      <c r="M49" s="1522">
        <f>IF($T49="", "", IFERROR(IF($B$30="Yes", $V49, IF($B$34="Both",IF($C$32="Apartment","Not Applicable", VLOOKUP($H49, 'Misc. Data &amp; Mechanisms'!$E$280:$H$369, HLOOKUP($C$32,'Misc. Data &amp; Mechanisms'!$E$277:$H$279, 3, FALSE), FALSE)),"")), ""))</f>
        <v>8.3430798977230474</v>
      </c>
      <c r="N49" s="1530">
        <f>IF($X49="", "",IFERROR(IF($B$34="Both",IF($C$37&lt;&gt;"Custom", IF($C$37 = "DRT", VLOOKUP($H49,'Misc. Data &amp; Mechanisms'!$A$1381:$D$1471,MATCH($B$23,'Misc. Data &amp; Mechanisms'!$B$1381:$D$1381,0)+1,FALSE)),IF($C$36="Custom",VLOOKUP($H49,$X$3:$AB$93,4,FALSE),VLOOKUP($H49,$X$3:$AB$93,2,FALSE))),""),""))</f>
        <v>2.8279999999999998</v>
      </c>
      <c r="O49" s="1529">
        <f>IF($X49="", "",IFERROR(IF($B$34="Both",IF($C$37&lt;&gt;"Custom", VLOOKUP($H49,'Misc. Data &amp; Mechanisms'!$A$1483:$H$1574,MATCH($B$23,'Misc. Data &amp; Mechanisms'!$B$1483:$H$1483,0)+1,FALSE),IF($C$36="Custom",VLOOKUP($H49,$X$3:$AB$93,5,FALSE),VLOOKUP($H49,$X$3:$AB$93,3,FALSE))),""),""))</f>
        <v>0.223</v>
      </c>
      <c r="P49" s="1531">
        <f ca="1">IF(OR($H49="",$M49=""), "", IF($M49="Not Applicable", "-",VLOOKUP($H49,'Natural Gas Bill'!$A$5:$AS$96,6,FALSE)))</f>
        <v>77.714134720691305</v>
      </c>
      <c r="Q49" s="33"/>
      <c r="S49" s="30"/>
      <c r="T49" s="1521">
        <f>IF($B$25="Yes", 'Misc. Data &amp; Mechanisms'!$A108,IF(T48="", "", IF(($H48+DAY(DATE(YEAR($H48),MONTH($H48)+1,1)-1))&lt;=$C$28, ($H48+DAY(DATE(YEAR($H48),MONTH($H48)+1,1)-1)), "")))</f>
        <v>42278</v>
      </c>
      <c r="U49" s="1519"/>
      <c r="V49" s="1519"/>
      <c r="W49" s="1352"/>
      <c r="X49" s="1521">
        <f>IF($B$25="Yes", 'Misc. Data &amp; Mechanisms'!$A108,IF(X48="", "", IF(($H48+DAY(DATE(YEAR($H48),MONTH($H48)+1,1)-1))&lt;=$C$28, ($H48+DAY(DATE(YEAR($H48),MONTH($H48)+1,1)-1)), "")))</f>
        <v>42278</v>
      </c>
      <c r="Y49" s="1519"/>
      <c r="Z49" s="1519"/>
      <c r="AA49" s="1520"/>
      <c r="AB49" s="1520"/>
      <c r="AC49" s="1362"/>
      <c r="AD49" s="1363"/>
    </row>
    <row r="50" spans="7:30" ht="18" customHeight="1" x14ac:dyDescent="0.3">
      <c r="G50" s="30"/>
      <c r="H50" s="1521">
        <f>IF($B$25="Yes", 'Misc. Data &amp; Mechanisms'!$A109,IF(H49="", "", IF(($H49+DAY(DATE(YEAR($H49),MONTH($H49)+1,1)-1))&lt;=$C$28, ($H49+DAY(DATE(YEAR($H49),MONTH($H49)+1,1)-1)), "")))</f>
        <v>42309</v>
      </c>
      <c r="I50" s="1522">
        <f>IF($T50="", "",IFERROR(IF($B$30="Yes", VLOOKUP($H50, $T$3:$V$93, 2, FALSE), IF($B$34&lt;&gt;"Natural Gas", VLOOKUP($H50, 'Misc. Data &amp; Mechanisms'!$A$280:$D$369, HLOOKUP($C$32,'Misc. Data &amp; Mechanisms'!$A$277:$D$279, 3, FALSE), FALSE), IF($C$32="Apartment", "Not Applicable",VLOOKUP($H50, 'Misc. Data &amp; Mechanisms'!$E$280:$H$369, HLOOKUP($C$32,'Misc. Data &amp; Mechanisms'!$E$277:$H$279, 3, FALSE), FALSE)))), ""))</f>
        <v>621.16898918569302</v>
      </c>
      <c r="J50" s="1529">
        <f>IF($X50="", "",IFERROR(IF($B$34&lt;&gt;"Natural Gas", IF($C$36&lt;&gt;"Custom", IF($C$36 = "RRO (Capped)", VLOOKUP($H50,'Misc. Data &amp; Mechanisms'!$A$1278:$E$1368,MATCH($B$22,'Misc. Data &amp; Mechanisms'!$B$1278:$E$1278,0)+1,FALSE), VLOOKUP($H50,'Misc. Data &amp; Mechanisms'!$G$1278:$K$1368,MATCH($B$22,'Misc. Data &amp; Mechanisms'!$H$1278:$K$1278,0)+1,FALSE)),VLOOKUP($H50,$X$3:$AB$93,2,FALSE)),  IF($C$37&lt;&gt;"Custom", IF($C$37 = "DRT", VLOOKUP($H50,'Misc. Data &amp; Mechanisms'!$A$1381:$D$1471,MATCH($B$23,'Misc. Data &amp; Mechanisms'!$B$1381:$D$1381,0)+1,FALSE)),VLOOKUP($H50,$X$3:$AB$93,2,FALSE))),""))</f>
        <v>5.0035999999999996</v>
      </c>
      <c r="K50" s="1529">
        <f>IF($X50="", "",IFERROR(IF($B$34&lt;&gt;"Natural Gas", IF($C$36&lt;&gt;"Custom", VLOOKUP($H50,'Misc. Data &amp; Mechanisms'!$A$1483:$H$1574,MATCH($B$22,'Misc. Data &amp; Mechanisms'!$B$1483:$H$1483,0)+1,FALSE),VLOOKUP($H50,$X$3:$AB$93,3,FALSE)),  IF($C$37&lt;&gt;"Custom", VLOOKUP($H50,'Misc. Data &amp; Mechanisms'!$A$1483:$H$1574,MATCH($B$23,'Misc. Data &amp; Mechanisms'!$B$1483:$H$1483,0)+1,FALSE),VLOOKUP($H50,$X$3:$AB$93,3,FALSE))),""))</f>
        <v>0.2291</v>
      </c>
      <c r="L50" s="1531">
        <f ca="1">IF(OR($H50="",$I50=""),"",IF($I50="Not Applicable", "-",IF($B$34&lt;&gt;"Natural Gas",VLOOKUP($H50,'Electricity Bill'!$A$5:$AR$96,6,FALSE),VLOOKUP($H50,'Natural Gas Bill'!$A$5:$AS$96,6,FALSE))))</f>
        <v>84.990315900775997</v>
      </c>
      <c r="M50" s="1522">
        <f>IF($T50="", "", IFERROR(IF($B$30="Yes", $V50, IF($B$34="Both",IF($C$32="Apartment","Not Applicable", VLOOKUP($H50, 'Misc. Data &amp; Mechanisms'!$E$280:$H$369, HLOOKUP($C$32,'Misc. Data &amp; Mechanisms'!$E$277:$H$279, 3, FALSE), FALSE)),"")), ""))</f>
        <v>15.114799129282089</v>
      </c>
      <c r="N50" s="1530">
        <f>IF($X50="", "",IFERROR(IF($B$34="Both",IF($C$37&lt;&gt;"Custom", IF($C$37 = "DRT", VLOOKUP($H50,'Misc. Data &amp; Mechanisms'!$A$1381:$D$1471,MATCH($B$23,'Misc. Data &amp; Mechanisms'!$B$1381:$D$1381,0)+1,FALSE)),IF($C$36="Custom",VLOOKUP($H50,$X$3:$AB$93,4,FALSE),VLOOKUP($H50,$X$3:$AB$93,2,FALSE))),""),""))</f>
        <v>2.5539999999999998</v>
      </c>
      <c r="O50" s="1529">
        <f>IF($X50="", "",IFERROR(IF($B$34="Both",IF($C$37&lt;&gt;"Custom", VLOOKUP($H50,'Misc. Data &amp; Mechanisms'!$A$1483:$H$1574,MATCH($B$23,'Misc. Data &amp; Mechanisms'!$B$1483:$H$1483,0)+1,FALSE),IF($C$36="Custom",VLOOKUP($H50,$X$3:$AB$93,5,FALSE),VLOOKUP($H50,$X$3:$AB$93,3,FALSE))),""),""))</f>
        <v>0.223</v>
      </c>
      <c r="P50" s="1531">
        <f ca="1">IF(OR($H50="",$M50=""), "", IF($M50="Not Applicable", "-",VLOOKUP($H50,'Natural Gas Bill'!$A$5:$AS$96,6,FALSE)))</f>
        <v>106.91253460289242</v>
      </c>
      <c r="Q50" s="33"/>
      <c r="S50" s="30"/>
      <c r="T50" s="1521">
        <f>IF($B$25="Yes", 'Misc. Data &amp; Mechanisms'!$A109,IF(T49="", "", IF(($H49+DAY(DATE(YEAR($H49),MONTH($H49)+1,1)-1))&lt;=$C$28, ($H49+DAY(DATE(YEAR($H49),MONTH($H49)+1,1)-1)), "")))</f>
        <v>42309</v>
      </c>
      <c r="U50" s="1519"/>
      <c r="V50" s="1519"/>
      <c r="W50" s="1352"/>
      <c r="X50" s="1521">
        <f>IF($B$25="Yes", 'Misc. Data &amp; Mechanisms'!$A109,IF(X49="", "", IF(($H49+DAY(DATE(YEAR($H49),MONTH($H49)+1,1)-1))&lt;=$C$28, ($H49+DAY(DATE(YEAR($H49),MONTH($H49)+1,1)-1)), "")))</f>
        <v>42309</v>
      </c>
      <c r="Y50" s="1519"/>
      <c r="Z50" s="1519"/>
      <c r="AA50" s="1520"/>
      <c r="AB50" s="1520"/>
      <c r="AC50" s="1362"/>
      <c r="AD50" s="1363"/>
    </row>
    <row r="51" spans="7:30" ht="18" customHeight="1" x14ac:dyDescent="0.3">
      <c r="G51" s="30"/>
      <c r="H51" s="1521">
        <f>IF($B$25="Yes", 'Misc. Data &amp; Mechanisms'!$A110,IF(H50="", "", IF(($H50+DAY(DATE(YEAR($H50),MONTH($H50)+1,1)-1))&lt;=$C$28, ($H50+DAY(DATE(YEAR($H50),MONTH($H50)+1,1)-1)), "")))</f>
        <v>42339</v>
      </c>
      <c r="I51" s="1522">
        <f>IF($T51="", "",IFERROR(IF($B$30="Yes", VLOOKUP($H51, $T$3:$V$93, 2, FALSE), IF($B$34&lt;&gt;"Natural Gas", VLOOKUP($H51, 'Misc. Data &amp; Mechanisms'!$A$280:$D$369, HLOOKUP($C$32,'Misc. Data &amp; Mechanisms'!$A$277:$D$279, 3, FALSE), FALSE), IF($C$32="Apartment", "Not Applicable",VLOOKUP($H51, 'Misc. Data &amp; Mechanisms'!$E$280:$H$369, HLOOKUP($C$32,'Misc. Data &amp; Mechanisms'!$E$277:$H$279, 3, FALSE), FALSE)))), ""))</f>
        <v>703.35853981851835</v>
      </c>
      <c r="J51" s="1529">
        <f>IF($X51="", "",IFERROR(IF($B$34&lt;&gt;"Natural Gas", IF($C$36&lt;&gt;"Custom", IF($C$36 = "RRO (Capped)", VLOOKUP($H51,'Misc. Data &amp; Mechanisms'!$A$1278:$E$1368,MATCH($B$22,'Misc. Data &amp; Mechanisms'!$B$1278:$E$1278,0)+1,FALSE), VLOOKUP($H51,'Misc. Data &amp; Mechanisms'!$G$1278:$K$1368,MATCH($B$22,'Misc. Data &amp; Mechanisms'!$H$1278:$K$1278,0)+1,FALSE)),VLOOKUP($H51,$X$3:$AB$93,2,FALSE)),  IF($C$37&lt;&gt;"Custom", IF($C$37 = "DRT", VLOOKUP($H51,'Misc. Data &amp; Mechanisms'!$A$1381:$D$1471,MATCH($B$23,'Misc. Data &amp; Mechanisms'!$B$1381:$D$1381,0)+1,FALSE)),VLOOKUP($H51,$X$3:$AB$93,2,FALSE))),""))</f>
        <v>5.1921999999999997</v>
      </c>
      <c r="K51" s="1529">
        <f>IF($X51="", "",IFERROR(IF($B$34&lt;&gt;"Natural Gas", IF($C$36&lt;&gt;"Custom", VLOOKUP($H51,'Misc. Data &amp; Mechanisms'!$A$1483:$H$1574,MATCH($B$22,'Misc. Data &amp; Mechanisms'!$B$1483:$H$1483,0)+1,FALSE),VLOOKUP($H51,$X$3:$AB$93,3,FALSE)),  IF($C$37&lt;&gt;"Custom", VLOOKUP($H51,'Misc. Data &amp; Mechanisms'!$A$1483:$H$1574,MATCH($B$23,'Misc. Data &amp; Mechanisms'!$B$1483:$H$1483,0)+1,FALSE),VLOOKUP($H51,$X$3:$AB$93,3,FALSE))),""))</f>
        <v>0.2291</v>
      </c>
      <c r="L51" s="1531">
        <f ca="1">IF(OR($H51="",$I51=""),"",IF($I51="Not Applicable", "-",IF($B$34&lt;&gt;"Natural Gas",VLOOKUP($H51,'Electricity Bill'!$A$5:$AR$96,6,FALSE),VLOOKUP($H51,'Natural Gas Bill'!$A$5:$AS$96,6,FALSE))))</f>
        <v>95.604645306803775</v>
      </c>
      <c r="M51" s="1522">
        <f>IF($T51="", "", IFERROR(IF($B$30="Yes", $V51, IF($B$34="Both",IF($C$32="Apartment","Not Applicable", VLOOKUP($H51, 'Misc. Data &amp; Mechanisms'!$E$280:$H$369, HLOOKUP($C$32,'Misc. Data &amp; Mechanisms'!$E$277:$H$279, 3, FALSE), FALSE)),"")), ""))</f>
        <v>19.538732956479862</v>
      </c>
      <c r="N51" s="1530">
        <f>IF($X51="", "",IFERROR(IF($B$34="Both",IF($C$37&lt;&gt;"Custom", IF($C$37 = "DRT", VLOOKUP($H51,'Misc. Data &amp; Mechanisms'!$A$1381:$D$1471,MATCH($B$23,'Misc. Data &amp; Mechanisms'!$B$1381:$D$1381,0)+1,FALSE)),IF($C$36="Custom",VLOOKUP($H51,$X$3:$AB$93,4,FALSE),VLOOKUP($H51,$X$3:$AB$93,2,FALSE))),""),""))</f>
        <v>2.2000000000000002</v>
      </c>
      <c r="O51" s="1529">
        <f>IF($X51="", "",IFERROR(IF($B$34="Both",IF($C$37&lt;&gt;"Custom", VLOOKUP($H51,'Misc. Data &amp; Mechanisms'!$A$1483:$H$1574,MATCH($B$23,'Misc. Data &amp; Mechanisms'!$B$1483:$H$1483,0)+1,FALSE),IF($C$36="Custom",VLOOKUP($H51,$X$3:$AB$93,5,FALSE),VLOOKUP($H51,$X$3:$AB$93,3,FALSE))),""),""))</f>
        <v>0.223</v>
      </c>
      <c r="P51" s="1531">
        <f ca="1">IF(OR($H51="",$M51=""), "", IF($M51="Not Applicable", "-",VLOOKUP($H51,'Natural Gas Bill'!$A$5:$AS$96,6,FALSE)))</f>
        <v>121.49629415484651</v>
      </c>
      <c r="Q51" s="33"/>
      <c r="S51" s="30"/>
      <c r="T51" s="1521">
        <f>IF($B$25="Yes", 'Misc. Data &amp; Mechanisms'!$A110,IF(T50="", "", IF(($H50+DAY(DATE(YEAR($H50),MONTH($H50)+1,1)-1))&lt;=$C$28, ($H50+DAY(DATE(YEAR($H50),MONTH($H50)+1,1)-1)), "")))</f>
        <v>42339</v>
      </c>
      <c r="U51" s="1519"/>
      <c r="V51" s="1519"/>
      <c r="W51" s="1352"/>
      <c r="X51" s="1521">
        <f>IF($B$25="Yes", 'Misc. Data &amp; Mechanisms'!$A110,IF(X50="", "", IF(($H50+DAY(DATE(YEAR($H50),MONTH($H50)+1,1)-1))&lt;=$C$28, ($H50+DAY(DATE(YEAR($H50),MONTH($H50)+1,1)-1)), "")))</f>
        <v>42339</v>
      </c>
      <c r="Y51" s="1519"/>
      <c r="Z51" s="1519"/>
      <c r="AA51" s="1520"/>
      <c r="AB51" s="1520"/>
      <c r="AC51" s="1362"/>
      <c r="AD51" s="1363"/>
    </row>
    <row r="52" spans="7:30" ht="18" customHeight="1" x14ac:dyDescent="0.3">
      <c r="G52" s="30"/>
      <c r="H52" s="1521">
        <f>IF($B$25="Yes", 'Misc. Data &amp; Mechanisms'!$A111,IF(H51="", "", IF(($H51+DAY(DATE(YEAR($H51),MONTH($H51)+1,1)-1))&lt;=$C$28, ($H51+DAY(DATE(YEAR($H51),MONTH($H51)+1,1)-1)), "")))</f>
        <v>42370</v>
      </c>
      <c r="I52" s="1522">
        <f>IF($T52="", "",IFERROR(IF($B$30="Yes", VLOOKUP($H52, $T$3:$V$93, 2, FALSE), IF($B$34&lt;&gt;"Natural Gas", VLOOKUP($H52, 'Misc. Data &amp; Mechanisms'!$A$280:$D$369, HLOOKUP($C$32,'Misc. Data &amp; Mechanisms'!$A$277:$D$279, 3, FALSE), FALSE), IF($C$32="Apartment", "Not Applicable",VLOOKUP($H52, 'Misc. Data &amp; Mechanisms'!$E$280:$H$369, HLOOKUP($C$32,'Misc. Data &amp; Mechanisms'!$E$277:$H$279, 3, FALSE), FALSE)))), ""))</f>
        <v>648.81494461562306</v>
      </c>
      <c r="J52" s="1529">
        <f>IF($X52="", "",IFERROR(IF($B$34&lt;&gt;"Natural Gas", IF($C$36&lt;&gt;"Custom", IF($C$36 = "RRO (Capped)", VLOOKUP($H52,'Misc. Data &amp; Mechanisms'!$A$1278:$E$1368,MATCH($B$22,'Misc. Data &amp; Mechanisms'!$B$1278:$E$1278,0)+1,FALSE), VLOOKUP($H52,'Misc. Data &amp; Mechanisms'!$G$1278:$K$1368,MATCH($B$22,'Misc. Data &amp; Mechanisms'!$H$1278:$K$1278,0)+1,FALSE)),VLOOKUP($H52,$X$3:$AB$93,2,FALSE)),  IF($C$37&lt;&gt;"Custom", IF($C$37 = "DRT", VLOOKUP($H52,'Misc. Data &amp; Mechanisms'!$A$1381:$D$1471,MATCH($B$23,'Misc. Data &amp; Mechanisms'!$B$1381:$D$1381,0)+1,FALSE)),VLOOKUP($H52,$X$3:$AB$93,2,FALSE))),""))</f>
        <v>4.7946999999999997</v>
      </c>
      <c r="K52" s="1529">
        <f>IF($X52="", "",IFERROR(IF($B$34&lt;&gt;"Natural Gas", IF($C$36&lt;&gt;"Custom", VLOOKUP($H52,'Misc. Data &amp; Mechanisms'!$A$1483:$H$1574,MATCH($B$22,'Misc. Data &amp; Mechanisms'!$B$1483:$H$1483,0)+1,FALSE),VLOOKUP($H52,$X$3:$AB$93,3,FALSE)),  IF($C$37&lt;&gt;"Custom", VLOOKUP($H52,'Misc. Data &amp; Mechanisms'!$A$1483:$H$1574,MATCH($B$23,'Misc. Data &amp; Mechanisms'!$B$1483:$H$1483,0)+1,FALSE),VLOOKUP($H52,$X$3:$AB$93,3,FALSE))),""))</f>
        <v>0.2291</v>
      </c>
      <c r="L52" s="1531">
        <f ca="1">IF(OR($H52="",$I52=""),"",IF($I52="Not Applicable", "-",IF($B$34&lt;&gt;"Natural Gas",VLOOKUP($H52,'Electricity Bill'!$A$5:$AR$96,6,FALSE),VLOOKUP($H52,'Natural Gas Bill'!$A$5:$AS$96,6,FALSE))))</f>
        <v>92.292263290884136</v>
      </c>
      <c r="M52" s="1522">
        <f>IF($T52="", "", IFERROR(IF($B$30="Yes", $V52, IF($B$34="Both",IF($C$32="Apartment","Not Applicable", VLOOKUP($H52, 'Misc. Data &amp; Mechanisms'!$E$280:$H$369, HLOOKUP($C$32,'Misc. Data &amp; Mechanisms'!$E$277:$H$279, 3, FALSE), FALSE)),"")), ""))</f>
        <v>18.105874123716191</v>
      </c>
      <c r="N52" s="1530">
        <f>IF($X52="", "",IFERROR(IF($B$34="Both",IF($C$37&lt;&gt;"Custom", IF($C$37 = "DRT", VLOOKUP($H52,'Misc. Data &amp; Mechanisms'!$A$1381:$D$1471,MATCH($B$23,'Misc. Data &amp; Mechanisms'!$B$1381:$D$1381,0)+1,FALSE)),IF($C$36="Custom",VLOOKUP($H52,$X$3:$AB$93,4,FALSE),VLOOKUP($H52,$X$3:$AB$93,2,FALSE))),""),""))</f>
        <v>2.004</v>
      </c>
      <c r="O52" s="1529">
        <f>IF($X52="", "",IFERROR(IF($B$34="Both",IF($C$37&lt;&gt;"Custom", VLOOKUP($H52,'Misc. Data &amp; Mechanisms'!$A$1483:$H$1574,MATCH($B$23,'Misc. Data &amp; Mechanisms'!$B$1483:$H$1483,0)+1,FALSE),IF($C$36="Custom",VLOOKUP($H52,$X$3:$AB$93,5,FALSE),VLOOKUP($H52,$X$3:$AB$93,3,FALSE))),""),""))</f>
        <v>0.223</v>
      </c>
      <c r="P52" s="1531">
        <f ca="1">IF(OR($H52="",$M52=""), "", IF($M52="Not Applicable", "-",VLOOKUP($H52,'Natural Gas Bill'!$A$5:$AS$96,6,FALSE)))</f>
        <v>113.66527840807856</v>
      </c>
      <c r="Q52" s="33"/>
      <c r="S52" s="30"/>
      <c r="T52" s="1521">
        <f>IF($B$25="Yes", 'Misc. Data &amp; Mechanisms'!$A111,IF(T51="", "", IF(($H51+DAY(DATE(YEAR($H51),MONTH($H51)+1,1)-1))&lt;=$C$28, ($H51+DAY(DATE(YEAR($H51),MONTH($H51)+1,1)-1)), "")))</f>
        <v>42370</v>
      </c>
      <c r="U52" s="1519"/>
      <c r="V52" s="1519"/>
      <c r="W52" s="1352"/>
      <c r="X52" s="1521">
        <f>IF($B$25="Yes", 'Misc. Data &amp; Mechanisms'!$A111,IF(X51="", "", IF(($H51+DAY(DATE(YEAR($H51),MONTH($H51)+1,1)-1))&lt;=$C$28, ($H51+DAY(DATE(YEAR($H51),MONTH($H51)+1,1)-1)), "")))</f>
        <v>42370</v>
      </c>
      <c r="Y52" s="1519"/>
      <c r="Z52" s="1519"/>
      <c r="AA52" s="1520"/>
      <c r="AB52" s="1520"/>
      <c r="AC52" s="1362"/>
      <c r="AD52" s="1363"/>
    </row>
    <row r="53" spans="7:30" ht="18" customHeight="1" x14ac:dyDescent="0.3">
      <c r="G53" s="30"/>
      <c r="H53" s="1521">
        <f>IF($B$25="Yes", 'Misc. Data &amp; Mechanisms'!$A112,IF(H52="", "", IF(($H52+DAY(DATE(YEAR($H52),MONTH($H52)+1,1)-1))&lt;=$C$28, ($H52+DAY(DATE(YEAR($H52),MONTH($H52)+1,1)-1)), "")))</f>
        <v>42401</v>
      </c>
      <c r="I53" s="1522">
        <f>IF($T53="", "",IFERROR(IF($B$30="Yes", VLOOKUP($H53, $T$3:$V$93, 2, FALSE), IF($B$34&lt;&gt;"Natural Gas", VLOOKUP($H53, 'Misc. Data &amp; Mechanisms'!$A$280:$D$369, HLOOKUP($C$32,'Misc. Data &amp; Mechanisms'!$A$277:$D$279, 3, FALSE), FALSE), IF($C$32="Apartment", "Not Applicable",VLOOKUP($H53, 'Misc. Data &amp; Mechanisms'!$E$280:$H$369, HLOOKUP($C$32,'Misc. Data &amp; Mechanisms'!$E$277:$H$279, 3, FALSE), FALSE)))), ""))</f>
        <v>572.05995122032334</v>
      </c>
      <c r="J53" s="1529">
        <f>IF($X53="", "",IFERROR(IF($B$34&lt;&gt;"Natural Gas", IF($C$36&lt;&gt;"Custom", IF($C$36 = "RRO (Capped)", VLOOKUP($H53,'Misc. Data &amp; Mechanisms'!$A$1278:$E$1368,MATCH($B$22,'Misc. Data &amp; Mechanisms'!$B$1278:$E$1278,0)+1,FALSE), VLOOKUP($H53,'Misc. Data &amp; Mechanisms'!$G$1278:$K$1368,MATCH($B$22,'Misc. Data &amp; Mechanisms'!$H$1278:$K$1278,0)+1,FALSE)),VLOOKUP($H53,$X$3:$AB$93,2,FALSE)),  IF($C$37&lt;&gt;"Custom", IF($C$37 = "DRT", VLOOKUP($H53,'Misc. Data &amp; Mechanisms'!$A$1381:$D$1471,MATCH($B$23,'Misc. Data &amp; Mechanisms'!$B$1381:$D$1381,0)+1,FALSE)),VLOOKUP($H53,$X$3:$AB$93,2,FALSE))),""))</f>
        <v>4.3921000000000001</v>
      </c>
      <c r="K53" s="1529">
        <f>IF($X53="", "",IFERROR(IF($B$34&lt;&gt;"Natural Gas", IF($C$36&lt;&gt;"Custom", VLOOKUP($H53,'Misc. Data &amp; Mechanisms'!$A$1483:$H$1574,MATCH($B$22,'Misc. Data &amp; Mechanisms'!$B$1483:$H$1483,0)+1,FALSE),VLOOKUP($H53,$X$3:$AB$93,3,FALSE)),  IF($C$37&lt;&gt;"Custom", VLOOKUP($H53,'Misc. Data &amp; Mechanisms'!$A$1483:$H$1574,MATCH($B$23,'Misc. Data &amp; Mechanisms'!$B$1483:$H$1483,0)+1,FALSE),VLOOKUP($H53,$X$3:$AB$93,3,FALSE))),""))</f>
        <v>0.2291</v>
      </c>
      <c r="L53" s="1531">
        <f ca="1">IF(OR($H53="",$I53=""),"",IF($I53="Not Applicable", "-",IF($B$34&lt;&gt;"Natural Gas",VLOOKUP($H53,'Electricity Bill'!$A$5:$AR$96,6,FALSE),VLOOKUP($H53,'Natural Gas Bill'!$A$5:$AS$96,6,FALSE))))</f>
        <v>79.919934134559725</v>
      </c>
      <c r="M53" s="1522">
        <f>IF($T53="", "", IFERROR(IF($B$30="Yes", $V53, IF($B$34="Both",IF($C$32="Apartment","Not Applicable", VLOOKUP($H53, 'Misc. Data &amp; Mechanisms'!$E$280:$H$369, HLOOKUP($C$32,'Misc. Data &amp; Mechanisms'!$E$277:$H$279, 3, FALSE), FALSE)),"")), ""))</f>
        <v>12.609699558786209</v>
      </c>
      <c r="N53" s="1530">
        <f>IF($X53="", "",IFERROR(IF($B$34="Both",IF($C$37&lt;&gt;"Custom", IF($C$37 = "DRT", VLOOKUP($H53,'Misc. Data &amp; Mechanisms'!$A$1381:$D$1471,MATCH($B$23,'Misc. Data &amp; Mechanisms'!$B$1381:$D$1381,0)+1,FALSE)),IF($C$36="Custom",VLOOKUP($H53,$X$3:$AB$93,4,FALSE),VLOOKUP($H53,$X$3:$AB$93,2,FALSE))),""),""))</f>
        <v>2.97</v>
      </c>
      <c r="O53" s="1529">
        <f>IF($X53="", "",IFERROR(IF($B$34="Both",IF($C$37&lt;&gt;"Custom", VLOOKUP($H53,'Misc. Data &amp; Mechanisms'!$A$1483:$H$1574,MATCH($B$23,'Misc. Data &amp; Mechanisms'!$B$1483:$H$1483,0)+1,FALSE),IF($C$36="Custom",VLOOKUP($H53,$X$3:$AB$93,5,FALSE),VLOOKUP($H53,$X$3:$AB$93,3,FALSE))),""),""))</f>
        <v>0.223</v>
      </c>
      <c r="P53" s="1531">
        <f ca="1">IF(OR($H53="",$M53=""), "", IF($M53="Not Applicable", "-",VLOOKUP($H53,'Natural Gas Bill'!$A$5:$AS$96,6,FALSE)))</f>
        <v>102.15330785558639</v>
      </c>
      <c r="Q53" s="33"/>
      <c r="S53" s="30"/>
      <c r="T53" s="1521">
        <f>IF($B$25="Yes", 'Misc. Data &amp; Mechanisms'!$A112,IF(T52="", "", IF(($H52+DAY(DATE(YEAR($H52),MONTH($H52)+1,1)-1))&lt;=$C$28, ($H52+DAY(DATE(YEAR($H52),MONTH($H52)+1,1)-1)), "")))</f>
        <v>42401</v>
      </c>
      <c r="U53" s="1519"/>
      <c r="V53" s="1519"/>
      <c r="W53" s="1352"/>
      <c r="X53" s="1521">
        <f>IF($B$25="Yes", 'Misc. Data &amp; Mechanisms'!$A112,IF(X52="", "", IF(($H52+DAY(DATE(YEAR($H52),MONTH($H52)+1,1)-1))&lt;=$C$28, ($H52+DAY(DATE(YEAR($H52),MONTH($H52)+1,1)-1)), "")))</f>
        <v>42401</v>
      </c>
      <c r="Y53" s="1519"/>
      <c r="Z53" s="1519"/>
      <c r="AA53" s="1520"/>
      <c r="AB53" s="1520"/>
      <c r="AC53" s="1362"/>
      <c r="AD53" s="1363"/>
    </row>
    <row r="54" spans="7:30" ht="18" customHeight="1" x14ac:dyDescent="0.3">
      <c r="G54" s="30"/>
      <c r="H54" s="1521">
        <f>IF($B$25="Yes", 'Misc. Data &amp; Mechanisms'!$A113,IF(H53="", "", IF(($H53+DAY(DATE(YEAR($H53),MONTH($H53)+1,1)-1))&lt;=$C$28, ($H53+DAY(DATE(YEAR($H53),MONTH($H53)+1,1)-1)), "")))</f>
        <v>42430</v>
      </c>
      <c r="I54" s="1522">
        <f>IF($T54="", "",IFERROR(IF($B$30="Yes", VLOOKUP($H54, $T$3:$V$93, 2, FALSE), IF($B$34&lt;&gt;"Natural Gas", VLOOKUP($H54, 'Misc. Data &amp; Mechanisms'!$A$280:$D$369, HLOOKUP($C$32,'Misc. Data &amp; Mechanisms'!$A$277:$D$279, 3, FALSE), FALSE), IF($C$32="Apartment", "Not Applicable",VLOOKUP($H54, 'Misc. Data &amp; Mechanisms'!$E$280:$H$369, HLOOKUP($C$32,'Misc. Data &amp; Mechanisms'!$E$277:$H$279, 3, FALSE), FALSE)))), ""))</f>
        <v>568.09995204782911</v>
      </c>
      <c r="J54" s="1529">
        <f>IF($X54="", "",IFERROR(IF($B$34&lt;&gt;"Natural Gas", IF($C$36&lt;&gt;"Custom", IF($C$36 = "RRO (Capped)", VLOOKUP($H54,'Misc. Data &amp; Mechanisms'!$A$1278:$E$1368,MATCH($B$22,'Misc. Data &amp; Mechanisms'!$B$1278:$E$1278,0)+1,FALSE), VLOOKUP($H54,'Misc. Data &amp; Mechanisms'!$G$1278:$K$1368,MATCH($B$22,'Misc. Data &amp; Mechanisms'!$H$1278:$K$1278,0)+1,FALSE)),VLOOKUP($H54,$X$3:$AB$93,2,FALSE)),  IF($C$37&lt;&gt;"Custom", IF($C$37 = "DRT", VLOOKUP($H54,'Misc. Data &amp; Mechanisms'!$A$1381:$D$1471,MATCH($B$23,'Misc. Data &amp; Mechanisms'!$B$1381:$D$1381,0)+1,FALSE)),VLOOKUP($H54,$X$3:$AB$93,2,FALSE))),""))</f>
        <v>4.1858000000000004</v>
      </c>
      <c r="K54" s="1529">
        <f>IF($X54="", "",IFERROR(IF($B$34&lt;&gt;"Natural Gas", IF($C$36&lt;&gt;"Custom", VLOOKUP($H54,'Misc. Data &amp; Mechanisms'!$A$1483:$H$1574,MATCH($B$22,'Misc. Data &amp; Mechanisms'!$B$1483:$H$1483,0)+1,FALSE),VLOOKUP($H54,$X$3:$AB$93,3,FALSE)),  IF($C$37&lt;&gt;"Custom", VLOOKUP($H54,'Misc. Data &amp; Mechanisms'!$A$1483:$H$1574,MATCH($B$23,'Misc. Data &amp; Mechanisms'!$B$1483:$H$1483,0)+1,FALSE),VLOOKUP($H54,$X$3:$AB$93,3,FALSE))),""))</f>
        <v>0.2291</v>
      </c>
      <c r="L54" s="1531">
        <f ca="1">IF(OR($H54="",$I54=""),"",IF($I54="Not Applicable", "-",IF($B$34&lt;&gt;"Natural Gas",VLOOKUP($H54,'Electricity Bill'!$A$5:$AR$96,6,FALSE),VLOOKUP($H54,'Natural Gas Bill'!$A$5:$AS$96,6,FALSE))))</f>
        <v>79.626628662128496</v>
      </c>
      <c r="M54" s="1522">
        <f>IF($T54="", "", IFERROR(IF($B$30="Yes", $V54, IF($B$34="Both",IF($C$32="Apartment","Not Applicable", VLOOKUP($H54, 'Misc. Data &amp; Mechanisms'!$E$280:$H$369, HLOOKUP($C$32,'Misc. Data &amp; Mechanisms'!$E$277:$H$279, 3, FALSE), FALSE)),"")), ""))</f>
        <v>12.219487123971039</v>
      </c>
      <c r="N54" s="1530">
        <f>IF($X54="", "",IFERROR(IF($B$34="Both",IF($C$37&lt;&gt;"Custom", IF($C$37 = "DRT", VLOOKUP($H54,'Misc. Data &amp; Mechanisms'!$A$1381:$D$1471,MATCH($B$23,'Misc. Data &amp; Mechanisms'!$B$1381:$D$1381,0)+1,FALSE)),IF($C$36="Custom",VLOOKUP($H54,$X$3:$AB$93,4,FALSE),VLOOKUP($H54,$X$3:$AB$93,2,FALSE))),""),""))</f>
        <v>2.165</v>
      </c>
      <c r="O54" s="1529">
        <f>IF($X54="", "",IFERROR(IF($B$34="Both",IF($C$37&lt;&gt;"Custom", VLOOKUP($H54,'Misc. Data &amp; Mechanisms'!$A$1483:$H$1574,MATCH($B$23,'Misc. Data &amp; Mechanisms'!$B$1483:$H$1483,0)+1,FALSE),IF($C$36="Custom",VLOOKUP($H54,$X$3:$AB$93,5,FALSE),VLOOKUP($H54,$X$3:$AB$93,3,FALSE))),""),""))</f>
        <v>0.223</v>
      </c>
      <c r="P54" s="1531">
        <f ca="1">IF(OR($H54="",$M54=""), "", IF($M54="Not Applicable", "-",VLOOKUP($H54,'Natural Gas Bill'!$A$5:$AS$96,6,FALSE)))</f>
        <v>92.032924561641124</v>
      </c>
      <c r="Q54" s="33"/>
      <c r="S54" s="30"/>
      <c r="T54" s="1521">
        <f>IF($B$25="Yes", 'Misc. Data &amp; Mechanisms'!$A113,IF(T53="", "", IF(($H53+DAY(DATE(YEAR($H53),MONTH($H53)+1,1)-1))&lt;=$C$28, ($H53+DAY(DATE(YEAR($H53),MONTH($H53)+1,1)-1)), "")))</f>
        <v>42430</v>
      </c>
      <c r="U54" s="1519"/>
      <c r="V54" s="1519"/>
      <c r="W54" s="1352"/>
      <c r="X54" s="1521">
        <f>IF($B$25="Yes", 'Misc. Data &amp; Mechanisms'!$A113,IF(X53="", "", IF(($H53+DAY(DATE(YEAR($H53),MONTH($H53)+1,1)-1))&lt;=$C$28, ($H53+DAY(DATE(YEAR($H53),MONTH($H53)+1,1)-1)), "")))</f>
        <v>42430</v>
      </c>
      <c r="Y54" s="1519"/>
      <c r="Z54" s="1519"/>
      <c r="AA54" s="1520"/>
      <c r="AB54" s="1520"/>
      <c r="AC54" s="1362"/>
      <c r="AD54" s="1363"/>
    </row>
    <row r="55" spans="7:30" ht="18" customHeight="1" x14ac:dyDescent="0.3">
      <c r="G55" s="30"/>
      <c r="H55" s="1521">
        <f>IF($B$25="Yes", 'Misc. Data &amp; Mechanisms'!$A114,IF(H54="", "", IF(($H54+DAY(DATE(YEAR($H54),MONTH($H54)+1,1)-1))&lt;=$C$28, ($H54+DAY(DATE(YEAR($H54),MONTH($H54)+1,1)-1)), "")))</f>
        <v>42461</v>
      </c>
      <c r="I55" s="1522">
        <f>IF($T55="", "",IFERROR(IF($B$30="Yes", VLOOKUP($H55, $T$3:$V$93, 2, FALSE), IF($B$34&lt;&gt;"Natural Gas", VLOOKUP($H55, 'Misc. Data &amp; Mechanisms'!$A$280:$D$369, HLOOKUP($C$32,'Misc. Data &amp; Mechanisms'!$A$277:$D$279, 3, FALSE), FALSE), IF($C$32="Apartment", "Not Applicable",VLOOKUP($H55, 'Misc. Data &amp; Mechanisms'!$E$280:$H$369, HLOOKUP($C$32,'Misc. Data &amp; Mechanisms'!$E$277:$H$279, 3, FALSE), FALSE)))), ""))</f>
        <v>507.02427047604448</v>
      </c>
      <c r="J55" s="1529">
        <f>IF($X55="", "",IFERROR(IF($B$34&lt;&gt;"Natural Gas", IF($C$36&lt;&gt;"Custom", IF($C$36 = "RRO (Capped)", VLOOKUP($H55,'Misc. Data &amp; Mechanisms'!$A$1278:$E$1368,MATCH($B$22,'Misc. Data &amp; Mechanisms'!$B$1278:$E$1278,0)+1,FALSE), VLOOKUP($H55,'Misc. Data &amp; Mechanisms'!$G$1278:$K$1368,MATCH($B$22,'Misc. Data &amp; Mechanisms'!$H$1278:$K$1278,0)+1,FALSE)),VLOOKUP($H55,$X$3:$AB$93,2,FALSE)),  IF($C$37&lt;&gt;"Custom", IF($C$37 = "DRT", VLOOKUP($H55,'Misc. Data &amp; Mechanisms'!$A$1381:$D$1471,MATCH($B$23,'Misc. Data &amp; Mechanisms'!$B$1381:$D$1381,0)+1,FALSE)),VLOOKUP($H55,$X$3:$AB$93,2,FALSE))),""))</f>
        <v>3.3496999999999999</v>
      </c>
      <c r="K55" s="1529">
        <f>IF($X55="", "",IFERROR(IF($B$34&lt;&gt;"Natural Gas", IF($C$36&lt;&gt;"Custom", VLOOKUP($H55,'Misc. Data &amp; Mechanisms'!$A$1483:$H$1574,MATCH($B$22,'Misc. Data &amp; Mechanisms'!$B$1483:$H$1483,0)+1,FALSE),VLOOKUP($H55,$X$3:$AB$93,3,FALSE)),  IF($C$37&lt;&gt;"Custom", VLOOKUP($H55,'Misc. Data &amp; Mechanisms'!$A$1483:$H$1574,MATCH($B$23,'Misc. Data &amp; Mechanisms'!$B$1483:$H$1483,0)+1,FALSE),VLOOKUP($H55,$X$3:$AB$93,3,FALSE))),""))</f>
        <v>0.2291</v>
      </c>
      <c r="L55" s="1531">
        <f ca="1">IF(OR($H55="",$I55=""),"",IF($I55="Not Applicable", "-",IF($B$34&lt;&gt;"Natural Gas",VLOOKUP($H55,'Electricity Bill'!$A$5:$AR$96,6,FALSE),VLOOKUP($H55,'Natural Gas Bill'!$A$5:$AS$96,6,FALSE))))</f>
        <v>66.143398610381837</v>
      </c>
      <c r="M55" s="1522">
        <f>IF($T55="", "", IFERROR(IF($B$30="Yes", $V55, IF($B$34="Both",IF($C$32="Apartment","Not Applicable", VLOOKUP($H55, 'Misc. Data &amp; Mechanisms'!$E$280:$H$369, HLOOKUP($C$32,'Misc. Data &amp; Mechanisms'!$E$277:$H$279, 3, FALSE), FALSE)),"")), ""))</f>
        <v>6.9950986930345893</v>
      </c>
      <c r="N55" s="1530">
        <f>IF($X55="", "",IFERROR(IF($B$34="Both",IF($C$37&lt;&gt;"Custom", IF($C$37 = "DRT", VLOOKUP($H55,'Misc. Data &amp; Mechanisms'!$A$1381:$D$1471,MATCH($B$23,'Misc. Data &amp; Mechanisms'!$B$1381:$D$1381,0)+1,FALSE)),IF($C$36="Custom",VLOOKUP($H55,$X$3:$AB$93,4,FALSE),VLOOKUP($H55,$X$3:$AB$93,2,FALSE))),""),""))</f>
        <v>0.86199999999999999</v>
      </c>
      <c r="O55" s="1529">
        <f>IF($X55="", "",IFERROR(IF($B$34="Both",IF($C$37&lt;&gt;"Custom", VLOOKUP($H55,'Misc. Data &amp; Mechanisms'!$A$1483:$H$1574,MATCH($B$23,'Misc. Data &amp; Mechanisms'!$B$1483:$H$1483,0)+1,FALSE),IF($C$36="Custom",VLOOKUP($H55,$X$3:$AB$93,5,FALSE),VLOOKUP($H55,$X$3:$AB$93,3,FALSE))),""),""))</f>
        <v>0.249</v>
      </c>
      <c r="P55" s="1531">
        <f ca="1">IF(OR($H55="",$M55=""), "", IF($M55="Not Applicable", "-",VLOOKUP($H55,'Natural Gas Bill'!$A$5:$AS$96,6,FALSE)))</f>
        <v>57.390607796100561</v>
      </c>
      <c r="Q55" s="33"/>
      <c r="S55" s="30"/>
      <c r="T55" s="1521">
        <f>IF($B$25="Yes", 'Misc. Data &amp; Mechanisms'!$A114,IF(T54="", "", IF(($H54+DAY(DATE(YEAR($H54),MONTH($H54)+1,1)-1))&lt;=$C$28, ($H54+DAY(DATE(YEAR($H54),MONTH($H54)+1,1)-1)), "")))</f>
        <v>42461</v>
      </c>
      <c r="U55" s="1519"/>
      <c r="V55" s="1519"/>
      <c r="W55" s="1352"/>
      <c r="X55" s="1521">
        <f>IF($B$25="Yes", 'Misc. Data &amp; Mechanisms'!$A114,IF(X54="", "", IF(($H54+DAY(DATE(YEAR($H54),MONTH($H54)+1,1)-1))&lt;=$C$28, ($H54+DAY(DATE(YEAR($H54),MONTH($H54)+1,1)-1)), "")))</f>
        <v>42461</v>
      </c>
      <c r="Y55" s="1519"/>
      <c r="Z55" s="1519"/>
      <c r="AA55" s="1520"/>
      <c r="AB55" s="1520"/>
      <c r="AC55" s="1362"/>
      <c r="AD55" s="1363"/>
    </row>
    <row r="56" spans="7:30" ht="18" customHeight="1" x14ac:dyDescent="0.3">
      <c r="G56" s="30"/>
      <c r="H56" s="1521">
        <f>IF($B$25="Yes", 'Misc. Data &amp; Mechanisms'!$A115,IF(H55="", "", IF(($H55+DAY(DATE(YEAR($H55),MONTH($H55)+1,1)-1))&lt;=$C$28, ($H55+DAY(DATE(YEAR($H55),MONTH($H55)+1,1)-1)), "")))</f>
        <v>42491</v>
      </c>
      <c r="I56" s="1522">
        <f>IF($T56="", "",IFERROR(IF($B$30="Yes", VLOOKUP($H56, $T$3:$V$93, 2, FALSE), IF($B$34&lt;&gt;"Natural Gas", VLOOKUP($H56, 'Misc. Data &amp; Mechanisms'!$A$280:$D$369, HLOOKUP($C$32,'Misc. Data &amp; Mechanisms'!$A$277:$D$279, 3, FALSE), FALSE), IF($C$32="Apartment", "Not Applicable",VLOOKUP($H56, 'Misc. Data &amp; Mechanisms'!$E$280:$H$369, HLOOKUP($C$32,'Misc. Data &amp; Mechanisms'!$E$277:$H$279, 3, FALSE), FALSE)))), ""))</f>
        <v>528.70316044981587</v>
      </c>
      <c r="J56" s="1529">
        <f>IF($X56="", "",IFERROR(IF($B$34&lt;&gt;"Natural Gas", IF($C$36&lt;&gt;"Custom", IF($C$36 = "RRO (Capped)", VLOOKUP($H56,'Misc. Data &amp; Mechanisms'!$A$1278:$E$1368,MATCH($B$22,'Misc. Data &amp; Mechanisms'!$B$1278:$E$1278,0)+1,FALSE), VLOOKUP($H56,'Misc. Data &amp; Mechanisms'!$G$1278:$K$1368,MATCH($B$22,'Misc. Data &amp; Mechanisms'!$H$1278:$K$1278,0)+1,FALSE)),VLOOKUP($H56,$X$3:$AB$93,2,FALSE)),  IF($C$37&lt;&gt;"Custom", IF($C$37 = "DRT", VLOOKUP($H56,'Misc. Data &amp; Mechanisms'!$A$1381:$D$1471,MATCH($B$23,'Misc. Data &amp; Mechanisms'!$B$1381:$D$1381,0)+1,FALSE)),VLOOKUP($H56,$X$3:$AB$93,2,FALSE))),""))</f>
        <v>3.3043</v>
      </c>
      <c r="K56" s="1529">
        <f>IF($X56="", "",IFERROR(IF($B$34&lt;&gt;"Natural Gas", IF($C$36&lt;&gt;"Custom", VLOOKUP($H56,'Misc. Data &amp; Mechanisms'!$A$1483:$H$1574,MATCH($B$22,'Misc. Data &amp; Mechanisms'!$B$1483:$H$1483,0)+1,FALSE),VLOOKUP($H56,$X$3:$AB$93,3,FALSE)),  IF($C$37&lt;&gt;"Custom", VLOOKUP($H56,'Misc. Data &amp; Mechanisms'!$A$1483:$H$1574,MATCH($B$23,'Misc. Data &amp; Mechanisms'!$B$1483:$H$1483,0)+1,FALSE),VLOOKUP($H56,$X$3:$AB$93,3,FALSE))),""))</f>
        <v>0.2291</v>
      </c>
      <c r="L56" s="1531">
        <f ca="1">IF(OR($H56="",$I56=""),"",IF($I56="Not Applicable", "-",IF($B$34&lt;&gt;"Natural Gas",VLOOKUP($H56,'Electricity Bill'!$A$5:$AR$96,6,FALSE),VLOOKUP($H56,'Natural Gas Bill'!$A$5:$AS$96,6,FALSE))))</f>
        <v>68.482426679410551</v>
      </c>
      <c r="M56" s="1522">
        <f>IF($T56="", "", IFERROR(IF($B$30="Yes", $V56, IF($B$34="Both",IF($C$32="Apartment","Not Applicable", VLOOKUP($H56, 'Misc. Data &amp; Mechanisms'!$E$280:$H$369, HLOOKUP($C$32,'Misc. Data &amp; Mechanisms'!$E$277:$H$279, 3, FALSE), FALSE)),"")), ""))</f>
        <v>6.1900362861615976</v>
      </c>
      <c r="N56" s="1530">
        <f>IF($X56="", "",IFERROR(IF($B$34="Both",IF($C$37&lt;&gt;"Custom", IF($C$37 = "DRT", VLOOKUP($H56,'Misc. Data &amp; Mechanisms'!$A$1381:$D$1471,MATCH($B$23,'Misc. Data &amp; Mechanisms'!$B$1381:$D$1381,0)+1,FALSE)),IF($C$36="Custom",VLOOKUP($H56,$X$3:$AB$93,4,FALSE),VLOOKUP($H56,$X$3:$AB$93,2,FALSE))),""),""))</f>
        <v>0.79500000000000004</v>
      </c>
      <c r="O56" s="1529">
        <f>IF($X56="", "",IFERROR(IF($B$34="Both",IF($C$37&lt;&gt;"Custom", VLOOKUP($H56,'Misc. Data &amp; Mechanisms'!$A$1483:$H$1574,MATCH($B$23,'Misc. Data &amp; Mechanisms'!$B$1483:$H$1483,0)+1,FALSE),IF($C$36="Custom",VLOOKUP($H56,$X$3:$AB$93,5,FALSE),VLOOKUP($H56,$X$3:$AB$93,3,FALSE))),""),""))</f>
        <v>0.249</v>
      </c>
      <c r="P56" s="1531">
        <f ca="1">IF(OR($H56="",$M56=""), "", IF($M56="Not Applicable", "-",VLOOKUP($H56,'Natural Gas Bill'!$A$5:$AS$96,6,FALSE)))</f>
        <v>55.699575264630532</v>
      </c>
      <c r="Q56" s="33"/>
      <c r="S56" s="30"/>
      <c r="T56" s="1521">
        <f>IF($B$25="Yes", 'Misc. Data &amp; Mechanisms'!$A115,IF(T55="", "", IF(($H55+DAY(DATE(YEAR($H55),MONTH($H55)+1,1)-1))&lt;=$C$28, ($H55+DAY(DATE(YEAR($H55),MONTH($H55)+1,1)-1)), "")))</f>
        <v>42491</v>
      </c>
      <c r="U56" s="1519"/>
      <c r="V56" s="1519"/>
      <c r="W56" s="1352"/>
      <c r="X56" s="1521">
        <f>IF($B$25="Yes", 'Misc. Data &amp; Mechanisms'!$A115,IF(X55="", "", IF(($H55+DAY(DATE(YEAR($H55),MONTH($H55)+1,1)-1))&lt;=$C$28, ($H55+DAY(DATE(YEAR($H55),MONTH($H55)+1,1)-1)), "")))</f>
        <v>42491</v>
      </c>
      <c r="Y56" s="1519"/>
      <c r="Z56" s="1519"/>
      <c r="AA56" s="1520"/>
      <c r="AB56" s="1520"/>
      <c r="AC56" s="1362"/>
      <c r="AD56" s="1363"/>
    </row>
    <row r="57" spans="7:30" ht="18" customHeight="1" x14ac:dyDescent="0.3">
      <c r="G57" s="30"/>
      <c r="H57" s="1521">
        <f>IF($B$25="Yes", 'Misc. Data &amp; Mechanisms'!$A116,IF(H56="", "", IF(($H56+DAY(DATE(YEAR($H56),MONTH($H56)+1,1)-1))&lt;=$C$28, ($H56+DAY(DATE(YEAR($H56),MONTH($H56)+1,1)-1)), "")))</f>
        <v>42522</v>
      </c>
      <c r="I57" s="1522">
        <f>IF($T57="", "",IFERROR(IF($B$30="Yes", VLOOKUP($H57, $T$3:$V$93, 2, FALSE), IF($B$34&lt;&gt;"Natural Gas", VLOOKUP($H57, 'Misc. Data &amp; Mechanisms'!$A$280:$D$369, HLOOKUP($C$32,'Misc. Data &amp; Mechanisms'!$A$277:$D$279, 3, FALSE), FALSE), IF($C$32="Apartment", "Not Applicable",VLOOKUP($H57, 'Misc. Data &amp; Mechanisms'!$E$280:$H$369, HLOOKUP($C$32,'Misc. Data &amp; Mechanisms'!$E$277:$H$279, 3, FALSE), FALSE)))), ""))</f>
        <v>505.94066890972266</v>
      </c>
      <c r="J57" s="1529">
        <f>IF($X57="", "",IFERROR(IF($B$34&lt;&gt;"Natural Gas", IF($C$36&lt;&gt;"Custom", IF($C$36 = "RRO (Capped)", VLOOKUP($H57,'Misc. Data &amp; Mechanisms'!$A$1278:$E$1368,MATCH($B$22,'Misc. Data &amp; Mechanisms'!$B$1278:$E$1278,0)+1,FALSE), VLOOKUP($H57,'Misc. Data &amp; Mechanisms'!$G$1278:$K$1368,MATCH($B$22,'Misc. Data &amp; Mechanisms'!$H$1278:$K$1278,0)+1,FALSE)),VLOOKUP($H57,$X$3:$AB$93,2,FALSE)),  IF($C$37&lt;&gt;"Custom", IF($C$37 = "DRT", VLOOKUP($H57,'Misc. Data &amp; Mechanisms'!$A$1381:$D$1471,MATCH($B$23,'Misc. Data &amp; Mechanisms'!$B$1381:$D$1381,0)+1,FALSE)),VLOOKUP($H57,$X$3:$AB$93,2,FALSE))),""))</f>
        <v>3.4636999999999998</v>
      </c>
      <c r="K57" s="1529">
        <f>IF($X57="", "",IFERROR(IF($B$34&lt;&gt;"Natural Gas", IF($C$36&lt;&gt;"Custom", VLOOKUP($H57,'Misc. Data &amp; Mechanisms'!$A$1483:$H$1574,MATCH($B$22,'Misc. Data &amp; Mechanisms'!$B$1483:$H$1483,0)+1,FALSE),VLOOKUP($H57,$X$3:$AB$93,3,FALSE)),  IF($C$37&lt;&gt;"Custom", VLOOKUP($H57,'Misc. Data &amp; Mechanisms'!$A$1483:$H$1574,MATCH($B$23,'Misc. Data &amp; Mechanisms'!$B$1483:$H$1483,0)+1,FALSE),VLOOKUP($H57,$X$3:$AB$93,3,FALSE))),""))</f>
        <v>0.2291</v>
      </c>
      <c r="L57" s="1531">
        <f ca="1">IF(OR($H57="",$I57=""),"",IF($I57="Not Applicable", "-",IF($B$34&lt;&gt;"Natural Gas",VLOOKUP($H57,'Electricity Bill'!$A$5:$AR$96,6,FALSE),VLOOKUP($H57,'Natural Gas Bill'!$A$5:$AS$96,6,FALSE))))</f>
        <v>66.722339694954314</v>
      </c>
      <c r="M57" s="1522">
        <f>IF($T57="", "", IFERROR(IF($B$30="Yes", $V57, IF($B$34="Both",IF($C$32="Apartment","Not Applicable", VLOOKUP($H57, 'Misc. Data &amp; Mechanisms'!$E$280:$H$369, HLOOKUP($C$32,'Misc. Data &amp; Mechanisms'!$E$277:$H$279, 3, FALSE), FALSE)),"")), ""))</f>
        <v>2.6287907600549798</v>
      </c>
      <c r="N57" s="1530">
        <f>IF($X57="", "",IFERROR(IF($B$34="Both",IF($C$37&lt;&gt;"Custom", IF($C$37 = "DRT", VLOOKUP($H57,'Misc. Data &amp; Mechanisms'!$A$1381:$D$1471,MATCH($B$23,'Misc. Data &amp; Mechanisms'!$B$1381:$D$1381,0)+1,FALSE)),IF($C$36="Custom",VLOOKUP($H57,$X$3:$AB$93,4,FALSE),VLOOKUP($H57,$X$3:$AB$93,2,FALSE))),""),""))</f>
        <v>1.3740000000000001</v>
      </c>
      <c r="O57" s="1529">
        <f>IF($X57="", "",IFERROR(IF($B$34="Both",IF($C$37&lt;&gt;"Custom", VLOOKUP($H57,'Misc. Data &amp; Mechanisms'!$A$1483:$H$1574,MATCH($B$23,'Misc. Data &amp; Mechanisms'!$B$1483:$H$1483,0)+1,FALSE),IF($C$36="Custom",VLOOKUP($H57,$X$3:$AB$93,5,FALSE),VLOOKUP($H57,$X$3:$AB$93,3,FALSE))),""),""))</f>
        <v>0.249</v>
      </c>
      <c r="P57" s="1531">
        <f ca="1">IF(OR($H57="",$M57=""), "", IF($M57="Not Applicable", "-",VLOOKUP($H57,'Natural Gas Bill'!$A$5:$AS$96,6,FALSE)))</f>
        <v>45.838776888322961</v>
      </c>
      <c r="Q57" s="33"/>
      <c r="S57" s="30"/>
      <c r="T57" s="1521">
        <f>IF($B$25="Yes", 'Misc. Data &amp; Mechanisms'!$A116,IF(T56="", "", IF(($H56+DAY(DATE(YEAR($H56),MONTH($H56)+1,1)-1))&lt;=$C$28, ($H56+DAY(DATE(YEAR($H56),MONTH($H56)+1,1)-1)), "")))</f>
        <v>42522</v>
      </c>
      <c r="U57" s="1519"/>
      <c r="V57" s="1519"/>
      <c r="W57" s="1352"/>
      <c r="X57" s="1521">
        <f>IF($B$25="Yes", 'Misc. Data &amp; Mechanisms'!$A116,IF(X56="", "", IF(($H56+DAY(DATE(YEAR($H56),MONTH($H56)+1,1)-1))&lt;=$C$28, ($H56+DAY(DATE(YEAR($H56),MONTH($H56)+1,1)-1)), "")))</f>
        <v>42522</v>
      </c>
      <c r="Y57" s="1519"/>
      <c r="Z57" s="1519"/>
      <c r="AA57" s="1520"/>
      <c r="AB57" s="1520"/>
      <c r="AC57" s="1362"/>
      <c r="AD57" s="1363"/>
    </row>
    <row r="58" spans="7:30" ht="18" customHeight="1" x14ac:dyDescent="0.3">
      <c r="G58" s="30"/>
      <c r="H58" s="1521">
        <f>IF($B$25="Yes", 'Misc. Data &amp; Mechanisms'!$A117,IF(H57="", "", IF(($H57+DAY(DATE(YEAR($H57),MONTH($H57)+1,1)-1))&lt;=$C$28, ($H57+DAY(DATE(YEAR($H57),MONTH($H57)+1,1)-1)), "")))</f>
        <v>42552</v>
      </c>
      <c r="I58" s="1522">
        <f>IF($T58="", "",IFERROR(IF($B$30="Yes", VLOOKUP($H58, $T$3:$V$93, 2, FALSE), IF($B$34&lt;&gt;"Natural Gas", VLOOKUP($H58, 'Misc. Data &amp; Mechanisms'!$A$280:$D$369, HLOOKUP($C$32,'Misc. Data &amp; Mechanisms'!$A$277:$D$279, 3, FALSE), FALSE), IF($C$32="Apartment", "Not Applicable",VLOOKUP($H58, 'Misc. Data &amp; Mechanisms'!$E$280:$H$369, HLOOKUP($C$32,'Misc. Data &amp; Mechanisms'!$E$277:$H$279, 3, FALSE), FALSE)))), ""))</f>
        <v>525.29824868173444</v>
      </c>
      <c r="J58" s="1529">
        <f>IF($X58="", "",IFERROR(IF($B$34&lt;&gt;"Natural Gas", IF($C$36&lt;&gt;"Custom", IF($C$36 = "RRO (Capped)", VLOOKUP($H58,'Misc. Data &amp; Mechanisms'!$A$1278:$E$1368,MATCH($B$22,'Misc. Data &amp; Mechanisms'!$B$1278:$E$1278,0)+1,FALSE), VLOOKUP($H58,'Misc. Data &amp; Mechanisms'!$G$1278:$K$1368,MATCH($B$22,'Misc. Data &amp; Mechanisms'!$H$1278:$K$1278,0)+1,FALSE)),VLOOKUP($H58,$X$3:$AB$93,2,FALSE)),  IF($C$37&lt;&gt;"Custom", IF($C$37 = "DRT", VLOOKUP($H58,'Misc. Data &amp; Mechanisms'!$A$1381:$D$1471,MATCH($B$23,'Misc. Data &amp; Mechanisms'!$B$1381:$D$1381,0)+1,FALSE)),VLOOKUP($H58,$X$3:$AB$93,2,FALSE))),""))</f>
        <v>4.9828000000000001</v>
      </c>
      <c r="K58" s="1529">
        <f>IF($X58="", "",IFERROR(IF($B$34&lt;&gt;"Natural Gas", IF($C$36&lt;&gt;"Custom", VLOOKUP($H58,'Misc. Data &amp; Mechanisms'!$A$1483:$H$1574,MATCH($B$22,'Misc. Data &amp; Mechanisms'!$B$1483:$H$1483,0)+1,FALSE),VLOOKUP($H58,$X$3:$AB$93,3,FALSE)),  IF($C$37&lt;&gt;"Custom", VLOOKUP($H58,'Misc. Data &amp; Mechanisms'!$A$1483:$H$1574,MATCH($B$23,'Misc. Data &amp; Mechanisms'!$B$1483:$H$1483,0)+1,FALSE),VLOOKUP($H58,$X$3:$AB$93,3,FALSE))),""))</f>
        <v>0.2291</v>
      </c>
      <c r="L58" s="1531">
        <f ca="1">IF(OR($H58="",$I58=""),"",IF($I58="Not Applicable", "-",IF($B$34&lt;&gt;"Natural Gas",VLOOKUP($H58,'Electricity Bill'!$A$5:$AR$96,6,FALSE),VLOOKUP($H58,'Natural Gas Bill'!$A$5:$AS$96,6,FALSE))))</f>
        <v>78.629381891768517</v>
      </c>
      <c r="M58" s="1522">
        <f>IF($T58="", "", IFERROR(IF($B$30="Yes", $V58, IF($B$34="Both",IF($C$32="Apartment","Not Applicable", VLOOKUP($H58, 'Misc. Data &amp; Mechanisms'!$E$280:$H$369, HLOOKUP($C$32,'Misc. Data &amp; Mechanisms'!$E$277:$H$279, 3, FALSE), FALSE)),"")), ""))</f>
        <v>2.4285142831424009</v>
      </c>
      <c r="N58" s="1530">
        <f>IF($X58="", "",IFERROR(IF($B$34="Both",IF($C$37&lt;&gt;"Custom", IF($C$37 = "DRT", VLOOKUP($H58,'Misc. Data &amp; Mechanisms'!$A$1381:$D$1471,MATCH($B$23,'Misc. Data &amp; Mechanisms'!$B$1381:$D$1381,0)+1,FALSE)),IF($C$36="Custom",VLOOKUP($H58,$X$3:$AB$93,4,FALSE),VLOOKUP($H58,$X$3:$AB$93,2,FALSE))),""),""))</f>
        <v>1.631</v>
      </c>
      <c r="O58" s="1529">
        <f>IF($X58="", "",IFERROR(IF($B$34="Both",IF($C$37&lt;&gt;"Custom", VLOOKUP($H58,'Misc. Data &amp; Mechanisms'!$A$1483:$H$1574,MATCH($B$23,'Misc. Data &amp; Mechanisms'!$B$1483:$H$1483,0)+1,FALSE),IF($C$36="Custom",VLOOKUP($H58,$X$3:$AB$93,5,FALSE),VLOOKUP($H58,$X$3:$AB$93,3,FALSE))),""),""))</f>
        <v>0.249</v>
      </c>
      <c r="P58" s="1531">
        <f ca="1">IF(OR($H58="",$M58=""), "", IF($M58="Not Applicable", "-",VLOOKUP($H58,'Natural Gas Bill'!$A$5:$AS$96,6,FALSE)))</f>
        <v>47.819811903232178</v>
      </c>
      <c r="Q58" s="33"/>
      <c r="S58" s="30"/>
      <c r="T58" s="1521">
        <f>IF($B$25="Yes", 'Misc. Data &amp; Mechanisms'!$A117,IF(T57="", "", IF(($H57+DAY(DATE(YEAR($H57),MONTH($H57)+1,1)-1))&lt;=$C$28, ($H57+DAY(DATE(YEAR($H57),MONTH($H57)+1,1)-1)), "")))</f>
        <v>42552</v>
      </c>
      <c r="U58" s="1519"/>
      <c r="V58" s="1519"/>
      <c r="W58" s="1352"/>
      <c r="X58" s="1521">
        <f>IF($B$25="Yes", 'Misc. Data &amp; Mechanisms'!$A117,IF(X57="", "", IF(($H57+DAY(DATE(YEAR($H57),MONTH($H57)+1,1)-1))&lt;=$C$28, ($H57+DAY(DATE(YEAR($H57),MONTH($H57)+1,1)-1)), "")))</f>
        <v>42552</v>
      </c>
      <c r="Y58" s="1519"/>
      <c r="Z58" s="1519"/>
      <c r="AA58" s="1520"/>
      <c r="AB58" s="1520"/>
      <c r="AC58" s="1362"/>
      <c r="AD58" s="1363"/>
    </row>
    <row r="59" spans="7:30" ht="18" customHeight="1" x14ac:dyDescent="0.3">
      <c r="G59" s="30"/>
      <c r="H59" s="1521">
        <f>IF($B$25="Yes", 'Misc. Data &amp; Mechanisms'!$A118,IF(H58="", "", IF(($H58+DAY(DATE(YEAR($H58),MONTH($H58)+1,1)-1))&lt;=$C$28, ($H58+DAY(DATE(YEAR($H58),MONTH($H58)+1,1)-1)), "")))</f>
        <v>42583</v>
      </c>
      <c r="I59" s="1522">
        <f>IF($T59="", "",IFERROR(IF($B$30="Yes", VLOOKUP($H59, $T$3:$V$93, 2, FALSE), IF($B$34&lt;&gt;"Natural Gas", VLOOKUP($H59, 'Misc. Data &amp; Mechanisms'!$A$280:$D$369, HLOOKUP($C$32,'Misc. Data &amp; Mechanisms'!$A$277:$D$279, 3, FALSE), FALSE), IF($C$32="Apartment", "Not Applicable",VLOOKUP($H59, 'Misc. Data &amp; Mechanisms'!$E$280:$H$369, HLOOKUP($C$32,'Misc. Data &amp; Mechanisms'!$E$277:$H$279, 3, FALSE), FALSE)))), ""))</f>
        <v>514.49747885704483</v>
      </c>
      <c r="J59" s="1529">
        <f>IF($X59="", "",IFERROR(IF($B$34&lt;&gt;"Natural Gas", IF($C$36&lt;&gt;"Custom", IF($C$36 = "RRO (Capped)", VLOOKUP($H59,'Misc. Data &amp; Mechanisms'!$A$1278:$E$1368,MATCH($B$22,'Misc. Data &amp; Mechanisms'!$B$1278:$E$1278,0)+1,FALSE), VLOOKUP($H59,'Misc. Data &amp; Mechanisms'!$G$1278:$K$1368,MATCH($B$22,'Misc. Data &amp; Mechanisms'!$H$1278:$K$1278,0)+1,FALSE)),VLOOKUP($H59,$X$3:$AB$93,2,FALSE)),  IF($C$37&lt;&gt;"Custom", IF($C$37 = "DRT", VLOOKUP($H59,'Misc. Data &amp; Mechanisms'!$A$1381:$D$1471,MATCH($B$23,'Misc. Data &amp; Mechanisms'!$B$1381:$D$1381,0)+1,FALSE)),VLOOKUP($H59,$X$3:$AB$93,2,FALSE))),""))</f>
        <v>4.8665000000000003</v>
      </c>
      <c r="K59" s="1529">
        <f>IF($X59="", "",IFERROR(IF($B$34&lt;&gt;"Natural Gas", IF($C$36&lt;&gt;"Custom", VLOOKUP($H59,'Misc. Data &amp; Mechanisms'!$A$1483:$H$1574,MATCH($B$22,'Misc. Data &amp; Mechanisms'!$B$1483:$H$1483,0)+1,FALSE),VLOOKUP($H59,$X$3:$AB$93,3,FALSE)),  IF($C$37&lt;&gt;"Custom", VLOOKUP($H59,'Misc. Data &amp; Mechanisms'!$A$1483:$H$1574,MATCH($B$23,'Misc. Data &amp; Mechanisms'!$B$1483:$H$1483,0)+1,FALSE),VLOOKUP($H59,$X$3:$AB$93,3,FALSE))),""))</f>
        <v>0.2291</v>
      </c>
      <c r="L59" s="1531">
        <f ca="1">IF(OR($H59="",$I59=""),"",IF($I59="Not Applicable", "-",IF($B$34&lt;&gt;"Natural Gas",VLOOKUP($H59,'Electricity Bill'!$A$5:$AR$96,6,FALSE),VLOOKUP($H59,'Natural Gas Bill'!$A$5:$AS$96,6,FALSE))))</f>
        <v>76.785878756948549</v>
      </c>
      <c r="M59" s="1522">
        <f>IF($T59="", "", IFERROR(IF($B$30="Yes", $V59, IF($B$34="Both",IF($C$32="Apartment","Not Applicable", VLOOKUP($H59, 'Misc. Data &amp; Mechanisms'!$E$280:$H$369, HLOOKUP($C$32,'Misc. Data &amp; Mechanisms'!$E$277:$H$279, 3, FALSE), FALSE)),"")), ""))</f>
        <v>2.7213645106571978</v>
      </c>
      <c r="N59" s="1530">
        <f>IF($X59="", "",IFERROR(IF($B$34="Both",IF($C$37&lt;&gt;"Custom", IF($C$37 = "DRT", VLOOKUP($H59,'Misc. Data &amp; Mechanisms'!$A$1381:$D$1471,MATCH($B$23,'Misc. Data &amp; Mechanisms'!$B$1381:$D$1381,0)+1,FALSE)),IF($C$36="Custom",VLOOKUP($H59,$X$3:$AB$93,4,FALSE),VLOOKUP($H59,$X$3:$AB$93,2,FALSE))),""),""))</f>
        <v>2.3639999999999999</v>
      </c>
      <c r="O59" s="1529">
        <f>IF($X59="", "",IFERROR(IF($B$34="Both",IF($C$37&lt;&gt;"Custom", VLOOKUP($H59,'Misc. Data &amp; Mechanisms'!$A$1483:$H$1574,MATCH($B$23,'Misc. Data &amp; Mechanisms'!$B$1483:$H$1483,0)+1,FALSE),IF($C$36="Custom",VLOOKUP($H59,$X$3:$AB$93,5,FALSE),VLOOKUP($H59,$X$3:$AB$93,3,FALSE))),""),""))</f>
        <v>0.249</v>
      </c>
      <c r="P59" s="1531">
        <f ca="1">IF(OR($H59="",$M59=""), "", IF($M59="Not Applicable", "-",VLOOKUP($H59,'Natural Gas Bill'!$A$5:$AS$96,6,FALSE)))</f>
        <v>51.38175067679682</v>
      </c>
      <c r="Q59" s="33"/>
      <c r="S59" s="30"/>
      <c r="T59" s="1521">
        <f>IF($B$25="Yes", 'Misc. Data &amp; Mechanisms'!$A118,IF(T58="", "", IF(($H58+DAY(DATE(YEAR($H58),MONTH($H58)+1,1)-1))&lt;=$C$28, ($H58+DAY(DATE(YEAR($H58),MONTH($H58)+1,1)-1)), "")))</f>
        <v>42583</v>
      </c>
      <c r="U59" s="1519"/>
      <c r="V59" s="1519"/>
      <c r="W59" s="1352"/>
      <c r="X59" s="1521">
        <f>IF($B$25="Yes", 'Misc. Data &amp; Mechanisms'!$A118,IF(X58="", "", IF(($H58+DAY(DATE(YEAR($H58),MONTH($H58)+1,1)-1))&lt;=$C$28, ($H58+DAY(DATE(YEAR($H58),MONTH($H58)+1,1)-1)), "")))</f>
        <v>42583</v>
      </c>
      <c r="Y59" s="1519"/>
      <c r="Z59" s="1519"/>
      <c r="AA59" s="1520"/>
      <c r="AB59" s="1520"/>
      <c r="AC59" s="1362"/>
      <c r="AD59" s="1363"/>
    </row>
    <row r="60" spans="7:30" ht="18" customHeight="1" x14ac:dyDescent="0.3">
      <c r="G60" s="30"/>
      <c r="H60" s="1521">
        <f>IF($B$25="Yes", 'Misc. Data &amp; Mechanisms'!$A119,IF(H59="", "", IF(($H59+DAY(DATE(YEAR($H59),MONTH($H59)+1,1)-1))&lt;=$C$28, ($H59+DAY(DATE(YEAR($H59),MONTH($H59)+1,1)-1)), "")))</f>
        <v>42614</v>
      </c>
      <c r="I60" s="1522">
        <f>IF($T60="", "",IFERROR(IF($B$30="Yes", VLOOKUP($H60, $T$3:$V$93, 2, FALSE), IF($B$34&lt;&gt;"Natural Gas", VLOOKUP($H60, 'Misc. Data &amp; Mechanisms'!$A$280:$D$369, HLOOKUP($C$32,'Misc. Data &amp; Mechanisms'!$A$277:$D$279, 3, FALSE), FALSE), IF($C$32="Apartment", "Not Applicable",VLOOKUP($H60, 'Misc. Data &amp; Mechanisms'!$E$280:$H$369, HLOOKUP($C$32,'Misc. Data &amp; Mechanisms'!$E$277:$H$279, 3, FALSE), FALSE)))), ""))</f>
        <v>499.54586897401543</v>
      </c>
      <c r="J60" s="1529">
        <f>IF($X60="", "",IFERROR(IF($B$34&lt;&gt;"Natural Gas", IF($C$36&lt;&gt;"Custom", IF($C$36 = "RRO (Capped)", VLOOKUP($H60,'Misc. Data &amp; Mechanisms'!$A$1278:$E$1368,MATCH($B$22,'Misc. Data &amp; Mechanisms'!$B$1278:$E$1278,0)+1,FALSE), VLOOKUP($H60,'Misc. Data &amp; Mechanisms'!$G$1278:$K$1368,MATCH($B$22,'Misc. Data &amp; Mechanisms'!$H$1278:$K$1278,0)+1,FALSE)),VLOOKUP($H60,$X$3:$AB$93,2,FALSE)),  IF($C$37&lt;&gt;"Custom", IF($C$37 = "DRT", VLOOKUP($H60,'Misc. Data &amp; Mechanisms'!$A$1381:$D$1471,MATCH($B$23,'Misc. Data &amp; Mechanisms'!$B$1381:$D$1381,0)+1,FALSE)),VLOOKUP($H60,$X$3:$AB$93,2,FALSE))),""))</f>
        <v>3.6665999999999999</v>
      </c>
      <c r="K60" s="1529">
        <f>IF($X60="", "",IFERROR(IF($B$34&lt;&gt;"Natural Gas", IF($C$36&lt;&gt;"Custom", VLOOKUP($H60,'Misc. Data &amp; Mechanisms'!$A$1483:$H$1574,MATCH($B$22,'Misc. Data &amp; Mechanisms'!$B$1483:$H$1483,0)+1,FALSE),VLOOKUP($H60,$X$3:$AB$93,3,FALSE)),  IF($C$37&lt;&gt;"Custom", VLOOKUP($H60,'Misc. Data &amp; Mechanisms'!$A$1483:$H$1574,MATCH($B$23,'Misc. Data &amp; Mechanisms'!$B$1483:$H$1483,0)+1,FALSE),VLOOKUP($H60,$X$3:$AB$93,3,FALSE))),""))</f>
        <v>0.2291</v>
      </c>
      <c r="L60" s="1531">
        <f ca="1">IF(OR($H60="",$I60=""),"",IF($I60="Not Applicable", "-",IF($B$34&lt;&gt;"Natural Gas",VLOOKUP($H60,'Electricity Bill'!$A$5:$AR$96,6,FALSE),VLOOKUP($H60,'Natural Gas Bill'!$A$5:$AS$96,6,FALSE))))</f>
        <v>67.488154638459207</v>
      </c>
      <c r="M60" s="1522">
        <f>IF($T60="", "", IFERROR(IF($B$30="Yes", $V60, IF($B$34="Both",IF($C$32="Apartment","Not Applicable", VLOOKUP($H60, 'Misc. Data &amp; Mechanisms'!$E$280:$H$369, HLOOKUP($C$32,'Misc. Data &amp; Mechanisms'!$E$277:$H$279, 3, FALSE), FALSE)),"")), ""))</f>
        <v>5.6569072059323897</v>
      </c>
      <c r="N60" s="1530">
        <f>IF($X60="", "",IFERROR(IF($B$34="Both",IF($C$37&lt;&gt;"Custom", IF($C$37 = "DRT", VLOOKUP($H60,'Misc. Data &amp; Mechanisms'!$A$1381:$D$1471,MATCH($B$23,'Misc. Data &amp; Mechanisms'!$B$1381:$D$1381,0)+1,FALSE)),IF($C$36="Custom",VLOOKUP($H60,$X$3:$AB$93,4,FALSE),VLOOKUP($H60,$X$3:$AB$93,2,FALSE))),""),""))</f>
        <v>2.351</v>
      </c>
      <c r="O60" s="1529">
        <f>IF($X60="", "",IFERROR(IF($B$34="Both",IF($C$37&lt;&gt;"Custom", VLOOKUP($H60,'Misc. Data &amp; Mechanisms'!$A$1483:$H$1574,MATCH($B$23,'Misc. Data &amp; Mechanisms'!$B$1483:$H$1483,0)+1,FALSE),IF($C$36="Custom",VLOOKUP($H60,$X$3:$AB$93,5,FALSE),VLOOKUP($H60,$X$3:$AB$93,3,FALSE))),""),""))</f>
        <v>0.249</v>
      </c>
      <c r="P60" s="1531">
        <f ca="1">IF(OR($H60="",$M60=""), "", IF($M60="Not Applicable", "-",VLOOKUP($H60,'Natural Gas Bill'!$A$5:$AS$96,6,FALSE)))</f>
        <v>65.636559674753059</v>
      </c>
      <c r="Q60" s="33"/>
      <c r="S60" s="30"/>
      <c r="T60" s="1521">
        <f>IF($B$25="Yes", 'Misc. Data &amp; Mechanisms'!$A119,IF(T59="", "", IF(($H59+DAY(DATE(YEAR($H59),MONTH($H59)+1,1)-1))&lt;=$C$28, ($H59+DAY(DATE(YEAR($H59),MONTH($H59)+1,1)-1)), "")))</f>
        <v>42614</v>
      </c>
      <c r="U60" s="1519"/>
      <c r="V60" s="1519"/>
      <c r="W60" s="1352"/>
      <c r="X60" s="1521">
        <f>IF($B$25="Yes", 'Misc. Data &amp; Mechanisms'!$A119,IF(X59="", "", IF(($H59+DAY(DATE(YEAR($H59),MONTH($H59)+1,1)-1))&lt;=$C$28, ($H59+DAY(DATE(YEAR($H59),MONTH($H59)+1,1)-1)), "")))</f>
        <v>42614</v>
      </c>
      <c r="Y60" s="1519"/>
      <c r="Z60" s="1519"/>
      <c r="AA60" s="1520"/>
      <c r="AB60" s="1520"/>
      <c r="AC60" s="1362"/>
      <c r="AD60" s="1363"/>
    </row>
    <row r="61" spans="7:30" ht="18" customHeight="1" x14ac:dyDescent="0.3">
      <c r="G61" s="30"/>
      <c r="H61" s="1521">
        <f>IF($B$25="Yes", 'Misc. Data &amp; Mechanisms'!$A120,IF(H60="", "", IF(($H60+DAY(DATE(YEAR($H60),MONTH($H60)+1,1)-1))&lt;=$C$28, ($H60+DAY(DATE(YEAR($H60),MONTH($H60)+1,1)-1)), "")))</f>
        <v>42644</v>
      </c>
      <c r="I61" s="1522">
        <f>IF($T61="", "",IFERROR(IF($B$30="Yes", VLOOKUP($H61, $T$3:$V$93, 2, FALSE), IF($B$34&lt;&gt;"Natural Gas", VLOOKUP($H61, 'Misc. Data &amp; Mechanisms'!$A$280:$D$369, HLOOKUP($C$32,'Misc. Data &amp; Mechanisms'!$A$277:$D$279, 3, FALSE), FALSE), IF($C$32="Apartment", "Not Applicable",VLOOKUP($H61, 'Misc. Data &amp; Mechanisms'!$E$280:$H$369, HLOOKUP($C$32,'Misc. Data &amp; Mechanisms'!$E$277:$H$279, 3, FALSE), FALSE)))), ""))</f>
        <v>581.41581667192713</v>
      </c>
      <c r="J61" s="1529">
        <f>IF($X61="", "",IFERROR(IF($B$34&lt;&gt;"Natural Gas", IF($C$36&lt;&gt;"Custom", IF($C$36 = "RRO (Capped)", VLOOKUP($H61,'Misc. Data &amp; Mechanisms'!$A$1278:$E$1368,MATCH($B$22,'Misc. Data &amp; Mechanisms'!$B$1278:$E$1278,0)+1,FALSE), VLOOKUP($H61,'Misc. Data &amp; Mechanisms'!$G$1278:$K$1368,MATCH($B$22,'Misc. Data &amp; Mechanisms'!$H$1278:$K$1278,0)+1,FALSE)),VLOOKUP($H61,$X$3:$AB$93,2,FALSE)),  IF($C$37&lt;&gt;"Custom", IF($C$37 = "DRT", VLOOKUP($H61,'Misc. Data &amp; Mechanisms'!$A$1381:$D$1471,MATCH($B$23,'Misc. Data &amp; Mechanisms'!$B$1381:$D$1381,0)+1,FALSE)),VLOOKUP($H61,$X$3:$AB$93,2,FALSE))),""))</f>
        <v>4.1272000000000002</v>
      </c>
      <c r="K61" s="1529">
        <f>IF($X61="", "",IFERROR(IF($B$34&lt;&gt;"Natural Gas", IF($C$36&lt;&gt;"Custom", VLOOKUP($H61,'Misc. Data &amp; Mechanisms'!$A$1483:$H$1574,MATCH($B$22,'Misc. Data &amp; Mechanisms'!$B$1483:$H$1483,0)+1,FALSE),VLOOKUP($H61,$X$3:$AB$93,3,FALSE)),  IF($C$37&lt;&gt;"Custom", VLOOKUP($H61,'Misc. Data &amp; Mechanisms'!$A$1483:$H$1574,MATCH($B$23,'Misc. Data &amp; Mechanisms'!$B$1483:$H$1483,0)+1,FALSE),VLOOKUP($H61,$X$3:$AB$93,3,FALSE))),""))</f>
        <v>0.2291</v>
      </c>
      <c r="L61" s="1531">
        <f ca="1">IF(OR($H61="",$I61=""),"",IF($I61="Not Applicable", "-",IF($B$34&lt;&gt;"Natural Gas",VLOOKUP($H61,'Electricity Bill'!$A$5:$AR$96,6,FALSE),VLOOKUP($H61,'Natural Gas Bill'!$A$5:$AS$96,6,FALSE))))</f>
        <v>71.405808375660001</v>
      </c>
      <c r="M61" s="1522">
        <f>IF($T61="", "", IFERROR(IF($B$30="Yes", $V61, IF($B$34="Both",IF($C$32="Apartment","Not Applicable", VLOOKUP($H61, 'Misc. Data &amp; Mechanisms'!$E$280:$H$369, HLOOKUP($C$32,'Misc. Data &amp; Mechanisms'!$E$277:$H$279, 3, FALSE), FALSE)),"")), ""))</f>
        <v>12.778760927886029</v>
      </c>
      <c r="N61" s="1530">
        <f>IF($X61="", "",IFERROR(IF($B$34="Both",IF($C$37&lt;&gt;"Custom", IF($C$37 = "DRT", VLOOKUP($H61,'Misc. Data &amp; Mechanisms'!$A$1381:$D$1471,MATCH($B$23,'Misc. Data &amp; Mechanisms'!$B$1381:$D$1381,0)+1,FALSE)),IF($C$36="Custom",VLOOKUP($H61,$X$3:$AB$93,4,FALSE),VLOOKUP($H61,$X$3:$AB$93,2,FALSE))),""),""))</f>
        <v>2.6589999999999998</v>
      </c>
      <c r="O61" s="1529">
        <f>IF($X61="", "",IFERROR(IF($B$34="Both",IF($C$37&lt;&gt;"Custom", VLOOKUP($H61,'Misc. Data &amp; Mechanisms'!$A$1483:$H$1574,MATCH($B$23,'Misc. Data &amp; Mechanisms'!$B$1483:$H$1483,0)+1,FALSE),IF($C$36="Custom",VLOOKUP($H61,$X$3:$AB$93,5,FALSE),VLOOKUP($H61,$X$3:$AB$93,3,FALSE))),""),""))</f>
        <v>0.249</v>
      </c>
      <c r="P61" s="1531">
        <f ca="1">IF(OR($H61="",$M61=""), "", IF($M61="Not Applicable", "-",VLOOKUP($H61,'Natural Gas Bill'!$A$5:$AS$96,6,FALSE)))</f>
        <v>106.61550104834454</v>
      </c>
      <c r="Q61" s="33"/>
      <c r="S61" s="30"/>
      <c r="T61" s="1521">
        <f>IF($B$25="Yes", 'Misc. Data &amp; Mechanisms'!$A120,IF(T60="", "", IF(($H60+DAY(DATE(YEAR($H60),MONTH($H60)+1,1)-1))&lt;=$C$28, ($H60+DAY(DATE(YEAR($H60),MONTH($H60)+1,1)-1)), "")))</f>
        <v>42644</v>
      </c>
      <c r="U61" s="1519"/>
      <c r="V61" s="1519"/>
      <c r="W61" s="1352"/>
      <c r="X61" s="1521">
        <f>IF($B$25="Yes", 'Misc. Data &amp; Mechanisms'!$A120,IF(X60="", "", IF(($H60+DAY(DATE(YEAR($H60),MONTH($H60)+1,1)-1))&lt;=$C$28, ($H60+DAY(DATE(YEAR($H60),MONTH($H60)+1,1)-1)), "")))</f>
        <v>42644</v>
      </c>
      <c r="Y61" s="1519"/>
      <c r="Z61" s="1519"/>
      <c r="AA61" s="1520"/>
      <c r="AB61" s="1520"/>
      <c r="AC61" s="1362"/>
      <c r="AD61" s="1363"/>
    </row>
    <row r="62" spans="7:30" ht="18" customHeight="1" x14ac:dyDescent="0.3">
      <c r="G62" s="30"/>
      <c r="H62" s="1521">
        <f>IF($B$25="Yes", 'Misc. Data &amp; Mechanisms'!$A121,IF(H61="", "", IF(($H61+DAY(DATE(YEAR($H61),MONTH($H61)+1,1)-1))&lt;=$C$28, ($H61+DAY(DATE(YEAR($H61),MONTH($H61)+1,1)-1)), "")))</f>
        <v>42675</v>
      </c>
      <c r="I62" s="1522">
        <f>IF($T62="", "",IFERROR(IF($B$30="Yes", VLOOKUP($H62, $T$3:$V$93, 2, FALSE), IF($B$34&lt;&gt;"Natural Gas", VLOOKUP($H62, 'Misc. Data &amp; Mechanisms'!$A$280:$D$369, HLOOKUP($C$32,'Misc. Data &amp; Mechanisms'!$A$277:$D$279, 3, FALSE), FALSE), IF($C$32="Apartment", "Not Applicable",VLOOKUP($H62, 'Misc. Data &amp; Mechanisms'!$E$280:$H$369, HLOOKUP($C$32,'Misc. Data &amp; Mechanisms'!$E$277:$H$279, 3, FALSE), FALSE)))), ""))</f>
        <v>576.30672568593138</v>
      </c>
      <c r="J62" s="1529">
        <f>IF($X62="", "",IFERROR(IF($B$34&lt;&gt;"Natural Gas", IF($C$36&lt;&gt;"Custom", IF($C$36 = "RRO (Capped)", VLOOKUP($H62,'Misc. Data &amp; Mechanisms'!$A$1278:$E$1368,MATCH($B$22,'Misc. Data &amp; Mechanisms'!$B$1278:$E$1278,0)+1,FALSE), VLOOKUP($H62,'Misc. Data &amp; Mechanisms'!$G$1278:$K$1368,MATCH($B$22,'Misc. Data &amp; Mechanisms'!$H$1278:$K$1278,0)+1,FALSE)),VLOOKUP($H62,$X$3:$AB$93,2,FALSE)),  IF($C$37&lt;&gt;"Custom", IF($C$37 = "DRT", VLOOKUP($H62,'Misc. Data &amp; Mechanisms'!$A$1381:$D$1471,MATCH($B$23,'Misc. Data &amp; Mechanisms'!$B$1381:$D$1381,0)+1,FALSE)),VLOOKUP($H62,$X$3:$AB$93,2,FALSE))),""))</f>
        <v>3.8113999999999999</v>
      </c>
      <c r="K62" s="1529">
        <f>IF($X62="", "",IFERROR(IF($B$34&lt;&gt;"Natural Gas", IF($C$36&lt;&gt;"Custom", VLOOKUP($H62,'Misc. Data &amp; Mechanisms'!$A$1483:$H$1574,MATCH($B$22,'Misc. Data &amp; Mechanisms'!$B$1483:$H$1483,0)+1,FALSE),VLOOKUP($H62,$X$3:$AB$93,3,FALSE)),  IF($C$37&lt;&gt;"Custom", VLOOKUP($H62,'Misc. Data &amp; Mechanisms'!$A$1483:$H$1574,MATCH($B$23,'Misc. Data &amp; Mechanisms'!$B$1483:$H$1483,0)+1,FALSE),VLOOKUP($H62,$X$3:$AB$93,3,FALSE))),""))</f>
        <v>0.2064</v>
      </c>
      <c r="L62" s="1531">
        <f ca="1">IF(OR($H62="",$I62=""),"",IF($I62="Not Applicable", "-",IF($B$34&lt;&gt;"Natural Gas",VLOOKUP($H62,'Electricity Bill'!$A$5:$AR$96,6,FALSE),VLOOKUP($H62,'Natural Gas Bill'!$A$5:$AS$96,6,FALSE))))</f>
        <v>63.797060121675813</v>
      </c>
      <c r="M62" s="1522">
        <f>IF($T62="", "", IFERROR(IF($B$30="Yes", $V62, IF($B$34="Both",IF($C$32="Apartment","Not Applicable", VLOOKUP($H62, 'Misc. Data &amp; Mechanisms'!$E$280:$H$369, HLOOKUP($C$32,'Misc. Data &amp; Mechanisms'!$E$277:$H$279, 3, FALSE), FALSE)),"")), ""))</f>
        <v>11.923103326329612</v>
      </c>
      <c r="N62" s="1530">
        <f>IF($X62="", "",IFERROR(IF($B$34="Both",IF($C$37&lt;&gt;"Custom", IF($C$37 = "DRT", VLOOKUP($H62,'Misc. Data &amp; Mechanisms'!$A$1381:$D$1471,MATCH($B$23,'Misc. Data &amp; Mechanisms'!$B$1381:$D$1381,0)+1,FALSE)),IF($C$36="Custom",VLOOKUP($H62,$X$3:$AB$93,4,FALSE),VLOOKUP($H62,$X$3:$AB$93,2,FALSE))),""),""))</f>
        <v>3.3029999999999999</v>
      </c>
      <c r="O62" s="1529">
        <f>IF($X62="", "",IFERROR(IF($B$34="Both",IF($C$37&lt;&gt;"Custom", VLOOKUP($H62,'Misc. Data &amp; Mechanisms'!$A$1483:$H$1574,MATCH($B$23,'Misc. Data &amp; Mechanisms'!$B$1483:$H$1483,0)+1,FALSE),IF($C$36="Custom",VLOOKUP($H62,$X$3:$AB$93,5,FALSE),VLOOKUP($H62,$X$3:$AB$93,3,FALSE))),""),""))</f>
        <v>0.249</v>
      </c>
      <c r="P62" s="1531">
        <f ca="1">IF(OR($H62="",$M62=""), "", IF($M62="Not Applicable", "-",VLOOKUP($H62,'Natural Gas Bill'!$A$5:$AS$96,6,FALSE)))</f>
        <v>109.7877683159076</v>
      </c>
      <c r="Q62" s="33"/>
      <c r="S62" s="30"/>
      <c r="T62" s="1521">
        <f>IF($B$25="Yes", 'Misc. Data &amp; Mechanisms'!$A121,IF(T61="", "", IF(($H61+DAY(DATE(YEAR($H61),MONTH($H61)+1,1)-1))&lt;=$C$28, ($H61+DAY(DATE(YEAR($H61),MONTH($H61)+1,1)-1)), "")))</f>
        <v>42675</v>
      </c>
      <c r="U62" s="1519"/>
      <c r="V62" s="1519"/>
      <c r="W62" s="1352"/>
      <c r="X62" s="1521">
        <f>IF($B$25="Yes", 'Misc. Data &amp; Mechanisms'!$A121,IF(X61="", "", IF(($H61+DAY(DATE(YEAR($H61),MONTH($H61)+1,1)-1))&lt;=$C$28, ($H61+DAY(DATE(YEAR($H61),MONTH($H61)+1,1)-1)), "")))</f>
        <v>42675</v>
      </c>
      <c r="Y62" s="1519"/>
      <c r="Z62" s="1519"/>
      <c r="AA62" s="1520"/>
      <c r="AB62" s="1520"/>
      <c r="AC62" s="1362"/>
      <c r="AD62" s="1363"/>
    </row>
    <row r="63" spans="7:30" ht="18" customHeight="1" x14ac:dyDescent="0.3">
      <c r="G63" s="30"/>
      <c r="H63" s="1521">
        <f>IF($B$25="Yes", 'Misc. Data &amp; Mechanisms'!$A122,IF(H62="", "", IF(($H62+DAY(DATE(YEAR($H62),MONTH($H62)+1,1)-1))&lt;=$C$28, ($H62+DAY(DATE(YEAR($H62),MONTH($H62)+1,1)-1)), "")))</f>
        <v>42705</v>
      </c>
      <c r="I63" s="1522">
        <f>IF($T63="", "",IFERROR(IF($B$30="Yes", VLOOKUP($H63, $T$3:$V$93, 2, FALSE), IF($B$34&lt;&gt;"Natural Gas", VLOOKUP($H63, 'Misc. Data &amp; Mechanisms'!$A$280:$D$369, HLOOKUP($C$32,'Misc. Data &amp; Mechanisms'!$A$277:$D$279, 3, FALSE), FALSE), IF($C$32="Apartment", "Not Applicable",VLOOKUP($H63, 'Misc. Data &amp; Mechanisms'!$E$280:$H$369, HLOOKUP($C$32,'Misc. Data &amp; Mechanisms'!$E$277:$H$279, 3, FALSE), FALSE)))), ""))</f>
        <v>758.93857168514921</v>
      </c>
      <c r="J63" s="1529">
        <f>IF($X63="", "",IFERROR(IF($B$34&lt;&gt;"Natural Gas", IF($C$36&lt;&gt;"Custom", IF($C$36 = "RRO (Capped)", VLOOKUP($H63,'Misc. Data &amp; Mechanisms'!$A$1278:$E$1368,MATCH($B$22,'Misc. Data &amp; Mechanisms'!$B$1278:$E$1278,0)+1,FALSE), VLOOKUP($H63,'Misc. Data &amp; Mechanisms'!$G$1278:$K$1368,MATCH($B$22,'Misc. Data &amp; Mechanisms'!$H$1278:$K$1278,0)+1,FALSE)),VLOOKUP($H63,$X$3:$AB$93,2,FALSE)),  IF($C$37&lt;&gt;"Custom", IF($C$37 = "DRT", VLOOKUP($H63,'Misc. Data &amp; Mechanisms'!$A$1381:$D$1471,MATCH($B$23,'Misc. Data &amp; Mechanisms'!$B$1381:$D$1381,0)+1,FALSE)),VLOOKUP($H63,$X$3:$AB$93,2,FALSE))),""))</f>
        <v>4.1670999999999996</v>
      </c>
      <c r="K63" s="1529">
        <f>IF($X63="", "",IFERROR(IF($B$34&lt;&gt;"Natural Gas", IF($C$36&lt;&gt;"Custom", VLOOKUP($H63,'Misc. Data &amp; Mechanisms'!$A$1483:$H$1574,MATCH($B$22,'Misc. Data &amp; Mechanisms'!$B$1483:$H$1483,0)+1,FALSE),VLOOKUP($H63,$X$3:$AB$93,3,FALSE)),  IF($C$37&lt;&gt;"Custom", VLOOKUP($H63,'Misc. Data &amp; Mechanisms'!$A$1483:$H$1574,MATCH($B$23,'Misc. Data &amp; Mechanisms'!$B$1483:$H$1483,0)+1,FALSE),VLOOKUP($H63,$X$3:$AB$93,3,FALSE))),""))</f>
        <v>0.2064</v>
      </c>
      <c r="L63" s="1531">
        <f ca="1">IF(OR($H63="",$I63=""),"",IF($I63="Not Applicable", "-",IF($B$34&lt;&gt;"Natural Gas",VLOOKUP($H63,'Electricity Bill'!$A$5:$AR$96,6,FALSE),VLOOKUP($H63,'Natural Gas Bill'!$A$5:$AS$96,6,FALSE))))</f>
        <v>82.098728358227334</v>
      </c>
      <c r="M63" s="1522">
        <f>IF($T63="", "", IFERROR(IF($B$30="Yes", $V63, IF($B$34="Both",IF($C$32="Apartment","Not Applicable", VLOOKUP($H63, 'Misc. Data &amp; Mechanisms'!$E$280:$H$369, HLOOKUP($C$32,'Misc. Data &amp; Mechanisms'!$E$277:$H$279, 3, FALSE), FALSE)),"")), ""))</f>
        <v>22.975462335017482</v>
      </c>
      <c r="N63" s="1530">
        <f>IF($X63="", "",IFERROR(IF($B$34="Both",IF($C$37&lt;&gt;"Custom", IF($C$37 = "DRT", VLOOKUP($H63,'Misc. Data &amp; Mechanisms'!$A$1381:$D$1471,MATCH($B$23,'Misc. Data &amp; Mechanisms'!$B$1381:$D$1381,0)+1,FALSE)),IF($C$36="Custom",VLOOKUP($H63,$X$3:$AB$93,4,FALSE),VLOOKUP($H63,$X$3:$AB$93,2,FALSE))),""),""))</f>
        <v>2.5790000000000002</v>
      </c>
      <c r="O63" s="1529">
        <f>IF($X63="", "",IFERROR(IF($B$34="Both",IF($C$37&lt;&gt;"Custom", VLOOKUP($H63,'Misc. Data &amp; Mechanisms'!$A$1483:$H$1574,MATCH($B$23,'Misc. Data &amp; Mechanisms'!$B$1483:$H$1483,0)+1,FALSE),IF($C$36="Custom",VLOOKUP($H63,$X$3:$AB$93,5,FALSE),VLOOKUP($H63,$X$3:$AB$93,3,FALSE))),""),""))</f>
        <v>0.249</v>
      </c>
      <c r="P63" s="1531">
        <f ca="1">IF(OR($H63="",$M63=""), "", IF($M63="Not Applicable", "-",VLOOKUP($H63,'Natural Gas Bill'!$A$5:$AS$96,6,FALSE)))</f>
        <v>158.43155024460896</v>
      </c>
      <c r="Q63" s="33"/>
      <c r="S63" s="30"/>
      <c r="T63" s="1521">
        <f>IF($B$25="Yes", 'Misc. Data &amp; Mechanisms'!$A122,IF(T62="", "", IF(($H62+DAY(DATE(YEAR($H62),MONTH($H62)+1,1)-1))&lt;=$C$28, ($H62+DAY(DATE(YEAR($H62),MONTH($H62)+1,1)-1)), "")))</f>
        <v>42705</v>
      </c>
      <c r="U63" s="1519"/>
      <c r="V63" s="1519"/>
      <c r="W63" s="1352"/>
      <c r="X63" s="1521">
        <f>IF($B$25="Yes", 'Misc. Data &amp; Mechanisms'!$A122,IF(X62="", "", IF(($H62+DAY(DATE(YEAR($H62),MONTH($H62)+1,1)-1))&lt;=$C$28, ($H62+DAY(DATE(YEAR($H62),MONTH($H62)+1,1)-1)), "")))</f>
        <v>42705</v>
      </c>
      <c r="Y63" s="1519"/>
      <c r="Z63" s="1519"/>
      <c r="AA63" s="1520"/>
      <c r="AB63" s="1520"/>
      <c r="AC63" s="1362"/>
      <c r="AD63" s="1363"/>
    </row>
    <row r="64" spans="7:30" ht="18" customHeight="1" x14ac:dyDescent="0.3">
      <c r="G64" s="30"/>
      <c r="H64" s="1521">
        <f>IF($B$25="Yes", 'Misc. Data &amp; Mechanisms'!$A123,IF(H63="", "", IF(($H63+DAY(DATE(YEAR($H63),MONTH($H63)+1,1)-1))&lt;=$C$28, ($H63+DAY(DATE(YEAR($H63),MONTH($H63)+1,1)-1)), "")))</f>
        <v>42736</v>
      </c>
      <c r="I64" s="1522">
        <f>IF($T64="", "",IFERROR(IF($B$30="Yes", VLOOKUP($H64, $T$3:$V$93, 2, FALSE), IF($B$34&lt;&gt;"Natural Gas", VLOOKUP($H64, 'Misc. Data &amp; Mechanisms'!$A$280:$D$369, HLOOKUP($C$32,'Misc. Data &amp; Mechanisms'!$A$277:$D$279, 3, FALSE), FALSE), IF($C$32="Apartment", "Not Applicable",VLOOKUP($H64, 'Misc. Data &amp; Mechanisms'!$E$280:$H$369, HLOOKUP($C$32,'Misc. Data &amp; Mechanisms'!$E$277:$H$279, 3, FALSE), FALSE)))), ""))</f>
        <v>647.80149995356771</v>
      </c>
      <c r="J64" s="1529">
        <f>IF($X64="", "",IFERROR(IF($B$34&lt;&gt;"Natural Gas", IF($C$36&lt;&gt;"Custom", IF($C$36 = "RRO (Capped)", VLOOKUP($H64,'Misc. Data &amp; Mechanisms'!$A$1278:$E$1368,MATCH($B$22,'Misc. Data &amp; Mechanisms'!$B$1278:$E$1278,0)+1,FALSE), VLOOKUP($H64,'Misc. Data &amp; Mechanisms'!$G$1278:$K$1368,MATCH($B$22,'Misc. Data &amp; Mechanisms'!$H$1278:$K$1278,0)+1,FALSE)),VLOOKUP($H64,$X$3:$AB$93,2,FALSE)),  IF($C$37&lt;&gt;"Custom", IF($C$37 = "DRT", VLOOKUP($H64,'Misc. Data &amp; Mechanisms'!$A$1381:$D$1471,MATCH($B$23,'Misc. Data &amp; Mechanisms'!$B$1381:$D$1381,0)+1,FALSE)),VLOOKUP($H64,$X$3:$AB$93,2,FALSE))),""))</f>
        <v>4.3943000000000003</v>
      </c>
      <c r="K64" s="1529">
        <f>IF($X64="", "",IFERROR(IF($B$34&lt;&gt;"Natural Gas", IF($C$36&lt;&gt;"Custom", VLOOKUP($H64,'Misc. Data &amp; Mechanisms'!$A$1483:$H$1574,MATCH($B$22,'Misc. Data &amp; Mechanisms'!$B$1483:$H$1483,0)+1,FALSE),VLOOKUP($H64,$X$3:$AB$93,3,FALSE)),  IF($C$37&lt;&gt;"Custom", VLOOKUP($H64,'Misc. Data &amp; Mechanisms'!$A$1483:$H$1574,MATCH($B$23,'Misc. Data &amp; Mechanisms'!$B$1483:$H$1483,0)+1,FALSE),VLOOKUP($H64,$X$3:$AB$93,3,FALSE))),""))</f>
        <v>0.2064</v>
      </c>
      <c r="L64" s="1531">
        <f ca="1">IF(OR($H64="",$I64=""),"",IF($I64="Not Applicable", "-",IF($B$34&lt;&gt;"Natural Gas",VLOOKUP($H64,'Electricity Bill'!$A$5:$AR$96,6,FALSE),VLOOKUP($H64,'Natural Gas Bill'!$A$5:$AS$96,6,FALSE))))</f>
        <v>81.172660945086108</v>
      </c>
      <c r="M64" s="1522">
        <f>IF($T64="", "", IFERROR(IF($B$30="Yes", $V64, IF($B$34="Both",IF($C$32="Apartment","Not Applicable", VLOOKUP($H64, 'Misc. Data &amp; Mechanisms'!$E$280:$H$369, HLOOKUP($C$32,'Misc. Data &amp; Mechanisms'!$E$277:$H$279, 3, FALSE), FALSE)),"")), ""))</f>
        <v>20.208502726578462</v>
      </c>
      <c r="N64" s="1530">
        <f>IF($X64="", "",IFERROR(IF($B$34="Both",IF($C$37&lt;&gt;"Custom", IF($C$37 = "DRT", VLOOKUP($H64,'Misc. Data &amp; Mechanisms'!$A$1381:$D$1471,MATCH($B$23,'Misc. Data &amp; Mechanisms'!$B$1381:$D$1381,0)+1,FALSE)),IF($C$36="Custom",VLOOKUP($H64,$X$3:$AB$93,4,FALSE),VLOOKUP($H64,$X$3:$AB$93,2,FALSE))),""),""))</f>
        <v>3.7450000000000001</v>
      </c>
      <c r="O64" s="1529">
        <f>IF($X64="", "",IFERROR(IF($B$34="Both",IF($C$37&lt;&gt;"Custom", VLOOKUP($H64,'Misc. Data &amp; Mechanisms'!$A$1483:$H$1574,MATCH($B$23,'Misc. Data &amp; Mechanisms'!$B$1483:$H$1483,0)+1,FALSE),IF($C$36="Custom",VLOOKUP($H64,$X$3:$AB$93,5,FALSE),VLOOKUP($H64,$X$3:$AB$93,3,FALSE))),""),""))</f>
        <v>0.249</v>
      </c>
      <c r="P64" s="1531">
        <f ca="1">IF(OR($H64="",$M64=""), "", IF($M64="Not Applicable", "-",VLOOKUP($H64,'Natural Gas Bill'!$A$5:$AS$96,6,FALSE)))</f>
        <v>192.15131520131538</v>
      </c>
      <c r="Q64" s="33"/>
      <c r="S64" s="30"/>
      <c r="T64" s="1521">
        <f>IF($B$25="Yes", 'Misc. Data &amp; Mechanisms'!$A123,IF(T63="", "", IF(($H63+DAY(DATE(YEAR($H63),MONTH($H63)+1,1)-1))&lt;=$C$28, ($H63+DAY(DATE(YEAR($H63),MONTH($H63)+1,1)-1)), "")))</f>
        <v>42736</v>
      </c>
      <c r="U64" s="1519"/>
      <c r="V64" s="1519"/>
      <c r="W64" s="1352"/>
      <c r="X64" s="1521">
        <f>IF($B$25="Yes", 'Misc. Data &amp; Mechanisms'!$A123,IF(X63="", "", IF(($H63+DAY(DATE(YEAR($H63),MONTH($H63)+1,1)-1))&lt;=$C$28, ($H63+DAY(DATE(YEAR($H63),MONTH($H63)+1,1)-1)), "")))</f>
        <v>42736</v>
      </c>
      <c r="Y64" s="1519"/>
      <c r="Z64" s="1519"/>
      <c r="AA64" s="1520"/>
      <c r="AB64" s="1520"/>
      <c r="AC64" s="1362"/>
      <c r="AD64" s="1363"/>
    </row>
    <row r="65" spans="7:30" ht="18" customHeight="1" x14ac:dyDescent="0.3">
      <c r="G65" s="30"/>
      <c r="H65" s="1521">
        <f>IF($B$25="Yes", 'Misc. Data &amp; Mechanisms'!$A124,IF(H64="", "", IF(($H64+DAY(DATE(YEAR($H64),MONTH($H64)+1,1)-1))&lt;=$C$28, ($H64+DAY(DATE(YEAR($H64),MONTH($H64)+1,1)-1)), "")))</f>
        <v>42767</v>
      </c>
      <c r="I65" s="1522">
        <f>IF($T65="", "",IFERROR(IF($B$30="Yes", VLOOKUP($H65, $T$3:$V$93, 2, FALSE), IF($B$34&lt;&gt;"Natural Gas", VLOOKUP($H65, 'Misc. Data &amp; Mechanisms'!$A$280:$D$369, HLOOKUP($C$32,'Misc. Data &amp; Mechanisms'!$A$277:$D$279, 3, FALSE), FALSE), IF($C$32="Apartment", "Not Applicable",VLOOKUP($H65, 'Misc. Data &amp; Mechanisms'!$E$280:$H$369, HLOOKUP($C$32,'Misc. Data &amp; Mechanisms'!$E$277:$H$279, 3, FALSE), FALSE)))), ""))</f>
        <v>568.43198073192229</v>
      </c>
      <c r="J65" s="1529">
        <f>IF($X65="", "",IFERROR(IF($B$34&lt;&gt;"Natural Gas", IF($C$36&lt;&gt;"Custom", IF($C$36 = "RRO (Capped)", VLOOKUP($H65,'Misc. Data &amp; Mechanisms'!$A$1278:$E$1368,MATCH($B$22,'Misc. Data &amp; Mechanisms'!$B$1278:$E$1278,0)+1,FALSE), VLOOKUP($H65,'Misc. Data &amp; Mechanisms'!$G$1278:$K$1368,MATCH($B$22,'Misc. Data &amp; Mechanisms'!$H$1278:$K$1278,0)+1,FALSE)),VLOOKUP($H65,$X$3:$AB$93,2,FALSE)),  IF($C$37&lt;&gt;"Custom", IF($C$37 = "DRT", VLOOKUP($H65,'Misc. Data &amp; Mechanisms'!$A$1381:$D$1471,MATCH($B$23,'Misc. Data &amp; Mechanisms'!$B$1381:$D$1381,0)+1,FALSE)),VLOOKUP($H65,$X$3:$AB$93,2,FALSE))),""))</f>
        <v>3.9241999999999999</v>
      </c>
      <c r="K65" s="1529">
        <f>IF($X65="", "",IFERROR(IF($B$34&lt;&gt;"Natural Gas", IF($C$36&lt;&gt;"Custom", VLOOKUP($H65,'Misc. Data &amp; Mechanisms'!$A$1483:$H$1574,MATCH($B$22,'Misc. Data &amp; Mechanisms'!$B$1483:$H$1483,0)+1,FALSE),VLOOKUP($H65,$X$3:$AB$93,3,FALSE)),  IF($C$37&lt;&gt;"Custom", VLOOKUP($H65,'Misc. Data &amp; Mechanisms'!$A$1483:$H$1574,MATCH($B$23,'Misc. Data &amp; Mechanisms'!$B$1483:$H$1483,0)+1,FALSE),VLOOKUP($H65,$X$3:$AB$93,3,FALSE))),""))</f>
        <v>0.2064</v>
      </c>
      <c r="L65" s="1531">
        <f ca="1">IF(OR($H65="",$I65=""),"",IF($I65="Not Applicable", "-",IF($B$34&lt;&gt;"Natural Gas",VLOOKUP($H65,'Electricity Bill'!$A$5:$AR$96,6,FALSE),VLOOKUP($H65,'Natural Gas Bill'!$A$5:$AS$96,6,FALSE))))</f>
        <v>68.651904841888083</v>
      </c>
      <c r="M65" s="1522">
        <f>IF($T65="", "", IFERROR(IF($B$30="Yes", $V65, IF($B$34="Both",IF($C$32="Apartment","Not Applicable", VLOOKUP($H65, 'Misc. Data &amp; Mechanisms'!$E$280:$H$369, HLOOKUP($C$32,'Misc. Data &amp; Mechanisms'!$E$277:$H$279, 3, FALSE), FALSE)),"")), ""))</f>
        <v>18.952457703042239</v>
      </c>
      <c r="N65" s="1530">
        <f>IF($X65="", "",IFERROR(IF($B$34="Both",IF($C$37&lt;&gt;"Custom", IF($C$37 = "DRT", VLOOKUP($H65,'Misc. Data &amp; Mechanisms'!$A$1381:$D$1471,MATCH($B$23,'Misc. Data &amp; Mechanisms'!$B$1381:$D$1381,0)+1,FALSE)),IF($C$36="Custom",VLOOKUP($H65,$X$3:$AB$93,4,FALSE),VLOOKUP($H65,$X$3:$AB$93,2,FALSE))),""),""))</f>
        <v>2.6419999999999999</v>
      </c>
      <c r="O65" s="1529">
        <f>IF($X65="", "",IFERROR(IF($B$34="Both",IF($C$37&lt;&gt;"Custom", VLOOKUP($H65,'Misc. Data &amp; Mechanisms'!$A$1483:$H$1574,MATCH($B$23,'Misc. Data &amp; Mechanisms'!$B$1483:$H$1483,0)+1,FALSE),IF($C$36="Custom",VLOOKUP($H65,$X$3:$AB$93,5,FALSE),VLOOKUP($H65,$X$3:$AB$93,3,FALSE))),""),""))</f>
        <v>0.249</v>
      </c>
      <c r="P65" s="1531">
        <f ca="1">IF(OR($H65="",$M65=""), "", IF($M65="Not Applicable", "-",VLOOKUP($H65,'Natural Gas Bill'!$A$5:$AS$96,6,FALSE)))</f>
        <v>155.93448000739468</v>
      </c>
      <c r="Q65" s="33"/>
      <c r="S65" s="30"/>
      <c r="T65" s="1521">
        <f>IF($B$25="Yes", 'Misc. Data &amp; Mechanisms'!$A124,IF(T64="", "", IF(($H64+DAY(DATE(YEAR($H64),MONTH($H64)+1,1)-1))&lt;=$C$28, ($H64+DAY(DATE(YEAR($H64),MONTH($H64)+1,1)-1)), "")))</f>
        <v>42767</v>
      </c>
      <c r="U65" s="1519"/>
      <c r="V65" s="1519"/>
      <c r="W65" s="1352"/>
      <c r="X65" s="1521">
        <f>IF($B$25="Yes", 'Misc. Data &amp; Mechanisms'!$A124,IF(X64="", "", IF(($H64+DAY(DATE(YEAR($H64),MONTH($H64)+1,1)-1))&lt;=$C$28, ($H64+DAY(DATE(YEAR($H64),MONTH($H64)+1,1)-1)), "")))</f>
        <v>42767</v>
      </c>
      <c r="Y65" s="1519"/>
      <c r="Z65" s="1519"/>
      <c r="AA65" s="1520"/>
      <c r="AB65" s="1520"/>
      <c r="AC65" s="1362"/>
      <c r="AD65" s="1363"/>
    </row>
    <row r="66" spans="7:30" ht="18" customHeight="1" x14ac:dyDescent="0.3">
      <c r="G66" s="30"/>
      <c r="H66" s="1521">
        <f>IF($B$25="Yes", 'Misc. Data &amp; Mechanisms'!$A125,IF(H65="", "", IF(($H65+DAY(DATE(YEAR($H65),MONTH($H65)+1,1)-1))&lt;=$C$28, ($H65+DAY(DATE(YEAR($H65),MONTH($H65)+1,1)-1)), "")))</f>
        <v>42795</v>
      </c>
      <c r="I66" s="1522">
        <f>IF($T66="", "",IFERROR(IF($B$30="Yes", VLOOKUP($H66, $T$3:$V$93, 2, FALSE), IF($B$34&lt;&gt;"Natural Gas", VLOOKUP($H66, 'Misc. Data &amp; Mechanisms'!$A$280:$D$369, HLOOKUP($C$32,'Misc. Data &amp; Mechanisms'!$A$277:$D$279, 3, FALSE), FALSE), IF($C$32="Apartment", "Not Applicable",VLOOKUP($H66, 'Misc. Data &amp; Mechanisms'!$E$280:$H$369, HLOOKUP($C$32,'Misc. Data &amp; Mechanisms'!$E$277:$H$279, 3, FALSE), FALSE)))), ""))</f>
        <v>590.90640142097993</v>
      </c>
      <c r="J66" s="1529">
        <f>IF($X66="", "",IFERROR(IF($B$34&lt;&gt;"Natural Gas", IF($C$36&lt;&gt;"Custom", IF($C$36 = "RRO (Capped)", VLOOKUP($H66,'Misc. Data &amp; Mechanisms'!$A$1278:$E$1368,MATCH($B$22,'Misc. Data &amp; Mechanisms'!$B$1278:$E$1278,0)+1,FALSE), VLOOKUP($H66,'Misc. Data &amp; Mechanisms'!$G$1278:$K$1368,MATCH($B$22,'Misc. Data &amp; Mechanisms'!$H$1278:$K$1278,0)+1,FALSE)),VLOOKUP($H66,$X$3:$AB$93,2,FALSE)),  IF($C$37&lt;&gt;"Custom", IF($C$37 = "DRT", VLOOKUP($H66,'Misc. Data &amp; Mechanisms'!$A$1381:$D$1471,MATCH($B$23,'Misc. Data &amp; Mechanisms'!$B$1381:$D$1381,0)+1,FALSE)),VLOOKUP($H66,$X$3:$AB$93,2,FALSE))),""))</f>
        <v>3.4390000000000001</v>
      </c>
      <c r="K66" s="1529">
        <f>IF($X66="", "",IFERROR(IF($B$34&lt;&gt;"Natural Gas", IF($C$36&lt;&gt;"Custom", VLOOKUP($H66,'Misc. Data &amp; Mechanisms'!$A$1483:$H$1574,MATCH($B$22,'Misc. Data &amp; Mechanisms'!$B$1483:$H$1483,0)+1,FALSE),VLOOKUP($H66,$X$3:$AB$93,3,FALSE)),  IF($C$37&lt;&gt;"Custom", VLOOKUP($H66,'Misc. Data &amp; Mechanisms'!$A$1483:$H$1574,MATCH($B$23,'Misc. Data &amp; Mechanisms'!$B$1483:$H$1483,0)+1,FALSE),VLOOKUP($H66,$X$3:$AB$93,3,FALSE))),""))</f>
        <v>0.2064</v>
      </c>
      <c r="L66" s="1531">
        <f ca="1">IF(OR($H66="",$I66=""),"",IF($I66="Not Applicable", "-",IF($B$34&lt;&gt;"Natural Gas",VLOOKUP($H66,'Electricity Bill'!$A$5:$AR$96,6,FALSE),VLOOKUP($H66,'Natural Gas Bill'!$A$5:$AS$96,6,FALSE))))</f>
        <v>69.307154646758036</v>
      </c>
      <c r="M66" s="1522">
        <f>IF($T66="", "", IFERROR(IF($B$30="Yes", $V66, IF($B$34="Both",IF($C$32="Apartment","Not Applicable", VLOOKUP($H66, 'Misc. Data &amp; Mechanisms'!$E$280:$H$369, HLOOKUP($C$32,'Misc. Data &amp; Mechanisms'!$E$277:$H$279, 3, FALSE), FALSE)),"")), ""))</f>
        <v>17.127877998710133</v>
      </c>
      <c r="N66" s="1530">
        <f>IF($X66="", "",IFERROR(IF($B$34="Both",IF($C$37&lt;&gt;"Custom", IF($C$37 = "DRT", VLOOKUP($H66,'Misc. Data &amp; Mechanisms'!$A$1381:$D$1471,MATCH($B$23,'Misc. Data &amp; Mechanisms'!$B$1381:$D$1381,0)+1,FALSE)),IF($C$36="Custom",VLOOKUP($H66,$X$3:$AB$93,4,FALSE),VLOOKUP($H66,$X$3:$AB$93,2,FALSE))),""),""))</f>
        <v>1.885</v>
      </c>
      <c r="O66" s="1529">
        <f>IF($X66="", "",IFERROR(IF($B$34="Both",IF($C$37&lt;&gt;"Custom", VLOOKUP($H66,'Misc. Data &amp; Mechanisms'!$A$1483:$H$1574,MATCH($B$23,'Misc. Data &amp; Mechanisms'!$B$1483:$H$1483,0)+1,FALSE),IF($C$36="Custom",VLOOKUP($H66,$X$3:$AB$93,5,FALSE),VLOOKUP($H66,$X$3:$AB$93,3,FALSE))),""),""))</f>
        <v>0.249</v>
      </c>
      <c r="P66" s="1531">
        <f ca="1">IF(OR($H66="",$M66=""), "", IF($M66="Not Applicable", "-",VLOOKUP($H66,'Natural Gas Bill'!$A$5:$AS$96,6,FALSE)))</f>
        <v>134.24090970261412</v>
      </c>
      <c r="Q66" s="33"/>
      <c r="S66" s="30"/>
      <c r="T66" s="1521">
        <f>IF($B$25="Yes", 'Misc. Data &amp; Mechanisms'!$A125,IF(T65="", "", IF(($H65+DAY(DATE(YEAR($H65),MONTH($H65)+1,1)-1))&lt;=$C$28, ($H65+DAY(DATE(YEAR($H65),MONTH($H65)+1,1)-1)), "")))</f>
        <v>42795</v>
      </c>
      <c r="U66" s="1519"/>
      <c r="V66" s="1519"/>
      <c r="W66" s="1352"/>
      <c r="X66" s="1521">
        <f>IF($B$25="Yes", 'Misc. Data &amp; Mechanisms'!$A125,IF(X65="", "", IF(($H65+DAY(DATE(YEAR($H65),MONTH($H65)+1,1)-1))&lt;=$C$28, ($H65+DAY(DATE(YEAR($H65),MONTH($H65)+1,1)-1)), "")))</f>
        <v>42795</v>
      </c>
      <c r="Y66" s="1519"/>
      <c r="Z66" s="1519"/>
      <c r="AA66" s="1520"/>
      <c r="AB66" s="1520"/>
      <c r="AC66" s="1362"/>
      <c r="AD66" s="1363"/>
    </row>
    <row r="67" spans="7:30" ht="18" customHeight="1" x14ac:dyDescent="0.3">
      <c r="G67" s="30"/>
      <c r="H67" s="1521">
        <f>IF($B$25="Yes", 'Misc. Data &amp; Mechanisms'!$A126,IF(H66="", "", IF(($H66+DAY(DATE(YEAR($H66),MONTH($H66)+1,1)-1))&lt;=$C$28, ($H66+DAY(DATE(YEAR($H66),MONTH($H66)+1,1)-1)), "")))</f>
        <v>42826</v>
      </c>
      <c r="I67" s="1522">
        <f>IF($T67="", "",IFERROR(IF($B$30="Yes", VLOOKUP($H67, $T$3:$V$93, 2, FALSE), IF($B$34&lt;&gt;"Natural Gas", VLOOKUP($H67, 'Misc. Data &amp; Mechanisms'!$A$280:$D$369, HLOOKUP($C$32,'Misc. Data &amp; Mechanisms'!$A$277:$D$279, 3, FALSE), FALSE), IF($C$32="Apartment", "Not Applicable",VLOOKUP($H67, 'Misc. Data &amp; Mechanisms'!$E$280:$H$369, HLOOKUP($C$32,'Misc. Data &amp; Mechanisms'!$E$277:$H$279, 3, FALSE), FALSE)))), ""))</f>
        <v>521.96284196970953</v>
      </c>
      <c r="J67" s="1529">
        <f>IF($X67="", "",IFERROR(IF($B$34&lt;&gt;"Natural Gas", IF($C$36&lt;&gt;"Custom", IF($C$36 = "RRO (Capped)", VLOOKUP($H67,'Misc. Data &amp; Mechanisms'!$A$1278:$E$1368,MATCH($B$22,'Misc. Data &amp; Mechanisms'!$B$1278:$E$1278,0)+1,FALSE), VLOOKUP($H67,'Misc. Data &amp; Mechanisms'!$G$1278:$K$1368,MATCH($B$22,'Misc. Data &amp; Mechanisms'!$H$1278:$K$1278,0)+1,FALSE)),VLOOKUP($H67,$X$3:$AB$93,2,FALSE)),  IF($C$37&lt;&gt;"Custom", IF($C$37 = "DRT", VLOOKUP($H67,'Misc. Data &amp; Mechanisms'!$A$1381:$D$1471,MATCH($B$23,'Misc. Data &amp; Mechanisms'!$B$1381:$D$1381,0)+1,FALSE)),VLOOKUP($H67,$X$3:$AB$93,2,FALSE))),""))</f>
        <v>3.0567000000000002</v>
      </c>
      <c r="K67" s="1529">
        <f>IF($X67="", "",IFERROR(IF($B$34&lt;&gt;"Natural Gas", IF($C$36&lt;&gt;"Custom", VLOOKUP($H67,'Misc. Data &amp; Mechanisms'!$A$1483:$H$1574,MATCH($B$22,'Misc. Data &amp; Mechanisms'!$B$1483:$H$1483,0)+1,FALSE),VLOOKUP($H67,$X$3:$AB$93,3,FALSE)),  IF($C$37&lt;&gt;"Custom", VLOOKUP($H67,'Misc. Data &amp; Mechanisms'!$A$1483:$H$1574,MATCH($B$23,'Misc. Data &amp; Mechanisms'!$B$1483:$H$1483,0)+1,FALSE),VLOOKUP($H67,$X$3:$AB$93,3,FALSE))),""))</f>
        <v>0.2064</v>
      </c>
      <c r="L67" s="1531">
        <f ca="1">IF(OR($H67="",$I67=""),"",IF($I67="Not Applicable", "-",IF($B$34&lt;&gt;"Natural Gas",VLOOKUP($H67,'Electricity Bill'!$A$5:$AR$96,6,FALSE),VLOOKUP($H67,'Natural Gas Bill'!$A$5:$AS$96,6,FALSE))))</f>
        <v>66.692254981087331</v>
      </c>
      <c r="M67" s="1522">
        <f>IF($T67="", "", IFERROR(IF($B$30="Yes", $V67, IF($B$34="Both",IF($C$32="Apartment","Not Applicable", VLOOKUP($H67, 'Misc. Data &amp; Mechanisms'!$E$280:$H$369, HLOOKUP($C$32,'Misc. Data &amp; Mechanisms'!$E$277:$H$279, 3, FALSE), FALSE)),"")), ""))</f>
        <v>10.428180232781104</v>
      </c>
      <c r="N67" s="1530">
        <f>IF($X67="", "",IFERROR(IF($B$34="Both",IF($C$37&lt;&gt;"Custom", IF($C$37 = "DRT", VLOOKUP($H67,'Misc. Data &amp; Mechanisms'!$A$1381:$D$1471,MATCH($B$23,'Misc. Data &amp; Mechanisms'!$B$1381:$D$1381,0)+1,FALSE)),IF($C$36="Custom",VLOOKUP($H67,$X$3:$AB$93,4,FALSE),VLOOKUP($H67,$X$3:$AB$93,2,FALSE))),""),""))</f>
        <v>2.2669999999999999</v>
      </c>
      <c r="O67" s="1529">
        <f>IF($X67="", "",IFERROR(IF($B$34="Both",IF($C$37&lt;&gt;"Custom", VLOOKUP($H67,'Misc. Data &amp; Mechanisms'!$A$1483:$H$1574,MATCH($B$23,'Misc. Data &amp; Mechanisms'!$B$1483:$H$1483,0)+1,FALSE),IF($C$36="Custom",VLOOKUP($H67,$X$3:$AB$93,5,FALSE),VLOOKUP($H67,$X$3:$AB$93,3,FALSE))),""),""))</f>
        <v>0.249</v>
      </c>
      <c r="P67" s="1531">
        <f ca="1">IF(OR($H67="",$M67=""), "", IF($M67="Not Applicable", "-",VLOOKUP($H67,'Natural Gas Bill'!$A$5:$AS$96,6,FALSE)))</f>
        <v>100.21660758273963</v>
      </c>
      <c r="Q67" s="33"/>
      <c r="S67" s="30"/>
      <c r="T67" s="1521">
        <f>IF($B$25="Yes", 'Misc. Data &amp; Mechanisms'!$A126,IF(T66="", "", IF(($H66+DAY(DATE(YEAR($H66),MONTH($H66)+1,1)-1))&lt;=$C$28, ($H66+DAY(DATE(YEAR($H66),MONTH($H66)+1,1)-1)), "")))</f>
        <v>42826</v>
      </c>
      <c r="U67" s="1519"/>
      <c r="V67" s="1519"/>
      <c r="W67" s="1352"/>
      <c r="X67" s="1521">
        <f>IF($B$25="Yes", 'Misc. Data &amp; Mechanisms'!$A126,IF(X66="", "", IF(($H66+DAY(DATE(YEAR($H66),MONTH($H66)+1,1)-1))&lt;=$C$28, ($H66+DAY(DATE(YEAR($H66),MONTH($H66)+1,1)-1)), "")))</f>
        <v>42826</v>
      </c>
      <c r="Y67" s="1519"/>
      <c r="Z67" s="1519"/>
      <c r="AA67" s="1520"/>
      <c r="AB67" s="1520"/>
      <c r="AC67" s="1362"/>
      <c r="AD67" s="1363"/>
    </row>
    <row r="68" spans="7:30" ht="18" customHeight="1" x14ac:dyDescent="0.3">
      <c r="G68" s="30"/>
      <c r="H68" s="1521">
        <f>IF($B$25="Yes", 'Misc. Data &amp; Mechanisms'!$A127,IF(H67="", "", IF(($H67+DAY(DATE(YEAR($H67),MONTH($H67)+1,1)-1))&lt;=$C$28, ($H67+DAY(DATE(YEAR($H67),MONTH($H67)+1,1)-1)), "")))</f>
        <v>42856</v>
      </c>
      <c r="I68" s="1522">
        <f>IF($T68="", "",IFERROR(IF($B$30="Yes", VLOOKUP($H68, $T$3:$V$93, 2, FALSE), IF($B$34&lt;&gt;"Natural Gas", VLOOKUP($H68, 'Misc. Data &amp; Mechanisms'!$A$280:$D$369, HLOOKUP($C$32,'Misc. Data &amp; Mechanisms'!$A$277:$D$279, 3, FALSE), FALSE), IF($C$32="Apartment", "Not Applicable",VLOOKUP($H68, 'Misc. Data &amp; Mechanisms'!$E$280:$H$369, HLOOKUP($C$32,'Misc. Data &amp; Mechanisms'!$E$277:$H$279, 3, FALSE), FALSE)))), ""))</f>
        <v>499.78475479463549</v>
      </c>
      <c r="J68" s="1529">
        <f>IF($X68="", "",IFERROR(IF($B$34&lt;&gt;"Natural Gas", IF($C$36&lt;&gt;"Custom", IF($C$36 = "RRO (Capped)", VLOOKUP($H68,'Misc. Data &amp; Mechanisms'!$A$1278:$E$1368,MATCH($B$22,'Misc. Data &amp; Mechanisms'!$B$1278:$E$1278,0)+1,FALSE), VLOOKUP($H68,'Misc. Data &amp; Mechanisms'!$G$1278:$K$1368,MATCH($B$22,'Misc. Data &amp; Mechanisms'!$H$1278:$K$1278,0)+1,FALSE)),VLOOKUP($H68,$X$3:$AB$93,2,FALSE)),  IF($C$37&lt;&gt;"Custom", IF($C$37 = "DRT", VLOOKUP($H68,'Misc. Data &amp; Mechanisms'!$A$1381:$D$1471,MATCH($B$23,'Misc. Data &amp; Mechanisms'!$B$1381:$D$1381,0)+1,FALSE)),VLOOKUP($H68,$X$3:$AB$93,2,FALSE))),""))</f>
        <v>2.9834999999999998</v>
      </c>
      <c r="K68" s="1529">
        <f>IF($X68="", "",IFERROR(IF($B$34&lt;&gt;"Natural Gas", IF($C$36&lt;&gt;"Custom", VLOOKUP($H68,'Misc. Data &amp; Mechanisms'!$A$1483:$H$1574,MATCH($B$22,'Misc. Data &amp; Mechanisms'!$B$1483:$H$1483,0)+1,FALSE),VLOOKUP($H68,$X$3:$AB$93,3,FALSE)),  IF($C$37&lt;&gt;"Custom", VLOOKUP($H68,'Misc. Data &amp; Mechanisms'!$A$1483:$H$1574,MATCH($B$23,'Misc. Data &amp; Mechanisms'!$B$1483:$H$1483,0)+1,FALSE),VLOOKUP($H68,$X$3:$AB$93,3,FALSE))),""))</f>
        <v>0.2064</v>
      </c>
      <c r="L68" s="1531">
        <f ca="1">IF(OR($H68="",$I68=""),"",IF($I68="Not Applicable", "-",IF($B$34&lt;&gt;"Natural Gas",VLOOKUP($H68,'Electricity Bill'!$A$5:$AR$96,6,FALSE),VLOOKUP($H68,'Natural Gas Bill'!$A$5:$AS$96,6,FALSE))))</f>
        <v>68.701949839346156</v>
      </c>
      <c r="M68" s="1522">
        <f>IF($T68="", "", IFERROR(IF($B$30="Yes", $V68, IF($B$34="Both",IF($C$32="Apartment","Not Applicable", VLOOKUP($H68, 'Misc. Data &amp; Mechanisms'!$E$280:$H$369, HLOOKUP($C$32,'Misc. Data &amp; Mechanisms'!$E$277:$H$279, 3, FALSE), FALSE)),"")), ""))</f>
        <v>5.1525323465352963</v>
      </c>
      <c r="N68" s="1530">
        <f>IF($X68="", "",IFERROR(IF($B$34="Both",IF($C$37&lt;&gt;"Custom", IF($C$37 = "DRT", VLOOKUP($H68,'Misc. Data &amp; Mechanisms'!$A$1381:$D$1471,MATCH($B$23,'Misc. Data &amp; Mechanisms'!$B$1381:$D$1381,0)+1,FALSE)),IF($C$36="Custom",VLOOKUP($H68,$X$3:$AB$93,4,FALSE),VLOOKUP($H68,$X$3:$AB$93,2,FALSE))),""),""))</f>
        <v>1.952</v>
      </c>
      <c r="O68" s="1529">
        <f>IF($X68="", "",IFERROR(IF($B$34="Both",IF($C$37&lt;&gt;"Custom", VLOOKUP($H68,'Misc. Data &amp; Mechanisms'!$A$1483:$H$1574,MATCH($B$23,'Misc. Data &amp; Mechanisms'!$B$1483:$H$1483,0)+1,FALSE),IF($C$36="Custom",VLOOKUP($H68,$X$3:$AB$93,5,FALSE),VLOOKUP($H68,$X$3:$AB$93,3,FALSE))),""),""))</f>
        <v>0.249</v>
      </c>
      <c r="P68" s="1531">
        <f ca="1">IF(OR($H68="",$M68=""), "", IF($M68="Not Applicable", "-",VLOOKUP($H68,'Natural Gas Bill'!$A$5:$AS$96,6,FALSE)))</f>
        <v>66.036502159408244</v>
      </c>
      <c r="Q68" s="33"/>
      <c r="S68" s="30"/>
      <c r="T68" s="1521">
        <f>IF($B$25="Yes", 'Misc. Data &amp; Mechanisms'!$A127,IF(T67="", "", IF(($H67+DAY(DATE(YEAR($H67),MONTH($H67)+1,1)-1))&lt;=$C$28, ($H67+DAY(DATE(YEAR($H67),MONTH($H67)+1,1)-1)), "")))</f>
        <v>42856</v>
      </c>
      <c r="U68" s="1519"/>
      <c r="V68" s="1519"/>
      <c r="W68" s="1352"/>
      <c r="X68" s="1521">
        <f>IF($B$25="Yes", 'Misc. Data &amp; Mechanisms'!$A127,IF(X67="", "", IF(($H67+DAY(DATE(YEAR($H67),MONTH($H67)+1,1)-1))&lt;=$C$28, ($H67+DAY(DATE(YEAR($H67),MONTH($H67)+1,1)-1)), "")))</f>
        <v>42856</v>
      </c>
      <c r="Y68" s="1519"/>
      <c r="Z68" s="1519"/>
      <c r="AA68" s="1520"/>
      <c r="AB68" s="1520"/>
      <c r="AC68" s="1362"/>
      <c r="AD68" s="1363"/>
    </row>
    <row r="69" spans="7:30" ht="18" customHeight="1" x14ac:dyDescent="0.3">
      <c r="G69" s="30"/>
      <c r="H69" s="1521">
        <f>IF($B$25="Yes", 'Misc. Data &amp; Mechanisms'!$A128,IF(H68="", "", IF(($H68+DAY(DATE(YEAR($H68),MONTH($H68)+1,1)-1))&lt;=$C$28, ($H68+DAY(DATE(YEAR($H68),MONTH($H68)+1,1)-1)), "")))</f>
        <v>42887</v>
      </c>
      <c r="I69" s="1522">
        <f>IF($T69="", "",IFERROR(IF($B$30="Yes", VLOOKUP($H69, $T$3:$V$93, 2, FALSE), IF($B$34&lt;&gt;"Natural Gas", VLOOKUP($H69, 'Misc. Data &amp; Mechanisms'!$A$280:$D$369, HLOOKUP($C$32,'Misc. Data &amp; Mechanisms'!$A$277:$D$279, 3, FALSE), FALSE), IF($C$32="Apartment", "Not Applicable",VLOOKUP($H69, 'Misc. Data &amp; Mechanisms'!$E$280:$H$369, HLOOKUP($C$32,'Misc. Data &amp; Mechanisms'!$E$277:$H$279, 3, FALSE), FALSE)))), ""))</f>
        <v>476.9507488479735</v>
      </c>
      <c r="J69" s="1529">
        <f>IF($X69="", "",IFERROR(IF($B$34&lt;&gt;"Natural Gas", IF($C$36&lt;&gt;"Custom", IF($C$36 = "RRO (Capped)", VLOOKUP($H69,'Misc. Data &amp; Mechanisms'!$A$1278:$E$1368,MATCH($B$22,'Misc. Data &amp; Mechanisms'!$B$1278:$E$1278,0)+1,FALSE), VLOOKUP($H69,'Misc. Data &amp; Mechanisms'!$G$1278:$K$1368,MATCH($B$22,'Misc. Data &amp; Mechanisms'!$H$1278:$K$1278,0)+1,FALSE)),VLOOKUP($H69,$X$3:$AB$93,2,FALSE)),  IF($C$37&lt;&gt;"Custom", IF($C$37 = "DRT", VLOOKUP($H69,'Misc. Data &amp; Mechanisms'!$A$1381:$D$1471,MATCH($B$23,'Misc. Data &amp; Mechanisms'!$B$1381:$D$1381,0)+1,FALSE)),VLOOKUP($H69,$X$3:$AB$93,2,FALSE))),""))</f>
        <v>3.3946999999999998</v>
      </c>
      <c r="K69" s="1529">
        <f>IF($X69="", "",IFERROR(IF($B$34&lt;&gt;"Natural Gas", IF($C$36&lt;&gt;"Custom", VLOOKUP($H69,'Misc. Data &amp; Mechanisms'!$A$1483:$H$1574,MATCH($B$22,'Misc. Data &amp; Mechanisms'!$B$1483:$H$1483,0)+1,FALSE),VLOOKUP($H69,$X$3:$AB$93,3,FALSE)),  IF($C$37&lt;&gt;"Custom", VLOOKUP($H69,'Misc. Data &amp; Mechanisms'!$A$1483:$H$1574,MATCH($B$23,'Misc. Data &amp; Mechanisms'!$B$1483:$H$1483,0)+1,FALSE),VLOOKUP($H69,$X$3:$AB$93,3,FALSE))),""))</f>
        <v>0.2064</v>
      </c>
      <c r="L69" s="1531">
        <f ca="1">IF(OR($H69="",$I69=""),"",IF($I69="Not Applicable", "-",IF($B$34&lt;&gt;"Natural Gas",VLOOKUP($H69,'Electricity Bill'!$A$5:$AR$96,6,FALSE),VLOOKUP($H69,'Natural Gas Bill'!$A$5:$AS$96,6,FALSE))))</f>
        <v>68.184002802872556</v>
      </c>
      <c r="M69" s="1522">
        <f>IF($T69="", "", IFERROR(IF($B$30="Yes", $V69, IF($B$34="Both",IF($C$32="Apartment","Not Applicable", VLOOKUP($H69, 'Misc. Data &amp; Mechanisms'!$E$280:$H$369, HLOOKUP($C$32,'Misc. Data &amp; Mechanisms'!$E$277:$H$279, 3, FALSE), FALSE)),"")), ""))</f>
        <v>3.0371525091241911</v>
      </c>
      <c r="N69" s="1530">
        <f>IF($X69="", "",IFERROR(IF($B$34="Both",IF($C$37&lt;&gt;"Custom", IF($C$37 = "DRT", VLOOKUP($H69,'Misc. Data &amp; Mechanisms'!$A$1381:$D$1471,MATCH($B$23,'Misc. Data &amp; Mechanisms'!$B$1381:$D$1381,0)+1,FALSE)),IF($C$36="Custom",VLOOKUP($H69,$X$3:$AB$93,4,FALSE),VLOOKUP($H69,$X$3:$AB$93,2,FALSE))),""),""))</f>
        <v>1.2350000000000001</v>
      </c>
      <c r="O69" s="1529">
        <f>IF($X69="", "",IFERROR(IF($B$34="Both",IF($C$37&lt;&gt;"Custom", VLOOKUP($H69,'Misc. Data &amp; Mechanisms'!$A$1483:$H$1574,MATCH($B$23,'Misc. Data &amp; Mechanisms'!$B$1483:$H$1483,0)+1,FALSE),IF($C$36="Custom",VLOOKUP($H69,$X$3:$AB$93,5,FALSE),VLOOKUP($H69,$X$3:$AB$93,3,FALSE))),""),""))</f>
        <v>0.249</v>
      </c>
      <c r="P69" s="1531">
        <f ca="1">IF(OR($H69="",$M69=""), "", IF($M69="Not Applicable", "-",VLOOKUP($H69,'Natural Gas Bill'!$A$5:$AS$96,6,FALSE)))</f>
        <v>50.967416976199523</v>
      </c>
      <c r="Q69" s="33"/>
      <c r="S69" s="30"/>
      <c r="T69" s="1521">
        <f>IF($B$25="Yes", 'Misc. Data &amp; Mechanisms'!$A128,IF(T68="", "", IF(($H68+DAY(DATE(YEAR($H68),MONTH($H68)+1,1)-1))&lt;=$C$28, ($H68+DAY(DATE(YEAR($H68),MONTH($H68)+1,1)-1)), "")))</f>
        <v>42887</v>
      </c>
      <c r="U69" s="1519"/>
      <c r="V69" s="1519"/>
      <c r="W69" s="1352"/>
      <c r="X69" s="1521">
        <f>IF($B$25="Yes", 'Misc. Data &amp; Mechanisms'!$A128,IF(X68="", "", IF(($H68+DAY(DATE(YEAR($H68),MONTH($H68)+1,1)-1))&lt;=$C$28, ($H68+DAY(DATE(YEAR($H68),MONTH($H68)+1,1)-1)), "")))</f>
        <v>42887</v>
      </c>
      <c r="Y69" s="1519"/>
      <c r="Z69" s="1519"/>
      <c r="AA69" s="1520"/>
      <c r="AB69" s="1520"/>
      <c r="AC69" s="1362"/>
      <c r="AD69" s="1363"/>
    </row>
    <row r="70" spans="7:30" ht="18" customHeight="1" x14ac:dyDescent="0.3">
      <c r="G70" s="30"/>
      <c r="H70" s="1521">
        <f>IF($B$25="Yes", 'Misc. Data &amp; Mechanisms'!$A129,IF(H69="", "", IF(($H69+DAY(DATE(YEAR($H69),MONTH($H69)+1,1)-1))&lt;=$C$28, ($H69+DAY(DATE(YEAR($H69),MONTH($H69)+1,1)-1)), "")))</f>
        <v>42917</v>
      </c>
      <c r="I70" s="1522">
        <f>IF($T70="", "",IFERROR(IF($B$30="Yes", VLOOKUP($H70, $T$3:$V$93, 2, FALSE), IF($B$34&lt;&gt;"Natural Gas", VLOOKUP($H70, 'Misc. Data &amp; Mechanisms'!$A$280:$D$369, HLOOKUP($C$32,'Misc. Data &amp; Mechanisms'!$A$277:$D$279, 3, FALSE), FALSE), IF($C$32="Apartment", "Not Applicable",VLOOKUP($H70, 'Misc. Data &amp; Mechanisms'!$E$280:$H$369, HLOOKUP($C$32,'Misc. Data &amp; Mechanisms'!$E$277:$H$279, 3, FALSE), FALSE)))), ""))</f>
        <v>553.28116548516766</v>
      </c>
      <c r="J70" s="1529">
        <f>IF($X70="", "",IFERROR(IF($B$34&lt;&gt;"Natural Gas", IF($C$36&lt;&gt;"Custom", IF($C$36 = "RRO (Capped)", VLOOKUP($H70,'Misc. Data &amp; Mechanisms'!$A$1278:$E$1368,MATCH($B$22,'Misc. Data &amp; Mechanisms'!$B$1278:$E$1278,0)+1,FALSE), VLOOKUP($H70,'Misc. Data &amp; Mechanisms'!$G$1278:$K$1368,MATCH($B$22,'Misc. Data &amp; Mechanisms'!$H$1278:$K$1278,0)+1,FALSE)),VLOOKUP($H70,$X$3:$AB$93,2,FALSE)),  IF($C$37&lt;&gt;"Custom", IF($C$37 = "DRT", VLOOKUP($H70,'Misc. Data &amp; Mechanisms'!$A$1381:$D$1471,MATCH($B$23,'Misc. Data &amp; Mechanisms'!$B$1381:$D$1381,0)+1,FALSE)),VLOOKUP($H70,$X$3:$AB$93,2,FALSE))),""))</f>
        <v>4.2127999999999997</v>
      </c>
      <c r="K70" s="1529">
        <f>IF($X70="", "",IFERROR(IF($B$34&lt;&gt;"Natural Gas", IF($C$36&lt;&gt;"Custom", VLOOKUP($H70,'Misc. Data &amp; Mechanisms'!$A$1483:$H$1574,MATCH($B$22,'Misc. Data &amp; Mechanisms'!$B$1483:$H$1483,0)+1,FALSE),VLOOKUP($H70,$X$3:$AB$93,3,FALSE)),  IF($C$37&lt;&gt;"Custom", VLOOKUP($H70,'Misc. Data &amp; Mechanisms'!$A$1483:$H$1574,MATCH($B$23,'Misc. Data &amp; Mechanisms'!$B$1483:$H$1483,0)+1,FALSE),VLOOKUP($H70,$X$3:$AB$93,3,FALSE))),""))</f>
        <v>0.2064</v>
      </c>
      <c r="L70" s="1531">
        <f ca="1">IF(OR($H70="",$I70=""),"",IF($I70="Not Applicable", "-",IF($B$34&lt;&gt;"Natural Gas",VLOOKUP($H70,'Electricity Bill'!$A$5:$AR$96,6,FALSE),VLOOKUP($H70,'Natural Gas Bill'!$A$5:$AS$96,6,FALSE))))</f>
        <v>81.314809741058738</v>
      </c>
      <c r="M70" s="1522">
        <f>IF($T70="", "", IFERROR(IF($B$30="Yes", $V70, IF($B$34="Both",IF($C$32="Apartment","Not Applicable", VLOOKUP($H70, 'Misc. Data &amp; Mechanisms'!$E$280:$H$369, HLOOKUP($C$32,'Misc. Data &amp; Mechanisms'!$E$277:$H$279, 3, FALSE), FALSE)),"")), ""))</f>
        <v>2.582040039601218</v>
      </c>
      <c r="N70" s="1530">
        <f>IF($X70="", "",IFERROR(IF($B$34="Both",IF($C$37&lt;&gt;"Custom", IF($C$37 = "DRT", VLOOKUP($H70,'Misc. Data &amp; Mechanisms'!$A$1381:$D$1471,MATCH($B$23,'Misc. Data &amp; Mechanisms'!$B$1381:$D$1381,0)+1,FALSE)),IF($C$36="Custom",VLOOKUP($H70,$X$3:$AB$93,4,FALSE),VLOOKUP($H70,$X$3:$AB$93,2,FALSE))),""),""))</f>
        <v>1.8220000000000001</v>
      </c>
      <c r="O70" s="1529">
        <f>IF($X70="", "",IFERROR(IF($B$34="Both",IF($C$37&lt;&gt;"Custom", VLOOKUP($H70,'Misc. Data &amp; Mechanisms'!$A$1483:$H$1574,MATCH($B$23,'Misc. Data &amp; Mechanisms'!$B$1483:$H$1483,0)+1,FALSE),IF($C$36="Custom",VLOOKUP($H70,$X$3:$AB$93,5,FALSE),VLOOKUP($H70,$X$3:$AB$93,3,FALSE))),""),""))</f>
        <v>0.249</v>
      </c>
      <c r="P70" s="1531">
        <f ca="1">IF(OR($H70="",$M70=""), "", IF($M70="Not Applicable", "-",VLOOKUP($H70,'Natural Gas Bill'!$A$5:$AS$96,6,FALSE)))</f>
        <v>52.739315303329278</v>
      </c>
      <c r="Q70" s="33"/>
      <c r="S70" s="30"/>
      <c r="T70" s="1521">
        <f>IF($B$25="Yes", 'Misc. Data &amp; Mechanisms'!$A129,IF(T69="", "", IF(($H69+DAY(DATE(YEAR($H69),MONTH($H69)+1,1)-1))&lt;=$C$28, ($H69+DAY(DATE(YEAR($H69),MONTH($H69)+1,1)-1)), "")))</f>
        <v>42917</v>
      </c>
      <c r="U70" s="1519"/>
      <c r="V70" s="1519"/>
      <c r="W70" s="1352"/>
      <c r="X70" s="1521">
        <f>IF($B$25="Yes", 'Misc. Data &amp; Mechanisms'!$A129,IF(X69="", "", IF(($H69+DAY(DATE(YEAR($H69),MONTH($H69)+1,1)-1))&lt;=$C$28, ($H69+DAY(DATE(YEAR($H69),MONTH($H69)+1,1)-1)), "")))</f>
        <v>42917</v>
      </c>
      <c r="Y70" s="1519"/>
      <c r="Z70" s="1519"/>
      <c r="AA70" s="1520"/>
      <c r="AB70" s="1520"/>
      <c r="AC70" s="1362"/>
      <c r="AD70" s="1363"/>
    </row>
    <row r="71" spans="7:30" ht="18" customHeight="1" x14ac:dyDescent="0.3">
      <c r="G71" s="30"/>
      <c r="H71" s="1521">
        <f>IF($B$25="Yes", 'Misc. Data &amp; Mechanisms'!$A130,IF(H70="", "", IF(($H70+DAY(DATE(YEAR($H70),MONTH($H70)+1,1)-1))&lt;=$C$28, ($H70+DAY(DATE(YEAR($H70),MONTH($H70)+1,1)-1)), "")))</f>
        <v>42948</v>
      </c>
      <c r="I71" s="1522">
        <f>IF($T71="", "",IFERROR(IF($B$30="Yes", VLOOKUP($H71, $T$3:$V$93, 2, FALSE), IF($B$34&lt;&gt;"Natural Gas", VLOOKUP($H71, 'Misc. Data &amp; Mechanisms'!$A$280:$D$369, HLOOKUP($C$32,'Misc. Data &amp; Mechanisms'!$A$277:$D$279, 3, FALSE), FALSE), IF($C$32="Apartment", "Not Applicable",VLOOKUP($H71, 'Misc. Data &amp; Mechanisms'!$E$280:$H$369, HLOOKUP($C$32,'Misc. Data &amp; Mechanisms'!$E$277:$H$279, 3, FALSE), FALSE)))), ""))</f>
        <v>510.2761997497081</v>
      </c>
      <c r="J71" s="1529">
        <f>IF($X71="", "",IFERROR(IF($B$34&lt;&gt;"Natural Gas", IF($C$36&lt;&gt;"Custom", IF($C$36 = "RRO (Capped)", VLOOKUP($H71,'Misc. Data &amp; Mechanisms'!$A$1278:$E$1368,MATCH($B$22,'Misc. Data &amp; Mechanisms'!$B$1278:$E$1278,0)+1,FALSE), VLOOKUP($H71,'Misc. Data &amp; Mechanisms'!$G$1278:$K$1368,MATCH($B$22,'Misc. Data &amp; Mechanisms'!$H$1278:$K$1278,0)+1,FALSE)),VLOOKUP($H71,$X$3:$AB$93,2,FALSE)),  IF($C$37&lt;&gt;"Custom", IF($C$37 = "DRT", VLOOKUP($H71,'Misc. Data &amp; Mechanisms'!$A$1381:$D$1471,MATCH($B$23,'Misc. Data &amp; Mechanisms'!$B$1381:$D$1381,0)+1,FALSE)),VLOOKUP($H71,$X$3:$AB$93,2,FALSE))),""))</f>
        <v>4.1050000000000004</v>
      </c>
      <c r="K71" s="1529">
        <f>IF($X71="", "",IFERROR(IF($B$34&lt;&gt;"Natural Gas", IF($C$36&lt;&gt;"Custom", VLOOKUP($H71,'Misc. Data &amp; Mechanisms'!$A$1483:$H$1574,MATCH($B$22,'Misc. Data &amp; Mechanisms'!$B$1483:$H$1483,0)+1,FALSE),VLOOKUP($H71,$X$3:$AB$93,3,FALSE)),  IF($C$37&lt;&gt;"Custom", VLOOKUP($H71,'Misc. Data &amp; Mechanisms'!$A$1483:$H$1574,MATCH($B$23,'Misc. Data &amp; Mechanisms'!$B$1483:$H$1483,0)+1,FALSE),VLOOKUP($H71,$X$3:$AB$93,3,FALSE))),""))</f>
        <v>0.2064</v>
      </c>
      <c r="L71" s="1531">
        <f ca="1">IF(OR($H71="",$I71=""),"",IF($I71="Not Applicable", "-",IF($B$34&lt;&gt;"Natural Gas",VLOOKUP($H71,'Electricity Bill'!$A$5:$AR$96,6,FALSE),VLOOKUP($H71,'Natural Gas Bill'!$A$5:$AS$96,6,FALSE))))</f>
        <v>76.278948511532576</v>
      </c>
      <c r="M71" s="1522">
        <f>IF($T71="", "", IFERROR(IF($B$30="Yes", $V71, IF($B$34="Both",IF($C$32="Apartment","Not Applicable", VLOOKUP($H71, 'Misc. Data &amp; Mechanisms'!$E$280:$H$369, HLOOKUP($C$32,'Misc. Data &amp; Mechanisms'!$E$277:$H$279, 3, FALSE), FALSE)),"")), ""))</f>
        <v>2.7079094858985315</v>
      </c>
      <c r="N71" s="1530">
        <f>IF($X71="", "",IFERROR(IF($B$34="Both",IF($C$37&lt;&gt;"Custom", IF($C$37 = "DRT", VLOOKUP($H71,'Misc. Data &amp; Mechanisms'!$A$1381:$D$1471,MATCH($B$23,'Misc. Data &amp; Mechanisms'!$B$1381:$D$1381,0)+1,FALSE)),IF($C$36="Custom",VLOOKUP($H71,$X$3:$AB$93,4,FALSE),VLOOKUP($H71,$X$3:$AB$93,2,FALSE))),""),""))</f>
        <v>2.3279999999999998</v>
      </c>
      <c r="O71" s="1529">
        <f>IF($X71="", "",IFERROR(IF($B$34="Both",IF($C$37&lt;&gt;"Custom", VLOOKUP($H71,'Misc. Data &amp; Mechanisms'!$A$1483:$H$1574,MATCH($B$23,'Misc. Data &amp; Mechanisms'!$B$1483:$H$1483,0)+1,FALSE),IF($C$36="Custom",VLOOKUP($H71,$X$3:$AB$93,5,FALSE),VLOOKUP($H71,$X$3:$AB$93,3,FALSE))),""),""))</f>
        <v>0.249</v>
      </c>
      <c r="P71" s="1531">
        <f ca="1">IF(OR($H71="",$M71=""), "", IF($M71="Not Applicable", "-",VLOOKUP($H71,'Natural Gas Bill'!$A$5:$AS$96,6,FALSE)))</f>
        <v>53.567577467174374</v>
      </c>
      <c r="Q71" s="33"/>
      <c r="S71" s="30"/>
      <c r="T71" s="1521">
        <f>IF($B$25="Yes", 'Misc. Data &amp; Mechanisms'!$A130,IF(T70="", "", IF(($H70+DAY(DATE(YEAR($H70),MONTH($H70)+1,1)-1))&lt;=$C$28, ($H70+DAY(DATE(YEAR($H70),MONTH($H70)+1,1)-1)), "")))</f>
        <v>42948</v>
      </c>
      <c r="U71" s="1519"/>
      <c r="V71" s="1519"/>
      <c r="W71" s="1352"/>
      <c r="X71" s="1521">
        <f>IF($B$25="Yes", 'Misc. Data &amp; Mechanisms'!$A130,IF(X70="", "", IF(($H70+DAY(DATE(YEAR($H70),MONTH($H70)+1,1)-1))&lt;=$C$28, ($H70+DAY(DATE(YEAR($H70),MONTH($H70)+1,1)-1)), "")))</f>
        <v>42948</v>
      </c>
      <c r="Y71" s="1519"/>
      <c r="Z71" s="1519"/>
      <c r="AA71" s="1520"/>
      <c r="AB71" s="1520"/>
      <c r="AC71" s="1362"/>
      <c r="AD71" s="1363"/>
    </row>
    <row r="72" spans="7:30" ht="18" customHeight="1" x14ac:dyDescent="0.3">
      <c r="G72" s="30"/>
      <c r="H72" s="1521">
        <f>IF($B$25="Yes", 'Misc. Data &amp; Mechanisms'!$A131,IF(H71="", "", IF(($H71+DAY(DATE(YEAR($H71),MONTH($H71)+1,1)-1))&lt;=$C$28, ($H71+DAY(DATE(YEAR($H71),MONTH($H71)+1,1)-1)), "")))</f>
        <v>42979</v>
      </c>
      <c r="I72" s="1522">
        <f>IF($T72="", "",IFERROR(IF($B$30="Yes", VLOOKUP($H72, $T$3:$V$93, 2, FALSE), IF($B$34&lt;&gt;"Natural Gas", VLOOKUP($H72, 'Misc. Data &amp; Mechanisms'!$A$280:$D$369, HLOOKUP($C$32,'Misc. Data &amp; Mechanisms'!$A$277:$D$279, 3, FALSE), FALSE), IF($C$32="Apartment", "Not Applicable",VLOOKUP($H72, 'Misc. Data &amp; Mechanisms'!$E$280:$H$369, HLOOKUP($C$32,'Misc. Data &amp; Mechanisms'!$E$277:$H$279, 3, FALSE), FALSE)))), ""))</f>
        <v>509.90285276586809</v>
      </c>
      <c r="J72" s="1529">
        <f>IF($X72="", "",IFERROR(IF($B$34&lt;&gt;"Natural Gas", IF($C$36&lt;&gt;"Custom", IF($C$36 = "RRO (Capped)", VLOOKUP($H72,'Misc. Data &amp; Mechanisms'!$A$1278:$E$1368,MATCH($B$22,'Misc. Data &amp; Mechanisms'!$B$1278:$E$1278,0)+1,FALSE), VLOOKUP($H72,'Misc. Data &amp; Mechanisms'!$G$1278:$K$1368,MATCH($B$22,'Misc. Data &amp; Mechanisms'!$H$1278:$K$1278,0)+1,FALSE)),VLOOKUP($H72,$X$3:$AB$93,2,FALSE)),  IF($C$37&lt;&gt;"Custom", IF($C$37 = "DRT", VLOOKUP($H72,'Misc. Data &amp; Mechanisms'!$A$1381:$D$1471,MATCH($B$23,'Misc. Data &amp; Mechanisms'!$B$1381:$D$1381,0)+1,FALSE)),VLOOKUP($H72,$X$3:$AB$93,2,FALSE))),""))</f>
        <v>3.766</v>
      </c>
      <c r="K72" s="1529">
        <f>IF($X72="", "",IFERROR(IF($B$34&lt;&gt;"Natural Gas", IF($C$36&lt;&gt;"Custom", VLOOKUP($H72,'Misc. Data &amp; Mechanisms'!$A$1483:$H$1574,MATCH($B$22,'Misc. Data &amp; Mechanisms'!$B$1483:$H$1483,0)+1,FALSE),VLOOKUP($H72,$X$3:$AB$93,3,FALSE)),  IF($C$37&lt;&gt;"Custom", VLOOKUP($H72,'Misc. Data &amp; Mechanisms'!$A$1483:$H$1574,MATCH($B$23,'Misc. Data &amp; Mechanisms'!$B$1483:$H$1483,0)+1,FALSE),VLOOKUP($H72,$X$3:$AB$93,3,FALSE))),""))</f>
        <v>0.2064</v>
      </c>
      <c r="L72" s="1531">
        <f ca="1">IF(OR($H72="",$I72=""),"",IF($I72="Not Applicable", "-",IF($B$34&lt;&gt;"Natural Gas",VLOOKUP($H72,'Electricity Bill'!$A$5:$AR$96,6,FALSE),VLOOKUP($H72,'Natural Gas Bill'!$A$5:$AS$96,6,FALSE))))</f>
        <v>73.42519585960018</v>
      </c>
      <c r="M72" s="1522">
        <f>IF($T72="", "", IFERROR(IF($B$30="Yes", $V72, IF($B$34="Both",IF($C$32="Apartment","Not Applicable", VLOOKUP($H72, 'Misc. Data &amp; Mechanisms'!$E$280:$H$369, HLOOKUP($C$32,'Misc. Data &amp; Mechanisms'!$E$277:$H$279, 3, FALSE), FALSE)),"")), ""))</f>
        <v>5.3309229069401551</v>
      </c>
      <c r="N72" s="1530">
        <f>IF($X72="", "",IFERROR(IF($B$34="Both",IF($C$37&lt;&gt;"Custom", IF($C$37 = "DRT", VLOOKUP($H72,'Misc. Data &amp; Mechanisms'!$A$1381:$D$1471,MATCH($B$23,'Misc. Data &amp; Mechanisms'!$B$1381:$D$1381,0)+1,FALSE)),IF($C$36="Custom",VLOOKUP($H72,$X$3:$AB$93,4,FALSE),VLOOKUP($H72,$X$3:$AB$93,2,FALSE))),""),""))</f>
        <v>1.4339999999999999</v>
      </c>
      <c r="O72" s="1529">
        <f>IF($X72="", "",IFERROR(IF($B$34="Both",IF($C$37&lt;&gt;"Custom", VLOOKUP($H72,'Misc. Data &amp; Mechanisms'!$A$1483:$H$1574,MATCH($B$23,'Misc. Data &amp; Mechanisms'!$B$1483:$H$1483,0)+1,FALSE),IF($C$36="Custom",VLOOKUP($H72,$X$3:$AB$93,5,FALSE),VLOOKUP($H72,$X$3:$AB$93,3,FALSE))),""),""))</f>
        <v>0.249</v>
      </c>
      <c r="P72" s="1531">
        <f ca="1">IF(OR($H72="",$M72=""), "", IF($M72="Not Applicable", "-",VLOOKUP($H72,'Natural Gas Bill'!$A$5:$AS$96,6,FALSE)))</f>
        <v>61.991489151410498</v>
      </c>
      <c r="Q72" s="33"/>
      <c r="S72" s="30"/>
      <c r="T72" s="1521">
        <f>IF($B$25="Yes", 'Misc. Data &amp; Mechanisms'!$A131,IF(T71="", "", IF(($H71+DAY(DATE(YEAR($H71),MONTH($H71)+1,1)-1))&lt;=$C$28, ($H71+DAY(DATE(YEAR($H71),MONTH($H71)+1,1)-1)), "")))</f>
        <v>42979</v>
      </c>
      <c r="U72" s="1519"/>
      <c r="V72" s="1519"/>
      <c r="W72" s="1352"/>
      <c r="X72" s="1521">
        <f>IF($B$25="Yes", 'Misc. Data &amp; Mechanisms'!$A131,IF(X71="", "", IF(($H71+DAY(DATE(YEAR($H71),MONTH($H71)+1,1)-1))&lt;=$C$28, ($H71+DAY(DATE(YEAR($H71),MONTH($H71)+1,1)-1)), "")))</f>
        <v>42979</v>
      </c>
      <c r="Y72" s="1519"/>
      <c r="Z72" s="1519"/>
      <c r="AA72" s="1520"/>
      <c r="AB72" s="1520"/>
      <c r="AC72" s="1362"/>
      <c r="AD72" s="1363"/>
    </row>
    <row r="73" spans="7:30" ht="18" customHeight="1" x14ac:dyDescent="0.3">
      <c r="G73" s="30"/>
      <c r="H73" s="1521">
        <f>IF($B$25="Yes", 'Misc. Data &amp; Mechanisms'!$A132,IF(H72="", "", IF(($H72+DAY(DATE(YEAR($H72),MONTH($H72)+1,1)-1))&lt;=$C$28, ($H72+DAY(DATE(YEAR($H72),MONTH($H72)+1,1)-1)), "")))</f>
        <v>43009</v>
      </c>
      <c r="I73" s="1522">
        <f>IF($T73="", "",IFERROR(IF($B$30="Yes", VLOOKUP($H73, $T$3:$V$93, 2, FALSE), IF($B$34&lt;&gt;"Natural Gas", VLOOKUP($H73, 'Misc. Data &amp; Mechanisms'!$A$280:$D$369, HLOOKUP($C$32,'Misc. Data &amp; Mechanisms'!$A$277:$D$279, 3, FALSE), FALSE), IF($C$32="Apartment", "Not Applicable",VLOOKUP($H73, 'Misc. Data &amp; Mechanisms'!$E$280:$H$369, HLOOKUP($C$32,'Misc. Data &amp; Mechanisms'!$E$277:$H$279, 3, FALSE), FALSE)))), ""))</f>
        <v>551.15949519938317</v>
      </c>
      <c r="J73" s="1529">
        <f>IF($X73="", "",IFERROR(IF($B$34&lt;&gt;"Natural Gas", IF($C$36&lt;&gt;"Custom", IF($C$36 = "RRO (Capped)", VLOOKUP($H73,'Misc. Data &amp; Mechanisms'!$A$1278:$E$1368,MATCH($B$22,'Misc. Data &amp; Mechanisms'!$B$1278:$E$1278,0)+1,FALSE), VLOOKUP($H73,'Misc. Data &amp; Mechanisms'!$G$1278:$K$1368,MATCH($B$22,'Misc. Data &amp; Mechanisms'!$H$1278:$K$1278,0)+1,FALSE)),VLOOKUP($H73,$X$3:$AB$93,2,FALSE)),  IF($C$37&lt;&gt;"Custom", IF($C$37 = "DRT", VLOOKUP($H73,'Misc. Data &amp; Mechanisms'!$A$1381:$D$1471,MATCH($B$23,'Misc. Data &amp; Mechanisms'!$B$1381:$D$1381,0)+1,FALSE)),VLOOKUP($H73,$X$3:$AB$93,2,FALSE))),""))</f>
        <v>3.8519999999999999</v>
      </c>
      <c r="K73" s="1529">
        <f>IF($X73="", "",IFERROR(IF($B$34&lt;&gt;"Natural Gas", IF($C$36&lt;&gt;"Custom", VLOOKUP($H73,'Misc. Data &amp; Mechanisms'!$A$1483:$H$1574,MATCH($B$22,'Misc. Data &amp; Mechanisms'!$B$1483:$H$1483,0)+1,FALSE),VLOOKUP($H73,$X$3:$AB$93,3,FALSE)),  IF($C$37&lt;&gt;"Custom", VLOOKUP($H73,'Misc. Data &amp; Mechanisms'!$A$1483:$H$1574,MATCH($B$23,'Misc. Data &amp; Mechanisms'!$B$1483:$H$1483,0)+1,FALSE),VLOOKUP($H73,$X$3:$AB$93,3,FALSE))),""))</f>
        <v>0.2064</v>
      </c>
      <c r="L73" s="1531">
        <f ca="1">IF(OR($H73="",$I73=""),"",IF($I73="Not Applicable", "-",IF($B$34&lt;&gt;"Natural Gas",VLOOKUP($H73,'Electricity Bill'!$A$5:$AR$96,6,FALSE),VLOOKUP($H73,'Natural Gas Bill'!$A$5:$AS$96,6,FALSE))))</f>
        <v>78.635927532328026</v>
      </c>
      <c r="M73" s="1522">
        <f>IF($T73="", "", IFERROR(IF($B$30="Yes", $V73, IF($B$34="Both",IF($C$32="Apartment","Not Applicable", VLOOKUP($H73, 'Misc. Data &amp; Mechanisms'!$E$280:$H$369, HLOOKUP($C$32,'Misc. Data &amp; Mechanisms'!$E$277:$H$279, 3, FALSE), FALSE)),"")), ""))</f>
        <v>9.9233084229462563</v>
      </c>
      <c r="N73" s="1530">
        <f>IF($X73="", "",IFERROR(IF($B$34="Both",IF($C$37&lt;&gt;"Custom", IF($C$37 = "DRT", VLOOKUP($H73,'Misc. Data &amp; Mechanisms'!$A$1381:$D$1471,MATCH($B$23,'Misc. Data &amp; Mechanisms'!$B$1381:$D$1381,0)+1,FALSE)),IF($C$36="Custom",VLOOKUP($H73,$X$3:$AB$93,4,FALSE),VLOOKUP($H73,$X$3:$AB$93,2,FALSE))),""),""))</f>
        <v>1.6819999999999999</v>
      </c>
      <c r="O73" s="1529">
        <f>IF($X73="", "",IFERROR(IF($B$34="Both",IF($C$37&lt;&gt;"Custom", VLOOKUP($H73,'Misc. Data &amp; Mechanisms'!$A$1483:$H$1574,MATCH($B$23,'Misc. Data &amp; Mechanisms'!$B$1483:$H$1483,0)+1,FALSE),IF($C$36="Custom",VLOOKUP($H73,$X$3:$AB$93,5,FALSE),VLOOKUP($H73,$X$3:$AB$93,3,FALSE))),""),""))</f>
        <v>0.249</v>
      </c>
      <c r="P73" s="1531">
        <f ca="1">IF(OR($H73="",$M73=""), "", IF($M73="Not Applicable", "-",VLOOKUP($H73,'Natural Gas Bill'!$A$5:$AS$96,6,FALSE)))</f>
        <v>87.916472197210851</v>
      </c>
      <c r="Q73" s="33"/>
      <c r="S73" s="30"/>
      <c r="T73" s="1521">
        <f>IF($B$25="Yes", 'Misc. Data &amp; Mechanisms'!$A132,IF(T72="", "", IF(($H72+DAY(DATE(YEAR($H72),MONTH($H72)+1,1)-1))&lt;=$C$28, ($H72+DAY(DATE(YEAR($H72),MONTH($H72)+1,1)-1)), "")))</f>
        <v>43009</v>
      </c>
      <c r="U73" s="1519"/>
      <c r="V73" s="1519"/>
      <c r="W73" s="1352"/>
      <c r="X73" s="1521">
        <f>IF($B$25="Yes", 'Misc. Data &amp; Mechanisms'!$A132,IF(X72="", "", IF(($H72+DAY(DATE(YEAR($H72),MONTH($H72)+1,1)-1))&lt;=$C$28, ($H72+DAY(DATE(YEAR($H72),MONTH($H72)+1,1)-1)), "")))</f>
        <v>43009</v>
      </c>
      <c r="Y73" s="1519"/>
      <c r="Z73" s="1519"/>
      <c r="AA73" s="1520"/>
      <c r="AB73" s="1520"/>
      <c r="AC73" s="1362"/>
      <c r="AD73" s="1363"/>
    </row>
    <row r="74" spans="7:30" ht="18" customHeight="1" x14ac:dyDescent="0.3">
      <c r="G74" s="30"/>
      <c r="H74" s="1521">
        <f>IF($B$25="Yes", 'Misc. Data &amp; Mechanisms'!$A133,IF(H73="", "", IF(($H73+DAY(DATE(YEAR($H73),MONTH($H73)+1,1)-1))&lt;=$C$28, ($H73+DAY(DATE(YEAR($H73),MONTH($H73)+1,1)-1)), "")))</f>
        <v>43040</v>
      </c>
      <c r="I74" s="1522">
        <f>IF($T74="", "",IFERROR(IF($B$30="Yes", VLOOKUP($H74, $T$3:$V$93, 2, FALSE), IF($B$34&lt;&gt;"Natural Gas", VLOOKUP($H74, 'Misc. Data &amp; Mechanisms'!$A$280:$D$369, HLOOKUP($C$32,'Misc. Data &amp; Mechanisms'!$A$277:$D$279, 3, FALSE), FALSE), IF($C$32="Apartment", "Not Applicable",VLOOKUP($H74, 'Misc. Data &amp; Mechanisms'!$E$280:$H$369, HLOOKUP($C$32,'Misc. Data &amp; Mechanisms'!$E$277:$H$279, 3, FALSE), FALSE)))), ""))</f>
        <v>603.38881925349096</v>
      </c>
      <c r="J74" s="1529">
        <f>IF($X74="", "",IFERROR(IF($B$34&lt;&gt;"Natural Gas", IF($C$36&lt;&gt;"Custom", IF($C$36 = "RRO (Capped)", VLOOKUP($H74,'Misc. Data &amp; Mechanisms'!$A$1278:$E$1368,MATCH($B$22,'Misc. Data &amp; Mechanisms'!$B$1278:$E$1278,0)+1,FALSE), VLOOKUP($H74,'Misc. Data &amp; Mechanisms'!$G$1278:$K$1368,MATCH($B$22,'Misc. Data &amp; Mechanisms'!$H$1278:$K$1278,0)+1,FALSE)),VLOOKUP($H74,$X$3:$AB$93,2,FALSE)),  IF($C$37&lt;&gt;"Custom", IF($C$37 = "DRT", VLOOKUP($H74,'Misc. Data &amp; Mechanisms'!$A$1381:$D$1471,MATCH($B$23,'Misc. Data &amp; Mechanisms'!$B$1381:$D$1381,0)+1,FALSE)),VLOOKUP($H74,$X$3:$AB$93,2,FALSE))),""))</f>
        <v>3.653</v>
      </c>
      <c r="K74" s="1529">
        <f>IF($X74="", "",IFERROR(IF($B$34&lt;&gt;"Natural Gas", IF($C$36&lt;&gt;"Custom", VLOOKUP($H74,'Misc. Data &amp; Mechanisms'!$A$1483:$H$1574,MATCH($B$22,'Misc. Data &amp; Mechanisms'!$B$1483:$H$1483,0)+1,FALSE),VLOOKUP($H74,$X$3:$AB$93,3,FALSE)),  IF($C$37&lt;&gt;"Custom", VLOOKUP($H74,'Misc. Data &amp; Mechanisms'!$A$1483:$H$1574,MATCH($B$23,'Misc. Data &amp; Mechanisms'!$B$1483:$H$1483,0)+1,FALSE),VLOOKUP($H74,$X$3:$AB$93,3,FALSE))),""))</f>
        <v>0.2064</v>
      </c>
      <c r="L74" s="1531">
        <f ca="1">IF(OR($H74="",$I74=""),"",IF($I74="Not Applicable", "-",IF($B$34&lt;&gt;"Natural Gas",VLOOKUP($H74,'Electricity Bill'!$A$5:$AR$96,6,FALSE),VLOOKUP($H74,'Natural Gas Bill'!$A$5:$AS$96,6,FALSE))))</f>
        <v>81.538955698710438</v>
      </c>
      <c r="M74" s="1522">
        <f>IF($T74="", "", IFERROR(IF($B$30="Yes", $V74, IF($B$34="Both",IF($C$32="Apartment","Not Applicable", VLOOKUP($H74, 'Misc. Data &amp; Mechanisms'!$E$280:$H$369, HLOOKUP($C$32,'Misc. Data &amp; Mechanisms'!$E$277:$H$279, 3, FALSE), FALSE)),"")), ""))</f>
        <v>17.884936436085585</v>
      </c>
      <c r="N74" s="1530">
        <f>IF($X74="", "",IFERROR(IF($B$34="Both",IF($C$37&lt;&gt;"Custom", IF($C$37 = "DRT", VLOOKUP($H74,'Misc. Data &amp; Mechanisms'!$A$1381:$D$1471,MATCH($B$23,'Misc. Data &amp; Mechanisms'!$B$1381:$D$1381,0)+1,FALSE)),IF($C$36="Custom",VLOOKUP($H74,$X$3:$AB$93,4,FALSE),VLOOKUP($H74,$X$3:$AB$93,2,FALSE))),""),""))</f>
        <v>1.825</v>
      </c>
      <c r="O74" s="1529">
        <f>IF($X74="", "",IFERROR(IF($B$34="Both",IF($C$37&lt;&gt;"Custom", VLOOKUP($H74,'Misc. Data &amp; Mechanisms'!$A$1483:$H$1574,MATCH($B$23,'Misc. Data &amp; Mechanisms'!$B$1483:$H$1483,0)+1,FALSE),IF($C$36="Custom",VLOOKUP($H74,$X$3:$AB$93,5,FALSE),VLOOKUP($H74,$X$3:$AB$93,3,FALSE))),""),""))</f>
        <v>0.249</v>
      </c>
      <c r="P74" s="1531">
        <f ca="1">IF(OR($H74="",$M74=""), "", IF($M74="Not Applicable", "-",VLOOKUP($H74,'Natural Gas Bill'!$A$5:$AS$96,6,FALSE)))</f>
        <v>129.83186386517079</v>
      </c>
      <c r="Q74" s="33"/>
      <c r="S74" s="30"/>
      <c r="T74" s="1521">
        <f>IF($B$25="Yes", 'Misc. Data &amp; Mechanisms'!$A133,IF(T73="", "", IF(($H73+DAY(DATE(YEAR($H73),MONTH($H73)+1,1)-1))&lt;=$C$28, ($H73+DAY(DATE(YEAR($H73),MONTH($H73)+1,1)-1)), "")))</f>
        <v>43040</v>
      </c>
      <c r="U74" s="1519"/>
      <c r="V74" s="1519"/>
      <c r="W74" s="1352"/>
      <c r="X74" s="1521">
        <f>IF($B$25="Yes", 'Misc. Data &amp; Mechanisms'!$A133,IF(X73="", "", IF(($H73+DAY(DATE(YEAR($H73),MONTH($H73)+1,1)-1))&lt;=$C$28, ($H73+DAY(DATE(YEAR($H73),MONTH($H73)+1,1)-1)), "")))</f>
        <v>43040</v>
      </c>
      <c r="Y74" s="1519"/>
      <c r="Z74" s="1519"/>
      <c r="AA74" s="1520"/>
      <c r="AB74" s="1520"/>
      <c r="AC74" s="1362"/>
      <c r="AD74" s="1363"/>
    </row>
    <row r="75" spans="7:30" ht="18" customHeight="1" x14ac:dyDescent="0.3">
      <c r="G75" s="30"/>
      <c r="H75" s="1521">
        <f>IF($B$25="Yes", 'Misc. Data &amp; Mechanisms'!$A134,IF(H74="", "", IF(($H74+DAY(DATE(YEAR($H74),MONTH($H74)+1,1)-1))&lt;=$C$28, ($H74+DAY(DATE(YEAR($H74),MONTH($H74)+1,1)-1)), "")))</f>
        <v>43070</v>
      </c>
      <c r="I75" s="1522">
        <f>IF($T75="", "",IFERROR(IF($B$30="Yes", VLOOKUP($H75, $T$3:$V$93, 2, FALSE), IF($B$34&lt;&gt;"Natural Gas", VLOOKUP($H75, 'Misc. Data &amp; Mechanisms'!$A$280:$D$369, HLOOKUP($C$32,'Misc. Data &amp; Mechanisms'!$A$277:$D$279, 3, FALSE), FALSE), IF($C$32="Apartment", "Not Applicable",VLOOKUP($H75, 'Misc. Data &amp; Mechanisms'!$E$280:$H$369, HLOOKUP($C$32,'Misc. Data &amp; Mechanisms'!$E$277:$H$279, 3, FALSE), FALSE)))), ""))</f>
        <v>678.71552709613513</v>
      </c>
      <c r="J75" s="1529">
        <f>IF($X75="", "",IFERROR(IF($B$34&lt;&gt;"Natural Gas", IF($C$36&lt;&gt;"Custom", IF($C$36 = "RRO (Capped)", VLOOKUP($H75,'Misc. Data &amp; Mechanisms'!$A$1278:$E$1368,MATCH($B$22,'Misc. Data &amp; Mechanisms'!$B$1278:$E$1278,0)+1,FALSE), VLOOKUP($H75,'Misc. Data &amp; Mechanisms'!$G$1278:$K$1368,MATCH($B$22,'Misc. Data &amp; Mechanisms'!$H$1278:$K$1278,0)+1,FALSE)),VLOOKUP($H75,$X$3:$AB$93,2,FALSE)),  IF($C$37&lt;&gt;"Custom", IF($C$37 = "DRT", VLOOKUP($H75,'Misc. Data &amp; Mechanisms'!$A$1381:$D$1471,MATCH($B$23,'Misc. Data &amp; Mechanisms'!$B$1381:$D$1381,0)+1,FALSE)),VLOOKUP($H75,$X$3:$AB$93,2,FALSE))),""))</f>
        <v>3.996</v>
      </c>
      <c r="K75" s="1529">
        <f>IF($X75="", "",IFERROR(IF($B$34&lt;&gt;"Natural Gas", IF($C$36&lt;&gt;"Custom", VLOOKUP($H75,'Misc. Data &amp; Mechanisms'!$A$1483:$H$1574,MATCH($B$22,'Misc. Data &amp; Mechanisms'!$B$1483:$H$1483,0)+1,FALSE),VLOOKUP($H75,$X$3:$AB$93,3,FALSE)),  IF($C$37&lt;&gt;"Custom", VLOOKUP($H75,'Misc. Data &amp; Mechanisms'!$A$1483:$H$1574,MATCH($B$23,'Misc. Data &amp; Mechanisms'!$B$1483:$H$1483,0)+1,FALSE),VLOOKUP($H75,$X$3:$AB$93,3,FALSE))),""))</f>
        <v>0.2064</v>
      </c>
      <c r="L75" s="1531">
        <f ca="1">IF(OR($H75="",$I75=""),"",IF($I75="Not Applicable", "-",IF($B$34&lt;&gt;"Natural Gas",VLOOKUP($H75,'Electricity Bill'!$A$5:$AR$96,6,FALSE),VLOOKUP($H75,'Natural Gas Bill'!$A$5:$AS$96,6,FALSE))))</f>
        <v>92.239618493565786</v>
      </c>
      <c r="M75" s="1522">
        <f>IF($T75="", "", IFERROR(IF($B$30="Yes", $V75, IF($B$34="Both",IF($C$32="Apartment","Not Applicable", VLOOKUP($H75, 'Misc. Data &amp; Mechanisms'!$E$280:$H$369, HLOOKUP($C$32,'Misc. Data &amp; Mechanisms'!$E$277:$H$279, 3, FALSE), FALSE)),"")), ""))</f>
        <v>16.79731043937776</v>
      </c>
      <c r="N75" s="1530">
        <f>IF($X75="", "",IFERROR(IF($B$34="Both",IF($C$37&lt;&gt;"Custom", IF($C$37 = "DRT", VLOOKUP($H75,'Misc. Data &amp; Mechanisms'!$A$1381:$D$1471,MATCH($B$23,'Misc. Data &amp; Mechanisms'!$B$1381:$D$1381,0)+1,FALSE)),IF($C$36="Custom",VLOOKUP($H75,$X$3:$AB$93,4,FALSE),VLOOKUP($H75,$X$3:$AB$93,2,FALSE))),""),""))</f>
        <v>2.3029999999999999</v>
      </c>
      <c r="O75" s="1529">
        <f>IF($X75="", "",IFERROR(IF($B$34="Both",IF($C$37&lt;&gt;"Custom", VLOOKUP($H75,'Misc. Data &amp; Mechanisms'!$A$1483:$H$1574,MATCH($B$23,'Misc. Data &amp; Mechanisms'!$B$1483:$H$1483,0)+1,FALSE),IF($C$36="Custom",VLOOKUP($H75,$X$3:$AB$93,5,FALSE),VLOOKUP($H75,$X$3:$AB$93,3,FALSE))),""),""))</f>
        <v>0.249</v>
      </c>
      <c r="P75" s="1531">
        <f ca="1">IF(OR($H75="",$M75=""), "", IF($M75="Not Applicable", "-",VLOOKUP($H75,'Natural Gas Bill'!$A$5:$AS$96,6,FALSE)))</f>
        <v>134.75395540569266</v>
      </c>
      <c r="Q75" s="33"/>
      <c r="S75" s="30"/>
      <c r="T75" s="1521">
        <f>IF($B$25="Yes", 'Misc. Data &amp; Mechanisms'!$A134,IF(T74="", "", IF(($H74+DAY(DATE(YEAR($H74),MONTH($H74)+1,1)-1))&lt;=$C$28, ($H74+DAY(DATE(YEAR($H74),MONTH($H74)+1,1)-1)), "")))</f>
        <v>43070</v>
      </c>
      <c r="U75" s="1519"/>
      <c r="V75" s="1519"/>
      <c r="W75" s="1352"/>
      <c r="X75" s="1521">
        <f>IF($B$25="Yes", 'Misc. Data &amp; Mechanisms'!$A134,IF(X74="", "", IF(($H74+DAY(DATE(YEAR($H74),MONTH($H74)+1,1)-1))&lt;=$C$28, ($H74+DAY(DATE(YEAR($H74),MONTH($H74)+1,1)-1)), "")))</f>
        <v>43070</v>
      </c>
      <c r="Y75" s="1519"/>
      <c r="Z75" s="1519"/>
      <c r="AA75" s="1520"/>
      <c r="AB75" s="1520"/>
      <c r="AC75" s="1362"/>
      <c r="AD75" s="1363"/>
    </row>
    <row r="76" spans="7:30" ht="18" customHeight="1" x14ac:dyDescent="0.3">
      <c r="G76" s="30"/>
      <c r="H76" s="1521">
        <f>IF($B$25="Yes", 'Misc. Data &amp; Mechanisms'!$A135,IF(H75="", "", IF(($H75+DAY(DATE(YEAR($H75),MONTH($H75)+1,1)-1))&lt;=$C$28, ($H75+DAY(DATE(YEAR($H75),MONTH($H75)+1,1)-1)), "")))</f>
        <v>43101</v>
      </c>
      <c r="I76" s="1522">
        <f>IF($T76="", "",IFERROR(IF($B$30="Yes", VLOOKUP($H76, $T$3:$V$93, 2, FALSE), IF($B$34&lt;&gt;"Natural Gas", VLOOKUP($H76, 'Misc. Data &amp; Mechanisms'!$A$280:$D$369, HLOOKUP($C$32,'Misc. Data &amp; Mechanisms'!$A$277:$D$279, 3, FALSE), FALSE), IF($C$32="Apartment", "Not Applicable",VLOOKUP($H76, 'Misc. Data &amp; Mechanisms'!$E$280:$H$369, HLOOKUP($C$32,'Misc. Data &amp; Mechanisms'!$E$277:$H$279, 3, FALSE), FALSE)))), ""))</f>
        <v>635.97821266527023</v>
      </c>
      <c r="J76" s="1529">
        <f>IF($X76="", "",IFERROR(IF($B$34&lt;&gt;"Natural Gas", IF($C$36&lt;&gt;"Custom", IF($C$36 = "RRO (Capped)", VLOOKUP($H76,'Misc. Data &amp; Mechanisms'!$A$1278:$E$1368,MATCH($B$22,'Misc. Data &amp; Mechanisms'!$B$1278:$E$1278,0)+1,FALSE), VLOOKUP($H76,'Misc. Data &amp; Mechanisms'!$G$1278:$K$1368,MATCH($B$22,'Misc. Data &amp; Mechanisms'!$H$1278:$K$1278,0)+1,FALSE)),VLOOKUP($H76,$X$3:$AB$93,2,FALSE)),  IF($C$37&lt;&gt;"Custom", IF($C$37 = "DRT", VLOOKUP($H76,'Misc. Data &amp; Mechanisms'!$A$1381:$D$1471,MATCH($B$23,'Misc. Data &amp; Mechanisms'!$B$1381:$D$1381,0)+1,FALSE)),VLOOKUP($H76,$X$3:$AB$93,2,FALSE))),""))</f>
        <v>5.1120000000000001</v>
      </c>
      <c r="K76" s="1529">
        <f>IF($X76="", "",IFERROR(IF($B$34&lt;&gt;"Natural Gas", IF($C$36&lt;&gt;"Custom", VLOOKUP($H76,'Misc. Data &amp; Mechanisms'!$A$1483:$H$1574,MATCH($B$22,'Misc. Data &amp; Mechanisms'!$B$1483:$H$1483,0)+1,FALSE),VLOOKUP($H76,$X$3:$AB$93,3,FALSE)),  IF($C$37&lt;&gt;"Custom", VLOOKUP($H76,'Misc. Data &amp; Mechanisms'!$A$1483:$H$1574,MATCH($B$23,'Misc. Data &amp; Mechanisms'!$B$1483:$H$1483,0)+1,FALSE),VLOOKUP($H76,$X$3:$AB$93,3,FALSE))),""))</f>
        <v>0.2064</v>
      </c>
      <c r="L76" s="1531">
        <f ca="1">IF(OR($H76="",$I76=""),"",IF($I76="Not Applicable", "-",IF($B$34&lt;&gt;"Natural Gas",VLOOKUP($H76,'Electricity Bill'!$A$5:$AR$96,6,FALSE),VLOOKUP($H76,'Natural Gas Bill'!$A$5:$AS$96,6,FALSE))))</f>
        <v>97.04768000615276</v>
      </c>
      <c r="M76" s="1522">
        <f>IF($T76="", "", IFERROR(IF($B$30="Yes", $V76, IF($B$34="Both",IF($C$32="Apartment","Not Applicable", VLOOKUP($H76, 'Misc. Data &amp; Mechanisms'!$E$280:$H$369, HLOOKUP($C$32,'Misc. Data &amp; Mechanisms'!$E$277:$H$279, 3, FALSE), FALSE)),"")), ""))</f>
        <v>19.379903428592719</v>
      </c>
      <c r="N76" s="1530">
        <f>IF($X76="", "",IFERROR(IF($B$34="Both",IF($C$37&lt;&gt;"Custom", IF($C$37 = "DRT", VLOOKUP($H76,'Misc. Data &amp; Mechanisms'!$A$1381:$D$1471,MATCH($B$23,'Misc. Data &amp; Mechanisms'!$B$1381:$D$1381,0)+1,FALSE)),IF($C$36="Custom",VLOOKUP($H76,$X$3:$AB$93,4,FALSE),VLOOKUP($H76,$X$3:$AB$93,2,FALSE))),""),""))</f>
        <v>1.911</v>
      </c>
      <c r="O76" s="1529">
        <f>IF($X76="", "",IFERROR(IF($B$34="Both",IF($C$37&lt;&gt;"Custom", VLOOKUP($H76,'Misc. Data &amp; Mechanisms'!$A$1483:$H$1574,MATCH($B$23,'Misc. Data &amp; Mechanisms'!$B$1483:$H$1483,0)+1,FALSE),IF($C$36="Custom",VLOOKUP($H76,$X$3:$AB$93,5,FALSE),VLOOKUP($H76,$X$3:$AB$93,3,FALSE))),""),""))</f>
        <v>0.249</v>
      </c>
      <c r="P76" s="1531">
        <f ca="1">IF(OR($H76="",$M76=""), "", IF($M76="Not Applicable", "-",VLOOKUP($H76,'Natural Gas Bill'!$A$5:$AS$96,6,FALSE)))</f>
        <v>151.08348440722767</v>
      </c>
      <c r="Q76" s="33"/>
      <c r="S76" s="30"/>
      <c r="T76" s="1521">
        <f>IF($B$25="Yes", 'Misc. Data &amp; Mechanisms'!$A135,IF(T75="", "", IF(($H75+DAY(DATE(YEAR($H75),MONTH($H75)+1,1)-1))&lt;=$C$28, ($H75+DAY(DATE(YEAR($H75),MONTH($H75)+1,1)-1)), "")))</f>
        <v>43101</v>
      </c>
      <c r="U76" s="1519"/>
      <c r="V76" s="1519"/>
      <c r="W76" s="1352"/>
      <c r="X76" s="1521">
        <f>IF($B$25="Yes", 'Misc. Data &amp; Mechanisms'!$A135,IF(X75="", "", IF(($H75+DAY(DATE(YEAR($H75),MONTH($H75)+1,1)-1))&lt;=$C$28, ($H75+DAY(DATE(YEAR($H75),MONTH($H75)+1,1)-1)), "")))</f>
        <v>43101</v>
      </c>
      <c r="Y76" s="1519"/>
      <c r="Z76" s="1519"/>
      <c r="AA76" s="1520"/>
      <c r="AB76" s="1520"/>
      <c r="AC76" s="1362"/>
      <c r="AD76" s="1363"/>
    </row>
    <row r="77" spans="7:30" ht="18" customHeight="1" x14ac:dyDescent="0.3">
      <c r="G77" s="30"/>
      <c r="H77" s="1521">
        <f>IF($B$25="Yes", 'Misc. Data &amp; Mechanisms'!$A136,IF(H76="", "", IF(($H76+DAY(DATE(YEAR($H76),MONTH($H76)+1,1)-1))&lt;=$C$28, ($H76+DAY(DATE(YEAR($H76),MONTH($H76)+1,1)-1)), "")))</f>
        <v>43132</v>
      </c>
      <c r="I77" s="1522">
        <f>IF($T77="", "",IFERROR(IF($B$30="Yes", VLOOKUP($H77, $T$3:$V$93, 2, FALSE), IF($B$34&lt;&gt;"Natural Gas", VLOOKUP($H77, 'Misc. Data &amp; Mechanisms'!$A$280:$D$369, HLOOKUP($C$32,'Misc. Data &amp; Mechanisms'!$A$277:$D$279, 3, FALSE), FALSE), IF($C$32="Apartment", "Not Applicable",VLOOKUP($H77, 'Misc. Data &amp; Mechanisms'!$E$280:$H$369, HLOOKUP($C$32,'Misc. Data &amp; Mechanisms'!$E$277:$H$279, 3, FALSE), FALSE)))), ""))</f>
        <v>594.37508025101431</v>
      </c>
      <c r="J77" s="1529">
        <f>IF($X77="", "",IFERROR(IF($B$34&lt;&gt;"Natural Gas", IF($C$36&lt;&gt;"Custom", IF($C$36 = "RRO (Capped)", VLOOKUP($H77,'Misc. Data &amp; Mechanisms'!$A$1278:$E$1368,MATCH($B$22,'Misc. Data &amp; Mechanisms'!$B$1278:$E$1278,0)+1,FALSE), VLOOKUP($H77,'Misc. Data &amp; Mechanisms'!$G$1278:$K$1368,MATCH($B$22,'Misc. Data &amp; Mechanisms'!$H$1278:$K$1278,0)+1,FALSE)),VLOOKUP($H77,$X$3:$AB$93,2,FALSE)),  IF($C$37&lt;&gt;"Custom", IF($C$37 = "DRT", VLOOKUP($H77,'Misc. Data &amp; Mechanisms'!$A$1381:$D$1471,MATCH($B$23,'Misc. Data &amp; Mechanisms'!$B$1381:$D$1381,0)+1,FALSE)),VLOOKUP($H77,$X$3:$AB$93,2,FALSE))),""))</f>
        <v>5.1829999999999998</v>
      </c>
      <c r="K77" s="1529">
        <f>IF($X77="", "",IFERROR(IF($B$34&lt;&gt;"Natural Gas", IF($C$36&lt;&gt;"Custom", VLOOKUP($H77,'Misc. Data &amp; Mechanisms'!$A$1483:$H$1574,MATCH($B$22,'Misc. Data &amp; Mechanisms'!$B$1483:$H$1483,0)+1,FALSE),VLOOKUP($H77,$X$3:$AB$93,3,FALSE)),  IF($C$37&lt;&gt;"Custom", VLOOKUP($H77,'Misc. Data &amp; Mechanisms'!$A$1483:$H$1574,MATCH($B$23,'Misc. Data &amp; Mechanisms'!$B$1483:$H$1483,0)+1,FALSE),VLOOKUP($H77,$X$3:$AB$93,3,FALSE))),""))</f>
        <v>0.2064</v>
      </c>
      <c r="L77" s="1531">
        <f ca="1">IF(OR($H77="",$I77=""),"",IF($I77="Not Applicable", "-",IF($B$34&lt;&gt;"Natural Gas",VLOOKUP($H77,'Electricity Bill'!$A$5:$AR$96,6,FALSE),VLOOKUP($H77,'Natural Gas Bill'!$A$5:$AS$96,6,FALSE))))</f>
        <v>90.414418526864011</v>
      </c>
      <c r="M77" s="1522">
        <f>IF($T77="", "", IFERROR(IF($B$30="Yes", $V77, IF($B$34="Both",IF($C$32="Apartment","Not Applicable", VLOOKUP($H77, 'Misc. Data &amp; Mechanisms'!$E$280:$H$369, HLOOKUP($C$32,'Misc. Data &amp; Mechanisms'!$E$277:$H$279, 3, FALSE), FALSE)),"")), ""))</f>
        <v>22.136199814862515</v>
      </c>
      <c r="N77" s="1530">
        <f>IF($X77="", "",IFERROR(IF($B$34="Both",IF($C$37&lt;&gt;"Custom", IF($C$37 = "DRT", VLOOKUP($H77,'Misc. Data &amp; Mechanisms'!$A$1381:$D$1471,MATCH($B$23,'Misc. Data &amp; Mechanisms'!$B$1381:$D$1381,0)+1,FALSE)),IF($C$36="Custom",VLOOKUP($H77,$X$3:$AB$93,4,FALSE),VLOOKUP($H77,$X$3:$AB$93,2,FALSE))),""),""))</f>
        <v>2.3279999999999998</v>
      </c>
      <c r="O77" s="1529">
        <f>IF($X77="", "",IFERROR(IF($B$34="Both",IF($C$37&lt;&gt;"Custom", VLOOKUP($H77,'Misc. Data &amp; Mechanisms'!$A$1483:$H$1574,MATCH($B$23,'Misc. Data &amp; Mechanisms'!$B$1483:$H$1483,0)+1,FALSE),IF($C$36="Custom",VLOOKUP($H77,$X$3:$AB$93,5,FALSE),VLOOKUP($H77,$X$3:$AB$93,3,FALSE))),""),""))</f>
        <v>0.249</v>
      </c>
      <c r="P77" s="1531">
        <f ca="1">IF(OR($H77="",$M77=""), "", IF($M77="Not Applicable", "-",VLOOKUP($H77,'Natural Gas Bill'!$A$5:$AS$96,6,FALSE)))</f>
        <v>174.28956965864296</v>
      </c>
      <c r="Q77" s="33"/>
      <c r="S77" s="30"/>
      <c r="T77" s="1521">
        <f>IF($B$25="Yes", 'Misc. Data &amp; Mechanisms'!$A136,IF(T76="", "", IF(($H76+DAY(DATE(YEAR($H76),MONTH($H76)+1,1)-1))&lt;=$C$28, ($H76+DAY(DATE(YEAR($H76),MONTH($H76)+1,1)-1)), "")))</f>
        <v>43132</v>
      </c>
      <c r="U77" s="1519"/>
      <c r="V77" s="1519"/>
      <c r="W77" s="1352"/>
      <c r="X77" s="1521">
        <f>IF($B$25="Yes", 'Misc. Data &amp; Mechanisms'!$A136,IF(X76="", "", IF(($H76+DAY(DATE(YEAR($H76),MONTH($H76)+1,1)-1))&lt;=$C$28, ($H76+DAY(DATE(YEAR($H76),MONTH($H76)+1,1)-1)), "")))</f>
        <v>43132</v>
      </c>
      <c r="Y77" s="1519"/>
      <c r="Z77" s="1519"/>
      <c r="AA77" s="1520"/>
      <c r="AB77" s="1520"/>
      <c r="AC77" s="1362"/>
      <c r="AD77" s="1363"/>
    </row>
    <row r="78" spans="7:30" ht="18" customHeight="1" x14ac:dyDescent="0.3">
      <c r="G78" s="30"/>
      <c r="H78" s="1521">
        <f>IF($B$25="Yes", 'Misc. Data &amp; Mechanisms'!$A137,IF(H77="", "", IF(($H77+DAY(DATE(YEAR($H77),MONTH($H77)+1,1)-1))&lt;=$C$28, ($H77+DAY(DATE(YEAR($H77),MONTH($H77)+1,1)-1)), "")))</f>
        <v>43160</v>
      </c>
      <c r="I78" s="1522">
        <f>IF($T78="", "",IFERROR(IF($B$30="Yes", VLOOKUP($H78, $T$3:$V$93, 2, FALSE), IF($B$34&lt;&gt;"Natural Gas", VLOOKUP($H78, 'Misc. Data &amp; Mechanisms'!$A$280:$D$369, HLOOKUP($C$32,'Misc. Data &amp; Mechanisms'!$A$277:$D$279, 3, FALSE), FALSE), IF($C$32="Apartment", "Not Applicable",VLOOKUP($H78, 'Misc. Data &amp; Mechanisms'!$E$280:$H$369, HLOOKUP($C$32,'Misc. Data &amp; Mechanisms'!$E$277:$H$279, 3, FALSE), FALSE)))), ""))</f>
        <v>588.93374180774288</v>
      </c>
      <c r="J78" s="1529">
        <f>IF($X78="", "",IFERROR(IF($B$34&lt;&gt;"Natural Gas", IF($C$36&lt;&gt;"Custom", IF($C$36 = "RRO (Capped)", VLOOKUP($H78,'Misc. Data &amp; Mechanisms'!$A$1278:$E$1368,MATCH($B$22,'Misc. Data &amp; Mechanisms'!$B$1278:$E$1278,0)+1,FALSE), VLOOKUP($H78,'Misc. Data &amp; Mechanisms'!$G$1278:$K$1368,MATCH($B$22,'Misc. Data &amp; Mechanisms'!$H$1278:$K$1278,0)+1,FALSE)),VLOOKUP($H78,$X$3:$AB$93,2,FALSE)),  IF($C$37&lt;&gt;"Custom", IF($C$37 = "DRT", VLOOKUP($H78,'Misc. Data &amp; Mechanisms'!$A$1381:$D$1471,MATCH($B$23,'Misc. Data &amp; Mechanisms'!$B$1381:$D$1381,0)+1,FALSE)),VLOOKUP($H78,$X$3:$AB$93,2,FALSE))),""))</f>
        <v>5.1100000000000003</v>
      </c>
      <c r="K78" s="1529">
        <f>IF($X78="", "",IFERROR(IF($B$34&lt;&gt;"Natural Gas", IF($C$36&lt;&gt;"Custom", VLOOKUP($H78,'Misc. Data &amp; Mechanisms'!$A$1483:$H$1574,MATCH($B$22,'Misc. Data &amp; Mechanisms'!$B$1483:$H$1483,0)+1,FALSE),VLOOKUP($H78,$X$3:$AB$93,3,FALSE)),  IF($C$37&lt;&gt;"Custom", VLOOKUP($H78,'Misc. Data &amp; Mechanisms'!$A$1483:$H$1574,MATCH($B$23,'Misc. Data &amp; Mechanisms'!$B$1483:$H$1483,0)+1,FALSE),VLOOKUP($H78,$X$3:$AB$93,3,FALSE))),""))</f>
        <v>0.2064</v>
      </c>
      <c r="L78" s="1531">
        <f ca="1">IF(OR($H78="",$I78=""),"",IF($I78="Not Applicable", "-",IF($B$34&lt;&gt;"Natural Gas",VLOOKUP($H78,'Electricity Bill'!$A$5:$AR$96,6,FALSE),VLOOKUP($H78,'Natural Gas Bill'!$A$5:$AS$96,6,FALSE))))</f>
        <v>91.688336430019945</v>
      </c>
      <c r="M78" s="1522">
        <f>IF($T78="", "", IFERROR(IF($B$30="Yes", $V78, IF($B$34="Both",IF($C$32="Apartment","Not Applicable", VLOOKUP($H78, 'Misc. Data &amp; Mechanisms'!$E$280:$H$369, HLOOKUP($C$32,'Misc. Data &amp; Mechanisms'!$E$277:$H$279, 3, FALSE), FALSE)),"")), ""))</f>
        <v>16.888538624953767</v>
      </c>
      <c r="N78" s="1530">
        <f>IF($X78="", "",IFERROR(IF($B$34="Both",IF($C$37&lt;&gt;"Custom", IF($C$37 = "DRT", VLOOKUP($H78,'Misc. Data &amp; Mechanisms'!$A$1381:$D$1471,MATCH($B$23,'Misc. Data &amp; Mechanisms'!$B$1381:$D$1381,0)+1,FALSE)),IF($C$36="Custom",VLOOKUP($H78,$X$3:$AB$93,4,FALSE),VLOOKUP($H78,$X$3:$AB$93,2,FALSE))),""),""))</f>
        <v>1.7330000000000001</v>
      </c>
      <c r="O78" s="1529">
        <f>IF($X78="", "",IFERROR(IF($B$34="Both",IF($C$37&lt;&gt;"Custom", VLOOKUP($H78,'Misc. Data &amp; Mechanisms'!$A$1483:$H$1574,MATCH($B$23,'Misc. Data &amp; Mechanisms'!$B$1483:$H$1483,0)+1,FALSE),IF($C$36="Custom",VLOOKUP($H78,$X$3:$AB$93,5,FALSE),VLOOKUP($H78,$X$3:$AB$93,3,FALSE))),""),""))</f>
        <v>0.249</v>
      </c>
      <c r="P78" s="1531">
        <f ca="1">IF(OR($H78="",$M78=""), "", IF($M78="Not Applicable", "-",VLOOKUP($H78,'Natural Gas Bill'!$A$5:$AS$96,6,FALSE)))</f>
        <v>125.75181616504598</v>
      </c>
      <c r="Q78" s="33"/>
      <c r="S78" s="30"/>
      <c r="T78" s="1521">
        <f>IF($B$25="Yes", 'Misc. Data &amp; Mechanisms'!$A137,IF(T77="", "", IF(($H77+DAY(DATE(YEAR($H77),MONTH($H77)+1,1)-1))&lt;=$C$28, ($H77+DAY(DATE(YEAR($H77),MONTH($H77)+1,1)-1)), "")))</f>
        <v>43160</v>
      </c>
      <c r="U78" s="1519"/>
      <c r="V78" s="1519"/>
      <c r="W78" s="1352"/>
      <c r="X78" s="1521">
        <f>IF($B$25="Yes", 'Misc. Data &amp; Mechanisms'!$A137,IF(X77="", "", IF(($H77+DAY(DATE(YEAR($H77),MONTH($H77)+1,1)-1))&lt;=$C$28, ($H77+DAY(DATE(YEAR($H77),MONTH($H77)+1,1)-1)), "")))</f>
        <v>43160</v>
      </c>
      <c r="Y78" s="1519"/>
      <c r="Z78" s="1519"/>
      <c r="AA78" s="1520"/>
      <c r="AB78" s="1520"/>
      <c r="AC78" s="1362"/>
      <c r="AD78" s="1363"/>
    </row>
    <row r="79" spans="7:30" ht="18" customHeight="1" x14ac:dyDescent="0.3">
      <c r="G79" s="30"/>
      <c r="H79" s="1521">
        <f>IF($B$25="Yes", 'Misc. Data &amp; Mechanisms'!$A138,IF(H78="", "", IF(($H78+DAY(DATE(YEAR($H78),MONTH($H78)+1,1)-1))&lt;=$C$28, ($H78+DAY(DATE(YEAR($H78),MONTH($H78)+1,1)-1)), "")))</f>
        <v>43191</v>
      </c>
      <c r="I79" s="1522">
        <f>IF($T79="", "",IFERROR(IF($B$30="Yes", VLOOKUP($H79, $T$3:$V$93, 2, FALSE), IF($B$34&lt;&gt;"Natural Gas", VLOOKUP($H79, 'Misc. Data &amp; Mechanisms'!$A$280:$D$369, HLOOKUP($C$32,'Misc. Data &amp; Mechanisms'!$A$277:$D$279, 3, FALSE), FALSE), IF($C$32="Apartment", "Not Applicable",VLOOKUP($H79, 'Misc. Data &amp; Mechanisms'!$E$280:$H$369, HLOOKUP($C$32,'Misc. Data &amp; Mechanisms'!$E$277:$H$279, 3, FALSE), FALSE)))), ""))</f>
        <v>528.01162456374163</v>
      </c>
      <c r="J79" s="1529">
        <f>IF($X79="", "",IFERROR(IF($B$34&lt;&gt;"Natural Gas", IF($C$36&lt;&gt;"Custom", IF($C$36 = "RRO (Capped)", VLOOKUP($H79,'Misc. Data &amp; Mechanisms'!$A$1278:$E$1368,MATCH($B$22,'Misc. Data &amp; Mechanisms'!$B$1278:$E$1278,0)+1,FALSE), VLOOKUP($H79,'Misc. Data &amp; Mechanisms'!$G$1278:$K$1368,MATCH($B$22,'Misc. Data &amp; Mechanisms'!$H$1278:$K$1278,0)+1,FALSE)),VLOOKUP($H79,$X$3:$AB$93,2,FALSE)),  IF($C$37&lt;&gt;"Custom", IF($C$37 = "DRT", VLOOKUP($H79,'Misc. Data &amp; Mechanisms'!$A$1381:$D$1471,MATCH($B$23,'Misc. Data &amp; Mechanisms'!$B$1381:$D$1381,0)+1,FALSE)),VLOOKUP($H79,$X$3:$AB$93,2,FALSE))),""))</f>
        <v>6.8</v>
      </c>
      <c r="K79" s="1529">
        <f>IF($X79="", "",IFERROR(IF($B$34&lt;&gt;"Natural Gas", IF($C$36&lt;&gt;"Custom", VLOOKUP($H79,'Misc. Data &amp; Mechanisms'!$A$1483:$H$1574,MATCH($B$22,'Misc. Data &amp; Mechanisms'!$B$1483:$H$1483,0)+1,FALSE),VLOOKUP($H79,$X$3:$AB$93,3,FALSE)),  IF($C$37&lt;&gt;"Custom", VLOOKUP($H79,'Misc. Data &amp; Mechanisms'!$A$1483:$H$1574,MATCH($B$23,'Misc. Data &amp; Mechanisms'!$B$1483:$H$1483,0)+1,FALSE),VLOOKUP($H79,$X$3:$AB$93,3,FALSE))),""))</f>
        <v>0.2064</v>
      </c>
      <c r="L79" s="1531">
        <f ca="1">IF(OR($H79="",$I79=""),"",IF($I79="Not Applicable", "-",IF($B$34&lt;&gt;"Natural Gas",VLOOKUP($H79,'Electricity Bill'!$A$5:$AR$96,6,FALSE),VLOOKUP($H79,'Natural Gas Bill'!$A$5:$AS$96,6,FALSE))))</f>
        <v>98.143887448812052</v>
      </c>
      <c r="M79" s="1522">
        <f>IF($T79="", "", IFERROR(IF($B$30="Yes", $V79, IF($B$34="Both",IF($C$32="Apartment","Not Applicable", VLOOKUP($H79, 'Misc. Data &amp; Mechanisms'!$E$280:$H$369, HLOOKUP($C$32,'Misc. Data &amp; Mechanisms'!$E$277:$H$279, 3, FALSE), FALSE)),"")), ""))</f>
        <v>13.10963277092905</v>
      </c>
      <c r="N79" s="1530">
        <f>IF($X79="", "",IFERROR(IF($B$34="Both",IF($C$37&lt;&gt;"Custom", IF($C$37 = "DRT", VLOOKUP($H79,'Misc. Data &amp; Mechanisms'!$A$1381:$D$1471,MATCH($B$23,'Misc. Data &amp; Mechanisms'!$B$1381:$D$1381,0)+1,FALSE)),IF($C$36="Custom",VLOOKUP($H79,$X$3:$AB$93,4,FALSE),VLOOKUP($H79,$X$3:$AB$93,2,FALSE))),""),""))</f>
        <v>1.9670000000000001</v>
      </c>
      <c r="O79" s="1529">
        <f>IF($X79="", "",IFERROR(IF($B$34="Both",IF($C$37&lt;&gt;"Custom", VLOOKUP($H79,'Misc. Data &amp; Mechanisms'!$A$1483:$H$1574,MATCH($B$23,'Misc. Data &amp; Mechanisms'!$B$1483:$H$1483,0)+1,FALSE),IF($C$36="Custom",VLOOKUP($H79,$X$3:$AB$93,5,FALSE),VLOOKUP($H79,$X$3:$AB$93,3,FALSE))),""),""))</f>
        <v>0.249</v>
      </c>
      <c r="P79" s="1531">
        <f ca="1">IF(OR($H79="",$M79=""), "", IF($M79="Not Applicable", "-",VLOOKUP($H79,'Natural Gas Bill'!$A$5:$AS$96,6,FALSE)))</f>
        <v>105.73382805571367</v>
      </c>
      <c r="Q79" s="33"/>
      <c r="S79" s="30"/>
      <c r="T79" s="1521">
        <f>IF($B$25="Yes", 'Misc. Data &amp; Mechanisms'!$A138,IF(T78="", "", IF(($H78+DAY(DATE(YEAR($H78),MONTH($H78)+1,1)-1))&lt;=$C$28, ($H78+DAY(DATE(YEAR($H78),MONTH($H78)+1,1)-1)), "")))</f>
        <v>43191</v>
      </c>
      <c r="U79" s="1519"/>
      <c r="V79" s="1519"/>
      <c r="W79" s="31"/>
      <c r="X79" s="1521">
        <f>IF($B$25="Yes", 'Misc. Data &amp; Mechanisms'!$A138,IF(X78="", "", IF(($H78+DAY(DATE(YEAR($H78),MONTH($H78)+1,1)-1))&lt;=$C$28, ($H78+DAY(DATE(YEAR($H78),MONTH($H78)+1,1)-1)), "")))</f>
        <v>43191</v>
      </c>
      <c r="Y79" s="1519"/>
      <c r="Z79" s="1519"/>
      <c r="AA79" s="1520"/>
      <c r="AB79" s="1520"/>
      <c r="AC79" s="1364"/>
      <c r="AD79" s="1363"/>
    </row>
    <row r="80" spans="7:30" ht="18" customHeight="1" x14ac:dyDescent="0.3">
      <c r="G80" s="30"/>
      <c r="H80" s="1521">
        <f>IF($B$25="Yes", 'Misc. Data &amp; Mechanisms'!$A139,IF(H79="", "", IF(($H79+DAY(DATE(YEAR($H79),MONTH($H79)+1,1)-1))&lt;=$C$28, ($H79+DAY(DATE(YEAR($H79),MONTH($H79)+1,1)-1)), "")))</f>
        <v>43221</v>
      </c>
      <c r="I80" s="1522">
        <f>IF($T80="", "",IFERROR(IF($B$30="Yes", VLOOKUP($H80, $T$3:$V$93, 2, FALSE), IF($B$34&lt;&gt;"Natural Gas", VLOOKUP($H80, 'Misc. Data &amp; Mechanisms'!$A$280:$D$369, HLOOKUP($C$32,'Misc. Data &amp; Mechanisms'!$A$277:$D$279, 3, FALSE), FALSE), IF($C$32="Apartment", "Not Applicable",VLOOKUP($H80, 'Misc. Data &amp; Mechanisms'!$E$280:$H$369, HLOOKUP($C$32,'Misc. Data &amp; Mechanisms'!$E$277:$H$279, 3, FALSE), FALSE)))), ""))</f>
        <v>494.83267205155215</v>
      </c>
      <c r="J80" s="1529">
        <f>IF($X80="", "",IFERROR(IF($B$34&lt;&gt;"Natural Gas", IF($C$36&lt;&gt;"Custom", IF($C$36 = "RRO (Capped)", VLOOKUP($H80,'Misc. Data &amp; Mechanisms'!$A$1278:$E$1368,MATCH($B$22,'Misc. Data &amp; Mechanisms'!$B$1278:$E$1278,0)+1,FALSE), VLOOKUP($H80,'Misc. Data &amp; Mechanisms'!$G$1278:$K$1368,MATCH($B$22,'Misc. Data &amp; Mechanisms'!$H$1278:$K$1278,0)+1,FALSE)),VLOOKUP($H80,$X$3:$AB$93,2,FALSE)),  IF($C$37&lt;&gt;"Custom", IF($C$37 = "DRT", VLOOKUP($H80,'Misc. Data &amp; Mechanisms'!$A$1381:$D$1471,MATCH($B$23,'Misc. Data &amp; Mechanisms'!$B$1381:$D$1381,0)+1,FALSE)),VLOOKUP($H80,$X$3:$AB$93,2,FALSE))),""))</f>
        <v>5.5659999999999998</v>
      </c>
      <c r="K80" s="1529">
        <f>IF($X80="", "",IFERROR(IF($B$34&lt;&gt;"Natural Gas", IF($C$36&lt;&gt;"Custom", VLOOKUP($H80,'Misc. Data &amp; Mechanisms'!$A$1483:$H$1574,MATCH($B$22,'Misc. Data &amp; Mechanisms'!$B$1483:$H$1483,0)+1,FALSE),VLOOKUP($H80,$X$3:$AB$93,3,FALSE)),  IF($C$37&lt;&gt;"Custom", VLOOKUP($H80,'Misc. Data &amp; Mechanisms'!$A$1483:$H$1574,MATCH($B$23,'Misc. Data &amp; Mechanisms'!$B$1483:$H$1483,0)+1,FALSE),VLOOKUP($H80,$X$3:$AB$93,3,FALSE))),""))</f>
        <v>0.2064</v>
      </c>
      <c r="L80" s="1531">
        <f ca="1">IF(OR($H80="",$I80=""),"",IF($I80="Not Applicable", "-",IF($B$34&lt;&gt;"Natural Gas",VLOOKUP($H80,'Electricity Bill'!$A$5:$AR$96,6,FALSE),VLOOKUP($H80,'Natural Gas Bill'!$A$5:$AS$96,6,FALSE))))</f>
        <v>87.366600450974673</v>
      </c>
      <c r="M80" s="1522">
        <f>IF($T80="", "", IFERROR(IF($B$30="Yes", $V80, IF($B$34="Both",IF($C$32="Apartment","Not Applicable", VLOOKUP($H80, 'Misc. Data &amp; Mechanisms'!$E$280:$H$369, HLOOKUP($C$32,'Misc. Data &amp; Mechanisms'!$E$277:$H$279, 3, FALSE), FALSE)),"")), ""))</f>
        <v>4.4047814912747665</v>
      </c>
      <c r="N80" s="1530">
        <f>IF($X80="", "",IFERROR(IF($B$34="Both",IF($C$37&lt;&gt;"Custom", IF($C$37 = "DRT", VLOOKUP($H80,'Misc. Data &amp; Mechanisms'!$A$1381:$D$1471,MATCH($B$23,'Misc. Data &amp; Mechanisms'!$B$1381:$D$1381,0)+1,FALSE)),IF($C$36="Custom",VLOOKUP($H80,$X$3:$AB$93,4,FALSE),VLOOKUP($H80,$X$3:$AB$93,2,FALSE))),""),""))</f>
        <v>0.98899999999999999</v>
      </c>
      <c r="O80" s="1529">
        <f>IF($X80="", "",IFERROR(IF($B$34="Both",IF($C$37&lt;&gt;"Custom", VLOOKUP($H80,'Misc. Data &amp; Mechanisms'!$A$1483:$H$1574,MATCH($B$23,'Misc. Data &amp; Mechanisms'!$B$1483:$H$1483,0)+1,FALSE),IF($C$36="Custom",VLOOKUP($H80,$X$3:$AB$93,5,FALSE),VLOOKUP($H80,$X$3:$AB$93,3,FALSE))),""),""))</f>
        <v>0.249</v>
      </c>
      <c r="P80" s="1531">
        <f ca="1">IF(OR($H80="",$M80=""), "", IF($M80="Not Applicable", "-",VLOOKUP($H80,'Natural Gas Bill'!$A$5:$AS$96,6,FALSE)))</f>
        <v>54.93378792262952</v>
      </c>
      <c r="Q80" s="33"/>
      <c r="S80" s="30"/>
      <c r="T80" s="1521">
        <f>IF($B$25="Yes", 'Misc. Data &amp; Mechanisms'!$A139,IF(T79="", "", IF(($H79+DAY(DATE(YEAR($H79),MONTH($H79)+1,1)-1))&lt;=$C$28, ($H79+DAY(DATE(YEAR($H79),MONTH($H79)+1,1)-1)), "")))</f>
        <v>43221</v>
      </c>
      <c r="U80" s="1519"/>
      <c r="V80" s="1519"/>
      <c r="W80" s="31"/>
      <c r="X80" s="1521">
        <f>IF($B$25="Yes", 'Misc. Data &amp; Mechanisms'!$A139,IF(X79="", "", IF(($H79+DAY(DATE(YEAR($H79),MONTH($H79)+1,1)-1))&lt;=$C$28, ($H79+DAY(DATE(YEAR($H79),MONTH($H79)+1,1)-1)), "")))</f>
        <v>43221</v>
      </c>
      <c r="Y80" s="1519"/>
      <c r="Z80" s="1519"/>
      <c r="AA80" s="1520"/>
      <c r="AB80" s="1520"/>
      <c r="AC80" s="1364"/>
      <c r="AD80" s="1363"/>
    </row>
    <row r="81" spans="7:30" ht="18" customHeight="1" x14ac:dyDescent="0.3">
      <c r="G81" s="30"/>
      <c r="H81" s="1521">
        <f>IF($B$25="Yes", 'Misc. Data &amp; Mechanisms'!$A140,IF(H80="", "", IF(($H80+DAY(DATE(YEAR($H80),MONTH($H80)+1,1)-1))&lt;=$C$28, ($H80+DAY(DATE(YEAR($H80),MONTH($H80)+1,1)-1)), "")))</f>
        <v>43252</v>
      </c>
      <c r="I81" s="1522">
        <f>IF($T81="", "",IFERROR(IF($B$30="Yes", VLOOKUP($H81, $T$3:$V$93, 2, FALSE), IF($B$34&lt;&gt;"Natural Gas", VLOOKUP($H81, 'Misc. Data &amp; Mechanisms'!$A$280:$D$369, HLOOKUP($C$32,'Misc. Data &amp; Mechanisms'!$A$277:$D$279, 3, FALSE), FALSE), IF($C$32="Apartment", "Not Applicable",VLOOKUP($H81, 'Misc. Data &amp; Mechanisms'!$E$280:$H$369, HLOOKUP($C$32,'Misc. Data &amp; Mechanisms'!$E$277:$H$279, 3, FALSE), FALSE)))), ""))</f>
        <v>481.31960825480462</v>
      </c>
      <c r="J81" s="1529">
        <f>IF($X81="", "",IFERROR(IF($B$34&lt;&gt;"Natural Gas", IF($C$36&lt;&gt;"Custom", IF($C$36 = "RRO (Capped)", VLOOKUP($H81,'Misc. Data &amp; Mechanisms'!$A$1278:$E$1368,MATCH($B$22,'Misc. Data &amp; Mechanisms'!$B$1278:$E$1278,0)+1,FALSE), VLOOKUP($H81,'Misc. Data &amp; Mechanisms'!$G$1278:$K$1368,MATCH($B$22,'Misc. Data &amp; Mechanisms'!$H$1278:$K$1278,0)+1,FALSE)),VLOOKUP($H81,$X$3:$AB$93,2,FALSE)),  IF($C$37&lt;&gt;"Custom", IF($C$37 = "DRT", VLOOKUP($H81,'Misc. Data &amp; Mechanisms'!$A$1381:$D$1471,MATCH($B$23,'Misc. Data &amp; Mechanisms'!$B$1381:$D$1381,0)+1,FALSE)),VLOOKUP($H81,$X$3:$AB$93,2,FALSE))),""))</f>
        <v>5.0620000000000003</v>
      </c>
      <c r="K81" s="1529">
        <f>IF($X81="", "",IFERROR(IF($B$34&lt;&gt;"Natural Gas", IF($C$36&lt;&gt;"Custom", VLOOKUP($H81,'Misc. Data &amp; Mechanisms'!$A$1483:$H$1574,MATCH($B$22,'Misc. Data &amp; Mechanisms'!$B$1483:$H$1483,0)+1,FALSE),VLOOKUP($H81,$X$3:$AB$93,3,FALSE)),  IF($C$37&lt;&gt;"Custom", VLOOKUP($H81,'Misc. Data &amp; Mechanisms'!$A$1483:$H$1574,MATCH($B$23,'Misc. Data &amp; Mechanisms'!$B$1483:$H$1483,0)+1,FALSE),VLOOKUP($H81,$X$3:$AB$93,3,FALSE))),""))</f>
        <v>0.2064</v>
      </c>
      <c r="L81" s="1531">
        <f ca="1">IF(OR($H81="",$I81=""),"",IF($I81="Not Applicable", "-",IF($B$34&lt;&gt;"Natural Gas",VLOOKUP($H81,'Electricity Bill'!$A$5:$AR$96,6,FALSE),VLOOKUP($H81,'Natural Gas Bill'!$A$5:$AS$96,6,FALSE))))</f>
        <v>82.016944173843683</v>
      </c>
      <c r="M81" s="1522">
        <f>IF($T81="", "", IFERROR(IF($B$30="Yes", $V81, IF($B$34="Both",IF($C$32="Apartment","Not Applicable", VLOOKUP($H81, 'Misc. Data &amp; Mechanisms'!$E$280:$H$369, HLOOKUP($C$32,'Misc. Data &amp; Mechanisms'!$E$277:$H$279, 3, FALSE), FALSE)),"")), ""))</f>
        <v>3.2976685156573131</v>
      </c>
      <c r="N81" s="1530">
        <f>IF($X81="", "",IFERROR(IF($B$34="Both",IF($C$37&lt;&gt;"Custom", IF($C$37 = "DRT", VLOOKUP($H81,'Misc. Data &amp; Mechanisms'!$A$1381:$D$1471,MATCH($B$23,'Misc. Data &amp; Mechanisms'!$B$1381:$D$1381,0)+1,FALSE)),IF($C$36="Custom",VLOOKUP($H81,$X$3:$AB$93,4,FALSE),VLOOKUP($H81,$X$3:$AB$93,2,FALSE))),""),""))</f>
        <v>0.54400000000000004</v>
      </c>
      <c r="O81" s="1529">
        <f>IF($X81="", "",IFERROR(IF($B$34="Both",IF($C$37&lt;&gt;"Custom", VLOOKUP($H81,'Misc. Data &amp; Mechanisms'!$A$1483:$H$1574,MATCH($B$23,'Misc. Data &amp; Mechanisms'!$B$1483:$H$1483,0)+1,FALSE),IF($C$36="Custom",VLOOKUP($H81,$X$3:$AB$93,5,FALSE),VLOOKUP($H81,$X$3:$AB$93,3,FALSE))),""),""))</f>
        <v>0.249</v>
      </c>
      <c r="P81" s="1531">
        <f ca="1">IF(OR($H81="",$M81=""), "", IF($M81="Not Applicable", "-",VLOOKUP($H81,'Natural Gas Bill'!$A$5:$AS$96,6,FALSE)))</f>
        <v>47.346760186718846</v>
      </c>
      <c r="Q81" s="33"/>
      <c r="S81" s="30"/>
      <c r="T81" s="1521">
        <f>IF($B$25="Yes", 'Misc. Data &amp; Mechanisms'!$A140,IF(T80="", "", IF(($H80+DAY(DATE(YEAR($H80),MONTH($H80)+1,1)-1))&lt;=$C$28, ($H80+DAY(DATE(YEAR($H80),MONTH($H80)+1,1)-1)), "")))</f>
        <v>43252</v>
      </c>
      <c r="U81" s="1519"/>
      <c r="V81" s="1519"/>
      <c r="W81" s="1224"/>
      <c r="X81" s="1521">
        <f>IF($B$25="Yes", 'Misc. Data &amp; Mechanisms'!$A140,IF(X80="", "", IF(($H80+DAY(DATE(YEAR($H80),MONTH($H80)+1,1)-1))&lt;=$C$28, ($H80+DAY(DATE(YEAR($H80),MONTH($H80)+1,1)-1)), "")))</f>
        <v>43252</v>
      </c>
      <c r="Y81" s="1519"/>
      <c r="Z81" s="1519"/>
      <c r="AA81" s="1520"/>
      <c r="AB81" s="1520"/>
      <c r="AC81" s="1364"/>
      <c r="AD81" s="1363"/>
    </row>
    <row r="82" spans="7:30" ht="18" customHeight="1" x14ac:dyDescent="0.3">
      <c r="G82" s="30"/>
      <c r="H82" s="1521">
        <f>IF($B$25="Yes", 'Misc. Data &amp; Mechanisms'!$A141,IF(H81="", "", IF(($H81+DAY(DATE(YEAR($H81),MONTH($H81)+1,1)-1))&lt;=$C$28, ($H81+DAY(DATE(YEAR($H81),MONTH($H81)+1,1)-1)), "")))</f>
        <v>43282</v>
      </c>
      <c r="I82" s="1522">
        <f>IF($T82="", "",IFERROR(IF($B$30="Yes", VLOOKUP($H82, $T$3:$V$93, 2, FALSE), IF($B$34&lt;&gt;"Natural Gas", VLOOKUP($H82, 'Misc. Data &amp; Mechanisms'!$A$280:$D$369, HLOOKUP($C$32,'Misc. Data &amp; Mechanisms'!$A$277:$D$279, 3, FALSE), FALSE), IF($C$32="Apartment", "Not Applicable",VLOOKUP($H82, 'Misc. Data &amp; Mechanisms'!$E$280:$H$369, HLOOKUP($C$32,'Misc. Data &amp; Mechanisms'!$E$277:$H$279, 3, FALSE), FALSE)))), ""))</f>
        <v>515.53500390451472</v>
      </c>
      <c r="J82" s="1529">
        <f>IF($X82="", "",IFERROR(IF($B$34&lt;&gt;"Natural Gas", IF($C$36&lt;&gt;"Custom", IF($C$36 = "RRO (Capped)", VLOOKUP($H82,'Misc. Data &amp; Mechanisms'!$A$1278:$E$1368,MATCH($B$22,'Misc. Data &amp; Mechanisms'!$B$1278:$E$1278,0)+1,FALSE), VLOOKUP($H82,'Misc. Data &amp; Mechanisms'!$G$1278:$K$1368,MATCH($B$22,'Misc. Data &amp; Mechanisms'!$H$1278:$K$1278,0)+1,FALSE)),VLOOKUP($H82,$X$3:$AB$93,2,FALSE)),  IF($C$37&lt;&gt;"Custom", IF($C$37 = "DRT", VLOOKUP($H82,'Misc. Data &amp; Mechanisms'!$A$1381:$D$1471,MATCH($B$23,'Misc. Data &amp; Mechanisms'!$B$1381:$D$1381,0)+1,FALSE)),VLOOKUP($H82,$X$3:$AB$93,2,FALSE))),""))</f>
        <v>6.8</v>
      </c>
      <c r="K82" s="1529">
        <f>IF($X82="", "",IFERROR(IF($B$34&lt;&gt;"Natural Gas", IF($C$36&lt;&gt;"Custom", VLOOKUP($H82,'Misc. Data &amp; Mechanisms'!$A$1483:$H$1574,MATCH($B$22,'Misc. Data &amp; Mechanisms'!$B$1483:$H$1483,0)+1,FALSE),VLOOKUP($H82,$X$3:$AB$93,3,FALSE)),  IF($C$37&lt;&gt;"Custom", VLOOKUP($H82,'Misc. Data &amp; Mechanisms'!$A$1483:$H$1574,MATCH($B$23,'Misc. Data &amp; Mechanisms'!$B$1483:$H$1483,0)+1,FALSE),VLOOKUP($H82,$X$3:$AB$93,3,FALSE))),""))</f>
        <v>0.2064</v>
      </c>
      <c r="L82" s="1531">
        <f ca="1">IF(OR($H82="",$I82=""),"",IF($I82="Not Applicable", "-",IF($B$34&lt;&gt;"Natural Gas",VLOOKUP($H82,'Electricity Bill'!$A$5:$AR$96,6,FALSE),VLOOKUP($H82,'Natural Gas Bill'!$A$5:$AS$96,6,FALSE))))</f>
        <v>95.772531450151874</v>
      </c>
      <c r="M82" s="1522">
        <f>IF($T82="", "", IFERROR(IF($B$30="Yes", $V82, IF($B$34="Both",IF($C$32="Apartment","Not Applicable", VLOOKUP($H82, 'Misc. Data &amp; Mechanisms'!$E$280:$H$369, HLOOKUP($C$32,'Misc. Data &amp; Mechanisms'!$E$277:$H$279, 3, FALSE), FALSE)),"")), ""))</f>
        <v>2.9290657632313017</v>
      </c>
      <c r="N82" s="1530">
        <f>IF($X82="", "",IFERROR(IF($B$34="Both",IF($C$37&lt;&gt;"Custom", IF($C$37 = "DRT", VLOOKUP($H82,'Misc. Data &amp; Mechanisms'!$A$1381:$D$1471,MATCH($B$23,'Misc. Data &amp; Mechanisms'!$B$1381:$D$1381,0)+1,FALSE)),IF($C$36="Custom",VLOOKUP($H82,$X$3:$AB$93,4,FALSE),VLOOKUP($H82,$X$3:$AB$93,2,FALSE))),""),""))</f>
        <v>1.4850000000000001</v>
      </c>
      <c r="O82" s="1529">
        <f>IF($X82="", "",IFERROR(IF($B$34="Both",IF($C$37&lt;&gt;"Custom", VLOOKUP($H82,'Misc. Data &amp; Mechanisms'!$A$1483:$H$1574,MATCH($B$23,'Misc. Data &amp; Mechanisms'!$B$1483:$H$1483,0)+1,FALSE),IF($C$36="Custom",VLOOKUP($H82,$X$3:$AB$93,5,FALSE),VLOOKUP($H82,$X$3:$AB$93,3,FALSE))),""),""))</f>
        <v>0.249</v>
      </c>
      <c r="P82" s="1531">
        <f ca="1">IF(OR($H82="",$M82=""), "", IF($M82="Not Applicable", "-",VLOOKUP($H82,'Natural Gas Bill'!$A$5:$AS$96,6,FALSE)))</f>
        <v>50.354486965920238</v>
      </c>
      <c r="Q82" s="33"/>
      <c r="S82" s="30"/>
      <c r="T82" s="1521">
        <f>IF($B$25="Yes", 'Misc. Data &amp; Mechanisms'!$A141,IF(T81="", "", IF(($H81+DAY(DATE(YEAR($H81),MONTH($H81)+1,1)-1))&lt;=$C$28, ($H81+DAY(DATE(YEAR($H81),MONTH($H81)+1,1)-1)), "")))</f>
        <v>43282</v>
      </c>
      <c r="U82" s="1519"/>
      <c r="V82" s="1519"/>
      <c r="W82" s="1224"/>
      <c r="X82" s="1521">
        <f>IF($B$25="Yes", 'Misc. Data &amp; Mechanisms'!$A141,IF(X81="", "", IF(($H81+DAY(DATE(YEAR($H81),MONTH($H81)+1,1)-1))&lt;=$C$28, ($H81+DAY(DATE(YEAR($H81),MONTH($H81)+1,1)-1)), "")))</f>
        <v>43282</v>
      </c>
      <c r="Y82" s="1519"/>
      <c r="Z82" s="1519"/>
      <c r="AA82" s="1520"/>
      <c r="AB82" s="1520"/>
      <c r="AC82" s="1364"/>
      <c r="AD82" s="1363"/>
    </row>
    <row r="83" spans="7:30" ht="18" customHeight="1" x14ac:dyDescent="0.3">
      <c r="G83" s="30"/>
      <c r="H83" s="1521">
        <f>IF($B$25="Yes", 'Misc. Data &amp; Mechanisms'!$A142,IF(H82="", "", IF(($H82+DAY(DATE(YEAR($H82),MONTH($H82)+1,1)-1))&lt;=$C$28, ($H82+DAY(DATE(YEAR($H82),MONTH($H82)+1,1)-1)), "")))</f>
        <v>43313</v>
      </c>
      <c r="I83" s="1522">
        <f>IF($T83="", "",IFERROR(IF($B$30="Yes", VLOOKUP($H83, $T$3:$V$93, 2, FALSE), IF($B$34&lt;&gt;"Natural Gas", VLOOKUP($H83, 'Misc. Data &amp; Mechanisms'!$A$280:$D$369, HLOOKUP($C$32,'Misc. Data &amp; Mechanisms'!$A$277:$D$279, 3, FALSE), FALSE), IF($C$32="Apartment", "Not Applicable",VLOOKUP($H83, 'Misc. Data &amp; Mechanisms'!$E$280:$H$369, HLOOKUP($C$32,'Misc. Data &amp; Mechanisms'!$E$277:$H$279, 3, FALSE), FALSE)))), ""))</f>
        <v>529.47012813338006</v>
      </c>
      <c r="J83" s="1529">
        <f>IF($X83="", "",IFERROR(IF($B$34&lt;&gt;"Natural Gas", IF($C$36&lt;&gt;"Custom", IF($C$36 = "RRO (Capped)", VLOOKUP($H83,'Misc. Data &amp; Mechanisms'!$A$1278:$E$1368,MATCH($B$22,'Misc. Data &amp; Mechanisms'!$B$1278:$E$1278,0)+1,FALSE), VLOOKUP($H83,'Misc. Data &amp; Mechanisms'!$G$1278:$K$1368,MATCH($B$22,'Misc. Data &amp; Mechanisms'!$H$1278:$K$1278,0)+1,FALSE)),VLOOKUP($H83,$X$3:$AB$93,2,FALSE)),  IF($C$37&lt;&gt;"Custom", IF($C$37 = "DRT", VLOOKUP($H83,'Misc. Data &amp; Mechanisms'!$A$1381:$D$1471,MATCH($B$23,'Misc. Data &amp; Mechanisms'!$B$1381:$D$1381,0)+1,FALSE)),VLOOKUP($H83,$X$3:$AB$93,2,FALSE))),""))</f>
        <v>6.8</v>
      </c>
      <c r="K83" s="1529">
        <f>IF($X83="", "",IFERROR(IF($B$34&lt;&gt;"Natural Gas", IF($C$36&lt;&gt;"Custom", VLOOKUP($H83,'Misc. Data &amp; Mechanisms'!$A$1483:$H$1574,MATCH($B$22,'Misc. Data &amp; Mechanisms'!$B$1483:$H$1483,0)+1,FALSE),VLOOKUP($H83,$X$3:$AB$93,3,FALSE)),  IF($C$37&lt;&gt;"Custom", VLOOKUP($H83,'Misc. Data &amp; Mechanisms'!$A$1483:$H$1574,MATCH($B$23,'Misc. Data &amp; Mechanisms'!$B$1483:$H$1483,0)+1,FALSE),VLOOKUP($H83,$X$3:$AB$93,3,FALSE))),""))</f>
        <v>0.2064</v>
      </c>
      <c r="L83" s="1531">
        <f ca="1">IF(OR($H83="",$I83=""),"",IF($I83="Not Applicable", "-",IF($B$34&lt;&gt;"Natural Gas",VLOOKUP($H83,'Electricity Bill'!$A$5:$AR$96,6,FALSE),VLOOKUP($H83,'Natural Gas Bill'!$A$5:$AS$96,6,FALSE))))</f>
        <v>97.676571480872184</v>
      </c>
      <c r="M83" s="1522">
        <f>IF($T83="", "", IFERROR(IF($B$30="Yes", $V83, IF($B$34="Both",IF($C$32="Apartment","Not Applicable", VLOOKUP($H83, 'Misc. Data &amp; Mechanisms'!$E$280:$H$369, HLOOKUP($C$32,'Misc. Data &amp; Mechanisms'!$E$277:$H$279, 3, FALSE), FALSE)),"")), ""))</f>
        <v>3.3237503926709211</v>
      </c>
      <c r="N83" s="1530">
        <f>IF($X83="", "",IFERROR(IF($B$34="Both",IF($C$37&lt;&gt;"Custom", IF($C$37 = "DRT", VLOOKUP($H83,'Misc. Data &amp; Mechanisms'!$A$1381:$D$1471,MATCH($B$23,'Misc. Data &amp; Mechanisms'!$B$1381:$D$1381,0)+1,FALSE)),IF($C$36="Custom",VLOOKUP($H83,$X$3:$AB$93,4,FALSE),VLOOKUP($H83,$X$3:$AB$93,2,FALSE))),""),""))</f>
        <v>1.1599999999999999</v>
      </c>
      <c r="O83" s="1529">
        <f>IF($X83="", "",IFERROR(IF($B$34="Both",IF($C$37&lt;&gt;"Custom", VLOOKUP($H83,'Misc. Data &amp; Mechanisms'!$A$1483:$H$1574,MATCH($B$23,'Misc. Data &amp; Mechanisms'!$B$1483:$H$1483,0)+1,FALSE),IF($C$36="Custom",VLOOKUP($H83,$X$3:$AB$93,5,FALSE),VLOOKUP($H83,$X$3:$AB$93,3,FALSE))),""),""))</f>
        <v>0.249</v>
      </c>
      <c r="P83" s="1531">
        <f ca="1">IF(OR($H83="",$M83=""), "", IF($M83="Not Applicable", "-",VLOOKUP($H83,'Natural Gas Bill'!$A$5:$AS$96,6,FALSE)))</f>
        <v>51.000696333151538</v>
      </c>
      <c r="Q83" s="33"/>
      <c r="S83" s="30"/>
      <c r="T83" s="1521">
        <f>IF($B$25="Yes", 'Misc. Data &amp; Mechanisms'!$A142,IF(T82="", "", IF(($H82+DAY(DATE(YEAR($H82),MONTH($H82)+1,1)-1))&lt;=$C$28, ($H82+DAY(DATE(YEAR($H82),MONTH($H82)+1,1)-1)), "")))</f>
        <v>43313</v>
      </c>
      <c r="U83" s="1519"/>
      <c r="V83" s="1519"/>
      <c r="W83" s="1224"/>
      <c r="X83" s="1521">
        <f>IF($B$25="Yes", 'Misc. Data &amp; Mechanisms'!$A142,IF(X82="", "", IF(($H82+DAY(DATE(YEAR($H82),MONTH($H82)+1,1)-1))&lt;=$C$28, ($H82+DAY(DATE(YEAR($H82),MONTH($H82)+1,1)-1)), "")))</f>
        <v>43313</v>
      </c>
      <c r="Y83" s="1519"/>
      <c r="Z83" s="1519"/>
      <c r="AA83" s="1520"/>
      <c r="AB83" s="1520"/>
      <c r="AC83" s="1364"/>
      <c r="AD83" s="1363"/>
    </row>
    <row r="84" spans="7:30" ht="18" customHeight="1" x14ac:dyDescent="0.3">
      <c r="G84" s="30"/>
      <c r="H84" s="1521">
        <f>IF($B$25="Yes", 'Misc. Data &amp; Mechanisms'!$A143,IF(H83="", "", IF(($H83+DAY(DATE(YEAR($H83),MONTH($H83)+1,1)-1))&lt;=$C$28, ($H83+DAY(DATE(YEAR($H83),MONTH($H83)+1,1)-1)), "")))</f>
        <v>43344</v>
      </c>
      <c r="I84" s="1522">
        <f>IF($T84="", "",IFERROR(IF($B$30="Yes", VLOOKUP($H84, $T$3:$V$93, 2, FALSE), IF($B$34&lt;&gt;"Natural Gas", VLOOKUP($H84, 'Misc. Data &amp; Mechanisms'!$A$280:$D$369, HLOOKUP($C$32,'Misc. Data &amp; Mechanisms'!$A$277:$D$279, 3, FALSE), FALSE), IF($C$32="Apartment", "Not Applicable",VLOOKUP($H84, 'Misc. Data &amp; Mechanisms'!$E$280:$H$369, HLOOKUP($C$32,'Misc. Data &amp; Mechanisms'!$E$277:$H$279, 3, FALSE), FALSE)))), ""))</f>
        <v>511.67498853221838</v>
      </c>
      <c r="J84" s="1529">
        <f>IF($X84="", "",IFERROR(IF($B$34&lt;&gt;"Natural Gas", IF($C$36&lt;&gt;"Custom", IF($C$36 = "RRO (Capped)", VLOOKUP($H84,'Misc. Data &amp; Mechanisms'!$A$1278:$E$1368,MATCH($B$22,'Misc. Data &amp; Mechanisms'!$B$1278:$E$1278,0)+1,FALSE), VLOOKUP($H84,'Misc. Data &amp; Mechanisms'!$G$1278:$K$1368,MATCH($B$22,'Misc. Data &amp; Mechanisms'!$H$1278:$K$1278,0)+1,FALSE)),VLOOKUP($H84,$X$3:$AB$93,2,FALSE)),  IF($C$37&lt;&gt;"Custom", IF($C$37 = "DRT", VLOOKUP($H84,'Misc. Data &amp; Mechanisms'!$A$1381:$D$1471,MATCH($B$23,'Misc. Data &amp; Mechanisms'!$B$1381:$D$1381,0)+1,FALSE)),VLOOKUP($H84,$X$3:$AB$93,2,FALSE))),""))</f>
        <v>6.8</v>
      </c>
      <c r="K84" s="1529">
        <f>IF($X84="", "",IFERROR(IF($B$34&lt;&gt;"Natural Gas", IF($C$36&lt;&gt;"Custom", VLOOKUP($H84,'Misc. Data &amp; Mechanisms'!$A$1483:$H$1574,MATCH($B$22,'Misc. Data &amp; Mechanisms'!$B$1483:$H$1483,0)+1,FALSE),VLOOKUP($H84,$X$3:$AB$93,3,FALSE)),  IF($C$37&lt;&gt;"Custom", VLOOKUP($H84,'Misc. Data &amp; Mechanisms'!$A$1483:$H$1574,MATCH($B$23,'Misc. Data &amp; Mechanisms'!$B$1483:$H$1483,0)+1,FALSE),VLOOKUP($H84,$X$3:$AB$93,3,FALSE))),""))</f>
        <v>0.2064</v>
      </c>
      <c r="L84" s="1531">
        <f ca="1">IF(OR($H84="",$I84=""),"",IF($I84="Not Applicable", "-",IF($B$34&lt;&gt;"Natural Gas",VLOOKUP($H84,'Electricity Bill'!$A$5:$AR$96,6,FALSE),VLOOKUP($H84,'Natural Gas Bill'!$A$5:$AS$96,6,FALSE))))</f>
        <v>94.427956990055407</v>
      </c>
      <c r="M84" s="1522">
        <f>IF($T84="", "", IFERROR(IF($B$30="Yes", $V84, IF($B$34="Both",IF($C$32="Apartment","Not Applicable", VLOOKUP($H84, 'Misc. Data &amp; Mechanisms'!$E$280:$H$369, HLOOKUP($C$32,'Misc. Data &amp; Mechanisms'!$E$277:$H$279, 3, FALSE), FALSE)),"")), ""))</f>
        <v>7.8744686576995928</v>
      </c>
      <c r="N84" s="1530">
        <f>IF($X84="", "",IFERROR(IF($B$34="Both",IF($C$37&lt;&gt;"Custom", IF($C$37 = "DRT", VLOOKUP($H84,'Misc. Data &amp; Mechanisms'!$A$1381:$D$1471,MATCH($B$23,'Misc. Data &amp; Mechanisms'!$B$1381:$D$1381,0)+1,FALSE)),IF($C$36="Custom",VLOOKUP($H84,$X$3:$AB$93,4,FALSE),VLOOKUP($H84,$X$3:$AB$93,2,FALSE))),""),""))</f>
        <v>1.321</v>
      </c>
      <c r="O84" s="1529">
        <f>IF($X84="", "",IFERROR(IF($B$34="Both",IF($C$37&lt;&gt;"Custom", VLOOKUP($H84,'Misc. Data &amp; Mechanisms'!$A$1483:$H$1574,MATCH($B$23,'Misc. Data &amp; Mechanisms'!$B$1483:$H$1483,0)+1,FALSE),IF($C$36="Custom",VLOOKUP($H84,$X$3:$AB$93,5,FALSE),VLOOKUP($H84,$X$3:$AB$93,3,FALSE))),""),""))</f>
        <v>0.249</v>
      </c>
      <c r="P84" s="1531">
        <f ca="1">IF(OR($H84="",$M84=""), "", IF($M84="Not Applicable", "-",VLOOKUP($H84,'Natural Gas Bill'!$A$5:$AS$96,6,FALSE)))</f>
        <v>70.60316676042919</v>
      </c>
      <c r="Q84" s="33"/>
      <c r="S84" s="30"/>
      <c r="T84" s="1521">
        <f>IF($B$25="Yes", 'Misc. Data &amp; Mechanisms'!$A143,IF(T83="", "", IF(($H83+DAY(DATE(YEAR($H83),MONTH($H83)+1,1)-1))&lt;=$C$28, ($H83+DAY(DATE(YEAR($H83),MONTH($H83)+1,1)-1)), "")))</f>
        <v>43344</v>
      </c>
      <c r="U84" s="1519"/>
      <c r="V84" s="1519"/>
      <c r="W84" s="1224"/>
      <c r="X84" s="1521">
        <f>IF($B$25="Yes", 'Misc. Data &amp; Mechanisms'!$A143,IF(X83="", "", IF(($H83+DAY(DATE(YEAR($H83),MONTH($H83)+1,1)-1))&lt;=$C$28, ($H83+DAY(DATE(YEAR($H83),MONTH($H83)+1,1)-1)), "")))</f>
        <v>43344</v>
      </c>
      <c r="Y84" s="1519"/>
      <c r="Z84" s="1519"/>
      <c r="AA84" s="1520"/>
      <c r="AB84" s="1520"/>
      <c r="AC84" s="1364"/>
      <c r="AD84" s="1363"/>
    </row>
    <row r="85" spans="7:30" ht="18" customHeight="1" x14ac:dyDescent="0.3">
      <c r="G85" s="30"/>
      <c r="H85" s="1521">
        <f>IF($B$25="Yes", 'Misc. Data &amp; Mechanisms'!$A144,IF(H84="", "", IF(($H84+DAY(DATE(YEAR($H84),MONTH($H84)+1,1)-1))&lt;=$C$28, ($H84+DAY(DATE(YEAR($H84),MONTH($H84)+1,1)-1)), "")))</f>
        <v>43374</v>
      </c>
      <c r="I85" s="1522">
        <f>IF($T85="", "",IFERROR(IF($B$30="Yes", VLOOKUP($H85, $T$3:$V$93, 2, FALSE), IF($B$34&lt;&gt;"Natural Gas", VLOOKUP($H85, 'Misc. Data &amp; Mechanisms'!$A$280:$D$369, HLOOKUP($C$32,'Misc. Data &amp; Mechanisms'!$A$277:$D$279, 3, FALSE), FALSE), IF($C$32="Apartment", "Not Applicable",VLOOKUP($H85, 'Misc. Data &amp; Mechanisms'!$E$280:$H$369, HLOOKUP($C$32,'Misc. Data &amp; Mechanisms'!$E$277:$H$279, 3, FALSE), FALSE)))), ""))</f>
        <v>545.14156168933403</v>
      </c>
      <c r="J85" s="1529">
        <f>IF($X85="", "",IFERROR(IF($B$34&lt;&gt;"Natural Gas", IF($C$36&lt;&gt;"Custom", IF($C$36 = "RRO (Capped)", VLOOKUP($H85,'Misc. Data &amp; Mechanisms'!$A$1278:$E$1368,MATCH($B$22,'Misc. Data &amp; Mechanisms'!$B$1278:$E$1278,0)+1,FALSE), VLOOKUP($H85,'Misc. Data &amp; Mechanisms'!$G$1278:$K$1368,MATCH($B$22,'Misc. Data &amp; Mechanisms'!$H$1278:$K$1278,0)+1,FALSE)),VLOOKUP($H85,$X$3:$AB$93,2,FALSE)),  IF($C$37&lt;&gt;"Custom", IF($C$37 = "DRT", VLOOKUP($H85,'Misc. Data &amp; Mechanisms'!$A$1381:$D$1471,MATCH($B$23,'Misc. Data &amp; Mechanisms'!$B$1381:$D$1381,0)+1,FALSE)),VLOOKUP($H85,$X$3:$AB$93,2,FALSE))),""))</f>
        <v>6.4139999999999997</v>
      </c>
      <c r="K85" s="1529">
        <f>IF($X85="", "",IFERROR(IF($B$34&lt;&gt;"Natural Gas", IF($C$36&lt;&gt;"Custom", VLOOKUP($H85,'Misc. Data &amp; Mechanisms'!$A$1483:$H$1574,MATCH($B$22,'Misc. Data &amp; Mechanisms'!$B$1483:$H$1483,0)+1,FALSE),VLOOKUP($H85,$X$3:$AB$93,3,FALSE)),  IF($C$37&lt;&gt;"Custom", VLOOKUP($H85,'Misc. Data &amp; Mechanisms'!$A$1483:$H$1574,MATCH($B$23,'Misc. Data &amp; Mechanisms'!$B$1483:$H$1483,0)+1,FALSE),VLOOKUP($H85,$X$3:$AB$93,3,FALSE))),""))</f>
        <v>0.2064</v>
      </c>
      <c r="L85" s="1531">
        <f ca="1">IF(OR($H85="",$I85=""),"",IF($I85="Not Applicable", "-",IF($B$34&lt;&gt;"Natural Gas",VLOOKUP($H85,'Electricity Bill'!$A$5:$AR$96,6,FALSE),VLOOKUP($H85,'Natural Gas Bill'!$A$5:$AS$96,6,FALSE))))</f>
        <v>99.808261723978561</v>
      </c>
      <c r="M85" s="1522">
        <f>IF($T85="", "", IFERROR(IF($B$30="Yes", $V85, IF($B$34="Both",IF($C$32="Apartment","Not Applicable", VLOOKUP($H85, 'Misc. Data &amp; Mechanisms'!$E$280:$H$369, HLOOKUP($C$32,'Misc. Data &amp; Mechanisms'!$E$277:$H$279, 3, FALSE), FALSE)),"")), ""))</f>
        <v>11.141358321688704</v>
      </c>
      <c r="N85" s="1530">
        <f>IF($X85="", "",IFERROR(IF($B$34="Both",IF($C$37&lt;&gt;"Custom", IF($C$37 = "DRT", VLOOKUP($H85,'Misc. Data &amp; Mechanisms'!$A$1381:$D$1471,MATCH($B$23,'Misc. Data &amp; Mechanisms'!$B$1381:$D$1381,0)+1,FALSE)),IF($C$36="Custom",VLOOKUP($H85,$X$3:$AB$93,4,FALSE),VLOOKUP($H85,$X$3:$AB$93,2,FALSE))),""),""))</f>
        <v>1.3220000000000001</v>
      </c>
      <c r="O85" s="1529">
        <f>IF($X85="", "",IFERROR(IF($B$34="Both",IF($C$37&lt;&gt;"Custom", VLOOKUP($H85,'Misc. Data &amp; Mechanisms'!$A$1483:$H$1574,MATCH($B$23,'Misc. Data &amp; Mechanisms'!$B$1483:$H$1483,0)+1,FALSE),IF($C$36="Custom",VLOOKUP($H85,$X$3:$AB$93,5,FALSE),VLOOKUP($H85,$X$3:$AB$93,3,FALSE))),""),""))</f>
        <v>0.27200000000000002</v>
      </c>
      <c r="P85" s="1531">
        <f ca="1">IF(OR($H85="",$M85=""), "", IF($M85="Not Applicable", "-",VLOOKUP($H85,'Natural Gas Bill'!$A$5:$AS$96,6,FALSE)))</f>
        <v>87.287621919425717</v>
      </c>
      <c r="Q85" s="33"/>
      <c r="S85" s="30"/>
      <c r="T85" s="1521">
        <f>IF($B$25="Yes", 'Misc. Data &amp; Mechanisms'!$A144,IF(T84="", "", IF(($H84+DAY(DATE(YEAR($H84),MONTH($H84)+1,1)-1))&lt;=$C$28, ($H84+DAY(DATE(YEAR($H84),MONTH($H84)+1,1)-1)), "")))</f>
        <v>43374</v>
      </c>
      <c r="U85" s="1519"/>
      <c r="V85" s="1519"/>
      <c r="W85" s="1224"/>
      <c r="X85" s="1521">
        <f>IF($B$25="Yes", 'Misc. Data &amp; Mechanisms'!$A144,IF(X84="", "", IF(($H84+DAY(DATE(YEAR($H84),MONTH($H84)+1,1)-1))&lt;=$C$28, ($H84+DAY(DATE(YEAR($H84),MONTH($H84)+1,1)-1)), "")))</f>
        <v>43374</v>
      </c>
      <c r="Y85" s="1519"/>
      <c r="Z85" s="1519"/>
      <c r="AA85" s="1520"/>
      <c r="AB85" s="1520"/>
      <c r="AC85" s="1364"/>
      <c r="AD85" s="1363"/>
    </row>
    <row r="86" spans="7:30" ht="18" customHeight="1" x14ac:dyDescent="0.3">
      <c r="G86" s="30"/>
      <c r="H86" s="1521">
        <f>IF($B$25="Yes", 'Misc. Data &amp; Mechanisms'!$A145,IF(H85="", "", IF(($H85+DAY(DATE(YEAR($H85),MONTH($H85)+1,1)-1))&lt;=$C$28, ($H85+DAY(DATE(YEAR($H85),MONTH($H85)+1,1)-1)), "")))</f>
        <v>43405</v>
      </c>
      <c r="I86" s="1522">
        <f>IF($T86="", "",IFERROR(IF($B$30="Yes", VLOOKUP($H86, $T$3:$V$93, 2, FALSE), IF($B$34&lt;&gt;"Natural Gas", VLOOKUP($H86, 'Misc. Data &amp; Mechanisms'!$A$280:$D$369, HLOOKUP($C$32,'Misc. Data &amp; Mechanisms'!$A$277:$D$279, 3, FALSE), FALSE), IF($C$32="Apartment", "Not Applicable",VLOOKUP($H86, 'Misc. Data &amp; Mechanisms'!$E$280:$H$369, HLOOKUP($C$32,'Misc. Data &amp; Mechanisms'!$E$277:$H$279, 3, FALSE), FALSE)))), ""))</f>
        <v>584.09010167112854</v>
      </c>
      <c r="J86" s="1529">
        <f>IF($X86="", "",IFERROR(IF($B$34&lt;&gt;"Natural Gas", IF($C$36&lt;&gt;"Custom", IF($C$36 = "RRO (Capped)", VLOOKUP($H86,'Misc. Data &amp; Mechanisms'!$A$1278:$E$1368,MATCH($B$22,'Misc. Data &amp; Mechanisms'!$B$1278:$E$1278,0)+1,FALSE), VLOOKUP($H86,'Misc. Data &amp; Mechanisms'!$G$1278:$K$1368,MATCH($B$22,'Misc. Data &amp; Mechanisms'!$H$1278:$K$1278,0)+1,FALSE)),VLOOKUP($H86,$X$3:$AB$93,2,FALSE)),  IF($C$37&lt;&gt;"Custom", IF($C$37 = "DRT", VLOOKUP($H86,'Misc. Data &amp; Mechanisms'!$A$1381:$D$1471,MATCH($B$23,'Misc. Data &amp; Mechanisms'!$B$1381:$D$1381,0)+1,FALSE)),VLOOKUP($H86,$X$3:$AB$93,2,FALSE))),""))</f>
        <v>6.306</v>
      </c>
      <c r="K86" s="1529">
        <f>IF($X86="", "",IFERROR(IF($B$34&lt;&gt;"Natural Gas", IF($C$36&lt;&gt;"Custom", VLOOKUP($H86,'Misc. Data &amp; Mechanisms'!$A$1483:$H$1574,MATCH($B$22,'Misc. Data &amp; Mechanisms'!$B$1483:$H$1483,0)+1,FALSE),VLOOKUP($H86,$X$3:$AB$93,3,FALSE)),  IF($C$37&lt;&gt;"Custom", VLOOKUP($H86,'Misc. Data &amp; Mechanisms'!$A$1483:$H$1574,MATCH($B$23,'Misc. Data &amp; Mechanisms'!$B$1483:$H$1483,0)+1,FALSE),VLOOKUP($H86,$X$3:$AB$93,3,FALSE))),""))</f>
        <v>0.2064</v>
      </c>
      <c r="L86" s="1531">
        <f ca="1">IF(OR($H86="",$I86=""),"",IF($I86="Not Applicable", "-",IF($B$34&lt;&gt;"Natural Gas",VLOOKUP($H86,'Electricity Bill'!$A$5:$AR$96,6,FALSE),VLOOKUP($H86,'Natural Gas Bill'!$A$5:$AS$96,6,FALSE))))</f>
        <v>103.62204058208933</v>
      </c>
      <c r="M86" s="1522">
        <f>IF($T86="", "", IFERROR(IF($B$30="Yes", $V86, IF($B$34="Both",IF($C$32="Apartment","Not Applicable", VLOOKUP($H86, 'Misc. Data &amp; Mechanisms'!$E$280:$H$369, HLOOKUP($C$32,'Misc. Data &amp; Mechanisms'!$E$277:$H$279, 3, FALSE), FALSE)),"")), ""))</f>
        <v>13.711123408120821</v>
      </c>
      <c r="N86" s="1530">
        <f>IF($X86="", "",IFERROR(IF($B$34="Both",IF($C$37&lt;&gt;"Custom", IF($C$37 = "DRT", VLOOKUP($H86,'Misc. Data &amp; Mechanisms'!$A$1381:$D$1471,MATCH($B$23,'Misc. Data &amp; Mechanisms'!$B$1381:$D$1381,0)+1,FALSE)),IF($C$36="Custom",VLOOKUP($H86,$X$3:$AB$93,4,FALSE),VLOOKUP($H86,$X$3:$AB$93,2,FALSE))),""),""))</f>
        <v>2.3690000000000002</v>
      </c>
      <c r="O86" s="1529">
        <f>IF($X86="", "",IFERROR(IF($B$34="Both",IF($C$37&lt;&gt;"Custom", VLOOKUP($H86,'Misc. Data &amp; Mechanisms'!$A$1483:$H$1574,MATCH($B$23,'Misc. Data &amp; Mechanisms'!$B$1483:$H$1483,0)+1,FALSE),IF($C$36="Custom",VLOOKUP($H86,$X$3:$AB$93,5,FALSE),VLOOKUP($H86,$X$3:$AB$93,3,FALSE))),""),""))</f>
        <v>0.27200000000000002</v>
      </c>
      <c r="P86" s="1531">
        <f ca="1">IF(OR($H86="",$M86=""), "", IF($M86="Not Applicable", "-",VLOOKUP($H86,'Natural Gas Bill'!$A$5:$AS$96,6,FALSE)))</f>
        <v>114.4528104862833</v>
      </c>
      <c r="Q86" s="33"/>
      <c r="S86" s="30"/>
      <c r="T86" s="1521">
        <f>IF($B$25="Yes", 'Misc. Data &amp; Mechanisms'!$A145,IF(T85="", "", IF(($H85+DAY(DATE(YEAR($H85),MONTH($H85)+1,1)-1))&lt;=$C$28, ($H85+DAY(DATE(YEAR($H85),MONTH($H85)+1,1)-1)), "")))</f>
        <v>43405</v>
      </c>
      <c r="U86" s="1519"/>
      <c r="V86" s="1519"/>
      <c r="W86" s="1224"/>
      <c r="X86" s="1521">
        <f>IF($B$25="Yes", 'Misc. Data &amp; Mechanisms'!$A145,IF(X85="", "", IF(($H85+DAY(DATE(YEAR($H85),MONTH($H85)+1,1)-1))&lt;=$C$28, ($H85+DAY(DATE(YEAR($H85),MONTH($H85)+1,1)-1)), "")))</f>
        <v>43405</v>
      </c>
      <c r="Y86" s="1519"/>
      <c r="Z86" s="1519"/>
      <c r="AA86" s="1520"/>
      <c r="AB86" s="1520"/>
      <c r="AC86" s="1364"/>
      <c r="AD86" s="1363"/>
    </row>
    <row r="87" spans="7:30" ht="18" customHeight="1" x14ac:dyDescent="0.3">
      <c r="G87" s="30"/>
      <c r="H87" s="1521">
        <f>IF($B$25="Yes", 'Misc. Data &amp; Mechanisms'!$A146,IF(H86="", "", IF(($H86+DAY(DATE(YEAR($H86),MONTH($H86)+1,1)-1))&lt;=$C$28, ($H86+DAY(DATE(YEAR($H86),MONTH($H86)+1,1)-1)), "")))</f>
        <v>43435</v>
      </c>
      <c r="I87" s="1522">
        <f>IF($T87="", "",IFERROR(IF($B$30="Yes", VLOOKUP($H87, $T$3:$V$93, 2, FALSE), IF($B$34&lt;&gt;"Natural Gas", VLOOKUP($H87, 'Misc. Data &amp; Mechanisms'!$A$280:$D$369, HLOOKUP($C$32,'Misc. Data &amp; Mechanisms'!$A$277:$D$279, 3, FALSE), FALSE), IF($C$32="Apartment", "Not Applicable",VLOOKUP($H87, 'Misc. Data &amp; Mechanisms'!$E$280:$H$369, HLOOKUP($C$32,'Misc. Data &amp; Mechanisms'!$E$277:$H$279, 3, FALSE), FALSE)))), ""))</f>
        <v>627.91108023765605</v>
      </c>
      <c r="J87" s="1529">
        <f>IF($X87="", "",IFERROR(IF($B$34&lt;&gt;"Natural Gas", IF($C$36&lt;&gt;"Custom", IF($C$36 = "RRO (Capped)", VLOOKUP($H87,'Misc. Data &amp; Mechanisms'!$A$1278:$E$1368,MATCH($B$22,'Misc. Data &amp; Mechanisms'!$B$1278:$E$1278,0)+1,FALSE), VLOOKUP($H87,'Misc. Data &amp; Mechanisms'!$G$1278:$K$1368,MATCH($B$22,'Misc. Data &amp; Mechanisms'!$H$1278:$K$1278,0)+1,FALSE)),VLOOKUP($H87,$X$3:$AB$93,2,FALSE)),  IF($C$37&lt;&gt;"Custom", IF($C$37 = "DRT", VLOOKUP($H87,'Misc. Data &amp; Mechanisms'!$A$1381:$D$1471,MATCH($B$23,'Misc. Data &amp; Mechanisms'!$B$1381:$D$1381,0)+1,FALSE)),VLOOKUP($H87,$X$3:$AB$93,2,FALSE))),""))</f>
        <v>6.8</v>
      </c>
      <c r="K87" s="1529">
        <f>IF($X87="", "",IFERROR(IF($B$34&lt;&gt;"Natural Gas", IF($C$36&lt;&gt;"Custom", VLOOKUP($H87,'Misc. Data &amp; Mechanisms'!$A$1483:$H$1574,MATCH($B$22,'Misc. Data &amp; Mechanisms'!$B$1483:$H$1483,0)+1,FALSE),VLOOKUP($H87,$X$3:$AB$93,3,FALSE)),  IF($C$37&lt;&gt;"Custom", VLOOKUP($H87,'Misc. Data &amp; Mechanisms'!$A$1483:$H$1574,MATCH($B$23,'Misc. Data &amp; Mechanisms'!$B$1483:$H$1483,0)+1,FALSE),VLOOKUP($H87,$X$3:$AB$93,3,FALSE))),""))</f>
        <v>0.2064</v>
      </c>
      <c r="L87" s="1531">
        <f ca="1">IF(OR($H87="",$I87=""),"",IF($I87="Not Applicable", "-",IF($B$34&lt;&gt;"Natural Gas",VLOOKUP($H87,'Electricity Bill'!$A$5:$AR$96,6,FALSE),VLOOKUP($H87,'Natural Gas Bill'!$A$5:$AS$96,6,FALSE))))</f>
        <v>114.01081373421792</v>
      </c>
      <c r="M87" s="1522">
        <f>IF($T87="", "", IFERROR(IF($B$30="Yes", $V87, IF($B$34="Both",IF($C$32="Apartment","Not Applicable", VLOOKUP($H87, 'Misc. Data &amp; Mechanisms'!$E$280:$H$369, HLOOKUP($C$32,'Misc. Data &amp; Mechanisms'!$E$277:$H$279, 3, FALSE), FALSE)),"")), ""))</f>
        <v>16.681040406493022</v>
      </c>
      <c r="N87" s="1530">
        <f>IF($X87="", "",IFERROR(IF($B$34="Both",IF($C$37&lt;&gt;"Custom", IF($C$37 = "DRT", VLOOKUP($H87,'Misc. Data &amp; Mechanisms'!$A$1381:$D$1471,MATCH($B$23,'Misc. Data &amp; Mechanisms'!$B$1381:$D$1381,0)+1,FALSE)),IF($C$36="Custom",VLOOKUP($H87,$X$3:$AB$93,4,FALSE),VLOOKUP($H87,$X$3:$AB$93,2,FALSE))),""),""))</f>
        <v>2.004</v>
      </c>
      <c r="O87" s="1529">
        <f>IF($X87="", "",IFERROR(IF($B$34="Both",IF($C$37&lt;&gt;"Custom", VLOOKUP($H87,'Misc. Data &amp; Mechanisms'!$A$1483:$H$1574,MATCH($B$23,'Misc. Data &amp; Mechanisms'!$B$1483:$H$1483,0)+1,FALSE),IF($C$36="Custom",VLOOKUP($H87,$X$3:$AB$93,5,FALSE),VLOOKUP($H87,$X$3:$AB$93,3,FALSE))),""),""))</f>
        <v>0.27200000000000002</v>
      </c>
      <c r="P87" s="1531">
        <f ca="1">IF(OR($H87="",$M87=""), "", IF($M87="Not Applicable", "-",VLOOKUP($H87,'Natural Gas Bill'!$A$5:$AS$96,6,FALSE)))</f>
        <v>125.58640441073138</v>
      </c>
      <c r="Q87" s="33"/>
      <c r="S87" s="30"/>
      <c r="T87" s="1521">
        <f>IF($B$25="Yes", 'Misc. Data &amp; Mechanisms'!$A146,IF(T86="", "", IF(($H86+DAY(DATE(YEAR($H86),MONTH($H86)+1,1)-1))&lt;=$C$28, ($H86+DAY(DATE(YEAR($H86),MONTH($H86)+1,1)-1)), "")))</f>
        <v>43435</v>
      </c>
      <c r="U87" s="1519"/>
      <c r="V87" s="1519"/>
      <c r="W87" s="1224"/>
      <c r="X87" s="1521">
        <f>IF($B$25="Yes", 'Misc. Data &amp; Mechanisms'!$A146,IF(X86="", "", IF(($H86+DAY(DATE(YEAR($H86),MONTH($H86)+1,1)-1))&lt;=$C$28, ($H86+DAY(DATE(YEAR($H86),MONTH($H86)+1,1)-1)), "")))</f>
        <v>43435</v>
      </c>
      <c r="Y87" s="1519"/>
      <c r="Z87" s="1519"/>
      <c r="AA87" s="1520"/>
      <c r="AB87" s="1520"/>
      <c r="AC87" s="1364"/>
      <c r="AD87" s="1363"/>
    </row>
    <row r="88" spans="7:30" x14ac:dyDescent="0.3">
      <c r="G88" s="30"/>
      <c r="H88" s="1521">
        <f>IF($B$25="Yes", 'Misc. Data &amp; Mechanisms'!$A147,IF(H87="", "", IF(($H87+DAY(DATE(YEAR($H87),MONTH($H87)+1,1)-1))&lt;=$C$28, ($H87+DAY(DATE(YEAR($H87),MONTH($H87)+1,1)-1)), "")))</f>
        <v>43466</v>
      </c>
      <c r="I88" s="1522">
        <f>IF($T88="", "",IFERROR(IF($B$30="Yes", VLOOKUP($H88, $T$3:$V$93, 2, FALSE), IF($B$34&lt;&gt;"Natural Gas", VLOOKUP($H88, 'Misc. Data &amp; Mechanisms'!$A$280:$D$369, HLOOKUP($C$32,'Misc. Data &amp; Mechanisms'!$A$277:$D$279, 3, FALSE), FALSE), IF($C$32="Apartment", "Not Applicable",VLOOKUP($H88, 'Misc. Data &amp; Mechanisms'!$E$280:$H$369, HLOOKUP($C$32,'Misc. Data &amp; Mechanisms'!$E$277:$H$279, 3, FALSE), FALSE)))), ""))</f>
        <v>604.05865639280523</v>
      </c>
      <c r="J88" s="1529">
        <f>IF($X88="", "",IFERROR(IF($B$34&lt;&gt;"Natural Gas", IF($C$36&lt;&gt;"Custom", IF($C$36 = "RRO (Capped)", VLOOKUP($H88,'Misc. Data &amp; Mechanisms'!$A$1278:$E$1368,MATCH($B$22,'Misc. Data &amp; Mechanisms'!$B$1278:$E$1278,0)+1,FALSE), VLOOKUP($H88,'Misc. Data &amp; Mechanisms'!$G$1278:$K$1368,MATCH($B$22,'Misc. Data &amp; Mechanisms'!$H$1278:$K$1278,0)+1,FALSE)),VLOOKUP($H88,$X$3:$AB$93,2,FALSE)),  IF($C$37&lt;&gt;"Custom", IF($C$37 = "DRT", VLOOKUP($H88,'Misc. Data &amp; Mechanisms'!$A$1381:$D$1471,MATCH($B$23,'Misc. Data &amp; Mechanisms'!$B$1381:$D$1381,0)+1,FALSE)),VLOOKUP($H88,$X$3:$AB$93,2,FALSE))),""))</f>
        <v>6.8</v>
      </c>
      <c r="K88" s="1529">
        <f>IF($X88="", "",IFERROR(IF($B$34&lt;&gt;"Natural Gas", IF($C$36&lt;&gt;"Custom", VLOOKUP($H88,'Misc. Data &amp; Mechanisms'!$A$1483:$H$1574,MATCH($B$22,'Misc. Data &amp; Mechanisms'!$B$1483:$H$1483,0)+1,FALSE),VLOOKUP($H88,$X$3:$AB$93,3,FALSE)),  IF($C$37&lt;&gt;"Custom", VLOOKUP($H88,'Misc. Data &amp; Mechanisms'!$A$1483:$H$1574,MATCH($B$23,'Misc. Data &amp; Mechanisms'!$B$1483:$H$1483,0)+1,FALSE),VLOOKUP($H88,$X$3:$AB$93,3,FALSE))),""))</f>
        <v>0.2064</v>
      </c>
      <c r="L88" s="1531">
        <f ca="1">IF(OR($H88="",$I88=""),"",IF($I88="Not Applicable", "-",IF($B$34&lt;&gt;"Natural Gas",VLOOKUP($H88,'Electricity Bill'!$A$5:$AR$96,6,FALSE),VLOOKUP($H88,'Natural Gas Bill'!$A$5:$AS$96,6,FALSE))))</f>
        <v>114.90395361763929</v>
      </c>
      <c r="M88" s="1522">
        <f>IF($T88="", "", IFERROR(IF($B$30="Yes", $V88, IF($B$34="Both",IF($C$32="Apartment","Not Applicable", VLOOKUP($H88, 'Misc. Data &amp; Mechanisms'!$E$280:$H$369, HLOOKUP($C$32,'Misc. Data &amp; Mechanisms'!$E$277:$H$279, 3, FALSE), FALSE)),"")), ""))</f>
        <v>16.841756141444122</v>
      </c>
      <c r="N88" s="1530">
        <f>IF($X88="", "",IFERROR(IF($B$34="Both",IF($C$37&lt;&gt;"Custom", IF($C$37 = "DRT", VLOOKUP($H88,'Misc. Data &amp; Mechanisms'!$A$1381:$D$1471,MATCH($B$23,'Misc. Data &amp; Mechanisms'!$B$1381:$D$1381,0)+1,FALSE)),IF($C$36="Custom",VLOOKUP($H88,$X$3:$AB$93,4,FALSE),VLOOKUP($H88,$X$3:$AB$93,2,FALSE))),""),""))</f>
        <v>1.5149999999999999</v>
      </c>
      <c r="O88" s="1529">
        <f>IF($X88="", "",IFERROR(IF($B$34="Both",IF($C$37&lt;&gt;"Custom", VLOOKUP($H88,'Misc. Data &amp; Mechanisms'!$A$1483:$H$1574,MATCH($B$23,'Misc. Data &amp; Mechanisms'!$B$1483:$H$1483,0)+1,FALSE),IF($C$36="Custom",VLOOKUP($H88,$X$3:$AB$93,5,FALSE),VLOOKUP($H88,$X$3:$AB$93,3,FALSE))),""),""))</f>
        <v>0.27200000000000002</v>
      </c>
      <c r="P88" s="1531">
        <f ca="1">IF(OR($H88="",$M88=""), "", IF($M88="Not Applicable", "-",VLOOKUP($H88,'Natural Gas Bill'!$A$5:$AS$96,6,FALSE)))</f>
        <v>120.86879919119347</v>
      </c>
      <c r="Q88" s="33"/>
      <c r="S88" s="30"/>
      <c r="T88" s="1521">
        <f>IF($B$25="Yes", 'Misc. Data &amp; Mechanisms'!$A147,IF(T87="", "", IF(($H87+DAY(DATE(YEAR($H87),MONTH($H87)+1,1)-1))&lt;=$C$28, ($H87+DAY(DATE(YEAR($H87),MONTH($H87)+1,1)-1)), "")))</f>
        <v>43466</v>
      </c>
      <c r="U88" s="1519"/>
      <c r="V88" s="1519"/>
      <c r="W88" s="1224"/>
      <c r="X88" s="1521">
        <f>IF($B$25="Yes", 'Misc. Data &amp; Mechanisms'!$A147,IF(X87="", "", IF(($H87+DAY(DATE(YEAR($H87),MONTH($H87)+1,1)-1))&lt;=$C$28, ($H87+DAY(DATE(YEAR($H87),MONTH($H87)+1,1)-1)), "")))</f>
        <v>43466</v>
      </c>
      <c r="Y88" s="1519"/>
      <c r="Z88" s="1519"/>
      <c r="AA88" s="1520"/>
      <c r="AB88" s="1520"/>
      <c r="AC88" s="1364"/>
      <c r="AD88" s="1363"/>
    </row>
    <row r="89" spans="7:30" x14ac:dyDescent="0.3">
      <c r="G89" s="30"/>
      <c r="H89" s="1521">
        <f>IF($B$25="Yes", 'Misc. Data &amp; Mechanisms'!$A148,IF(H88="", "", IF(($H88+DAY(DATE(YEAR($H88),MONTH($H88)+1,1)-1))&lt;=$C$28, ($H88+DAY(DATE(YEAR($H88),MONTH($H88)+1,1)-1)), "")))</f>
        <v>43497</v>
      </c>
      <c r="I89" s="1522">
        <f>IF($T89="", "",IFERROR(IF($B$30="Yes", VLOOKUP($H89, $T$3:$V$93, 2, FALSE), IF($B$34&lt;&gt;"Natural Gas", VLOOKUP($H89, 'Misc. Data &amp; Mechanisms'!$A$280:$D$369, HLOOKUP($C$32,'Misc. Data &amp; Mechanisms'!$A$277:$D$279, 3, FALSE), FALSE), IF($C$32="Apartment", "Not Applicable",VLOOKUP($H89, 'Misc. Data &amp; Mechanisms'!$E$280:$H$369, HLOOKUP($C$32,'Misc. Data &amp; Mechanisms'!$E$277:$H$279, 3, FALSE), FALSE)))), ""))</f>
        <v>631.39549774534771</v>
      </c>
      <c r="J89" s="1529">
        <f>IF($X89="", "",IFERROR(IF($B$34&lt;&gt;"Natural Gas", IF($C$36&lt;&gt;"Custom", IF($C$36 = "RRO (Capped)", VLOOKUP($H89,'Misc. Data &amp; Mechanisms'!$A$1278:$E$1368,MATCH($B$22,'Misc. Data &amp; Mechanisms'!$B$1278:$E$1278,0)+1,FALSE), VLOOKUP($H89,'Misc. Data &amp; Mechanisms'!$G$1278:$K$1368,MATCH($B$22,'Misc. Data &amp; Mechanisms'!$H$1278:$K$1278,0)+1,FALSE)),VLOOKUP($H89,$X$3:$AB$93,2,FALSE)),  IF($C$37&lt;&gt;"Custom", IF($C$37 = "DRT", VLOOKUP($H89,'Misc. Data &amp; Mechanisms'!$A$1381:$D$1471,MATCH($B$23,'Misc. Data &amp; Mechanisms'!$B$1381:$D$1381,0)+1,FALSE)),VLOOKUP($H89,$X$3:$AB$93,2,FALSE))),""))</f>
        <v>6.8</v>
      </c>
      <c r="K89" s="1529">
        <f>IF($X89="", "",IFERROR(IF($B$34&lt;&gt;"Natural Gas", IF($C$36&lt;&gt;"Custom", VLOOKUP($H89,'Misc. Data &amp; Mechanisms'!$A$1483:$H$1574,MATCH($B$22,'Misc. Data &amp; Mechanisms'!$B$1483:$H$1483,0)+1,FALSE),VLOOKUP($H89,$X$3:$AB$93,3,FALSE)),  IF($C$37&lt;&gt;"Custom", VLOOKUP($H89,'Misc. Data &amp; Mechanisms'!$A$1483:$H$1574,MATCH($B$23,'Misc. Data &amp; Mechanisms'!$B$1483:$H$1483,0)+1,FALSE),VLOOKUP($H89,$X$3:$AB$93,3,FALSE))),""))</f>
        <v>0.2064</v>
      </c>
      <c r="L89" s="1531">
        <f ca="1">IF(OR($H89="",$I89=""),"",IF($I89="Not Applicable", "-",IF($B$34&lt;&gt;"Natural Gas",VLOOKUP($H89,'Electricity Bill'!$A$5:$AR$96,6,FALSE),VLOOKUP($H89,'Natural Gas Bill'!$A$5:$AS$96,6,FALSE))))</f>
        <v>116.41903663158469</v>
      </c>
      <c r="M89" s="1522">
        <f>IF($T89="", "", IFERROR(IF($B$30="Yes", $V89, IF($B$34="Both",IF($C$32="Apartment","Not Applicable", VLOOKUP($H89, 'Misc. Data &amp; Mechanisms'!$E$280:$H$369, HLOOKUP($C$32,'Misc. Data &amp; Mechanisms'!$E$277:$H$279, 3, FALSE), FALSE)),"")), ""))</f>
        <v>26.110234067013611</v>
      </c>
      <c r="N89" s="1530">
        <f>IF($X89="", "",IFERROR(IF($B$34="Both",IF($C$37&lt;&gt;"Custom", IF($C$37 = "DRT", VLOOKUP($H89,'Misc. Data &amp; Mechanisms'!$A$1381:$D$1471,MATCH($B$23,'Misc. Data &amp; Mechanisms'!$B$1381:$D$1381,0)+1,FALSE)),IF($C$36="Custom",VLOOKUP($H89,$X$3:$AB$93,4,FALSE),VLOOKUP($H89,$X$3:$AB$93,2,FALSE))),""),""))</f>
        <v>1.99</v>
      </c>
      <c r="O89" s="1529">
        <f>IF($X89="", "",IFERROR(IF($B$34="Both",IF($C$37&lt;&gt;"Custom", VLOOKUP($H89,'Misc. Data &amp; Mechanisms'!$A$1483:$H$1574,MATCH($B$23,'Misc. Data &amp; Mechanisms'!$B$1483:$H$1483,0)+1,FALSE),IF($C$36="Custom",VLOOKUP($H89,$X$3:$AB$93,5,FALSE),VLOOKUP($H89,$X$3:$AB$93,3,FALSE))),""),""))</f>
        <v>0.27200000000000002</v>
      </c>
      <c r="P89" s="1531">
        <f ca="1">IF(OR($H89="",$M89=""), "", IF($M89="Not Applicable", "-",VLOOKUP($H89,'Natural Gas Bill'!$A$5:$AS$96,6,FALSE)))</f>
        <v>179.51039671386988</v>
      </c>
      <c r="Q89" s="33"/>
      <c r="S89" s="30"/>
      <c r="T89" s="1521">
        <f>IF($B$25="Yes", 'Misc. Data &amp; Mechanisms'!$A148,IF(T88="", "", IF(($H88+DAY(DATE(YEAR($H88),MONTH($H88)+1,1)-1))&lt;=$C$28, ($H88+DAY(DATE(YEAR($H88),MONTH($H88)+1,1)-1)), "")))</f>
        <v>43497</v>
      </c>
      <c r="U89" s="1519"/>
      <c r="V89" s="1519"/>
      <c r="W89" s="1224"/>
      <c r="X89" s="1521">
        <f>IF($B$25="Yes", 'Misc. Data &amp; Mechanisms'!$A148,IF(X88="", "", IF(($H88+DAY(DATE(YEAR($H88),MONTH($H88)+1,1)-1))&lt;=$C$28, ($H88+DAY(DATE(YEAR($H88),MONTH($H88)+1,1)-1)), "")))</f>
        <v>43497</v>
      </c>
      <c r="Y89" s="1519"/>
      <c r="Z89" s="1519"/>
      <c r="AA89" s="1520"/>
      <c r="AB89" s="1520"/>
      <c r="AC89" s="1364"/>
      <c r="AD89" s="1363"/>
    </row>
    <row r="90" spans="7:30" x14ac:dyDescent="0.3">
      <c r="G90" s="30"/>
      <c r="H90" s="1521">
        <f>IF($B$25="Yes", 'Misc. Data &amp; Mechanisms'!$A149,IF(H89="", "", IF(($H89+DAY(DATE(YEAR($H89),MONTH($H89)+1,1)-1))&lt;=$C$28, ($H89+DAY(DATE(YEAR($H89),MONTH($H89)+1,1)-1)), "")))</f>
        <v>43525</v>
      </c>
      <c r="I90" s="1522">
        <f>IF($T90="", "",IFERROR(IF($B$30="Yes", VLOOKUP($H90, $T$3:$V$93, 2, FALSE), IF($B$34&lt;&gt;"Natural Gas", VLOOKUP($H90, 'Misc. Data &amp; Mechanisms'!$A$280:$D$369, HLOOKUP($C$32,'Misc. Data &amp; Mechanisms'!$A$277:$D$279, 3, FALSE), FALSE), IF($C$32="Apartment", "Not Applicable",VLOOKUP($H90, 'Misc. Data &amp; Mechanisms'!$E$280:$H$369, HLOOKUP($C$32,'Misc. Data &amp; Mechanisms'!$E$277:$H$279, 3, FALSE), FALSE)))), ""))</f>
        <v>578.27899102446463</v>
      </c>
      <c r="J90" s="1529">
        <f>IF($X90="", "",IFERROR(IF($B$34&lt;&gt;"Natural Gas", IF($C$36&lt;&gt;"Custom", IF($C$36 = "RRO (Capped)", VLOOKUP($H90,'Misc. Data &amp; Mechanisms'!$A$1278:$E$1368,MATCH($B$22,'Misc. Data &amp; Mechanisms'!$B$1278:$E$1278,0)+1,FALSE), VLOOKUP($H90,'Misc. Data &amp; Mechanisms'!$G$1278:$K$1368,MATCH($B$22,'Misc. Data &amp; Mechanisms'!$H$1278:$K$1278,0)+1,FALSE)),VLOOKUP($H90,$X$3:$AB$93,2,FALSE)),  IF($C$37&lt;&gt;"Custom", IF($C$37 = "DRT", VLOOKUP($H90,'Misc. Data &amp; Mechanisms'!$A$1381:$D$1471,MATCH($B$23,'Misc. Data &amp; Mechanisms'!$B$1381:$D$1381,0)+1,FALSE)),VLOOKUP($H90,$X$3:$AB$93,2,FALSE))),""))</f>
        <v>5.9139999999999997</v>
      </c>
      <c r="K90" s="1529">
        <f>IF($X90="", "",IFERROR(IF($B$34&lt;&gt;"Natural Gas", IF($C$36&lt;&gt;"Custom", VLOOKUP($H90,'Misc. Data &amp; Mechanisms'!$A$1483:$H$1574,MATCH($B$22,'Misc. Data &amp; Mechanisms'!$B$1483:$H$1483,0)+1,FALSE),VLOOKUP($H90,$X$3:$AB$93,3,FALSE)),  IF($C$37&lt;&gt;"Custom", VLOOKUP($H90,'Misc. Data &amp; Mechanisms'!$A$1483:$H$1574,MATCH($B$23,'Misc. Data &amp; Mechanisms'!$B$1483:$H$1483,0)+1,FALSE),VLOOKUP($H90,$X$3:$AB$93,3,FALSE))),""))</f>
        <v>0.2064</v>
      </c>
      <c r="L90" s="1531">
        <f ca="1">IF(OR($H90="",$I90=""),"",IF($I90="Not Applicable", "-",IF($B$34&lt;&gt;"Natural Gas",VLOOKUP($H90,'Electricity Bill'!$A$5:$AR$96,6,FALSE),VLOOKUP($H90,'Natural Gas Bill'!$A$5:$AS$96,6,FALSE))))</f>
        <v>105.12998929161778</v>
      </c>
      <c r="M90" s="1522">
        <f>IF($T90="", "", IFERROR(IF($B$30="Yes", $V90, IF($B$34="Both",IF($C$32="Apartment","Not Applicable", VLOOKUP($H90, 'Misc. Data &amp; Mechanisms'!$E$280:$H$369, HLOOKUP($C$32,'Misc. Data &amp; Mechanisms'!$E$277:$H$279, 3, FALSE), FALSE)),"")), ""))</f>
        <v>15.793485810362281</v>
      </c>
      <c r="N90" s="1530">
        <f>IF($X90="", "",IFERROR(IF($B$34="Both",IF($C$37&lt;&gt;"Custom", IF($C$37 = "DRT", VLOOKUP($H90,'Misc. Data &amp; Mechanisms'!$A$1381:$D$1471,MATCH($B$23,'Misc. Data &amp; Mechanisms'!$B$1381:$D$1381,0)+1,FALSE)),IF($C$36="Custom",VLOOKUP($H90,$X$3:$AB$93,4,FALSE),VLOOKUP($H90,$X$3:$AB$93,2,FALSE))),""),""))</f>
        <v>3.18</v>
      </c>
      <c r="O90" s="1529">
        <f>IF($X90="", "",IFERROR(IF($B$34="Both",IF($C$37&lt;&gt;"Custom", VLOOKUP($H90,'Misc. Data &amp; Mechanisms'!$A$1483:$H$1574,MATCH($B$23,'Misc. Data &amp; Mechanisms'!$B$1483:$H$1483,0)+1,FALSE),IF($C$36="Custom",VLOOKUP($H90,$X$3:$AB$93,5,FALSE),VLOOKUP($H90,$X$3:$AB$93,3,FALSE))),""),""))</f>
        <v>0.27200000000000002</v>
      </c>
      <c r="P90" s="1531">
        <f ca="1">IF(OR($H90="",$M90=""), "", IF($M90="Not Applicable", "-",VLOOKUP($H90,'Natural Gas Bill'!$A$5:$AS$96,6,FALSE)))</f>
        <v>157.23130726227279</v>
      </c>
      <c r="Q90" s="33"/>
      <c r="S90" s="30"/>
      <c r="T90" s="1521">
        <f>IF($B$25="Yes", 'Misc. Data &amp; Mechanisms'!$A149,IF(T89="", "", IF(($H89+DAY(DATE(YEAR($H89),MONTH($H89)+1,1)-1))&lt;=$C$28, ($H89+DAY(DATE(YEAR($H89),MONTH($H89)+1,1)-1)), "")))</f>
        <v>43525</v>
      </c>
      <c r="U90" s="1519"/>
      <c r="V90" s="1519"/>
      <c r="W90" s="1224"/>
      <c r="X90" s="1521">
        <f>IF($B$25="Yes", 'Misc. Data &amp; Mechanisms'!$A149,IF(X89="", "", IF(($H89+DAY(DATE(YEAR($H89),MONTH($H89)+1,1)-1))&lt;=$C$28, ($H89+DAY(DATE(YEAR($H89),MONTH($H89)+1,1)-1)), "")))</f>
        <v>43525</v>
      </c>
      <c r="Y90" s="1519"/>
      <c r="Z90" s="1519"/>
      <c r="AA90" s="1520"/>
      <c r="AB90" s="1520"/>
      <c r="AC90" s="1364"/>
      <c r="AD90" s="1363"/>
    </row>
    <row r="91" spans="7:30" x14ac:dyDescent="0.3">
      <c r="G91" s="30"/>
      <c r="H91" s="1521">
        <f>IF($B$25="Yes", 'Misc. Data &amp; Mechanisms'!$A150,IF(H90="", "", IF(($H90+DAY(DATE(YEAR($H90),MONTH($H90)+1,1)-1))&lt;=$C$28, ($H90+DAY(DATE(YEAR($H90),MONTH($H90)+1,1)-1)), "")))</f>
        <v>43556</v>
      </c>
      <c r="I91" s="1522">
        <f>IF($T91="", "",IFERROR(IF($B$30="Yes", VLOOKUP($H91, $T$3:$V$93, 2, FALSE), IF($B$34&lt;&gt;"Natural Gas", VLOOKUP($H91, 'Misc. Data &amp; Mechanisms'!$A$280:$D$369, HLOOKUP($C$32,'Misc. Data &amp; Mechanisms'!$A$277:$D$279, 3, FALSE), FALSE), IF($C$32="Apartment", "Not Applicable",VLOOKUP($H91, 'Misc. Data &amp; Mechanisms'!$E$280:$H$369, HLOOKUP($C$32,'Misc. Data &amp; Mechanisms'!$E$277:$H$279, 3, FALSE), FALSE)))), ""))</f>
        <v>511.80512836511508</v>
      </c>
      <c r="J91" s="1529">
        <f>IF($X91="", "",IFERROR(IF($B$34&lt;&gt;"Natural Gas", IF($C$36&lt;&gt;"Custom", IF($C$36 = "RRO (Capped)", VLOOKUP($H91,'Misc. Data &amp; Mechanisms'!$A$1278:$E$1368,MATCH($B$22,'Misc. Data &amp; Mechanisms'!$B$1278:$E$1278,0)+1,FALSE), VLOOKUP($H91,'Misc. Data &amp; Mechanisms'!$G$1278:$K$1368,MATCH($B$22,'Misc. Data &amp; Mechanisms'!$H$1278:$K$1278,0)+1,FALSE)),VLOOKUP($H91,$X$3:$AB$93,2,FALSE)),  IF($C$37&lt;&gt;"Custom", IF($C$37 = "DRT", VLOOKUP($H91,'Misc. Data &amp; Mechanisms'!$A$1381:$D$1471,MATCH($B$23,'Misc. Data &amp; Mechanisms'!$B$1381:$D$1381,0)+1,FALSE)),VLOOKUP($H91,$X$3:$AB$93,2,FALSE))),""))</f>
        <v>6.0670000000000002</v>
      </c>
      <c r="K91" s="1529">
        <f>IF($X91="", "",IFERROR(IF($B$34&lt;&gt;"Natural Gas", IF($C$36&lt;&gt;"Custom", VLOOKUP($H91,'Misc. Data &amp; Mechanisms'!$A$1483:$H$1574,MATCH($B$22,'Misc. Data &amp; Mechanisms'!$B$1483:$H$1483,0)+1,FALSE),VLOOKUP($H91,$X$3:$AB$93,3,FALSE)),  IF($C$37&lt;&gt;"Custom", VLOOKUP($H91,'Misc. Data &amp; Mechanisms'!$A$1483:$H$1574,MATCH($B$23,'Misc. Data &amp; Mechanisms'!$B$1483:$H$1483,0)+1,FALSE),VLOOKUP($H91,$X$3:$AB$93,3,FALSE))),""))</f>
        <v>0.2064</v>
      </c>
      <c r="L91" s="1531">
        <f ca="1">IF(OR($H91="",$I91=""),"",IF($I91="Not Applicable", "-",IF($B$34&lt;&gt;"Natural Gas",VLOOKUP($H91,'Electricity Bill'!$A$5:$AR$96,6,FALSE),VLOOKUP($H91,'Natural Gas Bill'!$A$5:$AS$96,6,FALSE))))</f>
        <v>96.677407493638754</v>
      </c>
      <c r="M91" s="1522">
        <f>IF($T91="", "", IFERROR(IF($B$30="Yes", $V91, IF($B$34="Both",IF($C$32="Apartment","Not Applicable", VLOOKUP($H91, 'Misc. Data &amp; Mechanisms'!$E$280:$H$369, HLOOKUP($C$32,'Misc. Data &amp; Mechanisms'!$E$277:$H$279, 3, FALSE), FALSE)),"")), ""))</f>
        <v>9.5930495907374951</v>
      </c>
      <c r="N91" s="1530">
        <f>IF($X91="", "",IFERROR(IF($B$34="Both",IF($C$37&lt;&gt;"Custom", IF($C$37 = "DRT", VLOOKUP($H91,'Misc. Data &amp; Mechanisms'!$A$1381:$D$1471,MATCH($B$23,'Misc. Data &amp; Mechanisms'!$B$1381:$D$1381,0)+1,FALSE)),IF($C$36="Custom",VLOOKUP($H91,$X$3:$AB$93,4,FALSE),VLOOKUP($H91,$X$3:$AB$93,2,FALSE))),""),""))</f>
        <v>2.89</v>
      </c>
      <c r="O91" s="1529">
        <f>IF($X91="", "",IFERROR(IF($B$34="Both",IF($C$37&lt;&gt;"Custom", VLOOKUP($H91,'Misc. Data &amp; Mechanisms'!$A$1483:$H$1574,MATCH($B$23,'Misc. Data &amp; Mechanisms'!$B$1483:$H$1483,0)+1,FALSE),IF($C$36="Custom",VLOOKUP($H91,$X$3:$AB$93,5,FALSE),VLOOKUP($H91,$X$3:$AB$93,3,FALSE))),""),""))</f>
        <v>0.27200000000000002</v>
      </c>
      <c r="P91" s="1531">
        <f ca="1">IF(OR($H91="",$M91=""), "", IF($M91="Not Applicable", "-",VLOOKUP($H91,'Natural Gas Bill'!$A$5:$AS$96,6,FALSE)))</f>
        <v>107.54154618141597</v>
      </c>
      <c r="Q91" s="33"/>
      <c r="S91" s="30"/>
      <c r="T91" s="1521">
        <f>IF($B$25="Yes", 'Misc. Data &amp; Mechanisms'!$A150,IF(T90="", "", IF(($H90+DAY(DATE(YEAR($H90),MONTH($H90)+1,1)-1))&lt;=$C$28, ($H90+DAY(DATE(YEAR($H90),MONTH($H90)+1,1)-1)), "")))</f>
        <v>43556</v>
      </c>
      <c r="U91" s="1519"/>
      <c r="V91" s="1519"/>
      <c r="W91" s="1224"/>
      <c r="X91" s="1521">
        <f>IF($B$25="Yes", 'Misc. Data &amp; Mechanisms'!$A150,IF(X90="", "", IF(($H90+DAY(DATE(YEAR($H90),MONTH($H90)+1,1)-1))&lt;=$C$28, ($H90+DAY(DATE(YEAR($H90),MONTH($H90)+1,1)-1)), "")))</f>
        <v>43556</v>
      </c>
      <c r="Y91" s="1519"/>
      <c r="Z91" s="1519"/>
      <c r="AA91" s="1520"/>
      <c r="AB91" s="1520"/>
      <c r="AC91" s="1364"/>
      <c r="AD91" s="1363"/>
    </row>
    <row r="92" spans="7:30" x14ac:dyDescent="0.3">
      <c r="G92" s="30"/>
      <c r="H92" s="1521">
        <f>IF($B$25="Yes", 'Misc. Data &amp; Mechanisms'!$A151,IF(H91="", "", IF(($H91+DAY(DATE(YEAR($H91),MONTH($H91)+1,1)-1))&lt;=$C$28, ($H91+DAY(DATE(YEAR($H91),MONTH($H91)+1,1)-1)), "")))</f>
        <v>43586</v>
      </c>
      <c r="I92" s="1522">
        <f>IF($T92="", "",IFERROR(IF($B$30="Yes", VLOOKUP($H92, $T$3:$V$93, 2, FALSE), IF($B$34&lt;&gt;"Natural Gas", VLOOKUP($H92, 'Misc. Data &amp; Mechanisms'!$A$280:$D$369, HLOOKUP($C$32,'Misc. Data &amp; Mechanisms'!$A$277:$D$279, 3, FALSE), FALSE), IF($C$32="Apartment", "Not Applicable",VLOOKUP($H92, 'Misc. Data &amp; Mechanisms'!$E$280:$H$369, HLOOKUP($C$32,'Misc. Data &amp; Mechanisms'!$E$277:$H$279, 3, FALSE), FALSE)))), ""))</f>
        <v>493.13403457407418</v>
      </c>
      <c r="J92" s="1529">
        <f>IF($X92="", "",IFERROR(IF($B$34&lt;&gt;"Natural Gas", IF($C$36&lt;&gt;"Custom", IF($C$36 = "RRO (Capped)", VLOOKUP($H92,'Misc. Data &amp; Mechanisms'!$A$1278:$E$1368,MATCH($B$22,'Misc. Data &amp; Mechanisms'!$B$1278:$E$1278,0)+1,FALSE), VLOOKUP($H92,'Misc. Data &amp; Mechanisms'!$G$1278:$K$1368,MATCH($B$22,'Misc. Data &amp; Mechanisms'!$H$1278:$K$1278,0)+1,FALSE)),VLOOKUP($H92,$X$3:$AB$93,2,FALSE)),  IF($C$37&lt;&gt;"Custom", IF($C$37 = "DRT", VLOOKUP($H92,'Misc. Data &amp; Mechanisms'!$A$1381:$D$1471,MATCH($B$23,'Misc. Data &amp; Mechanisms'!$B$1381:$D$1381,0)+1,FALSE)),VLOOKUP($H92,$X$3:$AB$93,2,FALSE))),""))</f>
        <v>6.39</v>
      </c>
      <c r="K92" s="1529">
        <f>IF($X92="", "",IFERROR(IF($B$34&lt;&gt;"Natural Gas", IF($C$36&lt;&gt;"Custom", VLOOKUP($H92,'Misc. Data &amp; Mechanisms'!$A$1483:$H$1574,MATCH($B$22,'Misc. Data &amp; Mechanisms'!$B$1483:$H$1483,0)+1,FALSE),VLOOKUP($H92,$X$3:$AB$93,3,FALSE)),  IF($C$37&lt;&gt;"Custom", VLOOKUP($H92,'Misc. Data &amp; Mechanisms'!$A$1483:$H$1574,MATCH($B$23,'Misc. Data &amp; Mechanisms'!$B$1483:$H$1483,0)+1,FALSE),VLOOKUP($H92,$X$3:$AB$93,3,FALSE))),""))</f>
        <v>0.2064</v>
      </c>
      <c r="L92" s="1531">
        <f ca="1">IF(OR($H92="",$I92=""),"",IF($I92="Not Applicable", "-",IF($B$34&lt;&gt;"Natural Gas",VLOOKUP($H92,'Electricity Bill'!$A$5:$AR$96,6,FALSE),VLOOKUP($H92,'Natural Gas Bill'!$A$5:$AS$96,6,FALSE))))</f>
        <v>96.761693219855815</v>
      </c>
      <c r="M92" s="1522">
        <f>IF($T92="", "", IFERROR(IF($B$30="Yes", $V92, IF($B$34="Both",IF($C$32="Apartment","Not Applicable", VLOOKUP($H92, 'Misc. Data &amp; Mechanisms'!$E$280:$H$369, HLOOKUP($C$32,'Misc. Data &amp; Mechanisms'!$E$277:$H$279, 3, FALSE), FALSE)),"")), ""))</f>
        <v>7.5060858462941322</v>
      </c>
      <c r="N92" s="1530">
        <f>IF($X92="", "",IFERROR(IF($B$34="Both",IF($C$37&lt;&gt;"Custom", IF($C$37 = "DRT", VLOOKUP($H92,'Misc. Data &amp; Mechanisms'!$A$1381:$D$1471,MATCH($B$23,'Misc. Data &amp; Mechanisms'!$B$1381:$D$1381,0)+1,FALSE)),IF($C$36="Custom",VLOOKUP($H92,$X$3:$AB$93,4,FALSE),VLOOKUP($H92,$X$3:$AB$93,2,FALSE))),""),""))</f>
        <v>2.2850000000000001</v>
      </c>
      <c r="O92" s="1529">
        <f>IF($X92="", "",IFERROR(IF($B$34="Both",IF($C$37&lt;&gt;"Custom", VLOOKUP($H92,'Misc. Data &amp; Mechanisms'!$A$1483:$H$1574,MATCH($B$23,'Misc. Data &amp; Mechanisms'!$B$1483:$H$1483,0)+1,FALSE),IF($C$36="Custom",VLOOKUP($H92,$X$3:$AB$93,5,FALSE),VLOOKUP($H92,$X$3:$AB$93,3,FALSE))),""),""))</f>
        <v>0.27200000000000002</v>
      </c>
      <c r="P92" s="1531">
        <f ca="1">IF(OR($H92="",$M92=""), "", IF($M92="Not Applicable", "-",VLOOKUP($H92,'Natural Gas Bill'!$A$5:$AS$96,6,FALSE)))</f>
        <v>89.294223888593962</v>
      </c>
      <c r="Q92" s="33"/>
      <c r="S92" s="30"/>
      <c r="T92" s="1521">
        <f>IF($B$25="Yes", 'Misc. Data &amp; Mechanisms'!$A151,IF(T91="", "", IF(($H91+DAY(DATE(YEAR($H91),MONTH($H91)+1,1)-1))&lt;=$C$28, ($H91+DAY(DATE(YEAR($H91),MONTH($H91)+1,1)-1)), "")))</f>
        <v>43586</v>
      </c>
      <c r="U92" s="1519"/>
      <c r="V92" s="1519"/>
      <c r="W92" s="1224"/>
      <c r="X92" s="1521">
        <f>IF($B$25="Yes", 'Misc. Data &amp; Mechanisms'!$A151,IF(X91="", "", IF(($H91+DAY(DATE(YEAR($H91),MONTH($H91)+1,1)-1))&lt;=$C$28, ($H91+DAY(DATE(YEAR($H91),MONTH($H91)+1,1)-1)), "")))</f>
        <v>43586</v>
      </c>
      <c r="Y92" s="1519"/>
      <c r="Z92" s="1519"/>
      <c r="AA92" s="1520"/>
      <c r="AB92" s="1520"/>
      <c r="AC92" s="1364"/>
      <c r="AD92" s="1363"/>
    </row>
    <row r="93" spans="7:30" x14ac:dyDescent="0.3">
      <c r="G93" s="30"/>
      <c r="H93" s="1521">
        <f>IF($B$25="Yes", 'Misc. Data &amp; Mechanisms'!$A152,IF(H92="", "", IF(($H92+DAY(DATE(YEAR($H92),MONTH($H92)+1,1)-1))&lt;=$C$28, ($H92+DAY(DATE(YEAR($H92),MONTH($H92)+1,1)-1)), "")))</f>
        <v>43617</v>
      </c>
      <c r="I93" s="1522">
        <f>IF($T93="", "",IFERROR(IF($B$30="Yes", VLOOKUP($H93, $T$3:$V$93, 2, FALSE), IF($B$34&lt;&gt;"Natural Gas", VLOOKUP($H93, 'Misc. Data &amp; Mechanisms'!$A$280:$D$369, HLOOKUP($C$32,'Misc. Data &amp; Mechanisms'!$A$277:$D$279, 3, FALSE), FALSE), IF($C$32="Apartment", "Not Applicable",VLOOKUP($H93, 'Misc. Data &amp; Mechanisms'!$E$280:$H$369, HLOOKUP($C$32,'Misc. Data &amp; Mechanisms'!$E$277:$H$279, 3, FALSE), FALSE)))), ""))</f>
        <v>479.27857953782711</v>
      </c>
      <c r="J93" s="1529">
        <f>IF($X93="", "",IFERROR(IF($B$34&lt;&gt;"Natural Gas", IF($C$36&lt;&gt;"Custom", IF($C$36 = "RRO (Capped)", VLOOKUP($H93,'Misc. Data &amp; Mechanisms'!$A$1278:$E$1368,MATCH($B$22,'Misc. Data &amp; Mechanisms'!$B$1278:$E$1278,0)+1,FALSE), VLOOKUP($H93,'Misc. Data &amp; Mechanisms'!$G$1278:$K$1368,MATCH($B$22,'Misc. Data &amp; Mechanisms'!$H$1278:$K$1278,0)+1,FALSE)),VLOOKUP($H93,$X$3:$AB$93,2,FALSE)),  IF($C$37&lt;&gt;"Custom", IF($C$37 = "DRT", VLOOKUP($H93,'Misc. Data &amp; Mechanisms'!$A$1381:$D$1471,MATCH($B$23,'Misc. Data &amp; Mechanisms'!$B$1381:$D$1381,0)+1,FALSE)),VLOOKUP($H93,$X$3:$AB$93,2,FALSE))),""))</f>
        <v>6.391</v>
      </c>
      <c r="K93" s="1529">
        <f>IF($X93="", "",IFERROR(IF($B$34&lt;&gt;"Natural Gas", IF($C$36&lt;&gt;"Custom", VLOOKUP($H93,'Misc. Data &amp; Mechanisms'!$A$1483:$H$1574,MATCH($B$22,'Misc. Data &amp; Mechanisms'!$B$1483:$H$1483,0)+1,FALSE),VLOOKUP($H93,$X$3:$AB$93,3,FALSE)),  IF($C$37&lt;&gt;"Custom", VLOOKUP($H93,'Misc. Data &amp; Mechanisms'!$A$1483:$H$1574,MATCH($B$23,'Misc. Data &amp; Mechanisms'!$B$1483:$H$1483,0)+1,FALSE),VLOOKUP($H93,$X$3:$AB$93,3,FALSE))),""))</f>
        <v>0.2064</v>
      </c>
      <c r="L93" s="1531">
        <f ca="1">IF(OR($H93="",$I93=""),"",IF($I93="Not Applicable", "-",IF($B$34&lt;&gt;"Natural Gas",VLOOKUP($H93,'Electricity Bill'!$A$5:$AR$96,6,FALSE),VLOOKUP($H93,'Natural Gas Bill'!$A$5:$AS$96,6,FALSE))))</f>
        <v>93.940632384574229</v>
      </c>
      <c r="M93" s="1522">
        <f>IF($T93="", "", IFERROR(IF($B$30="Yes", $V93, IF($B$34="Both",IF($C$32="Apartment","Not Applicable", VLOOKUP($H93, 'Misc. Data &amp; Mechanisms'!$E$280:$H$369, HLOOKUP($C$32,'Misc. Data &amp; Mechanisms'!$E$277:$H$279, 3, FALSE), FALSE)),"")), ""))</f>
        <v>3.7439440891544029</v>
      </c>
      <c r="N93" s="1530">
        <f>IF($X93="", "",IFERROR(IF($B$34="Both",IF($C$37&lt;&gt;"Custom", IF($C$37 = "DRT", VLOOKUP($H93,'Misc. Data &amp; Mechanisms'!$A$1381:$D$1471,MATCH($B$23,'Misc. Data &amp; Mechanisms'!$B$1381:$D$1381,0)+1,FALSE)),IF($C$36="Custom",VLOOKUP($H93,$X$3:$AB$93,4,FALSE),VLOOKUP($H93,$X$3:$AB$93,2,FALSE))),""),""))</f>
        <v>0.36499999999999999</v>
      </c>
      <c r="O93" s="1529">
        <f>IF($X93="", "",IFERROR(IF($B$34="Both",IF($C$37&lt;&gt;"Custom", VLOOKUP($H93,'Misc. Data &amp; Mechanisms'!$A$1483:$H$1574,MATCH($B$23,'Misc. Data &amp; Mechanisms'!$B$1483:$H$1483,0)+1,FALSE),IF($C$36="Custom",VLOOKUP($H93,$X$3:$AB$93,5,FALSE),VLOOKUP($H93,$X$3:$AB$93,3,FALSE))),""),""))</f>
        <v>0.27200000000000002</v>
      </c>
      <c r="P93" s="1531">
        <f ca="1">IF(OR($H93="",$M93=""), "", IF($M93="Not Applicable", "-",VLOOKUP($H93,'Natural Gas Bill'!$A$5:$AS$96,6,FALSE)))</f>
        <v>50.464848392912721</v>
      </c>
      <c r="Q93" s="33"/>
      <c r="S93" s="30"/>
      <c r="T93" s="1521">
        <f>IF($B$25="Yes", 'Misc. Data &amp; Mechanisms'!$A152,IF(T92="", "", IF(($H92+DAY(DATE(YEAR($H92),MONTH($H92)+1,1)-1))&lt;=$C$28, ($H92+DAY(DATE(YEAR($H92),MONTH($H92)+1,1)-1)), "")))</f>
        <v>43617</v>
      </c>
      <c r="U93" s="1519"/>
      <c r="V93" s="1519"/>
      <c r="W93" s="1224"/>
      <c r="X93" s="1521">
        <f>IF($B$25="Yes", 'Misc. Data &amp; Mechanisms'!$A152,IF(X92="", "", IF(($H92+DAY(DATE(YEAR($H92),MONTH($H92)+1,1)-1))&lt;=$C$28, ($H92+DAY(DATE(YEAR($H92),MONTH($H92)+1,1)-1)), "")))</f>
        <v>43617</v>
      </c>
      <c r="Y93" s="1519"/>
      <c r="Z93" s="1519"/>
      <c r="AA93" s="1520"/>
      <c r="AB93" s="1520"/>
      <c r="AC93" s="1364"/>
      <c r="AD93" s="1363"/>
    </row>
    <row r="94" spans="7:30" x14ac:dyDescent="0.3">
      <c r="G94" s="30"/>
      <c r="H94" s="31"/>
      <c r="I94" s="31"/>
      <c r="J94" s="31"/>
      <c r="K94" s="31"/>
      <c r="L94" s="31"/>
      <c r="M94" s="31"/>
      <c r="N94" s="31"/>
      <c r="O94" s="31"/>
      <c r="P94" s="31"/>
      <c r="Q94" s="33"/>
      <c r="S94" s="30"/>
      <c r="T94" s="1224"/>
      <c r="U94" s="1223"/>
      <c r="V94" s="1223"/>
      <c r="W94" s="1224"/>
      <c r="X94" s="1223"/>
      <c r="Y94" s="1223"/>
      <c r="Z94" s="31"/>
      <c r="AA94" s="31"/>
      <c r="AB94" s="31"/>
      <c r="AC94" s="1364"/>
      <c r="AD94" s="1363"/>
    </row>
    <row r="95" spans="7:30" ht="14.5" thickBot="1" x14ac:dyDescent="0.35">
      <c r="G95" s="41"/>
      <c r="H95" s="42"/>
      <c r="I95" s="42"/>
      <c r="J95" s="42"/>
      <c r="K95" s="42"/>
      <c r="L95" s="42"/>
      <c r="M95" s="42"/>
      <c r="N95" s="42"/>
      <c r="O95" s="42"/>
      <c r="P95" s="42"/>
      <c r="Q95" s="43"/>
      <c r="S95" s="41"/>
      <c r="T95" s="42"/>
      <c r="U95" s="42"/>
      <c r="V95" s="42"/>
      <c r="W95" s="42"/>
      <c r="X95" s="42"/>
      <c r="Y95" s="42"/>
      <c r="Z95" s="42"/>
      <c r="AA95" s="42"/>
      <c r="AB95" s="42"/>
      <c r="AC95" s="1365"/>
      <c r="AD95" s="1366"/>
    </row>
    <row r="100" spans="26:38" x14ac:dyDescent="0.3">
      <c r="Z100" s="31"/>
      <c r="AA100" s="31"/>
      <c r="AB100" s="31"/>
      <c r="AC100" s="31"/>
      <c r="AD100" s="31"/>
      <c r="AE100" s="31"/>
      <c r="AF100" s="31"/>
      <c r="AG100" s="31"/>
      <c r="AH100" s="31"/>
      <c r="AI100" s="31"/>
      <c r="AJ100" s="31"/>
      <c r="AK100" s="31"/>
      <c r="AL100" s="31"/>
    </row>
    <row r="101" spans="26:38" x14ac:dyDescent="0.3">
      <c r="Z101" s="31"/>
      <c r="AA101" s="31"/>
      <c r="AB101" s="31"/>
      <c r="AC101" s="31"/>
      <c r="AD101" s="31"/>
      <c r="AE101" s="31"/>
      <c r="AF101" s="31"/>
      <c r="AG101" s="1339"/>
      <c r="AH101" s="31"/>
      <c r="AI101" s="31"/>
      <c r="AJ101" s="31"/>
      <c r="AK101" s="31"/>
      <c r="AL101" s="31"/>
    </row>
    <row r="120" spans="24:25" x14ac:dyDescent="0.3">
      <c r="X120" s="1718"/>
      <c r="Y120" s="1718"/>
    </row>
    <row r="126" spans="24:25" ht="14.25" customHeight="1" x14ac:dyDescent="0.3"/>
    <row r="127" spans="24:25" ht="15" customHeight="1" x14ac:dyDescent="0.3"/>
    <row r="129" ht="60" customHeight="1" x14ac:dyDescent="0.3"/>
    <row r="206" spans="1:22" x14ac:dyDescent="0.3">
      <c r="A206" s="31"/>
      <c r="B206" s="1224"/>
      <c r="C206" s="1225"/>
      <c r="D206" s="1225"/>
      <c r="E206" s="1226"/>
      <c r="F206" s="1226"/>
      <c r="G206" s="1226"/>
      <c r="H206" s="1226"/>
      <c r="I206" s="1226"/>
      <c r="J206" s="1226"/>
      <c r="K206" s="1226"/>
      <c r="L206" s="1226"/>
      <c r="M206" s="1226"/>
      <c r="N206" s="1226"/>
      <c r="O206" s="1226"/>
      <c r="P206" s="1226"/>
      <c r="Q206" s="1226"/>
      <c r="R206" s="46"/>
      <c r="S206" s="46"/>
      <c r="T206" s="31"/>
      <c r="U206" s="31"/>
      <c r="V206" s="31"/>
    </row>
    <row r="207" spans="1:22" x14ac:dyDescent="0.3">
      <c r="A207" s="31"/>
      <c r="B207" s="1224"/>
      <c r="C207" s="1225"/>
      <c r="D207" s="1225"/>
      <c r="E207" s="1226"/>
      <c r="F207" s="1226"/>
      <c r="G207" s="1226"/>
      <c r="H207" s="1226"/>
      <c r="I207" s="1226"/>
      <c r="J207" s="1226"/>
      <c r="K207" s="1226"/>
      <c r="L207" s="1226"/>
      <c r="M207" s="1226"/>
      <c r="N207" s="1226"/>
      <c r="O207" s="1226"/>
      <c r="P207" s="1226"/>
      <c r="Q207" s="1226"/>
      <c r="R207" s="46"/>
      <c r="S207" s="46"/>
      <c r="T207" s="31"/>
      <c r="U207" s="31"/>
      <c r="V207" s="31"/>
    </row>
    <row r="208" spans="1:22" x14ac:dyDescent="0.3">
      <c r="A208" s="31"/>
      <c r="B208" s="1224"/>
      <c r="C208" s="1225"/>
      <c r="D208" s="1225"/>
      <c r="E208" s="1226"/>
      <c r="F208" s="1226"/>
      <c r="G208" s="1226"/>
      <c r="H208" s="1226"/>
      <c r="I208" s="1226"/>
      <c r="J208" s="1226"/>
      <c r="K208" s="1226"/>
      <c r="L208" s="1226"/>
      <c r="M208" s="1226"/>
      <c r="N208" s="1226"/>
      <c r="O208" s="1226"/>
      <c r="P208" s="1226"/>
      <c r="Q208" s="1226"/>
      <c r="R208" s="46"/>
      <c r="S208" s="46"/>
      <c r="T208" s="31"/>
      <c r="U208" s="31"/>
      <c r="V208" s="31"/>
    </row>
    <row r="209" spans="1:22" x14ac:dyDescent="0.3">
      <c r="A209" s="31"/>
      <c r="B209" s="1224"/>
      <c r="C209" s="1225"/>
      <c r="D209" s="1225"/>
      <c r="E209" s="1226"/>
      <c r="F209" s="1226"/>
      <c r="G209" s="1226"/>
      <c r="H209" s="1226"/>
      <c r="I209" s="1226"/>
      <c r="J209" s="1226"/>
      <c r="K209" s="1226"/>
      <c r="L209" s="1226"/>
      <c r="M209" s="1226"/>
      <c r="N209" s="1226"/>
      <c r="O209" s="1226"/>
      <c r="P209" s="1226"/>
      <c r="Q209" s="1226"/>
      <c r="R209" s="46"/>
      <c r="S209" s="46"/>
      <c r="T209" s="31"/>
      <c r="U209" s="31"/>
      <c r="V209" s="31"/>
    </row>
    <row r="210" spans="1:22" x14ac:dyDescent="0.3">
      <c r="A210" s="31"/>
      <c r="B210" s="1224"/>
      <c r="C210" s="1225"/>
      <c r="D210" s="1225"/>
      <c r="E210" s="1226"/>
      <c r="F210" s="1226"/>
      <c r="G210" s="1226"/>
      <c r="H210" s="1226"/>
      <c r="I210" s="1226"/>
      <c r="J210" s="1226"/>
      <c r="K210" s="1226"/>
      <c r="L210" s="1226"/>
      <c r="M210" s="1226"/>
      <c r="N210" s="1226"/>
      <c r="O210" s="1226"/>
      <c r="P210" s="1226"/>
      <c r="Q210" s="1226"/>
      <c r="R210" s="46"/>
      <c r="S210" s="46"/>
      <c r="T210" s="31"/>
      <c r="U210" s="31"/>
      <c r="V210" s="31"/>
    </row>
    <row r="211" spans="1:22" x14ac:dyDescent="0.3">
      <c r="A211" s="31"/>
      <c r="B211" s="1224"/>
      <c r="C211" s="1225"/>
      <c r="D211" s="1225"/>
      <c r="E211" s="1226"/>
      <c r="F211" s="1226"/>
      <c r="G211" s="1226"/>
      <c r="H211" s="1226"/>
      <c r="I211" s="1226"/>
      <c r="J211" s="1226"/>
      <c r="K211" s="1226"/>
      <c r="L211" s="1226"/>
      <c r="M211" s="1226"/>
      <c r="N211" s="1226"/>
      <c r="O211" s="1226"/>
      <c r="P211" s="1226"/>
      <c r="Q211" s="1226"/>
      <c r="R211" s="46"/>
      <c r="S211" s="46"/>
      <c r="T211" s="31"/>
      <c r="U211" s="31"/>
      <c r="V211" s="31"/>
    </row>
    <row r="212" spans="1:22" x14ac:dyDescent="0.3">
      <c r="A212" s="31"/>
      <c r="B212" s="1224"/>
      <c r="C212" s="1225"/>
      <c r="D212" s="1225"/>
      <c r="E212" s="1226"/>
      <c r="F212" s="1226"/>
      <c r="G212" s="1226"/>
      <c r="H212" s="1226"/>
      <c r="I212" s="1226"/>
      <c r="J212" s="1226"/>
      <c r="K212" s="1226"/>
      <c r="L212" s="1226"/>
      <c r="M212" s="1226"/>
      <c r="N212" s="1226"/>
      <c r="O212" s="1226"/>
      <c r="P212" s="1226"/>
      <c r="Q212" s="1226"/>
      <c r="R212" s="46"/>
      <c r="S212" s="46"/>
      <c r="T212" s="31"/>
      <c r="U212" s="31"/>
      <c r="V212" s="31"/>
    </row>
    <row r="213" spans="1:22" x14ac:dyDescent="0.3">
      <c r="A213" s="31"/>
      <c r="B213" s="1224"/>
      <c r="C213" s="1225"/>
      <c r="D213" s="1225"/>
      <c r="E213" s="1226"/>
      <c r="F213" s="1226"/>
      <c r="G213" s="1226"/>
      <c r="H213" s="1226"/>
      <c r="I213" s="1226"/>
      <c r="J213" s="1226"/>
      <c r="K213" s="1226"/>
      <c r="L213" s="1226"/>
      <c r="M213" s="1226"/>
      <c r="N213" s="1226"/>
      <c r="O213" s="1226"/>
      <c r="P213" s="1226"/>
      <c r="Q213" s="1226"/>
      <c r="R213" s="46"/>
      <c r="S213" s="46"/>
      <c r="T213" s="31"/>
      <c r="U213" s="31"/>
      <c r="V213" s="31"/>
    </row>
    <row r="214" spans="1:22" x14ac:dyDescent="0.3">
      <c r="A214" s="31"/>
      <c r="B214" s="1224"/>
      <c r="C214" s="1225"/>
      <c r="D214" s="1225"/>
      <c r="E214" s="1226"/>
      <c r="F214" s="1226"/>
      <c r="G214" s="1226"/>
      <c r="H214" s="1226"/>
      <c r="I214" s="1226"/>
      <c r="J214" s="1226"/>
      <c r="K214" s="1226"/>
      <c r="L214" s="1226"/>
      <c r="M214" s="1226"/>
      <c r="N214" s="1226"/>
      <c r="O214" s="1226"/>
      <c r="P214" s="1226"/>
      <c r="Q214" s="1226"/>
      <c r="R214" s="46"/>
      <c r="S214" s="46"/>
      <c r="T214" s="31"/>
      <c r="U214" s="31"/>
      <c r="V214" s="31"/>
    </row>
    <row r="215" spans="1:22" x14ac:dyDescent="0.3">
      <c r="A215" s="31"/>
      <c r="B215" s="1224"/>
      <c r="C215" s="1225"/>
      <c r="D215" s="1225"/>
      <c r="E215" s="1226"/>
      <c r="F215" s="1226"/>
      <c r="G215" s="1226"/>
      <c r="H215" s="1226"/>
      <c r="I215" s="1226"/>
      <c r="J215" s="1226"/>
      <c r="K215" s="1226"/>
      <c r="L215" s="1226"/>
      <c r="M215" s="1226"/>
      <c r="N215" s="1226"/>
      <c r="O215" s="1226"/>
      <c r="P215" s="1226"/>
      <c r="Q215" s="1226"/>
      <c r="R215" s="46"/>
      <c r="S215" s="46"/>
      <c r="T215" s="31"/>
      <c r="U215" s="31"/>
      <c r="V215" s="31"/>
    </row>
    <row r="216" spans="1:22" x14ac:dyDescent="0.3">
      <c r="A216" s="31"/>
      <c r="B216" s="31"/>
      <c r="C216" s="31"/>
      <c r="D216" s="31"/>
      <c r="E216" s="31"/>
      <c r="F216" s="31"/>
      <c r="G216" s="31"/>
      <c r="H216" s="31"/>
      <c r="I216" s="31"/>
      <c r="J216" s="31"/>
      <c r="K216" s="31"/>
      <c r="L216" s="31"/>
      <c r="M216" s="31"/>
      <c r="N216" s="31"/>
      <c r="O216" s="31"/>
      <c r="P216" s="31"/>
      <c r="Q216" s="31"/>
      <c r="R216" s="32"/>
      <c r="S216" s="1339"/>
      <c r="T216" s="31"/>
      <c r="U216" s="31"/>
      <c r="V216" s="31"/>
    </row>
    <row r="217" spans="1:22" x14ac:dyDescent="0.3">
      <c r="A217" s="31"/>
      <c r="B217" s="31"/>
      <c r="C217" s="31"/>
      <c r="D217" s="31"/>
      <c r="E217" s="31"/>
      <c r="F217" s="31"/>
      <c r="G217" s="31"/>
      <c r="H217" s="31"/>
      <c r="I217" s="31"/>
      <c r="J217" s="31"/>
      <c r="K217" s="31"/>
      <c r="L217" s="31"/>
      <c r="M217" s="31"/>
      <c r="N217" s="31"/>
      <c r="O217" s="31"/>
      <c r="P217" s="31"/>
      <c r="Q217" s="31"/>
      <c r="R217" s="31"/>
      <c r="S217" s="31"/>
      <c r="T217" s="31"/>
      <c r="U217" s="31"/>
      <c r="V217" s="31"/>
    </row>
  </sheetData>
  <sheetProtection sheet="1" objects="1" scenarios="1"/>
  <protectedRanges>
    <protectedRange sqref="U4:V93" name="Consumption"/>
    <protectedRange sqref="Y4:AB4 Y5:Z93 AA5:AB93" name="Rate Entry"/>
  </protectedRanges>
  <mergeCells count="20">
    <mergeCell ref="T1:V1"/>
    <mergeCell ref="X1:AB1"/>
    <mergeCell ref="H1:P1"/>
    <mergeCell ref="X120:Y120"/>
    <mergeCell ref="W4:W9"/>
    <mergeCell ref="W11:W18"/>
    <mergeCell ref="W20:W27"/>
    <mergeCell ref="C37:D37"/>
    <mergeCell ref="B22:C22"/>
    <mergeCell ref="B23:C23"/>
    <mergeCell ref="A2:E14"/>
    <mergeCell ref="C36:D36"/>
    <mergeCell ref="A36:A37"/>
    <mergeCell ref="B16:E17"/>
    <mergeCell ref="A1:E1"/>
    <mergeCell ref="A19:E19"/>
    <mergeCell ref="C27:D27"/>
    <mergeCell ref="C28:D28"/>
    <mergeCell ref="C32:D32"/>
    <mergeCell ref="A31:A33"/>
  </mergeCells>
  <conditionalFormatting sqref="W4:W9">
    <cfRule type="expression" dxfId="73" priority="21">
      <formula>$W$4&lt;&gt;""</formula>
    </cfRule>
  </conditionalFormatting>
  <conditionalFormatting sqref="W11:W18">
    <cfRule type="expression" dxfId="72" priority="20">
      <formula>$W$11&lt;&gt;""</formula>
    </cfRule>
  </conditionalFormatting>
  <conditionalFormatting sqref="T1:V1 T3:V93">
    <cfRule type="expression" dxfId="71" priority="142">
      <formula>$B$30="No"</formula>
    </cfRule>
  </conditionalFormatting>
  <conditionalFormatting sqref="X1 X3:AB94">
    <cfRule type="expression" dxfId="70" priority="143">
      <formula>AND($C$36&lt;&gt;"Custom", $C$37 &lt;&gt; "Custom")</formula>
    </cfRule>
  </conditionalFormatting>
  <conditionalFormatting sqref="V3:V93">
    <cfRule type="expression" dxfId="69" priority="145">
      <formula>AND($B$30="Yes",$B$34&lt;&gt;"Both")</formula>
    </cfRule>
  </conditionalFormatting>
  <conditionalFormatting sqref="M3:P93">
    <cfRule type="expression" dxfId="68" priority="146">
      <formula>$B$34&lt;&gt;"Both"</formula>
    </cfRule>
  </conditionalFormatting>
  <conditionalFormatting sqref="L3:L93">
    <cfRule type="expression" dxfId="67" priority="147">
      <formula>$B$34&lt;&gt;"Both"</formula>
    </cfRule>
  </conditionalFormatting>
  <conditionalFormatting sqref="AA3:AB94">
    <cfRule type="expression" dxfId="66" priority="148">
      <formula>OR($B$34&lt;&gt;"Both", AND($B$34="Both", OR($C$36&lt;&gt;"Custom", $C$37 &lt;&gt; "Custom")))</formula>
    </cfRule>
  </conditionalFormatting>
  <conditionalFormatting sqref="Z3:Z93">
    <cfRule type="expression" dxfId="65" priority="149">
      <formula>OR(AND($B$34="Electricity",$C$36="Custom"), AND($B$34="Natural Gas", $C$37="Custom"), AND($B$34="Both", $C$36="Custom"), AND(AND($B$34="Both", $C$37="Custom")))</formula>
    </cfRule>
  </conditionalFormatting>
  <conditionalFormatting sqref="X3:Z93">
    <cfRule type="expression" dxfId="64" priority="150">
      <formula>OR(AND($B$34="Both", $C$36&lt;&gt;"Custom", $C$37&lt;&gt;"Custom"),AND($B$34="Electricity", $C$36&lt;&gt;"Custom"), AND($B$34 = "Natural Gas", $C$37&lt;&gt;"Custom"))</formula>
    </cfRule>
  </conditionalFormatting>
  <conditionalFormatting sqref="X1:AB1">
    <cfRule type="expression" dxfId="63" priority="151">
      <formula>OR(AND($C$36&lt;&gt;"Custom", $C$37&lt;&gt;"Custom"), AND($B$34 = "Electricity", $C$36&lt;&gt; "Custom"), AND($B$34 = "Natural Gas", $C$37 &lt;&gt; "Custom"))</formula>
    </cfRule>
  </conditionalFormatting>
  <conditionalFormatting sqref="B27:E28">
    <cfRule type="expression" dxfId="62" priority="10">
      <formula>$B$25="Yes"</formula>
    </cfRule>
  </conditionalFormatting>
  <conditionalFormatting sqref="B32:E32">
    <cfRule type="expression" dxfId="61" priority="9">
      <formula>$B$30="Yes"</formula>
    </cfRule>
  </conditionalFormatting>
  <conditionalFormatting sqref="B36:E36">
    <cfRule type="expression" dxfId="60" priority="8">
      <formula>$B$34="Natural Gas"</formula>
    </cfRule>
  </conditionalFormatting>
  <conditionalFormatting sqref="B37:E37">
    <cfRule type="expression" dxfId="59" priority="7">
      <formula>$B$34="Electricity"</formula>
    </cfRule>
  </conditionalFormatting>
  <conditionalFormatting sqref="W20:W27">
    <cfRule type="expression" dxfId="58" priority="6">
      <formula>$W$20&lt;&gt;""</formula>
    </cfRule>
  </conditionalFormatting>
  <conditionalFormatting sqref="A36:A37">
    <cfRule type="expression" dxfId="57" priority="4">
      <formula>OR(AND($C$36&lt;&gt;"Custom", $C$37&lt;&gt;"Custom", $B$34 = "Both"), AND($B$34="Electricity", $C$36&lt;&gt;"Custom"), AND($B$34="Natural Gas", $C$37&lt;&gt;"Custom"))</formula>
    </cfRule>
  </conditionalFormatting>
  <conditionalFormatting sqref="A31:A33">
    <cfRule type="expression" dxfId="56" priority="3">
      <formula>$B$30="No"</formula>
    </cfRule>
  </conditionalFormatting>
  <hyperlinks>
    <hyperlink ref="A16" location="'Electricity Bill'!A1" display="Go to Electricity Bill"/>
    <hyperlink ref="A17" location="'Natural Gas Bill'!A1" display="Go to Natural Gas Bill"/>
    <hyperlink ref="A36:A37" location="'Personalized Bill Menu'!Y4" display="Enter Custom Energy Rates Here"/>
    <hyperlink ref="A31:A33" location="'Personalized Bill Menu'!U4" display="Enter Consumption Values Here"/>
  </hyperlink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8">
        <x14:dataValidation type="list" allowBlank="1" showInputMessage="1" showErrorMessage="1">
          <x14:formula1>
            <xm:f>'Misc. Data &amp; Mechanisms'!$A$163:$A$194</xm:f>
          </x14:formula1>
          <xm:sqref>B21</xm:sqref>
        </x14:dataValidation>
        <x14:dataValidation type="list" allowBlank="1" showInputMessage="1" showErrorMessage="1">
          <x14:formula1>
            <xm:f>'Misc. Data &amp; Mechanisms'!$A$220:$A$221</xm:f>
          </x14:formula1>
          <xm:sqref>B30 B25</xm:sqref>
        </x14:dataValidation>
        <x14:dataValidation type="list" allowBlank="1" showInputMessage="1" showErrorMessage="1">
          <x14:formula1>
            <xm:f>'Misc. Data &amp; Mechanisms'!$C$220:$C$222</xm:f>
          </x14:formula1>
          <xm:sqref>B34</xm:sqref>
        </x14:dataValidation>
        <x14:dataValidation type="list" allowBlank="1" showInputMessage="1" showErrorMessage="1">
          <x14:formula1>
            <xm:f>'Misc. Data &amp; Mechanisms'!$D$220:$D$222</xm:f>
          </x14:formula1>
          <xm:sqref>C32</xm:sqref>
        </x14:dataValidation>
        <x14:dataValidation type="list" allowBlank="1" showInputMessage="1" showErrorMessage="1">
          <x14:formula1>
            <xm:f>'Misc. Data &amp; Mechanisms'!$E$220:$E$222</xm:f>
          </x14:formula1>
          <xm:sqref>C36</xm:sqref>
        </x14:dataValidation>
        <x14:dataValidation type="list" allowBlank="1" showInputMessage="1" showErrorMessage="1">
          <x14:formula1>
            <xm:f>'Misc. Data &amp; Mechanisms'!$F$220:$F$221</xm:f>
          </x14:formula1>
          <xm:sqref>C37</xm:sqref>
        </x14:dataValidation>
        <x14:dataValidation type="list" allowBlank="1" showInputMessage="1" showErrorMessage="1">
          <x14:formula1>
            <xm:f>'Misc. Data &amp; Mechanisms'!$A$63:$A$152</xm:f>
          </x14:formula1>
          <xm:sqref>C28:D28</xm:sqref>
        </x14:dataValidation>
        <x14:dataValidation type="list" allowBlank="1" showInputMessage="1" showErrorMessage="1">
          <x14:formula1>
            <xm:f>'Misc. Data &amp; Mechanisms'!$A$63:$A$152</xm:f>
          </x14:formula1>
          <xm:sqref>C27:D27</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8" tint="0.39997558519241921"/>
  </sheetPr>
  <dimension ref="A1:AW96"/>
  <sheetViews>
    <sheetView zoomScale="80" zoomScaleNormal="80" workbookViewId="0">
      <selection sqref="A1:D1"/>
    </sheetView>
  </sheetViews>
  <sheetFormatPr defaultColWidth="9.1796875" defaultRowHeight="14.5" x14ac:dyDescent="0.35"/>
  <cols>
    <col min="1" max="1" width="8.54296875" style="10" bestFit="1" customWidth="1"/>
    <col min="2" max="2" width="10.1796875" style="21" bestFit="1" customWidth="1"/>
    <col min="3" max="3" width="14.81640625" style="7" bestFit="1" customWidth="1"/>
    <col min="4" max="4" width="15.54296875" style="11" bestFit="1" customWidth="1"/>
    <col min="5" max="5" width="15" style="11" bestFit="1" customWidth="1"/>
    <col min="6" max="6" width="17.1796875" style="7" bestFit="1" customWidth="1"/>
    <col min="7" max="7" width="14.26953125" style="11" bestFit="1" customWidth="1"/>
    <col min="8" max="8" width="15.26953125" style="11" bestFit="1" customWidth="1"/>
    <col min="9" max="9" width="12.81640625" style="11" bestFit="1" customWidth="1"/>
    <col min="10" max="10" width="16.7265625" style="11" bestFit="1" customWidth="1"/>
    <col min="11" max="11" width="18.81640625" style="11" bestFit="1" customWidth="1"/>
    <col min="12" max="12" width="16.26953125" style="11" bestFit="1" customWidth="1"/>
    <col min="13" max="13" width="8.1796875" style="11" customWidth="1"/>
    <col min="14" max="14" width="17" style="12" customWidth="1"/>
    <col min="15" max="15" width="16.26953125" style="7" bestFit="1" customWidth="1"/>
    <col min="16" max="17" width="15.26953125" style="7" bestFit="1" customWidth="1"/>
    <col min="18" max="18" width="13.1796875" style="12" bestFit="1" customWidth="1"/>
    <col min="19" max="19" width="13.1796875" style="7" bestFit="1" customWidth="1"/>
    <col min="20" max="20" width="14.1796875" style="7" customWidth="1"/>
    <col min="21" max="21" width="12.81640625" style="7" bestFit="1" customWidth="1"/>
    <col min="22" max="22" width="12.81640625" style="12" bestFit="1" customWidth="1"/>
    <col min="23" max="23" width="14" style="12" customWidth="1"/>
    <col min="24" max="24" width="15.54296875" style="12" bestFit="1" customWidth="1"/>
    <col min="25" max="25" width="14.1796875" style="12" customWidth="1"/>
    <col min="26" max="26" width="12.81640625" style="12" bestFit="1" customWidth="1"/>
    <col min="27" max="27" width="14.1796875" style="12" customWidth="1"/>
    <col min="28" max="28" width="20.453125" style="12" customWidth="1"/>
    <col min="29" max="29" width="18.453125" style="7" bestFit="1" customWidth="1"/>
    <col min="30" max="30" width="14.54296875" style="7" customWidth="1"/>
    <col min="31" max="31" width="15.453125" style="7" customWidth="1"/>
    <col min="32" max="34" width="14.54296875" style="6" customWidth="1"/>
    <col min="35" max="35" width="11.26953125" style="6" bestFit="1" customWidth="1"/>
    <col min="36" max="36" width="15.26953125" style="7" bestFit="1" customWidth="1"/>
    <col min="37" max="37" width="14.81640625" style="7" customWidth="1"/>
    <col min="38" max="41" width="14.54296875" style="12" customWidth="1"/>
    <col min="42" max="42" width="16.26953125" style="23" bestFit="1" customWidth="1"/>
    <col min="43" max="43" width="16.26953125" style="24" bestFit="1" customWidth="1"/>
    <col min="44" max="44" width="13.54296875" style="9" bestFit="1" customWidth="1"/>
    <col min="45" max="16384" width="9.1796875" style="1"/>
  </cols>
  <sheetData>
    <row r="1" spans="1:49" ht="15.75" x14ac:dyDescent="0.25">
      <c r="A1" s="1737" t="s">
        <v>0</v>
      </c>
      <c r="B1" s="1738"/>
      <c r="C1" s="1738"/>
      <c r="D1" s="1738"/>
      <c r="E1" s="1310"/>
      <c r="F1" s="1739" t="s">
        <v>245</v>
      </c>
      <c r="G1" s="1740"/>
      <c r="H1" s="1740"/>
      <c r="I1" s="1741" t="str">
        <f>IF('Personalized Bill Menu'!$B$30="Yes", "Manually-Entered Consumption", 'Personalized Bill Menu'!$C$32 &amp; " Consumption")</f>
        <v>Detached Home Consumption</v>
      </c>
      <c r="J1" s="1741"/>
      <c r="K1" s="1742"/>
      <c r="L1" s="1311"/>
      <c r="M1" s="1312"/>
      <c r="N1" s="1745" t="s">
        <v>625</v>
      </c>
      <c r="O1" s="1745"/>
      <c r="P1" s="1313"/>
      <c r="Q1" s="1313"/>
      <c r="R1" s="1314"/>
      <c r="S1" s="1313"/>
      <c r="T1" s="1313"/>
      <c r="U1" s="1313"/>
      <c r="V1" s="1314"/>
      <c r="W1" s="1315"/>
      <c r="X1" s="1315"/>
      <c r="Y1" s="1314"/>
      <c r="Z1" s="1314"/>
      <c r="AA1" s="1314"/>
      <c r="AB1" s="1314"/>
      <c r="AC1" s="1313"/>
      <c r="AD1" s="1313"/>
      <c r="AE1" s="1313"/>
      <c r="AF1" s="1316"/>
      <c r="AG1" s="1316"/>
      <c r="AH1" s="1316"/>
      <c r="AI1" s="1316"/>
      <c r="AJ1" s="1313"/>
      <c r="AK1" s="1313"/>
      <c r="AL1" s="1315"/>
      <c r="AM1" s="1315"/>
      <c r="AN1" s="1315"/>
      <c r="AO1" s="1315"/>
      <c r="AP1" s="1315"/>
      <c r="AQ1" s="1315"/>
      <c r="AR1" s="1317"/>
    </row>
    <row r="2" spans="1:49" ht="38.25" customHeight="1" thickBot="1" x14ac:dyDescent="0.3">
      <c r="A2" s="1743" t="str">
        <f xml:space="preserve"> 'Personalized Bill Menu'!$B$22 &amp; " Service Zone (" &amp; 'Personalized Bill Menu'!$B$21 &amp; ")"</f>
        <v>ENMAX Service Zone (Calgary)</v>
      </c>
      <c r="B2" s="1744"/>
      <c r="C2" s="1744"/>
      <c r="D2" s="1744"/>
      <c r="E2" s="1349"/>
      <c r="F2" s="1733" t="s">
        <v>569</v>
      </c>
      <c r="G2" s="1734"/>
      <c r="H2" s="1734"/>
      <c r="I2" s="1735" t="str">
        <f>'Personalized Bill Menu'!$C$36</f>
        <v>RRO (Capped)</v>
      </c>
      <c r="J2" s="1735"/>
      <c r="K2" s="1736"/>
      <c r="L2" s="1322"/>
      <c r="M2" s="1322"/>
      <c r="N2" s="1323"/>
      <c r="O2" s="1324"/>
      <c r="P2" s="1324"/>
      <c r="Q2" s="1324"/>
      <c r="R2" s="1325"/>
      <c r="S2" s="1324"/>
      <c r="T2" s="1324"/>
      <c r="U2" s="1324"/>
      <c r="V2" s="1325"/>
      <c r="W2" s="1326"/>
      <c r="X2" s="1326"/>
      <c r="Y2" s="1325"/>
      <c r="Z2" s="1325"/>
      <c r="AA2" s="1325"/>
      <c r="AB2" s="1325"/>
      <c r="AC2" s="1324"/>
      <c r="AD2" s="1324"/>
      <c r="AE2" s="1324"/>
      <c r="AF2" s="1327"/>
      <c r="AG2" s="1327"/>
      <c r="AH2" s="1327"/>
      <c r="AI2" s="1327"/>
      <c r="AJ2" s="1324"/>
      <c r="AK2" s="1324"/>
      <c r="AL2" s="1323"/>
      <c r="AM2" s="1323"/>
      <c r="AN2" s="1323"/>
      <c r="AO2" s="1323"/>
      <c r="AP2" s="1323"/>
      <c r="AQ2" s="1323"/>
      <c r="AR2" s="1328"/>
    </row>
    <row r="3" spans="1:49" ht="12.75" customHeight="1" x14ac:dyDescent="0.25">
      <c r="A3" s="1330"/>
      <c r="B3" s="1318"/>
      <c r="C3" s="1318"/>
      <c r="D3" s="1318"/>
      <c r="E3" s="1318"/>
      <c r="F3" s="1319"/>
      <c r="G3" s="1320"/>
      <c r="H3" s="1320"/>
      <c r="I3" s="1320"/>
      <c r="J3" s="1320"/>
      <c r="K3" s="1321"/>
      <c r="L3" s="1322"/>
      <c r="M3" s="1322"/>
      <c r="N3" s="1323"/>
      <c r="O3" s="1324"/>
      <c r="P3" s="1324"/>
      <c r="Q3" s="1324"/>
      <c r="R3" s="1325"/>
      <c r="S3" s="1324"/>
      <c r="T3" s="1324"/>
      <c r="U3" s="1324"/>
      <c r="V3" s="1325"/>
      <c r="W3" s="1326"/>
      <c r="X3" s="1326"/>
      <c r="Y3" s="1325"/>
      <c r="Z3" s="1325"/>
      <c r="AA3" s="1325"/>
      <c r="AB3" s="1325"/>
      <c r="AC3" s="1324"/>
      <c r="AD3" s="1324"/>
      <c r="AE3" s="1324"/>
      <c r="AF3" s="1327"/>
      <c r="AG3" s="1327"/>
      <c r="AH3" s="1327"/>
      <c r="AI3" s="1327"/>
      <c r="AJ3" s="1324"/>
      <c r="AK3" s="1324"/>
      <c r="AL3" s="1323"/>
      <c r="AM3" s="1323"/>
      <c r="AN3" s="1323"/>
      <c r="AO3" s="1323"/>
      <c r="AP3" s="1323"/>
      <c r="AQ3" s="1323"/>
      <c r="AR3" s="1328"/>
    </row>
    <row r="4" spans="1:49" s="20" customFormat="1" ht="24" customHeight="1" x14ac:dyDescent="0.25">
      <c r="A4" s="1722" t="s">
        <v>3</v>
      </c>
      <c r="B4" s="1723"/>
      <c r="C4" s="1723"/>
      <c r="D4" s="1723"/>
      <c r="E4" s="1724"/>
      <c r="F4" s="1725"/>
      <c r="G4" s="1726" t="s">
        <v>4</v>
      </c>
      <c r="H4" s="1727"/>
      <c r="I4" s="1727"/>
      <c r="J4" s="1727"/>
      <c r="K4" s="1727"/>
      <c r="L4" s="1727"/>
      <c r="M4" s="1728"/>
      <c r="N4" s="1726" t="s">
        <v>5</v>
      </c>
      <c r="O4" s="1727"/>
      <c r="P4" s="1727" t="s">
        <v>6</v>
      </c>
      <c r="Q4" s="1727"/>
      <c r="R4" s="1727" t="s">
        <v>7</v>
      </c>
      <c r="S4" s="1727"/>
      <c r="T4" s="1727"/>
      <c r="U4" s="1727"/>
      <c r="V4" s="1727"/>
      <c r="W4" s="1727"/>
      <c r="X4" s="1727" t="s">
        <v>8</v>
      </c>
      <c r="Y4" s="1727"/>
      <c r="Z4" s="1727"/>
      <c r="AA4" s="1727"/>
      <c r="AB4" s="1747" t="s">
        <v>9</v>
      </c>
      <c r="AC4" s="1748"/>
      <c r="AD4" s="1748"/>
      <c r="AE4" s="1748"/>
      <c r="AF4" s="1748"/>
      <c r="AG4" s="1748"/>
      <c r="AH4" s="1748"/>
      <c r="AI4" s="1748"/>
      <c r="AJ4" s="1748"/>
      <c r="AK4" s="1748"/>
      <c r="AL4" s="1748"/>
      <c r="AM4" s="1748"/>
      <c r="AN4" s="1748"/>
      <c r="AO4" s="1726"/>
      <c r="AP4" s="1746" t="s">
        <v>10</v>
      </c>
      <c r="AQ4" s="1746"/>
      <c r="AR4" s="48" t="s">
        <v>11</v>
      </c>
      <c r="AS4" s="19"/>
      <c r="AT4" s="19"/>
      <c r="AU4" s="19"/>
      <c r="AV4" s="19"/>
      <c r="AW4" s="19"/>
    </row>
    <row r="5" spans="1:49" s="4" customFormat="1" ht="80.25" customHeight="1" x14ac:dyDescent="0.35">
      <c r="A5" s="49" t="s">
        <v>13</v>
      </c>
      <c r="B5" s="50" t="s">
        <v>14</v>
      </c>
      <c r="C5" s="50" t="s">
        <v>12</v>
      </c>
      <c r="D5" s="50" t="s">
        <v>541</v>
      </c>
      <c r="E5" s="50" t="s">
        <v>544</v>
      </c>
      <c r="F5" s="51" t="s">
        <v>626</v>
      </c>
      <c r="G5" s="1729" t="s">
        <v>15</v>
      </c>
      <c r="H5" s="1729" t="s">
        <v>16</v>
      </c>
      <c r="I5" s="1729" t="s">
        <v>17</v>
      </c>
      <c r="J5" s="1729" t="s">
        <v>18</v>
      </c>
      <c r="K5" s="1729" t="s">
        <v>19</v>
      </c>
      <c r="L5" s="1729" t="s">
        <v>20</v>
      </c>
      <c r="M5" s="1749" t="s">
        <v>21</v>
      </c>
      <c r="N5" s="52" t="s">
        <v>22</v>
      </c>
      <c r="O5" s="1731" t="s">
        <v>23</v>
      </c>
      <c r="P5" s="53" t="s">
        <v>268</v>
      </c>
      <c r="Q5" s="1731" t="s">
        <v>24</v>
      </c>
      <c r="R5" s="53" t="s">
        <v>270</v>
      </c>
      <c r="S5" s="52" t="s">
        <v>269</v>
      </c>
      <c r="T5" s="52" t="str">
        <f>IF('Personalized Bill Menu'!$B$22 = "ATCO", "Fixed Distribution-Service Rate", "")</f>
        <v/>
      </c>
      <c r="U5" s="1729" t="s">
        <v>105</v>
      </c>
      <c r="V5" s="1729" t="s">
        <v>104</v>
      </c>
      <c r="W5" s="1731" t="str">
        <f>IF('Personalized Bill Menu'!$B$22 = "ATCO", "Fixed Distribution-Service Charge", "")</f>
        <v/>
      </c>
      <c r="X5" s="53" t="str">
        <f>IF(VLOOKUP("LAF RATE 1", 'Misc. Data &amp; Mechanisms'!$E$601:$I$631, HLOOKUP('Personalized Bill Menu'!$B$22, 'Misc. Data &amp; Mechanisms'!$E$599:$I$600, 2, FALSE), FALSE)="", "", VLOOKUP("LAF RATE 1", 'Misc. Data &amp; Mechanisms'!$E$601:$I$631, HLOOKUP('Personalized Bill Menu'!$B$22, 'Misc. Data &amp; Mechanisms'!$E$599:$I$600, 2, FALSE), FALSE))</f>
        <v>Local Access Fee (Calgary)</v>
      </c>
      <c r="Y5" s="52" t="str">
        <f>IF(VLOOKUP("LAF RATE 2", 'Misc. Data &amp; Mechanisms'!$E$601:$I$631, HLOOKUP('Personalized Bill Menu'!$B$22, 'Misc. Data &amp; Mechanisms'!$E$599:$I$600, 2, FALSE), FALSE)="", "", VLOOKUP("LAF RATE 2", 'Misc. Data &amp; Mechanisms'!$E$601:$I$631, HLOOKUP('Personalized Bill Menu'!$B$22, 'Misc. Data &amp; Mechanisms'!$E$599:$I$600, 2, FALSE), FALSE))</f>
        <v/>
      </c>
      <c r="Z5" s="1729" t="str">
        <f>IF(VLOOKUP("LAF CHARGE 1", 'Misc. Data &amp; Mechanisms'!$E$601:$I$631, HLOOKUP('Personalized Bill Menu'!$B$22, 'Misc. Data &amp; Mechanisms'!$E$599:$I$600, 2, FALSE), FALSE)="", "", VLOOKUP("LAF CHARGE 1", 'Misc. Data &amp; Mechanisms'!$E$601:$I$631, HLOOKUP('Personalized Bill Menu'!$B$22, 'Misc. Data &amp; Mechanisms'!$E$599:$I$600, 2, FALSE), FALSE))</f>
        <v>LAF Wires Component Charge</v>
      </c>
      <c r="AA5" s="1731" t="str">
        <f>IF(VLOOKUP("LAF CHARGE 2", 'Misc. Data &amp; Mechanisms'!$E$601:$I$631, HLOOKUP('Personalized Bill Menu'!$B$22, 'Misc. Data &amp; Mechanisms'!$E$599:$I$600, 2, FALSE), FALSE)="", "", VLOOKUP("LAF CHARGE 2", 'Misc. Data &amp; Mechanisms'!$E$601:$I$631, HLOOKUP('Personalized Bill Menu'!$B$22, 'Misc. Data &amp; Mechanisms'!$E$599:$I$600, 2, FALSE), FALSE))</f>
        <v>LAF Energy Component Charge</v>
      </c>
      <c r="AB5" s="53" t="str">
        <f>IF(VLOOKUP("RIDER RATE 1", 'Misc. Data &amp; Mechanisms'!$E$601:$I$631, HLOOKUP('Personalized Bill Menu'!$B$22, 'Misc. Data &amp; Mechanisms'!$E$599:$I$600, 2, FALSE), FALSE)="", "", VLOOKUP("RIDER RATE 1", 'Misc. Data &amp; Mechanisms'!$E$601:$I$631, HLOOKUP('Personalized Bill Menu'!$B$22, 'Misc. Data &amp; Mechanisms'!$E$599:$I$600, 2, FALSE), FALSE))</f>
        <v>Balancing Pool Allocation Refund Rider</v>
      </c>
      <c r="AC5" s="52" t="str">
        <f>IF(VLOOKUP("RIDER RATE 2", 'Misc. Data &amp; Mechanisms'!$E$601:$I$631, HLOOKUP('Personalized Bill Menu'!$B$22, 'Misc. Data &amp; Mechanisms'!$E$599:$I$600, 2, FALSE), FALSE)="", "", VLOOKUP("RIDER RATE 2", 'Misc. Data &amp; Mechanisms'!$E$601:$I$631, HLOOKUP('Personalized Bill Menu'!$B$22, 'Misc. Data &amp; Mechanisms'!$E$599:$I$600, 2, FALSE), FALSE))</f>
        <v>Transmission Access Charge Deferral Account Rider</v>
      </c>
      <c r="AD5" s="52" t="str">
        <f>IF(VLOOKUP("RIDER RATE 3", 'Misc. Data &amp; Mechanisms'!$E$601:$I$631, HLOOKUP('Personalized Bill Menu'!$B$22, 'Misc. Data &amp; Mechanisms'!$E$599:$I$600, 2, FALSE), FALSE)="", "", VLOOKUP("RIDER RATE 3", 'Misc. Data &amp; Mechanisms'!$E$601:$I$631, HLOOKUP('Personalized Bill Menu'!$B$22, 'Misc. Data &amp; Mechanisms'!$E$599:$I$600, 2, FALSE), FALSE))</f>
        <v>DAS Adjustment Rider</v>
      </c>
      <c r="AE5" s="52" t="str">
        <f>IF(VLOOKUP("RIDER RATE 4", 'Misc. Data &amp; Mechanisms'!$E$601:$I$631, HLOOKUP('Personalized Bill Menu'!$B$22, 'Misc. Data &amp; Mechanisms'!$E$599:$I$600, 2, FALSE), FALSE)="", "", VLOOKUP("RIDER RATE 4", 'Misc. Data &amp; Mechanisms'!$E$601:$I$631, HLOOKUP('Personalized Bill Menu'!$B$22, 'Misc. Data &amp; Mechanisms'!$E$599:$I$600, 2, FALSE), FALSE))</f>
        <v>RRO Non-Energy Rate Rider (Rider Charge)</v>
      </c>
      <c r="AF5" s="52" t="str">
        <f>IF(VLOOKUP("RIDER RATE 5", 'Misc. Data &amp; Mechanisms'!$E$601:$I$631, HLOOKUP('Personalized Bill Menu'!$B$22, 'Misc. Data &amp; Mechanisms'!$E$599:$I$600, 2, FALSE), FALSE)="", "", VLOOKUP("RIDER RATE 5", 'Misc. Data &amp; Mechanisms'!$E$601:$I$631, HLOOKUP('Personalized Bill Menu'!$B$22, 'Misc. Data &amp; Mechanisms'!$E$599:$I$600, 2, FALSE), FALSE))</f>
        <v/>
      </c>
      <c r="AG5" s="52" t="str">
        <f>IF(VLOOKUP("RIDER RATE 6", 'Misc. Data &amp; Mechanisms'!$E$601:$I$631, HLOOKUP('Personalized Bill Menu'!$B$22, 'Misc. Data &amp; Mechanisms'!$E$599:$I$600, 2, FALSE), FALSE)="", "", VLOOKUP("RIDER RATE 6", 'Misc. Data &amp; Mechanisms'!$E$601:$I$631, HLOOKUP('Personalized Bill Menu'!$B$22, 'Misc. Data &amp; Mechanisms'!$E$599:$I$600, 2, FALSE), FALSE))</f>
        <v/>
      </c>
      <c r="AH5" s="52" t="str">
        <f>IF(VLOOKUP("RIDER RATE 7", 'Misc. Data &amp; Mechanisms'!$E$601:$I$631, HLOOKUP('Personalized Bill Menu'!$B$22, 'Misc. Data &amp; Mechanisms'!$E$599:$I$600, 2, FALSE), FALSE)="", "", VLOOKUP("RIDER RATE 7", 'Misc. Data &amp; Mechanisms'!$E$601:$I$631, HLOOKUP('Personalized Bill Menu'!$B$22, 'Misc. Data &amp; Mechanisms'!$E$599:$I$600, 2, FALSE), FALSE))</f>
        <v/>
      </c>
      <c r="AI5" s="1729" t="str">
        <f>IF(VLOOKUP("RIDER CHARGE 1", 'Misc. Data &amp; Mechanisms'!$E$601:$I$631, HLOOKUP('Personalized Bill Menu'!$B$22, 'Misc. Data &amp; Mechanisms'!$E$599:$I$600, 2, FALSE), FALSE)="", "", VLOOKUP("RIDER CHARGE 1", 'Misc. Data &amp; Mechanisms'!$E$601:$I$631, HLOOKUP('Personalized Bill Menu'!$B$22, 'Misc. Data &amp; Mechanisms'!$E$599:$I$600, 2, FALSE), FALSE))</f>
        <v>Balancing Pool Allocation Charge</v>
      </c>
      <c r="AJ5" s="1729" t="str">
        <f>IF(VLOOKUP("RIDER CHARGE 2", 'Misc. Data &amp; Mechanisms'!$E$601:$I$631, HLOOKUP('Personalized Bill Menu'!$B$22, 'Misc. Data &amp; Mechanisms'!$E$599:$I$600, 2, FALSE), FALSE)="", "", VLOOKUP("RIDER CHARGE 2", 'Misc. Data &amp; Mechanisms'!$E$601:$I$631, HLOOKUP('Personalized Bill Menu'!$B$22, 'Misc. Data &amp; Mechanisms'!$E$599:$I$600, 2, FALSE), FALSE))</f>
        <v>Transmission Access Charge Def. Acct. Charge</v>
      </c>
      <c r="AK5" s="1729" t="str">
        <f>IF(VLOOKUP("RIDER CHARGE 3", 'Misc. Data &amp; Mechanisms'!$E$601:$I$631, HLOOKUP('Personalized Bill Menu'!$B$22, 'Misc. Data &amp; Mechanisms'!$E$599:$I$600, 2, FALSE), FALSE)="", "", VLOOKUP("RIDER CHARGE 3", 'Misc. Data &amp; Mechanisms'!$E$601:$I$631, HLOOKUP('Personalized Bill Menu'!$B$22, 'Misc. Data &amp; Mechanisms'!$E$599:$I$600, 2, FALSE), FALSE))</f>
        <v>Distribution Access Service Adjustment Charge</v>
      </c>
      <c r="AL5" s="1729" t="str">
        <f>IF(VLOOKUP("RIDER CHARGE 4", 'Misc. Data &amp; Mechanisms'!$E$601:$I$631, HLOOKUP('Personalized Bill Menu'!$B$22, 'Misc. Data &amp; Mechanisms'!$E$599:$I$600, 2, FALSE), FALSE)="", "", VLOOKUP("RIDER CHARGE 4", 'Misc. Data &amp; Mechanisms'!$E$601:$I$631, HLOOKUP('Personalized Bill Menu'!$B$22, 'Misc. Data &amp; Mechanisms'!$E$599:$I$600, 2, FALSE), FALSE))</f>
        <v>Rider Charge</v>
      </c>
      <c r="AM5" s="1729" t="str">
        <f>IF(VLOOKUP("RIDER CHARGE 5", 'Misc. Data &amp; Mechanisms'!$E$601:$I$631, HLOOKUP('Personalized Bill Menu'!$B$22, 'Misc. Data &amp; Mechanisms'!$E$599:$I$600, 2, FALSE), FALSE)="", "", VLOOKUP("RIDER CHARGE 5", 'Misc. Data &amp; Mechanisms'!$E$601:$I$631, HLOOKUP('Personalized Bill Menu'!$B$22, 'Misc. Data &amp; Mechanisms'!$E$599:$I$600, 2, FALSE), FALSE))</f>
        <v/>
      </c>
      <c r="AN5" s="1729" t="str">
        <f>IF(VLOOKUP("RIDER CHARGE 6", 'Misc. Data &amp; Mechanisms'!$E$601:$I$631, HLOOKUP('Personalized Bill Menu'!$B$22, 'Misc. Data &amp; Mechanisms'!$E$599:$I$600, 2, FALSE), FALSE)="", "", VLOOKUP("RIDER CHARGE 6", 'Misc. Data &amp; Mechanisms'!$E$601:$I$631, HLOOKUP('Personalized Bill Menu'!$B$22, 'Misc. Data &amp; Mechanisms'!$E$599:$I$600, 2, FALSE), FALSE))</f>
        <v/>
      </c>
      <c r="AO5" s="1731" t="str">
        <f>IF(VLOOKUP("RIDER CHARGE 7", 'Misc. Data &amp; Mechanisms'!$E$601:$I$631, HLOOKUP('Personalized Bill Menu'!$B$22, 'Misc. Data &amp; Mechanisms'!$E$599:$I$600, 2, FALSE), FALSE)="", "", VLOOKUP("RIDER CHARGE 7", 'Misc. Data &amp; Mechanisms'!$E$601:$I$631, HLOOKUP('Personalized Bill Menu'!$B$22, 'Misc. Data &amp; Mechanisms'!$E$599:$I$600, 2, FALSE), FALSE))</f>
        <v/>
      </c>
      <c r="AP5" s="53" t="s">
        <v>273</v>
      </c>
      <c r="AQ5" s="1731" t="s">
        <v>274</v>
      </c>
      <c r="AR5" s="54" t="s">
        <v>275</v>
      </c>
      <c r="AS5" s="22"/>
      <c r="AT5" s="22"/>
      <c r="AU5" s="22"/>
      <c r="AV5" s="22"/>
      <c r="AW5" s="22"/>
    </row>
    <row r="6" spans="1:49" s="4" customFormat="1" x14ac:dyDescent="0.35">
      <c r="A6" s="55"/>
      <c r="B6" s="56"/>
      <c r="C6" s="57" t="s">
        <v>32</v>
      </c>
      <c r="D6" s="58" t="s">
        <v>33</v>
      </c>
      <c r="E6" s="58" t="s">
        <v>33</v>
      </c>
      <c r="F6" s="59" t="s">
        <v>34</v>
      </c>
      <c r="G6" s="1730"/>
      <c r="H6" s="1730"/>
      <c r="I6" s="1730"/>
      <c r="J6" s="1730"/>
      <c r="K6" s="1730"/>
      <c r="L6" s="1730"/>
      <c r="M6" s="1750"/>
      <c r="N6" s="57" t="s">
        <v>33</v>
      </c>
      <c r="O6" s="1732"/>
      <c r="P6" s="60" t="s">
        <v>33</v>
      </c>
      <c r="Q6" s="1732"/>
      <c r="R6" s="60" t="s">
        <v>33</v>
      </c>
      <c r="S6" s="57" t="str">
        <f>IF('Personalized Bill Menu'!$B$22&lt;&gt;"ATCO", "$/day", "¢/day")</f>
        <v>$/day</v>
      </c>
      <c r="T6" s="57" t="str">
        <f>IF('Personalized Bill Menu'!$B$22 = "ATCO", "¢/day", "")</f>
        <v/>
      </c>
      <c r="U6" s="1730"/>
      <c r="V6" s="1730"/>
      <c r="W6" s="1732"/>
      <c r="X6" s="60" t="str">
        <f>IF('Personalized Bill Menu'!$B$22="EPCOR", "¢/kWh", "%")</f>
        <v>%</v>
      </c>
      <c r="Y6" s="57" t="str">
        <f>IF(OR('Personalized Bill Menu'!$B$22 = "ENMAX",'Personalized Bill Menu'!$B$22 = "EPCOR"), "", "%")</f>
        <v/>
      </c>
      <c r="Z6" s="1730"/>
      <c r="AA6" s="1732"/>
      <c r="AB6" s="60" t="s">
        <v>33</v>
      </c>
      <c r="AC6" s="57" t="str">
        <f>IF('Personalized Bill Menu'!$B$22&lt;&gt;"FORTIS", "¢/kWh", "%")</f>
        <v>¢/kWh</v>
      </c>
      <c r="AD6" s="57" t="str">
        <f>IF(OR('Personalized Bill Menu'!$B$22="EPCOR",'Personalized Bill Menu'!$B$22="ATCO"), "¢/kWh", "%")</f>
        <v>%</v>
      </c>
      <c r="AE6" s="57" t="str">
        <f>IF('Personalized Bill Menu'!$B$22="ENMAX","$/day",IF('Personalized Bill Menu'!$B$22="ATCO","%", "¢/kWh"))</f>
        <v>$/day</v>
      </c>
      <c r="AF6" s="57" t="str">
        <f>IF('Personalized Bill Menu'!$B$22="EPCOR","¢/kWh",IF('Personalized Bill Menu'!$B$22="FORTIS","%",IF('Personalized Bill Menu'!$B$22="ATCO","$/month","")))</f>
        <v/>
      </c>
      <c r="AG6" s="57" t="str">
        <f>IF('Personalized Bill Menu'!$B$22="ATCO","$/day","")</f>
        <v/>
      </c>
      <c r="AH6" s="57" t="str">
        <f>IF('Personalized Bill Menu'!$B$22="ATCO","$/day","")</f>
        <v/>
      </c>
      <c r="AI6" s="1730"/>
      <c r="AJ6" s="1730"/>
      <c r="AK6" s="1730"/>
      <c r="AL6" s="1730"/>
      <c r="AM6" s="1730"/>
      <c r="AN6" s="1730"/>
      <c r="AO6" s="1732"/>
      <c r="AP6" s="60" t="str">
        <f>VLOOKUP('Personalized Bill Menu'!$B$22,'Misc. Data &amp; Mechanisms'!$K$1483:$L$1490,2,FALSE)</f>
        <v>$/day</v>
      </c>
      <c r="AQ6" s="1732"/>
      <c r="AR6" s="61" t="s">
        <v>36</v>
      </c>
      <c r="AS6" s="22"/>
      <c r="AT6" s="22"/>
      <c r="AU6" s="22"/>
      <c r="AV6" s="22"/>
      <c r="AW6" s="22"/>
    </row>
    <row r="7" spans="1:49" ht="15" x14ac:dyDescent="0.25">
      <c r="A7" s="62">
        <f>'Personalized Bill Menu'!$H4</f>
        <v>40909</v>
      </c>
      <c r="B7" s="63">
        <f>IFERROR(DAY(DATE(YEAR($A7),MONTH($A7)+1,1)-1), "")</f>
        <v>31</v>
      </c>
      <c r="C7" s="64">
        <f>IF('Personalized Bill Menu'!$B$34&lt;&gt;"Natural Gas", 'Personalized Bill Menu'!$I4, "")</f>
        <v>706.749077999924</v>
      </c>
      <c r="D7" s="65">
        <f ca="1">IFERROR(($F7*100)/$C7, "")</f>
        <v>24.907318780498041</v>
      </c>
      <c r="E7" s="66">
        <f ca="1">IFERROR((1+$AR7)*(IF('Personalized Bill Menu'!$B$22="ENMAX", ((1+IFERROR($X7, 0))*($N7+$P7+$R7+$AB7+$AC7))+((1+IF($X7="", 0,$X7))*(IF($AD7="", 0,$AD7)*$R7)), IF('Personalized Bill Menu'!$B$22="EPCOR", ($N7+$P7+$R7+$X7+SUM($AB7:$AE7)), IF('Personalized Bill Menu'!$B$22="ATCO",($N7+((1+IF($AE7="", 0,$AE7))*(1+$X7+$Y7)*($P7+$R7))+SUM($AB7:$AD7)),IF($AD7="",$N7+((1+$X7+$Y7)*($P7+$R7))+$AB7+$AE7+(IF($AC7="", 0, $AC7)*$P7)+($R7*IF($AF7="", 0, $AF7)),$N7+((1+$X7+$Y7)*($P7+$R7))+$AB7+($AD7*$P7)+(IF($AC7="", 0, $AC7)*$P7)+($R7*IF($AF7="", 0, $AF7))))))), "")</f>
        <v>22.073462596500001</v>
      </c>
      <c r="F7" s="1468">
        <f ca="1">IF($A7="", "", IFERROR(SUM($G7:$M7), ""))</f>
        <v>176.03224583567183</v>
      </c>
      <c r="G7" s="66">
        <f>IF($A7="", "", IFERROR(SUM($O7), ""))</f>
        <v>108.01952908150838</v>
      </c>
      <c r="H7" s="66">
        <f ca="1">IF($A7="", "", IFERROR(SUM($Q7), ""))</f>
        <v>13.75545730511252</v>
      </c>
      <c r="I7" s="66">
        <f ca="1">IF($A7="", "",IFERROR(SUM($U7:$W7), ""))</f>
        <v>15.571577575503468</v>
      </c>
      <c r="J7" s="66">
        <f ca="1">IF($A7="", "", IFERROR(SUM($Z7:$AA7), ""))</f>
        <v>16.039062133915458</v>
      </c>
      <c r="K7" s="66">
        <f ca="1">IF($A7="", "", IFERROR(SUM($AI7:$AO7), ""))</f>
        <v>7.0194318426952442</v>
      </c>
      <c r="L7" s="66">
        <f>IF($A7="", "", IFERROR(SUM($AQ7), ""))</f>
        <v>7.2446999999999999</v>
      </c>
      <c r="M7" s="68">
        <f ca="1">IF($A7="", "", IFERROR(SUM($AR7)*SUM($G7:$L7), ""))</f>
        <v>8.3824878969367536</v>
      </c>
      <c r="N7" s="69">
        <f>IF('Personalized Bill Menu'!$B$34&lt;&gt;"Natural Gas", 'Personalized Bill Menu'!$J4, "")</f>
        <v>15.284000000000001</v>
      </c>
      <c r="O7" s="70">
        <f>IF($A7="", "", IFERROR(($N7/100)*$C7, 0))</f>
        <v>108.01952908150838</v>
      </c>
      <c r="P7" s="71">
        <f ca="1">IF($A7="", "",IFERROR(IF(VLOOKUP($A7, INDIRECT("'" &amp; 'Personalized Bill Menu'!$B$22 &amp; "'!" &amp;"$A$4:$CA$100"), VLOOKUP(VLOOKUP(P$5,'Misc. Data &amp; Mechanisms'!$E$601:$I$631,HLOOKUP('Personalized Bill Menu'!$B$22, 'Misc. Data &amp; Mechanisms'!$E$599:$I$600, 2, FALSE), FALSE), 'Misc. Data &amp; Mechanisms'!$A$599:$C$659, 2, FALSE), FALSE) = "", "", VLOOKUP($A7, INDIRECT("'" &amp; 'Personalized Bill Menu'!$B$22 &amp; "'!" &amp;"$A$4:$CA$100"), VLOOKUP(VLOOKUP(P$5,'Misc. Data &amp; Mechanisms'!$E$601:$I$631,HLOOKUP('Personalized Bill Menu'!$B$22, 'Misc. Data &amp; Mechanisms'!$E$599:$I$600, 2, FALSE), FALSE), 'Misc. Data &amp; Mechanisms'!$A$599:$C$659, 2, FALSE), FALSE)), ""))</f>
        <v>1.9462999999999999</v>
      </c>
      <c r="Q7" s="72">
        <f ca="1">IF($A7="", "", IFERROR(($P7/100)*$C7, 0))</f>
        <v>13.75545730511252</v>
      </c>
      <c r="R7" s="73">
        <f ca="1">IF($A7="", "",IFERROR(IF(VLOOKUP($A7, INDIRECT("'" &amp; 'Personalized Bill Menu'!$B$22 &amp; "'!" &amp;"$A$4:$CA$100"), VLOOKUP(VLOOKUP(R$5,'Misc. Data &amp; Mechanisms'!$E$601:$I$631,HLOOKUP('Personalized Bill Menu'!$B$22, 'Misc. Data &amp; Mechanisms'!$E$599:$I$600, 2, FALSE), FALSE), 'Misc. Data &amp; Mechanisms'!$A$599:$C$659, 2, FALSE), FALSE) = "", "", VLOOKUP($A7, INDIRECT("'" &amp; 'Personalized Bill Menu'!$B$22 &amp; "'!" &amp;"$A$4:$CA$100"), VLOOKUP(VLOOKUP(R$5,'Misc. Data &amp; Mechanisms'!$E$601:$I$631,HLOOKUP('Personalized Bill Menu'!$B$22, 'Misc. Data &amp; Mechanisms'!$E$599:$I$600, 2, FALSE), FALSE), 'Misc. Data &amp; Mechanisms'!$A$599:$C$659, 2, FALSE), FALSE)), ""))</f>
        <v>0.69679999999999997</v>
      </c>
      <c r="S7" s="74">
        <f ca="1">IF($A7="", "",IFERROR(IF(VLOOKUP($A7, INDIRECT("'" &amp; 'Personalized Bill Menu'!$B$22 &amp; "'!" &amp;"$A$4:$CA$100"), VLOOKUP(VLOOKUP(S$5,'Misc. Data &amp; Mechanisms'!$E$601:$I$631,HLOOKUP('Personalized Bill Menu'!$B$22, 'Misc. Data &amp; Mechanisms'!$E$599:$I$600, 2, FALSE), FALSE), 'Misc. Data &amp; Mechanisms'!$A$599:$C$659, 2, FALSE), FALSE) = "", "", VLOOKUP($A7, INDIRECT("'" &amp; 'Personalized Bill Menu'!$B$22 &amp; "'!" &amp;"$A$4:$CA$100"), VLOOKUP(VLOOKUP(S$5,'Misc. Data &amp; Mechanisms'!$E$601:$I$631,HLOOKUP('Personalized Bill Menu'!$B$22, 'Misc. Data &amp; Mechanisms'!$E$599:$I$600, 2, FALSE), FALSE), 'Misc. Data &amp; Mechanisms'!$A$599:$C$659, 2, FALSE), FALSE)), ""))</f>
        <v>0.34344999999999998</v>
      </c>
      <c r="T7" s="75" t="str">
        <f ca="1">IF($A7="", "",IFERROR(IF(VLOOKUP($A7, INDIRECT("'" &amp; 'Personalized Bill Menu'!$B$22 &amp; "'!" &amp;"$A$4:$CA$100"), VLOOKUP(VLOOKUP(T$5,'Misc. Data &amp; Mechanisms'!$E$601:$I$631,HLOOKUP('Personalized Bill Menu'!$B$22, 'Misc. Data &amp; Mechanisms'!$E$599:$I$600, 2, FALSE), FALSE), 'Misc. Data &amp; Mechanisms'!$A$599:$C$659, 2, FALSE), FALSE) = "", "", VLOOKUP($A7, INDIRECT("'" &amp; 'Personalized Bill Menu'!$B$22 &amp; "'!" &amp;"$A$4:$CA$100"), VLOOKUP(VLOOKUP(T$5,'Misc. Data &amp; Mechanisms'!$E$601:$I$631,HLOOKUP('Personalized Bill Menu'!$B$22, 'Misc. Data &amp; Mechanisms'!$E$599:$I$600, 2, FALSE), FALSE), 'Misc. Data &amp; Mechanisms'!$A$599:$C$659, 2, FALSE), FALSE)), ""))</f>
        <v/>
      </c>
      <c r="U7" s="76">
        <f ca="1">IF($A7="", "", IFERROR(($R7/100)*$C7, 0))</f>
        <v>4.9246275755034699</v>
      </c>
      <c r="V7" s="76">
        <f ca="1">IF($A7="", "", IFERROR(IF($S$6="$/day", $S7*$B7, ($S7/100)*$B7),0))</f>
        <v>10.646949999999999</v>
      </c>
      <c r="W7" s="77" t="str">
        <f>IF($A7="", "", IFERROR(IF($T$6="", "", ($T7/100)*$B7),0))</f>
        <v/>
      </c>
      <c r="X7" s="78">
        <f>IFERROR(IF(VLOOKUP($A7,'Misc. Data &amp; Mechanisms'!$A$63:$DY$152,HLOOKUP('Personalized Bill Menu'!$B$21&amp;"_"&amp;'Personalized Bill Menu'!$B$22&amp;"_Elec_Y_1",'Misc. Data &amp; Mechanisms'!$A$55:$DY$62,8,FALSE), FALSE)="", "", VLOOKUP($A7,'Misc. Data &amp; Mechanisms'!$A$63:$DY$152,HLOOKUP('Personalized Bill Menu'!$B$21&amp;"_"&amp;'Personalized Bill Menu'!$B$22&amp;"_Elec_Y_1",'Misc. Data &amp; Mechanisms'!$A$55:$DY$62,8,FALSE), FALSE)), "")</f>
        <v>0.1111</v>
      </c>
      <c r="Y7" s="78" t="str">
        <f>IFERROR(IF(VLOOKUP($A7,'Misc. Data &amp; Mechanisms'!$A$63:$DY$152,HLOOKUP('Personalized Bill Menu'!$B$21&amp;"_"&amp;'Personalized Bill Menu'!$B$22&amp;"_Elec_Y_2",'Misc. Data &amp; Mechanisms'!$A$55:$DY$62,8,FALSE), FALSE)="", "", VLOOKUP($A7,'Misc. Data &amp; Mechanisms'!$A$63:$DY$152,HLOOKUP('Personalized Bill Menu'!$B$21&amp;"_"&amp;'Personalized Bill Menu'!$B$22&amp;"_Elec_Y_2",'Misc. Data &amp; Mechanisms'!$A$55:$DY$62,8,FALSE), FALSE)), "")</f>
        <v/>
      </c>
      <c r="Z7" s="72">
        <f ca="1">IF($A7="", "",IFERROR(IF(OR('Personalized Bill Menu'!$B$22="FORTIS", 'Personalized Bill Menu'!$B$22="ATCO"), $X7*($H7+$I7), IF('Personalized Bill Menu'!$B$22="ENMAX",$X7*($H7+$I7+$K7),($X7/100)*$C7)), 0))</f>
        <v>4.0380924529598783</v>
      </c>
      <c r="AA7" s="72">
        <f>IF($A7="", "", IFERROR(IF(OR('Personalized Bill Menu'!$B$22="FORTIS", 'Personalized Bill Menu'!$B$22="ATCO"), $Y7*($H7+$I7), IF('Personalized Bill Menu'!$B$22="ENMAX",$X7*$G7,"")), 0))</f>
        <v>12.000969680955581</v>
      </c>
      <c r="AB7" s="79">
        <f ca="1">IF($A7="", "",IFERROR(IF(VLOOKUP($A7, INDIRECT("'" &amp; 'Personalized Bill Menu'!$B$22 &amp; "'!" &amp;"$A$4:$CA$100"), VLOOKUP(VLOOKUP("RIDER RATE 1",'Misc. Data &amp; Mechanisms'!$E$601:$I$631,HLOOKUP('Personalized Bill Menu'!$B$22, 'Misc. Data &amp; Mechanisms'!$E$599:$I$600, 2, FALSE), FALSE), 'Misc. Data &amp; Mechanisms'!$A$599:$C$659, 2, FALSE), FALSE) = "", "", VLOOKUP($A7, INDIRECT("'" &amp; 'Personalized Bill Menu'!$B$22 &amp; "'!" &amp;"$A$4:$CA$100"), VLOOKUP(VLOOKUP("RIDER RATE 1",'Misc. Data &amp; Mechanisms'!$E$601:$I$631,HLOOKUP('Personalized Bill Menu'!$B$22, 'Misc. Data &amp; Mechanisms'!$E$599:$I$600, 2, FALSE), FALSE), 'Misc. Data &amp; Mechanisms'!$A$599:$C$659, 2, FALSE), FALSE)), ""))</f>
        <v>-0.56559999999999999</v>
      </c>
      <c r="AC7" s="80">
        <f ca="1">IF($A7="", "",IFERROR(IF(VLOOKUP($A7, INDIRECT("'" &amp; 'Personalized Bill Menu'!$B$22 &amp; "'!" &amp;"$A$4:$CA$100"), VLOOKUP(VLOOKUP("RIDER RATE 2",'Misc. Data &amp; Mechanisms'!$E$601:$I$631,HLOOKUP('Personalized Bill Menu'!$B$22, 'Misc. Data &amp; Mechanisms'!$E$599:$I$600, 2, FALSE), FALSE), 'Misc. Data &amp; Mechanisms'!$A$599:$C$659, 2, FALSE), FALSE) = "", "", VLOOKUP($A7, INDIRECT("'" &amp; 'Personalized Bill Menu'!$B$22 &amp; "'!" &amp;"$A$4:$CA$100"), VLOOKUP(VLOOKUP("RIDER RATE 2",'Misc. Data &amp; Mechanisms'!$E$601:$I$631,HLOOKUP('Personalized Bill Menu'!$B$22, 'Misc. Data &amp; Mechanisms'!$E$599:$I$600, 2, FALSE), FALSE), 'Misc. Data &amp; Mechanisms'!$A$599:$C$659, 2, FALSE), FALSE)), ""))</f>
        <v>1.5588</v>
      </c>
      <c r="AD7" s="80" t="str">
        <f ca="1">IF($A7="", "",IFERROR(IF(VLOOKUP($A7, INDIRECT("'" &amp; 'Personalized Bill Menu'!$B$22 &amp; "'!" &amp;"$A$4:$CA$100"), VLOOKUP(VLOOKUP("RIDER RATE 3",'Misc. Data &amp; Mechanisms'!$E$601:$I$631,HLOOKUP('Personalized Bill Menu'!$B$22, 'Misc. Data &amp; Mechanisms'!$E$599:$I$600, 2, FALSE), FALSE), 'Misc. Data &amp; Mechanisms'!$A$599:$C$659, 2, FALSE), FALSE) = "", "", VLOOKUP($A7, INDIRECT("'" &amp; 'Personalized Bill Menu'!$B$22 &amp; "'!" &amp;"$A$4:$CA$100"), VLOOKUP(VLOOKUP("RIDER RATE 3",'Misc. Data &amp; Mechanisms'!$E$601:$I$631,HLOOKUP('Personalized Bill Menu'!$B$22, 'Misc. Data &amp; Mechanisms'!$E$599:$I$600, 2, FALSE), FALSE), 'Misc. Data &amp; Mechanisms'!$A$599:$C$659, 2, FALSE), FALSE)), ""))</f>
        <v/>
      </c>
      <c r="AE7" s="80" t="str">
        <f ca="1">IF($A7="", "",IFERROR(IF(VLOOKUP($A7, INDIRECT("'" &amp; 'Personalized Bill Menu'!$B$22 &amp; "'!" &amp;"$A$4:$CA$100"), VLOOKUP(VLOOKUP("RIDER RATE 4",'Misc. Data &amp; Mechanisms'!$E$601:$I$631,HLOOKUP('Personalized Bill Menu'!$B$22, 'Misc. Data &amp; Mechanisms'!$E$599:$I$600, 2, FALSE), FALSE), 'Misc. Data &amp; Mechanisms'!$A$599:$C$659, 2, FALSE), FALSE) = "", "", VLOOKUP($A7, INDIRECT("'" &amp; 'Personalized Bill Menu'!$B$22 &amp; "'!" &amp;"$A$4:$CA$100"), VLOOKUP(VLOOKUP("RIDER RATE 4",'Misc. Data &amp; Mechanisms'!$E$601:$I$631,HLOOKUP('Personalized Bill Menu'!$B$22, 'Misc. Data &amp; Mechanisms'!$E$599:$I$600, 2, FALSE), FALSE), 'Misc. Data &amp; Mechanisms'!$A$599:$C$659, 2, FALSE), FALSE)), ""))</f>
        <v/>
      </c>
      <c r="AF7" s="52" t="str">
        <f ca="1">IF($A7="", "",IFERROR(IF(VLOOKUP($A7, INDIRECT("'" &amp; 'Personalized Bill Menu'!$B$22 &amp; "'!" &amp;"$A$4:$CA$100"), VLOOKUP(VLOOKUP("RIDER RATE 5",'Misc. Data &amp; Mechanisms'!$E$601:$I$631,HLOOKUP('Personalized Bill Menu'!$B$22, 'Misc. Data &amp; Mechanisms'!$E$599:$I$600, 2, FALSE), FALSE), 'Misc. Data &amp; Mechanisms'!$A$599:$C$659, 2, FALSE), FALSE) = "", "", VLOOKUP($A7, INDIRECT("'" &amp; 'Personalized Bill Menu'!$B$22 &amp; "'!" &amp;"$A$4:$CA$100"), VLOOKUP(VLOOKUP("RIDER RATE 5",'Misc. Data &amp; Mechanisms'!$E$601:$I$631,HLOOKUP('Personalized Bill Menu'!$B$22, 'Misc. Data &amp; Mechanisms'!$E$599:$I$600, 2, FALSE), FALSE), 'Misc. Data &amp; Mechanisms'!$A$599:$C$659, 2, FALSE), FALSE)), ""))</f>
        <v/>
      </c>
      <c r="AG7" s="52" t="str">
        <f ca="1">IF($A7="", "",IFERROR(IF(VLOOKUP($A7, INDIRECT("'" &amp; 'Personalized Bill Menu'!$B$22 &amp; "'!" &amp;"$A$4:$CA$100"), VLOOKUP(VLOOKUP("RIDER RATE 6",'Misc. Data &amp; Mechanisms'!$E$601:$I$631,HLOOKUP('Personalized Bill Menu'!$B$22, 'Misc. Data &amp; Mechanisms'!$E$599:$I$600, 2, FALSE), FALSE), 'Misc. Data &amp; Mechanisms'!$A$599:$C$659, 2, FALSE), FALSE) = "", "", VLOOKUP($A7, INDIRECT("'" &amp; 'Personalized Bill Menu'!$B$22 &amp; "'!" &amp;"$A$4:$CA$100"), VLOOKUP(VLOOKUP("RIDER RATE 6",'Misc. Data &amp; Mechanisms'!$E$601:$I$631,HLOOKUP('Personalized Bill Menu'!$B$22, 'Misc. Data &amp; Mechanisms'!$E$599:$I$600, 2, FALSE), FALSE), 'Misc. Data &amp; Mechanisms'!$A$599:$C$659, 2, FALSE), FALSE)), ""))</f>
        <v/>
      </c>
      <c r="AH7" s="52" t="str">
        <f ca="1">IF($A7="", "",IFERROR(IF(VLOOKUP($A7, INDIRECT("'" &amp; 'Personalized Bill Menu'!$B$22 &amp; "'!" &amp;"$A$4:$CA$100"), VLOOKUP(VLOOKUP("RIDER RATE 7",'Misc. Data &amp; Mechanisms'!$E$601:$I$631,HLOOKUP('Personalized Bill Menu'!$B$22, 'Misc. Data &amp; Mechanisms'!$E$599:$I$600, 2, FALSE), FALSE), 'Misc. Data &amp; Mechanisms'!$A$599:$C$659, 2, FALSE), FALSE) = "", "", VLOOKUP($A7, INDIRECT("'" &amp; 'Personalized Bill Menu'!$B$22 &amp; "'!" &amp;"$A$4:$CA$100"), VLOOKUP(VLOOKUP("RIDER RATE 7",'Misc. Data &amp; Mechanisms'!$E$601:$I$631,HLOOKUP('Personalized Bill Menu'!$B$22, 'Misc. Data &amp; Mechanisms'!$E$599:$I$600, 2, FALSE), FALSE), 'Misc. Data &amp; Mechanisms'!$A$599:$C$659, 2, FALSE), FALSE)), ""))</f>
        <v/>
      </c>
      <c r="AI7" s="76">
        <f ca="1">IF($A7="", "", IFERROR(($AB7/100)*$C7, 0))</f>
        <v>-3.99737278516757</v>
      </c>
      <c r="AJ7" s="76">
        <f ca="1">IF($A7="", "", IFERROR(IF($AC$6="%",$AC7*$H7,($AC7/100)*$C7), 0))</f>
        <v>11.016804627862815</v>
      </c>
      <c r="AK7" s="76">
        <f ca="1">IF($A7="", "", IFERROR(IF($AD$6="%",IF('Personalized Bill Menu'!$B$22="ENMAX", $AD7*$I7, IF(AND($AD7="", 'Personalized Bill Menu'!$B$22="FORTIS"),($AE7/100)*$C7,$AD7*$H7)),($AD7/100)*$C7), 0))</f>
        <v>0</v>
      </c>
      <c r="AL7" s="76">
        <f ca="1">IF($A7="", "", IFERROR(IF('Personalized Bill Menu'!$B$22="ENMAX",$AE7*$B7,IF($AE$6="%",$AE7*($H7+$I7+$J7), IF('Personalized Bill Menu'!$B$22="FORTIS",$AF7*$I7,($AE7/100)*$C7))), 0))</f>
        <v>0</v>
      </c>
      <c r="AM7" s="76" t="str">
        <f>IF($A7="", "", IFERROR(IF('Personalized Bill Menu'!$B$22="EPCOR",($AF7/100)*$C7, IF('Personalized Bill Menu'!$B$22="ATCO",$AF7*1,"")), 0))</f>
        <v/>
      </c>
      <c r="AN7" s="76" t="str">
        <f>IF($A7="", "", IFERROR(IF('Personalized Bill Menu'!$B$22="ATCO",$AG7*$B7,""), 0))</f>
        <v/>
      </c>
      <c r="AO7" s="77" t="str">
        <f>IF($A7="", "", IFERROR(IF('Personalized Bill Menu'!$B$22="ATCO",$AH7*$B7,""), 0))</f>
        <v/>
      </c>
      <c r="AP7" s="81">
        <f>IF('Personalized Bill Menu'!$B$34&lt;&gt;"Natural Gas", 'Personalized Bill Menu'!$K4, "")</f>
        <v>0.23369999999999999</v>
      </c>
      <c r="AQ7" s="72">
        <f>IF($A7="", "", IFERROR(IF($AP$6="$/day", $AP7*$B7, $AP7),0))</f>
        <v>7.2446999999999999</v>
      </c>
      <c r="AR7" s="82">
        <f ca="1">IF($A7="", "",IF(VLOOKUP($A7, INDIRECT("'" &amp; 'Personalized Bill Menu'!$B$22 &amp; "'!" &amp;"$A$4:$CA$100"), VLOOKUP(VLOOKUP(AR$5,'Misc. Data &amp; Mechanisms'!$E$601:$I$631,HLOOKUP('Personalized Bill Menu'!$B$22, 'Misc. Data &amp; Mechanisms'!$E$599:$I$600, 2, FALSE), FALSE), 'Misc. Data &amp; Mechanisms'!$A$599:$C$659, 2, FALSE), FALSE) = "", "", VLOOKUP($A7, INDIRECT("'" &amp; 'Personalized Bill Menu'!$B$22 &amp; "'!" &amp;"$A$4:$CA$100"), VLOOKUP(VLOOKUP(AR$5,'Misc. Data &amp; Mechanisms'!$E$601:$I$631,HLOOKUP('Personalized Bill Menu'!$B$22, 'Misc. Data &amp; Mechanisms'!$E$599:$I$600, 2, FALSE), FALSE), 'Misc. Data &amp; Mechanisms'!$A$599:$C$659, 2, FALSE), FALSE)))</f>
        <v>0.05</v>
      </c>
      <c r="AS7" s="2"/>
      <c r="AT7" s="2"/>
      <c r="AU7" s="2"/>
      <c r="AV7" s="2"/>
      <c r="AW7" s="2"/>
    </row>
    <row r="8" spans="1:49" ht="15" x14ac:dyDescent="0.25">
      <c r="A8" s="83">
        <f>'Personalized Bill Menu'!$H5</f>
        <v>40940</v>
      </c>
      <c r="B8" s="84">
        <f t="shared" ref="B8:B71" si="0">IFERROR(DAY(DATE(YEAR($A8),MONTH($A8)+1,1)-1), "")</f>
        <v>29</v>
      </c>
      <c r="C8" s="85">
        <f>IF('Personalized Bill Menu'!$B$34&lt;&gt;"Natural Gas", 'Personalized Bill Menu'!$I5, "")</f>
        <v>631.50245411531682</v>
      </c>
      <c r="D8" s="66">
        <f ca="1">IFERROR(($F8*100)/$C8, "")</f>
        <v>23.180724157753573</v>
      </c>
      <c r="E8" s="66">
        <f ca="1">IFERROR((1+$AR8)*(IF('Personalized Bill Menu'!$B$22="ENMAX", ((1+IFERROR($X8, 0))*($N8+$P8+$R8+$AB8+$AC8))+((1+IF($X8="", 0,$X8))*(IF($AD8="", 0,$AD8)*$R8)), IF('Personalized Bill Menu'!$B$22="EPCOR", ($N8+$P8+$R8+$X8+SUM($AB8:$AE8)), IF('Personalized Bill Menu'!$B$22="ATCO",($N8+((1+IF($AE8="", 0,$AE8))*(1+$X8+$Y8)*($P8+$R8))+SUM($AB8:$AD8)),IF($AD8="",$N8+((1+$X8+$Y8)*($P8+$R8))+$AB8+$AE8+(IF($AC8="", 0, $AC8)*$P8)+($R8*IF($AF8="", 0, $AF8)),$N8+((1+$X8+$Y8)*($P8+$R8))+$AB8+($AD8*$P8)+(IF($AC8="", 0, $AC8)*$P8)+($R8*IF($AF8="", 0, $AF8))))))), "")</f>
        <v>20.213814526499998</v>
      </c>
      <c r="F8" s="1469">
        <f t="shared" ref="F8:F71" ca="1" si="1">IF($A8="", "", IFERROR(SUM($G8:$M8), ""))</f>
        <v>146.38684193791593</v>
      </c>
      <c r="G8" s="66">
        <f t="shared" ref="G8:G70" si="2">IF($A8="", "", IFERROR(SUM($O8), ""))</f>
        <v>86.452685968386874</v>
      </c>
      <c r="H8" s="66">
        <f t="shared" ref="H8:H71" ca="1" si="3">IF($A8="", "", IFERROR(SUM($Q8), ""))</f>
        <v>12.290932264446409</v>
      </c>
      <c r="I8" s="66">
        <f t="shared" ref="I8:I71" ca="1" si="4">IF($A8="", "",IFERROR(SUM($U8:$W8), ""))</f>
        <v>14.360359100275527</v>
      </c>
      <c r="J8" s="66">
        <f t="shared" ref="J8:J71" ca="1" si="5">IF($A8="", "", IFERROR(SUM($Z8:$AA8), ""))</f>
        <v>13.262680233490155</v>
      </c>
      <c r="K8" s="66">
        <f t="shared" ref="K8:K71" ca="1" si="6">IF($A8="", "", IFERROR(SUM($AI8:$AO8), ""))</f>
        <v>6.2720823742733263</v>
      </c>
      <c r="L8" s="66">
        <f t="shared" ref="L8:L71" si="7">IF($A8="", "", IFERROR(SUM($AQ8), ""))</f>
        <v>6.7772999999999994</v>
      </c>
      <c r="M8" s="68">
        <f t="shared" ref="M8:M71" ca="1" si="8">IF($A8="", "", IFERROR(SUM($AR8)*SUM($G8:$L8), ""))</f>
        <v>6.9708019970436155</v>
      </c>
      <c r="N8" s="69">
        <f>IF('Personalized Bill Menu'!$B$34&lt;&gt;"Natural Gas", 'Personalized Bill Menu'!$J5, "")</f>
        <v>13.69</v>
      </c>
      <c r="O8" s="70">
        <f t="shared" ref="O8:O71" si="9">IF($A8="", "", IFERROR(($N8/100)*$C8, 0))</f>
        <v>86.452685968386874</v>
      </c>
      <c r="P8" s="71">
        <f ca="1">IF($A8="", "",IFERROR(IF(VLOOKUP($A8, INDIRECT("'" &amp; 'Personalized Bill Menu'!$B$22 &amp; "'!" &amp;"$A$4:$CA$100"), VLOOKUP(VLOOKUP(P$5,'Misc. Data &amp; Mechanisms'!$E$601:$I$631,HLOOKUP('Personalized Bill Menu'!$B$22, 'Misc. Data &amp; Mechanisms'!$E$599:$I$600, 2, FALSE), FALSE), 'Misc. Data &amp; Mechanisms'!$A$599:$C$659, 2, FALSE), FALSE) = "", "", VLOOKUP($A8, INDIRECT("'" &amp; 'Personalized Bill Menu'!$B$22 &amp; "'!" &amp;"$A$4:$CA$100"), VLOOKUP(VLOOKUP(P$5,'Misc. Data &amp; Mechanisms'!$E$601:$I$631,HLOOKUP('Personalized Bill Menu'!$B$22, 'Misc. Data &amp; Mechanisms'!$E$599:$I$600, 2, FALSE), FALSE), 'Misc. Data &amp; Mechanisms'!$A$599:$C$659, 2, FALSE), FALSE)), ""))</f>
        <v>1.9462999999999999</v>
      </c>
      <c r="Q8" s="72">
        <f t="shared" ref="Q8:Q71" ca="1" si="10">IF($A8="", "", IFERROR(($P8/100)*$C8, 0))</f>
        <v>12.290932264446409</v>
      </c>
      <c r="R8" s="87">
        <f ca="1">IF($A8="", "",IFERROR(IF(VLOOKUP($A8, INDIRECT("'" &amp; 'Personalized Bill Menu'!$B$22 &amp; "'!" &amp;"$A$4:$CA$100"), VLOOKUP(VLOOKUP(R$5,'Misc. Data &amp; Mechanisms'!$E$601:$I$631,HLOOKUP('Personalized Bill Menu'!$B$22, 'Misc. Data &amp; Mechanisms'!$E$599:$I$600, 2, FALSE), FALSE), 'Misc. Data &amp; Mechanisms'!$A$599:$C$659, 2, FALSE), FALSE) = "", "", VLOOKUP($A8, INDIRECT("'" &amp; 'Personalized Bill Menu'!$B$22 &amp; "'!" &amp;"$A$4:$CA$100"), VLOOKUP(VLOOKUP(R$5,'Misc. Data &amp; Mechanisms'!$E$601:$I$631,HLOOKUP('Personalized Bill Menu'!$B$22, 'Misc. Data &amp; Mechanisms'!$E$599:$I$600, 2, FALSE), FALSE), 'Misc. Data &amp; Mechanisms'!$A$599:$C$659, 2, FALSE), FALSE)), ""))</f>
        <v>0.69679999999999997</v>
      </c>
      <c r="S8" s="88">
        <f ca="1">IF($A8="", "",IFERROR(IF(VLOOKUP($A8, INDIRECT("'" &amp; 'Personalized Bill Menu'!$B$22 &amp; "'!" &amp;"$A$4:$CA$100"), VLOOKUP(VLOOKUP(S$5,'Misc. Data &amp; Mechanisms'!$E$601:$I$631,HLOOKUP('Personalized Bill Menu'!$B$22, 'Misc. Data &amp; Mechanisms'!$E$599:$I$600, 2, FALSE), FALSE), 'Misc. Data &amp; Mechanisms'!$A$599:$C$659, 2, FALSE), FALSE) = "", "", VLOOKUP($A8, INDIRECT("'" &amp; 'Personalized Bill Menu'!$B$22 &amp; "'!" &amp;"$A$4:$CA$100"), VLOOKUP(VLOOKUP(S$5,'Misc. Data &amp; Mechanisms'!$E$601:$I$631,HLOOKUP('Personalized Bill Menu'!$B$22, 'Misc. Data &amp; Mechanisms'!$E$599:$I$600, 2, FALSE), FALSE), 'Misc. Data &amp; Mechanisms'!$A$599:$C$659, 2, FALSE), FALSE)), ""))</f>
        <v>0.34344999999999998</v>
      </c>
      <c r="T8" s="81" t="str">
        <f ca="1">IF($A8="", "",IFERROR(IF(VLOOKUP($A8, INDIRECT("'" &amp; 'Personalized Bill Menu'!$B$22 &amp; "'!" &amp;"$A$4:$CA$100"), VLOOKUP(VLOOKUP(T$5,'Misc. Data &amp; Mechanisms'!$E$601:$I$631,HLOOKUP('Personalized Bill Menu'!$B$22, 'Misc. Data &amp; Mechanisms'!$E$599:$I$600, 2, FALSE), FALSE), 'Misc. Data &amp; Mechanisms'!$A$599:$C$659, 2, FALSE), FALSE) = "", "", VLOOKUP($A8, INDIRECT("'" &amp; 'Personalized Bill Menu'!$B$22 &amp; "'!" &amp;"$A$4:$CA$100"), VLOOKUP(VLOOKUP(T$5,'Misc. Data &amp; Mechanisms'!$E$601:$I$631,HLOOKUP('Personalized Bill Menu'!$B$22, 'Misc. Data &amp; Mechanisms'!$E$599:$I$600, 2, FALSE), FALSE), 'Misc. Data &amp; Mechanisms'!$A$599:$C$659, 2, FALSE), FALSE)), ""))</f>
        <v/>
      </c>
      <c r="U8" s="72">
        <f t="shared" ref="U8:U71" ca="1" si="11">IF($A8="", "", IFERROR(($R8/100)*$C8, 0))</f>
        <v>4.4003091002755275</v>
      </c>
      <c r="V8" s="72">
        <f t="shared" ref="V8:V71" ca="1" si="12">IF($A8="", "", IFERROR(IF($S$6="$/day", $S8*$B8, ($S8/100)*$B8),0))</f>
        <v>9.960049999999999</v>
      </c>
      <c r="W8" s="70" t="str">
        <f t="shared" ref="W8:W71" si="13">IF($A8="", "", IFERROR(IF($T$6="", "", ($T8/100)*$B8),0))</f>
        <v/>
      </c>
      <c r="X8" s="78">
        <f>IFERROR(IF(VLOOKUP($A8,'Misc. Data &amp; Mechanisms'!$A$63:$DY$152,HLOOKUP('Personalized Bill Menu'!$B$21&amp;"_"&amp;'Personalized Bill Menu'!$B$22&amp;"_Elec_Y_1",'Misc. Data &amp; Mechanisms'!$A$55:$DY$62,8,FALSE), FALSE)="", "", VLOOKUP($A8,'Misc. Data &amp; Mechanisms'!$A$63:$DY$152,HLOOKUP('Personalized Bill Menu'!$B$21&amp;"_"&amp;'Personalized Bill Menu'!$B$22&amp;"_Elec_Y_1",'Misc. Data &amp; Mechanisms'!$A$55:$DY$62,8,FALSE), FALSE)), "")</f>
        <v>0.1111</v>
      </c>
      <c r="Y8" s="78" t="str">
        <f>IFERROR(IF(VLOOKUP($A8,'Misc. Data &amp; Mechanisms'!$A$63:$DY$152,HLOOKUP('Personalized Bill Menu'!$B$21&amp;"_"&amp;'Personalized Bill Menu'!$B$22&amp;"_Elec_Y_2",'Misc. Data &amp; Mechanisms'!$A$55:$DY$62,8,FALSE), FALSE)="", "", VLOOKUP($A8,'Misc. Data &amp; Mechanisms'!$A$63:$DY$152,HLOOKUP('Personalized Bill Menu'!$B$21&amp;"_"&amp;'Personalized Bill Menu'!$B$22&amp;"_Elec_Y_2",'Misc. Data &amp; Mechanisms'!$A$55:$DY$62,8,FALSE), FALSE)), "")</f>
        <v/>
      </c>
      <c r="Z8" s="72">
        <f ca="1">IF($A8="", "",IFERROR(IF(OR('Personalized Bill Menu'!$B$22="FORTIS", 'Personalized Bill Menu'!$B$22="ATCO"), $X8*($H8+$I8), IF('Personalized Bill Menu'!$B$22="ENMAX",$X8*($H8+$I8+$K8),($X8/100)*$C8)), 0))</f>
        <v>3.6577868224023735</v>
      </c>
      <c r="AA8" s="72">
        <f>IF($A8="", "", IFERROR(IF(OR('Personalized Bill Menu'!$B$22="FORTIS", 'Personalized Bill Menu'!$B$22="ATCO"), $Y8*($H8+$I8), IF('Personalized Bill Menu'!$B$22="ENMAX",$X8*$G8,"")), 0))</f>
        <v>9.6048934110877813</v>
      </c>
      <c r="AB8" s="89">
        <f ca="1">IF($A8="", "",IFERROR(IF(VLOOKUP($A8, INDIRECT("'" &amp; 'Personalized Bill Menu'!$B$22 &amp; "'!" &amp;"$A$4:$CA$100"), VLOOKUP(VLOOKUP("RIDER RATE 1",'Misc. Data &amp; Mechanisms'!$E$601:$I$631,HLOOKUP('Personalized Bill Menu'!$B$22, 'Misc. Data &amp; Mechanisms'!$E$599:$I$600, 2, FALSE), FALSE), 'Misc. Data &amp; Mechanisms'!$A$599:$C$659, 2, FALSE), FALSE) = "", "", VLOOKUP($A8, INDIRECT("'" &amp; 'Personalized Bill Menu'!$B$22 &amp; "'!" &amp;"$A$4:$CA$100"), VLOOKUP(VLOOKUP("RIDER RATE 1",'Misc. Data &amp; Mechanisms'!$E$601:$I$631,HLOOKUP('Personalized Bill Menu'!$B$22, 'Misc. Data &amp; Mechanisms'!$E$599:$I$600, 2, FALSE), FALSE), 'Misc. Data &amp; Mechanisms'!$A$599:$C$659, 2, FALSE), FALSE)), ""))</f>
        <v>-0.56559999999999999</v>
      </c>
      <c r="AC8" s="69">
        <f ca="1">IF($A8="", "",IFERROR(IF(VLOOKUP($A8, INDIRECT("'" &amp; 'Personalized Bill Menu'!$B$22 &amp; "'!" &amp;"$A$4:$CA$100"), VLOOKUP(VLOOKUP("RIDER RATE 2",'Misc. Data &amp; Mechanisms'!$E$601:$I$631,HLOOKUP('Personalized Bill Menu'!$B$22, 'Misc. Data &amp; Mechanisms'!$E$599:$I$600, 2, FALSE), FALSE), 'Misc. Data &amp; Mechanisms'!$A$599:$C$659, 2, FALSE), FALSE) = "", "", VLOOKUP($A8, INDIRECT("'" &amp; 'Personalized Bill Menu'!$B$22 &amp; "'!" &amp;"$A$4:$CA$100"), VLOOKUP(VLOOKUP("RIDER RATE 2",'Misc. Data &amp; Mechanisms'!$E$601:$I$631,HLOOKUP('Personalized Bill Menu'!$B$22, 'Misc. Data &amp; Mechanisms'!$E$599:$I$600, 2, FALSE), FALSE), 'Misc. Data &amp; Mechanisms'!$A$599:$C$659, 2, FALSE), FALSE)), ""))</f>
        <v>1.5588</v>
      </c>
      <c r="AD8" s="69" t="str">
        <f ca="1">IF($A8="", "",IFERROR(IF(VLOOKUP($A8, INDIRECT("'" &amp; 'Personalized Bill Menu'!$B$22 &amp; "'!" &amp;"$A$4:$CA$100"), VLOOKUP(VLOOKUP("RIDER RATE 3",'Misc. Data &amp; Mechanisms'!$E$601:$I$631,HLOOKUP('Personalized Bill Menu'!$B$22, 'Misc. Data &amp; Mechanisms'!$E$599:$I$600, 2, FALSE), FALSE), 'Misc. Data &amp; Mechanisms'!$A$599:$C$659, 2, FALSE), FALSE) = "", "", VLOOKUP($A8, INDIRECT("'" &amp; 'Personalized Bill Menu'!$B$22 &amp; "'!" &amp;"$A$4:$CA$100"), VLOOKUP(VLOOKUP("RIDER RATE 3",'Misc. Data &amp; Mechanisms'!$E$601:$I$631,HLOOKUP('Personalized Bill Menu'!$B$22, 'Misc. Data &amp; Mechanisms'!$E$599:$I$600, 2, FALSE), FALSE), 'Misc. Data &amp; Mechanisms'!$A$599:$C$659, 2, FALSE), FALSE)), ""))</f>
        <v/>
      </c>
      <c r="AE8" s="69" t="str">
        <f ca="1">IF($A8="", "",IFERROR(IF(VLOOKUP($A8, INDIRECT("'" &amp; 'Personalized Bill Menu'!$B$22 &amp; "'!" &amp;"$A$4:$CA$100"), VLOOKUP(VLOOKUP("RIDER RATE 4",'Misc. Data &amp; Mechanisms'!$E$601:$I$631,HLOOKUP('Personalized Bill Menu'!$B$22, 'Misc. Data &amp; Mechanisms'!$E$599:$I$600, 2, FALSE), FALSE), 'Misc. Data &amp; Mechanisms'!$A$599:$C$659, 2, FALSE), FALSE) = "", "", VLOOKUP($A8, INDIRECT("'" &amp; 'Personalized Bill Menu'!$B$22 &amp; "'!" &amp;"$A$4:$CA$100"), VLOOKUP(VLOOKUP("RIDER RATE 4",'Misc. Data &amp; Mechanisms'!$E$601:$I$631,HLOOKUP('Personalized Bill Menu'!$B$22, 'Misc. Data &amp; Mechanisms'!$E$599:$I$600, 2, FALSE), FALSE), 'Misc. Data &amp; Mechanisms'!$A$599:$C$659, 2, FALSE), FALSE)), ""))</f>
        <v/>
      </c>
      <c r="AF8" s="90" t="str">
        <f ca="1">IF($A8="", "",IFERROR(IF(VLOOKUP($A8, INDIRECT("'" &amp; 'Personalized Bill Menu'!$B$22 &amp; "'!" &amp;"$A$4:$CA$100"), VLOOKUP(VLOOKUP("RIDER RATE 5",'Misc. Data &amp; Mechanisms'!$E$601:$I$631,HLOOKUP('Personalized Bill Menu'!$B$22, 'Misc. Data &amp; Mechanisms'!$E$599:$I$600, 2, FALSE), FALSE), 'Misc. Data &amp; Mechanisms'!$A$599:$C$659, 2, FALSE), FALSE) = "", "", VLOOKUP($A8, INDIRECT("'" &amp; 'Personalized Bill Menu'!$B$22 &amp; "'!" &amp;"$A$4:$CA$100"), VLOOKUP(VLOOKUP("RIDER RATE 5",'Misc. Data &amp; Mechanisms'!$E$601:$I$631,HLOOKUP('Personalized Bill Menu'!$B$22, 'Misc. Data &amp; Mechanisms'!$E$599:$I$600, 2, FALSE), FALSE), 'Misc. Data &amp; Mechanisms'!$A$599:$C$659, 2, FALSE), FALSE)), ""))</f>
        <v/>
      </c>
      <c r="AG8" s="90" t="str">
        <f ca="1">IF($A8="", "",IFERROR(IF(VLOOKUP($A8, INDIRECT("'" &amp; 'Personalized Bill Menu'!$B$22 &amp; "'!" &amp;"$A$4:$CA$100"), VLOOKUP(VLOOKUP("RIDER RATE 6",'Misc. Data &amp; Mechanisms'!$E$601:$I$631,HLOOKUP('Personalized Bill Menu'!$B$22, 'Misc. Data &amp; Mechanisms'!$E$599:$I$600, 2, FALSE), FALSE), 'Misc. Data &amp; Mechanisms'!$A$599:$C$659, 2, FALSE), FALSE) = "", "", VLOOKUP($A8, INDIRECT("'" &amp; 'Personalized Bill Menu'!$B$22 &amp; "'!" &amp;"$A$4:$CA$100"), VLOOKUP(VLOOKUP("RIDER RATE 6",'Misc. Data &amp; Mechanisms'!$E$601:$I$631,HLOOKUP('Personalized Bill Menu'!$B$22, 'Misc. Data &amp; Mechanisms'!$E$599:$I$600, 2, FALSE), FALSE), 'Misc. Data &amp; Mechanisms'!$A$599:$C$659, 2, FALSE), FALSE)), ""))</f>
        <v/>
      </c>
      <c r="AH8" s="90" t="str">
        <f ca="1">IF($A8="", "",IFERROR(IF(VLOOKUP($A8, INDIRECT("'" &amp; 'Personalized Bill Menu'!$B$22 &amp; "'!" &amp;"$A$4:$CA$100"), VLOOKUP(VLOOKUP("RIDER RATE 7",'Misc. Data &amp; Mechanisms'!$E$601:$I$631,HLOOKUP('Personalized Bill Menu'!$B$22, 'Misc. Data &amp; Mechanisms'!$E$599:$I$600, 2, FALSE), FALSE), 'Misc. Data &amp; Mechanisms'!$A$599:$C$659, 2, FALSE), FALSE) = "", "", VLOOKUP($A8, INDIRECT("'" &amp; 'Personalized Bill Menu'!$B$22 &amp; "'!" &amp;"$A$4:$CA$100"), VLOOKUP(VLOOKUP("RIDER RATE 7",'Misc. Data &amp; Mechanisms'!$E$601:$I$631,HLOOKUP('Personalized Bill Menu'!$B$22, 'Misc. Data &amp; Mechanisms'!$E$599:$I$600, 2, FALSE), FALSE), 'Misc. Data &amp; Mechanisms'!$A$599:$C$659, 2, FALSE), FALSE)), ""))</f>
        <v/>
      </c>
      <c r="AI8" s="72">
        <f t="shared" ref="AI8:AI71" ca="1" si="14">IF($A8="", "", IFERROR(($AB8/100)*$C8, 0))</f>
        <v>-3.5717778804762315</v>
      </c>
      <c r="AJ8" s="72">
        <f t="shared" ref="AJ8:AJ71" ca="1" si="15">IF($A8="", "", IFERROR(IF($AC$6="%",$AC8*$H8,($AC8/100)*$C8), 0))</f>
        <v>9.8438602547495577</v>
      </c>
      <c r="AK8" s="72">
        <f ca="1">IF($A8="", "", IFERROR(IF($AD$6="%",IF('Personalized Bill Menu'!$B$22="ENMAX", $AD8*$I8, IF(AND($AD8="", 'Personalized Bill Menu'!$B$22="FORTIS"),($AE8/100)*$C8,$AD8*$H8)),($AD8/100)*$C8), 0))</f>
        <v>0</v>
      </c>
      <c r="AL8" s="72">
        <f ca="1">IF($A8="", "", IFERROR(IF('Personalized Bill Menu'!$B$22="ENMAX",$AE8*$B8,IF($AE$6="%",$AE8*($H8+$I8+$J8), IF('Personalized Bill Menu'!$B$22="FORTIS",$AF8*$I8,($AE8/100)*$C8))), 0))</f>
        <v>0</v>
      </c>
      <c r="AM8" s="72" t="str">
        <f>IF($A8="", "", IFERROR(IF('Personalized Bill Menu'!$B$22="EPCOR",($AF8/100)*$C8, IF('Personalized Bill Menu'!$B$22="ATCO",$AF8*1,"")), 0))</f>
        <v/>
      </c>
      <c r="AN8" s="72" t="str">
        <f>IF($A8="", "", IFERROR(IF('Personalized Bill Menu'!$B$22="ATCO",$AG8*$B8,""), 0))</f>
        <v/>
      </c>
      <c r="AO8" s="70" t="str">
        <f>IF($A8="", "", IFERROR(IF('Personalized Bill Menu'!$B$22="ATCO",$AH8*$B8,""), 0))</f>
        <v/>
      </c>
      <c r="AP8" s="81">
        <f>IF('Personalized Bill Menu'!$B$34&lt;&gt;"Natural Gas", 'Personalized Bill Menu'!$K5, "")</f>
        <v>0.23369999999999999</v>
      </c>
      <c r="AQ8" s="72">
        <f t="shared" ref="AQ8:AQ71" si="16">IF($A8="", "", IFERROR(IF($AP$6="$/day", $AP8*$B8, $AP8),0))</f>
        <v>6.7772999999999994</v>
      </c>
      <c r="AR8" s="91">
        <f ca="1">IF($A8="", "",IF(VLOOKUP($A8, INDIRECT("'" &amp; 'Personalized Bill Menu'!$B$22 &amp; "'!" &amp;"$A$4:$CA$100"), VLOOKUP(VLOOKUP(AR$5,'Misc. Data &amp; Mechanisms'!$E$601:$I$631,HLOOKUP('Personalized Bill Menu'!$B$22, 'Misc. Data &amp; Mechanisms'!$E$599:$I$600, 2, FALSE), FALSE), 'Misc. Data &amp; Mechanisms'!$A$599:$C$659, 2, FALSE), FALSE) = "", "", VLOOKUP($A8, INDIRECT("'" &amp; 'Personalized Bill Menu'!$B$22 &amp; "'!" &amp;"$A$4:$CA$100"), VLOOKUP(VLOOKUP(AR$5,'Misc. Data &amp; Mechanisms'!$E$601:$I$631,HLOOKUP('Personalized Bill Menu'!$B$22, 'Misc. Data &amp; Mechanisms'!$E$599:$I$600, 2, FALSE), FALSE), 'Misc. Data &amp; Mechanisms'!$A$599:$C$659, 2, FALSE), FALSE)))</f>
        <v>0.05</v>
      </c>
      <c r="AS8" s="2"/>
      <c r="AT8" s="2"/>
      <c r="AU8" s="2"/>
      <c r="AV8" s="2"/>
      <c r="AW8" s="2"/>
    </row>
    <row r="9" spans="1:49" ht="15" x14ac:dyDescent="0.25">
      <c r="A9" s="83">
        <f>'Personalized Bill Menu'!$H6</f>
        <v>40969</v>
      </c>
      <c r="B9" s="84">
        <f t="shared" si="0"/>
        <v>31</v>
      </c>
      <c r="C9" s="85">
        <f>IF('Personalized Bill Menu'!$B$34&lt;&gt;"Natural Gas", 'Personalized Bill Menu'!$I6, "")</f>
        <v>610.5311897530521</v>
      </c>
      <c r="D9" s="66">
        <f t="shared" ref="D9:D72" ca="1" si="17">IFERROR(($F9*100)/$C9, "")</f>
        <v>17.110341803650694</v>
      </c>
      <c r="E9" s="66">
        <f ca="1">IFERROR((1+$AR9)*(IF('Personalized Bill Menu'!$B$22="ENMAX", ((1+IFERROR($X9, 0))*($N9+$P9+$R9+$AB9+$AC9))+((1+IF($X9="", 0,$X9))*(IF($AD9="", 0,$AD9)*$R9)), IF('Personalized Bill Menu'!$B$22="EPCOR", ($N9+$P9+$R9+$X9+SUM($AB9:$AE9)), IF('Personalized Bill Menu'!$B$22="ATCO",($N9+((1+IF($AE9="", 0,$AE9))*(1+$X9+$Y9)*($P9+$R9))+SUM($AB9:$AD9)),IF($AD9="",$N9+((1+$X9+$Y9)*($P9+$R9))+$AB9+$AE9+(IF($AC9="", 0, $AC9)*$P9)+($R9*IF($AF9="", 0, $AF9)),$N9+((1+$X9+$Y9)*($P9+$R9))+$AB9+($AD9*$P9)+(IF($AC9="", 0, $AC9)*$P9)+($R9*IF($AF9="", 0, $AF9))))))), "")</f>
        <v>13.829878366500001</v>
      </c>
      <c r="F9" s="1469">
        <f t="shared" ca="1" si="1"/>
        <v>104.46397338464241</v>
      </c>
      <c r="G9" s="66">
        <f t="shared" si="2"/>
        <v>50.173453173905827</v>
      </c>
      <c r="H9" s="66">
        <f t="shared" ca="1" si="3"/>
        <v>11.882768546163652</v>
      </c>
      <c r="I9" s="66">
        <f t="shared" ca="1" si="4"/>
        <v>14.901131330199267</v>
      </c>
      <c r="J9" s="66">
        <f t="shared" ca="1" si="5"/>
        <v>9.2236496346681527</v>
      </c>
      <c r="K9" s="66">
        <f t="shared" ca="1" si="6"/>
        <v>6.0637957766273125</v>
      </c>
      <c r="L9" s="66">
        <f t="shared" si="7"/>
        <v>7.2446999999999999</v>
      </c>
      <c r="M9" s="68">
        <f ca="1">IF($A9="", "", IFERROR(SUM($AR9)*SUM($G9:$L9), ""))</f>
        <v>4.974474923078211</v>
      </c>
      <c r="N9" s="69">
        <f>IF('Personalized Bill Menu'!$B$34&lt;&gt;"Natural Gas", 'Personalized Bill Menu'!$J6, "")</f>
        <v>8.218</v>
      </c>
      <c r="O9" s="70">
        <f t="shared" si="9"/>
        <v>50.173453173905827</v>
      </c>
      <c r="P9" s="71">
        <f ca="1">IF($A9="", "",IFERROR(IF(VLOOKUP($A9, INDIRECT("'" &amp; 'Personalized Bill Menu'!$B$22 &amp; "'!" &amp;"$A$4:$CA$100"), VLOOKUP(VLOOKUP(P$5,'Misc. Data &amp; Mechanisms'!$E$601:$I$631,HLOOKUP('Personalized Bill Menu'!$B$22, 'Misc. Data &amp; Mechanisms'!$E$599:$I$600, 2, FALSE), FALSE), 'Misc. Data &amp; Mechanisms'!$A$599:$C$659, 2, FALSE), FALSE) = "", "", VLOOKUP($A9, INDIRECT("'" &amp; 'Personalized Bill Menu'!$B$22 &amp; "'!" &amp;"$A$4:$CA$100"), VLOOKUP(VLOOKUP(P$5,'Misc. Data &amp; Mechanisms'!$E$601:$I$631,HLOOKUP('Personalized Bill Menu'!$B$22, 'Misc. Data &amp; Mechanisms'!$E$599:$I$600, 2, FALSE), FALSE), 'Misc. Data &amp; Mechanisms'!$A$599:$C$659, 2, FALSE), FALSE)), ""))</f>
        <v>1.9462999999999999</v>
      </c>
      <c r="Q9" s="72">
        <f t="shared" ca="1" si="10"/>
        <v>11.882768546163652</v>
      </c>
      <c r="R9" s="87">
        <f ca="1">IF($A9="", "",IFERROR(IF(VLOOKUP($A9, INDIRECT("'" &amp; 'Personalized Bill Menu'!$B$22 &amp; "'!" &amp;"$A$4:$CA$100"), VLOOKUP(VLOOKUP(R$5,'Misc. Data &amp; Mechanisms'!$E$601:$I$631,HLOOKUP('Personalized Bill Menu'!$B$22, 'Misc. Data &amp; Mechanisms'!$E$599:$I$600, 2, FALSE), FALSE), 'Misc. Data &amp; Mechanisms'!$A$599:$C$659, 2, FALSE), FALSE) = "", "", VLOOKUP($A9, INDIRECT("'" &amp; 'Personalized Bill Menu'!$B$22 &amp; "'!" &amp;"$A$4:$CA$100"), VLOOKUP(VLOOKUP(R$5,'Misc. Data &amp; Mechanisms'!$E$601:$I$631,HLOOKUP('Personalized Bill Menu'!$B$22, 'Misc. Data &amp; Mechanisms'!$E$599:$I$600, 2, FALSE), FALSE), 'Misc. Data &amp; Mechanisms'!$A$599:$C$659, 2, FALSE), FALSE)), ""))</f>
        <v>0.69679999999999997</v>
      </c>
      <c r="S9" s="88">
        <f ca="1">IF($A9="", "",IFERROR(IF(VLOOKUP($A9, INDIRECT("'" &amp; 'Personalized Bill Menu'!$B$22 &amp; "'!" &amp;"$A$4:$CA$100"), VLOOKUP(VLOOKUP(S$5,'Misc. Data &amp; Mechanisms'!$E$601:$I$631,HLOOKUP('Personalized Bill Menu'!$B$22, 'Misc. Data &amp; Mechanisms'!$E$599:$I$600, 2, FALSE), FALSE), 'Misc. Data &amp; Mechanisms'!$A$599:$C$659, 2, FALSE), FALSE) = "", "", VLOOKUP($A9, INDIRECT("'" &amp; 'Personalized Bill Menu'!$B$22 &amp; "'!" &amp;"$A$4:$CA$100"), VLOOKUP(VLOOKUP(S$5,'Misc. Data &amp; Mechanisms'!$E$601:$I$631,HLOOKUP('Personalized Bill Menu'!$B$22, 'Misc. Data &amp; Mechanisms'!$E$599:$I$600, 2, FALSE), FALSE), 'Misc. Data &amp; Mechanisms'!$A$599:$C$659, 2, FALSE), FALSE)), ""))</f>
        <v>0.34344999999999998</v>
      </c>
      <c r="T9" s="81" t="str">
        <f ca="1">IF($A9="", "",IFERROR(IF(VLOOKUP($A9, INDIRECT("'" &amp; 'Personalized Bill Menu'!$B$22 &amp; "'!" &amp;"$A$4:$CA$100"), VLOOKUP(VLOOKUP(T$5,'Misc. Data &amp; Mechanisms'!$E$601:$I$631,HLOOKUP('Personalized Bill Menu'!$B$22, 'Misc. Data &amp; Mechanisms'!$E$599:$I$600, 2, FALSE), FALSE), 'Misc. Data &amp; Mechanisms'!$A$599:$C$659, 2, FALSE), FALSE) = "", "", VLOOKUP($A9, INDIRECT("'" &amp; 'Personalized Bill Menu'!$B$22 &amp; "'!" &amp;"$A$4:$CA$100"), VLOOKUP(VLOOKUP(T$5,'Misc. Data &amp; Mechanisms'!$E$601:$I$631,HLOOKUP('Personalized Bill Menu'!$B$22, 'Misc. Data &amp; Mechanisms'!$E$599:$I$600, 2, FALSE), FALSE), 'Misc. Data &amp; Mechanisms'!$A$599:$C$659, 2, FALSE), FALSE)), ""))</f>
        <v/>
      </c>
      <c r="U9" s="72">
        <f t="shared" ca="1" si="11"/>
        <v>4.254181330199267</v>
      </c>
      <c r="V9" s="72">
        <f t="shared" ca="1" si="12"/>
        <v>10.646949999999999</v>
      </c>
      <c r="W9" s="70" t="str">
        <f t="shared" si="13"/>
        <v/>
      </c>
      <c r="X9" s="78">
        <f>IFERROR(IF(VLOOKUP($A9,'Misc. Data &amp; Mechanisms'!$A$63:$DY$152,HLOOKUP('Personalized Bill Menu'!$B$21&amp;"_"&amp;'Personalized Bill Menu'!$B$22&amp;"_Elec_Y_1",'Misc. Data &amp; Mechanisms'!$A$55:$DY$62,8,FALSE), FALSE)="", "", VLOOKUP($A9,'Misc. Data &amp; Mechanisms'!$A$63:$DY$152,HLOOKUP('Personalized Bill Menu'!$B$21&amp;"_"&amp;'Personalized Bill Menu'!$B$22&amp;"_Elec_Y_1",'Misc. Data &amp; Mechanisms'!$A$55:$DY$62,8,FALSE), FALSE)), "")</f>
        <v>0.1111</v>
      </c>
      <c r="Y9" s="78" t="str">
        <f>IFERROR(IF(VLOOKUP($A9,'Misc. Data &amp; Mechanisms'!$A$63:$DY$152,HLOOKUP('Personalized Bill Menu'!$B$21&amp;"_"&amp;'Personalized Bill Menu'!$B$22&amp;"_Elec_Y_2",'Misc. Data &amp; Mechanisms'!$A$55:$DY$62,8,FALSE), FALSE)="", "", VLOOKUP($A9,'Misc. Data &amp; Mechanisms'!$A$63:$DY$152,HLOOKUP('Personalized Bill Menu'!$B$21&amp;"_"&amp;'Personalized Bill Menu'!$B$22&amp;"_Elec_Y_2",'Misc. Data &amp; Mechanisms'!$A$55:$DY$62,8,FALSE), FALSE)), "")</f>
        <v/>
      </c>
      <c r="Z9" s="72">
        <f ca="1">IF($A9="", "",IFERROR(IF(OR('Personalized Bill Menu'!$B$22="FORTIS", 'Personalized Bill Menu'!$B$22="ATCO"), $X9*($H9+$I9), IF('Personalized Bill Menu'!$B$22="ENMAX",$X9*($H9+$I9+$K9),($X9/100)*$C9)), 0))</f>
        <v>3.6493789870472142</v>
      </c>
      <c r="AA9" s="72">
        <f>IF($A9="", "", IFERROR(IF(OR('Personalized Bill Menu'!$B$22="FORTIS", 'Personalized Bill Menu'!$B$22="ATCO"), $Y9*($H9+$I9), IF('Personalized Bill Menu'!$B$22="ENMAX",$X9*$G9,"")), 0))</f>
        <v>5.5742706476209376</v>
      </c>
      <c r="AB9" s="89">
        <f ca="1">IF($A9="", "",IFERROR(IF(VLOOKUP($A9, INDIRECT("'" &amp; 'Personalized Bill Menu'!$B$22 &amp; "'!" &amp;"$A$4:$CA$100"), VLOOKUP(VLOOKUP("RIDER RATE 1",'Misc. Data &amp; Mechanisms'!$E$601:$I$631,HLOOKUP('Personalized Bill Menu'!$B$22, 'Misc. Data &amp; Mechanisms'!$E$599:$I$600, 2, FALSE), FALSE), 'Misc. Data &amp; Mechanisms'!$A$599:$C$659, 2, FALSE), FALSE) = "", "", VLOOKUP($A9, INDIRECT("'" &amp; 'Personalized Bill Menu'!$B$22 &amp; "'!" &amp;"$A$4:$CA$100"), VLOOKUP(VLOOKUP("RIDER RATE 1",'Misc. Data &amp; Mechanisms'!$E$601:$I$631,HLOOKUP('Personalized Bill Menu'!$B$22, 'Misc. Data &amp; Mechanisms'!$E$599:$I$600, 2, FALSE), FALSE), 'Misc. Data &amp; Mechanisms'!$A$599:$C$659, 2, FALSE), FALSE)), ""))</f>
        <v>-0.56559999999999999</v>
      </c>
      <c r="AC9" s="69">
        <f ca="1">IF($A9="", "",IFERROR(IF(VLOOKUP($A9, INDIRECT("'" &amp; 'Personalized Bill Menu'!$B$22 &amp; "'!" &amp;"$A$4:$CA$100"), VLOOKUP(VLOOKUP("RIDER RATE 2",'Misc. Data &amp; Mechanisms'!$E$601:$I$631,HLOOKUP('Personalized Bill Menu'!$B$22, 'Misc. Data &amp; Mechanisms'!$E$599:$I$600, 2, FALSE), FALSE), 'Misc. Data &amp; Mechanisms'!$A$599:$C$659, 2, FALSE), FALSE) = "", "", VLOOKUP($A9, INDIRECT("'" &amp; 'Personalized Bill Menu'!$B$22 &amp; "'!" &amp;"$A$4:$CA$100"), VLOOKUP(VLOOKUP("RIDER RATE 2",'Misc. Data &amp; Mechanisms'!$E$601:$I$631,HLOOKUP('Personalized Bill Menu'!$B$22, 'Misc. Data &amp; Mechanisms'!$E$599:$I$600, 2, FALSE), FALSE), 'Misc. Data &amp; Mechanisms'!$A$599:$C$659, 2, FALSE), FALSE)), ""))</f>
        <v>1.5588</v>
      </c>
      <c r="AD9" s="69" t="str">
        <f ca="1">IF($A9="", "",IFERROR(IF(VLOOKUP($A9, INDIRECT("'" &amp; 'Personalized Bill Menu'!$B$22 &amp; "'!" &amp;"$A$4:$CA$100"), VLOOKUP(VLOOKUP("RIDER RATE 3",'Misc. Data &amp; Mechanisms'!$E$601:$I$631,HLOOKUP('Personalized Bill Menu'!$B$22, 'Misc. Data &amp; Mechanisms'!$E$599:$I$600, 2, FALSE), FALSE), 'Misc. Data &amp; Mechanisms'!$A$599:$C$659, 2, FALSE), FALSE) = "", "", VLOOKUP($A9, INDIRECT("'" &amp; 'Personalized Bill Menu'!$B$22 &amp; "'!" &amp;"$A$4:$CA$100"), VLOOKUP(VLOOKUP("RIDER RATE 3",'Misc. Data &amp; Mechanisms'!$E$601:$I$631,HLOOKUP('Personalized Bill Menu'!$B$22, 'Misc. Data &amp; Mechanisms'!$E$599:$I$600, 2, FALSE), FALSE), 'Misc. Data &amp; Mechanisms'!$A$599:$C$659, 2, FALSE), FALSE)), ""))</f>
        <v/>
      </c>
      <c r="AE9" s="69" t="str">
        <f ca="1">IF($A9="", "",IFERROR(IF(VLOOKUP($A9, INDIRECT("'" &amp; 'Personalized Bill Menu'!$B$22 &amp; "'!" &amp;"$A$4:$CA$100"), VLOOKUP(VLOOKUP("RIDER RATE 4",'Misc. Data &amp; Mechanisms'!$E$601:$I$631,HLOOKUP('Personalized Bill Menu'!$B$22, 'Misc. Data &amp; Mechanisms'!$E$599:$I$600, 2, FALSE), FALSE), 'Misc. Data &amp; Mechanisms'!$A$599:$C$659, 2, FALSE), FALSE) = "", "", VLOOKUP($A9, INDIRECT("'" &amp; 'Personalized Bill Menu'!$B$22 &amp; "'!" &amp;"$A$4:$CA$100"), VLOOKUP(VLOOKUP("RIDER RATE 4",'Misc. Data &amp; Mechanisms'!$E$601:$I$631,HLOOKUP('Personalized Bill Menu'!$B$22, 'Misc. Data &amp; Mechanisms'!$E$599:$I$600, 2, FALSE), FALSE), 'Misc. Data &amp; Mechanisms'!$A$599:$C$659, 2, FALSE), FALSE)), ""))</f>
        <v/>
      </c>
      <c r="AF9" s="90" t="str">
        <f ca="1">IF($A9="", "",IFERROR(IF(VLOOKUP($A9, INDIRECT("'" &amp; 'Personalized Bill Menu'!$B$22 &amp; "'!" &amp;"$A$4:$CA$100"), VLOOKUP(VLOOKUP("RIDER RATE 5",'Misc. Data &amp; Mechanisms'!$E$601:$I$631,HLOOKUP('Personalized Bill Menu'!$B$22, 'Misc. Data &amp; Mechanisms'!$E$599:$I$600, 2, FALSE), FALSE), 'Misc. Data &amp; Mechanisms'!$A$599:$C$659, 2, FALSE), FALSE) = "", "", VLOOKUP($A9, INDIRECT("'" &amp; 'Personalized Bill Menu'!$B$22 &amp; "'!" &amp;"$A$4:$CA$100"), VLOOKUP(VLOOKUP("RIDER RATE 5",'Misc. Data &amp; Mechanisms'!$E$601:$I$631,HLOOKUP('Personalized Bill Menu'!$B$22, 'Misc. Data &amp; Mechanisms'!$E$599:$I$600, 2, FALSE), FALSE), 'Misc. Data &amp; Mechanisms'!$A$599:$C$659, 2, FALSE), FALSE)), ""))</f>
        <v/>
      </c>
      <c r="AG9" s="90" t="str">
        <f ca="1">IF($A9="", "",IFERROR(IF(VLOOKUP($A9, INDIRECT("'" &amp; 'Personalized Bill Menu'!$B$22 &amp; "'!" &amp;"$A$4:$CA$100"), VLOOKUP(VLOOKUP("RIDER RATE 6",'Misc. Data &amp; Mechanisms'!$E$601:$I$631,HLOOKUP('Personalized Bill Menu'!$B$22, 'Misc. Data &amp; Mechanisms'!$E$599:$I$600, 2, FALSE), FALSE), 'Misc. Data &amp; Mechanisms'!$A$599:$C$659, 2, FALSE), FALSE) = "", "", VLOOKUP($A9, INDIRECT("'" &amp; 'Personalized Bill Menu'!$B$22 &amp; "'!" &amp;"$A$4:$CA$100"), VLOOKUP(VLOOKUP("RIDER RATE 6",'Misc. Data &amp; Mechanisms'!$E$601:$I$631,HLOOKUP('Personalized Bill Menu'!$B$22, 'Misc. Data &amp; Mechanisms'!$E$599:$I$600, 2, FALSE), FALSE), 'Misc. Data &amp; Mechanisms'!$A$599:$C$659, 2, FALSE), FALSE)), ""))</f>
        <v/>
      </c>
      <c r="AH9" s="90" t="str">
        <f ca="1">IF($A9="", "",IFERROR(IF(VLOOKUP($A9, INDIRECT("'" &amp; 'Personalized Bill Menu'!$B$22 &amp; "'!" &amp;"$A$4:$CA$100"), VLOOKUP(VLOOKUP("RIDER RATE 7",'Misc. Data &amp; Mechanisms'!$E$601:$I$631,HLOOKUP('Personalized Bill Menu'!$B$22, 'Misc. Data &amp; Mechanisms'!$E$599:$I$600, 2, FALSE), FALSE), 'Misc. Data &amp; Mechanisms'!$A$599:$C$659, 2, FALSE), FALSE) = "", "", VLOOKUP($A9, INDIRECT("'" &amp; 'Personalized Bill Menu'!$B$22 &amp; "'!" &amp;"$A$4:$CA$100"), VLOOKUP(VLOOKUP("RIDER RATE 7",'Misc. Data &amp; Mechanisms'!$E$601:$I$631,HLOOKUP('Personalized Bill Menu'!$B$22, 'Misc. Data &amp; Mechanisms'!$E$599:$I$600, 2, FALSE), FALSE), 'Misc. Data &amp; Mechanisms'!$A$599:$C$659, 2, FALSE), FALSE)), ""))</f>
        <v/>
      </c>
      <c r="AI9" s="72">
        <f t="shared" ca="1" si="14"/>
        <v>-3.4531644092432625</v>
      </c>
      <c r="AJ9" s="72">
        <f t="shared" ca="1" si="15"/>
        <v>9.516960185870575</v>
      </c>
      <c r="AK9" s="72">
        <f ca="1">IF($A9="", "", IFERROR(IF($AD$6="%",IF('Personalized Bill Menu'!$B$22="ENMAX", $AD9*$I9, IF(AND($AD9="", 'Personalized Bill Menu'!$B$22="FORTIS"),($AE9/100)*$C9,$AD9*$H9)),($AD9/100)*$C9), 0))</f>
        <v>0</v>
      </c>
      <c r="AL9" s="72">
        <f ca="1">IF($A9="", "", IFERROR(IF('Personalized Bill Menu'!$B$22="ENMAX",$AE9*$B9,IF($AE$6="%",$AE9*($H9+$I9+$J9), IF('Personalized Bill Menu'!$B$22="FORTIS",$AF9*$I9,($AE9/100)*$C9))), 0))</f>
        <v>0</v>
      </c>
      <c r="AM9" s="72" t="str">
        <f>IF($A9="", "", IFERROR(IF('Personalized Bill Menu'!$B$22="EPCOR",($AF9/100)*$C9, IF('Personalized Bill Menu'!$B$22="ATCO",$AF9*1,"")), 0))</f>
        <v/>
      </c>
      <c r="AN9" s="72" t="str">
        <f>IF($A9="", "", IFERROR(IF('Personalized Bill Menu'!$B$22="ATCO",$AG9*$B9,""), 0))</f>
        <v/>
      </c>
      <c r="AO9" s="70" t="str">
        <f>IF($A9="", "", IFERROR(IF('Personalized Bill Menu'!$B$22="ATCO",$AH9*$B9,""), 0))</f>
        <v/>
      </c>
      <c r="AP9" s="81">
        <f>IF('Personalized Bill Menu'!$B$34&lt;&gt;"Natural Gas", 'Personalized Bill Menu'!$K6, "")</f>
        <v>0.23369999999999999</v>
      </c>
      <c r="AQ9" s="72">
        <f t="shared" si="16"/>
        <v>7.2446999999999999</v>
      </c>
      <c r="AR9" s="91">
        <f ca="1">IF($A9="", "",IF(VLOOKUP($A9, INDIRECT("'" &amp; 'Personalized Bill Menu'!$B$22 &amp; "'!" &amp;"$A$4:$CA$100"), VLOOKUP(VLOOKUP(AR$5,'Misc. Data &amp; Mechanisms'!$E$601:$I$631,HLOOKUP('Personalized Bill Menu'!$B$22, 'Misc. Data &amp; Mechanisms'!$E$599:$I$600, 2, FALSE), FALSE), 'Misc. Data &amp; Mechanisms'!$A$599:$C$659, 2, FALSE), FALSE) = "", "", VLOOKUP($A9, INDIRECT("'" &amp; 'Personalized Bill Menu'!$B$22 &amp; "'!" &amp;"$A$4:$CA$100"), VLOOKUP(VLOOKUP(AR$5,'Misc. Data &amp; Mechanisms'!$E$601:$I$631,HLOOKUP('Personalized Bill Menu'!$B$22, 'Misc. Data &amp; Mechanisms'!$E$599:$I$600, 2, FALSE), FALSE), 'Misc. Data &amp; Mechanisms'!$A$599:$C$659, 2, FALSE), FALSE)))</f>
        <v>0.05</v>
      </c>
      <c r="AS9" s="2"/>
      <c r="AT9" s="2"/>
      <c r="AU9" s="2"/>
      <c r="AV9" s="2"/>
      <c r="AW9" s="2"/>
    </row>
    <row r="10" spans="1:49" ht="15" x14ac:dyDescent="0.25">
      <c r="A10" s="83">
        <f>'Personalized Bill Menu'!$H7</f>
        <v>41000</v>
      </c>
      <c r="B10" s="84">
        <f t="shared" si="0"/>
        <v>30</v>
      </c>
      <c r="C10" s="85">
        <f>IF('Personalized Bill Menu'!$B$34&lt;&gt;"Natural Gas", 'Personalized Bill Menu'!$I7, "")</f>
        <v>553.50674210245211</v>
      </c>
      <c r="D10" s="66">
        <f t="shared" ca="1" si="17"/>
        <v>16.115930036063105</v>
      </c>
      <c r="E10" s="66">
        <f ca="1">IFERROR((1+$AR10)*(IF('Personalized Bill Menu'!$B$22="ENMAX", ((1+IFERROR($X10, 0))*($N10+$P10+$R10+$AB10+$AC10))+((1+IF($X10="", 0,$X10))*(IF($AD10="", 0,$AD10)*$R10)), IF('Personalized Bill Menu'!$B$22="EPCOR", ($N10+$P10+$R10+$X10+SUM($AB10:$AE10)), IF('Personalized Bill Menu'!$B$22="ATCO",($N10+((1+IF($AE10="", 0,$AE10))*(1+$X10+$Y10)*($P10+$R10))+SUM($AB10:$AD10)),IF($AD10="",$N10+((1+$X10+$Y10)*($P10+$R10))+$AB10+$AE10+(IF($AC10="", 0, $AC10)*$P10)+($R10*IF($AF10="", 0, $AF10)),$N10+((1+$X10+$Y10)*($P10+$R10))+$AB10+($AD10*$P10)+(IF($AC10="", 0, $AC10)*$P10)+($R10*IF($AF10="", 0, $AF10))))))), "")</f>
        <v>12.614223856499997</v>
      </c>
      <c r="F10" s="1469">
        <f t="shared" ca="1" si="1"/>
        <v>89.20275930212344</v>
      </c>
      <c r="G10" s="66">
        <f t="shared" si="2"/>
        <v>39.719643813271965</v>
      </c>
      <c r="H10" s="66">
        <f t="shared" ca="1" si="3"/>
        <v>10.772901721540023</v>
      </c>
      <c r="I10" s="66">
        <f t="shared" ca="1" si="4"/>
        <v>14.160334978969885</v>
      </c>
      <c r="J10" s="66">
        <f t="shared" ca="1" si="5"/>
        <v>7.7936993828217549</v>
      </c>
      <c r="K10" s="66">
        <f t="shared" ca="1" si="6"/>
        <v>5.4974289625615533</v>
      </c>
      <c r="L10" s="66">
        <f t="shared" si="7"/>
        <v>7.0110000000000001</v>
      </c>
      <c r="M10" s="68">
        <f t="shared" ca="1" si="8"/>
        <v>4.2477504429582593</v>
      </c>
      <c r="N10" s="69">
        <f>IF('Personalized Bill Menu'!$B$34&lt;&gt;"Natural Gas", 'Personalized Bill Menu'!$J7, "")</f>
        <v>7.1760000000000002</v>
      </c>
      <c r="O10" s="70">
        <f t="shared" si="9"/>
        <v>39.719643813271965</v>
      </c>
      <c r="P10" s="71">
        <f ca="1">IF($A10="", "",IFERROR(IF(VLOOKUP($A10, INDIRECT("'" &amp; 'Personalized Bill Menu'!$B$22 &amp; "'!" &amp;"$A$4:$CA$100"), VLOOKUP(VLOOKUP(P$5,'Misc. Data &amp; Mechanisms'!$E$601:$I$631,HLOOKUP('Personalized Bill Menu'!$B$22, 'Misc. Data &amp; Mechanisms'!$E$599:$I$600, 2, FALSE), FALSE), 'Misc. Data &amp; Mechanisms'!$A$599:$C$659, 2, FALSE), FALSE) = "", "", VLOOKUP($A10, INDIRECT("'" &amp; 'Personalized Bill Menu'!$B$22 &amp; "'!" &amp;"$A$4:$CA$100"), VLOOKUP(VLOOKUP(P$5,'Misc. Data &amp; Mechanisms'!$E$601:$I$631,HLOOKUP('Personalized Bill Menu'!$B$22, 'Misc. Data &amp; Mechanisms'!$E$599:$I$600, 2, FALSE), FALSE), 'Misc. Data &amp; Mechanisms'!$A$599:$C$659, 2, FALSE), FALSE)), ""))</f>
        <v>1.9462999999999999</v>
      </c>
      <c r="Q10" s="72">
        <f t="shared" ca="1" si="10"/>
        <v>10.772901721540023</v>
      </c>
      <c r="R10" s="87">
        <f ca="1">IF($A10="", "",IFERROR(IF(VLOOKUP($A10, INDIRECT("'" &amp; 'Personalized Bill Menu'!$B$22 &amp; "'!" &amp;"$A$4:$CA$100"), VLOOKUP(VLOOKUP(R$5,'Misc. Data &amp; Mechanisms'!$E$601:$I$631,HLOOKUP('Personalized Bill Menu'!$B$22, 'Misc. Data &amp; Mechanisms'!$E$599:$I$600, 2, FALSE), FALSE), 'Misc. Data &amp; Mechanisms'!$A$599:$C$659, 2, FALSE), FALSE) = "", "", VLOOKUP($A10, INDIRECT("'" &amp; 'Personalized Bill Menu'!$B$22 &amp; "'!" &amp;"$A$4:$CA$100"), VLOOKUP(VLOOKUP(R$5,'Misc. Data &amp; Mechanisms'!$E$601:$I$631,HLOOKUP('Personalized Bill Menu'!$B$22, 'Misc. Data &amp; Mechanisms'!$E$599:$I$600, 2, FALSE), FALSE), 'Misc. Data &amp; Mechanisms'!$A$599:$C$659, 2, FALSE), FALSE)), ""))</f>
        <v>0.69679999999999997</v>
      </c>
      <c r="S10" s="88">
        <f ca="1">IF($A10="", "",IFERROR(IF(VLOOKUP($A10, INDIRECT("'" &amp; 'Personalized Bill Menu'!$B$22 &amp; "'!" &amp;"$A$4:$CA$100"), VLOOKUP(VLOOKUP(S$5,'Misc. Data &amp; Mechanisms'!$E$601:$I$631,HLOOKUP('Personalized Bill Menu'!$B$22, 'Misc. Data &amp; Mechanisms'!$E$599:$I$600, 2, FALSE), FALSE), 'Misc. Data &amp; Mechanisms'!$A$599:$C$659, 2, FALSE), FALSE) = "", "", VLOOKUP($A10, INDIRECT("'" &amp; 'Personalized Bill Menu'!$B$22 &amp; "'!" &amp;"$A$4:$CA$100"), VLOOKUP(VLOOKUP(S$5,'Misc. Data &amp; Mechanisms'!$E$601:$I$631,HLOOKUP('Personalized Bill Menu'!$B$22, 'Misc. Data &amp; Mechanisms'!$E$599:$I$600, 2, FALSE), FALSE), 'Misc. Data &amp; Mechanisms'!$A$599:$C$659, 2, FALSE), FALSE)), ""))</f>
        <v>0.34344999999999998</v>
      </c>
      <c r="T10" s="81" t="str">
        <f ca="1">IF($A10="", "",IFERROR(IF(VLOOKUP($A10, INDIRECT("'" &amp; 'Personalized Bill Menu'!$B$22 &amp; "'!" &amp;"$A$4:$CA$100"), VLOOKUP(VLOOKUP(T$5,'Misc. Data &amp; Mechanisms'!$E$601:$I$631,HLOOKUP('Personalized Bill Menu'!$B$22, 'Misc. Data &amp; Mechanisms'!$E$599:$I$600, 2, FALSE), FALSE), 'Misc. Data &amp; Mechanisms'!$A$599:$C$659, 2, FALSE), FALSE) = "", "", VLOOKUP($A10, INDIRECT("'" &amp; 'Personalized Bill Menu'!$B$22 &amp; "'!" &amp;"$A$4:$CA$100"), VLOOKUP(VLOOKUP(T$5,'Misc. Data &amp; Mechanisms'!$E$601:$I$631,HLOOKUP('Personalized Bill Menu'!$B$22, 'Misc. Data &amp; Mechanisms'!$E$599:$I$600, 2, FALSE), FALSE), 'Misc. Data &amp; Mechanisms'!$A$599:$C$659, 2, FALSE), FALSE)), ""))</f>
        <v/>
      </c>
      <c r="U10" s="72">
        <f t="shared" ca="1" si="11"/>
        <v>3.8568349789698861</v>
      </c>
      <c r="V10" s="72">
        <f t="shared" ca="1" si="12"/>
        <v>10.3035</v>
      </c>
      <c r="W10" s="70" t="str">
        <f t="shared" si="13"/>
        <v/>
      </c>
      <c r="X10" s="78">
        <f>IFERROR(IF(VLOOKUP($A10,'Misc. Data &amp; Mechanisms'!$A$63:$DY$152,HLOOKUP('Personalized Bill Menu'!$B$21&amp;"_"&amp;'Personalized Bill Menu'!$B$22&amp;"_Elec_Y_1",'Misc. Data &amp; Mechanisms'!$A$55:$DY$62,8,FALSE), FALSE)="", "", VLOOKUP($A10,'Misc. Data &amp; Mechanisms'!$A$63:$DY$152,HLOOKUP('Personalized Bill Menu'!$B$21&amp;"_"&amp;'Personalized Bill Menu'!$B$22&amp;"_Elec_Y_1",'Misc. Data &amp; Mechanisms'!$A$55:$DY$62,8,FALSE), FALSE)), "")</f>
        <v>0.1111</v>
      </c>
      <c r="Y10" s="78" t="str">
        <f>IFERROR(IF(VLOOKUP($A10,'Misc. Data &amp; Mechanisms'!$A$63:$DY$152,HLOOKUP('Personalized Bill Menu'!$B$21&amp;"_"&amp;'Personalized Bill Menu'!$B$22&amp;"_Elec_Y_2",'Misc. Data &amp; Mechanisms'!$A$55:$DY$62,8,FALSE), FALSE)="", "", VLOOKUP($A10,'Misc. Data &amp; Mechanisms'!$A$63:$DY$152,HLOOKUP('Personalized Bill Menu'!$B$21&amp;"_"&amp;'Personalized Bill Menu'!$B$22&amp;"_Elec_Y_2",'Misc. Data &amp; Mechanisms'!$A$55:$DY$62,8,FALSE), FALSE)), "")</f>
        <v/>
      </c>
      <c r="Z10" s="72">
        <f ca="1">IF($A10="", "",IFERROR(IF(OR('Personalized Bill Menu'!$B$22="FORTIS", 'Personalized Bill Menu'!$B$22="ATCO"), $X10*($H10+$I10), IF('Personalized Bill Menu'!$B$22="ENMAX",$X10*($H10+$I10+$K10),($X10/100)*$C10)), 0))</f>
        <v>3.3808469551672395</v>
      </c>
      <c r="AA10" s="72">
        <f>IF($A10="", "", IFERROR(IF(OR('Personalized Bill Menu'!$B$22="FORTIS", 'Personalized Bill Menu'!$B$22="ATCO"), $Y10*($H10+$I10), IF('Personalized Bill Menu'!$B$22="ENMAX",$X10*$G10,"")), 0))</f>
        <v>4.4128524276545154</v>
      </c>
      <c r="AB10" s="89">
        <f ca="1">IF($A10="", "",IFERROR(IF(VLOOKUP($A10, INDIRECT("'" &amp; 'Personalized Bill Menu'!$B$22 &amp; "'!" &amp;"$A$4:$CA$100"), VLOOKUP(VLOOKUP("RIDER RATE 1",'Misc. Data &amp; Mechanisms'!$E$601:$I$631,HLOOKUP('Personalized Bill Menu'!$B$22, 'Misc. Data &amp; Mechanisms'!$E$599:$I$600, 2, FALSE), FALSE), 'Misc. Data &amp; Mechanisms'!$A$599:$C$659, 2, FALSE), FALSE) = "", "", VLOOKUP($A10, INDIRECT("'" &amp; 'Personalized Bill Menu'!$B$22 &amp; "'!" &amp;"$A$4:$CA$100"), VLOOKUP(VLOOKUP("RIDER RATE 1",'Misc. Data &amp; Mechanisms'!$E$601:$I$631,HLOOKUP('Personalized Bill Menu'!$B$22, 'Misc. Data &amp; Mechanisms'!$E$599:$I$600, 2, FALSE), FALSE), 'Misc. Data &amp; Mechanisms'!$A$599:$C$659, 2, FALSE), FALSE)), ""))</f>
        <v>-0.56559999999999999</v>
      </c>
      <c r="AC10" s="69">
        <f ca="1">IF($A10="", "",IFERROR(IF(VLOOKUP($A10, INDIRECT("'" &amp; 'Personalized Bill Menu'!$B$22 &amp; "'!" &amp;"$A$4:$CA$100"), VLOOKUP(VLOOKUP("RIDER RATE 2",'Misc. Data &amp; Mechanisms'!$E$601:$I$631,HLOOKUP('Personalized Bill Menu'!$B$22, 'Misc. Data &amp; Mechanisms'!$E$599:$I$600, 2, FALSE), FALSE), 'Misc. Data &amp; Mechanisms'!$A$599:$C$659, 2, FALSE), FALSE) = "", "", VLOOKUP($A10, INDIRECT("'" &amp; 'Personalized Bill Menu'!$B$22 &amp; "'!" &amp;"$A$4:$CA$100"), VLOOKUP(VLOOKUP("RIDER RATE 2",'Misc. Data &amp; Mechanisms'!$E$601:$I$631,HLOOKUP('Personalized Bill Menu'!$B$22, 'Misc. Data &amp; Mechanisms'!$E$599:$I$600, 2, FALSE), FALSE), 'Misc. Data &amp; Mechanisms'!$A$599:$C$659, 2, FALSE), FALSE)), ""))</f>
        <v>1.5588</v>
      </c>
      <c r="AD10" s="69" t="str">
        <f ca="1">IF($A10="", "",IFERROR(IF(VLOOKUP($A10, INDIRECT("'" &amp; 'Personalized Bill Menu'!$B$22 &amp; "'!" &amp;"$A$4:$CA$100"), VLOOKUP(VLOOKUP("RIDER RATE 3",'Misc. Data &amp; Mechanisms'!$E$601:$I$631,HLOOKUP('Personalized Bill Menu'!$B$22, 'Misc. Data &amp; Mechanisms'!$E$599:$I$600, 2, FALSE), FALSE), 'Misc. Data &amp; Mechanisms'!$A$599:$C$659, 2, FALSE), FALSE) = "", "", VLOOKUP($A10, INDIRECT("'" &amp; 'Personalized Bill Menu'!$B$22 &amp; "'!" &amp;"$A$4:$CA$100"), VLOOKUP(VLOOKUP("RIDER RATE 3",'Misc. Data &amp; Mechanisms'!$E$601:$I$631,HLOOKUP('Personalized Bill Menu'!$B$22, 'Misc. Data &amp; Mechanisms'!$E$599:$I$600, 2, FALSE), FALSE), 'Misc. Data &amp; Mechanisms'!$A$599:$C$659, 2, FALSE), FALSE)), ""))</f>
        <v/>
      </c>
      <c r="AE10" s="69" t="str">
        <f ca="1">IF($A10="", "",IFERROR(IF(VLOOKUP($A10, INDIRECT("'" &amp; 'Personalized Bill Menu'!$B$22 &amp; "'!" &amp;"$A$4:$CA$100"), VLOOKUP(VLOOKUP("RIDER RATE 4",'Misc. Data &amp; Mechanisms'!$E$601:$I$631,HLOOKUP('Personalized Bill Menu'!$B$22, 'Misc. Data &amp; Mechanisms'!$E$599:$I$600, 2, FALSE), FALSE), 'Misc. Data &amp; Mechanisms'!$A$599:$C$659, 2, FALSE), FALSE) = "", "", VLOOKUP($A10, INDIRECT("'" &amp; 'Personalized Bill Menu'!$B$22 &amp; "'!" &amp;"$A$4:$CA$100"), VLOOKUP(VLOOKUP("RIDER RATE 4",'Misc. Data &amp; Mechanisms'!$E$601:$I$631,HLOOKUP('Personalized Bill Menu'!$B$22, 'Misc. Data &amp; Mechanisms'!$E$599:$I$600, 2, FALSE), FALSE), 'Misc. Data &amp; Mechanisms'!$A$599:$C$659, 2, FALSE), FALSE)), ""))</f>
        <v/>
      </c>
      <c r="AF10" s="90" t="str">
        <f ca="1">IF($A10="", "",IFERROR(IF(VLOOKUP($A10, INDIRECT("'" &amp; 'Personalized Bill Menu'!$B$22 &amp; "'!" &amp;"$A$4:$CA$100"), VLOOKUP(VLOOKUP("RIDER RATE 5",'Misc. Data &amp; Mechanisms'!$E$601:$I$631,HLOOKUP('Personalized Bill Menu'!$B$22, 'Misc. Data &amp; Mechanisms'!$E$599:$I$600, 2, FALSE), FALSE), 'Misc. Data &amp; Mechanisms'!$A$599:$C$659, 2, FALSE), FALSE) = "", "", VLOOKUP($A10, INDIRECT("'" &amp; 'Personalized Bill Menu'!$B$22 &amp; "'!" &amp;"$A$4:$CA$100"), VLOOKUP(VLOOKUP("RIDER RATE 5",'Misc. Data &amp; Mechanisms'!$E$601:$I$631,HLOOKUP('Personalized Bill Menu'!$B$22, 'Misc. Data &amp; Mechanisms'!$E$599:$I$600, 2, FALSE), FALSE), 'Misc. Data &amp; Mechanisms'!$A$599:$C$659, 2, FALSE), FALSE)), ""))</f>
        <v/>
      </c>
      <c r="AG10" s="90" t="str">
        <f ca="1">IF($A10="", "",IFERROR(IF(VLOOKUP($A10, INDIRECT("'" &amp; 'Personalized Bill Menu'!$B$22 &amp; "'!" &amp;"$A$4:$CA$100"), VLOOKUP(VLOOKUP("RIDER RATE 6",'Misc. Data &amp; Mechanisms'!$E$601:$I$631,HLOOKUP('Personalized Bill Menu'!$B$22, 'Misc. Data &amp; Mechanisms'!$E$599:$I$600, 2, FALSE), FALSE), 'Misc. Data &amp; Mechanisms'!$A$599:$C$659, 2, FALSE), FALSE) = "", "", VLOOKUP($A10, INDIRECT("'" &amp; 'Personalized Bill Menu'!$B$22 &amp; "'!" &amp;"$A$4:$CA$100"), VLOOKUP(VLOOKUP("RIDER RATE 6",'Misc. Data &amp; Mechanisms'!$E$601:$I$631,HLOOKUP('Personalized Bill Menu'!$B$22, 'Misc. Data &amp; Mechanisms'!$E$599:$I$600, 2, FALSE), FALSE), 'Misc. Data &amp; Mechanisms'!$A$599:$C$659, 2, FALSE), FALSE)), ""))</f>
        <v/>
      </c>
      <c r="AH10" s="90" t="str">
        <f ca="1">IF($A10="", "",IFERROR(IF(VLOOKUP($A10, INDIRECT("'" &amp; 'Personalized Bill Menu'!$B$22 &amp; "'!" &amp;"$A$4:$CA$100"), VLOOKUP(VLOOKUP("RIDER RATE 7",'Misc. Data &amp; Mechanisms'!$E$601:$I$631,HLOOKUP('Personalized Bill Menu'!$B$22, 'Misc. Data &amp; Mechanisms'!$E$599:$I$600, 2, FALSE), FALSE), 'Misc. Data &amp; Mechanisms'!$A$599:$C$659, 2, FALSE), FALSE) = "", "", VLOOKUP($A10, INDIRECT("'" &amp; 'Personalized Bill Menu'!$B$22 &amp; "'!" &amp;"$A$4:$CA$100"), VLOOKUP(VLOOKUP("RIDER RATE 7",'Misc. Data &amp; Mechanisms'!$E$601:$I$631,HLOOKUP('Personalized Bill Menu'!$B$22, 'Misc. Data &amp; Mechanisms'!$E$599:$I$600, 2, FALSE), FALSE), 'Misc. Data &amp; Mechanisms'!$A$599:$C$659, 2, FALSE), FALSE)), ""))</f>
        <v/>
      </c>
      <c r="AI10" s="72">
        <f t="shared" ca="1" si="14"/>
        <v>-3.1306341333314687</v>
      </c>
      <c r="AJ10" s="72">
        <f t="shared" ca="1" si="15"/>
        <v>8.6280630958930224</v>
      </c>
      <c r="AK10" s="72">
        <f ca="1">IF($A10="", "", IFERROR(IF($AD$6="%",IF('Personalized Bill Menu'!$B$22="ENMAX", $AD10*$I10, IF(AND($AD10="", 'Personalized Bill Menu'!$B$22="FORTIS"),($AE10/100)*$C10,$AD10*$H10)),($AD10/100)*$C10), 0))</f>
        <v>0</v>
      </c>
      <c r="AL10" s="72">
        <f ca="1">IF($A10="", "", IFERROR(IF('Personalized Bill Menu'!$B$22="ENMAX",$AE10*$B10,IF($AE$6="%",$AE10*($H10+$I10+$J10), IF('Personalized Bill Menu'!$B$22="FORTIS",$AF10*$I10,($AE10/100)*$C10))), 0))</f>
        <v>0</v>
      </c>
      <c r="AM10" s="72" t="str">
        <f>IF($A10="", "", IFERROR(IF('Personalized Bill Menu'!$B$22="EPCOR",($AF10/100)*$C10, IF('Personalized Bill Menu'!$B$22="ATCO",$AF10*1,"")), 0))</f>
        <v/>
      </c>
      <c r="AN10" s="72" t="str">
        <f>IF($A10="", "", IFERROR(IF('Personalized Bill Menu'!$B$22="ATCO",$AG10*$B10,""), 0))</f>
        <v/>
      </c>
      <c r="AO10" s="70" t="str">
        <f>IF($A10="", "", IFERROR(IF('Personalized Bill Menu'!$B$22="ATCO",$AH10*$B10,""), 0))</f>
        <v/>
      </c>
      <c r="AP10" s="81">
        <f>IF('Personalized Bill Menu'!$B$34&lt;&gt;"Natural Gas", 'Personalized Bill Menu'!$K7, "")</f>
        <v>0.23369999999999999</v>
      </c>
      <c r="AQ10" s="72">
        <f t="shared" si="16"/>
        <v>7.0110000000000001</v>
      </c>
      <c r="AR10" s="91">
        <f ca="1">IF($A10="", "",IF(VLOOKUP($A10, INDIRECT("'" &amp; 'Personalized Bill Menu'!$B$22 &amp; "'!" &amp;"$A$4:$CA$100"), VLOOKUP(VLOOKUP(AR$5,'Misc. Data &amp; Mechanisms'!$E$601:$I$631,HLOOKUP('Personalized Bill Menu'!$B$22, 'Misc. Data &amp; Mechanisms'!$E$599:$I$600, 2, FALSE), FALSE), 'Misc. Data &amp; Mechanisms'!$A$599:$C$659, 2, FALSE), FALSE) = "", "", VLOOKUP($A10, INDIRECT("'" &amp; 'Personalized Bill Menu'!$B$22 &amp; "'!" &amp;"$A$4:$CA$100"), VLOOKUP(VLOOKUP(AR$5,'Misc. Data &amp; Mechanisms'!$E$601:$I$631,HLOOKUP('Personalized Bill Menu'!$B$22, 'Misc. Data &amp; Mechanisms'!$E$599:$I$600, 2, FALSE), FALSE), 'Misc. Data &amp; Mechanisms'!$A$599:$C$659, 2, FALSE), FALSE)))</f>
        <v>0.05</v>
      </c>
      <c r="AS10" s="2"/>
      <c r="AT10" s="2"/>
      <c r="AU10" s="2"/>
      <c r="AV10" s="2"/>
      <c r="AW10" s="2"/>
    </row>
    <row r="11" spans="1:49" ht="15" x14ac:dyDescent="0.25">
      <c r="A11" s="83">
        <f>'Personalized Bill Menu'!$H8</f>
        <v>41030</v>
      </c>
      <c r="B11" s="84">
        <f t="shared" si="0"/>
        <v>31</v>
      </c>
      <c r="C11" s="85">
        <f>IF('Personalized Bill Menu'!$B$34&lt;&gt;"Natural Gas", 'Personalized Bill Menu'!$I8, "")</f>
        <v>541.91428860302665</v>
      </c>
      <c r="D11" s="66">
        <f t="shared" ca="1" si="17"/>
        <v>15.34686747432824</v>
      </c>
      <c r="E11" s="66">
        <f ca="1">IFERROR((1+$AR11)*(IF('Personalized Bill Menu'!$B$22="ENMAX", ((1+IFERROR($X11, 0))*($N11+$P11+$R11+$AB11+$AC11))+((1+IF($X11="", 0,$X11))*(IF($AD11="", 0,$AD11)*$R11)), IF('Personalized Bill Menu'!$B$22="EPCOR", ($N11+$P11+$R11+$X11+SUM($AB11:$AE11)), IF('Personalized Bill Menu'!$B$22="ATCO",($N11+((1+IF($AE11="", 0,$AE11))*(1+$X11+$Y11)*($P11+$R11))+SUM($AB11:$AD11)),IF($AD11="",$N11+((1+$X11+$Y11)*($P11+$R11))+$AB11+$AE11+(IF($AC11="", 0, $AC11)*$P11)+($R11*IF($AF11="", 0, $AF11)),$N11+((1+$X11+$Y11)*($P11+$R11))+$AB11+($AD11*$P11)+(IF($AC11="", 0, $AC11)*$P11)+($R11*IF($AF11="", 0, $AF11))))))), "")</f>
        <v>11.6510334885</v>
      </c>
      <c r="F11" s="1469">
        <f t="shared" ca="1" si="1"/>
        <v>83.166867696355169</v>
      </c>
      <c r="G11" s="66">
        <f t="shared" si="2"/>
        <v>34.413724983446599</v>
      </c>
      <c r="H11" s="66">
        <f t="shared" ca="1" si="3"/>
        <v>10.547277799080707</v>
      </c>
      <c r="I11" s="66">
        <f t="shared" ca="1" si="4"/>
        <v>14.423008762985887</v>
      </c>
      <c r="J11" s="66">
        <f t="shared" ca="1" si="5"/>
        <v>7.1955364032769404</v>
      </c>
      <c r="K11" s="66">
        <f t="shared" ca="1" si="6"/>
        <v>5.3822927144052599</v>
      </c>
      <c r="L11" s="66">
        <f t="shared" si="7"/>
        <v>7.2446999999999999</v>
      </c>
      <c r="M11" s="68">
        <f t="shared" ca="1" si="8"/>
        <v>3.96032703315977</v>
      </c>
      <c r="N11" s="69">
        <f>IF('Personalized Bill Menu'!$B$34&lt;&gt;"Natural Gas", 'Personalized Bill Menu'!$J8, "")</f>
        <v>6.3503999999999996</v>
      </c>
      <c r="O11" s="70">
        <f t="shared" si="9"/>
        <v>34.413724983446599</v>
      </c>
      <c r="P11" s="71">
        <f ca="1">IF($A11="", "",IFERROR(IF(VLOOKUP($A11, INDIRECT("'" &amp; 'Personalized Bill Menu'!$B$22 &amp; "'!" &amp;"$A$4:$CA$100"), VLOOKUP(VLOOKUP(P$5,'Misc. Data &amp; Mechanisms'!$E$601:$I$631,HLOOKUP('Personalized Bill Menu'!$B$22, 'Misc. Data &amp; Mechanisms'!$E$599:$I$600, 2, FALSE), FALSE), 'Misc. Data &amp; Mechanisms'!$A$599:$C$659, 2, FALSE), FALSE) = "", "", VLOOKUP($A11, INDIRECT("'" &amp; 'Personalized Bill Menu'!$B$22 &amp; "'!" &amp;"$A$4:$CA$100"), VLOOKUP(VLOOKUP(P$5,'Misc. Data &amp; Mechanisms'!$E$601:$I$631,HLOOKUP('Personalized Bill Menu'!$B$22, 'Misc. Data &amp; Mechanisms'!$E$599:$I$600, 2, FALSE), FALSE), 'Misc. Data &amp; Mechanisms'!$A$599:$C$659, 2, FALSE), FALSE)), ""))</f>
        <v>1.9462999999999999</v>
      </c>
      <c r="Q11" s="72">
        <f t="shared" ca="1" si="10"/>
        <v>10.547277799080707</v>
      </c>
      <c r="R11" s="87">
        <f ca="1">IF($A11="", "",IFERROR(IF(VLOOKUP($A11, INDIRECT("'" &amp; 'Personalized Bill Menu'!$B$22 &amp; "'!" &amp;"$A$4:$CA$100"), VLOOKUP(VLOOKUP(R$5,'Misc. Data &amp; Mechanisms'!$E$601:$I$631,HLOOKUP('Personalized Bill Menu'!$B$22, 'Misc. Data &amp; Mechanisms'!$E$599:$I$600, 2, FALSE), FALSE), 'Misc. Data &amp; Mechanisms'!$A$599:$C$659, 2, FALSE), FALSE) = "", "", VLOOKUP($A11, INDIRECT("'" &amp; 'Personalized Bill Menu'!$B$22 &amp; "'!" &amp;"$A$4:$CA$100"), VLOOKUP(VLOOKUP(R$5,'Misc. Data &amp; Mechanisms'!$E$601:$I$631,HLOOKUP('Personalized Bill Menu'!$B$22, 'Misc. Data &amp; Mechanisms'!$E$599:$I$600, 2, FALSE), FALSE), 'Misc. Data &amp; Mechanisms'!$A$599:$C$659, 2, FALSE), FALSE)), ""))</f>
        <v>0.69679999999999997</v>
      </c>
      <c r="S11" s="88">
        <f ca="1">IF($A11="", "",IFERROR(IF(VLOOKUP($A11, INDIRECT("'" &amp; 'Personalized Bill Menu'!$B$22 &amp; "'!" &amp;"$A$4:$CA$100"), VLOOKUP(VLOOKUP(S$5,'Misc. Data &amp; Mechanisms'!$E$601:$I$631,HLOOKUP('Personalized Bill Menu'!$B$22, 'Misc. Data &amp; Mechanisms'!$E$599:$I$600, 2, FALSE), FALSE), 'Misc. Data &amp; Mechanisms'!$A$599:$C$659, 2, FALSE), FALSE) = "", "", VLOOKUP($A11, INDIRECT("'" &amp; 'Personalized Bill Menu'!$B$22 &amp; "'!" &amp;"$A$4:$CA$100"), VLOOKUP(VLOOKUP(S$5,'Misc. Data &amp; Mechanisms'!$E$601:$I$631,HLOOKUP('Personalized Bill Menu'!$B$22, 'Misc. Data &amp; Mechanisms'!$E$599:$I$600, 2, FALSE), FALSE), 'Misc. Data &amp; Mechanisms'!$A$599:$C$659, 2, FALSE), FALSE)), ""))</f>
        <v>0.34344999999999998</v>
      </c>
      <c r="T11" s="81" t="str">
        <f ca="1">IF($A11="", "",IFERROR(IF(VLOOKUP($A11, INDIRECT("'" &amp; 'Personalized Bill Menu'!$B$22 &amp; "'!" &amp;"$A$4:$CA$100"), VLOOKUP(VLOOKUP(T$5,'Misc. Data &amp; Mechanisms'!$E$601:$I$631,HLOOKUP('Personalized Bill Menu'!$B$22, 'Misc. Data &amp; Mechanisms'!$E$599:$I$600, 2, FALSE), FALSE), 'Misc. Data &amp; Mechanisms'!$A$599:$C$659, 2, FALSE), FALSE) = "", "", VLOOKUP($A11, INDIRECT("'" &amp; 'Personalized Bill Menu'!$B$22 &amp; "'!" &amp;"$A$4:$CA$100"), VLOOKUP(VLOOKUP(T$5,'Misc. Data &amp; Mechanisms'!$E$601:$I$631,HLOOKUP('Personalized Bill Menu'!$B$22, 'Misc. Data &amp; Mechanisms'!$E$599:$I$600, 2, FALSE), FALSE), 'Misc. Data &amp; Mechanisms'!$A$599:$C$659, 2, FALSE), FALSE)), ""))</f>
        <v/>
      </c>
      <c r="U11" s="72">
        <f t="shared" ca="1" si="11"/>
        <v>3.7760587629858895</v>
      </c>
      <c r="V11" s="72">
        <f t="shared" ca="1" si="12"/>
        <v>10.646949999999999</v>
      </c>
      <c r="W11" s="70" t="str">
        <f t="shared" si="13"/>
        <v/>
      </c>
      <c r="X11" s="78">
        <f>IFERROR(IF(VLOOKUP($A11,'Misc. Data &amp; Mechanisms'!$A$63:$DY$152,HLOOKUP('Personalized Bill Menu'!$B$21&amp;"_"&amp;'Personalized Bill Menu'!$B$22&amp;"_Elec_Y_1",'Misc. Data &amp; Mechanisms'!$A$55:$DY$62,8,FALSE), FALSE)="", "", VLOOKUP($A11,'Misc. Data &amp; Mechanisms'!$A$63:$DY$152,HLOOKUP('Personalized Bill Menu'!$B$21&amp;"_"&amp;'Personalized Bill Menu'!$B$22&amp;"_Elec_Y_1",'Misc. Data &amp; Mechanisms'!$A$55:$DY$62,8,FALSE), FALSE)), "")</f>
        <v>0.1111</v>
      </c>
      <c r="Y11" s="78" t="str">
        <f>IFERROR(IF(VLOOKUP($A11,'Misc. Data &amp; Mechanisms'!$A$63:$DY$152,HLOOKUP('Personalized Bill Menu'!$B$21&amp;"_"&amp;'Personalized Bill Menu'!$B$22&amp;"_Elec_Y_2",'Misc. Data &amp; Mechanisms'!$A$55:$DY$62,8,FALSE), FALSE)="", "", VLOOKUP($A11,'Misc. Data &amp; Mechanisms'!$A$63:$DY$152,HLOOKUP('Personalized Bill Menu'!$B$21&amp;"_"&amp;'Personalized Bill Menu'!$B$22&amp;"_Elec_Y_2",'Misc. Data &amp; Mechanisms'!$A$55:$DY$62,8,FALSE), FALSE)), "")</f>
        <v/>
      </c>
      <c r="Z11" s="72">
        <f ca="1">IF($A11="", "",IFERROR(IF(OR('Personalized Bill Menu'!$B$22="FORTIS", 'Personalized Bill Menu'!$B$22="ATCO"), $X11*($H11+$I11), IF('Personalized Bill Menu'!$B$22="ENMAX",$X11*($H11+$I11+$K11),($X11/100)*$C11)), 0))</f>
        <v>3.3721715576160229</v>
      </c>
      <c r="AA11" s="72">
        <f>IF($A11="", "", IFERROR(IF(OR('Personalized Bill Menu'!$B$22="FORTIS", 'Personalized Bill Menu'!$B$22="ATCO"), $Y11*($H11+$I11), IF('Personalized Bill Menu'!$B$22="ENMAX",$X11*$G11,"")), 0))</f>
        <v>3.8233648456609175</v>
      </c>
      <c r="AB11" s="89">
        <f ca="1">IF($A11="", "",IFERROR(IF(VLOOKUP($A11, INDIRECT("'" &amp; 'Personalized Bill Menu'!$B$22 &amp; "'!" &amp;"$A$4:$CA$100"), VLOOKUP(VLOOKUP("RIDER RATE 1",'Misc. Data &amp; Mechanisms'!$E$601:$I$631,HLOOKUP('Personalized Bill Menu'!$B$22, 'Misc. Data &amp; Mechanisms'!$E$599:$I$600, 2, FALSE), FALSE), 'Misc. Data &amp; Mechanisms'!$A$599:$C$659, 2, FALSE), FALSE) = "", "", VLOOKUP($A11, INDIRECT("'" &amp; 'Personalized Bill Menu'!$B$22 &amp; "'!" &amp;"$A$4:$CA$100"), VLOOKUP(VLOOKUP("RIDER RATE 1",'Misc. Data &amp; Mechanisms'!$E$601:$I$631,HLOOKUP('Personalized Bill Menu'!$B$22, 'Misc. Data &amp; Mechanisms'!$E$599:$I$600, 2, FALSE), FALSE), 'Misc. Data &amp; Mechanisms'!$A$599:$C$659, 2, FALSE), FALSE)), ""))</f>
        <v>-0.56559999999999999</v>
      </c>
      <c r="AC11" s="69">
        <f ca="1">IF($A11="", "",IFERROR(IF(VLOOKUP($A11, INDIRECT("'" &amp; 'Personalized Bill Menu'!$B$22 &amp; "'!" &amp;"$A$4:$CA$100"), VLOOKUP(VLOOKUP("RIDER RATE 2",'Misc. Data &amp; Mechanisms'!$E$601:$I$631,HLOOKUP('Personalized Bill Menu'!$B$22, 'Misc. Data &amp; Mechanisms'!$E$599:$I$600, 2, FALSE), FALSE), 'Misc. Data &amp; Mechanisms'!$A$599:$C$659, 2, FALSE), FALSE) = "", "", VLOOKUP($A11, INDIRECT("'" &amp; 'Personalized Bill Menu'!$B$22 &amp; "'!" &amp;"$A$4:$CA$100"), VLOOKUP(VLOOKUP("RIDER RATE 2",'Misc. Data &amp; Mechanisms'!$E$601:$I$631,HLOOKUP('Personalized Bill Menu'!$B$22, 'Misc. Data &amp; Mechanisms'!$E$599:$I$600, 2, FALSE), FALSE), 'Misc. Data &amp; Mechanisms'!$A$599:$C$659, 2, FALSE), FALSE)), ""))</f>
        <v>1.5588</v>
      </c>
      <c r="AD11" s="69" t="str">
        <f ca="1">IF($A11="", "",IFERROR(IF(VLOOKUP($A11, INDIRECT("'" &amp; 'Personalized Bill Menu'!$B$22 &amp; "'!" &amp;"$A$4:$CA$100"), VLOOKUP(VLOOKUP("RIDER RATE 3",'Misc. Data &amp; Mechanisms'!$E$601:$I$631,HLOOKUP('Personalized Bill Menu'!$B$22, 'Misc. Data &amp; Mechanisms'!$E$599:$I$600, 2, FALSE), FALSE), 'Misc. Data &amp; Mechanisms'!$A$599:$C$659, 2, FALSE), FALSE) = "", "", VLOOKUP($A11, INDIRECT("'" &amp; 'Personalized Bill Menu'!$B$22 &amp; "'!" &amp;"$A$4:$CA$100"), VLOOKUP(VLOOKUP("RIDER RATE 3",'Misc. Data &amp; Mechanisms'!$E$601:$I$631,HLOOKUP('Personalized Bill Menu'!$B$22, 'Misc. Data &amp; Mechanisms'!$E$599:$I$600, 2, FALSE), FALSE), 'Misc. Data &amp; Mechanisms'!$A$599:$C$659, 2, FALSE), FALSE)), ""))</f>
        <v/>
      </c>
      <c r="AE11" s="69" t="str">
        <f ca="1">IF($A11="", "",IFERROR(IF(VLOOKUP($A11, INDIRECT("'" &amp; 'Personalized Bill Menu'!$B$22 &amp; "'!" &amp;"$A$4:$CA$100"), VLOOKUP(VLOOKUP("RIDER RATE 4",'Misc. Data &amp; Mechanisms'!$E$601:$I$631,HLOOKUP('Personalized Bill Menu'!$B$22, 'Misc. Data &amp; Mechanisms'!$E$599:$I$600, 2, FALSE), FALSE), 'Misc. Data &amp; Mechanisms'!$A$599:$C$659, 2, FALSE), FALSE) = "", "", VLOOKUP($A11, INDIRECT("'" &amp; 'Personalized Bill Menu'!$B$22 &amp; "'!" &amp;"$A$4:$CA$100"), VLOOKUP(VLOOKUP("RIDER RATE 4",'Misc. Data &amp; Mechanisms'!$E$601:$I$631,HLOOKUP('Personalized Bill Menu'!$B$22, 'Misc. Data &amp; Mechanisms'!$E$599:$I$600, 2, FALSE), FALSE), 'Misc. Data &amp; Mechanisms'!$A$599:$C$659, 2, FALSE), FALSE)), ""))</f>
        <v/>
      </c>
      <c r="AF11" s="90" t="str">
        <f ca="1">IF($A11="", "",IFERROR(IF(VLOOKUP($A11, INDIRECT("'" &amp; 'Personalized Bill Menu'!$B$22 &amp; "'!" &amp;"$A$4:$CA$100"), VLOOKUP(VLOOKUP("RIDER RATE 5",'Misc. Data &amp; Mechanisms'!$E$601:$I$631,HLOOKUP('Personalized Bill Menu'!$B$22, 'Misc. Data &amp; Mechanisms'!$E$599:$I$600, 2, FALSE), FALSE), 'Misc. Data &amp; Mechanisms'!$A$599:$C$659, 2, FALSE), FALSE) = "", "", VLOOKUP($A11, INDIRECT("'" &amp; 'Personalized Bill Menu'!$B$22 &amp; "'!" &amp;"$A$4:$CA$100"), VLOOKUP(VLOOKUP("RIDER RATE 5",'Misc. Data &amp; Mechanisms'!$E$601:$I$631,HLOOKUP('Personalized Bill Menu'!$B$22, 'Misc. Data &amp; Mechanisms'!$E$599:$I$600, 2, FALSE), FALSE), 'Misc. Data &amp; Mechanisms'!$A$599:$C$659, 2, FALSE), FALSE)), ""))</f>
        <v/>
      </c>
      <c r="AG11" s="90" t="str">
        <f ca="1">IF($A11="", "",IFERROR(IF(VLOOKUP($A11, INDIRECT("'" &amp; 'Personalized Bill Menu'!$B$22 &amp; "'!" &amp;"$A$4:$CA$100"), VLOOKUP(VLOOKUP("RIDER RATE 6",'Misc. Data &amp; Mechanisms'!$E$601:$I$631,HLOOKUP('Personalized Bill Menu'!$B$22, 'Misc. Data &amp; Mechanisms'!$E$599:$I$600, 2, FALSE), FALSE), 'Misc. Data &amp; Mechanisms'!$A$599:$C$659, 2, FALSE), FALSE) = "", "", VLOOKUP($A11, INDIRECT("'" &amp; 'Personalized Bill Menu'!$B$22 &amp; "'!" &amp;"$A$4:$CA$100"), VLOOKUP(VLOOKUP("RIDER RATE 6",'Misc. Data &amp; Mechanisms'!$E$601:$I$631,HLOOKUP('Personalized Bill Menu'!$B$22, 'Misc. Data &amp; Mechanisms'!$E$599:$I$600, 2, FALSE), FALSE), 'Misc. Data &amp; Mechanisms'!$A$599:$C$659, 2, FALSE), FALSE)), ""))</f>
        <v/>
      </c>
      <c r="AH11" s="90" t="str">
        <f ca="1">IF($A11="", "",IFERROR(IF(VLOOKUP($A11, INDIRECT("'" &amp; 'Personalized Bill Menu'!$B$22 &amp; "'!" &amp;"$A$4:$CA$100"), VLOOKUP(VLOOKUP("RIDER RATE 7",'Misc. Data &amp; Mechanisms'!$E$601:$I$631,HLOOKUP('Personalized Bill Menu'!$B$22, 'Misc. Data &amp; Mechanisms'!$E$599:$I$600, 2, FALSE), FALSE), 'Misc. Data &amp; Mechanisms'!$A$599:$C$659, 2, FALSE), FALSE) = "", "", VLOOKUP($A11, INDIRECT("'" &amp; 'Personalized Bill Menu'!$B$22 &amp; "'!" &amp;"$A$4:$CA$100"), VLOOKUP(VLOOKUP("RIDER RATE 7",'Misc. Data &amp; Mechanisms'!$E$601:$I$631,HLOOKUP('Personalized Bill Menu'!$B$22, 'Misc. Data &amp; Mechanisms'!$E$599:$I$600, 2, FALSE), FALSE), 'Misc. Data &amp; Mechanisms'!$A$599:$C$659, 2, FALSE), FALSE)), ""))</f>
        <v/>
      </c>
      <c r="AI11" s="72">
        <f t="shared" ca="1" si="14"/>
        <v>-3.0650672163387185</v>
      </c>
      <c r="AJ11" s="72">
        <f t="shared" ca="1" si="15"/>
        <v>8.4473599307439784</v>
      </c>
      <c r="AK11" s="72">
        <f ca="1">IF($A11="", "", IFERROR(IF($AD$6="%",IF('Personalized Bill Menu'!$B$22="ENMAX", $AD11*$I11, IF(AND($AD11="", 'Personalized Bill Menu'!$B$22="FORTIS"),($AE11/100)*$C11,$AD11*$H11)),($AD11/100)*$C11), 0))</f>
        <v>0</v>
      </c>
      <c r="AL11" s="72">
        <f ca="1">IF($A11="", "", IFERROR(IF('Personalized Bill Menu'!$B$22="ENMAX",$AE11*$B11,IF($AE$6="%",$AE11*($H11+$I11+$J11), IF('Personalized Bill Menu'!$B$22="FORTIS",$AF11*$I11,($AE11/100)*$C11))), 0))</f>
        <v>0</v>
      </c>
      <c r="AM11" s="72" t="str">
        <f>IF($A11="", "", IFERROR(IF('Personalized Bill Menu'!$B$22="EPCOR",($AF11/100)*$C11, IF('Personalized Bill Menu'!$B$22="ATCO",$AF11*1,"")), 0))</f>
        <v/>
      </c>
      <c r="AN11" s="72" t="str">
        <f>IF($A11="", "", IFERROR(IF('Personalized Bill Menu'!$B$22="ATCO",$AG11*$B11,""), 0))</f>
        <v/>
      </c>
      <c r="AO11" s="70" t="str">
        <f>IF($A11="", "", IFERROR(IF('Personalized Bill Menu'!$B$22="ATCO",$AH11*$B11,""), 0))</f>
        <v/>
      </c>
      <c r="AP11" s="81">
        <f>IF('Personalized Bill Menu'!$B$34&lt;&gt;"Natural Gas", 'Personalized Bill Menu'!$K8, "")</f>
        <v>0.23369999999999999</v>
      </c>
      <c r="AQ11" s="72">
        <f t="shared" si="16"/>
        <v>7.2446999999999999</v>
      </c>
      <c r="AR11" s="91">
        <f ca="1">IF($A11="", "",IF(VLOOKUP($A11, INDIRECT("'" &amp; 'Personalized Bill Menu'!$B$22 &amp; "'!" &amp;"$A$4:$CA$100"), VLOOKUP(VLOOKUP(AR$5,'Misc. Data &amp; Mechanisms'!$E$601:$I$631,HLOOKUP('Personalized Bill Menu'!$B$22, 'Misc. Data &amp; Mechanisms'!$E$599:$I$600, 2, FALSE), FALSE), 'Misc. Data &amp; Mechanisms'!$A$599:$C$659, 2, FALSE), FALSE) = "", "", VLOOKUP($A11, INDIRECT("'" &amp; 'Personalized Bill Menu'!$B$22 &amp; "'!" &amp;"$A$4:$CA$100"), VLOOKUP(VLOOKUP(AR$5,'Misc. Data &amp; Mechanisms'!$E$601:$I$631,HLOOKUP('Personalized Bill Menu'!$B$22, 'Misc. Data &amp; Mechanisms'!$E$599:$I$600, 2, FALSE), FALSE), 'Misc. Data &amp; Mechanisms'!$A$599:$C$659, 2, FALSE), FALSE)))</f>
        <v>0.05</v>
      </c>
      <c r="AS11" s="2"/>
      <c r="AT11" s="2"/>
      <c r="AU11" s="2"/>
      <c r="AV11" s="2"/>
      <c r="AW11" s="2"/>
    </row>
    <row r="12" spans="1:49" ht="15" x14ac:dyDescent="0.25">
      <c r="A12" s="83">
        <f>'Personalized Bill Menu'!$H9</f>
        <v>41061</v>
      </c>
      <c r="B12" s="84">
        <f t="shared" si="0"/>
        <v>30</v>
      </c>
      <c r="C12" s="85">
        <f>IF('Personalized Bill Menu'!$B$34&lt;&gt;"Natural Gas", 'Personalized Bill Menu'!$I9, "")</f>
        <v>515.57253474242975</v>
      </c>
      <c r="D12" s="66">
        <f t="shared" ca="1" si="17"/>
        <v>16.955385424134597</v>
      </c>
      <c r="E12" s="66">
        <f ca="1">IFERROR((1+$AR12)*(IF('Personalized Bill Menu'!$B$22="ENMAX", ((1+IFERROR($X12, 0))*($N12+$P12+$R12+$AB12+$AC12))+((1+IF($X12="", 0,$X12))*(IF($AD12="", 0,$AD12)*$R12)), IF('Personalized Bill Menu'!$B$22="EPCOR", ($N12+$P12+$R12+$X12+SUM($AB12:$AE12)), IF('Personalized Bill Menu'!$B$22="ATCO",($N12+((1+IF($AE12="", 0,$AE12))*(1+$X12+$Y12)*($P12+$R12))+SUM($AB12:$AD12)),IF($AD12="",$N12+((1+$X12+$Y12)*($P12+$R12))+$AB12+$AE12+(IF($AC12="", 0, $AC12)*$P12)+($R12*IF($AF12="", 0, $AF12)),$N12+((1+$X12+$Y12)*($P12+$R12))+$AB12+($AD12*$P12)+(IF($AC12="", 0, $AC12)*$P12)+($R12*IF($AF12="", 0, $AF12))))))), "")</f>
        <v>13.196034704999999</v>
      </c>
      <c r="F12" s="1469">
        <f t="shared" ca="1" si="1"/>
        <v>87.41731040655921</v>
      </c>
      <c r="G12" s="66">
        <f t="shared" si="2"/>
        <v>39.568645323877256</v>
      </c>
      <c r="H12" s="66">
        <f t="shared" ca="1" si="3"/>
        <v>10.034588243691909</v>
      </c>
      <c r="I12" s="66">
        <f t="shared" ca="1" si="4"/>
        <v>13.89600942208525</v>
      </c>
      <c r="J12" s="66">
        <f t="shared" ca="1" si="5"/>
        <v>7.6236719348639728</v>
      </c>
      <c r="K12" s="66">
        <f t="shared" ca="1" si="6"/>
        <v>5.1206664150618124</v>
      </c>
      <c r="L12" s="66">
        <f t="shared" si="7"/>
        <v>7.0110000000000001</v>
      </c>
      <c r="M12" s="68">
        <f t="shared" ca="1" si="8"/>
        <v>4.1627290669790105</v>
      </c>
      <c r="N12" s="69">
        <f>IF('Personalized Bill Menu'!$B$34&lt;&gt;"Natural Gas", 'Personalized Bill Menu'!$J9, "")</f>
        <v>7.6746999999999996</v>
      </c>
      <c r="O12" s="70">
        <f t="shared" si="9"/>
        <v>39.568645323877256</v>
      </c>
      <c r="P12" s="71">
        <f ca="1">IF($A12="", "",IFERROR(IF(VLOOKUP($A12, INDIRECT("'" &amp; 'Personalized Bill Menu'!$B$22 &amp; "'!" &amp;"$A$4:$CA$100"), VLOOKUP(VLOOKUP(P$5,'Misc. Data &amp; Mechanisms'!$E$601:$I$631,HLOOKUP('Personalized Bill Menu'!$B$22, 'Misc. Data &amp; Mechanisms'!$E$599:$I$600, 2, FALSE), FALSE), 'Misc. Data &amp; Mechanisms'!$A$599:$C$659, 2, FALSE), FALSE) = "", "", VLOOKUP($A12, INDIRECT("'" &amp; 'Personalized Bill Menu'!$B$22 &amp; "'!" &amp;"$A$4:$CA$100"), VLOOKUP(VLOOKUP(P$5,'Misc. Data &amp; Mechanisms'!$E$601:$I$631,HLOOKUP('Personalized Bill Menu'!$B$22, 'Misc. Data &amp; Mechanisms'!$E$599:$I$600, 2, FALSE), FALSE), 'Misc. Data &amp; Mechanisms'!$A$599:$C$659, 2, FALSE), FALSE)), ""))</f>
        <v>1.9462999999999999</v>
      </c>
      <c r="Q12" s="72">
        <f t="shared" ca="1" si="10"/>
        <v>10.034588243691909</v>
      </c>
      <c r="R12" s="87">
        <f ca="1">IF($A12="", "",IFERROR(IF(VLOOKUP($A12, INDIRECT("'" &amp; 'Personalized Bill Menu'!$B$22 &amp; "'!" &amp;"$A$4:$CA$100"), VLOOKUP(VLOOKUP(R$5,'Misc. Data &amp; Mechanisms'!$E$601:$I$631,HLOOKUP('Personalized Bill Menu'!$B$22, 'Misc. Data &amp; Mechanisms'!$E$599:$I$600, 2, FALSE), FALSE), 'Misc. Data &amp; Mechanisms'!$A$599:$C$659, 2, FALSE), FALSE) = "", "", VLOOKUP($A12, INDIRECT("'" &amp; 'Personalized Bill Menu'!$B$22 &amp; "'!" &amp;"$A$4:$CA$100"), VLOOKUP(VLOOKUP(R$5,'Misc. Data &amp; Mechanisms'!$E$601:$I$631,HLOOKUP('Personalized Bill Menu'!$B$22, 'Misc. Data &amp; Mechanisms'!$E$599:$I$600, 2, FALSE), FALSE), 'Misc. Data &amp; Mechanisms'!$A$599:$C$659, 2, FALSE), FALSE)), ""))</f>
        <v>0.69679999999999997</v>
      </c>
      <c r="S12" s="88">
        <f ca="1">IF($A12="", "",IFERROR(IF(VLOOKUP($A12, INDIRECT("'" &amp; 'Personalized Bill Menu'!$B$22 &amp; "'!" &amp;"$A$4:$CA$100"), VLOOKUP(VLOOKUP(S$5,'Misc. Data &amp; Mechanisms'!$E$601:$I$631,HLOOKUP('Personalized Bill Menu'!$B$22, 'Misc. Data &amp; Mechanisms'!$E$599:$I$600, 2, FALSE), FALSE), 'Misc. Data &amp; Mechanisms'!$A$599:$C$659, 2, FALSE), FALSE) = "", "", VLOOKUP($A12, INDIRECT("'" &amp; 'Personalized Bill Menu'!$B$22 &amp; "'!" &amp;"$A$4:$CA$100"), VLOOKUP(VLOOKUP(S$5,'Misc. Data &amp; Mechanisms'!$E$601:$I$631,HLOOKUP('Personalized Bill Menu'!$B$22, 'Misc. Data &amp; Mechanisms'!$E$599:$I$600, 2, FALSE), FALSE), 'Misc. Data &amp; Mechanisms'!$A$599:$C$659, 2, FALSE), FALSE)), ""))</f>
        <v>0.34344999999999998</v>
      </c>
      <c r="T12" s="81" t="str">
        <f ca="1">IF($A12="", "",IFERROR(IF(VLOOKUP($A12, INDIRECT("'" &amp; 'Personalized Bill Menu'!$B$22 &amp; "'!" &amp;"$A$4:$CA$100"), VLOOKUP(VLOOKUP(T$5,'Misc. Data &amp; Mechanisms'!$E$601:$I$631,HLOOKUP('Personalized Bill Menu'!$B$22, 'Misc. Data &amp; Mechanisms'!$E$599:$I$600, 2, FALSE), FALSE), 'Misc. Data &amp; Mechanisms'!$A$599:$C$659, 2, FALSE), FALSE) = "", "", VLOOKUP($A12, INDIRECT("'" &amp; 'Personalized Bill Menu'!$B$22 &amp; "'!" &amp;"$A$4:$CA$100"), VLOOKUP(VLOOKUP(T$5,'Misc. Data &amp; Mechanisms'!$E$601:$I$631,HLOOKUP('Personalized Bill Menu'!$B$22, 'Misc. Data &amp; Mechanisms'!$E$599:$I$600, 2, FALSE), FALSE), 'Misc. Data &amp; Mechanisms'!$A$599:$C$659, 2, FALSE), FALSE)), ""))</f>
        <v/>
      </c>
      <c r="U12" s="72">
        <f t="shared" ca="1" si="11"/>
        <v>3.59250942208525</v>
      </c>
      <c r="V12" s="72">
        <f t="shared" ca="1" si="12"/>
        <v>10.3035</v>
      </c>
      <c r="W12" s="70" t="str">
        <f t="shared" si="13"/>
        <v/>
      </c>
      <c r="X12" s="78">
        <f>IFERROR(IF(VLOOKUP($A12,'Misc. Data &amp; Mechanisms'!$A$63:$DY$152,HLOOKUP('Personalized Bill Menu'!$B$21&amp;"_"&amp;'Personalized Bill Menu'!$B$22&amp;"_Elec_Y_1",'Misc. Data &amp; Mechanisms'!$A$55:$DY$62,8,FALSE), FALSE)="", "", VLOOKUP($A12,'Misc. Data &amp; Mechanisms'!$A$63:$DY$152,HLOOKUP('Personalized Bill Menu'!$B$21&amp;"_"&amp;'Personalized Bill Menu'!$B$22&amp;"_Elec_Y_1",'Misc. Data &amp; Mechanisms'!$A$55:$DY$62,8,FALSE), FALSE)), "")</f>
        <v>0.1111</v>
      </c>
      <c r="Y12" s="78" t="str">
        <f>IFERROR(IF(VLOOKUP($A12,'Misc. Data &amp; Mechanisms'!$A$63:$DY$152,HLOOKUP('Personalized Bill Menu'!$B$21&amp;"_"&amp;'Personalized Bill Menu'!$B$22&amp;"_Elec_Y_2",'Misc. Data &amp; Mechanisms'!$A$55:$DY$62,8,FALSE), FALSE)="", "", VLOOKUP($A12,'Misc. Data &amp; Mechanisms'!$A$63:$DY$152,HLOOKUP('Personalized Bill Menu'!$B$21&amp;"_"&amp;'Personalized Bill Menu'!$B$22&amp;"_Elec_Y_2",'Misc. Data &amp; Mechanisms'!$A$55:$DY$62,8,FALSE), FALSE)), "")</f>
        <v/>
      </c>
      <c r="Z12" s="72">
        <f ca="1">IF($A12="", "",IFERROR(IF(OR('Personalized Bill Menu'!$B$22="FORTIS", 'Personalized Bill Menu'!$B$22="ATCO"), $X12*($H12+$I12), IF('Personalized Bill Menu'!$B$22="ENMAX",$X12*($H12+$I12+$K12),($X12/100)*$C12)), 0))</f>
        <v>3.2275954393812096</v>
      </c>
      <c r="AA12" s="72">
        <f>IF($A12="", "", IFERROR(IF(OR('Personalized Bill Menu'!$B$22="FORTIS", 'Personalized Bill Menu'!$B$22="ATCO"), $Y12*($H12+$I12), IF('Personalized Bill Menu'!$B$22="ENMAX",$X12*$G12,"")), 0))</f>
        <v>4.3960764954827631</v>
      </c>
      <c r="AB12" s="89">
        <f ca="1">IF($A12="", "",IFERROR(IF(VLOOKUP($A12, INDIRECT("'" &amp; 'Personalized Bill Menu'!$B$22 &amp; "'!" &amp;"$A$4:$CA$100"), VLOOKUP(VLOOKUP("RIDER RATE 1",'Misc. Data &amp; Mechanisms'!$E$601:$I$631,HLOOKUP('Personalized Bill Menu'!$B$22, 'Misc. Data &amp; Mechanisms'!$E$599:$I$600, 2, FALSE), FALSE), 'Misc. Data &amp; Mechanisms'!$A$599:$C$659, 2, FALSE), FALSE) = "", "", VLOOKUP($A12, INDIRECT("'" &amp; 'Personalized Bill Menu'!$B$22 &amp; "'!" &amp;"$A$4:$CA$100"), VLOOKUP(VLOOKUP("RIDER RATE 1",'Misc. Data &amp; Mechanisms'!$E$601:$I$631,HLOOKUP('Personalized Bill Menu'!$B$22, 'Misc. Data &amp; Mechanisms'!$E$599:$I$600, 2, FALSE), FALSE), 'Misc. Data &amp; Mechanisms'!$A$599:$C$659, 2, FALSE), FALSE)), ""))</f>
        <v>-0.56559999999999999</v>
      </c>
      <c r="AC12" s="69">
        <f ca="1">IF($A12="", "",IFERROR(IF(VLOOKUP($A12, INDIRECT("'" &amp; 'Personalized Bill Menu'!$B$22 &amp; "'!" &amp;"$A$4:$CA$100"), VLOOKUP(VLOOKUP("RIDER RATE 2",'Misc. Data &amp; Mechanisms'!$E$601:$I$631,HLOOKUP('Personalized Bill Menu'!$B$22, 'Misc. Data &amp; Mechanisms'!$E$599:$I$600, 2, FALSE), FALSE), 'Misc. Data &amp; Mechanisms'!$A$599:$C$659, 2, FALSE), FALSE) = "", "", VLOOKUP($A12, INDIRECT("'" &amp; 'Personalized Bill Menu'!$B$22 &amp; "'!" &amp;"$A$4:$CA$100"), VLOOKUP(VLOOKUP("RIDER RATE 2",'Misc. Data &amp; Mechanisms'!$E$601:$I$631,HLOOKUP('Personalized Bill Menu'!$B$22, 'Misc. Data &amp; Mechanisms'!$E$599:$I$600, 2, FALSE), FALSE), 'Misc. Data &amp; Mechanisms'!$A$599:$C$659, 2, FALSE), FALSE)), ""))</f>
        <v>1.5588</v>
      </c>
      <c r="AD12" s="69" t="str">
        <f ca="1">IF($A12="", "",IFERROR(IF(VLOOKUP($A12, INDIRECT("'" &amp; 'Personalized Bill Menu'!$B$22 &amp; "'!" &amp;"$A$4:$CA$100"), VLOOKUP(VLOOKUP("RIDER RATE 3",'Misc. Data &amp; Mechanisms'!$E$601:$I$631,HLOOKUP('Personalized Bill Menu'!$B$22, 'Misc. Data &amp; Mechanisms'!$E$599:$I$600, 2, FALSE), FALSE), 'Misc. Data &amp; Mechanisms'!$A$599:$C$659, 2, FALSE), FALSE) = "", "", VLOOKUP($A12, INDIRECT("'" &amp; 'Personalized Bill Menu'!$B$22 &amp; "'!" &amp;"$A$4:$CA$100"), VLOOKUP(VLOOKUP("RIDER RATE 3",'Misc. Data &amp; Mechanisms'!$E$601:$I$631,HLOOKUP('Personalized Bill Menu'!$B$22, 'Misc. Data &amp; Mechanisms'!$E$599:$I$600, 2, FALSE), FALSE), 'Misc. Data &amp; Mechanisms'!$A$599:$C$659, 2, FALSE), FALSE)), ""))</f>
        <v/>
      </c>
      <c r="AE12" s="69" t="str">
        <f ca="1">IF($A12="", "",IFERROR(IF(VLOOKUP($A12, INDIRECT("'" &amp; 'Personalized Bill Menu'!$B$22 &amp; "'!" &amp;"$A$4:$CA$100"), VLOOKUP(VLOOKUP("RIDER RATE 4",'Misc. Data &amp; Mechanisms'!$E$601:$I$631,HLOOKUP('Personalized Bill Menu'!$B$22, 'Misc. Data &amp; Mechanisms'!$E$599:$I$600, 2, FALSE), FALSE), 'Misc. Data &amp; Mechanisms'!$A$599:$C$659, 2, FALSE), FALSE) = "", "", VLOOKUP($A12, INDIRECT("'" &amp; 'Personalized Bill Menu'!$B$22 &amp; "'!" &amp;"$A$4:$CA$100"), VLOOKUP(VLOOKUP("RIDER RATE 4",'Misc. Data &amp; Mechanisms'!$E$601:$I$631,HLOOKUP('Personalized Bill Menu'!$B$22, 'Misc. Data &amp; Mechanisms'!$E$599:$I$600, 2, FALSE), FALSE), 'Misc. Data &amp; Mechanisms'!$A$599:$C$659, 2, FALSE), FALSE)), ""))</f>
        <v/>
      </c>
      <c r="AF12" s="90" t="str">
        <f ca="1">IF($A12="", "",IFERROR(IF(VLOOKUP($A12, INDIRECT("'" &amp; 'Personalized Bill Menu'!$B$22 &amp; "'!" &amp;"$A$4:$CA$100"), VLOOKUP(VLOOKUP("RIDER RATE 5",'Misc. Data &amp; Mechanisms'!$E$601:$I$631,HLOOKUP('Personalized Bill Menu'!$B$22, 'Misc. Data &amp; Mechanisms'!$E$599:$I$600, 2, FALSE), FALSE), 'Misc. Data &amp; Mechanisms'!$A$599:$C$659, 2, FALSE), FALSE) = "", "", VLOOKUP($A12, INDIRECT("'" &amp; 'Personalized Bill Menu'!$B$22 &amp; "'!" &amp;"$A$4:$CA$100"), VLOOKUP(VLOOKUP("RIDER RATE 5",'Misc. Data &amp; Mechanisms'!$E$601:$I$631,HLOOKUP('Personalized Bill Menu'!$B$22, 'Misc. Data &amp; Mechanisms'!$E$599:$I$600, 2, FALSE), FALSE), 'Misc. Data &amp; Mechanisms'!$A$599:$C$659, 2, FALSE), FALSE)), ""))</f>
        <v/>
      </c>
      <c r="AG12" s="90" t="str">
        <f ca="1">IF($A12="", "",IFERROR(IF(VLOOKUP($A12, INDIRECT("'" &amp; 'Personalized Bill Menu'!$B$22 &amp; "'!" &amp;"$A$4:$CA$100"), VLOOKUP(VLOOKUP("RIDER RATE 6",'Misc. Data &amp; Mechanisms'!$E$601:$I$631,HLOOKUP('Personalized Bill Menu'!$B$22, 'Misc. Data &amp; Mechanisms'!$E$599:$I$600, 2, FALSE), FALSE), 'Misc. Data &amp; Mechanisms'!$A$599:$C$659, 2, FALSE), FALSE) = "", "", VLOOKUP($A12, INDIRECT("'" &amp; 'Personalized Bill Menu'!$B$22 &amp; "'!" &amp;"$A$4:$CA$100"), VLOOKUP(VLOOKUP("RIDER RATE 6",'Misc. Data &amp; Mechanisms'!$E$601:$I$631,HLOOKUP('Personalized Bill Menu'!$B$22, 'Misc. Data &amp; Mechanisms'!$E$599:$I$600, 2, FALSE), FALSE), 'Misc. Data &amp; Mechanisms'!$A$599:$C$659, 2, FALSE), FALSE)), ""))</f>
        <v/>
      </c>
      <c r="AH12" s="90" t="str">
        <f ca="1">IF($A12="", "",IFERROR(IF(VLOOKUP($A12, INDIRECT("'" &amp; 'Personalized Bill Menu'!$B$22 &amp; "'!" &amp;"$A$4:$CA$100"), VLOOKUP(VLOOKUP("RIDER RATE 7",'Misc. Data &amp; Mechanisms'!$E$601:$I$631,HLOOKUP('Personalized Bill Menu'!$B$22, 'Misc. Data &amp; Mechanisms'!$E$599:$I$600, 2, FALSE), FALSE), 'Misc. Data &amp; Mechanisms'!$A$599:$C$659, 2, FALSE), FALSE) = "", "", VLOOKUP($A12, INDIRECT("'" &amp; 'Personalized Bill Menu'!$B$22 &amp; "'!" &amp;"$A$4:$CA$100"), VLOOKUP(VLOOKUP("RIDER RATE 7",'Misc. Data &amp; Mechanisms'!$E$601:$I$631,HLOOKUP('Personalized Bill Menu'!$B$22, 'Misc. Data &amp; Mechanisms'!$E$599:$I$600, 2, FALSE), FALSE), 'Misc. Data &amp; Mechanisms'!$A$599:$C$659, 2, FALSE), FALSE)), ""))</f>
        <v/>
      </c>
      <c r="AI12" s="72">
        <f t="shared" ca="1" si="14"/>
        <v>-2.9160782565031824</v>
      </c>
      <c r="AJ12" s="72">
        <f t="shared" ca="1" si="15"/>
        <v>8.0367446715649944</v>
      </c>
      <c r="AK12" s="72">
        <f ca="1">IF($A12="", "", IFERROR(IF($AD$6="%",IF('Personalized Bill Menu'!$B$22="ENMAX", $AD12*$I12, IF(AND($AD12="", 'Personalized Bill Menu'!$B$22="FORTIS"),($AE12/100)*$C12,$AD12*$H12)),($AD12/100)*$C12), 0))</f>
        <v>0</v>
      </c>
      <c r="AL12" s="72">
        <f ca="1">IF($A12="", "", IFERROR(IF('Personalized Bill Menu'!$B$22="ENMAX",$AE12*$B12,IF($AE$6="%",$AE12*($H12+$I12+$J12), IF('Personalized Bill Menu'!$B$22="FORTIS",$AF12*$I12,($AE12/100)*$C12))), 0))</f>
        <v>0</v>
      </c>
      <c r="AM12" s="72" t="str">
        <f>IF($A12="", "", IFERROR(IF('Personalized Bill Menu'!$B$22="EPCOR",($AF12/100)*$C12, IF('Personalized Bill Menu'!$B$22="ATCO",$AF12*1,"")), 0))</f>
        <v/>
      </c>
      <c r="AN12" s="72" t="str">
        <f>IF($A12="", "", IFERROR(IF('Personalized Bill Menu'!$B$22="ATCO",$AG12*$B12,""), 0))</f>
        <v/>
      </c>
      <c r="AO12" s="70" t="str">
        <f>IF($A12="", "", IFERROR(IF('Personalized Bill Menu'!$B$22="ATCO",$AH12*$B12,""), 0))</f>
        <v/>
      </c>
      <c r="AP12" s="81">
        <f>IF('Personalized Bill Menu'!$B$34&lt;&gt;"Natural Gas", 'Personalized Bill Menu'!$K9, "")</f>
        <v>0.23369999999999999</v>
      </c>
      <c r="AQ12" s="72">
        <f t="shared" si="16"/>
        <v>7.0110000000000001</v>
      </c>
      <c r="AR12" s="91">
        <f ca="1">IF($A12="", "",IF(VLOOKUP($A12, INDIRECT("'" &amp; 'Personalized Bill Menu'!$B$22 &amp; "'!" &amp;"$A$4:$CA$100"), VLOOKUP(VLOOKUP(AR$5,'Misc. Data &amp; Mechanisms'!$E$601:$I$631,HLOOKUP('Personalized Bill Menu'!$B$22, 'Misc. Data &amp; Mechanisms'!$E$599:$I$600, 2, FALSE), FALSE), 'Misc. Data &amp; Mechanisms'!$A$599:$C$659, 2, FALSE), FALSE) = "", "", VLOOKUP($A12, INDIRECT("'" &amp; 'Personalized Bill Menu'!$B$22 &amp; "'!" &amp;"$A$4:$CA$100"), VLOOKUP(VLOOKUP(AR$5,'Misc. Data &amp; Mechanisms'!$E$601:$I$631,HLOOKUP('Personalized Bill Menu'!$B$22, 'Misc. Data &amp; Mechanisms'!$E$599:$I$600, 2, FALSE), FALSE), 'Misc. Data &amp; Mechanisms'!$A$599:$C$659, 2, FALSE), FALSE)))</f>
        <v>0.05</v>
      </c>
      <c r="AS12" s="2"/>
      <c r="AT12" s="2"/>
      <c r="AU12" s="2"/>
      <c r="AV12" s="2"/>
      <c r="AW12" s="2"/>
    </row>
    <row r="13" spans="1:49" ht="15" x14ac:dyDescent="0.25">
      <c r="A13" s="83">
        <f>'Personalized Bill Menu'!$H10</f>
        <v>41091</v>
      </c>
      <c r="B13" s="84">
        <f t="shared" si="0"/>
        <v>31</v>
      </c>
      <c r="C13" s="85">
        <f>IF('Personalized Bill Menu'!$B$34&lt;&gt;"Natural Gas", 'Personalized Bill Menu'!$I10, "")</f>
        <v>564.82318192701314</v>
      </c>
      <c r="D13" s="66">
        <f t="shared" ca="1" si="17"/>
        <v>18.326868673458748</v>
      </c>
      <c r="E13" s="66">
        <f ca="1">IFERROR((1+$AR13)*(IF('Personalized Bill Menu'!$B$22="ENMAX", ((1+IFERROR($X13, 0))*($N13+$P13+$R13+$AB13+$AC13))+((1+IF($X13="", 0,$X13))*(IF($AD13="", 0,$AD13)*$R13)), IF('Personalized Bill Menu'!$B$22="EPCOR", ($N13+$P13+$R13+$X13+SUM($AB13:$AE13)), IF('Personalized Bill Menu'!$B$22="ATCO",($N13+((1+IF($AE13="", 0,$AE13))*(1+$X13+$Y13)*($P13+$R13))+SUM($AB13:$AD13)),IF($AD13="",$N13+((1+$X13+$Y13)*($P13+$R13))+$AB13+$AE13+(IF($AC13="", 0, $AC13)*$P13)+($R13*IF($AF13="", 0, $AF13)),$N13+((1+$X13+$Y13)*($P13+$R13))+$AB13+($AD13*$P13)+(IF($AC13="", 0, $AC13)*$P13)+($R13*IF($AF13="", 0, $AF13))))))), "")</f>
        <v>14.780935522500002</v>
      </c>
      <c r="F13" s="1469">
        <f t="shared" ca="1" si="1"/>
        <v>103.51440278901468</v>
      </c>
      <c r="G13" s="66">
        <f t="shared" si="2"/>
        <v>51.021607669830956</v>
      </c>
      <c r="H13" s="66">
        <f t="shared" ca="1" si="3"/>
        <v>10.993153589845456</v>
      </c>
      <c r="I13" s="66">
        <f t="shared" ca="1" si="4"/>
        <v>14.582637931667426</v>
      </c>
      <c r="J13" s="66">
        <f t="shared" ca="1" si="5"/>
        <v>9.1332224791043899</v>
      </c>
      <c r="K13" s="66">
        <f t="shared" ca="1" si="6"/>
        <v>5.609823842899095</v>
      </c>
      <c r="L13" s="66">
        <f t="shared" si="7"/>
        <v>7.2446999999999999</v>
      </c>
      <c r="M13" s="68">
        <f t="shared" ca="1" si="8"/>
        <v>4.929257275667366</v>
      </c>
      <c r="N13" s="69">
        <f>IF('Personalized Bill Menu'!$B$34&lt;&gt;"Natural Gas", 'Personalized Bill Menu'!$J10, "")</f>
        <v>9.0332000000000008</v>
      </c>
      <c r="O13" s="70">
        <f t="shared" si="9"/>
        <v>51.021607669830956</v>
      </c>
      <c r="P13" s="71">
        <f ca="1">IF($A13="", "",IFERROR(IF(VLOOKUP($A13, INDIRECT("'" &amp; 'Personalized Bill Menu'!$B$22 &amp; "'!" &amp;"$A$4:$CA$100"), VLOOKUP(VLOOKUP(P$5,'Misc. Data &amp; Mechanisms'!$E$601:$I$631,HLOOKUP('Personalized Bill Menu'!$B$22, 'Misc. Data &amp; Mechanisms'!$E$599:$I$600, 2, FALSE), FALSE), 'Misc. Data &amp; Mechanisms'!$A$599:$C$659, 2, FALSE), FALSE) = "", "", VLOOKUP($A13, INDIRECT("'" &amp; 'Personalized Bill Menu'!$B$22 &amp; "'!" &amp;"$A$4:$CA$100"), VLOOKUP(VLOOKUP(P$5,'Misc. Data &amp; Mechanisms'!$E$601:$I$631,HLOOKUP('Personalized Bill Menu'!$B$22, 'Misc. Data &amp; Mechanisms'!$E$599:$I$600, 2, FALSE), FALSE), 'Misc. Data &amp; Mechanisms'!$A$599:$C$659, 2, FALSE), FALSE)), ""))</f>
        <v>1.9462999999999999</v>
      </c>
      <c r="Q13" s="72">
        <f t="shared" ca="1" si="10"/>
        <v>10.993153589845456</v>
      </c>
      <c r="R13" s="87">
        <f ca="1">IF($A13="", "",IFERROR(IF(VLOOKUP($A13, INDIRECT("'" &amp; 'Personalized Bill Menu'!$B$22 &amp; "'!" &amp;"$A$4:$CA$100"), VLOOKUP(VLOOKUP(R$5,'Misc. Data &amp; Mechanisms'!$E$601:$I$631,HLOOKUP('Personalized Bill Menu'!$B$22, 'Misc. Data &amp; Mechanisms'!$E$599:$I$600, 2, FALSE), FALSE), 'Misc. Data &amp; Mechanisms'!$A$599:$C$659, 2, FALSE), FALSE) = "", "", VLOOKUP($A13, INDIRECT("'" &amp; 'Personalized Bill Menu'!$B$22 &amp; "'!" &amp;"$A$4:$CA$100"), VLOOKUP(VLOOKUP(R$5,'Misc. Data &amp; Mechanisms'!$E$601:$I$631,HLOOKUP('Personalized Bill Menu'!$B$22, 'Misc. Data &amp; Mechanisms'!$E$599:$I$600, 2, FALSE), FALSE), 'Misc. Data &amp; Mechanisms'!$A$599:$C$659, 2, FALSE), FALSE)), ""))</f>
        <v>0.69679999999999997</v>
      </c>
      <c r="S13" s="88">
        <f ca="1">IF($A13="", "",IFERROR(IF(VLOOKUP($A13, INDIRECT("'" &amp; 'Personalized Bill Menu'!$B$22 &amp; "'!" &amp;"$A$4:$CA$100"), VLOOKUP(VLOOKUP(S$5,'Misc. Data &amp; Mechanisms'!$E$601:$I$631,HLOOKUP('Personalized Bill Menu'!$B$22, 'Misc. Data &amp; Mechanisms'!$E$599:$I$600, 2, FALSE), FALSE), 'Misc. Data &amp; Mechanisms'!$A$599:$C$659, 2, FALSE), FALSE) = "", "", VLOOKUP($A13, INDIRECT("'" &amp; 'Personalized Bill Menu'!$B$22 &amp; "'!" &amp;"$A$4:$CA$100"), VLOOKUP(VLOOKUP(S$5,'Misc. Data &amp; Mechanisms'!$E$601:$I$631,HLOOKUP('Personalized Bill Menu'!$B$22, 'Misc. Data &amp; Mechanisms'!$E$599:$I$600, 2, FALSE), FALSE), 'Misc. Data &amp; Mechanisms'!$A$599:$C$659, 2, FALSE), FALSE)), ""))</f>
        <v>0.34344999999999998</v>
      </c>
      <c r="T13" s="81" t="str">
        <f ca="1">IF($A13="", "",IFERROR(IF(VLOOKUP($A13, INDIRECT("'" &amp; 'Personalized Bill Menu'!$B$22 &amp; "'!" &amp;"$A$4:$CA$100"), VLOOKUP(VLOOKUP(T$5,'Misc. Data &amp; Mechanisms'!$E$601:$I$631,HLOOKUP('Personalized Bill Menu'!$B$22, 'Misc. Data &amp; Mechanisms'!$E$599:$I$600, 2, FALSE), FALSE), 'Misc. Data &amp; Mechanisms'!$A$599:$C$659, 2, FALSE), FALSE) = "", "", VLOOKUP($A13, INDIRECT("'" &amp; 'Personalized Bill Menu'!$B$22 &amp; "'!" &amp;"$A$4:$CA$100"), VLOOKUP(VLOOKUP(T$5,'Misc. Data &amp; Mechanisms'!$E$601:$I$631,HLOOKUP('Personalized Bill Menu'!$B$22, 'Misc. Data &amp; Mechanisms'!$E$599:$I$600, 2, FALSE), FALSE), 'Misc. Data &amp; Mechanisms'!$A$599:$C$659, 2, FALSE), FALSE)), ""))</f>
        <v/>
      </c>
      <c r="U13" s="72">
        <f t="shared" ca="1" si="11"/>
        <v>3.9356879316674274</v>
      </c>
      <c r="V13" s="72">
        <f t="shared" ca="1" si="12"/>
        <v>10.646949999999999</v>
      </c>
      <c r="W13" s="70" t="str">
        <f t="shared" si="13"/>
        <v/>
      </c>
      <c r="X13" s="78">
        <f>IFERROR(IF(VLOOKUP($A13,'Misc. Data &amp; Mechanisms'!$A$63:$DY$152,HLOOKUP('Personalized Bill Menu'!$B$21&amp;"_"&amp;'Personalized Bill Menu'!$B$22&amp;"_Elec_Y_1",'Misc. Data &amp; Mechanisms'!$A$55:$DY$62,8,FALSE), FALSE)="", "", VLOOKUP($A13,'Misc. Data &amp; Mechanisms'!$A$63:$DY$152,HLOOKUP('Personalized Bill Menu'!$B$21&amp;"_"&amp;'Personalized Bill Menu'!$B$22&amp;"_Elec_Y_1",'Misc. Data &amp; Mechanisms'!$A$55:$DY$62,8,FALSE), FALSE)), "")</f>
        <v>0.1111</v>
      </c>
      <c r="Y13" s="78" t="str">
        <f>IFERROR(IF(VLOOKUP($A13,'Misc. Data &amp; Mechanisms'!$A$63:$DY$152,HLOOKUP('Personalized Bill Menu'!$B$21&amp;"_"&amp;'Personalized Bill Menu'!$B$22&amp;"_Elec_Y_2",'Misc. Data &amp; Mechanisms'!$A$55:$DY$62,8,FALSE), FALSE)="", "", VLOOKUP($A13,'Misc. Data &amp; Mechanisms'!$A$63:$DY$152,HLOOKUP('Personalized Bill Menu'!$B$21&amp;"_"&amp;'Personalized Bill Menu'!$B$22&amp;"_Elec_Y_2",'Misc. Data &amp; Mechanisms'!$A$55:$DY$62,8,FALSE), FALSE)), "")</f>
        <v/>
      </c>
      <c r="Z13" s="72">
        <f ca="1">IF($A13="", "",IFERROR(IF(OR('Personalized Bill Menu'!$B$22="FORTIS", 'Personalized Bill Menu'!$B$22="ATCO"), $X13*($H13+$I13), IF('Personalized Bill Menu'!$B$22="ENMAX",$X13*($H13+$I13+$K13),($X13/100)*$C13)), 0))</f>
        <v>3.4647218669861712</v>
      </c>
      <c r="AA13" s="72">
        <f>IF($A13="", "", IFERROR(IF(OR('Personalized Bill Menu'!$B$22="FORTIS", 'Personalized Bill Menu'!$B$22="ATCO"), $Y13*($H13+$I13), IF('Personalized Bill Menu'!$B$22="ENMAX",$X13*$G13,"")), 0))</f>
        <v>5.6685006121182191</v>
      </c>
      <c r="AB13" s="89">
        <f ca="1">IF($A13="", "",IFERROR(IF(VLOOKUP($A13, INDIRECT("'" &amp; 'Personalized Bill Menu'!$B$22 &amp; "'!" &amp;"$A$4:$CA$100"), VLOOKUP(VLOOKUP("RIDER RATE 1",'Misc. Data &amp; Mechanisms'!$E$601:$I$631,HLOOKUP('Personalized Bill Menu'!$B$22, 'Misc. Data &amp; Mechanisms'!$E$599:$I$600, 2, FALSE), FALSE), 'Misc. Data &amp; Mechanisms'!$A$599:$C$659, 2, FALSE), FALSE) = "", "", VLOOKUP($A13, INDIRECT("'" &amp; 'Personalized Bill Menu'!$B$22 &amp; "'!" &amp;"$A$4:$CA$100"), VLOOKUP(VLOOKUP("RIDER RATE 1",'Misc. Data &amp; Mechanisms'!$E$601:$I$631,HLOOKUP('Personalized Bill Menu'!$B$22, 'Misc. Data &amp; Mechanisms'!$E$599:$I$600, 2, FALSE), FALSE), 'Misc. Data &amp; Mechanisms'!$A$599:$C$659, 2, FALSE), FALSE)), ""))</f>
        <v>-0.56559999999999999</v>
      </c>
      <c r="AC13" s="69">
        <f ca="1">IF($A13="", "",IFERROR(IF(VLOOKUP($A13, INDIRECT("'" &amp; 'Personalized Bill Menu'!$B$22 &amp; "'!" &amp;"$A$4:$CA$100"), VLOOKUP(VLOOKUP("RIDER RATE 2",'Misc. Data &amp; Mechanisms'!$E$601:$I$631,HLOOKUP('Personalized Bill Menu'!$B$22, 'Misc. Data &amp; Mechanisms'!$E$599:$I$600, 2, FALSE), FALSE), 'Misc. Data &amp; Mechanisms'!$A$599:$C$659, 2, FALSE), FALSE) = "", "", VLOOKUP($A13, INDIRECT("'" &amp; 'Personalized Bill Menu'!$B$22 &amp; "'!" &amp;"$A$4:$CA$100"), VLOOKUP(VLOOKUP("RIDER RATE 2",'Misc. Data &amp; Mechanisms'!$E$601:$I$631,HLOOKUP('Personalized Bill Menu'!$B$22, 'Misc. Data &amp; Mechanisms'!$E$599:$I$600, 2, FALSE), FALSE), 'Misc. Data &amp; Mechanisms'!$A$599:$C$659, 2, FALSE), FALSE)), ""))</f>
        <v>1.5588</v>
      </c>
      <c r="AD13" s="69" t="str">
        <f ca="1">IF($A13="", "",IFERROR(IF(VLOOKUP($A13, INDIRECT("'" &amp; 'Personalized Bill Menu'!$B$22 &amp; "'!" &amp;"$A$4:$CA$100"), VLOOKUP(VLOOKUP("RIDER RATE 3",'Misc. Data &amp; Mechanisms'!$E$601:$I$631,HLOOKUP('Personalized Bill Menu'!$B$22, 'Misc. Data &amp; Mechanisms'!$E$599:$I$600, 2, FALSE), FALSE), 'Misc. Data &amp; Mechanisms'!$A$599:$C$659, 2, FALSE), FALSE) = "", "", VLOOKUP($A13, INDIRECT("'" &amp; 'Personalized Bill Menu'!$B$22 &amp; "'!" &amp;"$A$4:$CA$100"), VLOOKUP(VLOOKUP("RIDER RATE 3",'Misc. Data &amp; Mechanisms'!$E$601:$I$631,HLOOKUP('Personalized Bill Menu'!$B$22, 'Misc. Data &amp; Mechanisms'!$E$599:$I$600, 2, FALSE), FALSE), 'Misc. Data &amp; Mechanisms'!$A$599:$C$659, 2, FALSE), FALSE)), ""))</f>
        <v/>
      </c>
      <c r="AE13" s="69" t="str">
        <f ca="1">IF($A13="", "",IFERROR(IF(VLOOKUP($A13, INDIRECT("'" &amp; 'Personalized Bill Menu'!$B$22 &amp; "'!" &amp;"$A$4:$CA$100"), VLOOKUP(VLOOKUP("RIDER RATE 4",'Misc. Data &amp; Mechanisms'!$E$601:$I$631,HLOOKUP('Personalized Bill Menu'!$B$22, 'Misc. Data &amp; Mechanisms'!$E$599:$I$600, 2, FALSE), FALSE), 'Misc. Data &amp; Mechanisms'!$A$599:$C$659, 2, FALSE), FALSE) = "", "", VLOOKUP($A13, INDIRECT("'" &amp; 'Personalized Bill Menu'!$B$22 &amp; "'!" &amp;"$A$4:$CA$100"), VLOOKUP(VLOOKUP("RIDER RATE 4",'Misc. Data &amp; Mechanisms'!$E$601:$I$631,HLOOKUP('Personalized Bill Menu'!$B$22, 'Misc. Data &amp; Mechanisms'!$E$599:$I$600, 2, FALSE), FALSE), 'Misc. Data &amp; Mechanisms'!$A$599:$C$659, 2, FALSE), FALSE)), ""))</f>
        <v/>
      </c>
      <c r="AF13" s="90" t="str">
        <f ca="1">IF($A13="", "",IFERROR(IF(VLOOKUP($A13, INDIRECT("'" &amp; 'Personalized Bill Menu'!$B$22 &amp; "'!" &amp;"$A$4:$CA$100"), VLOOKUP(VLOOKUP("RIDER RATE 5",'Misc. Data &amp; Mechanisms'!$E$601:$I$631,HLOOKUP('Personalized Bill Menu'!$B$22, 'Misc. Data &amp; Mechanisms'!$E$599:$I$600, 2, FALSE), FALSE), 'Misc. Data &amp; Mechanisms'!$A$599:$C$659, 2, FALSE), FALSE) = "", "", VLOOKUP($A13, INDIRECT("'" &amp; 'Personalized Bill Menu'!$B$22 &amp; "'!" &amp;"$A$4:$CA$100"), VLOOKUP(VLOOKUP("RIDER RATE 5",'Misc. Data &amp; Mechanisms'!$E$601:$I$631,HLOOKUP('Personalized Bill Menu'!$B$22, 'Misc. Data &amp; Mechanisms'!$E$599:$I$600, 2, FALSE), FALSE), 'Misc. Data &amp; Mechanisms'!$A$599:$C$659, 2, FALSE), FALSE)), ""))</f>
        <v/>
      </c>
      <c r="AG13" s="90" t="str">
        <f ca="1">IF($A13="", "",IFERROR(IF(VLOOKUP($A13, INDIRECT("'" &amp; 'Personalized Bill Menu'!$B$22 &amp; "'!" &amp;"$A$4:$CA$100"), VLOOKUP(VLOOKUP("RIDER RATE 6",'Misc. Data &amp; Mechanisms'!$E$601:$I$631,HLOOKUP('Personalized Bill Menu'!$B$22, 'Misc. Data &amp; Mechanisms'!$E$599:$I$600, 2, FALSE), FALSE), 'Misc. Data &amp; Mechanisms'!$A$599:$C$659, 2, FALSE), FALSE) = "", "", VLOOKUP($A13, INDIRECT("'" &amp; 'Personalized Bill Menu'!$B$22 &amp; "'!" &amp;"$A$4:$CA$100"), VLOOKUP(VLOOKUP("RIDER RATE 6",'Misc. Data &amp; Mechanisms'!$E$601:$I$631,HLOOKUP('Personalized Bill Menu'!$B$22, 'Misc. Data &amp; Mechanisms'!$E$599:$I$600, 2, FALSE), FALSE), 'Misc. Data &amp; Mechanisms'!$A$599:$C$659, 2, FALSE), FALSE)), ""))</f>
        <v/>
      </c>
      <c r="AH13" s="90" t="str">
        <f ca="1">IF($A13="", "",IFERROR(IF(VLOOKUP($A13, INDIRECT("'" &amp; 'Personalized Bill Menu'!$B$22 &amp; "'!" &amp;"$A$4:$CA$100"), VLOOKUP(VLOOKUP("RIDER RATE 7",'Misc. Data &amp; Mechanisms'!$E$601:$I$631,HLOOKUP('Personalized Bill Menu'!$B$22, 'Misc. Data &amp; Mechanisms'!$E$599:$I$600, 2, FALSE), FALSE), 'Misc. Data &amp; Mechanisms'!$A$599:$C$659, 2, FALSE), FALSE) = "", "", VLOOKUP($A13, INDIRECT("'" &amp; 'Personalized Bill Menu'!$B$22 &amp; "'!" &amp;"$A$4:$CA$100"), VLOOKUP(VLOOKUP("RIDER RATE 7",'Misc. Data &amp; Mechanisms'!$E$601:$I$631,HLOOKUP('Personalized Bill Menu'!$B$22, 'Misc. Data &amp; Mechanisms'!$E$599:$I$600, 2, FALSE), FALSE), 'Misc. Data &amp; Mechanisms'!$A$599:$C$659, 2, FALSE), FALSE)), ""))</f>
        <v/>
      </c>
      <c r="AI13" s="72">
        <f t="shared" ca="1" si="14"/>
        <v>-3.1946399169791859</v>
      </c>
      <c r="AJ13" s="72">
        <f t="shared" ca="1" si="15"/>
        <v>8.8044637598782813</v>
      </c>
      <c r="AK13" s="72">
        <f ca="1">IF($A13="", "", IFERROR(IF($AD$6="%",IF('Personalized Bill Menu'!$B$22="ENMAX", $AD13*$I13, IF(AND($AD13="", 'Personalized Bill Menu'!$B$22="FORTIS"),($AE13/100)*$C13,$AD13*$H13)),($AD13/100)*$C13), 0))</f>
        <v>0</v>
      </c>
      <c r="AL13" s="72">
        <f ca="1">IF($A13="", "", IFERROR(IF('Personalized Bill Menu'!$B$22="ENMAX",$AE13*$B13,IF($AE$6="%",$AE13*($H13+$I13+$J13), IF('Personalized Bill Menu'!$B$22="FORTIS",$AF13*$I13,($AE13/100)*$C13))), 0))</f>
        <v>0</v>
      </c>
      <c r="AM13" s="72" t="str">
        <f>IF($A13="", "", IFERROR(IF('Personalized Bill Menu'!$B$22="EPCOR",($AF13/100)*$C13, IF('Personalized Bill Menu'!$B$22="ATCO",$AF13*1,"")), 0))</f>
        <v/>
      </c>
      <c r="AN13" s="72" t="str">
        <f>IF($A13="", "", IFERROR(IF('Personalized Bill Menu'!$B$22="ATCO",$AG13*$B13,""), 0))</f>
        <v/>
      </c>
      <c r="AO13" s="70" t="str">
        <f>IF($A13="", "", IFERROR(IF('Personalized Bill Menu'!$B$22="ATCO",$AH13*$B13,""), 0))</f>
        <v/>
      </c>
      <c r="AP13" s="81">
        <f>IF('Personalized Bill Menu'!$B$34&lt;&gt;"Natural Gas", 'Personalized Bill Menu'!$K10, "")</f>
        <v>0.23369999999999999</v>
      </c>
      <c r="AQ13" s="72">
        <f t="shared" si="16"/>
        <v>7.2446999999999999</v>
      </c>
      <c r="AR13" s="91">
        <f ca="1">IF($A13="", "",IF(VLOOKUP($A13, INDIRECT("'" &amp; 'Personalized Bill Menu'!$B$22 &amp; "'!" &amp;"$A$4:$CA$100"), VLOOKUP(VLOOKUP(AR$5,'Misc. Data &amp; Mechanisms'!$E$601:$I$631,HLOOKUP('Personalized Bill Menu'!$B$22, 'Misc. Data &amp; Mechanisms'!$E$599:$I$600, 2, FALSE), FALSE), 'Misc. Data &amp; Mechanisms'!$A$599:$C$659, 2, FALSE), FALSE) = "", "", VLOOKUP($A13, INDIRECT("'" &amp; 'Personalized Bill Menu'!$B$22 &amp; "'!" &amp;"$A$4:$CA$100"), VLOOKUP(VLOOKUP(AR$5,'Misc. Data &amp; Mechanisms'!$E$601:$I$631,HLOOKUP('Personalized Bill Menu'!$B$22, 'Misc. Data &amp; Mechanisms'!$E$599:$I$600, 2, FALSE), FALSE), 'Misc. Data &amp; Mechanisms'!$A$599:$C$659, 2, FALSE), FALSE)))</f>
        <v>0.05</v>
      </c>
      <c r="AS13" s="2"/>
      <c r="AT13" s="2"/>
      <c r="AU13" s="2"/>
      <c r="AV13" s="2"/>
      <c r="AW13" s="2"/>
    </row>
    <row r="14" spans="1:49" ht="15" x14ac:dyDescent="0.25">
      <c r="A14" s="83">
        <f>'Personalized Bill Menu'!$H11</f>
        <v>41122</v>
      </c>
      <c r="B14" s="84">
        <f t="shared" si="0"/>
        <v>31</v>
      </c>
      <c r="C14" s="85">
        <f>IF('Personalized Bill Menu'!$B$34&lt;&gt;"Natural Gas", 'Personalized Bill Menu'!$I11, "")</f>
        <v>546.71745545533315</v>
      </c>
      <c r="D14" s="66">
        <f t="shared" ca="1" si="17"/>
        <v>21.106023272170145</v>
      </c>
      <c r="E14" s="66">
        <f ca="1">IFERROR((1+$AR14)*(IF('Personalized Bill Menu'!$B$22="ENMAX", ((1+IFERROR($X14, 0))*($N14+$P14+$R14+$AB14+$AC14))+((1+IF($X14="", 0,$X14))*(IF($AD14="", 0,$AD14)*$R14)), IF('Personalized Bill Menu'!$B$22="EPCOR", ($N14+$P14+$R14+$X14+SUM($AB14:$AE14)), IF('Personalized Bill Menu'!$B$22="ATCO",($N14+((1+IF($AE14="", 0,$AE14))*(1+$X14+$Y14)*($P14+$R14))+SUM($AB14:$AD14)),IF($AD14="",$N14+((1+$X14+$Y14)*($P14+$R14))+$AB14+$AE14+(IF($AC14="", 0, $AC14)*$P14)+($R14*IF($AF14="", 0, $AF14)),$N14+((1+$X14+$Y14)*($P14+$R14))+$AB14+($AD14*$P14)+(IF($AC14="", 0, $AC14)*$P14)+($R14*IF($AF14="", 0, $AF14))))))), "")</f>
        <v>17.442658904999998</v>
      </c>
      <c r="F14" s="1469">
        <f t="shared" ca="1" si="1"/>
        <v>115.39031338141906</v>
      </c>
      <c r="G14" s="66">
        <f t="shared" si="2"/>
        <v>61.859439932404577</v>
      </c>
      <c r="H14" s="66">
        <f t="shared" ca="1" si="3"/>
        <v>10.640761835527147</v>
      </c>
      <c r="I14" s="66">
        <f t="shared" ca="1" si="4"/>
        <v>14.456477229612759</v>
      </c>
      <c r="J14" s="66">
        <f t="shared" ca="1" si="5"/>
        <v>10.264159788605594</v>
      </c>
      <c r="K14" s="66">
        <f t="shared" ca="1" si="6"/>
        <v>5.4299977675823676</v>
      </c>
      <c r="L14" s="66">
        <f t="shared" si="7"/>
        <v>7.2446999999999999</v>
      </c>
      <c r="M14" s="68">
        <f t="shared" ca="1" si="8"/>
        <v>5.4947768276866222</v>
      </c>
      <c r="N14" s="69">
        <f>IF('Personalized Bill Menu'!$B$34&lt;&gt;"Natural Gas", 'Personalized Bill Menu'!$J11, "")</f>
        <v>11.3147</v>
      </c>
      <c r="O14" s="70">
        <f t="shared" si="9"/>
        <v>61.859439932404577</v>
      </c>
      <c r="P14" s="71">
        <f ca="1">IF($A14="", "",IFERROR(IF(VLOOKUP($A14, INDIRECT("'" &amp; 'Personalized Bill Menu'!$B$22 &amp; "'!" &amp;"$A$4:$CA$100"), VLOOKUP(VLOOKUP(P$5,'Misc. Data &amp; Mechanisms'!$E$601:$I$631,HLOOKUP('Personalized Bill Menu'!$B$22, 'Misc. Data &amp; Mechanisms'!$E$599:$I$600, 2, FALSE), FALSE), 'Misc. Data &amp; Mechanisms'!$A$599:$C$659, 2, FALSE), FALSE) = "", "", VLOOKUP($A14, INDIRECT("'" &amp; 'Personalized Bill Menu'!$B$22 &amp; "'!" &amp;"$A$4:$CA$100"), VLOOKUP(VLOOKUP(P$5,'Misc. Data &amp; Mechanisms'!$E$601:$I$631,HLOOKUP('Personalized Bill Menu'!$B$22, 'Misc. Data &amp; Mechanisms'!$E$599:$I$600, 2, FALSE), FALSE), 'Misc. Data &amp; Mechanisms'!$A$599:$C$659, 2, FALSE), FALSE)), ""))</f>
        <v>1.9462999999999999</v>
      </c>
      <c r="Q14" s="72">
        <f t="shared" ca="1" si="10"/>
        <v>10.640761835527147</v>
      </c>
      <c r="R14" s="87">
        <f ca="1">IF($A14="", "",IFERROR(IF(VLOOKUP($A14, INDIRECT("'" &amp; 'Personalized Bill Menu'!$B$22 &amp; "'!" &amp;"$A$4:$CA$100"), VLOOKUP(VLOOKUP(R$5,'Misc. Data &amp; Mechanisms'!$E$601:$I$631,HLOOKUP('Personalized Bill Menu'!$B$22, 'Misc. Data &amp; Mechanisms'!$E$599:$I$600, 2, FALSE), FALSE), 'Misc. Data &amp; Mechanisms'!$A$599:$C$659, 2, FALSE), FALSE) = "", "", VLOOKUP($A14, INDIRECT("'" &amp; 'Personalized Bill Menu'!$B$22 &amp; "'!" &amp;"$A$4:$CA$100"), VLOOKUP(VLOOKUP(R$5,'Misc. Data &amp; Mechanisms'!$E$601:$I$631,HLOOKUP('Personalized Bill Menu'!$B$22, 'Misc. Data &amp; Mechanisms'!$E$599:$I$600, 2, FALSE), FALSE), 'Misc. Data &amp; Mechanisms'!$A$599:$C$659, 2, FALSE), FALSE)), ""))</f>
        <v>0.69679999999999997</v>
      </c>
      <c r="S14" s="88">
        <f ca="1">IF($A14="", "",IFERROR(IF(VLOOKUP($A14, INDIRECT("'" &amp; 'Personalized Bill Menu'!$B$22 &amp; "'!" &amp;"$A$4:$CA$100"), VLOOKUP(VLOOKUP(S$5,'Misc. Data &amp; Mechanisms'!$E$601:$I$631,HLOOKUP('Personalized Bill Menu'!$B$22, 'Misc. Data &amp; Mechanisms'!$E$599:$I$600, 2, FALSE), FALSE), 'Misc. Data &amp; Mechanisms'!$A$599:$C$659, 2, FALSE), FALSE) = "", "", VLOOKUP($A14, INDIRECT("'" &amp; 'Personalized Bill Menu'!$B$22 &amp; "'!" &amp;"$A$4:$CA$100"), VLOOKUP(VLOOKUP(S$5,'Misc. Data &amp; Mechanisms'!$E$601:$I$631,HLOOKUP('Personalized Bill Menu'!$B$22, 'Misc. Data &amp; Mechanisms'!$E$599:$I$600, 2, FALSE), FALSE), 'Misc. Data &amp; Mechanisms'!$A$599:$C$659, 2, FALSE), FALSE)), ""))</f>
        <v>0.34344999999999998</v>
      </c>
      <c r="T14" s="81" t="str">
        <f ca="1">IF($A14="", "",IFERROR(IF(VLOOKUP($A14, INDIRECT("'" &amp; 'Personalized Bill Menu'!$B$22 &amp; "'!" &amp;"$A$4:$CA$100"), VLOOKUP(VLOOKUP(T$5,'Misc. Data &amp; Mechanisms'!$E$601:$I$631,HLOOKUP('Personalized Bill Menu'!$B$22, 'Misc. Data &amp; Mechanisms'!$E$599:$I$600, 2, FALSE), FALSE), 'Misc. Data &amp; Mechanisms'!$A$599:$C$659, 2, FALSE), FALSE) = "", "", VLOOKUP($A14, INDIRECT("'" &amp; 'Personalized Bill Menu'!$B$22 &amp; "'!" &amp;"$A$4:$CA$100"), VLOOKUP(VLOOKUP(T$5,'Misc. Data &amp; Mechanisms'!$E$601:$I$631,HLOOKUP('Personalized Bill Menu'!$B$22, 'Misc. Data &amp; Mechanisms'!$E$599:$I$600, 2, FALSE), FALSE), 'Misc. Data &amp; Mechanisms'!$A$599:$C$659, 2, FALSE), FALSE)), ""))</f>
        <v/>
      </c>
      <c r="U14" s="72">
        <f t="shared" ca="1" si="11"/>
        <v>3.8095272296127609</v>
      </c>
      <c r="V14" s="72">
        <f t="shared" ca="1" si="12"/>
        <v>10.646949999999999</v>
      </c>
      <c r="W14" s="70" t="str">
        <f t="shared" si="13"/>
        <v/>
      </c>
      <c r="X14" s="78">
        <f>IFERROR(IF(VLOOKUP($A14,'Misc. Data &amp; Mechanisms'!$A$63:$DY$152,HLOOKUP('Personalized Bill Menu'!$B$21&amp;"_"&amp;'Personalized Bill Menu'!$B$22&amp;"_Elec_Y_1",'Misc. Data &amp; Mechanisms'!$A$55:$DY$62,8,FALSE), FALSE)="", "", VLOOKUP($A14,'Misc. Data &amp; Mechanisms'!$A$63:$DY$152,HLOOKUP('Personalized Bill Menu'!$B$21&amp;"_"&amp;'Personalized Bill Menu'!$B$22&amp;"_Elec_Y_1",'Misc. Data &amp; Mechanisms'!$A$55:$DY$62,8,FALSE), FALSE)), "")</f>
        <v>0.1111</v>
      </c>
      <c r="Y14" s="78" t="str">
        <f>IFERROR(IF(VLOOKUP($A14,'Misc. Data &amp; Mechanisms'!$A$63:$DY$152,HLOOKUP('Personalized Bill Menu'!$B$21&amp;"_"&amp;'Personalized Bill Menu'!$B$22&amp;"_Elec_Y_2",'Misc. Data &amp; Mechanisms'!$A$55:$DY$62,8,FALSE), FALSE)="", "", VLOOKUP($A14,'Misc. Data &amp; Mechanisms'!$A$63:$DY$152,HLOOKUP('Personalized Bill Menu'!$B$21&amp;"_"&amp;'Personalized Bill Menu'!$B$22&amp;"_Elec_Y_2",'Misc. Data &amp; Mechanisms'!$A$55:$DY$62,8,FALSE), FALSE)), "")</f>
        <v/>
      </c>
      <c r="Z14" s="72">
        <f ca="1">IF($A14="", "",IFERROR(IF(OR('Personalized Bill Menu'!$B$22="FORTIS", 'Personalized Bill Menu'!$B$22="ATCO"), $X14*($H14+$I14), IF('Personalized Bill Menu'!$B$22="ENMAX",$X14*($H14+$I14+$K14),($X14/100)*$C14)), 0))</f>
        <v>3.3915760121154448</v>
      </c>
      <c r="AA14" s="72">
        <f>IF($A14="", "", IFERROR(IF(OR('Personalized Bill Menu'!$B$22="FORTIS", 'Personalized Bill Menu'!$B$22="ATCO"), $Y14*($H14+$I14), IF('Personalized Bill Menu'!$B$22="ENMAX",$X14*$G14,"")), 0))</f>
        <v>6.8725837764901492</v>
      </c>
      <c r="AB14" s="89">
        <f ca="1">IF($A14="", "",IFERROR(IF(VLOOKUP($A14, INDIRECT("'" &amp; 'Personalized Bill Menu'!$B$22 &amp; "'!" &amp;"$A$4:$CA$100"), VLOOKUP(VLOOKUP("RIDER RATE 1",'Misc. Data &amp; Mechanisms'!$E$601:$I$631,HLOOKUP('Personalized Bill Menu'!$B$22, 'Misc. Data &amp; Mechanisms'!$E$599:$I$600, 2, FALSE), FALSE), 'Misc. Data &amp; Mechanisms'!$A$599:$C$659, 2, FALSE), FALSE) = "", "", VLOOKUP($A14, INDIRECT("'" &amp; 'Personalized Bill Menu'!$B$22 &amp; "'!" &amp;"$A$4:$CA$100"), VLOOKUP(VLOOKUP("RIDER RATE 1",'Misc. Data &amp; Mechanisms'!$E$601:$I$631,HLOOKUP('Personalized Bill Menu'!$B$22, 'Misc. Data &amp; Mechanisms'!$E$599:$I$600, 2, FALSE), FALSE), 'Misc. Data &amp; Mechanisms'!$A$599:$C$659, 2, FALSE), FALSE)), ""))</f>
        <v>-0.56559999999999999</v>
      </c>
      <c r="AC14" s="69">
        <f ca="1">IF($A14="", "",IFERROR(IF(VLOOKUP($A14, INDIRECT("'" &amp; 'Personalized Bill Menu'!$B$22 &amp; "'!" &amp;"$A$4:$CA$100"), VLOOKUP(VLOOKUP("RIDER RATE 2",'Misc. Data &amp; Mechanisms'!$E$601:$I$631,HLOOKUP('Personalized Bill Menu'!$B$22, 'Misc. Data &amp; Mechanisms'!$E$599:$I$600, 2, FALSE), FALSE), 'Misc. Data &amp; Mechanisms'!$A$599:$C$659, 2, FALSE), FALSE) = "", "", VLOOKUP($A14, INDIRECT("'" &amp; 'Personalized Bill Menu'!$B$22 &amp; "'!" &amp;"$A$4:$CA$100"), VLOOKUP(VLOOKUP("RIDER RATE 2",'Misc. Data &amp; Mechanisms'!$E$601:$I$631,HLOOKUP('Personalized Bill Menu'!$B$22, 'Misc. Data &amp; Mechanisms'!$E$599:$I$600, 2, FALSE), FALSE), 'Misc. Data &amp; Mechanisms'!$A$599:$C$659, 2, FALSE), FALSE)), ""))</f>
        <v>1.5588</v>
      </c>
      <c r="AD14" s="69" t="str">
        <f ca="1">IF($A14="", "",IFERROR(IF(VLOOKUP($A14, INDIRECT("'" &amp; 'Personalized Bill Menu'!$B$22 &amp; "'!" &amp;"$A$4:$CA$100"), VLOOKUP(VLOOKUP("RIDER RATE 3",'Misc. Data &amp; Mechanisms'!$E$601:$I$631,HLOOKUP('Personalized Bill Menu'!$B$22, 'Misc. Data &amp; Mechanisms'!$E$599:$I$600, 2, FALSE), FALSE), 'Misc. Data &amp; Mechanisms'!$A$599:$C$659, 2, FALSE), FALSE) = "", "", VLOOKUP($A14, INDIRECT("'" &amp; 'Personalized Bill Menu'!$B$22 &amp; "'!" &amp;"$A$4:$CA$100"), VLOOKUP(VLOOKUP("RIDER RATE 3",'Misc. Data &amp; Mechanisms'!$E$601:$I$631,HLOOKUP('Personalized Bill Menu'!$B$22, 'Misc. Data &amp; Mechanisms'!$E$599:$I$600, 2, FALSE), FALSE), 'Misc. Data &amp; Mechanisms'!$A$599:$C$659, 2, FALSE), FALSE)), ""))</f>
        <v/>
      </c>
      <c r="AE14" s="69" t="str">
        <f ca="1">IF($A14="", "",IFERROR(IF(VLOOKUP($A14, INDIRECT("'" &amp; 'Personalized Bill Menu'!$B$22 &amp; "'!" &amp;"$A$4:$CA$100"), VLOOKUP(VLOOKUP("RIDER RATE 4",'Misc. Data &amp; Mechanisms'!$E$601:$I$631,HLOOKUP('Personalized Bill Menu'!$B$22, 'Misc. Data &amp; Mechanisms'!$E$599:$I$600, 2, FALSE), FALSE), 'Misc. Data &amp; Mechanisms'!$A$599:$C$659, 2, FALSE), FALSE) = "", "", VLOOKUP($A14, INDIRECT("'" &amp; 'Personalized Bill Menu'!$B$22 &amp; "'!" &amp;"$A$4:$CA$100"), VLOOKUP(VLOOKUP("RIDER RATE 4",'Misc. Data &amp; Mechanisms'!$E$601:$I$631,HLOOKUP('Personalized Bill Menu'!$B$22, 'Misc. Data &amp; Mechanisms'!$E$599:$I$600, 2, FALSE), FALSE), 'Misc. Data &amp; Mechanisms'!$A$599:$C$659, 2, FALSE), FALSE)), ""))</f>
        <v/>
      </c>
      <c r="AF14" s="90" t="str">
        <f ca="1">IF($A14="", "",IFERROR(IF(VLOOKUP($A14, INDIRECT("'" &amp; 'Personalized Bill Menu'!$B$22 &amp; "'!" &amp;"$A$4:$CA$100"), VLOOKUP(VLOOKUP("RIDER RATE 5",'Misc. Data &amp; Mechanisms'!$E$601:$I$631,HLOOKUP('Personalized Bill Menu'!$B$22, 'Misc. Data &amp; Mechanisms'!$E$599:$I$600, 2, FALSE), FALSE), 'Misc. Data &amp; Mechanisms'!$A$599:$C$659, 2, FALSE), FALSE) = "", "", VLOOKUP($A14, INDIRECT("'" &amp; 'Personalized Bill Menu'!$B$22 &amp; "'!" &amp;"$A$4:$CA$100"), VLOOKUP(VLOOKUP("RIDER RATE 5",'Misc. Data &amp; Mechanisms'!$E$601:$I$631,HLOOKUP('Personalized Bill Menu'!$B$22, 'Misc. Data &amp; Mechanisms'!$E$599:$I$600, 2, FALSE), FALSE), 'Misc. Data &amp; Mechanisms'!$A$599:$C$659, 2, FALSE), FALSE)), ""))</f>
        <v/>
      </c>
      <c r="AG14" s="90" t="str">
        <f ca="1">IF($A14="", "",IFERROR(IF(VLOOKUP($A14, INDIRECT("'" &amp; 'Personalized Bill Menu'!$B$22 &amp; "'!" &amp;"$A$4:$CA$100"), VLOOKUP(VLOOKUP("RIDER RATE 6",'Misc. Data &amp; Mechanisms'!$E$601:$I$631,HLOOKUP('Personalized Bill Menu'!$B$22, 'Misc. Data &amp; Mechanisms'!$E$599:$I$600, 2, FALSE), FALSE), 'Misc. Data &amp; Mechanisms'!$A$599:$C$659, 2, FALSE), FALSE) = "", "", VLOOKUP($A14, INDIRECT("'" &amp; 'Personalized Bill Menu'!$B$22 &amp; "'!" &amp;"$A$4:$CA$100"), VLOOKUP(VLOOKUP("RIDER RATE 6",'Misc. Data &amp; Mechanisms'!$E$601:$I$631,HLOOKUP('Personalized Bill Menu'!$B$22, 'Misc. Data &amp; Mechanisms'!$E$599:$I$600, 2, FALSE), FALSE), 'Misc. Data &amp; Mechanisms'!$A$599:$C$659, 2, FALSE), FALSE)), ""))</f>
        <v/>
      </c>
      <c r="AH14" s="90" t="str">
        <f ca="1">IF($A14="", "",IFERROR(IF(VLOOKUP($A14, INDIRECT("'" &amp; 'Personalized Bill Menu'!$B$22 &amp; "'!" &amp;"$A$4:$CA$100"), VLOOKUP(VLOOKUP("RIDER RATE 7",'Misc. Data &amp; Mechanisms'!$E$601:$I$631,HLOOKUP('Personalized Bill Menu'!$B$22, 'Misc. Data &amp; Mechanisms'!$E$599:$I$600, 2, FALSE), FALSE), 'Misc. Data &amp; Mechanisms'!$A$599:$C$659, 2, FALSE), FALSE) = "", "", VLOOKUP($A14, INDIRECT("'" &amp; 'Personalized Bill Menu'!$B$22 &amp; "'!" &amp;"$A$4:$CA$100"), VLOOKUP(VLOOKUP("RIDER RATE 7",'Misc. Data &amp; Mechanisms'!$E$601:$I$631,HLOOKUP('Personalized Bill Menu'!$B$22, 'Misc. Data &amp; Mechanisms'!$E$599:$I$600, 2, FALSE), FALSE), 'Misc. Data &amp; Mechanisms'!$A$599:$C$659, 2, FALSE), FALSE)), ""))</f>
        <v/>
      </c>
      <c r="AI14" s="72">
        <f t="shared" ca="1" si="14"/>
        <v>-3.0922339280553639</v>
      </c>
      <c r="AJ14" s="72">
        <f t="shared" ca="1" si="15"/>
        <v>8.522231695637732</v>
      </c>
      <c r="AK14" s="72">
        <f ca="1">IF($A14="", "", IFERROR(IF($AD$6="%",IF('Personalized Bill Menu'!$B$22="ENMAX", $AD14*$I14, IF(AND($AD14="", 'Personalized Bill Menu'!$B$22="FORTIS"),($AE14/100)*$C14,$AD14*$H14)),($AD14/100)*$C14), 0))</f>
        <v>0</v>
      </c>
      <c r="AL14" s="72">
        <f ca="1">IF($A14="", "", IFERROR(IF('Personalized Bill Menu'!$B$22="ENMAX",$AE14*$B14,IF($AE$6="%",$AE14*($H14+$I14+$J14), IF('Personalized Bill Menu'!$B$22="FORTIS",$AF14*$I14,($AE14/100)*$C14))), 0))</f>
        <v>0</v>
      </c>
      <c r="AM14" s="72" t="str">
        <f>IF($A14="", "", IFERROR(IF('Personalized Bill Menu'!$B$22="EPCOR",($AF14/100)*$C14, IF('Personalized Bill Menu'!$B$22="ATCO",$AF14*1,"")), 0))</f>
        <v/>
      </c>
      <c r="AN14" s="72" t="str">
        <f>IF($A14="", "", IFERROR(IF('Personalized Bill Menu'!$B$22="ATCO",$AG14*$B14,""), 0))</f>
        <v/>
      </c>
      <c r="AO14" s="70" t="str">
        <f>IF($A14="", "", IFERROR(IF('Personalized Bill Menu'!$B$22="ATCO",$AH14*$B14,""), 0))</f>
        <v/>
      </c>
      <c r="AP14" s="81">
        <f>IF('Personalized Bill Menu'!$B$34&lt;&gt;"Natural Gas", 'Personalized Bill Menu'!$K11, "")</f>
        <v>0.23369999999999999</v>
      </c>
      <c r="AQ14" s="72">
        <f t="shared" si="16"/>
        <v>7.2446999999999999</v>
      </c>
      <c r="AR14" s="91">
        <f ca="1">IF($A14="", "",IF(VLOOKUP($A14, INDIRECT("'" &amp; 'Personalized Bill Menu'!$B$22 &amp; "'!" &amp;"$A$4:$CA$100"), VLOOKUP(VLOOKUP(AR$5,'Misc. Data &amp; Mechanisms'!$E$601:$I$631,HLOOKUP('Personalized Bill Menu'!$B$22, 'Misc. Data &amp; Mechanisms'!$E$599:$I$600, 2, FALSE), FALSE), 'Misc. Data &amp; Mechanisms'!$A$599:$C$659, 2, FALSE), FALSE) = "", "", VLOOKUP($A14, INDIRECT("'" &amp; 'Personalized Bill Menu'!$B$22 &amp; "'!" &amp;"$A$4:$CA$100"), VLOOKUP(VLOOKUP(AR$5,'Misc. Data &amp; Mechanisms'!$E$601:$I$631,HLOOKUP('Personalized Bill Menu'!$B$22, 'Misc. Data &amp; Mechanisms'!$E$599:$I$600, 2, FALSE), FALSE), 'Misc. Data &amp; Mechanisms'!$A$599:$C$659, 2, FALSE), FALSE)))</f>
        <v>0.05</v>
      </c>
      <c r="AS14" s="2"/>
      <c r="AT14" s="2"/>
      <c r="AU14" s="2"/>
      <c r="AV14" s="2"/>
      <c r="AW14" s="2"/>
    </row>
    <row r="15" spans="1:49" ht="15" x14ac:dyDescent="0.25">
      <c r="A15" s="83">
        <f>'Personalized Bill Menu'!$H12</f>
        <v>41153</v>
      </c>
      <c r="B15" s="84">
        <f t="shared" si="0"/>
        <v>30</v>
      </c>
      <c r="C15" s="85">
        <f>IF('Personalized Bill Menu'!$B$34&lt;&gt;"Natural Gas", 'Personalized Bill Menu'!$I12, "")</f>
        <v>539.75497456034395</v>
      </c>
      <c r="D15" s="66">
        <f t="shared" ca="1" si="17"/>
        <v>20.389937279419645</v>
      </c>
      <c r="E15" s="66">
        <f ca="1">IFERROR((1+$AR15)*(IF('Personalized Bill Menu'!$B$22="ENMAX", ((1+IFERROR($X15, 0))*($N15+$P15+$R15+$AB15+$AC15))+((1+IF($X15="", 0,$X15))*(IF($AD15="", 0,$AD15)*$R15)), IF('Personalized Bill Menu'!$B$22="EPCOR", ($N15+$P15+$R15+$X15+SUM($AB15:$AE15)), IF('Personalized Bill Menu'!$B$22="ATCO",($N15+((1+IF($AE15="", 0,$AE15))*(1+$X15+$Y15)*($P15+$R15))+SUM($AB15:$AD15)),IF($AD15="",$N15+((1+$X15+$Y15)*($P15+$R15))+$AB15+$AE15+(IF($AC15="", 0, $AC15)*$P15)+($R15*IF($AF15="", 0, $AF15)),$N15+((1+$X15+$Y15)*($P15+$R15))+$AB15+($AD15*$P15)+(IF($AC15="", 0, $AC15)*$P15)+($R15*IF($AF15="", 0, $AF15))))))), "")</f>
        <v>16.799015341499999</v>
      </c>
      <c r="F15" s="1469">
        <f t="shared" ca="1" si="1"/>
        <v>110.05570077540159</v>
      </c>
      <c r="G15" s="66">
        <f t="shared" si="2"/>
        <v>58.093827911929822</v>
      </c>
      <c r="H15" s="66">
        <f t="shared" ca="1" si="3"/>
        <v>10.505251069867974</v>
      </c>
      <c r="I15" s="66">
        <f t="shared" ca="1" si="4"/>
        <v>14.064512662736476</v>
      </c>
      <c r="J15" s="66">
        <f t="shared" ca="1" si="5"/>
        <v>9.7795150675624924</v>
      </c>
      <c r="K15" s="66">
        <f t="shared" ca="1" si="6"/>
        <v>5.3608464073333355</v>
      </c>
      <c r="L15" s="66">
        <f t="shared" si="7"/>
        <v>7.0110000000000001</v>
      </c>
      <c r="M15" s="68">
        <f t="shared" ca="1" si="8"/>
        <v>5.2407476559715045</v>
      </c>
      <c r="N15" s="69">
        <f>IF('Personalized Bill Menu'!$B$34&lt;&gt;"Natural Gas", 'Personalized Bill Menu'!$J12, "")</f>
        <v>10.763</v>
      </c>
      <c r="O15" s="70">
        <f t="shared" si="9"/>
        <v>58.093827911929822</v>
      </c>
      <c r="P15" s="71">
        <f ca="1">IF($A15="", "",IFERROR(IF(VLOOKUP($A15, INDIRECT("'" &amp; 'Personalized Bill Menu'!$B$22 &amp; "'!" &amp;"$A$4:$CA$100"), VLOOKUP(VLOOKUP(P$5,'Misc. Data &amp; Mechanisms'!$E$601:$I$631,HLOOKUP('Personalized Bill Menu'!$B$22, 'Misc. Data &amp; Mechanisms'!$E$599:$I$600, 2, FALSE), FALSE), 'Misc. Data &amp; Mechanisms'!$A$599:$C$659, 2, FALSE), FALSE) = "", "", VLOOKUP($A15, INDIRECT("'" &amp; 'Personalized Bill Menu'!$B$22 &amp; "'!" &amp;"$A$4:$CA$100"), VLOOKUP(VLOOKUP(P$5,'Misc. Data &amp; Mechanisms'!$E$601:$I$631,HLOOKUP('Personalized Bill Menu'!$B$22, 'Misc. Data &amp; Mechanisms'!$E$599:$I$600, 2, FALSE), FALSE), 'Misc. Data &amp; Mechanisms'!$A$599:$C$659, 2, FALSE), FALSE)), ""))</f>
        <v>1.9462999999999999</v>
      </c>
      <c r="Q15" s="72">
        <f t="shared" ca="1" si="10"/>
        <v>10.505251069867974</v>
      </c>
      <c r="R15" s="87">
        <f ca="1">IF($A15="", "",IFERROR(IF(VLOOKUP($A15, INDIRECT("'" &amp; 'Personalized Bill Menu'!$B$22 &amp; "'!" &amp;"$A$4:$CA$100"), VLOOKUP(VLOOKUP(R$5,'Misc. Data &amp; Mechanisms'!$E$601:$I$631,HLOOKUP('Personalized Bill Menu'!$B$22, 'Misc. Data &amp; Mechanisms'!$E$599:$I$600, 2, FALSE), FALSE), 'Misc. Data &amp; Mechanisms'!$A$599:$C$659, 2, FALSE), FALSE) = "", "", VLOOKUP($A15, INDIRECT("'" &amp; 'Personalized Bill Menu'!$B$22 &amp; "'!" &amp;"$A$4:$CA$100"), VLOOKUP(VLOOKUP(R$5,'Misc. Data &amp; Mechanisms'!$E$601:$I$631,HLOOKUP('Personalized Bill Menu'!$B$22, 'Misc. Data &amp; Mechanisms'!$E$599:$I$600, 2, FALSE), FALSE), 'Misc. Data &amp; Mechanisms'!$A$599:$C$659, 2, FALSE), FALSE)), ""))</f>
        <v>0.69679999999999997</v>
      </c>
      <c r="S15" s="88">
        <f ca="1">IF($A15="", "",IFERROR(IF(VLOOKUP($A15, INDIRECT("'" &amp; 'Personalized Bill Menu'!$B$22 &amp; "'!" &amp;"$A$4:$CA$100"), VLOOKUP(VLOOKUP(S$5,'Misc. Data &amp; Mechanisms'!$E$601:$I$631,HLOOKUP('Personalized Bill Menu'!$B$22, 'Misc. Data &amp; Mechanisms'!$E$599:$I$600, 2, FALSE), FALSE), 'Misc. Data &amp; Mechanisms'!$A$599:$C$659, 2, FALSE), FALSE) = "", "", VLOOKUP($A15, INDIRECT("'" &amp; 'Personalized Bill Menu'!$B$22 &amp; "'!" &amp;"$A$4:$CA$100"), VLOOKUP(VLOOKUP(S$5,'Misc. Data &amp; Mechanisms'!$E$601:$I$631,HLOOKUP('Personalized Bill Menu'!$B$22, 'Misc. Data &amp; Mechanisms'!$E$599:$I$600, 2, FALSE), FALSE), 'Misc. Data &amp; Mechanisms'!$A$599:$C$659, 2, FALSE), FALSE)), ""))</f>
        <v>0.34344999999999998</v>
      </c>
      <c r="T15" s="81" t="str">
        <f ca="1">IF($A15="", "",IFERROR(IF(VLOOKUP($A15, INDIRECT("'" &amp; 'Personalized Bill Menu'!$B$22 &amp; "'!" &amp;"$A$4:$CA$100"), VLOOKUP(VLOOKUP(T$5,'Misc. Data &amp; Mechanisms'!$E$601:$I$631,HLOOKUP('Personalized Bill Menu'!$B$22, 'Misc. Data &amp; Mechanisms'!$E$599:$I$600, 2, FALSE), FALSE), 'Misc. Data &amp; Mechanisms'!$A$599:$C$659, 2, FALSE), FALSE) = "", "", VLOOKUP($A15, INDIRECT("'" &amp; 'Personalized Bill Menu'!$B$22 &amp; "'!" &amp;"$A$4:$CA$100"), VLOOKUP(VLOOKUP(T$5,'Misc. Data &amp; Mechanisms'!$E$601:$I$631,HLOOKUP('Personalized Bill Menu'!$B$22, 'Misc. Data &amp; Mechanisms'!$E$599:$I$600, 2, FALSE), FALSE), 'Misc. Data &amp; Mechanisms'!$A$599:$C$659, 2, FALSE), FALSE)), ""))</f>
        <v/>
      </c>
      <c r="U15" s="72">
        <f t="shared" ca="1" si="11"/>
        <v>3.7610126627364764</v>
      </c>
      <c r="V15" s="72">
        <f t="shared" ca="1" si="12"/>
        <v>10.3035</v>
      </c>
      <c r="W15" s="70" t="str">
        <f t="shared" si="13"/>
        <v/>
      </c>
      <c r="X15" s="78">
        <f>IFERROR(IF(VLOOKUP($A15,'Misc. Data &amp; Mechanisms'!$A$63:$DY$152,HLOOKUP('Personalized Bill Menu'!$B$21&amp;"_"&amp;'Personalized Bill Menu'!$B$22&amp;"_Elec_Y_1",'Misc. Data &amp; Mechanisms'!$A$55:$DY$62,8,FALSE), FALSE)="", "", VLOOKUP($A15,'Misc. Data &amp; Mechanisms'!$A$63:$DY$152,HLOOKUP('Personalized Bill Menu'!$B$21&amp;"_"&amp;'Personalized Bill Menu'!$B$22&amp;"_Elec_Y_1",'Misc. Data &amp; Mechanisms'!$A$55:$DY$62,8,FALSE), FALSE)), "")</f>
        <v>0.1111</v>
      </c>
      <c r="Y15" s="78" t="str">
        <f>IFERROR(IF(VLOOKUP($A15,'Misc. Data &amp; Mechanisms'!$A$63:$DY$152,HLOOKUP('Personalized Bill Menu'!$B$21&amp;"_"&amp;'Personalized Bill Menu'!$B$22&amp;"_Elec_Y_2",'Misc. Data &amp; Mechanisms'!$A$55:$DY$62,8,FALSE), FALSE)="", "", VLOOKUP($A15,'Misc. Data &amp; Mechanisms'!$A$63:$DY$152,HLOOKUP('Personalized Bill Menu'!$B$21&amp;"_"&amp;'Personalized Bill Menu'!$B$22&amp;"_Elec_Y_2",'Misc. Data &amp; Mechanisms'!$A$55:$DY$62,8,FALSE), FALSE)), "")</f>
        <v/>
      </c>
      <c r="Z15" s="72">
        <f ca="1">IF($A15="", "",IFERROR(IF(OR('Personalized Bill Menu'!$B$22="FORTIS", 'Personalized Bill Menu'!$B$22="ATCO"), $X15*($H15+$I15), IF('Personalized Bill Menu'!$B$22="ENMAX",$X15*($H15+$I15+$K15),($X15/100)*$C15)), 0))</f>
        <v>3.3252907865470878</v>
      </c>
      <c r="AA15" s="72">
        <f>IF($A15="", "", IFERROR(IF(OR('Personalized Bill Menu'!$B$22="FORTIS", 'Personalized Bill Menu'!$B$22="ATCO"), $Y15*($H15+$I15), IF('Personalized Bill Menu'!$B$22="ENMAX",$X15*$G15,"")), 0))</f>
        <v>6.4542242810154038</v>
      </c>
      <c r="AB15" s="89">
        <f ca="1">IF($A15="", "",IFERROR(IF(VLOOKUP($A15, INDIRECT("'" &amp; 'Personalized Bill Menu'!$B$22 &amp; "'!" &amp;"$A$4:$CA$100"), VLOOKUP(VLOOKUP("RIDER RATE 1",'Misc. Data &amp; Mechanisms'!$E$601:$I$631,HLOOKUP('Personalized Bill Menu'!$B$22, 'Misc. Data &amp; Mechanisms'!$E$599:$I$600, 2, FALSE), FALSE), 'Misc. Data &amp; Mechanisms'!$A$599:$C$659, 2, FALSE), FALSE) = "", "", VLOOKUP($A15, INDIRECT("'" &amp; 'Personalized Bill Menu'!$B$22 &amp; "'!" &amp;"$A$4:$CA$100"), VLOOKUP(VLOOKUP("RIDER RATE 1",'Misc. Data &amp; Mechanisms'!$E$601:$I$631,HLOOKUP('Personalized Bill Menu'!$B$22, 'Misc. Data &amp; Mechanisms'!$E$599:$I$600, 2, FALSE), FALSE), 'Misc. Data &amp; Mechanisms'!$A$599:$C$659, 2, FALSE), FALSE)), ""))</f>
        <v>-0.56559999999999999</v>
      </c>
      <c r="AC15" s="69">
        <f ca="1">IF($A15="", "",IFERROR(IF(VLOOKUP($A15, INDIRECT("'" &amp; 'Personalized Bill Menu'!$B$22 &amp; "'!" &amp;"$A$4:$CA$100"), VLOOKUP(VLOOKUP("RIDER RATE 2",'Misc. Data &amp; Mechanisms'!$E$601:$I$631,HLOOKUP('Personalized Bill Menu'!$B$22, 'Misc. Data &amp; Mechanisms'!$E$599:$I$600, 2, FALSE), FALSE), 'Misc. Data &amp; Mechanisms'!$A$599:$C$659, 2, FALSE), FALSE) = "", "", VLOOKUP($A15, INDIRECT("'" &amp; 'Personalized Bill Menu'!$B$22 &amp; "'!" &amp;"$A$4:$CA$100"), VLOOKUP(VLOOKUP("RIDER RATE 2",'Misc. Data &amp; Mechanisms'!$E$601:$I$631,HLOOKUP('Personalized Bill Menu'!$B$22, 'Misc. Data &amp; Mechanisms'!$E$599:$I$600, 2, FALSE), FALSE), 'Misc. Data &amp; Mechanisms'!$A$599:$C$659, 2, FALSE), FALSE)), ""))</f>
        <v>1.5588</v>
      </c>
      <c r="AD15" s="69" t="str">
        <f ca="1">IF($A15="", "",IFERROR(IF(VLOOKUP($A15, INDIRECT("'" &amp; 'Personalized Bill Menu'!$B$22 &amp; "'!" &amp;"$A$4:$CA$100"), VLOOKUP(VLOOKUP("RIDER RATE 3",'Misc. Data &amp; Mechanisms'!$E$601:$I$631,HLOOKUP('Personalized Bill Menu'!$B$22, 'Misc. Data &amp; Mechanisms'!$E$599:$I$600, 2, FALSE), FALSE), 'Misc. Data &amp; Mechanisms'!$A$599:$C$659, 2, FALSE), FALSE) = "", "", VLOOKUP($A15, INDIRECT("'" &amp; 'Personalized Bill Menu'!$B$22 &amp; "'!" &amp;"$A$4:$CA$100"), VLOOKUP(VLOOKUP("RIDER RATE 3",'Misc. Data &amp; Mechanisms'!$E$601:$I$631,HLOOKUP('Personalized Bill Menu'!$B$22, 'Misc. Data &amp; Mechanisms'!$E$599:$I$600, 2, FALSE), FALSE), 'Misc. Data &amp; Mechanisms'!$A$599:$C$659, 2, FALSE), FALSE)), ""))</f>
        <v/>
      </c>
      <c r="AE15" s="69" t="str">
        <f ca="1">IF($A15="", "",IFERROR(IF(VLOOKUP($A15, INDIRECT("'" &amp; 'Personalized Bill Menu'!$B$22 &amp; "'!" &amp;"$A$4:$CA$100"), VLOOKUP(VLOOKUP("RIDER RATE 4",'Misc. Data &amp; Mechanisms'!$E$601:$I$631,HLOOKUP('Personalized Bill Menu'!$B$22, 'Misc. Data &amp; Mechanisms'!$E$599:$I$600, 2, FALSE), FALSE), 'Misc. Data &amp; Mechanisms'!$A$599:$C$659, 2, FALSE), FALSE) = "", "", VLOOKUP($A15, INDIRECT("'" &amp; 'Personalized Bill Menu'!$B$22 &amp; "'!" &amp;"$A$4:$CA$100"), VLOOKUP(VLOOKUP("RIDER RATE 4",'Misc. Data &amp; Mechanisms'!$E$601:$I$631,HLOOKUP('Personalized Bill Menu'!$B$22, 'Misc. Data &amp; Mechanisms'!$E$599:$I$600, 2, FALSE), FALSE), 'Misc. Data &amp; Mechanisms'!$A$599:$C$659, 2, FALSE), FALSE)), ""))</f>
        <v/>
      </c>
      <c r="AF15" s="90" t="str">
        <f ca="1">IF($A15="", "",IFERROR(IF(VLOOKUP($A15, INDIRECT("'" &amp; 'Personalized Bill Menu'!$B$22 &amp; "'!" &amp;"$A$4:$CA$100"), VLOOKUP(VLOOKUP("RIDER RATE 5",'Misc. Data &amp; Mechanisms'!$E$601:$I$631,HLOOKUP('Personalized Bill Menu'!$B$22, 'Misc. Data &amp; Mechanisms'!$E$599:$I$600, 2, FALSE), FALSE), 'Misc. Data &amp; Mechanisms'!$A$599:$C$659, 2, FALSE), FALSE) = "", "", VLOOKUP($A15, INDIRECT("'" &amp; 'Personalized Bill Menu'!$B$22 &amp; "'!" &amp;"$A$4:$CA$100"), VLOOKUP(VLOOKUP("RIDER RATE 5",'Misc. Data &amp; Mechanisms'!$E$601:$I$631,HLOOKUP('Personalized Bill Menu'!$B$22, 'Misc. Data &amp; Mechanisms'!$E$599:$I$600, 2, FALSE), FALSE), 'Misc. Data &amp; Mechanisms'!$A$599:$C$659, 2, FALSE), FALSE)), ""))</f>
        <v/>
      </c>
      <c r="AG15" s="90" t="str">
        <f ca="1">IF($A15="", "",IFERROR(IF(VLOOKUP($A15, INDIRECT("'" &amp; 'Personalized Bill Menu'!$B$22 &amp; "'!" &amp;"$A$4:$CA$100"), VLOOKUP(VLOOKUP("RIDER RATE 6",'Misc. Data &amp; Mechanisms'!$E$601:$I$631,HLOOKUP('Personalized Bill Menu'!$B$22, 'Misc. Data &amp; Mechanisms'!$E$599:$I$600, 2, FALSE), FALSE), 'Misc. Data &amp; Mechanisms'!$A$599:$C$659, 2, FALSE), FALSE) = "", "", VLOOKUP($A15, INDIRECT("'" &amp; 'Personalized Bill Menu'!$B$22 &amp; "'!" &amp;"$A$4:$CA$100"), VLOOKUP(VLOOKUP("RIDER RATE 6",'Misc. Data &amp; Mechanisms'!$E$601:$I$631,HLOOKUP('Personalized Bill Menu'!$B$22, 'Misc. Data &amp; Mechanisms'!$E$599:$I$600, 2, FALSE), FALSE), 'Misc. Data &amp; Mechanisms'!$A$599:$C$659, 2, FALSE), FALSE)), ""))</f>
        <v/>
      </c>
      <c r="AH15" s="90" t="str">
        <f ca="1">IF($A15="", "",IFERROR(IF(VLOOKUP($A15, INDIRECT("'" &amp; 'Personalized Bill Menu'!$B$22 &amp; "'!" &amp;"$A$4:$CA$100"), VLOOKUP(VLOOKUP("RIDER RATE 7",'Misc. Data &amp; Mechanisms'!$E$601:$I$631,HLOOKUP('Personalized Bill Menu'!$B$22, 'Misc. Data &amp; Mechanisms'!$E$599:$I$600, 2, FALSE), FALSE), 'Misc. Data &amp; Mechanisms'!$A$599:$C$659, 2, FALSE), FALSE) = "", "", VLOOKUP($A15, INDIRECT("'" &amp; 'Personalized Bill Menu'!$B$22 &amp; "'!" &amp;"$A$4:$CA$100"), VLOOKUP(VLOOKUP("RIDER RATE 7",'Misc. Data &amp; Mechanisms'!$E$601:$I$631,HLOOKUP('Personalized Bill Menu'!$B$22, 'Misc. Data &amp; Mechanisms'!$E$599:$I$600, 2, FALSE), FALSE), 'Misc. Data &amp; Mechanisms'!$A$599:$C$659, 2, FALSE), FALSE)), ""))</f>
        <v/>
      </c>
      <c r="AI15" s="72">
        <f t="shared" ca="1" si="14"/>
        <v>-3.052854136113305</v>
      </c>
      <c r="AJ15" s="72">
        <f t="shared" ca="1" si="15"/>
        <v>8.413700543446641</v>
      </c>
      <c r="AK15" s="72">
        <f ca="1">IF($A15="", "", IFERROR(IF($AD$6="%",IF('Personalized Bill Menu'!$B$22="ENMAX", $AD15*$I15, IF(AND($AD15="", 'Personalized Bill Menu'!$B$22="FORTIS"),($AE15/100)*$C15,$AD15*$H15)),($AD15/100)*$C15), 0))</f>
        <v>0</v>
      </c>
      <c r="AL15" s="72">
        <f ca="1">IF($A15="", "", IFERROR(IF('Personalized Bill Menu'!$B$22="ENMAX",$AE15*$B15,IF($AE$6="%",$AE15*($H15+$I15+$J15), IF('Personalized Bill Menu'!$B$22="FORTIS",$AF15*$I15,($AE15/100)*$C15))), 0))</f>
        <v>0</v>
      </c>
      <c r="AM15" s="72" t="str">
        <f>IF($A15="", "", IFERROR(IF('Personalized Bill Menu'!$B$22="EPCOR",($AF15/100)*$C15, IF('Personalized Bill Menu'!$B$22="ATCO",$AF15*1,"")), 0))</f>
        <v/>
      </c>
      <c r="AN15" s="72" t="str">
        <f>IF($A15="", "", IFERROR(IF('Personalized Bill Menu'!$B$22="ATCO",$AG15*$B15,""), 0))</f>
        <v/>
      </c>
      <c r="AO15" s="70" t="str">
        <f>IF($A15="", "", IFERROR(IF('Personalized Bill Menu'!$B$22="ATCO",$AH15*$B15,""), 0))</f>
        <v/>
      </c>
      <c r="AP15" s="81">
        <f>IF('Personalized Bill Menu'!$B$34&lt;&gt;"Natural Gas", 'Personalized Bill Menu'!$K12, "")</f>
        <v>0.23369999999999999</v>
      </c>
      <c r="AQ15" s="72">
        <f t="shared" si="16"/>
        <v>7.0110000000000001</v>
      </c>
      <c r="AR15" s="91">
        <f ca="1">IF($A15="", "",IF(VLOOKUP($A15, INDIRECT("'" &amp; 'Personalized Bill Menu'!$B$22 &amp; "'!" &amp;"$A$4:$CA$100"), VLOOKUP(VLOOKUP(AR$5,'Misc. Data &amp; Mechanisms'!$E$601:$I$631,HLOOKUP('Personalized Bill Menu'!$B$22, 'Misc. Data &amp; Mechanisms'!$E$599:$I$600, 2, FALSE), FALSE), 'Misc. Data &amp; Mechanisms'!$A$599:$C$659, 2, FALSE), FALSE) = "", "", VLOOKUP($A15, INDIRECT("'" &amp; 'Personalized Bill Menu'!$B$22 &amp; "'!" &amp;"$A$4:$CA$100"), VLOOKUP(VLOOKUP(AR$5,'Misc. Data &amp; Mechanisms'!$E$601:$I$631,HLOOKUP('Personalized Bill Menu'!$B$22, 'Misc. Data &amp; Mechanisms'!$E$599:$I$600, 2, FALSE), FALSE), 'Misc. Data &amp; Mechanisms'!$A$599:$C$659, 2, FALSE), FALSE)))</f>
        <v>0.05</v>
      </c>
      <c r="AS15" s="2"/>
      <c r="AT15" s="2"/>
      <c r="AU15" s="2"/>
      <c r="AV15" s="2"/>
      <c r="AW15" s="2"/>
    </row>
    <row r="16" spans="1:49" ht="15" x14ac:dyDescent="0.25">
      <c r="A16" s="83">
        <f>'Personalized Bill Menu'!$H13</f>
        <v>41183</v>
      </c>
      <c r="B16" s="84">
        <f t="shared" si="0"/>
        <v>31</v>
      </c>
      <c r="C16" s="85">
        <f>IF('Personalized Bill Menu'!$B$34&lt;&gt;"Natural Gas", 'Personalized Bill Menu'!$I13, "")</f>
        <v>629.88348353718152</v>
      </c>
      <c r="D16" s="66">
        <f t="shared" ca="1" si="17"/>
        <v>17.487299350583566</v>
      </c>
      <c r="E16" s="66">
        <f ca="1">IFERROR((1+$AR16)*(IF('Personalized Bill Menu'!$B$22="ENMAX", ((1+IFERROR($X16, 0))*($N16+$P16+$R16+$AB16+$AC16))+((1+IF($X16="", 0,$X16))*(IF($AD16="", 0,$AD16)*$R16)), IF('Personalized Bill Menu'!$B$22="EPCOR", ($N16+$P16+$R16+$X16+SUM($AB16:$AE16)), IF('Personalized Bill Menu'!$B$22="ATCO",($N16+((1+IF($AE16="", 0,$AE16))*(1+$X16+$Y16)*($P16+$R16))+SUM($AB16:$AD16)),IF($AD16="",$N16+((1+$X16+$Y16)*($P16+$R16))+$AB16+$AE16+(IF($AC16="", 0, $AC16)*$P16)+($R16*IF($AF16="", 0, $AF16)),$N16+((1+$X16+$Y16)*($P16+$R16))+$AB16+($AD16*$P16)+(IF($AC16="", 0, $AC16)*$P16)+($R16*IF($AF16="", 0, $AF16))))))), "")</f>
        <v>14.307623588999999</v>
      </c>
      <c r="F16" s="1469">
        <f t="shared" ca="1" si="1"/>
        <v>110.1496103260307</v>
      </c>
      <c r="G16" s="66">
        <f t="shared" si="2"/>
        <v>60.608648552914673</v>
      </c>
      <c r="H16" s="66">
        <f t="shared" ca="1" si="3"/>
        <v>12.259422240084163</v>
      </c>
      <c r="I16" s="66">
        <f t="shared" ca="1" si="4"/>
        <v>15.035978113287079</v>
      </c>
      <c r="J16" s="66">
        <f t="shared" ca="1" si="5"/>
        <v>9.765090132663051</v>
      </c>
      <c r="K16" s="66">
        <f t="shared" ca="1" si="6"/>
        <v>-9.4482522530574542E-3</v>
      </c>
      <c r="L16" s="66">
        <f t="shared" si="7"/>
        <v>7.2446999999999999</v>
      </c>
      <c r="M16" s="68">
        <f t="shared" ca="1" si="8"/>
        <v>5.2452195393347951</v>
      </c>
      <c r="N16" s="69">
        <f>IF('Personalized Bill Menu'!$B$34&lt;&gt;"Natural Gas", 'Personalized Bill Menu'!$J13, "")</f>
        <v>9.6221999999999994</v>
      </c>
      <c r="O16" s="70">
        <f t="shared" si="9"/>
        <v>60.608648552914673</v>
      </c>
      <c r="P16" s="71">
        <f ca="1">IF($A16="", "",IFERROR(IF(VLOOKUP($A16, INDIRECT("'" &amp; 'Personalized Bill Menu'!$B$22 &amp; "'!" &amp;"$A$4:$CA$100"), VLOOKUP(VLOOKUP(P$5,'Misc. Data &amp; Mechanisms'!$E$601:$I$631,HLOOKUP('Personalized Bill Menu'!$B$22, 'Misc. Data &amp; Mechanisms'!$E$599:$I$600, 2, FALSE), FALSE), 'Misc. Data &amp; Mechanisms'!$A$599:$C$659, 2, FALSE), FALSE) = "", "", VLOOKUP($A16, INDIRECT("'" &amp; 'Personalized Bill Menu'!$B$22 &amp; "'!" &amp;"$A$4:$CA$100"), VLOOKUP(VLOOKUP(P$5,'Misc. Data &amp; Mechanisms'!$E$601:$I$631,HLOOKUP('Personalized Bill Menu'!$B$22, 'Misc. Data &amp; Mechanisms'!$E$599:$I$600, 2, FALSE), FALSE), 'Misc. Data &amp; Mechanisms'!$A$599:$C$659, 2, FALSE), FALSE)), ""))</f>
        <v>1.9462999999999999</v>
      </c>
      <c r="Q16" s="72">
        <f t="shared" ca="1" si="10"/>
        <v>12.259422240084163</v>
      </c>
      <c r="R16" s="87">
        <f ca="1">IF($A16="", "",IFERROR(IF(VLOOKUP($A16, INDIRECT("'" &amp; 'Personalized Bill Menu'!$B$22 &amp; "'!" &amp;"$A$4:$CA$100"), VLOOKUP(VLOOKUP(R$5,'Misc. Data &amp; Mechanisms'!$E$601:$I$631,HLOOKUP('Personalized Bill Menu'!$B$22, 'Misc. Data &amp; Mechanisms'!$E$599:$I$600, 2, FALSE), FALSE), 'Misc. Data &amp; Mechanisms'!$A$599:$C$659, 2, FALSE), FALSE) = "", "", VLOOKUP($A16, INDIRECT("'" &amp; 'Personalized Bill Menu'!$B$22 &amp; "'!" &amp;"$A$4:$CA$100"), VLOOKUP(VLOOKUP(R$5,'Misc. Data &amp; Mechanisms'!$E$601:$I$631,HLOOKUP('Personalized Bill Menu'!$B$22, 'Misc. Data &amp; Mechanisms'!$E$599:$I$600, 2, FALSE), FALSE), 'Misc. Data &amp; Mechanisms'!$A$599:$C$659, 2, FALSE), FALSE)), ""))</f>
        <v>0.69679999999999997</v>
      </c>
      <c r="S16" s="88">
        <f ca="1">IF($A16="", "",IFERROR(IF(VLOOKUP($A16, INDIRECT("'" &amp; 'Personalized Bill Menu'!$B$22 &amp; "'!" &amp;"$A$4:$CA$100"), VLOOKUP(VLOOKUP(S$5,'Misc. Data &amp; Mechanisms'!$E$601:$I$631,HLOOKUP('Personalized Bill Menu'!$B$22, 'Misc. Data &amp; Mechanisms'!$E$599:$I$600, 2, FALSE), FALSE), 'Misc. Data &amp; Mechanisms'!$A$599:$C$659, 2, FALSE), FALSE) = "", "", VLOOKUP($A16, INDIRECT("'" &amp; 'Personalized Bill Menu'!$B$22 &amp; "'!" &amp;"$A$4:$CA$100"), VLOOKUP(VLOOKUP(S$5,'Misc. Data &amp; Mechanisms'!$E$601:$I$631,HLOOKUP('Personalized Bill Menu'!$B$22, 'Misc. Data &amp; Mechanisms'!$E$599:$I$600, 2, FALSE), FALSE), 'Misc. Data &amp; Mechanisms'!$A$599:$C$659, 2, FALSE), FALSE)), ""))</f>
        <v>0.34344999999999998</v>
      </c>
      <c r="T16" s="81" t="str">
        <f ca="1">IF($A16="", "",IFERROR(IF(VLOOKUP($A16, INDIRECT("'" &amp; 'Personalized Bill Menu'!$B$22 &amp; "'!" &amp;"$A$4:$CA$100"), VLOOKUP(VLOOKUP(T$5,'Misc. Data &amp; Mechanisms'!$E$601:$I$631,HLOOKUP('Personalized Bill Menu'!$B$22, 'Misc. Data &amp; Mechanisms'!$E$599:$I$600, 2, FALSE), FALSE), 'Misc. Data &amp; Mechanisms'!$A$599:$C$659, 2, FALSE), FALSE) = "", "", VLOOKUP($A16, INDIRECT("'" &amp; 'Personalized Bill Menu'!$B$22 &amp; "'!" &amp;"$A$4:$CA$100"), VLOOKUP(VLOOKUP(T$5,'Misc. Data &amp; Mechanisms'!$E$601:$I$631,HLOOKUP('Personalized Bill Menu'!$B$22, 'Misc. Data &amp; Mechanisms'!$E$599:$I$600, 2, FALSE), FALSE), 'Misc. Data &amp; Mechanisms'!$A$599:$C$659, 2, FALSE), FALSE)), ""))</f>
        <v/>
      </c>
      <c r="U16" s="72">
        <f t="shared" ca="1" si="11"/>
        <v>4.3890281132870808</v>
      </c>
      <c r="V16" s="72">
        <f t="shared" ca="1" si="12"/>
        <v>10.646949999999999</v>
      </c>
      <c r="W16" s="70" t="str">
        <f t="shared" si="13"/>
        <v/>
      </c>
      <c r="X16" s="78">
        <f>IFERROR(IF(VLOOKUP($A16,'Misc. Data &amp; Mechanisms'!$A$63:$DY$152,HLOOKUP('Personalized Bill Menu'!$B$21&amp;"_"&amp;'Personalized Bill Menu'!$B$22&amp;"_Elec_Y_1",'Misc. Data &amp; Mechanisms'!$A$55:$DY$62,8,FALSE), FALSE)="", "", VLOOKUP($A16,'Misc. Data &amp; Mechanisms'!$A$63:$DY$152,HLOOKUP('Personalized Bill Menu'!$B$21&amp;"_"&amp;'Personalized Bill Menu'!$B$22&amp;"_Elec_Y_1",'Misc. Data &amp; Mechanisms'!$A$55:$DY$62,8,FALSE), FALSE)), "")</f>
        <v>0.1111</v>
      </c>
      <c r="Y16" s="78" t="str">
        <f>IFERROR(IF(VLOOKUP($A16,'Misc. Data &amp; Mechanisms'!$A$63:$DY$152,HLOOKUP('Personalized Bill Menu'!$B$21&amp;"_"&amp;'Personalized Bill Menu'!$B$22&amp;"_Elec_Y_2",'Misc. Data &amp; Mechanisms'!$A$55:$DY$62,8,FALSE), FALSE)="", "", VLOOKUP($A16,'Misc. Data &amp; Mechanisms'!$A$63:$DY$152,HLOOKUP('Personalized Bill Menu'!$B$21&amp;"_"&amp;'Personalized Bill Menu'!$B$22&amp;"_Elec_Y_2",'Misc. Data &amp; Mechanisms'!$A$55:$DY$62,8,FALSE), FALSE)), "")</f>
        <v/>
      </c>
      <c r="Z16" s="72">
        <f ca="1">IF($A16="", "",IFERROR(IF(OR('Personalized Bill Menu'!$B$22="FORTIS", 'Personalized Bill Menu'!$B$22="ATCO"), $X16*($H16+$I16), IF('Personalized Bill Menu'!$B$22="ENMAX",$X16*($H16+$I16+$K16),($X16/100)*$C16)), 0))</f>
        <v>3.0314692784342303</v>
      </c>
      <c r="AA16" s="72">
        <f>IF($A16="", "", IFERROR(IF(OR('Personalized Bill Menu'!$B$22="FORTIS", 'Personalized Bill Menu'!$B$22="ATCO"), $Y16*($H16+$I16), IF('Personalized Bill Menu'!$B$22="ENMAX",$X16*$G16,"")), 0))</f>
        <v>6.7336208542288203</v>
      </c>
      <c r="AB16" s="89">
        <f ca="1">IF($A16="", "",IFERROR(IF(VLOOKUP($A16, INDIRECT("'" &amp; 'Personalized Bill Menu'!$B$22 &amp; "'!" &amp;"$A$4:$CA$100"), VLOOKUP(VLOOKUP("RIDER RATE 1",'Misc. Data &amp; Mechanisms'!$E$601:$I$631,HLOOKUP('Personalized Bill Menu'!$B$22, 'Misc. Data &amp; Mechanisms'!$E$599:$I$600, 2, FALSE), FALSE), 'Misc. Data &amp; Mechanisms'!$A$599:$C$659, 2, FALSE), FALSE) = "", "", VLOOKUP($A16, INDIRECT("'" &amp; 'Personalized Bill Menu'!$B$22 &amp; "'!" &amp;"$A$4:$CA$100"), VLOOKUP(VLOOKUP("RIDER RATE 1",'Misc. Data &amp; Mechanisms'!$E$601:$I$631,HLOOKUP('Personalized Bill Menu'!$B$22, 'Misc. Data &amp; Mechanisms'!$E$599:$I$600, 2, FALSE), FALSE), 'Misc. Data &amp; Mechanisms'!$A$599:$C$659, 2, FALSE), FALSE)), ""))</f>
        <v>-0.56559999999999999</v>
      </c>
      <c r="AC16" s="69">
        <f ca="1">IF($A16="", "",IFERROR(IF(VLOOKUP($A16, INDIRECT("'" &amp; 'Personalized Bill Menu'!$B$22 &amp; "'!" &amp;"$A$4:$CA$100"), VLOOKUP(VLOOKUP("RIDER RATE 2",'Misc. Data &amp; Mechanisms'!$E$601:$I$631,HLOOKUP('Personalized Bill Menu'!$B$22, 'Misc. Data &amp; Mechanisms'!$E$599:$I$600, 2, FALSE), FALSE), 'Misc. Data &amp; Mechanisms'!$A$599:$C$659, 2, FALSE), FALSE) = "", "", VLOOKUP($A16, INDIRECT("'" &amp; 'Personalized Bill Menu'!$B$22 &amp; "'!" &amp;"$A$4:$CA$100"), VLOOKUP(VLOOKUP("RIDER RATE 2",'Misc. Data &amp; Mechanisms'!$E$601:$I$631,HLOOKUP('Personalized Bill Menu'!$B$22, 'Misc. Data &amp; Mechanisms'!$E$599:$I$600, 2, FALSE), FALSE), 'Misc. Data &amp; Mechanisms'!$A$599:$C$659, 2, FALSE), FALSE)), ""))</f>
        <v>0.56410000000000005</v>
      </c>
      <c r="AD16" s="69" t="str">
        <f ca="1">IF($A16="", "",IFERROR(IF(VLOOKUP($A16, INDIRECT("'" &amp; 'Personalized Bill Menu'!$B$22 &amp; "'!" &amp;"$A$4:$CA$100"), VLOOKUP(VLOOKUP("RIDER RATE 3",'Misc. Data &amp; Mechanisms'!$E$601:$I$631,HLOOKUP('Personalized Bill Menu'!$B$22, 'Misc. Data &amp; Mechanisms'!$E$599:$I$600, 2, FALSE), FALSE), 'Misc. Data &amp; Mechanisms'!$A$599:$C$659, 2, FALSE), FALSE) = "", "", VLOOKUP($A16, INDIRECT("'" &amp; 'Personalized Bill Menu'!$B$22 &amp; "'!" &amp;"$A$4:$CA$100"), VLOOKUP(VLOOKUP("RIDER RATE 3",'Misc. Data &amp; Mechanisms'!$E$601:$I$631,HLOOKUP('Personalized Bill Menu'!$B$22, 'Misc. Data &amp; Mechanisms'!$E$599:$I$600, 2, FALSE), FALSE), 'Misc. Data &amp; Mechanisms'!$A$599:$C$659, 2, FALSE), FALSE)), ""))</f>
        <v/>
      </c>
      <c r="AE16" s="69" t="str">
        <f ca="1">IF($A16="", "",IFERROR(IF(VLOOKUP($A16, INDIRECT("'" &amp; 'Personalized Bill Menu'!$B$22 &amp; "'!" &amp;"$A$4:$CA$100"), VLOOKUP(VLOOKUP("RIDER RATE 4",'Misc. Data &amp; Mechanisms'!$E$601:$I$631,HLOOKUP('Personalized Bill Menu'!$B$22, 'Misc. Data &amp; Mechanisms'!$E$599:$I$600, 2, FALSE), FALSE), 'Misc. Data &amp; Mechanisms'!$A$599:$C$659, 2, FALSE), FALSE) = "", "", VLOOKUP($A16, INDIRECT("'" &amp; 'Personalized Bill Menu'!$B$22 &amp; "'!" &amp;"$A$4:$CA$100"), VLOOKUP(VLOOKUP("RIDER RATE 4",'Misc. Data &amp; Mechanisms'!$E$601:$I$631,HLOOKUP('Personalized Bill Menu'!$B$22, 'Misc. Data &amp; Mechanisms'!$E$599:$I$600, 2, FALSE), FALSE), 'Misc. Data &amp; Mechanisms'!$A$599:$C$659, 2, FALSE), FALSE)), ""))</f>
        <v/>
      </c>
      <c r="AF16" s="90" t="str">
        <f ca="1">IF($A16="", "",IFERROR(IF(VLOOKUP($A16, INDIRECT("'" &amp; 'Personalized Bill Menu'!$B$22 &amp; "'!" &amp;"$A$4:$CA$100"), VLOOKUP(VLOOKUP("RIDER RATE 5",'Misc. Data &amp; Mechanisms'!$E$601:$I$631,HLOOKUP('Personalized Bill Menu'!$B$22, 'Misc. Data &amp; Mechanisms'!$E$599:$I$600, 2, FALSE), FALSE), 'Misc. Data &amp; Mechanisms'!$A$599:$C$659, 2, FALSE), FALSE) = "", "", VLOOKUP($A16, INDIRECT("'" &amp; 'Personalized Bill Menu'!$B$22 &amp; "'!" &amp;"$A$4:$CA$100"), VLOOKUP(VLOOKUP("RIDER RATE 5",'Misc. Data &amp; Mechanisms'!$E$601:$I$631,HLOOKUP('Personalized Bill Menu'!$B$22, 'Misc. Data &amp; Mechanisms'!$E$599:$I$600, 2, FALSE), FALSE), 'Misc. Data &amp; Mechanisms'!$A$599:$C$659, 2, FALSE), FALSE)), ""))</f>
        <v/>
      </c>
      <c r="AG16" s="90" t="str">
        <f ca="1">IF($A16="", "",IFERROR(IF(VLOOKUP($A16, INDIRECT("'" &amp; 'Personalized Bill Menu'!$B$22 &amp; "'!" &amp;"$A$4:$CA$100"), VLOOKUP(VLOOKUP("RIDER RATE 6",'Misc. Data &amp; Mechanisms'!$E$601:$I$631,HLOOKUP('Personalized Bill Menu'!$B$22, 'Misc. Data &amp; Mechanisms'!$E$599:$I$600, 2, FALSE), FALSE), 'Misc. Data &amp; Mechanisms'!$A$599:$C$659, 2, FALSE), FALSE) = "", "", VLOOKUP($A16, INDIRECT("'" &amp; 'Personalized Bill Menu'!$B$22 &amp; "'!" &amp;"$A$4:$CA$100"), VLOOKUP(VLOOKUP("RIDER RATE 6",'Misc. Data &amp; Mechanisms'!$E$601:$I$631,HLOOKUP('Personalized Bill Menu'!$B$22, 'Misc. Data &amp; Mechanisms'!$E$599:$I$600, 2, FALSE), FALSE), 'Misc. Data &amp; Mechanisms'!$A$599:$C$659, 2, FALSE), FALSE)), ""))</f>
        <v/>
      </c>
      <c r="AH16" s="90" t="str">
        <f ca="1">IF($A16="", "",IFERROR(IF(VLOOKUP($A16, INDIRECT("'" &amp; 'Personalized Bill Menu'!$B$22 &amp; "'!" &amp;"$A$4:$CA$100"), VLOOKUP(VLOOKUP("RIDER RATE 7",'Misc. Data &amp; Mechanisms'!$E$601:$I$631,HLOOKUP('Personalized Bill Menu'!$B$22, 'Misc. Data &amp; Mechanisms'!$E$599:$I$600, 2, FALSE), FALSE), 'Misc. Data &amp; Mechanisms'!$A$599:$C$659, 2, FALSE), FALSE) = "", "", VLOOKUP($A16, INDIRECT("'" &amp; 'Personalized Bill Menu'!$B$22 &amp; "'!" &amp;"$A$4:$CA$100"), VLOOKUP(VLOOKUP("RIDER RATE 7",'Misc. Data &amp; Mechanisms'!$E$601:$I$631,HLOOKUP('Personalized Bill Menu'!$B$22, 'Misc. Data &amp; Mechanisms'!$E$599:$I$600, 2, FALSE), FALSE), 'Misc. Data &amp; Mechanisms'!$A$599:$C$659, 2, FALSE), FALSE)), ""))</f>
        <v/>
      </c>
      <c r="AI16" s="72">
        <f t="shared" ca="1" si="14"/>
        <v>-3.5626209828862985</v>
      </c>
      <c r="AJ16" s="72">
        <f t="shared" ca="1" si="15"/>
        <v>3.553172730633241</v>
      </c>
      <c r="AK16" s="72">
        <f ca="1">IF($A16="", "", IFERROR(IF($AD$6="%",IF('Personalized Bill Menu'!$B$22="ENMAX", $AD16*$I16, IF(AND($AD16="", 'Personalized Bill Menu'!$B$22="FORTIS"),($AE16/100)*$C16,$AD16*$H16)),($AD16/100)*$C16), 0))</f>
        <v>0</v>
      </c>
      <c r="AL16" s="72">
        <f ca="1">IF($A16="", "", IFERROR(IF('Personalized Bill Menu'!$B$22="ENMAX",$AE16*$B16,IF($AE$6="%",$AE16*($H16+$I16+$J16), IF('Personalized Bill Menu'!$B$22="FORTIS",$AF16*$I16,($AE16/100)*$C16))), 0))</f>
        <v>0</v>
      </c>
      <c r="AM16" s="72" t="str">
        <f>IF($A16="", "", IFERROR(IF('Personalized Bill Menu'!$B$22="EPCOR",($AF16/100)*$C16, IF('Personalized Bill Menu'!$B$22="ATCO",$AF16*1,"")), 0))</f>
        <v/>
      </c>
      <c r="AN16" s="72" t="str">
        <f>IF($A16="", "", IFERROR(IF('Personalized Bill Menu'!$B$22="ATCO",$AG16*$B16,""), 0))</f>
        <v/>
      </c>
      <c r="AO16" s="70" t="str">
        <f>IF($A16="", "", IFERROR(IF('Personalized Bill Menu'!$B$22="ATCO",$AH16*$B16,""), 0))</f>
        <v/>
      </c>
      <c r="AP16" s="81">
        <f>IF('Personalized Bill Menu'!$B$34&lt;&gt;"Natural Gas", 'Personalized Bill Menu'!$K13, "")</f>
        <v>0.23369999999999999</v>
      </c>
      <c r="AQ16" s="72">
        <f t="shared" si="16"/>
        <v>7.2446999999999999</v>
      </c>
      <c r="AR16" s="91">
        <f ca="1">IF($A16="", "",IF(VLOOKUP($A16, INDIRECT("'" &amp; 'Personalized Bill Menu'!$B$22 &amp; "'!" &amp;"$A$4:$CA$100"), VLOOKUP(VLOOKUP(AR$5,'Misc. Data &amp; Mechanisms'!$E$601:$I$631,HLOOKUP('Personalized Bill Menu'!$B$22, 'Misc. Data &amp; Mechanisms'!$E$599:$I$600, 2, FALSE), FALSE), 'Misc. Data &amp; Mechanisms'!$A$599:$C$659, 2, FALSE), FALSE) = "", "", VLOOKUP($A16, INDIRECT("'" &amp; 'Personalized Bill Menu'!$B$22 &amp; "'!" &amp;"$A$4:$CA$100"), VLOOKUP(VLOOKUP(AR$5,'Misc. Data &amp; Mechanisms'!$E$601:$I$631,HLOOKUP('Personalized Bill Menu'!$B$22, 'Misc. Data &amp; Mechanisms'!$E$599:$I$600, 2, FALSE), FALSE), 'Misc. Data &amp; Mechanisms'!$A$599:$C$659, 2, FALSE), FALSE)))</f>
        <v>0.05</v>
      </c>
      <c r="AS16" s="2"/>
      <c r="AT16" s="2"/>
      <c r="AU16" s="2"/>
      <c r="AV16" s="2"/>
      <c r="AW16" s="2"/>
    </row>
    <row r="17" spans="1:49" ht="15" x14ac:dyDescent="0.25">
      <c r="A17" s="83">
        <f>'Personalized Bill Menu'!$H14</f>
        <v>41214</v>
      </c>
      <c r="B17" s="84">
        <f t="shared" si="0"/>
        <v>30</v>
      </c>
      <c r="C17" s="85">
        <f>IF('Personalized Bill Menu'!$B$34&lt;&gt;"Natural Gas", 'Personalized Bill Menu'!$I14, "")</f>
        <v>657.98042355140103</v>
      </c>
      <c r="D17" s="66">
        <f t="shared" ca="1" si="17"/>
        <v>14.660207188805099</v>
      </c>
      <c r="E17" s="66">
        <f ca="1">IFERROR((1+$AR17)*(IF('Personalized Bill Menu'!$B$22="ENMAX", ((1+IFERROR($X17, 0))*($N17+$P17+$R17+$AB17+$AC17))+((1+IF($X17="", 0,$X17))*(IF($AD17="", 0,$AD17)*$R17)), IF('Personalized Bill Menu'!$B$22="EPCOR", ($N17+$P17+$R17+$X17+SUM($AB17:$AE17)), IF('Personalized Bill Menu'!$B$22="ATCO",($N17+((1+IF($AE17="", 0,$AE17))*(1+$X17+$Y17)*($P17+$R17))+SUM($AB17:$AD17)),IF($AD17="",$N17+((1+$X17+$Y17)*($P17+$R17))+$AB17+$AE17+(IF($AC17="", 0, $AC17)*$P17)+($R17*IF($AF17="", 0, $AF17)),$N17+((1+$X17+$Y17)*($P17+$R17))+$AB17+($AD17*$P17)+(IF($AC17="", 0, $AC17)*$P17)+($R17*IF($AF17="", 0, $AF17))))))), "")</f>
        <v>11.7144995205</v>
      </c>
      <c r="F17" s="1469">
        <f t="shared" ca="1" si="1"/>
        <v>96.461293354412746</v>
      </c>
      <c r="G17" s="66">
        <f t="shared" si="2"/>
        <v>48.687261440685916</v>
      </c>
      <c r="H17" s="66">
        <f t="shared" ca="1" si="3"/>
        <v>12.806272983580916</v>
      </c>
      <c r="I17" s="66">
        <f t="shared" ca="1" si="4"/>
        <v>14.888307591306162</v>
      </c>
      <c r="J17" s="66">
        <f t="shared" ca="1" si="5"/>
        <v>8.4849261235543114</v>
      </c>
      <c r="K17" s="66">
        <f t="shared" ca="1" si="6"/>
        <v>-9.8697063532702245E-3</v>
      </c>
      <c r="L17" s="66">
        <f t="shared" si="7"/>
        <v>7.0110000000000001</v>
      </c>
      <c r="M17" s="68">
        <f t="shared" ca="1" si="8"/>
        <v>4.5933949216387022</v>
      </c>
      <c r="N17" s="69">
        <f>IF('Personalized Bill Menu'!$B$34&lt;&gt;"Natural Gas", 'Personalized Bill Menu'!$J14, "")</f>
        <v>7.3994999999999997</v>
      </c>
      <c r="O17" s="70">
        <f t="shared" si="9"/>
        <v>48.687261440685916</v>
      </c>
      <c r="P17" s="71">
        <f ca="1">IF($A17="", "",IFERROR(IF(VLOOKUP($A17, INDIRECT("'" &amp; 'Personalized Bill Menu'!$B$22 &amp; "'!" &amp;"$A$4:$CA$100"), VLOOKUP(VLOOKUP(P$5,'Misc. Data &amp; Mechanisms'!$E$601:$I$631,HLOOKUP('Personalized Bill Menu'!$B$22, 'Misc. Data &amp; Mechanisms'!$E$599:$I$600, 2, FALSE), FALSE), 'Misc. Data &amp; Mechanisms'!$A$599:$C$659, 2, FALSE), FALSE) = "", "", VLOOKUP($A17, INDIRECT("'" &amp; 'Personalized Bill Menu'!$B$22 &amp; "'!" &amp;"$A$4:$CA$100"), VLOOKUP(VLOOKUP(P$5,'Misc. Data &amp; Mechanisms'!$E$601:$I$631,HLOOKUP('Personalized Bill Menu'!$B$22, 'Misc. Data &amp; Mechanisms'!$E$599:$I$600, 2, FALSE), FALSE), 'Misc. Data &amp; Mechanisms'!$A$599:$C$659, 2, FALSE), FALSE)), ""))</f>
        <v>1.9462999999999999</v>
      </c>
      <c r="Q17" s="72">
        <f t="shared" ca="1" si="10"/>
        <v>12.806272983580916</v>
      </c>
      <c r="R17" s="87">
        <f ca="1">IF($A17="", "",IFERROR(IF(VLOOKUP($A17, INDIRECT("'" &amp; 'Personalized Bill Menu'!$B$22 &amp; "'!" &amp;"$A$4:$CA$100"), VLOOKUP(VLOOKUP(R$5,'Misc. Data &amp; Mechanisms'!$E$601:$I$631,HLOOKUP('Personalized Bill Menu'!$B$22, 'Misc. Data &amp; Mechanisms'!$E$599:$I$600, 2, FALSE), FALSE), 'Misc. Data &amp; Mechanisms'!$A$599:$C$659, 2, FALSE), FALSE) = "", "", VLOOKUP($A17, INDIRECT("'" &amp; 'Personalized Bill Menu'!$B$22 &amp; "'!" &amp;"$A$4:$CA$100"), VLOOKUP(VLOOKUP(R$5,'Misc. Data &amp; Mechanisms'!$E$601:$I$631,HLOOKUP('Personalized Bill Menu'!$B$22, 'Misc. Data &amp; Mechanisms'!$E$599:$I$600, 2, FALSE), FALSE), 'Misc. Data &amp; Mechanisms'!$A$599:$C$659, 2, FALSE), FALSE)), ""))</f>
        <v>0.69679999999999997</v>
      </c>
      <c r="S17" s="88">
        <f ca="1">IF($A17="", "",IFERROR(IF(VLOOKUP($A17, INDIRECT("'" &amp; 'Personalized Bill Menu'!$B$22 &amp; "'!" &amp;"$A$4:$CA$100"), VLOOKUP(VLOOKUP(S$5,'Misc. Data &amp; Mechanisms'!$E$601:$I$631,HLOOKUP('Personalized Bill Menu'!$B$22, 'Misc. Data &amp; Mechanisms'!$E$599:$I$600, 2, FALSE), FALSE), 'Misc. Data &amp; Mechanisms'!$A$599:$C$659, 2, FALSE), FALSE) = "", "", VLOOKUP($A17, INDIRECT("'" &amp; 'Personalized Bill Menu'!$B$22 &amp; "'!" &amp;"$A$4:$CA$100"), VLOOKUP(VLOOKUP(S$5,'Misc. Data &amp; Mechanisms'!$E$601:$I$631,HLOOKUP('Personalized Bill Menu'!$B$22, 'Misc. Data &amp; Mechanisms'!$E$599:$I$600, 2, FALSE), FALSE), 'Misc. Data &amp; Mechanisms'!$A$599:$C$659, 2, FALSE), FALSE)), ""))</f>
        <v>0.34344999999999998</v>
      </c>
      <c r="T17" s="81" t="str">
        <f ca="1">IF($A17="", "",IFERROR(IF(VLOOKUP($A17, INDIRECT("'" &amp; 'Personalized Bill Menu'!$B$22 &amp; "'!" &amp;"$A$4:$CA$100"), VLOOKUP(VLOOKUP(T$5,'Misc. Data &amp; Mechanisms'!$E$601:$I$631,HLOOKUP('Personalized Bill Menu'!$B$22, 'Misc. Data &amp; Mechanisms'!$E$599:$I$600, 2, FALSE), FALSE), 'Misc. Data &amp; Mechanisms'!$A$599:$C$659, 2, FALSE), FALSE) = "", "", VLOOKUP($A17, INDIRECT("'" &amp; 'Personalized Bill Menu'!$B$22 &amp; "'!" &amp;"$A$4:$CA$100"), VLOOKUP(VLOOKUP(T$5,'Misc. Data &amp; Mechanisms'!$E$601:$I$631,HLOOKUP('Personalized Bill Menu'!$B$22, 'Misc. Data &amp; Mechanisms'!$E$599:$I$600, 2, FALSE), FALSE), 'Misc. Data &amp; Mechanisms'!$A$599:$C$659, 2, FALSE), FALSE)), ""))</f>
        <v/>
      </c>
      <c r="U17" s="72">
        <f t="shared" ca="1" si="11"/>
        <v>4.5848075913061619</v>
      </c>
      <c r="V17" s="72">
        <f t="shared" ca="1" si="12"/>
        <v>10.3035</v>
      </c>
      <c r="W17" s="70" t="str">
        <f t="shared" si="13"/>
        <v/>
      </c>
      <c r="X17" s="78">
        <f>IFERROR(IF(VLOOKUP($A17,'Misc. Data &amp; Mechanisms'!$A$63:$DY$152,HLOOKUP('Personalized Bill Menu'!$B$21&amp;"_"&amp;'Personalized Bill Menu'!$B$22&amp;"_Elec_Y_1",'Misc. Data &amp; Mechanisms'!$A$55:$DY$62,8,FALSE), FALSE)="", "", VLOOKUP($A17,'Misc. Data &amp; Mechanisms'!$A$63:$DY$152,HLOOKUP('Personalized Bill Menu'!$B$21&amp;"_"&amp;'Personalized Bill Menu'!$B$22&amp;"_Elec_Y_1",'Misc. Data &amp; Mechanisms'!$A$55:$DY$62,8,FALSE), FALSE)), "")</f>
        <v>0.1111</v>
      </c>
      <c r="Y17" s="78" t="str">
        <f>IFERROR(IF(VLOOKUP($A17,'Misc. Data &amp; Mechanisms'!$A$63:$DY$152,HLOOKUP('Personalized Bill Menu'!$B$21&amp;"_"&amp;'Personalized Bill Menu'!$B$22&amp;"_Elec_Y_2",'Misc. Data &amp; Mechanisms'!$A$55:$DY$62,8,FALSE), FALSE)="", "", VLOOKUP($A17,'Misc. Data &amp; Mechanisms'!$A$63:$DY$152,HLOOKUP('Personalized Bill Menu'!$B$21&amp;"_"&amp;'Personalized Bill Menu'!$B$22&amp;"_Elec_Y_2",'Misc. Data &amp; Mechanisms'!$A$55:$DY$62,8,FALSE), FALSE)), "")</f>
        <v/>
      </c>
      <c r="Z17" s="72">
        <f ca="1">IF($A17="", "",IFERROR(IF(OR('Personalized Bill Menu'!$B$22="FORTIS", 'Personalized Bill Menu'!$B$22="ATCO"), $X17*($H17+$I17), IF('Personalized Bill Menu'!$B$22="ENMAX",$X17*($H17+$I17+$K17),($X17/100)*$C17)), 0))</f>
        <v>3.0757713774941058</v>
      </c>
      <c r="AA17" s="72">
        <f>IF($A17="", "", IFERROR(IF(OR('Personalized Bill Menu'!$B$22="FORTIS", 'Personalized Bill Menu'!$B$22="ATCO"), $Y17*($H17+$I17), IF('Personalized Bill Menu'!$B$22="ENMAX",$X17*$G17,"")), 0))</f>
        <v>5.4091547460602056</v>
      </c>
      <c r="AB17" s="89">
        <f ca="1">IF($A17="", "",IFERROR(IF(VLOOKUP($A17, INDIRECT("'" &amp; 'Personalized Bill Menu'!$B$22 &amp; "'!" &amp;"$A$4:$CA$100"), VLOOKUP(VLOOKUP("RIDER RATE 1",'Misc. Data &amp; Mechanisms'!$E$601:$I$631,HLOOKUP('Personalized Bill Menu'!$B$22, 'Misc. Data &amp; Mechanisms'!$E$599:$I$600, 2, FALSE), FALSE), 'Misc. Data &amp; Mechanisms'!$A$599:$C$659, 2, FALSE), FALSE) = "", "", VLOOKUP($A17, INDIRECT("'" &amp; 'Personalized Bill Menu'!$B$22 &amp; "'!" &amp;"$A$4:$CA$100"), VLOOKUP(VLOOKUP("RIDER RATE 1",'Misc. Data &amp; Mechanisms'!$E$601:$I$631,HLOOKUP('Personalized Bill Menu'!$B$22, 'Misc. Data &amp; Mechanisms'!$E$599:$I$600, 2, FALSE), FALSE), 'Misc. Data &amp; Mechanisms'!$A$599:$C$659, 2, FALSE), FALSE)), ""))</f>
        <v>-0.56559999999999999</v>
      </c>
      <c r="AC17" s="69">
        <f ca="1">IF($A17="", "",IFERROR(IF(VLOOKUP($A17, INDIRECT("'" &amp; 'Personalized Bill Menu'!$B$22 &amp; "'!" &amp;"$A$4:$CA$100"), VLOOKUP(VLOOKUP("RIDER RATE 2",'Misc. Data &amp; Mechanisms'!$E$601:$I$631,HLOOKUP('Personalized Bill Menu'!$B$22, 'Misc. Data &amp; Mechanisms'!$E$599:$I$600, 2, FALSE), FALSE), 'Misc. Data &amp; Mechanisms'!$A$599:$C$659, 2, FALSE), FALSE) = "", "", VLOOKUP($A17, INDIRECT("'" &amp; 'Personalized Bill Menu'!$B$22 &amp; "'!" &amp;"$A$4:$CA$100"), VLOOKUP(VLOOKUP("RIDER RATE 2",'Misc. Data &amp; Mechanisms'!$E$601:$I$631,HLOOKUP('Personalized Bill Menu'!$B$22, 'Misc. Data &amp; Mechanisms'!$E$599:$I$600, 2, FALSE), FALSE), 'Misc. Data &amp; Mechanisms'!$A$599:$C$659, 2, FALSE), FALSE)), ""))</f>
        <v>0.56410000000000005</v>
      </c>
      <c r="AD17" s="69" t="str">
        <f ca="1">IF($A17="", "",IFERROR(IF(VLOOKUP($A17, INDIRECT("'" &amp; 'Personalized Bill Menu'!$B$22 &amp; "'!" &amp;"$A$4:$CA$100"), VLOOKUP(VLOOKUP("RIDER RATE 3",'Misc. Data &amp; Mechanisms'!$E$601:$I$631,HLOOKUP('Personalized Bill Menu'!$B$22, 'Misc. Data &amp; Mechanisms'!$E$599:$I$600, 2, FALSE), FALSE), 'Misc. Data &amp; Mechanisms'!$A$599:$C$659, 2, FALSE), FALSE) = "", "", VLOOKUP($A17, INDIRECT("'" &amp; 'Personalized Bill Menu'!$B$22 &amp; "'!" &amp;"$A$4:$CA$100"), VLOOKUP(VLOOKUP("RIDER RATE 3",'Misc. Data &amp; Mechanisms'!$E$601:$I$631,HLOOKUP('Personalized Bill Menu'!$B$22, 'Misc. Data &amp; Mechanisms'!$E$599:$I$600, 2, FALSE), FALSE), 'Misc. Data &amp; Mechanisms'!$A$599:$C$659, 2, FALSE), FALSE)), ""))</f>
        <v/>
      </c>
      <c r="AE17" s="69" t="str">
        <f ca="1">IF($A17="", "",IFERROR(IF(VLOOKUP($A17, INDIRECT("'" &amp; 'Personalized Bill Menu'!$B$22 &amp; "'!" &amp;"$A$4:$CA$100"), VLOOKUP(VLOOKUP("RIDER RATE 4",'Misc. Data &amp; Mechanisms'!$E$601:$I$631,HLOOKUP('Personalized Bill Menu'!$B$22, 'Misc. Data &amp; Mechanisms'!$E$599:$I$600, 2, FALSE), FALSE), 'Misc. Data &amp; Mechanisms'!$A$599:$C$659, 2, FALSE), FALSE) = "", "", VLOOKUP($A17, INDIRECT("'" &amp; 'Personalized Bill Menu'!$B$22 &amp; "'!" &amp;"$A$4:$CA$100"), VLOOKUP(VLOOKUP("RIDER RATE 4",'Misc. Data &amp; Mechanisms'!$E$601:$I$631,HLOOKUP('Personalized Bill Menu'!$B$22, 'Misc. Data &amp; Mechanisms'!$E$599:$I$600, 2, FALSE), FALSE), 'Misc. Data &amp; Mechanisms'!$A$599:$C$659, 2, FALSE), FALSE)), ""))</f>
        <v/>
      </c>
      <c r="AF17" s="90" t="str">
        <f ca="1">IF($A17="", "",IFERROR(IF(VLOOKUP($A17, INDIRECT("'" &amp; 'Personalized Bill Menu'!$B$22 &amp; "'!" &amp;"$A$4:$CA$100"), VLOOKUP(VLOOKUP("RIDER RATE 5",'Misc. Data &amp; Mechanisms'!$E$601:$I$631,HLOOKUP('Personalized Bill Menu'!$B$22, 'Misc. Data &amp; Mechanisms'!$E$599:$I$600, 2, FALSE), FALSE), 'Misc. Data &amp; Mechanisms'!$A$599:$C$659, 2, FALSE), FALSE) = "", "", VLOOKUP($A17, INDIRECT("'" &amp; 'Personalized Bill Menu'!$B$22 &amp; "'!" &amp;"$A$4:$CA$100"), VLOOKUP(VLOOKUP("RIDER RATE 5",'Misc. Data &amp; Mechanisms'!$E$601:$I$631,HLOOKUP('Personalized Bill Menu'!$B$22, 'Misc. Data &amp; Mechanisms'!$E$599:$I$600, 2, FALSE), FALSE), 'Misc. Data &amp; Mechanisms'!$A$599:$C$659, 2, FALSE), FALSE)), ""))</f>
        <v/>
      </c>
      <c r="AG17" s="90" t="str">
        <f ca="1">IF($A17="", "",IFERROR(IF(VLOOKUP($A17, INDIRECT("'" &amp; 'Personalized Bill Menu'!$B$22 &amp; "'!" &amp;"$A$4:$CA$100"), VLOOKUP(VLOOKUP("RIDER RATE 6",'Misc. Data &amp; Mechanisms'!$E$601:$I$631,HLOOKUP('Personalized Bill Menu'!$B$22, 'Misc. Data &amp; Mechanisms'!$E$599:$I$600, 2, FALSE), FALSE), 'Misc. Data &amp; Mechanisms'!$A$599:$C$659, 2, FALSE), FALSE) = "", "", VLOOKUP($A17, INDIRECT("'" &amp; 'Personalized Bill Menu'!$B$22 &amp; "'!" &amp;"$A$4:$CA$100"), VLOOKUP(VLOOKUP("RIDER RATE 6",'Misc. Data &amp; Mechanisms'!$E$601:$I$631,HLOOKUP('Personalized Bill Menu'!$B$22, 'Misc. Data &amp; Mechanisms'!$E$599:$I$600, 2, FALSE), FALSE), 'Misc. Data &amp; Mechanisms'!$A$599:$C$659, 2, FALSE), FALSE)), ""))</f>
        <v/>
      </c>
      <c r="AH17" s="90" t="str">
        <f ca="1">IF($A17="", "",IFERROR(IF(VLOOKUP($A17, INDIRECT("'" &amp; 'Personalized Bill Menu'!$B$22 &amp; "'!" &amp;"$A$4:$CA$100"), VLOOKUP(VLOOKUP("RIDER RATE 7",'Misc. Data &amp; Mechanisms'!$E$601:$I$631,HLOOKUP('Personalized Bill Menu'!$B$22, 'Misc. Data &amp; Mechanisms'!$E$599:$I$600, 2, FALSE), FALSE), 'Misc. Data &amp; Mechanisms'!$A$599:$C$659, 2, FALSE), FALSE) = "", "", VLOOKUP($A17, INDIRECT("'" &amp; 'Personalized Bill Menu'!$B$22 &amp; "'!" &amp;"$A$4:$CA$100"), VLOOKUP(VLOOKUP("RIDER RATE 7",'Misc. Data &amp; Mechanisms'!$E$601:$I$631,HLOOKUP('Personalized Bill Menu'!$B$22, 'Misc. Data &amp; Mechanisms'!$E$599:$I$600, 2, FALSE), FALSE), 'Misc. Data &amp; Mechanisms'!$A$599:$C$659, 2, FALSE), FALSE)), ""))</f>
        <v/>
      </c>
      <c r="AI17" s="72">
        <f t="shared" ca="1" si="14"/>
        <v>-3.7215372756067238</v>
      </c>
      <c r="AJ17" s="72">
        <f t="shared" ca="1" si="15"/>
        <v>3.7116675692534535</v>
      </c>
      <c r="AK17" s="72">
        <f ca="1">IF($A17="", "", IFERROR(IF($AD$6="%",IF('Personalized Bill Menu'!$B$22="ENMAX", $AD17*$I17, IF(AND($AD17="", 'Personalized Bill Menu'!$B$22="FORTIS"),($AE17/100)*$C17,$AD17*$H17)),($AD17/100)*$C17), 0))</f>
        <v>0</v>
      </c>
      <c r="AL17" s="72">
        <f ca="1">IF($A17="", "", IFERROR(IF('Personalized Bill Menu'!$B$22="ENMAX",$AE17*$B17,IF($AE$6="%",$AE17*($H17+$I17+$J17), IF('Personalized Bill Menu'!$B$22="FORTIS",$AF17*$I17,($AE17/100)*$C17))), 0))</f>
        <v>0</v>
      </c>
      <c r="AM17" s="72" t="str">
        <f>IF($A17="", "", IFERROR(IF('Personalized Bill Menu'!$B$22="EPCOR",($AF17/100)*$C17, IF('Personalized Bill Menu'!$B$22="ATCO",$AF17*1,"")), 0))</f>
        <v/>
      </c>
      <c r="AN17" s="72" t="str">
        <f>IF($A17="", "", IFERROR(IF('Personalized Bill Menu'!$B$22="ATCO",$AG17*$B17,""), 0))</f>
        <v/>
      </c>
      <c r="AO17" s="70" t="str">
        <f>IF($A17="", "", IFERROR(IF('Personalized Bill Menu'!$B$22="ATCO",$AH17*$B17,""), 0))</f>
        <v/>
      </c>
      <c r="AP17" s="81">
        <f>IF('Personalized Bill Menu'!$B$34&lt;&gt;"Natural Gas", 'Personalized Bill Menu'!$K14, "")</f>
        <v>0.23369999999999999</v>
      </c>
      <c r="AQ17" s="72">
        <f t="shared" si="16"/>
        <v>7.0110000000000001</v>
      </c>
      <c r="AR17" s="91">
        <f ca="1">IF($A17="", "",IF(VLOOKUP($A17, INDIRECT("'" &amp; 'Personalized Bill Menu'!$B$22 &amp; "'!" &amp;"$A$4:$CA$100"), VLOOKUP(VLOOKUP(AR$5,'Misc. Data &amp; Mechanisms'!$E$601:$I$631,HLOOKUP('Personalized Bill Menu'!$B$22, 'Misc. Data &amp; Mechanisms'!$E$599:$I$600, 2, FALSE), FALSE), 'Misc. Data &amp; Mechanisms'!$A$599:$C$659, 2, FALSE), FALSE) = "", "", VLOOKUP($A17, INDIRECT("'" &amp; 'Personalized Bill Menu'!$B$22 &amp; "'!" &amp;"$A$4:$CA$100"), VLOOKUP(VLOOKUP(AR$5,'Misc. Data &amp; Mechanisms'!$E$601:$I$631,HLOOKUP('Personalized Bill Menu'!$B$22, 'Misc. Data &amp; Mechanisms'!$E$599:$I$600, 2, FALSE), FALSE), 'Misc. Data &amp; Mechanisms'!$A$599:$C$659, 2, FALSE), FALSE)))</f>
        <v>0.05</v>
      </c>
      <c r="AS17" s="2"/>
      <c r="AT17" s="2"/>
      <c r="AU17" s="2"/>
      <c r="AV17" s="2"/>
      <c r="AW17" s="2"/>
    </row>
    <row r="18" spans="1:49" ht="15" x14ac:dyDescent="0.25">
      <c r="A18" s="83">
        <f>'Personalized Bill Menu'!$H15</f>
        <v>41244</v>
      </c>
      <c r="B18" s="84">
        <f t="shared" si="0"/>
        <v>31</v>
      </c>
      <c r="C18" s="85">
        <f>IF('Personalized Bill Menu'!$B$34&lt;&gt;"Natural Gas", 'Personalized Bill Menu'!$I15, "")</f>
        <v>761.27007914030821</v>
      </c>
      <c r="D18" s="66">
        <f t="shared" ca="1" si="17"/>
        <v>15.607836625418976</v>
      </c>
      <c r="E18" s="66">
        <f ca="1">IFERROR((1+$AR18)*(IF('Personalized Bill Menu'!$B$22="ENMAX", ((1+IFERROR($X18, 0))*($N18+$P18+$R18+$AB18+$AC18))+((1+IF($X18="", 0,$X18))*(IF($AD18="", 0,$AD18)*$R18)), IF('Personalized Bill Menu'!$B$22="EPCOR", ($N18+$P18+$R18+$X18+SUM($AB18:$AE18)), IF('Personalized Bill Menu'!$B$22="ATCO",($N18+((1+IF($AE18="", 0,$AE18))*(1+$X18+$Y18)*($P18+$R18))+SUM($AB18:$AD18)),IF($AD18="",$N18+((1+$X18+$Y18)*($P18+$R18))+$AB18+$AE18+(IF($AC18="", 0, $AC18)*$P18)+($R18*IF($AF18="", 0, $AF18)),$N18+((1+$X18+$Y18)*($P18+$R18))+$AB18+($AD18*$P18)+(IF($AC18="", 0, $AC18)*$P18)+($R18*IF($AF18="", 0, $AF18))))))), "")</f>
        <v>12.976936896000002</v>
      </c>
      <c r="F18" s="1469">
        <f t="shared" ca="1" si="1"/>
        <v>118.81779023041705</v>
      </c>
      <c r="G18" s="66">
        <f t="shared" si="2"/>
        <v>64.567883032364378</v>
      </c>
      <c r="H18" s="66">
        <f t="shared" ca="1" si="3"/>
        <v>14.816599550307817</v>
      </c>
      <c r="I18" s="66">
        <f t="shared" ca="1" si="4"/>
        <v>15.951479911449667</v>
      </c>
      <c r="J18" s="66">
        <f t="shared" ca="1" si="5"/>
        <v>10.590556776510052</v>
      </c>
      <c r="K18" s="66">
        <f t="shared" ca="1" si="6"/>
        <v>-1.1419051187104401E-2</v>
      </c>
      <c r="L18" s="66">
        <f t="shared" si="7"/>
        <v>7.2446999999999999</v>
      </c>
      <c r="M18" s="68">
        <f t="shared" ca="1" si="8"/>
        <v>5.6579900109722407</v>
      </c>
      <c r="N18" s="69">
        <f>IF('Personalized Bill Menu'!$B$34&lt;&gt;"Natural Gas", 'Personalized Bill Menu'!$J15, "")</f>
        <v>8.4816000000000003</v>
      </c>
      <c r="O18" s="70">
        <f t="shared" si="9"/>
        <v>64.567883032364378</v>
      </c>
      <c r="P18" s="71">
        <f ca="1">IF($A18="", "",IFERROR(IF(VLOOKUP($A18, INDIRECT("'" &amp; 'Personalized Bill Menu'!$B$22 &amp; "'!" &amp;"$A$4:$CA$100"), VLOOKUP(VLOOKUP(P$5,'Misc. Data &amp; Mechanisms'!$E$601:$I$631,HLOOKUP('Personalized Bill Menu'!$B$22, 'Misc. Data &amp; Mechanisms'!$E$599:$I$600, 2, FALSE), FALSE), 'Misc. Data &amp; Mechanisms'!$A$599:$C$659, 2, FALSE), FALSE) = "", "", VLOOKUP($A18, INDIRECT("'" &amp; 'Personalized Bill Menu'!$B$22 &amp; "'!" &amp;"$A$4:$CA$100"), VLOOKUP(VLOOKUP(P$5,'Misc. Data &amp; Mechanisms'!$E$601:$I$631,HLOOKUP('Personalized Bill Menu'!$B$22, 'Misc. Data &amp; Mechanisms'!$E$599:$I$600, 2, FALSE), FALSE), 'Misc. Data &amp; Mechanisms'!$A$599:$C$659, 2, FALSE), FALSE)), ""))</f>
        <v>1.9462999999999999</v>
      </c>
      <c r="Q18" s="72">
        <f t="shared" ca="1" si="10"/>
        <v>14.816599550307817</v>
      </c>
      <c r="R18" s="87">
        <f ca="1">IF($A18="", "",IFERROR(IF(VLOOKUP($A18, INDIRECT("'" &amp; 'Personalized Bill Menu'!$B$22 &amp; "'!" &amp;"$A$4:$CA$100"), VLOOKUP(VLOOKUP(R$5,'Misc. Data &amp; Mechanisms'!$E$601:$I$631,HLOOKUP('Personalized Bill Menu'!$B$22, 'Misc. Data &amp; Mechanisms'!$E$599:$I$600, 2, FALSE), FALSE), 'Misc. Data &amp; Mechanisms'!$A$599:$C$659, 2, FALSE), FALSE) = "", "", VLOOKUP($A18, INDIRECT("'" &amp; 'Personalized Bill Menu'!$B$22 &amp; "'!" &amp;"$A$4:$CA$100"), VLOOKUP(VLOOKUP(R$5,'Misc. Data &amp; Mechanisms'!$E$601:$I$631,HLOOKUP('Personalized Bill Menu'!$B$22, 'Misc. Data &amp; Mechanisms'!$E$599:$I$600, 2, FALSE), FALSE), 'Misc. Data &amp; Mechanisms'!$A$599:$C$659, 2, FALSE), FALSE)), ""))</f>
        <v>0.69679999999999997</v>
      </c>
      <c r="S18" s="88">
        <f ca="1">IF($A18="", "",IFERROR(IF(VLOOKUP($A18, INDIRECT("'" &amp; 'Personalized Bill Menu'!$B$22 &amp; "'!" &amp;"$A$4:$CA$100"), VLOOKUP(VLOOKUP(S$5,'Misc. Data &amp; Mechanisms'!$E$601:$I$631,HLOOKUP('Personalized Bill Menu'!$B$22, 'Misc. Data &amp; Mechanisms'!$E$599:$I$600, 2, FALSE), FALSE), 'Misc. Data &amp; Mechanisms'!$A$599:$C$659, 2, FALSE), FALSE) = "", "", VLOOKUP($A18, INDIRECT("'" &amp; 'Personalized Bill Menu'!$B$22 &amp; "'!" &amp;"$A$4:$CA$100"), VLOOKUP(VLOOKUP(S$5,'Misc. Data &amp; Mechanisms'!$E$601:$I$631,HLOOKUP('Personalized Bill Menu'!$B$22, 'Misc. Data &amp; Mechanisms'!$E$599:$I$600, 2, FALSE), FALSE), 'Misc. Data &amp; Mechanisms'!$A$599:$C$659, 2, FALSE), FALSE)), ""))</f>
        <v>0.34344999999999998</v>
      </c>
      <c r="T18" s="81" t="str">
        <f ca="1">IF($A18="", "",IFERROR(IF(VLOOKUP($A18, INDIRECT("'" &amp; 'Personalized Bill Menu'!$B$22 &amp; "'!" &amp;"$A$4:$CA$100"), VLOOKUP(VLOOKUP(T$5,'Misc. Data &amp; Mechanisms'!$E$601:$I$631,HLOOKUP('Personalized Bill Menu'!$B$22, 'Misc. Data &amp; Mechanisms'!$E$599:$I$600, 2, FALSE), FALSE), 'Misc. Data &amp; Mechanisms'!$A$599:$C$659, 2, FALSE), FALSE) = "", "", VLOOKUP($A18, INDIRECT("'" &amp; 'Personalized Bill Menu'!$B$22 &amp; "'!" &amp;"$A$4:$CA$100"), VLOOKUP(VLOOKUP(T$5,'Misc. Data &amp; Mechanisms'!$E$601:$I$631,HLOOKUP('Personalized Bill Menu'!$B$22, 'Misc. Data &amp; Mechanisms'!$E$599:$I$600, 2, FALSE), FALSE), 'Misc. Data &amp; Mechanisms'!$A$599:$C$659, 2, FALSE), FALSE)), ""))</f>
        <v/>
      </c>
      <c r="U18" s="72">
        <f t="shared" ca="1" si="11"/>
        <v>5.3045299114496673</v>
      </c>
      <c r="V18" s="72">
        <f ca="1">IF($A18="", "", IFERROR(IF($S$6="$/day", $S18*$B18, ($S18/100)*$B18),0))</f>
        <v>10.646949999999999</v>
      </c>
      <c r="W18" s="70" t="str">
        <f t="shared" si="13"/>
        <v/>
      </c>
      <c r="X18" s="78">
        <f>IFERROR(IF(VLOOKUP($A18,'Misc. Data &amp; Mechanisms'!$A$63:$DY$152,HLOOKUP('Personalized Bill Menu'!$B$21&amp;"_"&amp;'Personalized Bill Menu'!$B$22&amp;"_Elec_Y_1",'Misc. Data &amp; Mechanisms'!$A$55:$DY$62,8,FALSE), FALSE)="", "", VLOOKUP($A18,'Misc. Data &amp; Mechanisms'!$A$63:$DY$152,HLOOKUP('Personalized Bill Menu'!$B$21&amp;"_"&amp;'Personalized Bill Menu'!$B$22&amp;"_Elec_Y_1",'Misc. Data &amp; Mechanisms'!$A$55:$DY$62,8,FALSE), FALSE)), "")</f>
        <v>0.1111</v>
      </c>
      <c r="Y18" s="78" t="str">
        <f>IFERROR(IF(VLOOKUP($A18,'Misc. Data &amp; Mechanisms'!$A$63:$DY$152,HLOOKUP('Personalized Bill Menu'!$B$21&amp;"_"&amp;'Personalized Bill Menu'!$B$22&amp;"_Elec_Y_2",'Misc. Data &amp; Mechanisms'!$A$55:$DY$62,8,FALSE), FALSE)="", "", VLOOKUP($A18,'Misc. Data &amp; Mechanisms'!$A$63:$DY$152,HLOOKUP('Personalized Bill Menu'!$B$21&amp;"_"&amp;'Personalized Bill Menu'!$B$22&amp;"_Elec_Y_2",'Misc. Data &amp; Mechanisms'!$A$55:$DY$62,8,FALSE), FALSE)), "")</f>
        <v/>
      </c>
      <c r="Z18" s="72">
        <f ca="1">IF($A18="", "",IFERROR(IF(OR('Personalized Bill Menu'!$B$22="FORTIS", 'Personalized Bill Menu'!$B$22="ATCO"), $X18*($H18+$I18), IF('Personalized Bill Menu'!$B$22="ENMAX",$X18*($H18+$I18+$K18),($X18/100)*$C18)), 0))</f>
        <v>3.4170649716143693</v>
      </c>
      <c r="AA18" s="72">
        <f>IF($A18="", "", IFERROR(IF(OR('Personalized Bill Menu'!$B$22="FORTIS", 'Personalized Bill Menu'!$B$22="ATCO"), $Y18*($H18+$I18), IF('Personalized Bill Menu'!$B$22="ENMAX",$X18*$G18,"")), 0))</f>
        <v>7.1734918048956828</v>
      </c>
      <c r="AB18" s="89">
        <f ca="1">IF($A18="", "",IFERROR(IF(VLOOKUP($A18, INDIRECT("'" &amp; 'Personalized Bill Menu'!$B$22 &amp; "'!" &amp;"$A$4:$CA$100"), VLOOKUP(VLOOKUP("RIDER RATE 1",'Misc. Data &amp; Mechanisms'!$E$601:$I$631,HLOOKUP('Personalized Bill Menu'!$B$22, 'Misc. Data &amp; Mechanisms'!$E$599:$I$600, 2, FALSE), FALSE), 'Misc. Data &amp; Mechanisms'!$A$599:$C$659, 2, FALSE), FALSE) = "", "", VLOOKUP($A18, INDIRECT("'" &amp; 'Personalized Bill Menu'!$B$22 &amp; "'!" &amp;"$A$4:$CA$100"), VLOOKUP(VLOOKUP("RIDER RATE 1",'Misc. Data &amp; Mechanisms'!$E$601:$I$631,HLOOKUP('Personalized Bill Menu'!$B$22, 'Misc. Data &amp; Mechanisms'!$E$599:$I$600, 2, FALSE), FALSE), 'Misc. Data &amp; Mechanisms'!$A$599:$C$659, 2, FALSE), FALSE)), ""))</f>
        <v>-0.56559999999999999</v>
      </c>
      <c r="AC18" s="69">
        <f ca="1">IF($A18="", "",IFERROR(IF(VLOOKUP($A18, INDIRECT("'" &amp; 'Personalized Bill Menu'!$B$22 &amp; "'!" &amp;"$A$4:$CA$100"), VLOOKUP(VLOOKUP("RIDER RATE 2",'Misc. Data &amp; Mechanisms'!$E$601:$I$631,HLOOKUP('Personalized Bill Menu'!$B$22, 'Misc. Data &amp; Mechanisms'!$E$599:$I$600, 2, FALSE), FALSE), 'Misc. Data &amp; Mechanisms'!$A$599:$C$659, 2, FALSE), FALSE) = "", "", VLOOKUP($A18, INDIRECT("'" &amp; 'Personalized Bill Menu'!$B$22 &amp; "'!" &amp;"$A$4:$CA$100"), VLOOKUP(VLOOKUP("RIDER RATE 2",'Misc. Data &amp; Mechanisms'!$E$601:$I$631,HLOOKUP('Personalized Bill Menu'!$B$22, 'Misc. Data &amp; Mechanisms'!$E$599:$I$600, 2, FALSE), FALSE), 'Misc. Data &amp; Mechanisms'!$A$599:$C$659, 2, FALSE), FALSE)), ""))</f>
        <v>0.56410000000000005</v>
      </c>
      <c r="AD18" s="69" t="str">
        <f ca="1">IF($A18="", "",IFERROR(IF(VLOOKUP($A18, INDIRECT("'" &amp; 'Personalized Bill Menu'!$B$22 &amp; "'!" &amp;"$A$4:$CA$100"), VLOOKUP(VLOOKUP("RIDER RATE 3",'Misc. Data &amp; Mechanisms'!$E$601:$I$631,HLOOKUP('Personalized Bill Menu'!$B$22, 'Misc. Data &amp; Mechanisms'!$E$599:$I$600, 2, FALSE), FALSE), 'Misc. Data &amp; Mechanisms'!$A$599:$C$659, 2, FALSE), FALSE) = "", "", VLOOKUP($A18, INDIRECT("'" &amp; 'Personalized Bill Menu'!$B$22 &amp; "'!" &amp;"$A$4:$CA$100"), VLOOKUP(VLOOKUP("RIDER RATE 3",'Misc. Data &amp; Mechanisms'!$E$601:$I$631,HLOOKUP('Personalized Bill Menu'!$B$22, 'Misc. Data &amp; Mechanisms'!$E$599:$I$600, 2, FALSE), FALSE), 'Misc. Data &amp; Mechanisms'!$A$599:$C$659, 2, FALSE), FALSE)), ""))</f>
        <v/>
      </c>
      <c r="AE18" s="69" t="str">
        <f ca="1">IF($A18="", "",IFERROR(IF(VLOOKUP($A18, INDIRECT("'" &amp; 'Personalized Bill Menu'!$B$22 &amp; "'!" &amp;"$A$4:$CA$100"), VLOOKUP(VLOOKUP("RIDER RATE 4",'Misc. Data &amp; Mechanisms'!$E$601:$I$631,HLOOKUP('Personalized Bill Menu'!$B$22, 'Misc. Data &amp; Mechanisms'!$E$599:$I$600, 2, FALSE), FALSE), 'Misc. Data &amp; Mechanisms'!$A$599:$C$659, 2, FALSE), FALSE) = "", "", VLOOKUP($A18, INDIRECT("'" &amp; 'Personalized Bill Menu'!$B$22 &amp; "'!" &amp;"$A$4:$CA$100"), VLOOKUP(VLOOKUP("RIDER RATE 4",'Misc. Data &amp; Mechanisms'!$E$601:$I$631,HLOOKUP('Personalized Bill Menu'!$B$22, 'Misc. Data &amp; Mechanisms'!$E$599:$I$600, 2, FALSE), FALSE), 'Misc. Data &amp; Mechanisms'!$A$599:$C$659, 2, FALSE), FALSE)), ""))</f>
        <v/>
      </c>
      <c r="AF18" s="90" t="str">
        <f ca="1">IF($A18="", "",IFERROR(IF(VLOOKUP($A18, INDIRECT("'" &amp; 'Personalized Bill Menu'!$B$22 &amp; "'!" &amp;"$A$4:$CA$100"), VLOOKUP(VLOOKUP("RIDER RATE 5",'Misc. Data &amp; Mechanisms'!$E$601:$I$631,HLOOKUP('Personalized Bill Menu'!$B$22, 'Misc. Data &amp; Mechanisms'!$E$599:$I$600, 2, FALSE), FALSE), 'Misc. Data &amp; Mechanisms'!$A$599:$C$659, 2, FALSE), FALSE) = "", "", VLOOKUP($A18, INDIRECT("'" &amp; 'Personalized Bill Menu'!$B$22 &amp; "'!" &amp;"$A$4:$CA$100"), VLOOKUP(VLOOKUP("RIDER RATE 5",'Misc. Data &amp; Mechanisms'!$E$601:$I$631,HLOOKUP('Personalized Bill Menu'!$B$22, 'Misc. Data &amp; Mechanisms'!$E$599:$I$600, 2, FALSE), FALSE), 'Misc. Data &amp; Mechanisms'!$A$599:$C$659, 2, FALSE), FALSE)), ""))</f>
        <v/>
      </c>
      <c r="AG18" s="90" t="str">
        <f ca="1">IF($A18="", "",IFERROR(IF(VLOOKUP($A18, INDIRECT("'" &amp; 'Personalized Bill Menu'!$B$22 &amp; "'!" &amp;"$A$4:$CA$100"), VLOOKUP(VLOOKUP("RIDER RATE 6",'Misc. Data &amp; Mechanisms'!$E$601:$I$631,HLOOKUP('Personalized Bill Menu'!$B$22, 'Misc. Data &amp; Mechanisms'!$E$599:$I$600, 2, FALSE), FALSE), 'Misc. Data &amp; Mechanisms'!$A$599:$C$659, 2, FALSE), FALSE) = "", "", VLOOKUP($A18, INDIRECT("'" &amp; 'Personalized Bill Menu'!$B$22 &amp; "'!" &amp;"$A$4:$CA$100"), VLOOKUP(VLOOKUP("RIDER RATE 6",'Misc. Data &amp; Mechanisms'!$E$601:$I$631,HLOOKUP('Personalized Bill Menu'!$B$22, 'Misc. Data &amp; Mechanisms'!$E$599:$I$600, 2, FALSE), FALSE), 'Misc. Data &amp; Mechanisms'!$A$599:$C$659, 2, FALSE), FALSE)), ""))</f>
        <v/>
      </c>
      <c r="AH18" s="90" t="str">
        <f ca="1">IF($A18="", "",IFERROR(IF(VLOOKUP($A18, INDIRECT("'" &amp; 'Personalized Bill Menu'!$B$22 &amp; "'!" &amp;"$A$4:$CA$100"), VLOOKUP(VLOOKUP("RIDER RATE 7",'Misc. Data &amp; Mechanisms'!$E$601:$I$631,HLOOKUP('Personalized Bill Menu'!$B$22, 'Misc. Data &amp; Mechanisms'!$E$599:$I$600, 2, FALSE), FALSE), 'Misc. Data &amp; Mechanisms'!$A$599:$C$659, 2, FALSE), FALSE) = "", "", VLOOKUP($A18, INDIRECT("'" &amp; 'Personalized Bill Menu'!$B$22 &amp; "'!" &amp;"$A$4:$CA$100"), VLOOKUP(VLOOKUP("RIDER RATE 7",'Misc. Data &amp; Mechanisms'!$E$601:$I$631,HLOOKUP('Personalized Bill Menu'!$B$22, 'Misc. Data &amp; Mechanisms'!$E$599:$I$600, 2, FALSE), FALSE), 'Misc. Data &amp; Mechanisms'!$A$599:$C$659, 2, FALSE), FALSE)), ""))</f>
        <v/>
      </c>
      <c r="AI18" s="72">
        <f t="shared" ca="1" si="14"/>
        <v>-4.3057435676175828</v>
      </c>
      <c r="AJ18" s="72">
        <f t="shared" ca="1" si="15"/>
        <v>4.2943245164304784</v>
      </c>
      <c r="AK18" s="72">
        <f ca="1">IF($A18="", "", IFERROR(IF($AD$6="%",IF('Personalized Bill Menu'!$B$22="ENMAX", $AD18*$I18, IF(AND($AD18="", 'Personalized Bill Menu'!$B$22="FORTIS"),($AE18/100)*$C18,$AD18*$H18)),($AD18/100)*$C18), 0))</f>
        <v>0</v>
      </c>
      <c r="AL18" s="72">
        <f ca="1">IF($A18="", "", IFERROR(IF('Personalized Bill Menu'!$B$22="ENMAX",$AE18*$B18,IF($AE$6="%",$AE18*($H18+$I18+$J18), IF('Personalized Bill Menu'!$B$22="FORTIS",$AF18*$I18,($AE18/100)*$C18))), 0))</f>
        <v>0</v>
      </c>
      <c r="AM18" s="72" t="str">
        <f>IF($A18="", "", IFERROR(IF('Personalized Bill Menu'!$B$22="EPCOR",($AF18/100)*$C18, IF('Personalized Bill Menu'!$B$22="ATCO",$AF18*1,"")), 0))</f>
        <v/>
      </c>
      <c r="AN18" s="72" t="str">
        <f>IF($A18="", "", IFERROR(IF('Personalized Bill Menu'!$B$22="ATCO",$AG18*$B18,""), 0))</f>
        <v/>
      </c>
      <c r="AO18" s="70" t="str">
        <f>IF($A18="", "", IFERROR(IF('Personalized Bill Menu'!$B$22="ATCO",$AH18*$B18,""), 0))</f>
        <v/>
      </c>
      <c r="AP18" s="81">
        <f>IF('Personalized Bill Menu'!$B$34&lt;&gt;"Natural Gas", 'Personalized Bill Menu'!$K15, "")</f>
        <v>0.23369999999999999</v>
      </c>
      <c r="AQ18" s="72">
        <f t="shared" si="16"/>
        <v>7.2446999999999999</v>
      </c>
      <c r="AR18" s="91">
        <f ca="1">IF($A18="", "",IF(VLOOKUP($A18, INDIRECT("'" &amp; 'Personalized Bill Menu'!$B$22 &amp; "'!" &amp;"$A$4:$CA$100"), VLOOKUP(VLOOKUP(AR$5,'Misc. Data &amp; Mechanisms'!$E$601:$I$631,HLOOKUP('Personalized Bill Menu'!$B$22, 'Misc. Data &amp; Mechanisms'!$E$599:$I$600, 2, FALSE), FALSE), 'Misc. Data &amp; Mechanisms'!$A$599:$C$659, 2, FALSE), FALSE) = "", "", VLOOKUP($A18, INDIRECT("'" &amp; 'Personalized Bill Menu'!$B$22 &amp; "'!" &amp;"$A$4:$CA$100"), VLOOKUP(VLOOKUP(AR$5,'Misc. Data &amp; Mechanisms'!$E$601:$I$631,HLOOKUP('Personalized Bill Menu'!$B$22, 'Misc. Data &amp; Mechanisms'!$E$599:$I$600, 2, FALSE), FALSE), 'Misc. Data &amp; Mechanisms'!$A$599:$C$659, 2, FALSE), FALSE)))</f>
        <v>0.05</v>
      </c>
      <c r="AS18" s="2"/>
      <c r="AT18" s="2"/>
      <c r="AU18" s="2"/>
      <c r="AV18" s="2"/>
      <c r="AW18" s="2"/>
    </row>
    <row r="19" spans="1:49" ht="15" x14ac:dyDescent="0.25">
      <c r="A19" s="83">
        <f>'Personalized Bill Menu'!$H16</f>
        <v>41275</v>
      </c>
      <c r="B19" s="84">
        <f t="shared" si="0"/>
        <v>31</v>
      </c>
      <c r="C19" s="85">
        <f>IF('Personalized Bill Menu'!$B$34&lt;&gt;"Natural Gas", 'Personalized Bill Menu'!$I16, "")</f>
        <v>695.70470034835296</v>
      </c>
      <c r="D19" s="66">
        <f t="shared" ca="1" si="17"/>
        <v>16.626706437860761</v>
      </c>
      <c r="E19" s="66">
        <f ca="1">IFERROR((1+$AR19)*(IF('Personalized Bill Menu'!$B$22="ENMAX", ((1+IFERROR($X19, 0))*($N19+$P19+$R19+$AB19+$AC19))+((1+IF($X19="", 0,$X19))*(IF($AD19="", 0,$AD19)*$R19)), IF('Personalized Bill Menu'!$B$22="EPCOR", ($N19+$P19+$R19+$X19+SUM($AB19:$AE19)), IF('Personalized Bill Menu'!$B$22="ATCO",($N19+((1+IF($AE19="", 0,$AE19))*(1+$X19+$Y19)*($P19+$R19))+SUM($AB19:$AD19)),IF($AD19="",$N19+((1+$X19+$Y19)*($P19+$R19))+$AB19+$AE19+(IF($AC19="", 0, $AC19)*$P19)+($R19*IF($AF19="", 0, $AF19)),$N19+((1+$X19+$Y19)*($P19+$R19))+$AB19+($AD19*$P19)+(IF($AC19="", 0, $AC19)*$P19)+($R19*IF($AF19="", 0, $AF19))))))), "")</f>
        <v>13.74786252</v>
      </c>
      <c r="F19" s="1469">
        <f t="shared" ca="1" si="1"/>
        <v>115.67277820131953</v>
      </c>
      <c r="G19" s="66">
        <f t="shared" si="2"/>
        <v>63.604106524647825</v>
      </c>
      <c r="H19" s="66">
        <f t="shared" ca="1" si="3"/>
        <v>13.540500582879991</v>
      </c>
      <c r="I19" s="66">
        <f t="shared" ca="1" si="4"/>
        <v>15.494620352027322</v>
      </c>
      <c r="J19" s="66">
        <f t="shared" ca="1" si="5"/>
        <v>10.291058778873445</v>
      </c>
      <c r="K19" s="66">
        <f t="shared" ca="1" si="6"/>
        <v>-1.0435570505225034E-2</v>
      </c>
      <c r="L19" s="66">
        <f t="shared" si="7"/>
        <v>7.2446999999999999</v>
      </c>
      <c r="M19" s="68">
        <f t="shared" ca="1" si="8"/>
        <v>5.5082275333961688</v>
      </c>
      <c r="N19" s="69">
        <f>IF('Personalized Bill Menu'!$B$34&lt;&gt;"Natural Gas", 'Personalized Bill Menu'!$J16, "")</f>
        <v>9.1424000000000003</v>
      </c>
      <c r="O19" s="70">
        <f t="shared" si="9"/>
        <v>63.604106524647825</v>
      </c>
      <c r="P19" s="71">
        <f ca="1">IF($A19="", "",IFERROR(IF(VLOOKUP($A19, INDIRECT("'" &amp; 'Personalized Bill Menu'!$B$22 &amp; "'!" &amp;"$A$4:$CA$100"), VLOOKUP(VLOOKUP(P$5,'Misc. Data &amp; Mechanisms'!$E$601:$I$631,HLOOKUP('Personalized Bill Menu'!$B$22, 'Misc. Data &amp; Mechanisms'!$E$599:$I$600, 2, FALSE), FALSE), 'Misc. Data &amp; Mechanisms'!$A$599:$C$659, 2, FALSE), FALSE) = "", "", VLOOKUP($A19, INDIRECT("'" &amp; 'Personalized Bill Menu'!$B$22 &amp; "'!" &amp;"$A$4:$CA$100"), VLOOKUP(VLOOKUP(P$5,'Misc. Data &amp; Mechanisms'!$E$601:$I$631,HLOOKUP('Personalized Bill Menu'!$B$22, 'Misc. Data &amp; Mechanisms'!$E$599:$I$600, 2, FALSE), FALSE), 'Misc. Data &amp; Mechanisms'!$A$599:$C$659, 2, FALSE), FALSE)), ""))</f>
        <v>1.9462999999999999</v>
      </c>
      <c r="Q19" s="72">
        <f t="shared" ca="1" si="10"/>
        <v>13.540500582879991</v>
      </c>
      <c r="R19" s="87">
        <f ca="1">IF($A19="", "",IFERROR(IF(VLOOKUP($A19, INDIRECT("'" &amp; 'Personalized Bill Menu'!$B$22 &amp; "'!" &amp;"$A$4:$CA$100"), VLOOKUP(VLOOKUP(R$5,'Misc. Data &amp; Mechanisms'!$E$601:$I$631,HLOOKUP('Personalized Bill Menu'!$B$22, 'Misc. Data &amp; Mechanisms'!$E$599:$I$600, 2, FALSE), FALSE), 'Misc. Data &amp; Mechanisms'!$A$599:$C$659, 2, FALSE), FALSE) = "", "", VLOOKUP($A19, INDIRECT("'" &amp; 'Personalized Bill Menu'!$B$22 &amp; "'!" &amp;"$A$4:$CA$100"), VLOOKUP(VLOOKUP(R$5,'Misc. Data &amp; Mechanisms'!$E$601:$I$631,HLOOKUP('Personalized Bill Menu'!$B$22, 'Misc. Data &amp; Mechanisms'!$E$599:$I$600, 2, FALSE), FALSE), 'Misc. Data &amp; Mechanisms'!$A$599:$C$659, 2, FALSE), FALSE)), ""))</f>
        <v>0.69679999999999997</v>
      </c>
      <c r="S19" s="88">
        <f ca="1">IF($A19="", "",IFERROR(IF(VLOOKUP($A19, INDIRECT("'" &amp; 'Personalized Bill Menu'!$B$22 &amp; "'!" &amp;"$A$4:$CA$100"), VLOOKUP(VLOOKUP(S$5,'Misc. Data &amp; Mechanisms'!$E$601:$I$631,HLOOKUP('Personalized Bill Menu'!$B$22, 'Misc. Data &amp; Mechanisms'!$E$599:$I$600, 2, FALSE), FALSE), 'Misc. Data &amp; Mechanisms'!$A$599:$C$659, 2, FALSE), FALSE) = "", "", VLOOKUP($A19, INDIRECT("'" &amp; 'Personalized Bill Menu'!$B$22 &amp; "'!" &amp;"$A$4:$CA$100"), VLOOKUP(VLOOKUP(S$5,'Misc. Data &amp; Mechanisms'!$E$601:$I$631,HLOOKUP('Personalized Bill Menu'!$B$22, 'Misc. Data &amp; Mechanisms'!$E$599:$I$600, 2, FALSE), FALSE), 'Misc. Data &amp; Mechanisms'!$A$599:$C$659, 2, FALSE), FALSE)), ""))</f>
        <v>0.34344999999999998</v>
      </c>
      <c r="T19" s="81" t="str">
        <f ca="1">IF($A19="", "",IFERROR(IF(VLOOKUP($A19, INDIRECT("'" &amp; 'Personalized Bill Menu'!$B$22 &amp; "'!" &amp;"$A$4:$CA$100"), VLOOKUP(VLOOKUP(T$5,'Misc. Data &amp; Mechanisms'!$E$601:$I$631,HLOOKUP('Personalized Bill Menu'!$B$22, 'Misc. Data &amp; Mechanisms'!$E$599:$I$600, 2, FALSE), FALSE), 'Misc. Data &amp; Mechanisms'!$A$599:$C$659, 2, FALSE), FALSE) = "", "", VLOOKUP($A19, INDIRECT("'" &amp; 'Personalized Bill Menu'!$B$22 &amp; "'!" &amp;"$A$4:$CA$100"), VLOOKUP(VLOOKUP(T$5,'Misc. Data &amp; Mechanisms'!$E$601:$I$631,HLOOKUP('Personalized Bill Menu'!$B$22, 'Misc. Data &amp; Mechanisms'!$E$599:$I$600, 2, FALSE), FALSE), 'Misc. Data &amp; Mechanisms'!$A$599:$C$659, 2, FALSE), FALSE)), ""))</f>
        <v/>
      </c>
      <c r="U19" s="72">
        <f t="shared" ca="1" si="11"/>
        <v>4.8476703520273228</v>
      </c>
      <c r="V19" s="72">
        <f t="shared" ca="1" si="12"/>
        <v>10.646949999999999</v>
      </c>
      <c r="W19" s="70" t="str">
        <f t="shared" si="13"/>
        <v/>
      </c>
      <c r="X19" s="78">
        <f>IFERROR(IF(VLOOKUP($A19,'Misc. Data &amp; Mechanisms'!$A$63:$DY$152,HLOOKUP('Personalized Bill Menu'!$B$21&amp;"_"&amp;'Personalized Bill Menu'!$B$22&amp;"_Elec_Y_1",'Misc. Data &amp; Mechanisms'!$A$55:$DY$62,8,FALSE), FALSE)="", "", VLOOKUP($A19,'Misc. Data &amp; Mechanisms'!$A$63:$DY$152,HLOOKUP('Personalized Bill Menu'!$B$21&amp;"_"&amp;'Personalized Bill Menu'!$B$22&amp;"_Elec_Y_1",'Misc. Data &amp; Mechanisms'!$A$55:$DY$62,8,FALSE), FALSE)), "")</f>
        <v>0.1111</v>
      </c>
      <c r="Y19" s="78" t="str">
        <f>IFERROR(IF(VLOOKUP($A19,'Misc. Data &amp; Mechanisms'!$A$63:$DY$152,HLOOKUP('Personalized Bill Menu'!$B$21&amp;"_"&amp;'Personalized Bill Menu'!$B$22&amp;"_Elec_Y_2",'Misc. Data &amp; Mechanisms'!$A$55:$DY$62,8,FALSE), FALSE)="", "", VLOOKUP($A19,'Misc. Data &amp; Mechanisms'!$A$63:$DY$152,HLOOKUP('Personalized Bill Menu'!$B$21&amp;"_"&amp;'Personalized Bill Menu'!$B$22&amp;"_Elec_Y_2",'Misc. Data &amp; Mechanisms'!$A$55:$DY$62,8,FALSE), FALSE)), "")</f>
        <v/>
      </c>
      <c r="Z19" s="72">
        <f ca="1">IF($A19="", "",IFERROR(IF(OR('Personalized Bill Menu'!$B$22="FORTIS", 'Personalized Bill Menu'!$B$22="ATCO"), $X19*($H19+$I19), IF('Personalized Bill Menu'!$B$22="ENMAX",$X19*($H19+$I19+$K19),($X19/100)*$C19)), 0))</f>
        <v>3.2246425439850719</v>
      </c>
      <c r="AA19" s="72">
        <f>IF($A19="", "", IFERROR(IF(OR('Personalized Bill Menu'!$B$22="FORTIS", 'Personalized Bill Menu'!$B$22="ATCO"), $Y19*($H19+$I19), IF('Personalized Bill Menu'!$B$22="ENMAX",$X19*$G19,"")), 0))</f>
        <v>7.0664162348883739</v>
      </c>
      <c r="AB19" s="89">
        <f ca="1">IF($A19="", "",IFERROR(IF(VLOOKUP($A19, INDIRECT("'" &amp; 'Personalized Bill Menu'!$B$22 &amp; "'!" &amp;"$A$4:$CA$100"), VLOOKUP(VLOOKUP("RIDER RATE 1",'Misc. Data &amp; Mechanisms'!$E$601:$I$631,HLOOKUP('Personalized Bill Menu'!$B$22, 'Misc. Data &amp; Mechanisms'!$E$599:$I$600, 2, FALSE), FALSE), 'Misc. Data &amp; Mechanisms'!$A$599:$C$659, 2, FALSE), FALSE) = "", "", VLOOKUP($A19, INDIRECT("'" &amp; 'Personalized Bill Menu'!$B$22 &amp; "'!" &amp;"$A$4:$CA$100"), VLOOKUP(VLOOKUP("RIDER RATE 1",'Misc. Data &amp; Mechanisms'!$E$601:$I$631,HLOOKUP('Personalized Bill Menu'!$B$22, 'Misc. Data &amp; Mechanisms'!$E$599:$I$600, 2, FALSE), FALSE), 'Misc. Data &amp; Mechanisms'!$A$599:$C$659, 2, FALSE), FALSE)), ""))</f>
        <v>-0.56559999999999999</v>
      </c>
      <c r="AC19" s="69">
        <f ca="1">IF($A19="", "",IFERROR(IF(VLOOKUP($A19, INDIRECT("'" &amp; 'Personalized Bill Menu'!$B$22 &amp; "'!" &amp;"$A$4:$CA$100"), VLOOKUP(VLOOKUP("RIDER RATE 2",'Misc. Data &amp; Mechanisms'!$E$601:$I$631,HLOOKUP('Personalized Bill Menu'!$B$22, 'Misc. Data &amp; Mechanisms'!$E$599:$I$600, 2, FALSE), FALSE), 'Misc. Data &amp; Mechanisms'!$A$599:$C$659, 2, FALSE), FALSE) = "", "", VLOOKUP($A19, INDIRECT("'" &amp; 'Personalized Bill Menu'!$B$22 &amp; "'!" &amp;"$A$4:$CA$100"), VLOOKUP(VLOOKUP("RIDER RATE 2",'Misc. Data &amp; Mechanisms'!$E$601:$I$631,HLOOKUP('Personalized Bill Menu'!$B$22, 'Misc. Data &amp; Mechanisms'!$E$599:$I$600, 2, FALSE), FALSE), 'Misc. Data &amp; Mechanisms'!$A$599:$C$659, 2, FALSE), FALSE)), ""))</f>
        <v>0.56410000000000005</v>
      </c>
      <c r="AD19" s="69" t="str">
        <f ca="1">IF($A19="", "",IFERROR(IF(VLOOKUP($A19, INDIRECT("'" &amp; 'Personalized Bill Menu'!$B$22 &amp; "'!" &amp;"$A$4:$CA$100"), VLOOKUP(VLOOKUP("RIDER RATE 3",'Misc. Data &amp; Mechanisms'!$E$601:$I$631,HLOOKUP('Personalized Bill Menu'!$B$22, 'Misc. Data &amp; Mechanisms'!$E$599:$I$600, 2, FALSE), FALSE), 'Misc. Data &amp; Mechanisms'!$A$599:$C$659, 2, FALSE), FALSE) = "", "", VLOOKUP($A19, INDIRECT("'" &amp; 'Personalized Bill Menu'!$B$22 &amp; "'!" &amp;"$A$4:$CA$100"), VLOOKUP(VLOOKUP("RIDER RATE 3",'Misc. Data &amp; Mechanisms'!$E$601:$I$631,HLOOKUP('Personalized Bill Menu'!$B$22, 'Misc. Data &amp; Mechanisms'!$E$599:$I$600, 2, FALSE), FALSE), 'Misc. Data &amp; Mechanisms'!$A$599:$C$659, 2, FALSE), FALSE)), ""))</f>
        <v/>
      </c>
      <c r="AE19" s="69" t="str">
        <f ca="1">IF($A19="", "",IFERROR(IF(VLOOKUP($A19, INDIRECT("'" &amp; 'Personalized Bill Menu'!$B$22 &amp; "'!" &amp;"$A$4:$CA$100"), VLOOKUP(VLOOKUP("RIDER RATE 4",'Misc. Data &amp; Mechanisms'!$E$601:$I$631,HLOOKUP('Personalized Bill Menu'!$B$22, 'Misc. Data &amp; Mechanisms'!$E$599:$I$600, 2, FALSE), FALSE), 'Misc. Data &amp; Mechanisms'!$A$599:$C$659, 2, FALSE), FALSE) = "", "", VLOOKUP($A19, INDIRECT("'" &amp; 'Personalized Bill Menu'!$B$22 &amp; "'!" &amp;"$A$4:$CA$100"), VLOOKUP(VLOOKUP("RIDER RATE 4",'Misc. Data &amp; Mechanisms'!$E$601:$I$631,HLOOKUP('Personalized Bill Menu'!$B$22, 'Misc. Data &amp; Mechanisms'!$E$599:$I$600, 2, FALSE), FALSE), 'Misc. Data &amp; Mechanisms'!$A$599:$C$659, 2, FALSE), FALSE)), ""))</f>
        <v/>
      </c>
      <c r="AF19" s="90" t="str">
        <f ca="1">IF($A19="", "",IFERROR(IF(VLOOKUP($A19, INDIRECT("'" &amp; 'Personalized Bill Menu'!$B$22 &amp; "'!" &amp;"$A$4:$CA$100"), VLOOKUP(VLOOKUP("RIDER RATE 5",'Misc. Data &amp; Mechanisms'!$E$601:$I$631,HLOOKUP('Personalized Bill Menu'!$B$22, 'Misc. Data &amp; Mechanisms'!$E$599:$I$600, 2, FALSE), FALSE), 'Misc. Data &amp; Mechanisms'!$A$599:$C$659, 2, FALSE), FALSE) = "", "", VLOOKUP($A19, INDIRECT("'" &amp; 'Personalized Bill Menu'!$B$22 &amp; "'!" &amp;"$A$4:$CA$100"), VLOOKUP(VLOOKUP("RIDER RATE 5",'Misc. Data &amp; Mechanisms'!$E$601:$I$631,HLOOKUP('Personalized Bill Menu'!$B$22, 'Misc. Data &amp; Mechanisms'!$E$599:$I$600, 2, FALSE), FALSE), 'Misc. Data &amp; Mechanisms'!$A$599:$C$659, 2, FALSE), FALSE)), ""))</f>
        <v/>
      </c>
      <c r="AG19" s="90" t="str">
        <f ca="1">IF($A19="", "",IFERROR(IF(VLOOKUP($A19, INDIRECT("'" &amp; 'Personalized Bill Menu'!$B$22 &amp; "'!" &amp;"$A$4:$CA$100"), VLOOKUP(VLOOKUP("RIDER RATE 6",'Misc. Data &amp; Mechanisms'!$E$601:$I$631,HLOOKUP('Personalized Bill Menu'!$B$22, 'Misc. Data &amp; Mechanisms'!$E$599:$I$600, 2, FALSE), FALSE), 'Misc. Data &amp; Mechanisms'!$A$599:$C$659, 2, FALSE), FALSE) = "", "", VLOOKUP($A19, INDIRECT("'" &amp; 'Personalized Bill Menu'!$B$22 &amp; "'!" &amp;"$A$4:$CA$100"), VLOOKUP(VLOOKUP("RIDER RATE 6",'Misc. Data &amp; Mechanisms'!$E$601:$I$631,HLOOKUP('Personalized Bill Menu'!$B$22, 'Misc. Data &amp; Mechanisms'!$E$599:$I$600, 2, FALSE), FALSE), 'Misc. Data &amp; Mechanisms'!$A$599:$C$659, 2, FALSE), FALSE)), ""))</f>
        <v/>
      </c>
      <c r="AH19" s="90" t="str">
        <f ca="1">IF($A19="", "",IFERROR(IF(VLOOKUP($A19, INDIRECT("'" &amp; 'Personalized Bill Menu'!$B$22 &amp; "'!" &amp;"$A$4:$CA$100"), VLOOKUP(VLOOKUP("RIDER RATE 7",'Misc. Data &amp; Mechanisms'!$E$601:$I$631,HLOOKUP('Personalized Bill Menu'!$B$22, 'Misc. Data &amp; Mechanisms'!$E$599:$I$600, 2, FALSE), FALSE), 'Misc. Data &amp; Mechanisms'!$A$599:$C$659, 2, FALSE), FALSE) = "", "", VLOOKUP($A19, INDIRECT("'" &amp; 'Personalized Bill Menu'!$B$22 &amp; "'!" &amp;"$A$4:$CA$100"), VLOOKUP(VLOOKUP("RIDER RATE 7",'Misc. Data &amp; Mechanisms'!$E$601:$I$631,HLOOKUP('Personalized Bill Menu'!$B$22, 'Misc. Data &amp; Mechanisms'!$E$599:$I$600, 2, FALSE), FALSE), 'Misc. Data &amp; Mechanisms'!$A$599:$C$659, 2, FALSE), FALSE)), ""))</f>
        <v/>
      </c>
      <c r="AI19" s="72">
        <f t="shared" ca="1" si="14"/>
        <v>-3.934905785170284</v>
      </c>
      <c r="AJ19" s="72">
        <f t="shared" ca="1" si="15"/>
        <v>3.924470214665059</v>
      </c>
      <c r="AK19" s="72">
        <f ca="1">IF($A19="", "", IFERROR(IF($AD$6="%",IF('Personalized Bill Menu'!$B$22="ENMAX", $AD19*$I19, IF(AND($AD19="", 'Personalized Bill Menu'!$B$22="FORTIS"),($AE19/100)*$C19,$AD19*$H19)),($AD19/100)*$C19), 0))</f>
        <v>0</v>
      </c>
      <c r="AL19" s="72">
        <f ca="1">IF($A19="", "", IFERROR(IF('Personalized Bill Menu'!$B$22="ENMAX",$AE19*$B19,IF($AE$6="%",$AE19*($H19+$I19+$J19), IF('Personalized Bill Menu'!$B$22="FORTIS",$AF19*$I19,($AE19/100)*$C19))), 0))</f>
        <v>0</v>
      </c>
      <c r="AM19" s="72" t="str">
        <f>IF($A19="", "", IFERROR(IF('Personalized Bill Menu'!$B$22="EPCOR",($AF19/100)*$C19, IF('Personalized Bill Menu'!$B$22="ATCO",$AF19*1,"")), 0))</f>
        <v/>
      </c>
      <c r="AN19" s="72" t="str">
        <f>IF($A19="", "", IFERROR(IF('Personalized Bill Menu'!$B$22="ATCO",$AG19*$B19,""), 0))</f>
        <v/>
      </c>
      <c r="AO19" s="70" t="str">
        <f>IF($A19="", "", IFERROR(IF('Personalized Bill Menu'!$B$22="ATCO",$AH19*$B19,""), 0))</f>
        <v/>
      </c>
      <c r="AP19" s="81">
        <f>IF('Personalized Bill Menu'!$B$34&lt;&gt;"Natural Gas", 'Personalized Bill Menu'!$K16, "")</f>
        <v>0.23369999999999999</v>
      </c>
      <c r="AQ19" s="72">
        <f t="shared" si="16"/>
        <v>7.2446999999999999</v>
      </c>
      <c r="AR19" s="91">
        <f ca="1">IF($A19="", "",IF(VLOOKUP($A19, INDIRECT("'" &amp; 'Personalized Bill Menu'!$B$22 &amp; "'!" &amp;"$A$4:$CA$100"), VLOOKUP(VLOOKUP(AR$5,'Misc. Data &amp; Mechanisms'!$E$601:$I$631,HLOOKUP('Personalized Bill Menu'!$B$22, 'Misc. Data &amp; Mechanisms'!$E$599:$I$600, 2, FALSE), FALSE), 'Misc. Data &amp; Mechanisms'!$A$599:$C$659, 2, FALSE), FALSE) = "", "", VLOOKUP($A19, INDIRECT("'" &amp; 'Personalized Bill Menu'!$B$22 &amp; "'!" &amp;"$A$4:$CA$100"), VLOOKUP(VLOOKUP(AR$5,'Misc. Data &amp; Mechanisms'!$E$601:$I$631,HLOOKUP('Personalized Bill Menu'!$B$22, 'Misc. Data &amp; Mechanisms'!$E$599:$I$600, 2, FALSE), FALSE), 'Misc. Data &amp; Mechanisms'!$A$599:$C$659, 2, FALSE), FALSE)))</f>
        <v>0.05</v>
      </c>
      <c r="AS19" s="2"/>
      <c r="AT19" s="2"/>
      <c r="AU19" s="2"/>
      <c r="AV19" s="2"/>
      <c r="AW19" s="2"/>
    </row>
    <row r="20" spans="1:49" ht="15" x14ac:dyDescent="0.25">
      <c r="A20" s="83">
        <f>'Personalized Bill Menu'!$H17</f>
        <v>41306</v>
      </c>
      <c r="B20" s="84">
        <f t="shared" si="0"/>
        <v>28</v>
      </c>
      <c r="C20" s="85">
        <f>IF('Personalized Bill Menu'!$B$34&lt;&gt;"Natural Gas", 'Personalized Bill Menu'!$I17, "")</f>
        <v>588.63103674874526</v>
      </c>
      <c r="D20" s="66">
        <f t="shared" ca="1" si="17"/>
        <v>15.127001095510904</v>
      </c>
      <c r="E20" s="66">
        <f ca="1">IFERROR((1+$AR20)*(IF('Personalized Bill Menu'!$B$22="ENMAX", ((1+IFERROR($X20, 0))*($N20+$P20+$R20+$AB20+$AC20))+((1+IF($X20="", 0,$X20))*(IF($AD20="", 0,$AD20)*$R20)), IF('Personalized Bill Menu'!$B$22="EPCOR", ($N20+$P20+$R20+$X20+SUM($AB20:$AE20)), IF('Personalized Bill Menu'!$B$22="ATCO",($N20+((1+IF($AE20="", 0,$AE20))*(1+$X20+$Y20)*($P20+$R20))+SUM($AB20:$AD20)),IF($AD20="",$N20+((1+$X20+$Y20)*($P20+$R20))+$AB20+$AE20+(IF($AC20="", 0, $AC20)*$P20)+($R20*IF($AF20="", 0, $AF20)),$N20+((1+$X20+$Y20)*($P20+$R20))+$AB20+($AD20*$P20)+(IF($AC20="", 0, $AC20)*$P20)+($R20*IF($AF20="", 0, $AF20))))))), "")</f>
        <v>12.053762794499999</v>
      </c>
      <c r="F20" s="1469">
        <f t="shared" ca="1" si="1"/>
        <v>89.04222337749988</v>
      </c>
      <c r="G20" s="66">
        <f t="shared" si="2"/>
        <v>45.267492619088756</v>
      </c>
      <c r="H20" s="66">
        <f t="shared" ca="1" si="3"/>
        <v>11.456525868240828</v>
      </c>
      <c r="I20" s="66">
        <f t="shared" ca="1" si="4"/>
        <v>13.718181064065256</v>
      </c>
      <c r="J20" s="66">
        <f t="shared" ca="1" si="5"/>
        <v>7.8251474165372255</v>
      </c>
      <c r="K20" s="66">
        <f t="shared" ca="1" si="6"/>
        <v>-8.8294655512308751E-3</v>
      </c>
      <c r="L20" s="66">
        <f t="shared" si="7"/>
        <v>6.5435999999999996</v>
      </c>
      <c r="M20" s="68">
        <f t="shared" ca="1" si="8"/>
        <v>4.2401058751190419</v>
      </c>
      <c r="N20" s="69">
        <f>IF('Personalized Bill Menu'!$B$34&lt;&gt;"Natural Gas", 'Personalized Bill Menu'!$J17, "")</f>
        <v>7.6902999999999997</v>
      </c>
      <c r="O20" s="70">
        <f t="shared" si="9"/>
        <v>45.267492619088756</v>
      </c>
      <c r="P20" s="71">
        <f ca="1">IF($A20="", "",IFERROR(IF(VLOOKUP($A20, INDIRECT("'" &amp; 'Personalized Bill Menu'!$B$22 &amp; "'!" &amp;"$A$4:$CA$100"), VLOOKUP(VLOOKUP(P$5,'Misc. Data &amp; Mechanisms'!$E$601:$I$631,HLOOKUP('Personalized Bill Menu'!$B$22, 'Misc. Data &amp; Mechanisms'!$E$599:$I$600, 2, FALSE), FALSE), 'Misc. Data &amp; Mechanisms'!$A$599:$C$659, 2, FALSE), FALSE) = "", "", VLOOKUP($A20, INDIRECT("'" &amp; 'Personalized Bill Menu'!$B$22 &amp; "'!" &amp;"$A$4:$CA$100"), VLOOKUP(VLOOKUP(P$5,'Misc. Data &amp; Mechanisms'!$E$601:$I$631,HLOOKUP('Personalized Bill Menu'!$B$22, 'Misc. Data &amp; Mechanisms'!$E$599:$I$600, 2, FALSE), FALSE), 'Misc. Data &amp; Mechanisms'!$A$599:$C$659, 2, FALSE), FALSE)), ""))</f>
        <v>1.9462999999999999</v>
      </c>
      <c r="Q20" s="72">
        <f t="shared" ca="1" si="10"/>
        <v>11.456525868240828</v>
      </c>
      <c r="R20" s="87">
        <f ca="1">IF($A20="", "",IFERROR(IF(VLOOKUP($A20, INDIRECT("'" &amp; 'Personalized Bill Menu'!$B$22 &amp; "'!" &amp;"$A$4:$CA$100"), VLOOKUP(VLOOKUP(R$5,'Misc. Data &amp; Mechanisms'!$E$601:$I$631,HLOOKUP('Personalized Bill Menu'!$B$22, 'Misc. Data &amp; Mechanisms'!$E$599:$I$600, 2, FALSE), FALSE), 'Misc. Data &amp; Mechanisms'!$A$599:$C$659, 2, FALSE), FALSE) = "", "", VLOOKUP($A20, INDIRECT("'" &amp; 'Personalized Bill Menu'!$B$22 &amp; "'!" &amp;"$A$4:$CA$100"), VLOOKUP(VLOOKUP(R$5,'Misc. Data &amp; Mechanisms'!$E$601:$I$631,HLOOKUP('Personalized Bill Menu'!$B$22, 'Misc. Data &amp; Mechanisms'!$E$599:$I$600, 2, FALSE), FALSE), 'Misc. Data &amp; Mechanisms'!$A$599:$C$659, 2, FALSE), FALSE)), ""))</f>
        <v>0.69679999999999997</v>
      </c>
      <c r="S20" s="88">
        <f ca="1">IF($A20="", "",IFERROR(IF(VLOOKUP($A20, INDIRECT("'" &amp; 'Personalized Bill Menu'!$B$22 &amp; "'!" &amp;"$A$4:$CA$100"), VLOOKUP(VLOOKUP(S$5,'Misc. Data &amp; Mechanisms'!$E$601:$I$631,HLOOKUP('Personalized Bill Menu'!$B$22, 'Misc. Data &amp; Mechanisms'!$E$599:$I$600, 2, FALSE), FALSE), 'Misc. Data &amp; Mechanisms'!$A$599:$C$659, 2, FALSE), FALSE) = "", "", VLOOKUP($A20, INDIRECT("'" &amp; 'Personalized Bill Menu'!$B$22 &amp; "'!" &amp;"$A$4:$CA$100"), VLOOKUP(VLOOKUP(S$5,'Misc. Data &amp; Mechanisms'!$E$601:$I$631,HLOOKUP('Personalized Bill Menu'!$B$22, 'Misc. Data &amp; Mechanisms'!$E$599:$I$600, 2, FALSE), FALSE), 'Misc. Data &amp; Mechanisms'!$A$599:$C$659, 2, FALSE), FALSE)), ""))</f>
        <v>0.34344999999999998</v>
      </c>
      <c r="T20" s="81" t="str">
        <f ca="1">IF($A20="", "",IFERROR(IF(VLOOKUP($A20, INDIRECT("'" &amp; 'Personalized Bill Menu'!$B$22 &amp; "'!" &amp;"$A$4:$CA$100"), VLOOKUP(VLOOKUP(T$5,'Misc. Data &amp; Mechanisms'!$E$601:$I$631,HLOOKUP('Personalized Bill Menu'!$B$22, 'Misc. Data &amp; Mechanisms'!$E$599:$I$600, 2, FALSE), FALSE), 'Misc. Data &amp; Mechanisms'!$A$599:$C$659, 2, FALSE), FALSE) = "", "", VLOOKUP($A20, INDIRECT("'" &amp; 'Personalized Bill Menu'!$B$22 &amp; "'!" &amp;"$A$4:$CA$100"), VLOOKUP(VLOOKUP(T$5,'Misc. Data &amp; Mechanisms'!$E$601:$I$631,HLOOKUP('Personalized Bill Menu'!$B$22, 'Misc. Data &amp; Mechanisms'!$E$599:$I$600, 2, FALSE), FALSE), 'Misc. Data &amp; Mechanisms'!$A$599:$C$659, 2, FALSE), FALSE)), ""))</f>
        <v/>
      </c>
      <c r="U20" s="72">
        <f t="shared" ca="1" si="11"/>
        <v>4.1015810640652566</v>
      </c>
      <c r="V20" s="72">
        <f t="shared" ca="1" si="12"/>
        <v>9.6166</v>
      </c>
      <c r="W20" s="70" t="str">
        <f t="shared" si="13"/>
        <v/>
      </c>
      <c r="X20" s="78">
        <f>IFERROR(IF(VLOOKUP($A20,'Misc. Data &amp; Mechanisms'!$A$63:$DY$152,HLOOKUP('Personalized Bill Menu'!$B$21&amp;"_"&amp;'Personalized Bill Menu'!$B$22&amp;"_Elec_Y_1",'Misc. Data &amp; Mechanisms'!$A$55:$DY$62,8,FALSE), FALSE)="", "", VLOOKUP($A20,'Misc. Data &amp; Mechanisms'!$A$63:$DY$152,HLOOKUP('Personalized Bill Menu'!$B$21&amp;"_"&amp;'Personalized Bill Menu'!$B$22&amp;"_Elec_Y_1",'Misc. Data &amp; Mechanisms'!$A$55:$DY$62,8,FALSE), FALSE)), "")</f>
        <v>0.1111</v>
      </c>
      <c r="Y20" s="78" t="str">
        <f>IFERROR(IF(VLOOKUP($A20,'Misc. Data &amp; Mechanisms'!$A$63:$DY$152,HLOOKUP('Personalized Bill Menu'!$B$21&amp;"_"&amp;'Personalized Bill Menu'!$B$22&amp;"_Elec_Y_2",'Misc. Data &amp; Mechanisms'!$A$55:$DY$62,8,FALSE), FALSE)="", "", VLOOKUP($A20,'Misc. Data &amp; Mechanisms'!$A$63:$DY$152,HLOOKUP('Personalized Bill Menu'!$B$21&amp;"_"&amp;'Personalized Bill Menu'!$B$22&amp;"_Elec_Y_2",'Misc. Data &amp; Mechanisms'!$A$55:$DY$62,8,FALSE), FALSE)), "")</f>
        <v/>
      </c>
      <c r="Z20" s="72">
        <f ca="1">IF($A20="", "",IFERROR(IF(OR('Personalized Bill Menu'!$B$22="FORTIS", 'Personalized Bill Menu'!$B$22="ATCO"), $X20*($H20+$I20), IF('Personalized Bill Menu'!$B$22="ENMAX",$X20*($H20+$I20+$K20),($X20/100)*$C20)), 0))</f>
        <v>2.7959289865564645</v>
      </c>
      <c r="AA20" s="72">
        <f>IF($A20="", "", IFERROR(IF(OR('Personalized Bill Menu'!$B$22="FORTIS", 'Personalized Bill Menu'!$B$22="ATCO"), $Y20*($H20+$I20), IF('Personalized Bill Menu'!$B$22="ENMAX",$X20*$G20,"")), 0))</f>
        <v>5.0292184299807614</v>
      </c>
      <c r="AB20" s="89">
        <f ca="1">IF($A20="", "",IFERROR(IF(VLOOKUP($A20, INDIRECT("'" &amp; 'Personalized Bill Menu'!$B$22 &amp; "'!" &amp;"$A$4:$CA$100"), VLOOKUP(VLOOKUP("RIDER RATE 1",'Misc. Data &amp; Mechanisms'!$E$601:$I$631,HLOOKUP('Personalized Bill Menu'!$B$22, 'Misc. Data &amp; Mechanisms'!$E$599:$I$600, 2, FALSE), FALSE), 'Misc. Data &amp; Mechanisms'!$A$599:$C$659, 2, FALSE), FALSE) = "", "", VLOOKUP($A20, INDIRECT("'" &amp; 'Personalized Bill Menu'!$B$22 &amp; "'!" &amp;"$A$4:$CA$100"), VLOOKUP(VLOOKUP("RIDER RATE 1",'Misc. Data &amp; Mechanisms'!$E$601:$I$631,HLOOKUP('Personalized Bill Menu'!$B$22, 'Misc. Data &amp; Mechanisms'!$E$599:$I$600, 2, FALSE), FALSE), 'Misc. Data &amp; Mechanisms'!$A$599:$C$659, 2, FALSE), FALSE)), ""))</f>
        <v>-0.56559999999999999</v>
      </c>
      <c r="AC20" s="69">
        <f ca="1">IF($A20="", "",IFERROR(IF(VLOOKUP($A20, INDIRECT("'" &amp; 'Personalized Bill Menu'!$B$22 &amp; "'!" &amp;"$A$4:$CA$100"), VLOOKUP(VLOOKUP("RIDER RATE 2",'Misc. Data &amp; Mechanisms'!$E$601:$I$631,HLOOKUP('Personalized Bill Menu'!$B$22, 'Misc. Data &amp; Mechanisms'!$E$599:$I$600, 2, FALSE), FALSE), 'Misc. Data &amp; Mechanisms'!$A$599:$C$659, 2, FALSE), FALSE) = "", "", VLOOKUP($A20, INDIRECT("'" &amp; 'Personalized Bill Menu'!$B$22 &amp; "'!" &amp;"$A$4:$CA$100"), VLOOKUP(VLOOKUP("RIDER RATE 2",'Misc. Data &amp; Mechanisms'!$E$601:$I$631,HLOOKUP('Personalized Bill Menu'!$B$22, 'Misc. Data &amp; Mechanisms'!$E$599:$I$600, 2, FALSE), FALSE), 'Misc. Data &amp; Mechanisms'!$A$599:$C$659, 2, FALSE), FALSE)), ""))</f>
        <v>0.56410000000000005</v>
      </c>
      <c r="AD20" s="69" t="str">
        <f ca="1">IF($A20="", "",IFERROR(IF(VLOOKUP($A20, INDIRECT("'" &amp; 'Personalized Bill Menu'!$B$22 &amp; "'!" &amp;"$A$4:$CA$100"), VLOOKUP(VLOOKUP("RIDER RATE 3",'Misc. Data &amp; Mechanisms'!$E$601:$I$631,HLOOKUP('Personalized Bill Menu'!$B$22, 'Misc. Data &amp; Mechanisms'!$E$599:$I$600, 2, FALSE), FALSE), 'Misc. Data &amp; Mechanisms'!$A$599:$C$659, 2, FALSE), FALSE) = "", "", VLOOKUP($A20, INDIRECT("'" &amp; 'Personalized Bill Menu'!$B$22 &amp; "'!" &amp;"$A$4:$CA$100"), VLOOKUP(VLOOKUP("RIDER RATE 3",'Misc. Data &amp; Mechanisms'!$E$601:$I$631,HLOOKUP('Personalized Bill Menu'!$B$22, 'Misc. Data &amp; Mechanisms'!$E$599:$I$600, 2, FALSE), FALSE), 'Misc. Data &amp; Mechanisms'!$A$599:$C$659, 2, FALSE), FALSE)), ""))</f>
        <v/>
      </c>
      <c r="AE20" s="69" t="str">
        <f ca="1">IF($A20="", "",IFERROR(IF(VLOOKUP($A20, INDIRECT("'" &amp; 'Personalized Bill Menu'!$B$22 &amp; "'!" &amp;"$A$4:$CA$100"), VLOOKUP(VLOOKUP("RIDER RATE 4",'Misc. Data &amp; Mechanisms'!$E$601:$I$631,HLOOKUP('Personalized Bill Menu'!$B$22, 'Misc. Data &amp; Mechanisms'!$E$599:$I$600, 2, FALSE), FALSE), 'Misc. Data &amp; Mechanisms'!$A$599:$C$659, 2, FALSE), FALSE) = "", "", VLOOKUP($A20, INDIRECT("'" &amp; 'Personalized Bill Menu'!$B$22 &amp; "'!" &amp;"$A$4:$CA$100"), VLOOKUP(VLOOKUP("RIDER RATE 4",'Misc. Data &amp; Mechanisms'!$E$601:$I$631,HLOOKUP('Personalized Bill Menu'!$B$22, 'Misc. Data &amp; Mechanisms'!$E$599:$I$600, 2, FALSE), FALSE), 'Misc. Data &amp; Mechanisms'!$A$599:$C$659, 2, FALSE), FALSE)), ""))</f>
        <v/>
      </c>
      <c r="AF20" s="90" t="str">
        <f ca="1">IF($A20="", "",IFERROR(IF(VLOOKUP($A20, INDIRECT("'" &amp; 'Personalized Bill Menu'!$B$22 &amp; "'!" &amp;"$A$4:$CA$100"), VLOOKUP(VLOOKUP("RIDER RATE 5",'Misc. Data &amp; Mechanisms'!$E$601:$I$631,HLOOKUP('Personalized Bill Menu'!$B$22, 'Misc. Data &amp; Mechanisms'!$E$599:$I$600, 2, FALSE), FALSE), 'Misc. Data &amp; Mechanisms'!$A$599:$C$659, 2, FALSE), FALSE) = "", "", VLOOKUP($A20, INDIRECT("'" &amp; 'Personalized Bill Menu'!$B$22 &amp; "'!" &amp;"$A$4:$CA$100"), VLOOKUP(VLOOKUP("RIDER RATE 5",'Misc. Data &amp; Mechanisms'!$E$601:$I$631,HLOOKUP('Personalized Bill Menu'!$B$22, 'Misc. Data &amp; Mechanisms'!$E$599:$I$600, 2, FALSE), FALSE), 'Misc. Data &amp; Mechanisms'!$A$599:$C$659, 2, FALSE), FALSE)), ""))</f>
        <v/>
      </c>
      <c r="AG20" s="90" t="str">
        <f ca="1">IF($A20="", "",IFERROR(IF(VLOOKUP($A20, INDIRECT("'" &amp; 'Personalized Bill Menu'!$B$22 &amp; "'!" &amp;"$A$4:$CA$100"), VLOOKUP(VLOOKUP("RIDER RATE 6",'Misc. Data &amp; Mechanisms'!$E$601:$I$631,HLOOKUP('Personalized Bill Menu'!$B$22, 'Misc. Data &amp; Mechanisms'!$E$599:$I$600, 2, FALSE), FALSE), 'Misc. Data &amp; Mechanisms'!$A$599:$C$659, 2, FALSE), FALSE) = "", "", VLOOKUP($A20, INDIRECT("'" &amp; 'Personalized Bill Menu'!$B$22 &amp; "'!" &amp;"$A$4:$CA$100"), VLOOKUP(VLOOKUP("RIDER RATE 6",'Misc. Data &amp; Mechanisms'!$E$601:$I$631,HLOOKUP('Personalized Bill Menu'!$B$22, 'Misc. Data &amp; Mechanisms'!$E$599:$I$600, 2, FALSE), FALSE), 'Misc. Data &amp; Mechanisms'!$A$599:$C$659, 2, FALSE), FALSE)), ""))</f>
        <v/>
      </c>
      <c r="AH20" s="90" t="str">
        <f ca="1">IF($A20="", "",IFERROR(IF(VLOOKUP($A20, INDIRECT("'" &amp; 'Personalized Bill Menu'!$B$22 &amp; "'!" &amp;"$A$4:$CA$100"), VLOOKUP(VLOOKUP("RIDER RATE 7",'Misc. Data &amp; Mechanisms'!$E$601:$I$631,HLOOKUP('Personalized Bill Menu'!$B$22, 'Misc. Data &amp; Mechanisms'!$E$599:$I$600, 2, FALSE), FALSE), 'Misc. Data &amp; Mechanisms'!$A$599:$C$659, 2, FALSE), FALSE) = "", "", VLOOKUP($A20, INDIRECT("'" &amp; 'Personalized Bill Menu'!$B$22 &amp; "'!" &amp;"$A$4:$CA$100"), VLOOKUP(VLOOKUP("RIDER RATE 7",'Misc. Data &amp; Mechanisms'!$E$601:$I$631,HLOOKUP('Personalized Bill Menu'!$B$22, 'Misc. Data &amp; Mechanisms'!$E$599:$I$600, 2, FALSE), FALSE), 'Misc. Data &amp; Mechanisms'!$A$599:$C$659, 2, FALSE), FALSE)), ""))</f>
        <v/>
      </c>
      <c r="AI20" s="72">
        <f t="shared" ca="1" si="14"/>
        <v>-3.3292971438509031</v>
      </c>
      <c r="AJ20" s="72">
        <f t="shared" ca="1" si="15"/>
        <v>3.3204676782996723</v>
      </c>
      <c r="AK20" s="72">
        <f ca="1">IF($A20="", "", IFERROR(IF($AD$6="%",IF('Personalized Bill Menu'!$B$22="ENMAX", $AD20*$I20, IF(AND($AD20="", 'Personalized Bill Menu'!$B$22="FORTIS"),($AE20/100)*$C20,$AD20*$H20)),($AD20/100)*$C20), 0))</f>
        <v>0</v>
      </c>
      <c r="AL20" s="72">
        <f ca="1">IF($A20="", "", IFERROR(IF('Personalized Bill Menu'!$B$22="ENMAX",$AE20*$B20,IF($AE$6="%",$AE20*($H20+$I20+$J20), IF('Personalized Bill Menu'!$B$22="FORTIS",$AF20*$I20,($AE20/100)*$C20))), 0))</f>
        <v>0</v>
      </c>
      <c r="AM20" s="72" t="str">
        <f>IF($A20="", "", IFERROR(IF('Personalized Bill Menu'!$B$22="EPCOR",($AF20/100)*$C20, IF('Personalized Bill Menu'!$B$22="ATCO",$AF20*1,"")), 0))</f>
        <v/>
      </c>
      <c r="AN20" s="72" t="str">
        <f>IF($A20="", "", IFERROR(IF('Personalized Bill Menu'!$B$22="ATCO",$AG20*$B20,""), 0))</f>
        <v/>
      </c>
      <c r="AO20" s="70" t="str">
        <f>IF($A20="", "", IFERROR(IF('Personalized Bill Menu'!$B$22="ATCO",$AH20*$B20,""), 0))</f>
        <v/>
      </c>
      <c r="AP20" s="81">
        <f>IF('Personalized Bill Menu'!$B$34&lt;&gt;"Natural Gas", 'Personalized Bill Menu'!$K17, "")</f>
        <v>0.23369999999999999</v>
      </c>
      <c r="AQ20" s="72">
        <f t="shared" si="16"/>
        <v>6.5435999999999996</v>
      </c>
      <c r="AR20" s="91">
        <f ca="1">IF($A20="", "",IF(VLOOKUP($A20, INDIRECT("'" &amp; 'Personalized Bill Menu'!$B$22 &amp; "'!" &amp;"$A$4:$CA$100"), VLOOKUP(VLOOKUP(AR$5,'Misc. Data &amp; Mechanisms'!$E$601:$I$631,HLOOKUP('Personalized Bill Menu'!$B$22, 'Misc. Data &amp; Mechanisms'!$E$599:$I$600, 2, FALSE), FALSE), 'Misc. Data &amp; Mechanisms'!$A$599:$C$659, 2, FALSE), FALSE) = "", "", VLOOKUP($A20, INDIRECT("'" &amp; 'Personalized Bill Menu'!$B$22 &amp; "'!" &amp;"$A$4:$CA$100"), VLOOKUP(VLOOKUP(AR$5,'Misc. Data &amp; Mechanisms'!$E$601:$I$631,HLOOKUP('Personalized Bill Menu'!$B$22, 'Misc. Data &amp; Mechanisms'!$E$599:$I$600, 2, FALSE), FALSE), 'Misc. Data &amp; Mechanisms'!$A$599:$C$659, 2, FALSE), FALSE)))</f>
        <v>0.05</v>
      </c>
      <c r="AS20" s="2"/>
      <c r="AT20" s="2"/>
      <c r="AU20" s="2"/>
      <c r="AV20" s="2"/>
      <c r="AW20" s="2"/>
    </row>
    <row r="21" spans="1:49" ht="15" x14ac:dyDescent="0.25">
      <c r="A21" s="83">
        <f>'Personalized Bill Menu'!$H18</f>
        <v>41334</v>
      </c>
      <c r="B21" s="84">
        <f t="shared" si="0"/>
        <v>31</v>
      </c>
      <c r="C21" s="85">
        <f>IF('Personalized Bill Menu'!$B$34&lt;&gt;"Natural Gas", 'Personalized Bill Menu'!$I18, "")</f>
        <v>635.48405455189265</v>
      </c>
      <c r="D21" s="66">
        <f t="shared" ca="1" si="17"/>
        <v>14.672604484709394</v>
      </c>
      <c r="E21" s="66">
        <f ca="1">IFERROR((1+$AR21)*(IF('Personalized Bill Menu'!$B$22="ENMAX", ((1+IFERROR($X21, 0))*($N21+$P21+$R21+$AB21+$AC21))+((1+IF($X21="", 0,$X21))*(IF($AD21="", 0,$AD21)*$R21)), IF('Personalized Bill Menu'!$B$22="EPCOR", ($N21+$P21+$R21+$X21+SUM($AB21:$AE21)), IF('Personalized Bill Menu'!$B$22="ATCO",($N21+((1+IF($AE21="", 0,$AE21))*(1+$X21+$Y21)*($P21+$R21))+SUM($AB21:$AD21)),IF($AD21="",$N21+((1+$X21+$Y21)*($P21+$R21))+$AB21+$AE21+(IF($AC21="", 0, $AC21)*$P21)+($R21*IF($AF21="", 0, $AF21)),$N21+((1+$X21+$Y21)*($P21+$R21))+$AB21+($AD21*$P21)+(IF($AC21="", 0, $AC21)*$P21)+($R21*IF($AF21="", 0, $AF21))))))), "")</f>
        <v>11.520951455999999</v>
      </c>
      <c r="F21" s="1469">
        <f t="shared" ca="1" si="1"/>
        <v>93.242061887794094</v>
      </c>
      <c r="G21" s="66">
        <f t="shared" si="2"/>
        <v>45.968374570065706</v>
      </c>
      <c r="H21" s="66">
        <f t="shared" ca="1" si="3"/>
        <v>12.368426153743485</v>
      </c>
      <c r="I21" s="66">
        <f t="shared" ca="1" si="4"/>
        <v>15.075002892117586</v>
      </c>
      <c r="J21" s="66">
        <f t="shared" ca="1" si="5"/>
        <v>8.1549923475525539</v>
      </c>
      <c r="K21" s="66">
        <f t="shared" ca="1" si="6"/>
        <v>-9.5322608182781821E-3</v>
      </c>
      <c r="L21" s="66">
        <f t="shared" si="7"/>
        <v>7.2446999999999999</v>
      </c>
      <c r="M21" s="68">
        <f t="shared" ca="1" si="8"/>
        <v>4.4400981851330519</v>
      </c>
      <c r="N21" s="69">
        <f>IF('Personalized Bill Menu'!$B$34&lt;&gt;"Natural Gas", 'Personalized Bill Menu'!$J18, "")</f>
        <v>7.2336</v>
      </c>
      <c r="O21" s="70">
        <f t="shared" si="9"/>
        <v>45.968374570065706</v>
      </c>
      <c r="P21" s="71">
        <f ca="1">IF($A21="", "",IFERROR(IF(VLOOKUP($A21, INDIRECT("'" &amp; 'Personalized Bill Menu'!$B$22 &amp; "'!" &amp;"$A$4:$CA$100"), VLOOKUP(VLOOKUP(P$5,'Misc. Data &amp; Mechanisms'!$E$601:$I$631,HLOOKUP('Personalized Bill Menu'!$B$22, 'Misc. Data &amp; Mechanisms'!$E$599:$I$600, 2, FALSE), FALSE), 'Misc. Data &amp; Mechanisms'!$A$599:$C$659, 2, FALSE), FALSE) = "", "", VLOOKUP($A21, INDIRECT("'" &amp; 'Personalized Bill Menu'!$B$22 &amp; "'!" &amp;"$A$4:$CA$100"), VLOOKUP(VLOOKUP(P$5,'Misc. Data &amp; Mechanisms'!$E$601:$I$631,HLOOKUP('Personalized Bill Menu'!$B$22, 'Misc. Data &amp; Mechanisms'!$E$599:$I$600, 2, FALSE), FALSE), 'Misc. Data &amp; Mechanisms'!$A$599:$C$659, 2, FALSE), FALSE)), ""))</f>
        <v>1.9462999999999999</v>
      </c>
      <c r="Q21" s="72">
        <f t="shared" ca="1" si="10"/>
        <v>12.368426153743485</v>
      </c>
      <c r="R21" s="87">
        <f ca="1">IF($A21="", "",IFERROR(IF(VLOOKUP($A21, INDIRECT("'" &amp; 'Personalized Bill Menu'!$B$22 &amp; "'!" &amp;"$A$4:$CA$100"), VLOOKUP(VLOOKUP(R$5,'Misc. Data &amp; Mechanisms'!$E$601:$I$631,HLOOKUP('Personalized Bill Menu'!$B$22, 'Misc. Data &amp; Mechanisms'!$E$599:$I$600, 2, FALSE), FALSE), 'Misc. Data &amp; Mechanisms'!$A$599:$C$659, 2, FALSE), FALSE) = "", "", VLOOKUP($A21, INDIRECT("'" &amp; 'Personalized Bill Menu'!$B$22 &amp; "'!" &amp;"$A$4:$CA$100"), VLOOKUP(VLOOKUP(R$5,'Misc. Data &amp; Mechanisms'!$E$601:$I$631,HLOOKUP('Personalized Bill Menu'!$B$22, 'Misc. Data &amp; Mechanisms'!$E$599:$I$600, 2, FALSE), FALSE), 'Misc. Data &amp; Mechanisms'!$A$599:$C$659, 2, FALSE), FALSE)), ""))</f>
        <v>0.69679999999999997</v>
      </c>
      <c r="S21" s="88">
        <f ca="1">IF($A21="", "",IFERROR(IF(VLOOKUP($A21, INDIRECT("'" &amp; 'Personalized Bill Menu'!$B$22 &amp; "'!" &amp;"$A$4:$CA$100"), VLOOKUP(VLOOKUP(S$5,'Misc. Data &amp; Mechanisms'!$E$601:$I$631,HLOOKUP('Personalized Bill Menu'!$B$22, 'Misc. Data &amp; Mechanisms'!$E$599:$I$600, 2, FALSE), FALSE), 'Misc. Data &amp; Mechanisms'!$A$599:$C$659, 2, FALSE), FALSE) = "", "", VLOOKUP($A21, INDIRECT("'" &amp; 'Personalized Bill Menu'!$B$22 &amp; "'!" &amp;"$A$4:$CA$100"), VLOOKUP(VLOOKUP(S$5,'Misc. Data &amp; Mechanisms'!$E$601:$I$631,HLOOKUP('Personalized Bill Menu'!$B$22, 'Misc. Data &amp; Mechanisms'!$E$599:$I$600, 2, FALSE), FALSE), 'Misc. Data &amp; Mechanisms'!$A$599:$C$659, 2, FALSE), FALSE)), ""))</f>
        <v>0.34344999999999998</v>
      </c>
      <c r="T21" s="81" t="str">
        <f ca="1">IF($A21="", "",IFERROR(IF(VLOOKUP($A21, INDIRECT("'" &amp; 'Personalized Bill Menu'!$B$22 &amp; "'!" &amp;"$A$4:$CA$100"), VLOOKUP(VLOOKUP(T$5,'Misc. Data &amp; Mechanisms'!$E$601:$I$631,HLOOKUP('Personalized Bill Menu'!$B$22, 'Misc. Data &amp; Mechanisms'!$E$599:$I$600, 2, FALSE), FALSE), 'Misc. Data &amp; Mechanisms'!$A$599:$C$659, 2, FALSE), FALSE) = "", "", VLOOKUP($A21, INDIRECT("'" &amp; 'Personalized Bill Menu'!$B$22 &amp; "'!" &amp;"$A$4:$CA$100"), VLOOKUP(VLOOKUP(T$5,'Misc. Data &amp; Mechanisms'!$E$601:$I$631,HLOOKUP('Personalized Bill Menu'!$B$22, 'Misc. Data &amp; Mechanisms'!$E$599:$I$600, 2, FALSE), FALSE), 'Misc. Data &amp; Mechanisms'!$A$599:$C$659, 2, FALSE), FALSE)), ""))</f>
        <v/>
      </c>
      <c r="U21" s="72">
        <f t="shared" ca="1" si="11"/>
        <v>4.4280528921175879</v>
      </c>
      <c r="V21" s="72">
        <f t="shared" ca="1" si="12"/>
        <v>10.646949999999999</v>
      </c>
      <c r="W21" s="70" t="str">
        <f t="shared" si="13"/>
        <v/>
      </c>
      <c r="X21" s="78">
        <f>IFERROR(IF(VLOOKUP($A21,'Misc. Data &amp; Mechanisms'!$A$63:$DY$152,HLOOKUP('Personalized Bill Menu'!$B$21&amp;"_"&amp;'Personalized Bill Menu'!$B$22&amp;"_Elec_Y_1",'Misc. Data &amp; Mechanisms'!$A$55:$DY$62,8,FALSE), FALSE)="", "", VLOOKUP($A21,'Misc. Data &amp; Mechanisms'!$A$63:$DY$152,HLOOKUP('Personalized Bill Menu'!$B$21&amp;"_"&amp;'Personalized Bill Menu'!$B$22&amp;"_Elec_Y_1",'Misc. Data &amp; Mechanisms'!$A$55:$DY$62,8,FALSE), FALSE)), "")</f>
        <v>0.1111</v>
      </c>
      <c r="Y21" s="78" t="str">
        <f>IFERROR(IF(VLOOKUP($A21,'Misc. Data &amp; Mechanisms'!$A$63:$DY$152,HLOOKUP('Personalized Bill Menu'!$B$21&amp;"_"&amp;'Personalized Bill Menu'!$B$22&amp;"_Elec_Y_2",'Misc. Data &amp; Mechanisms'!$A$55:$DY$62,8,FALSE), FALSE)="", "", VLOOKUP($A21,'Misc. Data &amp; Mechanisms'!$A$63:$DY$152,HLOOKUP('Personalized Bill Menu'!$B$21&amp;"_"&amp;'Personalized Bill Menu'!$B$22&amp;"_Elec_Y_2",'Misc. Data &amp; Mechanisms'!$A$55:$DY$62,8,FALSE), FALSE)), "")</f>
        <v/>
      </c>
      <c r="Z21" s="72">
        <f ca="1">IF($A21="", "",IFERROR(IF(OR('Personalized Bill Menu'!$B$22="FORTIS", 'Personalized Bill Menu'!$B$22="ATCO"), $X21*($H21+$I21), IF('Personalized Bill Menu'!$B$22="ENMAX",$X21*($H21+$I21+$K21),($X21/100)*$C21)), 0))</f>
        <v>3.0479059328182547</v>
      </c>
      <c r="AA21" s="72">
        <f>IF($A21="", "", IFERROR(IF(OR('Personalized Bill Menu'!$B$22="FORTIS", 'Personalized Bill Menu'!$B$22="ATCO"), $Y21*($H21+$I21), IF('Personalized Bill Menu'!$B$22="ENMAX",$X21*$G21,"")), 0))</f>
        <v>5.1070864147343</v>
      </c>
      <c r="AB21" s="89">
        <f ca="1">IF($A21="", "",IFERROR(IF(VLOOKUP($A21, INDIRECT("'" &amp; 'Personalized Bill Menu'!$B$22 &amp; "'!" &amp;"$A$4:$CA$100"), VLOOKUP(VLOOKUP("RIDER RATE 1",'Misc. Data &amp; Mechanisms'!$E$601:$I$631,HLOOKUP('Personalized Bill Menu'!$B$22, 'Misc. Data &amp; Mechanisms'!$E$599:$I$600, 2, FALSE), FALSE), 'Misc. Data &amp; Mechanisms'!$A$599:$C$659, 2, FALSE), FALSE) = "", "", VLOOKUP($A21, INDIRECT("'" &amp; 'Personalized Bill Menu'!$B$22 &amp; "'!" &amp;"$A$4:$CA$100"), VLOOKUP(VLOOKUP("RIDER RATE 1",'Misc. Data &amp; Mechanisms'!$E$601:$I$631,HLOOKUP('Personalized Bill Menu'!$B$22, 'Misc. Data &amp; Mechanisms'!$E$599:$I$600, 2, FALSE), FALSE), 'Misc. Data &amp; Mechanisms'!$A$599:$C$659, 2, FALSE), FALSE)), ""))</f>
        <v>-0.56559999999999999</v>
      </c>
      <c r="AC21" s="69">
        <f ca="1">IF($A21="", "",IFERROR(IF(VLOOKUP($A21, INDIRECT("'" &amp; 'Personalized Bill Menu'!$B$22 &amp; "'!" &amp;"$A$4:$CA$100"), VLOOKUP(VLOOKUP("RIDER RATE 2",'Misc. Data &amp; Mechanisms'!$E$601:$I$631,HLOOKUP('Personalized Bill Menu'!$B$22, 'Misc. Data &amp; Mechanisms'!$E$599:$I$600, 2, FALSE), FALSE), 'Misc. Data &amp; Mechanisms'!$A$599:$C$659, 2, FALSE), FALSE) = "", "", VLOOKUP($A21, INDIRECT("'" &amp; 'Personalized Bill Menu'!$B$22 &amp; "'!" &amp;"$A$4:$CA$100"), VLOOKUP(VLOOKUP("RIDER RATE 2",'Misc. Data &amp; Mechanisms'!$E$601:$I$631,HLOOKUP('Personalized Bill Menu'!$B$22, 'Misc. Data &amp; Mechanisms'!$E$599:$I$600, 2, FALSE), FALSE), 'Misc. Data &amp; Mechanisms'!$A$599:$C$659, 2, FALSE), FALSE)), ""))</f>
        <v>0.56410000000000005</v>
      </c>
      <c r="AD21" s="69" t="str">
        <f ca="1">IF($A21="", "",IFERROR(IF(VLOOKUP($A21, INDIRECT("'" &amp; 'Personalized Bill Menu'!$B$22 &amp; "'!" &amp;"$A$4:$CA$100"), VLOOKUP(VLOOKUP("RIDER RATE 3",'Misc. Data &amp; Mechanisms'!$E$601:$I$631,HLOOKUP('Personalized Bill Menu'!$B$22, 'Misc. Data &amp; Mechanisms'!$E$599:$I$600, 2, FALSE), FALSE), 'Misc. Data &amp; Mechanisms'!$A$599:$C$659, 2, FALSE), FALSE) = "", "", VLOOKUP($A21, INDIRECT("'" &amp; 'Personalized Bill Menu'!$B$22 &amp; "'!" &amp;"$A$4:$CA$100"), VLOOKUP(VLOOKUP("RIDER RATE 3",'Misc. Data &amp; Mechanisms'!$E$601:$I$631,HLOOKUP('Personalized Bill Menu'!$B$22, 'Misc. Data &amp; Mechanisms'!$E$599:$I$600, 2, FALSE), FALSE), 'Misc. Data &amp; Mechanisms'!$A$599:$C$659, 2, FALSE), FALSE)), ""))</f>
        <v/>
      </c>
      <c r="AE21" s="69" t="str">
        <f ca="1">IF($A21="", "",IFERROR(IF(VLOOKUP($A21, INDIRECT("'" &amp; 'Personalized Bill Menu'!$B$22 &amp; "'!" &amp;"$A$4:$CA$100"), VLOOKUP(VLOOKUP("RIDER RATE 4",'Misc. Data &amp; Mechanisms'!$E$601:$I$631,HLOOKUP('Personalized Bill Menu'!$B$22, 'Misc. Data &amp; Mechanisms'!$E$599:$I$600, 2, FALSE), FALSE), 'Misc. Data &amp; Mechanisms'!$A$599:$C$659, 2, FALSE), FALSE) = "", "", VLOOKUP($A21, INDIRECT("'" &amp; 'Personalized Bill Menu'!$B$22 &amp; "'!" &amp;"$A$4:$CA$100"), VLOOKUP(VLOOKUP("RIDER RATE 4",'Misc. Data &amp; Mechanisms'!$E$601:$I$631,HLOOKUP('Personalized Bill Menu'!$B$22, 'Misc. Data &amp; Mechanisms'!$E$599:$I$600, 2, FALSE), FALSE), 'Misc. Data &amp; Mechanisms'!$A$599:$C$659, 2, FALSE), FALSE)), ""))</f>
        <v/>
      </c>
      <c r="AF21" s="90" t="str">
        <f ca="1">IF($A21="", "",IFERROR(IF(VLOOKUP($A21, INDIRECT("'" &amp; 'Personalized Bill Menu'!$B$22 &amp; "'!" &amp;"$A$4:$CA$100"), VLOOKUP(VLOOKUP("RIDER RATE 5",'Misc. Data &amp; Mechanisms'!$E$601:$I$631,HLOOKUP('Personalized Bill Menu'!$B$22, 'Misc. Data &amp; Mechanisms'!$E$599:$I$600, 2, FALSE), FALSE), 'Misc. Data &amp; Mechanisms'!$A$599:$C$659, 2, FALSE), FALSE) = "", "", VLOOKUP($A21, INDIRECT("'" &amp; 'Personalized Bill Menu'!$B$22 &amp; "'!" &amp;"$A$4:$CA$100"), VLOOKUP(VLOOKUP("RIDER RATE 5",'Misc. Data &amp; Mechanisms'!$E$601:$I$631,HLOOKUP('Personalized Bill Menu'!$B$22, 'Misc. Data &amp; Mechanisms'!$E$599:$I$600, 2, FALSE), FALSE), 'Misc. Data &amp; Mechanisms'!$A$599:$C$659, 2, FALSE), FALSE)), ""))</f>
        <v/>
      </c>
      <c r="AG21" s="90" t="str">
        <f ca="1">IF($A21="", "",IFERROR(IF(VLOOKUP($A21, INDIRECT("'" &amp; 'Personalized Bill Menu'!$B$22 &amp; "'!" &amp;"$A$4:$CA$100"), VLOOKUP(VLOOKUP("RIDER RATE 6",'Misc. Data &amp; Mechanisms'!$E$601:$I$631,HLOOKUP('Personalized Bill Menu'!$B$22, 'Misc. Data &amp; Mechanisms'!$E$599:$I$600, 2, FALSE), FALSE), 'Misc. Data &amp; Mechanisms'!$A$599:$C$659, 2, FALSE), FALSE) = "", "", VLOOKUP($A21, INDIRECT("'" &amp; 'Personalized Bill Menu'!$B$22 &amp; "'!" &amp;"$A$4:$CA$100"), VLOOKUP(VLOOKUP("RIDER RATE 6",'Misc. Data &amp; Mechanisms'!$E$601:$I$631,HLOOKUP('Personalized Bill Menu'!$B$22, 'Misc. Data &amp; Mechanisms'!$E$599:$I$600, 2, FALSE), FALSE), 'Misc. Data &amp; Mechanisms'!$A$599:$C$659, 2, FALSE), FALSE)), ""))</f>
        <v/>
      </c>
      <c r="AH21" s="90" t="str">
        <f ca="1">IF($A21="", "",IFERROR(IF(VLOOKUP($A21, INDIRECT("'" &amp; 'Personalized Bill Menu'!$B$22 &amp; "'!" &amp;"$A$4:$CA$100"), VLOOKUP(VLOOKUP("RIDER RATE 7",'Misc. Data &amp; Mechanisms'!$E$601:$I$631,HLOOKUP('Personalized Bill Menu'!$B$22, 'Misc. Data &amp; Mechanisms'!$E$599:$I$600, 2, FALSE), FALSE), 'Misc. Data &amp; Mechanisms'!$A$599:$C$659, 2, FALSE), FALSE) = "", "", VLOOKUP($A21, INDIRECT("'" &amp; 'Personalized Bill Menu'!$B$22 &amp; "'!" &amp;"$A$4:$CA$100"), VLOOKUP(VLOOKUP("RIDER RATE 7",'Misc. Data &amp; Mechanisms'!$E$601:$I$631,HLOOKUP('Personalized Bill Menu'!$B$22, 'Misc. Data &amp; Mechanisms'!$E$599:$I$600, 2, FALSE), FALSE), 'Misc. Data &amp; Mechanisms'!$A$599:$C$659, 2, FALSE), FALSE)), ""))</f>
        <v/>
      </c>
      <c r="AI21" s="72">
        <f t="shared" ca="1" si="14"/>
        <v>-3.5942978125455047</v>
      </c>
      <c r="AJ21" s="72">
        <f t="shared" ca="1" si="15"/>
        <v>3.5847655517272266</v>
      </c>
      <c r="AK21" s="72">
        <f ca="1">IF($A21="", "", IFERROR(IF($AD$6="%",IF('Personalized Bill Menu'!$B$22="ENMAX", $AD21*$I21, IF(AND($AD21="", 'Personalized Bill Menu'!$B$22="FORTIS"),($AE21/100)*$C21,$AD21*$H21)),($AD21/100)*$C21), 0))</f>
        <v>0</v>
      </c>
      <c r="AL21" s="72">
        <f ca="1">IF($A21="", "", IFERROR(IF('Personalized Bill Menu'!$B$22="ENMAX",$AE21*$B21,IF($AE$6="%",$AE21*($H21+$I21+$J21), IF('Personalized Bill Menu'!$B$22="FORTIS",$AF21*$I21,($AE21/100)*$C21))), 0))</f>
        <v>0</v>
      </c>
      <c r="AM21" s="72" t="str">
        <f>IF($A21="", "", IFERROR(IF('Personalized Bill Menu'!$B$22="EPCOR",($AF21/100)*$C21, IF('Personalized Bill Menu'!$B$22="ATCO",$AF21*1,"")), 0))</f>
        <v/>
      </c>
      <c r="AN21" s="72" t="str">
        <f>IF($A21="", "", IFERROR(IF('Personalized Bill Menu'!$B$22="ATCO",$AG21*$B21,""), 0))</f>
        <v/>
      </c>
      <c r="AO21" s="70" t="str">
        <f>IF($A21="", "", IFERROR(IF('Personalized Bill Menu'!$B$22="ATCO",$AH21*$B21,""), 0))</f>
        <v/>
      </c>
      <c r="AP21" s="81">
        <f>IF('Personalized Bill Menu'!$B$34&lt;&gt;"Natural Gas", 'Personalized Bill Menu'!$K18, "")</f>
        <v>0.23369999999999999</v>
      </c>
      <c r="AQ21" s="72">
        <f t="shared" si="16"/>
        <v>7.2446999999999999</v>
      </c>
      <c r="AR21" s="91">
        <f ca="1">IF($A21="", "",IF(VLOOKUP($A21, INDIRECT("'" &amp; 'Personalized Bill Menu'!$B$22 &amp; "'!" &amp;"$A$4:$CA$100"), VLOOKUP(VLOOKUP(AR$5,'Misc. Data &amp; Mechanisms'!$E$601:$I$631,HLOOKUP('Personalized Bill Menu'!$B$22, 'Misc. Data &amp; Mechanisms'!$E$599:$I$600, 2, FALSE), FALSE), 'Misc. Data &amp; Mechanisms'!$A$599:$C$659, 2, FALSE), FALSE) = "", "", VLOOKUP($A21, INDIRECT("'" &amp; 'Personalized Bill Menu'!$B$22 &amp; "'!" &amp;"$A$4:$CA$100"), VLOOKUP(VLOOKUP(AR$5,'Misc. Data &amp; Mechanisms'!$E$601:$I$631,HLOOKUP('Personalized Bill Menu'!$B$22, 'Misc. Data &amp; Mechanisms'!$E$599:$I$600, 2, FALSE), FALSE), 'Misc. Data &amp; Mechanisms'!$A$599:$C$659, 2, FALSE), FALSE)))</f>
        <v>0.05</v>
      </c>
      <c r="AS21" s="2"/>
      <c r="AT21" s="2"/>
      <c r="AU21" s="2"/>
      <c r="AV21" s="2"/>
      <c r="AW21" s="2"/>
    </row>
    <row r="22" spans="1:49" ht="15" x14ac:dyDescent="0.25">
      <c r="A22" s="83">
        <f>'Personalized Bill Menu'!$H19</f>
        <v>41365</v>
      </c>
      <c r="B22" s="84">
        <f t="shared" si="0"/>
        <v>30</v>
      </c>
      <c r="C22" s="85">
        <f>IF('Personalized Bill Menu'!$B$34&lt;&gt;"Natural Gas", 'Personalized Bill Menu'!$I19, "")</f>
        <v>582.137273709135</v>
      </c>
      <c r="D22" s="66">
        <f t="shared" ca="1" si="17"/>
        <v>16.916350261167111</v>
      </c>
      <c r="E22" s="66">
        <f ca="1">IFERROR((1+$AR22)*(IF('Personalized Bill Menu'!$B$22="ENMAX", ((1+IFERROR($X22, 0))*($N22+$P22+$R22+$AB22+$AC22))+((1+IF($X22="", 0,$X22))*(IF($AD22="", 0,$AD22)*$R22)), IF('Personalized Bill Menu'!$B$22="EPCOR", ($N22+$P22+$R22+$X22+SUM($AB22:$AE22)), IF('Personalized Bill Menu'!$B$22="ATCO",($N22+((1+IF($AE22="", 0,$AE22))*(1+$X22+$Y22)*($P22+$R22))+SUM($AB22:$AD22)),IF($AD22="",$N22+((1+$X22+$Y22)*($P22+$R22))+$AB22+$AE22+(IF($AC22="", 0, $AC22)*$P22)+($R22*IF($AF22="", 0, $AF22)),$N22+((1+$X22+$Y22)*($P22+$R22))+$AB22+($AD22*$P22)+(IF($AC22="", 0, $AC22)*$P22)+($R22*IF($AF22="", 0, $AF22))))))), "")</f>
        <v>13.58686413</v>
      </c>
      <c r="F22" s="1469">
        <f t="shared" ca="1" si="1"/>
        <v>98.476380221446362</v>
      </c>
      <c r="G22" s="66">
        <f t="shared" si="2"/>
        <v>48.857034970586575</v>
      </c>
      <c r="H22" s="66">
        <f t="shared" ca="1" si="3"/>
        <v>11.330137758200893</v>
      </c>
      <c r="I22" s="66">
        <f t="shared" ca="1" si="4"/>
        <v>14.359832523205252</v>
      </c>
      <c r="J22" s="66">
        <f t="shared" ca="1" si="5"/>
        <v>8.6768218861640278</v>
      </c>
      <c r="K22" s="66">
        <f t="shared" ca="1" si="6"/>
        <v>3.5522016441731412</v>
      </c>
      <c r="L22" s="66">
        <f t="shared" si="7"/>
        <v>7.0110000000000001</v>
      </c>
      <c r="M22" s="68">
        <f t="shared" ca="1" si="8"/>
        <v>4.6893514391164937</v>
      </c>
      <c r="N22" s="69">
        <f>IF('Personalized Bill Menu'!$B$34&lt;&gt;"Natural Gas", 'Personalized Bill Menu'!$J19, "")</f>
        <v>8.3926999999999996</v>
      </c>
      <c r="O22" s="70">
        <f t="shared" si="9"/>
        <v>48.857034970586575</v>
      </c>
      <c r="P22" s="71">
        <f ca="1">IF($A22="", "",IFERROR(IF(VLOOKUP($A22, INDIRECT("'" &amp; 'Personalized Bill Menu'!$B$22 &amp; "'!" &amp;"$A$4:$CA$100"), VLOOKUP(VLOOKUP(P$5,'Misc. Data &amp; Mechanisms'!$E$601:$I$631,HLOOKUP('Personalized Bill Menu'!$B$22, 'Misc. Data &amp; Mechanisms'!$E$599:$I$600, 2, FALSE), FALSE), 'Misc. Data &amp; Mechanisms'!$A$599:$C$659, 2, FALSE), FALSE) = "", "", VLOOKUP($A22, INDIRECT("'" &amp; 'Personalized Bill Menu'!$B$22 &amp; "'!" &amp;"$A$4:$CA$100"), VLOOKUP(VLOOKUP(P$5,'Misc. Data &amp; Mechanisms'!$E$601:$I$631,HLOOKUP('Personalized Bill Menu'!$B$22, 'Misc. Data &amp; Mechanisms'!$E$599:$I$600, 2, FALSE), FALSE), 'Misc. Data &amp; Mechanisms'!$A$599:$C$659, 2, FALSE), FALSE)), ""))</f>
        <v>1.9462999999999999</v>
      </c>
      <c r="Q22" s="72">
        <f t="shared" ca="1" si="10"/>
        <v>11.330137758200893</v>
      </c>
      <c r="R22" s="87">
        <f ca="1">IF($A22="", "",IFERROR(IF(VLOOKUP($A22, INDIRECT("'" &amp; 'Personalized Bill Menu'!$B$22 &amp; "'!" &amp;"$A$4:$CA$100"), VLOOKUP(VLOOKUP(R$5,'Misc. Data &amp; Mechanisms'!$E$601:$I$631,HLOOKUP('Personalized Bill Menu'!$B$22, 'Misc. Data &amp; Mechanisms'!$E$599:$I$600, 2, FALSE), FALSE), 'Misc. Data &amp; Mechanisms'!$A$599:$C$659, 2, FALSE), FALSE) = "", "", VLOOKUP($A22, INDIRECT("'" &amp; 'Personalized Bill Menu'!$B$22 &amp; "'!" &amp;"$A$4:$CA$100"), VLOOKUP(VLOOKUP(R$5,'Misc. Data &amp; Mechanisms'!$E$601:$I$631,HLOOKUP('Personalized Bill Menu'!$B$22, 'Misc. Data &amp; Mechanisms'!$E$599:$I$600, 2, FALSE), FALSE), 'Misc. Data &amp; Mechanisms'!$A$599:$C$659, 2, FALSE), FALSE)), ""))</f>
        <v>0.69679999999999997</v>
      </c>
      <c r="S22" s="88">
        <f ca="1">IF($A22="", "",IFERROR(IF(VLOOKUP($A22, INDIRECT("'" &amp; 'Personalized Bill Menu'!$B$22 &amp; "'!" &amp;"$A$4:$CA$100"), VLOOKUP(VLOOKUP(S$5,'Misc. Data &amp; Mechanisms'!$E$601:$I$631,HLOOKUP('Personalized Bill Menu'!$B$22, 'Misc. Data &amp; Mechanisms'!$E$599:$I$600, 2, FALSE), FALSE), 'Misc. Data &amp; Mechanisms'!$A$599:$C$659, 2, FALSE), FALSE) = "", "", VLOOKUP($A22, INDIRECT("'" &amp; 'Personalized Bill Menu'!$B$22 &amp; "'!" &amp;"$A$4:$CA$100"), VLOOKUP(VLOOKUP(S$5,'Misc. Data &amp; Mechanisms'!$E$601:$I$631,HLOOKUP('Personalized Bill Menu'!$B$22, 'Misc. Data &amp; Mechanisms'!$E$599:$I$600, 2, FALSE), FALSE), 'Misc. Data &amp; Mechanisms'!$A$599:$C$659, 2, FALSE), FALSE)), ""))</f>
        <v>0.34344999999999998</v>
      </c>
      <c r="T22" s="81" t="str">
        <f ca="1">IF($A22="", "",IFERROR(IF(VLOOKUP($A22, INDIRECT("'" &amp; 'Personalized Bill Menu'!$B$22 &amp; "'!" &amp;"$A$4:$CA$100"), VLOOKUP(VLOOKUP(T$5,'Misc. Data &amp; Mechanisms'!$E$601:$I$631,HLOOKUP('Personalized Bill Menu'!$B$22, 'Misc. Data &amp; Mechanisms'!$E$599:$I$600, 2, FALSE), FALSE), 'Misc. Data &amp; Mechanisms'!$A$599:$C$659, 2, FALSE), FALSE) = "", "", VLOOKUP($A22, INDIRECT("'" &amp; 'Personalized Bill Menu'!$B$22 &amp; "'!" &amp;"$A$4:$CA$100"), VLOOKUP(VLOOKUP(T$5,'Misc. Data &amp; Mechanisms'!$E$601:$I$631,HLOOKUP('Personalized Bill Menu'!$B$22, 'Misc. Data &amp; Mechanisms'!$E$599:$I$600, 2, FALSE), FALSE), 'Misc. Data &amp; Mechanisms'!$A$599:$C$659, 2, FALSE), FALSE)), ""))</f>
        <v/>
      </c>
      <c r="U22" s="72">
        <f t="shared" ca="1" si="11"/>
        <v>4.0563325232052527</v>
      </c>
      <c r="V22" s="72">
        <f t="shared" ca="1" si="12"/>
        <v>10.3035</v>
      </c>
      <c r="W22" s="70" t="str">
        <f t="shared" si="13"/>
        <v/>
      </c>
      <c r="X22" s="78">
        <f>IFERROR(IF(VLOOKUP($A22,'Misc. Data &amp; Mechanisms'!$A$63:$DY$152,HLOOKUP('Personalized Bill Menu'!$B$21&amp;"_"&amp;'Personalized Bill Menu'!$B$22&amp;"_Elec_Y_1",'Misc. Data &amp; Mechanisms'!$A$55:$DY$62,8,FALSE), FALSE)="", "", VLOOKUP($A22,'Misc. Data &amp; Mechanisms'!$A$63:$DY$152,HLOOKUP('Personalized Bill Menu'!$B$21&amp;"_"&amp;'Personalized Bill Menu'!$B$22&amp;"_Elec_Y_1",'Misc. Data &amp; Mechanisms'!$A$55:$DY$62,8,FALSE), FALSE)), "")</f>
        <v>0.1111</v>
      </c>
      <c r="Y22" s="78" t="str">
        <f>IFERROR(IF(VLOOKUP($A22,'Misc. Data &amp; Mechanisms'!$A$63:$DY$152,HLOOKUP('Personalized Bill Menu'!$B$21&amp;"_"&amp;'Personalized Bill Menu'!$B$22&amp;"_Elec_Y_2",'Misc. Data &amp; Mechanisms'!$A$55:$DY$62,8,FALSE), FALSE)="", "", VLOOKUP($A22,'Misc. Data &amp; Mechanisms'!$A$63:$DY$152,HLOOKUP('Personalized Bill Menu'!$B$21&amp;"_"&amp;'Personalized Bill Menu'!$B$22&amp;"_Elec_Y_2",'Misc. Data &amp; Mechanisms'!$A$55:$DY$62,8,FALSE), FALSE)), "")</f>
        <v/>
      </c>
      <c r="Z22" s="72">
        <f ca="1">IF($A22="", "",IFERROR(IF(OR('Personalized Bill Menu'!$B$22="FORTIS", 'Personalized Bill Menu'!$B$22="ATCO"), $X22*($H22+$I22), IF('Personalized Bill Menu'!$B$22="ENMAX",$X22*($H22+$I22+$K22),($X22/100)*$C22)), 0))</f>
        <v>3.2488053009318589</v>
      </c>
      <c r="AA22" s="72">
        <f>IF($A22="", "", IFERROR(IF(OR('Personalized Bill Menu'!$B$22="FORTIS", 'Personalized Bill Menu'!$B$22="ATCO"), $Y22*($H22+$I22), IF('Personalized Bill Menu'!$B$22="ENMAX",$X22*$G22,"")), 0))</f>
        <v>5.4280165852321689</v>
      </c>
      <c r="AB22" s="89">
        <f ca="1">IF($A22="", "",IFERROR(IF(VLOOKUP($A22, INDIRECT("'" &amp; 'Personalized Bill Menu'!$B$22 &amp; "'!" &amp;"$A$4:$CA$100"), VLOOKUP(VLOOKUP("RIDER RATE 1",'Misc. Data &amp; Mechanisms'!$E$601:$I$631,HLOOKUP('Personalized Bill Menu'!$B$22, 'Misc. Data &amp; Mechanisms'!$E$599:$I$600, 2, FALSE), FALSE), 'Misc. Data &amp; Mechanisms'!$A$599:$C$659, 2, FALSE), FALSE) = "", "", VLOOKUP($A22, INDIRECT("'" &amp; 'Personalized Bill Menu'!$B$22 &amp; "'!" &amp;"$A$4:$CA$100"), VLOOKUP(VLOOKUP("RIDER RATE 1",'Misc. Data &amp; Mechanisms'!$E$601:$I$631,HLOOKUP('Personalized Bill Menu'!$B$22, 'Misc. Data &amp; Mechanisms'!$E$599:$I$600, 2, FALSE), FALSE), 'Misc. Data &amp; Mechanisms'!$A$599:$C$659, 2, FALSE), FALSE)), ""))</f>
        <v>-0.56559999999999999</v>
      </c>
      <c r="AC22" s="69">
        <f ca="1">IF($A22="", "",IFERROR(IF(VLOOKUP($A22, INDIRECT("'" &amp; 'Personalized Bill Menu'!$B$22 &amp; "'!" &amp;"$A$4:$CA$100"), VLOOKUP(VLOOKUP("RIDER RATE 2",'Misc. Data &amp; Mechanisms'!$E$601:$I$631,HLOOKUP('Personalized Bill Menu'!$B$22, 'Misc. Data &amp; Mechanisms'!$E$599:$I$600, 2, FALSE), FALSE), 'Misc. Data &amp; Mechanisms'!$A$599:$C$659, 2, FALSE), FALSE) = "", "", VLOOKUP($A22, INDIRECT("'" &amp; 'Personalized Bill Menu'!$B$22 &amp; "'!" &amp;"$A$4:$CA$100"), VLOOKUP(VLOOKUP("RIDER RATE 2",'Misc. Data &amp; Mechanisms'!$E$601:$I$631,HLOOKUP('Personalized Bill Menu'!$B$22, 'Misc. Data &amp; Mechanisms'!$E$599:$I$600, 2, FALSE), FALSE), 'Misc. Data &amp; Mechanisms'!$A$599:$C$659, 2, FALSE), FALSE)), ""))</f>
        <v>1.1758</v>
      </c>
      <c r="AD22" s="69" t="str">
        <f ca="1">IF($A22="", "",IFERROR(IF(VLOOKUP($A22, INDIRECT("'" &amp; 'Personalized Bill Menu'!$B$22 &amp; "'!" &amp;"$A$4:$CA$100"), VLOOKUP(VLOOKUP("RIDER RATE 3",'Misc. Data &amp; Mechanisms'!$E$601:$I$631,HLOOKUP('Personalized Bill Menu'!$B$22, 'Misc. Data &amp; Mechanisms'!$E$599:$I$600, 2, FALSE), FALSE), 'Misc. Data &amp; Mechanisms'!$A$599:$C$659, 2, FALSE), FALSE) = "", "", VLOOKUP($A22, INDIRECT("'" &amp; 'Personalized Bill Menu'!$B$22 &amp; "'!" &amp;"$A$4:$CA$100"), VLOOKUP(VLOOKUP("RIDER RATE 3",'Misc. Data &amp; Mechanisms'!$E$601:$I$631,HLOOKUP('Personalized Bill Menu'!$B$22, 'Misc. Data &amp; Mechanisms'!$E$599:$I$600, 2, FALSE), FALSE), 'Misc. Data &amp; Mechanisms'!$A$599:$C$659, 2, FALSE), FALSE)), ""))</f>
        <v/>
      </c>
      <c r="AE22" s="69" t="str">
        <f ca="1">IF($A22="", "",IFERROR(IF(VLOOKUP($A22, INDIRECT("'" &amp; 'Personalized Bill Menu'!$B$22 &amp; "'!" &amp;"$A$4:$CA$100"), VLOOKUP(VLOOKUP("RIDER RATE 4",'Misc. Data &amp; Mechanisms'!$E$601:$I$631,HLOOKUP('Personalized Bill Menu'!$B$22, 'Misc. Data &amp; Mechanisms'!$E$599:$I$600, 2, FALSE), FALSE), 'Misc. Data &amp; Mechanisms'!$A$599:$C$659, 2, FALSE), FALSE) = "", "", VLOOKUP($A22, INDIRECT("'" &amp; 'Personalized Bill Menu'!$B$22 &amp; "'!" &amp;"$A$4:$CA$100"), VLOOKUP(VLOOKUP("RIDER RATE 4",'Misc. Data &amp; Mechanisms'!$E$601:$I$631,HLOOKUP('Personalized Bill Menu'!$B$22, 'Misc. Data &amp; Mechanisms'!$E$599:$I$600, 2, FALSE), FALSE), 'Misc. Data &amp; Mechanisms'!$A$599:$C$659, 2, FALSE), FALSE)), ""))</f>
        <v/>
      </c>
      <c r="AF22" s="90" t="str">
        <f ca="1">IF($A22="", "",IFERROR(IF(VLOOKUP($A22, INDIRECT("'" &amp; 'Personalized Bill Menu'!$B$22 &amp; "'!" &amp;"$A$4:$CA$100"), VLOOKUP(VLOOKUP("RIDER RATE 5",'Misc. Data &amp; Mechanisms'!$E$601:$I$631,HLOOKUP('Personalized Bill Menu'!$B$22, 'Misc. Data &amp; Mechanisms'!$E$599:$I$600, 2, FALSE), FALSE), 'Misc. Data &amp; Mechanisms'!$A$599:$C$659, 2, FALSE), FALSE) = "", "", VLOOKUP($A22, INDIRECT("'" &amp; 'Personalized Bill Menu'!$B$22 &amp; "'!" &amp;"$A$4:$CA$100"), VLOOKUP(VLOOKUP("RIDER RATE 5",'Misc. Data &amp; Mechanisms'!$E$601:$I$631,HLOOKUP('Personalized Bill Menu'!$B$22, 'Misc. Data &amp; Mechanisms'!$E$599:$I$600, 2, FALSE), FALSE), 'Misc. Data &amp; Mechanisms'!$A$599:$C$659, 2, FALSE), FALSE)), ""))</f>
        <v/>
      </c>
      <c r="AG22" s="90" t="str">
        <f ca="1">IF($A22="", "",IFERROR(IF(VLOOKUP($A22, INDIRECT("'" &amp; 'Personalized Bill Menu'!$B$22 &amp; "'!" &amp;"$A$4:$CA$100"), VLOOKUP(VLOOKUP("RIDER RATE 6",'Misc. Data &amp; Mechanisms'!$E$601:$I$631,HLOOKUP('Personalized Bill Menu'!$B$22, 'Misc. Data &amp; Mechanisms'!$E$599:$I$600, 2, FALSE), FALSE), 'Misc. Data &amp; Mechanisms'!$A$599:$C$659, 2, FALSE), FALSE) = "", "", VLOOKUP($A22, INDIRECT("'" &amp; 'Personalized Bill Menu'!$B$22 &amp; "'!" &amp;"$A$4:$CA$100"), VLOOKUP(VLOOKUP("RIDER RATE 6",'Misc. Data &amp; Mechanisms'!$E$601:$I$631,HLOOKUP('Personalized Bill Menu'!$B$22, 'Misc. Data &amp; Mechanisms'!$E$599:$I$600, 2, FALSE), FALSE), 'Misc. Data &amp; Mechanisms'!$A$599:$C$659, 2, FALSE), FALSE)), ""))</f>
        <v/>
      </c>
      <c r="AH22" s="90" t="str">
        <f ca="1">IF($A22="", "",IFERROR(IF(VLOOKUP($A22, INDIRECT("'" &amp; 'Personalized Bill Menu'!$B$22 &amp; "'!" &amp;"$A$4:$CA$100"), VLOOKUP(VLOOKUP("RIDER RATE 7",'Misc. Data &amp; Mechanisms'!$E$601:$I$631,HLOOKUP('Personalized Bill Menu'!$B$22, 'Misc. Data &amp; Mechanisms'!$E$599:$I$600, 2, FALSE), FALSE), 'Misc. Data &amp; Mechanisms'!$A$599:$C$659, 2, FALSE), FALSE) = "", "", VLOOKUP($A22, INDIRECT("'" &amp; 'Personalized Bill Menu'!$B$22 &amp; "'!" &amp;"$A$4:$CA$100"), VLOOKUP(VLOOKUP("RIDER RATE 7",'Misc. Data &amp; Mechanisms'!$E$601:$I$631,HLOOKUP('Personalized Bill Menu'!$B$22, 'Misc. Data &amp; Mechanisms'!$E$599:$I$600, 2, FALSE), FALSE), 'Misc. Data &amp; Mechanisms'!$A$599:$C$659, 2, FALSE), FALSE)), ""))</f>
        <v/>
      </c>
      <c r="AI22" s="72">
        <f t="shared" ca="1" si="14"/>
        <v>-3.2925684200988674</v>
      </c>
      <c r="AJ22" s="72">
        <f t="shared" ca="1" si="15"/>
        <v>6.8447700642720086</v>
      </c>
      <c r="AK22" s="72">
        <f ca="1">IF($A22="", "", IFERROR(IF($AD$6="%",IF('Personalized Bill Menu'!$B$22="ENMAX", $AD22*$I22, IF(AND($AD22="", 'Personalized Bill Menu'!$B$22="FORTIS"),($AE22/100)*$C22,$AD22*$H22)),($AD22/100)*$C22), 0))</f>
        <v>0</v>
      </c>
      <c r="AL22" s="72">
        <f ca="1">IF($A22="", "", IFERROR(IF('Personalized Bill Menu'!$B$22="ENMAX",$AE22*$B22,IF($AE$6="%",$AE22*($H22+$I22+$J22), IF('Personalized Bill Menu'!$B$22="FORTIS",$AF22*$I22,($AE22/100)*$C22))), 0))</f>
        <v>0</v>
      </c>
      <c r="AM22" s="72" t="str">
        <f>IF($A22="", "", IFERROR(IF('Personalized Bill Menu'!$B$22="EPCOR",($AF22/100)*$C22, IF('Personalized Bill Menu'!$B$22="ATCO",$AF22*1,"")), 0))</f>
        <v/>
      </c>
      <c r="AN22" s="72" t="str">
        <f>IF($A22="", "", IFERROR(IF('Personalized Bill Menu'!$B$22="ATCO",$AG22*$B22,""), 0))</f>
        <v/>
      </c>
      <c r="AO22" s="70" t="str">
        <f>IF($A22="", "", IFERROR(IF('Personalized Bill Menu'!$B$22="ATCO",$AH22*$B22,""), 0))</f>
        <v/>
      </c>
      <c r="AP22" s="81">
        <f>IF('Personalized Bill Menu'!$B$34&lt;&gt;"Natural Gas", 'Personalized Bill Menu'!$K19, "")</f>
        <v>0.23369999999999999</v>
      </c>
      <c r="AQ22" s="72">
        <f t="shared" si="16"/>
        <v>7.0110000000000001</v>
      </c>
      <c r="AR22" s="91">
        <f ca="1">IF($A22="", "",IF(VLOOKUP($A22, INDIRECT("'" &amp; 'Personalized Bill Menu'!$B$22 &amp; "'!" &amp;"$A$4:$CA$100"), VLOOKUP(VLOOKUP(AR$5,'Misc. Data &amp; Mechanisms'!$E$601:$I$631,HLOOKUP('Personalized Bill Menu'!$B$22, 'Misc. Data &amp; Mechanisms'!$E$599:$I$600, 2, FALSE), FALSE), 'Misc. Data &amp; Mechanisms'!$A$599:$C$659, 2, FALSE), FALSE) = "", "", VLOOKUP($A22, INDIRECT("'" &amp; 'Personalized Bill Menu'!$B$22 &amp; "'!" &amp;"$A$4:$CA$100"), VLOOKUP(VLOOKUP(AR$5,'Misc. Data &amp; Mechanisms'!$E$601:$I$631,HLOOKUP('Personalized Bill Menu'!$B$22, 'Misc. Data &amp; Mechanisms'!$E$599:$I$600, 2, FALSE), FALSE), 'Misc. Data &amp; Mechanisms'!$A$599:$C$659, 2, FALSE), FALSE)))</f>
        <v>0.05</v>
      </c>
      <c r="AS22" s="2"/>
      <c r="AT22" s="2"/>
      <c r="AU22" s="2"/>
      <c r="AV22" s="2"/>
      <c r="AW22" s="2"/>
    </row>
    <row r="23" spans="1:49" ht="15" x14ac:dyDescent="0.25">
      <c r="A23" s="83">
        <f>'Personalized Bill Menu'!$H20</f>
        <v>41395</v>
      </c>
      <c r="B23" s="84">
        <f t="shared" si="0"/>
        <v>31</v>
      </c>
      <c r="C23" s="85">
        <f>IF('Personalized Bill Menu'!$B$34&lt;&gt;"Natural Gas", 'Personalized Bill Menu'!$I20, "")</f>
        <v>524.18966004109279</v>
      </c>
      <c r="D23" s="66">
        <f t="shared" ca="1" si="17"/>
        <v>16.034280519794454</v>
      </c>
      <c r="E23" s="66">
        <f ca="1">IFERROR((1+$AR23)*(IF('Personalized Bill Menu'!$B$22="ENMAX", ((1+IFERROR($X23, 0))*($N23+$P23+$R23+$AB23+$AC23))+((1+IF($X23="", 0,$X23))*(IF($AD23="", 0,$AD23)*$R23)), IF('Personalized Bill Menu'!$B$22="EPCOR", ($N23+$P23+$R23+$X23+SUM($AB23:$AE23)), IF('Personalized Bill Menu'!$B$22="ATCO",($N23+((1+IF($AE23="", 0,$AE23))*(1+$X23+$Y23)*($P23+$R23))+SUM($AB23:$AD23)),IF($AD23="",$N23+((1+$X23+$Y23)*($P23+$R23))+$AB23+$AE23+(IF($AC23="", 0, $AC23)*$P23)+($R23*IF($AF23="", 0, $AF23)),$N23+((1+$X23+$Y23)*($P23+$R23))+$AB23+($AD23*$P23)+(IF($AC23="", 0, $AC23)*$P23)+($R23*IF($AF23="", 0, $AF23))))))), "")</f>
        <v>12.213477864</v>
      </c>
      <c r="F23" s="1469">
        <f t="shared" ca="1" si="1"/>
        <v>84.05004054674572</v>
      </c>
      <c r="G23" s="66">
        <f t="shared" si="2"/>
        <v>37.822904920265046</v>
      </c>
      <c r="H23" s="66">
        <f t="shared" ca="1" si="3"/>
        <v>10.202303353379788</v>
      </c>
      <c r="I23" s="66">
        <f t="shared" ca="1" si="4"/>
        <v>14.299503551166332</v>
      </c>
      <c r="J23" s="66">
        <f t="shared" ca="1" si="5"/>
        <v>7.2796405331854315</v>
      </c>
      <c r="K23" s="66">
        <f t="shared" ca="1" si="6"/>
        <v>3.1986053055707484</v>
      </c>
      <c r="L23" s="66">
        <f t="shared" si="7"/>
        <v>7.2446999999999999</v>
      </c>
      <c r="M23" s="68">
        <f t="shared" ca="1" si="8"/>
        <v>4.0023828831783677</v>
      </c>
      <c r="N23" s="69">
        <f>IF('Personalized Bill Menu'!$B$34&lt;&gt;"Natural Gas", 'Personalized Bill Menu'!$J20, "")</f>
        <v>7.2154999999999996</v>
      </c>
      <c r="O23" s="70">
        <f t="shared" si="9"/>
        <v>37.822904920265046</v>
      </c>
      <c r="P23" s="71">
        <f ca="1">IF($A23="", "",IFERROR(IF(VLOOKUP($A23, INDIRECT("'" &amp; 'Personalized Bill Menu'!$B$22 &amp; "'!" &amp;"$A$4:$CA$100"), VLOOKUP(VLOOKUP(P$5,'Misc. Data &amp; Mechanisms'!$E$601:$I$631,HLOOKUP('Personalized Bill Menu'!$B$22, 'Misc. Data &amp; Mechanisms'!$E$599:$I$600, 2, FALSE), FALSE), 'Misc. Data &amp; Mechanisms'!$A$599:$C$659, 2, FALSE), FALSE) = "", "", VLOOKUP($A23, INDIRECT("'" &amp; 'Personalized Bill Menu'!$B$22 &amp; "'!" &amp;"$A$4:$CA$100"), VLOOKUP(VLOOKUP(P$5,'Misc. Data &amp; Mechanisms'!$E$601:$I$631,HLOOKUP('Personalized Bill Menu'!$B$22, 'Misc. Data &amp; Mechanisms'!$E$599:$I$600, 2, FALSE), FALSE), 'Misc. Data &amp; Mechanisms'!$A$599:$C$659, 2, FALSE), FALSE)), ""))</f>
        <v>1.9462999999999999</v>
      </c>
      <c r="Q23" s="72">
        <f t="shared" ca="1" si="10"/>
        <v>10.202303353379788</v>
      </c>
      <c r="R23" s="87">
        <f ca="1">IF($A23="", "",IFERROR(IF(VLOOKUP($A23, INDIRECT("'" &amp; 'Personalized Bill Menu'!$B$22 &amp; "'!" &amp;"$A$4:$CA$100"), VLOOKUP(VLOOKUP(R$5,'Misc. Data &amp; Mechanisms'!$E$601:$I$631,HLOOKUP('Personalized Bill Menu'!$B$22, 'Misc. Data &amp; Mechanisms'!$E$599:$I$600, 2, FALSE), FALSE), 'Misc. Data &amp; Mechanisms'!$A$599:$C$659, 2, FALSE), FALSE) = "", "", VLOOKUP($A23, INDIRECT("'" &amp; 'Personalized Bill Menu'!$B$22 &amp; "'!" &amp;"$A$4:$CA$100"), VLOOKUP(VLOOKUP(R$5,'Misc. Data &amp; Mechanisms'!$E$601:$I$631,HLOOKUP('Personalized Bill Menu'!$B$22, 'Misc. Data &amp; Mechanisms'!$E$599:$I$600, 2, FALSE), FALSE), 'Misc. Data &amp; Mechanisms'!$A$599:$C$659, 2, FALSE), FALSE)), ""))</f>
        <v>0.69679999999999997</v>
      </c>
      <c r="S23" s="88">
        <f ca="1">IF($A23="", "",IFERROR(IF(VLOOKUP($A23, INDIRECT("'" &amp; 'Personalized Bill Menu'!$B$22 &amp; "'!" &amp;"$A$4:$CA$100"), VLOOKUP(VLOOKUP(S$5,'Misc. Data &amp; Mechanisms'!$E$601:$I$631,HLOOKUP('Personalized Bill Menu'!$B$22, 'Misc. Data &amp; Mechanisms'!$E$599:$I$600, 2, FALSE), FALSE), 'Misc. Data &amp; Mechanisms'!$A$599:$C$659, 2, FALSE), FALSE) = "", "", VLOOKUP($A23, INDIRECT("'" &amp; 'Personalized Bill Menu'!$B$22 &amp; "'!" &amp;"$A$4:$CA$100"), VLOOKUP(VLOOKUP(S$5,'Misc. Data &amp; Mechanisms'!$E$601:$I$631,HLOOKUP('Personalized Bill Menu'!$B$22, 'Misc. Data &amp; Mechanisms'!$E$599:$I$600, 2, FALSE), FALSE), 'Misc. Data &amp; Mechanisms'!$A$599:$C$659, 2, FALSE), FALSE)), ""))</f>
        <v>0.34344999999999998</v>
      </c>
      <c r="T23" s="81" t="str">
        <f ca="1">IF($A23="", "",IFERROR(IF(VLOOKUP($A23, INDIRECT("'" &amp; 'Personalized Bill Menu'!$B$22 &amp; "'!" &amp;"$A$4:$CA$100"), VLOOKUP(VLOOKUP(T$5,'Misc. Data &amp; Mechanisms'!$E$601:$I$631,HLOOKUP('Personalized Bill Menu'!$B$22, 'Misc. Data &amp; Mechanisms'!$E$599:$I$600, 2, FALSE), FALSE), 'Misc. Data &amp; Mechanisms'!$A$599:$C$659, 2, FALSE), FALSE) = "", "", VLOOKUP($A23, INDIRECT("'" &amp; 'Personalized Bill Menu'!$B$22 &amp; "'!" &amp;"$A$4:$CA$100"), VLOOKUP(VLOOKUP(T$5,'Misc. Data &amp; Mechanisms'!$E$601:$I$631,HLOOKUP('Personalized Bill Menu'!$B$22, 'Misc. Data &amp; Mechanisms'!$E$599:$I$600, 2, FALSE), FALSE), 'Misc. Data &amp; Mechanisms'!$A$599:$C$659, 2, FALSE), FALSE)), ""))</f>
        <v/>
      </c>
      <c r="U23" s="72">
        <f t="shared" ca="1" si="11"/>
        <v>3.6525535511663341</v>
      </c>
      <c r="V23" s="72">
        <f t="shared" ca="1" si="12"/>
        <v>10.646949999999999</v>
      </c>
      <c r="W23" s="70" t="str">
        <f t="shared" si="13"/>
        <v/>
      </c>
      <c r="X23" s="78">
        <f>IFERROR(IF(VLOOKUP($A23,'Misc. Data &amp; Mechanisms'!$A$63:$DY$152,HLOOKUP('Personalized Bill Menu'!$B$21&amp;"_"&amp;'Personalized Bill Menu'!$B$22&amp;"_Elec_Y_1",'Misc. Data &amp; Mechanisms'!$A$55:$DY$62,8,FALSE), FALSE)="", "", VLOOKUP($A23,'Misc. Data &amp; Mechanisms'!$A$63:$DY$152,HLOOKUP('Personalized Bill Menu'!$B$21&amp;"_"&amp;'Personalized Bill Menu'!$B$22&amp;"_Elec_Y_1",'Misc. Data &amp; Mechanisms'!$A$55:$DY$62,8,FALSE), FALSE)), "")</f>
        <v>0.1111</v>
      </c>
      <c r="Y23" s="78" t="str">
        <f>IFERROR(IF(VLOOKUP($A23,'Misc. Data &amp; Mechanisms'!$A$63:$DY$152,HLOOKUP('Personalized Bill Menu'!$B$21&amp;"_"&amp;'Personalized Bill Menu'!$B$22&amp;"_Elec_Y_2",'Misc. Data &amp; Mechanisms'!$A$55:$DY$62,8,FALSE), FALSE)="", "", VLOOKUP($A23,'Misc. Data &amp; Mechanisms'!$A$63:$DY$152,HLOOKUP('Personalized Bill Menu'!$B$21&amp;"_"&amp;'Personalized Bill Menu'!$B$22&amp;"_Elec_Y_2",'Misc. Data &amp; Mechanisms'!$A$55:$DY$62,8,FALSE), FALSE)), "")</f>
        <v/>
      </c>
      <c r="Z23" s="72">
        <f ca="1">IF($A23="", "",IFERROR(IF(OR('Personalized Bill Menu'!$B$22="FORTIS", 'Personalized Bill Menu'!$B$22="ATCO"), $X23*($H23+$I23), IF('Personalized Bill Menu'!$B$22="ENMAX",$X23*($H23+$I23+$K23),($X23/100)*$C23)), 0))</f>
        <v>3.0775157965439845</v>
      </c>
      <c r="AA23" s="72">
        <f>IF($A23="", "", IFERROR(IF(OR('Personalized Bill Menu'!$B$22="FORTIS", 'Personalized Bill Menu'!$B$22="ATCO"), $Y23*($H23+$I23), IF('Personalized Bill Menu'!$B$22="ENMAX",$X23*$G23,"")), 0))</f>
        <v>4.2021247366414469</v>
      </c>
      <c r="AB23" s="89">
        <f ca="1">IF($A23="", "",IFERROR(IF(VLOOKUP($A23, INDIRECT("'" &amp; 'Personalized Bill Menu'!$B$22 &amp; "'!" &amp;"$A$4:$CA$100"), VLOOKUP(VLOOKUP("RIDER RATE 1",'Misc. Data &amp; Mechanisms'!$E$601:$I$631,HLOOKUP('Personalized Bill Menu'!$B$22, 'Misc. Data &amp; Mechanisms'!$E$599:$I$600, 2, FALSE), FALSE), 'Misc. Data &amp; Mechanisms'!$A$599:$C$659, 2, FALSE), FALSE) = "", "", VLOOKUP($A23, INDIRECT("'" &amp; 'Personalized Bill Menu'!$B$22 &amp; "'!" &amp;"$A$4:$CA$100"), VLOOKUP(VLOOKUP("RIDER RATE 1",'Misc. Data &amp; Mechanisms'!$E$601:$I$631,HLOOKUP('Personalized Bill Menu'!$B$22, 'Misc. Data &amp; Mechanisms'!$E$599:$I$600, 2, FALSE), FALSE), 'Misc. Data &amp; Mechanisms'!$A$599:$C$659, 2, FALSE), FALSE)), ""))</f>
        <v>-0.56559999999999999</v>
      </c>
      <c r="AC23" s="69">
        <f ca="1">IF($A23="", "",IFERROR(IF(VLOOKUP($A23, INDIRECT("'" &amp; 'Personalized Bill Menu'!$B$22 &amp; "'!" &amp;"$A$4:$CA$100"), VLOOKUP(VLOOKUP("RIDER RATE 2",'Misc. Data &amp; Mechanisms'!$E$601:$I$631,HLOOKUP('Personalized Bill Menu'!$B$22, 'Misc. Data &amp; Mechanisms'!$E$599:$I$600, 2, FALSE), FALSE), 'Misc. Data &amp; Mechanisms'!$A$599:$C$659, 2, FALSE), FALSE) = "", "", VLOOKUP($A23, INDIRECT("'" &amp; 'Personalized Bill Menu'!$B$22 &amp; "'!" &amp;"$A$4:$CA$100"), VLOOKUP(VLOOKUP("RIDER RATE 2",'Misc. Data &amp; Mechanisms'!$E$601:$I$631,HLOOKUP('Personalized Bill Menu'!$B$22, 'Misc. Data &amp; Mechanisms'!$E$599:$I$600, 2, FALSE), FALSE), 'Misc. Data &amp; Mechanisms'!$A$599:$C$659, 2, FALSE), FALSE)), ""))</f>
        <v>1.1758</v>
      </c>
      <c r="AD23" s="69" t="str">
        <f ca="1">IF($A23="", "",IFERROR(IF(VLOOKUP($A23, INDIRECT("'" &amp; 'Personalized Bill Menu'!$B$22 &amp; "'!" &amp;"$A$4:$CA$100"), VLOOKUP(VLOOKUP("RIDER RATE 3",'Misc. Data &amp; Mechanisms'!$E$601:$I$631,HLOOKUP('Personalized Bill Menu'!$B$22, 'Misc. Data &amp; Mechanisms'!$E$599:$I$600, 2, FALSE), FALSE), 'Misc. Data &amp; Mechanisms'!$A$599:$C$659, 2, FALSE), FALSE) = "", "", VLOOKUP($A23, INDIRECT("'" &amp; 'Personalized Bill Menu'!$B$22 &amp; "'!" &amp;"$A$4:$CA$100"), VLOOKUP(VLOOKUP("RIDER RATE 3",'Misc. Data &amp; Mechanisms'!$E$601:$I$631,HLOOKUP('Personalized Bill Menu'!$B$22, 'Misc. Data &amp; Mechanisms'!$E$599:$I$600, 2, FALSE), FALSE), 'Misc. Data &amp; Mechanisms'!$A$599:$C$659, 2, FALSE), FALSE)), ""))</f>
        <v/>
      </c>
      <c r="AE23" s="69" t="str">
        <f ca="1">IF($A23="", "",IFERROR(IF(VLOOKUP($A23, INDIRECT("'" &amp; 'Personalized Bill Menu'!$B$22 &amp; "'!" &amp;"$A$4:$CA$100"), VLOOKUP(VLOOKUP("RIDER RATE 4",'Misc. Data &amp; Mechanisms'!$E$601:$I$631,HLOOKUP('Personalized Bill Menu'!$B$22, 'Misc. Data &amp; Mechanisms'!$E$599:$I$600, 2, FALSE), FALSE), 'Misc. Data &amp; Mechanisms'!$A$599:$C$659, 2, FALSE), FALSE) = "", "", VLOOKUP($A23, INDIRECT("'" &amp; 'Personalized Bill Menu'!$B$22 &amp; "'!" &amp;"$A$4:$CA$100"), VLOOKUP(VLOOKUP("RIDER RATE 4",'Misc. Data &amp; Mechanisms'!$E$601:$I$631,HLOOKUP('Personalized Bill Menu'!$B$22, 'Misc. Data &amp; Mechanisms'!$E$599:$I$600, 2, FALSE), FALSE), 'Misc. Data &amp; Mechanisms'!$A$599:$C$659, 2, FALSE), FALSE)), ""))</f>
        <v/>
      </c>
      <c r="AF23" s="90" t="str">
        <f ca="1">IF($A23="", "",IFERROR(IF(VLOOKUP($A23, INDIRECT("'" &amp; 'Personalized Bill Menu'!$B$22 &amp; "'!" &amp;"$A$4:$CA$100"), VLOOKUP(VLOOKUP("RIDER RATE 5",'Misc. Data &amp; Mechanisms'!$E$601:$I$631,HLOOKUP('Personalized Bill Menu'!$B$22, 'Misc. Data &amp; Mechanisms'!$E$599:$I$600, 2, FALSE), FALSE), 'Misc. Data &amp; Mechanisms'!$A$599:$C$659, 2, FALSE), FALSE) = "", "", VLOOKUP($A23, INDIRECT("'" &amp; 'Personalized Bill Menu'!$B$22 &amp; "'!" &amp;"$A$4:$CA$100"), VLOOKUP(VLOOKUP("RIDER RATE 5",'Misc. Data &amp; Mechanisms'!$E$601:$I$631,HLOOKUP('Personalized Bill Menu'!$B$22, 'Misc. Data &amp; Mechanisms'!$E$599:$I$600, 2, FALSE), FALSE), 'Misc. Data &amp; Mechanisms'!$A$599:$C$659, 2, FALSE), FALSE)), ""))</f>
        <v/>
      </c>
      <c r="AG23" s="90" t="str">
        <f ca="1">IF($A23="", "",IFERROR(IF(VLOOKUP($A23, INDIRECT("'" &amp; 'Personalized Bill Menu'!$B$22 &amp; "'!" &amp;"$A$4:$CA$100"), VLOOKUP(VLOOKUP("RIDER RATE 6",'Misc. Data &amp; Mechanisms'!$E$601:$I$631,HLOOKUP('Personalized Bill Menu'!$B$22, 'Misc. Data &amp; Mechanisms'!$E$599:$I$600, 2, FALSE), FALSE), 'Misc. Data &amp; Mechanisms'!$A$599:$C$659, 2, FALSE), FALSE) = "", "", VLOOKUP($A23, INDIRECT("'" &amp; 'Personalized Bill Menu'!$B$22 &amp; "'!" &amp;"$A$4:$CA$100"), VLOOKUP(VLOOKUP("RIDER RATE 6",'Misc. Data &amp; Mechanisms'!$E$601:$I$631,HLOOKUP('Personalized Bill Menu'!$B$22, 'Misc. Data &amp; Mechanisms'!$E$599:$I$600, 2, FALSE), FALSE), 'Misc. Data &amp; Mechanisms'!$A$599:$C$659, 2, FALSE), FALSE)), ""))</f>
        <v/>
      </c>
      <c r="AH23" s="90" t="str">
        <f ca="1">IF($A23="", "",IFERROR(IF(VLOOKUP($A23, INDIRECT("'" &amp; 'Personalized Bill Menu'!$B$22 &amp; "'!" &amp;"$A$4:$CA$100"), VLOOKUP(VLOOKUP("RIDER RATE 7",'Misc. Data &amp; Mechanisms'!$E$601:$I$631,HLOOKUP('Personalized Bill Menu'!$B$22, 'Misc. Data &amp; Mechanisms'!$E$599:$I$600, 2, FALSE), FALSE), 'Misc. Data &amp; Mechanisms'!$A$599:$C$659, 2, FALSE), FALSE) = "", "", VLOOKUP($A23, INDIRECT("'" &amp; 'Personalized Bill Menu'!$B$22 &amp; "'!" &amp;"$A$4:$CA$100"), VLOOKUP(VLOOKUP("RIDER RATE 7",'Misc. Data &amp; Mechanisms'!$E$601:$I$631,HLOOKUP('Personalized Bill Menu'!$B$22, 'Misc. Data &amp; Mechanisms'!$E$599:$I$600, 2, FALSE), FALSE), 'Misc. Data &amp; Mechanisms'!$A$599:$C$659, 2, FALSE), FALSE)), ""))</f>
        <v/>
      </c>
      <c r="AI23" s="72">
        <f t="shared" ca="1" si="14"/>
        <v>-2.9648167171924205</v>
      </c>
      <c r="AJ23" s="72">
        <f t="shared" ca="1" si="15"/>
        <v>6.1634220227631689</v>
      </c>
      <c r="AK23" s="72">
        <f ca="1">IF($A23="", "", IFERROR(IF($AD$6="%",IF('Personalized Bill Menu'!$B$22="ENMAX", $AD23*$I23, IF(AND($AD23="", 'Personalized Bill Menu'!$B$22="FORTIS"),($AE23/100)*$C23,$AD23*$H23)),($AD23/100)*$C23), 0))</f>
        <v>0</v>
      </c>
      <c r="AL23" s="72">
        <f ca="1">IF($A23="", "", IFERROR(IF('Personalized Bill Menu'!$B$22="ENMAX",$AE23*$B23,IF($AE$6="%",$AE23*($H23+$I23+$J23), IF('Personalized Bill Menu'!$B$22="FORTIS",$AF23*$I23,($AE23/100)*$C23))), 0))</f>
        <v>0</v>
      </c>
      <c r="AM23" s="72" t="str">
        <f>IF($A23="", "", IFERROR(IF('Personalized Bill Menu'!$B$22="EPCOR",($AF23/100)*$C23, IF('Personalized Bill Menu'!$B$22="ATCO",$AF23*1,"")), 0))</f>
        <v/>
      </c>
      <c r="AN23" s="72" t="str">
        <f>IF($A23="", "", IFERROR(IF('Personalized Bill Menu'!$B$22="ATCO",$AG23*$B23,""), 0))</f>
        <v/>
      </c>
      <c r="AO23" s="70" t="str">
        <f>IF($A23="", "", IFERROR(IF('Personalized Bill Menu'!$B$22="ATCO",$AH23*$B23,""), 0))</f>
        <v/>
      </c>
      <c r="AP23" s="81">
        <f>IF('Personalized Bill Menu'!$B$34&lt;&gt;"Natural Gas", 'Personalized Bill Menu'!$K20, "")</f>
        <v>0.23369999999999999</v>
      </c>
      <c r="AQ23" s="72">
        <f t="shared" si="16"/>
        <v>7.2446999999999999</v>
      </c>
      <c r="AR23" s="91">
        <f ca="1">IF($A23="", "",IF(VLOOKUP($A23, INDIRECT("'" &amp; 'Personalized Bill Menu'!$B$22 &amp; "'!" &amp;"$A$4:$CA$100"), VLOOKUP(VLOOKUP(AR$5,'Misc. Data &amp; Mechanisms'!$E$601:$I$631,HLOOKUP('Personalized Bill Menu'!$B$22, 'Misc. Data &amp; Mechanisms'!$E$599:$I$600, 2, FALSE), FALSE), 'Misc. Data &amp; Mechanisms'!$A$599:$C$659, 2, FALSE), FALSE) = "", "", VLOOKUP($A23, INDIRECT("'" &amp; 'Personalized Bill Menu'!$B$22 &amp; "'!" &amp;"$A$4:$CA$100"), VLOOKUP(VLOOKUP(AR$5,'Misc. Data &amp; Mechanisms'!$E$601:$I$631,HLOOKUP('Personalized Bill Menu'!$B$22, 'Misc. Data &amp; Mechanisms'!$E$599:$I$600, 2, FALSE), FALSE), 'Misc. Data &amp; Mechanisms'!$A$599:$C$659, 2, FALSE), FALSE)))</f>
        <v>0.05</v>
      </c>
      <c r="AS23" s="2"/>
      <c r="AT23" s="2"/>
      <c r="AU23" s="2"/>
      <c r="AV23" s="2"/>
      <c r="AW23" s="2"/>
    </row>
    <row r="24" spans="1:49" ht="15" x14ac:dyDescent="0.25">
      <c r="A24" s="83">
        <f>'Personalized Bill Menu'!$H21</f>
        <v>41426</v>
      </c>
      <c r="B24" s="84">
        <f t="shared" si="0"/>
        <v>30</v>
      </c>
      <c r="C24" s="85">
        <f>IF('Personalized Bill Menu'!$B$34&lt;&gt;"Natural Gas", 'Personalized Bill Menu'!$I21, "")</f>
        <v>529.52087601301878</v>
      </c>
      <c r="D24" s="66">
        <f t="shared" ca="1" si="17"/>
        <v>16.235084289980595</v>
      </c>
      <c r="E24" s="66">
        <f ca="1">IFERROR((1+$AR24)*(IF('Personalized Bill Menu'!$B$22="ENMAX", ((1+IFERROR($X24, 0))*($N24+$P24+$R24+$AB24+$AC24))+((1+IF($X24="", 0,$X24))*(IF($AD24="", 0,$AD24)*$R24)), IF('Personalized Bill Menu'!$B$22="EPCOR", ($N24+$P24+$R24+$X24+SUM($AB24:$AE24)), IF('Personalized Bill Menu'!$B$22="ATCO",($N24+((1+IF($AE24="", 0,$AE24))*(1+$X24+$Y24)*($P24+$R24))+SUM($AB24:$AD24)),IF($AD24="",$N24+((1+$X24+$Y24)*($P24+$R24))+$AB24+$AE24+(IF($AC24="", 0, $AC24)*$P24)+($R24*IF($AF24="", 0, $AF24)),$N24+((1+$X24+$Y24)*($P24+$R24))+$AB24+($AD24*$P24)+(IF($AC24="", 0, $AC24)*$P24)+($R24*IF($AF24="", 0, $AF24))))))), "")</f>
        <v>12.803455297500001</v>
      </c>
      <c r="F24" s="1469">
        <f t="shared" ca="1" si="1"/>
        <v>85.968160553757244</v>
      </c>
      <c r="G24" s="66">
        <f t="shared" si="2"/>
        <v>40.885365878717209</v>
      </c>
      <c r="H24" s="66">
        <f t="shared" ca="1" si="3"/>
        <v>10.306064809841383</v>
      </c>
      <c r="I24" s="66">
        <f t="shared" ca="1" si="4"/>
        <v>13.993201464058714</v>
      </c>
      <c r="J24" s="66">
        <f t="shared" ca="1" si="5"/>
        <v>7.4856700845772153</v>
      </c>
      <c r="K24" s="66">
        <f t="shared" ca="1" si="6"/>
        <v>2.1931363854314405</v>
      </c>
      <c r="L24" s="66">
        <f t="shared" si="7"/>
        <v>7.0110000000000001</v>
      </c>
      <c r="M24" s="68">
        <f t="shared" ca="1" si="8"/>
        <v>4.0937219311312978</v>
      </c>
      <c r="N24" s="69">
        <f>IF('Personalized Bill Menu'!$B$34&lt;&gt;"Natural Gas", 'Personalized Bill Menu'!$J21, "")</f>
        <v>7.7211999999999996</v>
      </c>
      <c r="O24" s="70">
        <f t="shared" si="9"/>
        <v>40.885365878717209</v>
      </c>
      <c r="P24" s="71">
        <f ca="1">IF($A24="", "",IFERROR(IF(VLOOKUP($A24, INDIRECT("'" &amp; 'Personalized Bill Menu'!$B$22 &amp; "'!" &amp;"$A$4:$CA$100"), VLOOKUP(VLOOKUP(P$5,'Misc. Data &amp; Mechanisms'!$E$601:$I$631,HLOOKUP('Personalized Bill Menu'!$B$22, 'Misc. Data &amp; Mechanisms'!$E$599:$I$600, 2, FALSE), FALSE), 'Misc. Data &amp; Mechanisms'!$A$599:$C$659, 2, FALSE), FALSE) = "", "", VLOOKUP($A24, INDIRECT("'" &amp; 'Personalized Bill Menu'!$B$22 &amp; "'!" &amp;"$A$4:$CA$100"), VLOOKUP(VLOOKUP(P$5,'Misc. Data &amp; Mechanisms'!$E$601:$I$631,HLOOKUP('Personalized Bill Menu'!$B$22, 'Misc. Data &amp; Mechanisms'!$E$599:$I$600, 2, FALSE), FALSE), 'Misc. Data &amp; Mechanisms'!$A$599:$C$659, 2, FALSE), FALSE)), ""))</f>
        <v>1.9462999999999999</v>
      </c>
      <c r="Q24" s="72">
        <f t="shared" ca="1" si="10"/>
        <v>10.306064809841383</v>
      </c>
      <c r="R24" s="87">
        <f ca="1">IF($A24="", "",IFERROR(IF(VLOOKUP($A24, INDIRECT("'" &amp; 'Personalized Bill Menu'!$B$22 &amp; "'!" &amp;"$A$4:$CA$100"), VLOOKUP(VLOOKUP(R$5,'Misc. Data &amp; Mechanisms'!$E$601:$I$631,HLOOKUP('Personalized Bill Menu'!$B$22, 'Misc. Data &amp; Mechanisms'!$E$599:$I$600, 2, FALSE), FALSE), 'Misc. Data &amp; Mechanisms'!$A$599:$C$659, 2, FALSE), FALSE) = "", "", VLOOKUP($A24, INDIRECT("'" &amp; 'Personalized Bill Menu'!$B$22 &amp; "'!" &amp;"$A$4:$CA$100"), VLOOKUP(VLOOKUP(R$5,'Misc. Data &amp; Mechanisms'!$E$601:$I$631,HLOOKUP('Personalized Bill Menu'!$B$22, 'Misc. Data &amp; Mechanisms'!$E$599:$I$600, 2, FALSE), FALSE), 'Misc. Data &amp; Mechanisms'!$A$599:$C$659, 2, FALSE), FALSE)), ""))</f>
        <v>0.69679999999999997</v>
      </c>
      <c r="S24" s="88">
        <f ca="1">IF($A24="", "",IFERROR(IF(VLOOKUP($A24, INDIRECT("'" &amp; 'Personalized Bill Menu'!$B$22 &amp; "'!" &amp;"$A$4:$CA$100"), VLOOKUP(VLOOKUP(S$5,'Misc. Data &amp; Mechanisms'!$E$601:$I$631,HLOOKUP('Personalized Bill Menu'!$B$22, 'Misc. Data &amp; Mechanisms'!$E$599:$I$600, 2, FALSE), FALSE), 'Misc. Data &amp; Mechanisms'!$A$599:$C$659, 2, FALSE), FALSE) = "", "", VLOOKUP($A24, INDIRECT("'" &amp; 'Personalized Bill Menu'!$B$22 &amp; "'!" &amp;"$A$4:$CA$100"), VLOOKUP(VLOOKUP(S$5,'Misc. Data &amp; Mechanisms'!$E$601:$I$631,HLOOKUP('Personalized Bill Menu'!$B$22, 'Misc. Data &amp; Mechanisms'!$E$599:$I$600, 2, FALSE), FALSE), 'Misc. Data &amp; Mechanisms'!$A$599:$C$659, 2, FALSE), FALSE)), ""))</f>
        <v>0.34344999999999998</v>
      </c>
      <c r="T24" s="81" t="str">
        <f ca="1">IF($A24="", "",IFERROR(IF(VLOOKUP($A24, INDIRECT("'" &amp; 'Personalized Bill Menu'!$B$22 &amp; "'!" &amp;"$A$4:$CA$100"), VLOOKUP(VLOOKUP(T$5,'Misc. Data &amp; Mechanisms'!$E$601:$I$631,HLOOKUP('Personalized Bill Menu'!$B$22, 'Misc. Data &amp; Mechanisms'!$E$599:$I$600, 2, FALSE), FALSE), 'Misc. Data &amp; Mechanisms'!$A$599:$C$659, 2, FALSE), FALSE) = "", "", VLOOKUP($A24, INDIRECT("'" &amp; 'Personalized Bill Menu'!$B$22 &amp; "'!" &amp;"$A$4:$CA$100"), VLOOKUP(VLOOKUP(T$5,'Misc. Data &amp; Mechanisms'!$E$601:$I$631,HLOOKUP('Personalized Bill Menu'!$B$22, 'Misc. Data &amp; Mechanisms'!$E$599:$I$600, 2, FALSE), FALSE), 'Misc. Data &amp; Mechanisms'!$A$599:$C$659, 2, FALSE), FALSE)), ""))</f>
        <v/>
      </c>
      <c r="U24" s="72">
        <f t="shared" ca="1" si="11"/>
        <v>3.6897014640587145</v>
      </c>
      <c r="V24" s="72">
        <f t="shared" ca="1" si="12"/>
        <v>10.3035</v>
      </c>
      <c r="W24" s="70" t="str">
        <f t="shared" si="13"/>
        <v/>
      </c>
      <c r="X24" s="78">
        <f>IFERROR(IF(VLOOKUP($A24,'Misc. Data &amp; Mechanisms'!$A$63:$DY$152,HLOOKUP('Personalized Bill Menu'!$B$21&amp;"_"&amp;'Personalized Bill Menu'!$B$22&amp;"_Elec_Y_1",'Misc. Data &amp; Mechanisms'!$A$55:$DY$62,8,FALSE), FALSE)="", "", VLOOKUP($A24,'Misc. Data &amp; Mechanisms'!$A$63:$DY$152,HLOOKUP('Personalized Bill Menu'!$B$21&amp;"_"&amp;'Personalized Bill Menu'!$B$22&amp;"_Elec_Y_1",'Misc. Data &amp; Mechanisms'!$A$55:$DY$62,8,FALSE), FALSE)), "")</f>
        <v>0.1111</v>
      </c>
      <c r="Y24" s="78" t="str">
        <f>IFERROR(IF(VLOOKUP($A24,'Misc. Data &amp; Mechanisms'!$A$63:$DY$152,HLOOKUP('Personalized Bill Menu'!$B$21&amp;"_"&amp;'Personalized Bill Menu'!$B$22&amp;"_Elec_Y_2",'Misc. Data &amp; Mechanisms'!$A$55:$DY$62,8,FALSE), FALSE)="", "", VLOOKUP($A24,'Misc. Data &amp; Mechanisms'!$A$63:$DY$152,HLOOKUP('Personalized Bill Menu'!$B$21&amp;"_"&amp;'Personalized Bill Menu'!$B$22&amp;"_Elec_Y_2",'Misc. Data &amp; Mechanisms'!$A$55:$DY$62,8,FALSE), FALSE)), "")</f>
        <v/>
      </c>
      <c r="Z24" s="72">
        <f ca="1">IF($A24="", "",IFERROR(IF(OR('Personalized Bill Menu'!$B$22="FORTIS", 'Personalized Bill Menu'!$B$22="ATCO"), $X24*($H24+$I24), IF('Personalized Bill Menu'!$B$22="ENMAX",$X24*($H24+$I24+$K24),($X24/100)*$C24)), 0))</f>
        <v>2.9433059354517339</v>
      </c>
      <c r="AA24" s="72">
        <f>IF($A24="", "", IFERROR(IF(OR('Personalized Bill Menu'!$B$22="FORTIS", 'Personalized Bill Menu'!$B$22="ATCO"), $Y24*($H24+$I24), IF('Personalized Bill Menu'!$B$22="ENMAX",$X24*$G24,"")), 0))</f>
        <v>4.5423641491254818</v>
      </c>
      <c r="AB24" s="89">
        <f ca="1">IF($A24="", "",IFERROR(IF(VLOOKUP($A24, INDIRECT("'" &amp; 'Personalized Bill Menu'!$B$22 &amp; "'!" &amp;"$A$4:$CA$100"), VLOOKUP(VLOOKUP("RIDER RATE 1",'Misc. Data &amp; Mechanisms'!$E$601:$I$631,HLOOKUP('Personalized Bill Menu'!$B$22, 'Misc. Data &amp; Mechanisms'!$E$599:$I$600, 2, FALSE), FALSE), 'Misc. Data &amp; Mechanisms'!$A$599:$C$659, 2, FALSE), FALSE) = "", "", VLOOKUP($A24, INDIRECT("'" &amp; 'Personalized Bill Menu'!$B$22 &amp; "'!" &amp;"$A$4:$CA$100"), VLOOKUP(VLOOKUP("RIDER RATE 1",'Misc. Data &amp; Mechanisms'!$E$601:$I$631,HLOOKUP('Personalized Bill Menu'!$B$22, 'Misc. Data &amp; Mechanisms'!$E$599:$I$600, 2, FALSE), FALSE), 'Misc. Data &amp; Mechanisms'!$A$599:$C$659, 2, FALSE), FALSE)), ""))</f>
        <v>-0.56559999999999999</v>
      </c>
      <c r="AC24" s="69">
        <f ca="1">IF($A24="", "",IFERROR(IF(VLOOKUP($A24, INDIRECT("'" &amp; 'Personalized Bill Menu'!$B$22 &amp; "'!" &amp;"$A$4:$CA$100"), VLOOKUP(VLOOKUP("RIDER RATE 2",'Misc. Data &amp; Mechanisms'!$E$601:$I$631,HLOOKUP('Personalized Bill Menu'!$B$22, 'Misc. Data &amp; Mechanisms'!$E$599:$I$600, 2, FALSE), FALSE), 'Misc. Data &amp; Mechanisms'!$A$599:$C$659, 2, FALSE), FALSE) = "", "", VLOOKUP($A24, INDIRECT("'" &amp; 'Personalized Bill Menu'!$B$22 &amp; "'!" &amp;"$A$4:$CA$100"), VLOOKUP(VLOOKUP("RIDER RATE 2",'Misc. Data &amp; Mechanisms'!$E$601:$I$631,HLOOKUP('Personalized Bill Menu'!$B$22, 'Misc. Data &amp; Mechanisms'!$E$599:$I$600, 2, FALSE), FALSE), 'Misc. Data &amp; Mechanisms'!$A$599:$C$659, 2, FALSE), FALSE)), ""))</f>
        <v>1.1758</v>
      </c>
      <c r="AD24" s="69" t="str">
        <f ca="1">IF($A24="", "",IFERROR(IF(VLOOKUP($A24, INDIRECT("'" &amp; 'Personalized Bill Menu'!$B$22 &amp; "'!" &amp;"$A$4:$CA$100"), VLOOKUP(VLOOKUP("RIDER RATE 3",'Misc. Data &amp; Mechanisms'!$E$601:$I$631,HLOOKUP('Personalized Bill Menu'!$B$22, 'Misc. Data &amp; Mechanisms'!$E$599:$I$600, 2, FALSE), FALSE), 'Misc. Data &amp; Mechanisms'!$A$599:$C$659, 2, FALSE), FALSE) = "", "", VLOOKUP($A24, INDIRECT("'" &amp; 'Personalized Bill Menu'!$B$22 &amp; "'!" &amp;"$A$4:$CA$100"), VLOOKUP(VLOOKUP("RIDER RATE 3",'Misc. Data &amp; Mechanisms'!$E$601:$I$631,HLOOKUP('Personalized Bill Menu'!$B$22, 'Misc. Data &amp; Mechanisms'!$E$599:$I$600, 2, FALSE), FALSE), 'Misc. Data &amp; Mechanisms'!$A$599:$C$659, 2, FALSE), FALSE)), ""))</f>
        <v/>
      </c>
      <c r="AE24" s="69">
        <f ca="1">IF($A24="", "",IFERROR(IF(VLOOKUP($A24, INDIRECT("'" &amp; 'Personalized Bill Menu'!$B$22 &amp; "'!" &amp;"$A$4:$CA$100"), VLOOKUP(VLOOKUP("RIDER RATE 4",'Misc. Data &amp; Mechanisms'!$E$601:$I$631,HLOOKUP('Personalized Bill Menu'!$B$22, 'Misc. Data &amp; Mechanisms'!$E$599:$I$600, 2, FALSE), FALSE), 'Misc. Data &amp; Mechanisms'!$A$599:$C$659, 2, FALSE), FALSE) = "", "", VLOOKUP($A24, INDIRECT("'" &amp; 'Personalized Bill Menu'!$B$22 &amp; "'!" &amp;"$A$4:$CA$100"), VLOOKUP(VLOOKUP("RIDER RATE 4",'Misc. Data &amp; Mechanisms'!$E$601:$I$631,HLOOKUP('Personalized Bill Menu'!$B$22, 'Misc. Data &amp; Mechanisms'!$E$599:$I$600, 2, FALSE), FALSE), 'Misc. Data &amp; Mechanisms'!$A$599:$C$659, 2, FALSE), FALSE)), ""))</f>
        <v>-3.4599999999999999E-2</v>
      </c>
      <c r="AF24" s="90" t="str">
        <f ca="1">IF($A24="", "",IFERROR(IF(VLOOKUP($A24, INDIRECT("'" &amp; 'Personalized Bill Menu'!$B$22 &amp; "'!" &amp;"$A$4:$CA$100"), VLOOKUP(VLOOKUP("RIDER RATE 5",'Misc. Data &amp; Mechanisms'!$E$601:$I$631,HLOOKUP('Personalized Bill Menu'!$B$22, 'Misc. Data &amp; Mechanisms'!$E$599:$I$600, 2, FALSE), FALSE), 'Misc. Data &amp; Mechanisms'!$A$599:$C$659, 2, FALSE), FALSE) = "", "", VLOOKUP($A24, INDIRECT("'" &amp; 'Personalized Bill Menu'!$B$22 &amp; "'!" &amp;"$A$4:$CA$100"), VLOOKUP(VLOOKUP("RIDER RATE 5",'Misc. Data &amp; Mechanisms'!$E$601:$I$631,HLOOKUP('Personalized Bill Menu'!$B$22, 'Misc. Data &amp; Mechanisms'!$E$599:$I$600, 2, FALSE), FALSE), 'Misc. Data &amp; Mechanisms'!$A$599:$C$659, 2, FALSE), FALSE)), ""))</f>
        <v/>
      </c>
      <c r="AG24" s="90" t="str">
        <f ca="1">IF($A24="", "",IFERROR(IF(VLOOKUP($A24, INDIRECT("'" &amp; 'Personalized Bill Menu'!$B$22 &amp; "'!" &amp;"$A$4:$CA$100"), VLOOKUP(VLOOKUP("RIDER RATE 6",'Misc. Data &amp; Mechanisms'!$E$601:$I$631,HLOOKUP('Personalized Bill Menu'!$B$22, 'Misc. Data &amp; Mechanisms'!$E$599:$I$600, 2, FALSE), FALSE), 'Misc. Data &amp; Mechanisms'!$A$599:$C$659, 2, FALSE), FALSE) = "", "", VLOOKUP($A24, INDIRECT("'" &amp; 'Personalized Bill Menu'!$B$22 &amp; "'!" &amp;"$A$4:$CA$100"), VLOOKUP(VLOOKUP("RIDER RATE 6",'Misc. Data &amp; Mechanisms'!$E$601:$I$631,HLOOKUP('Personalized Bill Menu'!$B$22, 'Misc. Data &amp; Mechanisms'!$E$599:$I$600, 2, FALSE), FALSE), 'Misc. Data &amp; Mechanisms'!$A$599:$C$659, 2, FALSE), FALSE)), ""))</f>
        <v/>
      </c>
      <c r="AH24" s="90" t="str">
        <f ca="1">IF($A24="", "",IFERROR(IF(VLOOKUP($A24, INDIRECT("'" &amp; 'Personalized Bill Menu'!$B$22 &amp; "'!" &amp;"$A$4:$CA$100"), VLOOKUP(VLOOKUP("RIDER RATE 7",'Misc. Data &amp; Mechanisms'!$E$601:$I$631,HLOOKUP('Personalized Bill Menu'!$B$22, 'Misc. Data &amp; Mechanisms'!$E$599:$I$600, 2, FALSE), FALSE), 'Misc. Data &amp; Mechanisms'!$A$599:$C$659, 2, FALSE), FALSE) = "", "", VLOOKUP($A24, INDIRECT("'" &amp; 'Personalized Bill Menu'!$B$22 &amp; "'!" &amp;"$A$4:$CA$100"), VLOOKUP(VLOOKUP("RIDER RATE 7",'Misc. Data &amp; Mechanisms'!$E$601:$I$631,HLOOKUP('Personalized Bill Menu'!$B$22, 'Misc. Data &amp; Mechanisms'!$E$599:$I$600, 2, FALSE), FALSE), 'Misc. Data &amp; Mechanisms'!$A$599:$C$659, 2, FALSE), FALSE)), ""))</f>
        <v/>
      </c>
      <c r="AI24" s="72">
        <f t="shared" ca="1" si="14"/>
        <v>-2.9949700747296339</v>
      </c>
      <c r="AJ24" s="72">
        <f t="shared" ca="1" si="15"/>
        <v>6.2261064601610743</v>
      </c>
      <c r="AK24" s="72">
        <f ca="1">IF($A24="", "", IFERROR(IF($AD$6="%",IF('Personalized Bill Menu'!$B$22="ENMAX", $AD24*$I24, IF(AND($AD24="", 'Personalized Bill Menu'!$B$22="FORTIS"),($AE24/100)*$C24,$AD24*$H24)),($AD24/100)*$C24), 0))</f>
        <v>0</v>
      </c>
      <c r="AL24" s="72">
        <f ca="1">IF($A24="", "", IFERROR(IF('Personalized Bill Menu'!$B$22="ENMAX",$AE24*$B24,IF($AE$6="%",$AE24*($H24+$I24+$J24), IF('Personalized Bill Menu'!$B$22="FORTIS",$AF24*$I24,($AE24/100)*$C24))), 0))</f>
        <v>-1.038</v>
      </c>
      <c r="AM24" s="72" t="str">
        <f>IF($A24="", "", IFERROR(IF('Personalized Bill Menu'!$B$22="EPCOR",($AF24/100)*$C24, IF('Personalized Bill Menu'!$B$22="ATCO",$AF24*1,"")), 0))</f>
        <v/>
      </c>
      <c r="AN24" s="72" t="str">
        <f>IF($A24="", "", IFERROR(IF('Personalized Bill Menu'!$B$22="ATCO",$AG24*$B24,""), 0))</f>
        <v/>
      </c>
      <c r="AO24" s="70" t="str">
        <f>IF($A24="", "", IFERROR(IF('Personalized Bill Menu'!$B$22="ATCO",$AH24*$B24,""), 0))</f>
        <v/>
      </c>
      <c r="AP24" s="81">
        <f>IF('Personalized Bill Menu'!$B$34&lt;&gt;"Natural Gas", 'Personalized Bill Menu'!$K21, "")</f>
        <v>0.23369999999999999</v>
      </c>
      <c r="AQ24" s="72">
        <f t="shared" si="16"/>
        <v>7.0110000000000001</v>
      </c>
      <c r="AR24" s="91">
        <f ca="1">IF($A24="", "",IF(VLOOKUP($A24, INDIRECT("'" &amp; 'Personalized Bill Menu'!$B$22 &amp; "'!" &amp;"$A$4:$CA$100"), VLOOKUP(VLOOKUP(AR$5,'Misc. Data &amp; Mechanisms'!$E$601:$I$631,HLOOKUP('Personalized Bill Menu'!$B$22, 'Misc. Data &amp; Mechanisms'!$E$599:$I$600, 2, FALSE), FALSE), 'Misc. Data &amp; Mechanisms'!$A$599:$C$659, 2, FALSE), FALSE) = "", "", VLOOKUP($A24, INDIRECT("'" &amp; 'Personalized Bill Menu'!$B$22 &amp; "'!" &amp;"$A$4:$CA$100"), VLOOKUP(VLOOKUP(AR$5,'Misc. Data &amp; Mechanisms'!$E$601:$I$631,HLOOKUP('Personalized Bill Menu'!$B$22, 'Misc. Data &amp; Mechanisms'!$E$599:$I$600, 2, FALSE), FALSE), 'Misc. Data &amp; Mechanisms'!$A$599:$C$659, 2, FALSE), FALSE)))</f>
        <v>0.05</v>
      </c>
      <c r="AS24" s="2"/>
      <c r="AT24" s="2"/>
      <c r="AU24" s="2"/>
      <c r="AV24" s="2"/>
      <c r="AW24" s="2"/>
    </row>
    <row r="25" spans="1:49" x14ac:dyDescent="0.35">
      <c r="A25" s="83">
        <f>'Personalized Bill Menu'!$H22</f>
        <v>41456</v>
      </c>
      <c r="B25" s="84">
        <f t="shared" si="0"/>
        <v>31</v>
      </c>
      <c r="C25" s="85">
        <f>IF('Personalized Bill Menu'!$B$34&lt;&gt;"Natural Gas", 'Personalized Bill Menu'!$I22, "")</f>
        <v>542.78935903304478</v>
      </c>
      <c r="D25" s="66">
        <f t="shared" ca="1" si="17"/>
        <v>19.995968899845668</v>
      </c>
      <c r="E25" s="66">
        <f ca="1">IFERROR((1+$AR25)*(IF('Personalized Bill Menu'!$B$22="ENMAX", ((1+IFERROR($X25, 0))*($N25+$P25+$R25+$AB25+$AC25))+((1+IF($X25="", 0,$X25))*(IF($AD25="", 0,$AD25)*$R25)), IF('Personalized Bill Menu'!$B$22="EPCOR", ($N25+$P25+$R25+$X25+SUM($AB25:$AE25)), IF('Personalized Bill Menu'!$B$22="ATCO",($N25+((1+IF($AE25="", 0,$AE25))*(1+$X25+$Y25)*($P25+$R25))+SUM($AB25:$AD25)),IF($AD25="",$N25+((1+$X25+$Y25)*($P25+$R25))+$AB25+$AE25+(IF($AC25="", 0, $AC25)*$P25)+($R25*IF($AF25="", 0, $AF25)),$N25+((1+$X25+$Y25)*($P25+$R25))+$AB25+($AD25*$P25)+(IF($AC25="", 0, $AC25)*$P25)+($R25*IF($AF25="", 0, $AF25))))))), "")</f>
        <v>16.536634631999998</v>
      </c>
      <c r="F25" s="1469">
        <f t="shared" ca="1" si="1"/>
        <v>108.53599142391927</v>
      </c>
      <c r="G25" s="66">
        <f t="shared" si="2"/>
        <v>61.297202315601737</v>
      </c>
      <c r="H25" s="66">
        <f t="shared" ca="1" si="3"/>
        <v>10.564309294860148</v>
      </c>
      <c r="I25" s="66">
        <f t="shared" ca="1" si="4"/>
        <v>14.429106253742255</v>
      </c>
      <c r="J25" s="66">
        <f t="shared" ca="1" si="5"/>
        <v>9.6114259731432448</v>
      </c>
      <c r="K25" s="66">
        <f t="shared" ca="1" si="6"/>
        <v>0.22086704257574574</v>
      </c>
      <c r="L25" s="66">
        <f t="shared" si="7"/>
        <v>7.2446999999999999</v>
      </c>
      <c r="M25" s="68">
        <f t="shared" ca="1" si="8"/>
        <v>5.1683805439961565</v>
      </c>
      <c r="N25" s="69">
        <f>IF('Personalized Bill Menu'!$B$34&lt;&gt;"Natural Gas", 'Personalized Bill Menu'!$J22, "")</f>
        <v>11.292999999999999</v>
      </c>
      <c r="O25" s="70">
        <f t="shared" si="9"/>
        <v>61.297202315601737</v>
      </c>
      <c r="P25" s="71">
        <f ca="1">IF($A25="", "",IFERROR(IF(VLOOKUP($A25, INDIRECT("'" &amp; 'Personalized Bill Menu'!$B$22 &amp; "'!" &amp;"$A$4:$CA$100"), VLOOKUP(VLOOKUP(P$5,'Misc. Data &amp; Mechanisms'!$E$601:$I$631,HLOOKUP('Personalized Bill Menu'!$B$22, 'Misc. Data &amp; Mechanisms'!$E$599:$I$600, 2, FALSE), FALSE), 'Misc. Data &amp; Mechanisms'!$A$599:$C$659, 2, FALSE), FALSE) = "", "", VLOOKUP($A25, INDIRECT("'" &amp; 'Personalized Bill Menu'!$B$22 &amp; "'!" &amp;"$A$4:$CA$100"), VLOOKUP(VLOOKUP(P$5,'Misc. Data &amp; Mechanisms'!$E$601:$I$631,HLOOKUP('Personalized Bill Menu'!$B$22, 'Misc. Data &amp; Mechanisms'!$E$599:$I$600, 2, FALSE), FALSE), 'Misc. Data &amp; Mechanisms'!$A$599:$C$659, 2, FALSE), FALSE)), ""))</f>
        <v>1.9462999999999999</v>
      </c>
      <c r="Q25" s="72">
        <f t="shared" ca="1" si="10"/>
        <v>10.564309294860148</v>
      </c>
      <c r="R25" s="87">
        <f ca="1">IF($A25="", "",IFERROR(IF(VLOOKUP($A25, INDIRECT("'" &amp; 'Personalized Bill Menu'!$B$22 &amp; "'!" &amp;"$A$4:$CA$100"), VLOOKUP(VLOOKUP(R$5,'Misc. Data &amp; Mechanisms'!$E$601:$I$631,HLOOKUP('Personalized Bill Menu'!$B$22, 'Misc. Data &amp; Mechanisms'!$E$599:$I$600, 2, FALSE), FALSE), 'Misc. Data &amp; Mechanisms'!$A$599:$C$659, 2, FALSE), FALSE) = "", "", VLOOKUP($A25, INDIRECT("'" &amp; 'Personalized Bill Menu'!$B$22 &amp; "'!" &amp;"$A$4:$CA$100"), VLOOKUP(VLOOKUP(R$5,'Misc. Data &amp; Mechanisms'!$E$601:$I$631,HLOOKUP('Personalized Bill Menu'!$B$22, 'Misc. Data &amp; Mechanisms'!$E$599:$I$600, 2, FALSE), FALSE), 'Misc. Data &amp; Mechanisms'!$A$599:$C$659, 2, FALSE), FALSE)), ""))</f>
        <v>0.69679999999999997</v>
      </c>
      <c r="S25" s="88">
        <f ca="1">IF($A25="", "",IFERROR(IF(VLOOKUP($A25, INDIRECT("'" &amp; 'Personalized Bill Menu'!$B$22 &amp; "'!" &amp;"$A$4:$CA$100"), VLOOKUP(VLOOKUP(S$5,'Misc. Data &amp; Mechanisms'!$E$601:$I$631,HLOOKUP('Personalized Bill Menu'!$B$22, 'Misc. Data &amp; Mechanisms'!$E$599:$I$600, 2, FALSE), FALSE), 'Misc. Data &amp; Mechanisms'!$A$599:$C$659, 2, FALSE), FALSE) = "", "", VLOOKUP($A25, INDIRECT("'" &amp; 'Personalized Bill Menu'!$B$22 &amp; "'!" &amp;"$A$4:$CA$100"), VLOOKUP(VLOOKUP(S$5,'Misc. Data &amp; Mechanisms'!$E$601:$I$631,HLOOKUP('Personalized Bill Menu'!$B$22, 'Misc. Data &amp; Mechanisms'!$E$599:$I$600, 2, FALSE), FALSE), 'Misc. Data &amp; Mechanisms'!$A$599:$C$659, 2, FALSE), FALSE)), ""))</f>
        <v>0.34344999999999998</v>
      </c>
      <c r="T25" s="81" t="str">
        <f ca="1">IF($A25="", "",IFERROR(IF(VLOOKUP($A25, INDIRECT("'" &amp; 'Personalized Bill Menu'!$B$22 &amp; "'!" &amp;"$A$4:$CA$100"), VLOOKUP(VLOOKUP(T$5,'Misc. Data &amp; Mechanisms'!$E$601:$I$631,HLOOKUP('Personalized Bill Menu'!$B$22, 'Misc. Data &amp; Mechanisms'!$E$599:$I$600, 2, FALSE), FALSE), 'Misc. Data &amp; Mechanisms'!$A$599:$C$659, 2, FALSE), FALSE) = "", "", VLOOKUP($A25, INDIRECT("'" &amp; 'Personalized Bill Menu'!$B$22 &amp; "'!" &amp;"$A$4:$CA$100"), VLOOKUP(VLOOKUP(T$5,'Misc. Data &amp; Mechanisms'!$E$601:$I$631,HLOOKUP('Personalized Bill Menu'!$B$22, 'Misc. Data &amp; Mechanisms'!$E$599:$I$600, 2, FALSE), FALSE), 'Misc. Data &amp; Mechanisms'!$A$599:$C$659, 2, FALSE), FALSE)), ""))</f>
        <v/>
      </c>
      <c r="U25" s="72">
        <f t="shared" ca="1" si="11"/>
        <v>3.7821562537422557</v>
      </c>
      <c r="V25" s="72">
        <f t="shared" ca="1" si="12"/>
        <v>10.646949999999999</v>
      </c>
      <c r="W25" s="70" t="str">
        <f t="shared" si="13"/>
        <v/>
      </c>
      <c r="X25" s="78">
        <f>IFERROR(IF(VLOOKUP($A25,'Misc. Data &amp; Mechanisms'!$A$63:$DY$152,HLOOKUP('Personalized Bill Menu'!$B$21&amp;"_"&amp;'Personalized Bill Menu'!$B$22&amp;"_Elec_Y_1",'Misc. Data &amp; Mechanisms'!$A$55:$DY$62,8,FALSE), FALSE)="", "", VLOOKUP($A25,'Misc. Data &amp; Mechanisms'!$A$63:$DY$152,HLOOKUP('Personalized Bill Menu'!$B$21&amp;"_"&amp;'Personalized Bill Menu'!$B$22&amp;"_Elec_Y_1",'Misc. Data &amp; Mechanisms'!$A$55:$DY$62,8,FALSE), FALSE)), "")</f>
        <v>0.1111</v>
      </c>
      <c r="Y25" s="78" t="str">
        <f>IFERROR(IF(VLOOKUP($A25,'Misc. Data &amp; Mechanisms'!$A$63:$DY$152,HLOOKUP('Personalized Bill Menu'!$B$21&amp;"_"&amp;'Personalized Bill Menu'!$B$22&amp;"_Elec_Y_2",'Misc. Data &amp; Mechanisms'!$A$55:$DY$62,8,FALSE), FALSE)="", "", VLOOKUP($A25,'Misc. Data &amp; Mechanisms'!$A$63:$DY$152,HLOOKUP('Personalized Bill Menu'!$B$21&amp;"_"&amp;'Personalized Bill Menu'!$B$22&amp;"_Elec_Y_2",'Misc. Data &amp; Mechanisms'!$A$55:$DY$62,8,FALSE), FALSE)), "")</f>
        <v/>
      </c>
      <c r="Z25" s="72">
        <f ca="1">IF($A25="", "",IFERROR(IF(OR('Personalized Bill Menu'!$B$22="FORTIS", 'Personalized Bill Menu'!$B$22="ATCO"), $X25*($H25+$I25), IF('Personalized Bill Menu'!$B$22="ENMAX",$X25*($H25+$I25+$K25),($X25/100)*$C25)), 0))</f>
        <v>2.8013067958798921</v>
      </c>
      <c r="AA25" s="72">
        <f>IF($A25="", "", IFERROR(IF(OR('Personalized Bill Menu'!$B$22="FORTIS", 'Personalized Bill Menu'!$B$22="ATCO"), $Y25*($H25+$I25), IF('Personalized Bill Menu'!$B$22="ENMAX",$X25*$G25,"")), 0))</f>
        <v>6.8101191772633536</v>
      </c>
      <c r="AB25" s="89">
        <f ca="1">IF($A25="", "",IFERROR(IF(VLOOKUP($A25, INDIRECT("'" &amp; 'Personalized Bill Menu'!$B$22 &amp; "'!" &amp;"$A$4:$CA$100"), VLOOKUP(VLOOKUP("RIDER RATE 1",'Misc. Data &amp; Mechanisms'!$E$601:$I$631,HLOOKUP('Personalized Bill Menu'!$B$22, 'Misc. Data &amp; Mechanisms'!$E$599:$I$600, 2, FALSE), FALSE), 'Misc. Data &amp; Mechanisms'!$A$599:$C$659, 2, FALSE), FALSE) = "", "", VLOOKUP($A25, INDIRECT("'" &amp; 'Personalized Bill Menu'!$B$22 &amp; "'!" &amp;"$A$4:$CA$100"), VLOOKUP(VLOOKUP("RIDER RATE 1",'Misc. Data &amp; Mechanisms'!$E$601:$I$631,HLOOKUP('Personalized Bill Menu'!$B$22, 'Misc. Data &amp; Mechanisms'!$E$599:$I$600, 2, FALSE), FALSE), 'Misc. Data &amp; Mechanisms'!$A$599:$C$659, 2, FALSE), FALSE)), ""))</f>
        <v>-0.56559999999999999</v>
      </c>
      <c r="AC25" s="69">
        <f ca="1">IF($A25="", "",IFERROR(IF(VLOOKUP($A25, INDIRECT("'" &amp; 'Personalized Bill Menu'!$B$22 &amp; "'!" &amp;"$A$4:$CA$100"), VLOOKUP(VLOOKUP("RIDER RATE 2",'Misc. Data &amp; Mechanisms'!$E$601:$I$631,HLOOKUP('Personalized Bill Menu'!$B$22, 'Misc. Data &amp; Mechanisms'!$E$599:$I$600, 2, FALSE), FALSE), 'Misc. Data &amp; Mechanisms'!$A$599:$C$659, 2, FALSE), FALSE) = "", "", VLOOKUP($A25, INDIRECT("'" &amp; 'Personalized Bill Menu'!$B$22 &amp; "'!" &amp;"$A$4:$CA$100"), VLOOKUP(VLOOKUP("RIDER RATE 2",'Misc. Data &amp; Mechanisms'!$E$601:$I$631,HLOOKUP('Personalized Bill Menu'!$B$22, 'Misc. Data &amp; Mechanisms'!$E$599:$I$600, 2, FALSE), FALSE), 'Misc. Data &amp; Mechanisms'!$A$599:$C$659, 2, FALSE), FALSE)), ""))</f>
        <v>0.80389999999999995</v>
      </c>
      <c r="AD25" s="69" t="str">
        <f ca="1">IF($A25="", "",IFERROR(IF(VLOOKUP($A25, INDIRECT("'" &amp; 'Personalized Bill Menu'!$B$22 &amp; "'!" &amp;"$A$4:$CA$100"), VLOOKUP(VLOOKUP("RIDER RATE 3",'Misc. Data &amp; Mechanisms'!$E$601:$I$631,HLOOKUP('Personalized Bill Menu'!$B$22, 'Misc. Data &amp; Mechanisms'!$E$599:$I$600, 2, FALSE), FALSE), 'Misc. Data &amp; Mechanisms'!$A$599:$C$659, 2, FALSE), FALSE) = "", "", VLOOKUP($A25, INDIRECT("'" &amp; 'Personalized Bill Menu'!$B$22 &amp; "'!" &amp;"$A$4:$CA$100"), VLOOKUP(VLOOKUP("RIDER RATE 3",'Misc. Data &amp; Mechanisms'!$E$601:$I$631,HLOOKUP('Personalized Bill Menu'!$B$22, 'Misc. Data &amp; Mechanisms'!$E$599:$I$600, 2, FALSE), FALSE), 'Misc. Data &amp; Mechanisms'!$A$599:$C$659, 2, FALSE), FALSE)), ""))</f>
        <v/>
      </c>
      <c r="AE25" s="69">
        <f ca="1">IF($A25="", "",IFERROR(IF(VLOOKUP($A25, INDIRECT("'" &amp; 'Personalized Bill Menu'!$B$22 &amp; "'!" &amp;"$A$4:$CA$100"), VLOOKUP(VLOOKUP("RIDER RATE 4",'Misc. Data &amp; Mechanisms'!$E$601:$I$631,HLOOKUP('Personalized Bill Menu'!$B$22, 'Misc. Data &amp; Mechanisms'!$E$599:$I$600, 2, FALSE), FALSE), 'Misc. Data &amp; Mechanisms'!$A$599:$C$659, 2, FALSE), FALSE) = "", "", VLOOKUP($A25, INDIRECT("'" &amp; 'Personalized Bill Menu'!$B$22 &amp; "'!" &amp;"$A$4:$CA$100"), VLOOKUP(VLOOKUP("RIDER RATE 4",'Misc. Data &amp; Mechanisms'!$E$601:$I$631,HLOOKUP('Personalized Bill Menu'!$B$22, 'Misc. Data &amp; Mechanisms'!$E$599:$I$600, 2, FALSE), FALSE), 'Misc. Data &amp; Mechanisms'!$A$599:$C$659, 2, FALSE), FALSE)), ""))</f>
        <v>-3.4599999999999999E-2</v>
      </c>
      <c r="AF25" s="90" t="str">
        <f ca="1">IF($A25="", "",IFERROR(IF(VLOOKUP($A25, INDIRECT("'" &amp; 'Personalized Bill Menu'!$B$22 &amp; "'!" &amp;"$A$4:$CA$100"), VLOOKUP(VLOOKUP("RIDER RATE 5",'Misc. Data &amp; Mechanisms'!$E$601:$I$631,HLOOKUP('Personalized Bill Menu'!$B$22, 'Misc. Data &amp; Mechanisms'!$E$599:$I$600, 2, FALSE), FALSE), 'Misc. Data &amp; Mechanisms'!$A$599:$C$659, 2, FALSE), FALSE) = "", "", VLOOKUP($A25, INDIRECT("'" &amp; 'Personalized Bill Menu'!$B$22 &amp; "'!" &amp;"$A$4:$CA$100"), VLOOKUP(VLOOKUP("RIDER RATE 5",'Misc. Data &amp; Mechanisms'!$E$601:$I$631,HLOOKUP('Personalized Bill Menu'!$B$22, 'Misc. Data &amp; Mechanisms'!$E$599:$I$600, 2, FALSE), FALSE), 'Misc. Data &amp; Mechanisms'!$A$599:$C$659, 2, FALSE), FALSE)), ""))</f>
        <v/>
      </c>
      <c r="AG25" s="90" t="str">
        <f ca="1">IF($A25="", "",IFERROR(IF(VLOOKUP($A25, INDIRECT("'" &amp; 'Personalized Bill Menu'!$B$22 &amp; "'!" &amp;"$A$4:$CA$100"), VLOOKUP(VLOOKUP("RIDER RATE 6",'Misc. Data &amp; Mechanisms'!$E$601:$I$631,HLOOKUP('Personalized Bill Menu'!$B$22, 'Misc. Data &amp; Mechanisms'!$E$599:$I$600, 2, FALSE), FALSE), 'Misc. Data &amp; Mechanisms'!$A$599:$C$659, 2, FALSE), FALSE) = "", "", VLOOKUP($A25, INDIRECT("'" &amp; 'Personalized Bill Menu'!$B$22 &amp; "'!" &amp;"$A$4:$CA$100"), VLOOKUP(VLOOKUP("RIDER RATE 6",'Misc. Data &amp; Mechanisms'!$E$601:$I$631,HLOOKUP('Personalized Bill Menu'!$B$22, 'Misc. Data &amp; Mechanisms'!$E$599:$I$600, 2, FALSE), FALSE), 'Misc. Data &amp; Mechanisms'!$A$599:$C$659, 2, FALSE), FALSE)), ""))</f>
        <v/>
      </c>
      <c r="AH25" s="90" t="str">
        <f ca="1">IF($A25="", "",IFERROR(IF(VLOOKUP($A25, INDIRECT("'" &amp; 'Personalized Bill Menu'!$B$22 &amp; "'!" &amp;"$A$4:$CA$100"), VLOOKUP(VLOOKUP("RIDER RATE 7",'Misc. Data &amp; Mechanisms'!$E$601:$I$631,HLOOKUP('Personalized Bill Menu'!$B$22, 'Misc. Data &amp; Mechanisms'!$E$599:$I$600, 2, FALSE), FALSE), 'Misc. Data &amp; Mechanisms'!$A$599:$C$659, 2, FALSE), FALSE) = "", "", VLOOKUP($A25, INDIRECT("'" &amp; 'Personalized Bill Menu'!$B$22 &amp; "'!" &amp;"$A$4:$CA$100"), VLOOKUP(VLOOKUP("RIDER RATE 7",'Misc. Data &amp; Mechanisms'!$E$601:$I$631,HLOOKUP('Personalized Bill Menu'!$B$22, 'Misc. Data &amp; Mechanisms'!$E$599:$I$600, 2, FALSE), FALSE), 'Misc. Data &amp; Mechanisms'!$A$599:$C$659, 2, FALSE), FALSE)), ""))</f>
        <v/>
      </c>
      <c r="AI25" s="72">
        <f t="shared" ca="1" si="14"/>
        <v>-3.0700166146909011</v>
      </c>
      <c r="AJ25" s="72">
        <f t="shared" ca="1" si="15"/>
        <v>4.3634836572666469</v>
      </c>
      <c r="AK25" s="72">
        <f ca="1">IF($A25="", "", IFERROR(IF($AD$6="%",IF('Personalized Bill Menu'!$B$22="ENMAX", $AD25*$I25, IF(AND($AD25="", 'Personalized Bill Menu'!$B$22="FORTIS"),($AE25/100)*$C25,$AD25*$H25)),($AD25/100)*$C25), 0))</f>
        <v>0</v>
      </c>
      <c r="AL25" s="72">
        <f ca="1">IF($A25="", "", IFERROR(IF('Personalized Bill Menu'!$B$22="ENMAX",$AE25*$B25,IF($AE$6="%",$AE25*($H25+$I25+$J25), IF('Personalized Bill Menu'!$B$22="FORTIS",$AF25*$I25,($AE25/100)*$C25))), 0))</f>
        <v>-1.0726</v>
      </c>
      <c r="AM25" s="72" t="str">
        <f>IF($A25="", "", IFERROR(IF('Personalized Bill Menu'!$B$22="EPCOR",($AF25/100)*$C25, IF('Personalized Bill Menu'!$B$22="ATCO",$AF25*1,"")), 0))</f>
        <v/>
      </c>
      <c r="AN25" s="72" t="str">
        <f>IF($A25="", "", IFERROR(IF('Personalized Bill Menu'!$B$22="ATCO",$AG25*$B25,""), 0))</f>
        <v/>
      </c>
      <c r="AO25" s="70" t="str">
        <f>IF($A25="", "", IFERROR(IF('Personalized Bill Menu'!$B$22="ATCO",$AH25*$B25,""), 0))</f>
        <v/>
      </c>
      <c r="AP25" s="81">
        <f>IF('Personalized Bill Menu'!$B$34&lt;&gt;"Natural Gas", 'Personalized Bill Menu'!$K22, "")</f>
        <v>0.23369999999999999</v>
      </c>
      <c r="AQ25" s="72">
        <f t="shared" si="16"/>
        <v>7.2446999999999999</v>
      </c>
      <c r="AR25" s="91">
        <f ca="1">IF($A25="", "",IF(VLOOKUP($A25, INDIRECT("'" &amp; 'Personalized Bill Menu'!$B$22 &amp; "'!" &amp;"$A$4:$CA$100"), VLOOKUP(VLOOKUP(AR$5,'Misc. Data &amp; Mechanisms'!$E$601:$I$631,HLOOKUP('Personalized Bill Menu'!$B$22, 'Misc. Data &amp; Mechanisms'!$E$599:$I$600, 2, FALSE), FALSE), 'Misc. Data &amp; Mechanisms'!$A$599:$C$659, 2, FALSE), FALSE) = "", "", VLOOKUP($A25, INDIRECT("'" &amp; 'Personalized Bill Menu'!$B$22 &amp; "'!" &amp;"$A$4:$CA$100"), VLOOKUP(VLOOKUP(AR$5,'Misc. Data &amp; Mechanisms'!$E$601:$I$631,HLOOKUP('Personalized Bill Menu'!$B$22, 'Misc. Data &amp; Mechanisms'!$E$599:$I$600, 2, FALSE), FALSE), 'Misc. Data &amp; Mechanisms'!$A$599:$C$659, 2, FALSE), FALSE)))</f>
        <v>0.05</v>
      </c>
      <c r="AS25" s="2"/>
      <c r="AT25" s="2"/>
      <c r="AU25" s="2"/>
      <c r="AV25" s="2"/>
      <c r="AW25" s="2"/>
    </row>
    <row r="26" spans="1:49" x14ac:dyDescent="0.35">
      <c r="A26" s="83">
        <f>'Personalized Bill Menu'!$H23</f>
        <v>41487</v>
      </c>
      <c r="B26" s="84">
        <f t="shared" si="0"/>
        <v>31</v>
      </c>
      <c r="C26" s="85">
        <f>IF('Personalized Bill Menu'!$B$34&lt;&gt;"Natural Gas", 'Personalized Bill Menu'!$I23, "")</f>
        <v>552.5367918507244</v>
      </c>
      <c r="D26" s="66">
        <f t="shared" ca="1" si="17"/>
        <v>19.839276252152018</v>
      </c>
      <c r="E26" s="66">
        <f ca="1">IFERROR((1+$AR26)*(IF('Personalized Bill Menu'!$B$22="ENMAX", ((1+IFERROR($X26, 0))*($N26+$P26+$R26+$AB26+$AC26))+((1+IF($X26="", 0,$X26))*(IF($AD26="", 0,$AD26)*$R26)), IF('Personalized Bill Menu'!$B$22="EPCOR", ($N26+$P26+$R26+$X26+SUM($AB26:$AE26)), IF('Personalized Bill Menu'!$B$22="ATCO",($N26+((1+IF($AE26="", 0,$AE26))*(1+$X26+$Y26)*($P26+$R26))+SUM($AB26:$AD26)),IF($AD26="",$N26+((1+$X26+$Y26)*($P26+$R26))+$AB26+$AE26+(IF($AC26="", 0, $AC26)*$P26)+($R26*IF($AF26="", 0, $AF26)),$N26+((1+$X26+$Y26)*($P26+$R26))+$AB26+($AD26*$P26)+(IF($AC26="", 0, $AC26)*$P26)+($R26*IF($AF26="", 0, $AF26))))))), "")</f>
        <v>16.440968922</v>
      </c>
      <c r="F26" s="1469">
        <f t="shared" ca="1" si="1"/>
        <v>109.6193005300434</v>
      </c>
      <c r="G26" s="66">
        <f t="shared" si="2"/>
        <v>61.944899734384713</v>
      </c>
      <c r="H26" s="66">
        <f t="shared" ca="1" si="3"/>
        <v>10.754023579790648</v>
      </c>
      <c r="I26" s="66">
        <f t="shared" ca="1" si="4"/>
        <v>14.497026365615845</v>
      </c>
      <c r="J26" s="66">
        <f t="shared" ca="1" si="5"/>
        <v>9.7145889833651111</v>
      </c>
      <c r="K26" s="66">
        <f t="shared" ca="1" si="6"/>
        <v>0.24409517498027578</v>
      </c>
      <c r="L26" s="66">
        <f t="shared" si="7"/>
        <v>7.2446999999999999</v>
      </c>
      <c r="M26" s="68">
        <f t="shared" ca="1" si="8"/>
        <v>5.219966691906829</v>
      </c>
      <c r="N26" s="69">
        <f>IF('Personalized Bill Menu'!$B$34&lt;&gt;"Natural Gas", 'Personalized Bill Menu'!$J23, "")</f>
        <v>11.211</v>
      </c>
      <c r="O26" s="70">
        <f t="shared" si="9"/>
        <v>61.944899734384713</v>
      </c>
      <c r="P26" s="71">
        <f ca="1">IF($A26="", "",IFERROR(IF(VLOOKUP($A26, INDIRECT("'" &amp; 'Personalized Bill Menu'!$B$22 &amp; "'!" &amp;"$A$4:$CA$100"), VLOOKUP(VLOOKUP(P$5,'Misc. Data &amp; Mechanisms'!$E$601:$I$631,HLOOKUP('Personalized Bill Menu'!$B$22, 'Misc. Data &amp; Mechanisms'!$E$599:$I$600, 2, FALSE), FALSE), 'Misc. Data &amp; Mechanisms'!$A$599:$C$659, 2, FALSE), FALSE) = "", "", VLOOKUP($A26, INDIRECT("'" &amp; 'Personalized Bill Menu'!$B$22 &amp; "'!" &amp;"$A$4:$CA$100"), VLOOKUP(VLOOKUP(P$5,'Misc. Data &amp; Mechanisms'!$E$601:$I$631,HLOOKUP('Personalized Bill Menu'!$B$22, 'Misc. Data &amp; Mechanisms'!$E$599:$I$600, 2, FALSE), FALSE), 'Misc. Data &amp; Mechanisms'!$A$599:$C$659, 2, FALSE), FALSE)), ""))</f>
        <v>1.9462999999999999</v>
      </c>
      <c r="Q26" s="72">
        <f t="shared" ca="1" si="10"/>
        <v>10.754023579790648</v>
      </c>
      <c r="R26" s="87">
        <f ca="1">IF($A26="", "",IFERROR(IF(VLOOKUP($A26, INDIRECT("'" &amp; 'Personalized Bill Menu'!$B$22 &amp; "'!" &amp;"$A$4:$CA$100"), VLOOKUP(VLOOKUP(R$5,'Misc. Data &amp; Mechanisms'!$E$601:$I$631,HLOOKUP('Personalized Bill Menu'!$B$22, 'Misc. Data &amp; Mechanisms'!$E$599:$I$600, 2, FALSE), FALSE), 'Misc. Data &amp; Mechanisms'!$A$599:$C$659, 2, FALSE), FALSE) = "", "", VLOOKUP($A26, INDIRECT("'" &amp; 'Personalized Bill Menu'!$B$22 &amp; "'!" &amp;"$A$4:$CA$100"), VLOOKUP(VLOOKUP(R$5,'Misc. Data &amp; Mechanisms'!$E$601:$I$631,HLOOKUP('Personalized Bill Menu'!$B$22, 'Misc. Data &amp; Mechanisms'!$E$599:$I$600, 2, FALSE), FALSE), 'Misc. Data &amp; Mechanisms'!$A$599:$C$659, 2, FALSE), FALSE)), ""))</f>
        <v>0.69679999999999997</v>
      </c>
      <c r="S26" s="88">
        <f ca="1">IF($A26="", "",IFERROR(IF(VLOOKUP($A26, INDIRECT("'" &amp; 'Personalized Bill Menu'!$B$22 &amp; "'!" &amp;"$A$4:$CA$100"), VLOOKUP(VLOOKUP(S$5,'Misc. Data &amp; Mechanisms'!$E$601:$I$631,HLOOKUP('Personalized Bill Menu'!$B$22, 'Misc. Data &amp; Mechanisms'!$E$599:$I$600, 2, FALSE), FALSE), 'Misc. Data &amp; Mechanisms'!$A$599:$C$659, 2, FALSE), FALSE) = "", "", VLOOKUP($A26, INDIRECT("'" &amp; 'Personalized Bill Menu'!$B$22 &amp; "'!" &amp;"$A$4:$CA$100"), VLOOKUP(VLOOKUP(S$5,'Misc. Data &amp; Mechanisms'!$E$601:$I$631,HLOOKUP('Personalized Bill Menu'!$B$22, 'Misc. Data &amp; Mechanisms'!$E$599:$I$600, 2, FALSE), FALSE), 'Misc. Data &amp; Mechanisms'!$A$599:$C$659, 2, FALSE), FALSE)), ""))</f>
        <v>0.34344999999999998</v>
      </c>
      <c r="T26" s="81" t="str">
        <f ca="1">IF($A26="", "",IFERROR(IF(VLOOKUP($A26, INDIRECT("'" &amp; 'Personalized Bill Menu'!$B$22 &amp; "'!" &amp;"$A$4:$CA$100"), VLOOKUP(VLOOKUP(T$5,'Misc. Data &amp; Mechanisms'!$E$601:$I$631,HLOOKUP('Personalized Bill Menu'!$B$22, 'Misc. Data &amp; Mechanisms'!$E$599:$I$600, 2, FALSE), FALSE), 'Misc. Data &amp; Mechanisms'!$A$599:$C$659, 2, FALSE), FALSE) = "", "", VLOOKUP($A26, INDIRECT("'" &amp; 'Personalized Bill Menu'!$B$22 &amp; "'!" &amp;"$A$4:$CA$100"), VLOOKUP(VLOOKUP(T$5,'Misc. Data &amp; Mechanisms'!$E$601:$I$631,HLOOKUP('Personalized Bill Menu'!$B$22, 'Misc. Data &amp; Mechanisms'!$E$599:$I$600, 2, FALSE), FALSE), 'Misc. Data &amp; Mechanisms'!$A$599:$C$659, 2, FALSE), FALSE)), ""))</f>
        <v/>
      </c>
      <c r="U26" s="72">
        <f t="shared" ca="1" si="11"/>
        <v>3.8500763656158474</v>
      </c>
      <c r="V26" s="72">
        <f t="shared" ca="1" si="12"/>
        <v>10.646949999999999</v>
      </c>
      <c r="W26" s="70" t="str">
        <f t="shared" si="13"/>
        <v/>
      </c>
      <c r="X26" s="78">
        <f>IFERROR(IF(VLOOKUP($A26,'Misc. Data &amp; Mechanisms'!$A$63:$DY$152,HLOOKUP('Personalized Bill Menu'!$B$21&amp;"_"&amp;'Personalized Bill Menu'!$B$22&amp;"_Elec_Y_1",'Misc. Data &amp; Mechanisms'!$A$55:$DY$62,8,FALSE), FALSE)="", "", VLOOKUP($A26,'Misc. Data &amp; Mechanisms'!$A$63:$DY$152,HLOOKUP('Personalized Bill Menu'!$B$21&amp;"_"&amp;'Personalized Bill Menu'!$B$22&amp;"_Elec_Y_1",'Misc. Data &amp; Mechanisms'!$A$55:$DY$62,8,FALSE), FALSE)), "")</f>
        <v>0.1111</v>
      </c>
      <c r="Y26" s="78" t="str">
        <f>IFERROR(IF(VLOOKUP($A26,'Misc. Data &amp; Mechanisms'!$A$63:$DY$152,HLOOKUP('Personalized Bill Menu'!$B$21&amp;"_"&amp;'Personalized Bill Menu'!$B$22&amp;"_Elec_Y_2",'Misc. Data &amp; Mechanisms'!$A$55:$DY$62,8,FALSE), FALSE)="", "", VLOOKUP($A26,'Misc. Data &amp; Mechanisms'!$A$63:$DY$152,HLOOKUP('Personalized Bill Menu'!$B$21&amp;"_"&amp;'Personalized Bill Menu'!$B$22&amp;"_Elec_Y_2",'Misc. Data &amp; Mechanisms'!$A$55:$DY$62,8,FALSE), FALSE)), "")</f>
        <v/>
      </c>
      <c r="Z26" s="72">
        <f ca="1">IF($A26="", "",IFERROR(IF(OR('Personalized Bill Menu'!$B$22="FORTIS", 'Personalized Bill Menu'!$B$22="ATCO"), $X26*($H26+$I26), IF('Personalized Bill Menu'!$B$22="ENMAX",$X26*($H26+$I26+$K26),($X26/100)*$C26)), 0))</f>
        <v>2.8325106228749704</v>
      </c>
      <c r="AA26" s="72">
        <f>IF($A26="", "", IFERROR(IF(OR('Personalized Bill Menu'!$B$22="FORTIS", 'Personalized Bill Menu'!$B$22="ATCO"), $Y26*($H26+$I26), IF('Personalized Bill Menu'!$B$22="ENMAX",$X26*$G26,"")), 0))</f>
        <v>6.8820783604901417</v>
      </c>
      <c r="AB26" s="89">
        <f ca="1">IF($A26="", "",IFERROR(IF(VLOOKUP($A26, INDIRECT("'" &amp; 'Personalized Bill Menu'!$B$22 &amp; "'!" &amp;"$A$4:$CA$100"), VLOOKUP(VLOOKUP("RIDER RATE 1",'Misc. Data &amp; Mechanisms'!$E$601:$I$631,HLOOKUP('Personalized Bill Menu'!$B$22, 'Misc. Data &amp; Mechanisms'!$E$599:$I$600, 2, FALSE), FALSE), 'Misc. Data &amp; Mechanisms'!$A$599:$C$659, 2, FALSE), FALSE) = "", "", VLOOKUP($A26, INDIRECT("'" &amp; 'Personalized Bill Menu'!$B$22 &amp; "'!" &amp;"$A$4:$CA$100"), VLOOKUP(VLOOKUP("RIDER RATE 1",'Misc. Data &amp; Mechanisms'!$E$601:$I$631,HLOOKUP('Personalized Bill Menu'!$B$22, 'Misc. Data &amp; Mechanisms'!$E$599:$I$600, 2, FALSE), FALSE), 'Misc. Data &amp; Mechanisms'!$A$599:$C$659, 2, FALSE), FALSE)), ""))</f>
        <v>-0.56559999999999999</v>
      </c>
      <c r="AC26" s="69">
        <f ca="1">IF($A26="", "",IFERROR(IF(VLOOKUP($A26, INDIRECT("'" &amp; 'Personalized Bill Menu'!$B$22 &amp; "'!" &amp;"$A$4:$CA$100"), VLOOKUP(VLOOKUP("RIDER RATE 2",'Misc. Data &amp; Mechanisms'!$E$601:$I$631,HLOOKUP('Personalized Bill Menu'!$B$22, 'Misc. Data &amp; Mechanisms'!$E$599:$I$600, 2, FALSE), FALSE), 'Misc. Data &amp; Mechanisms'!$A$599:$C$659, 2, FALSE), FALSE) = "", "", VLOOKUP($A26, INDIRECT("'" &amp; 'Personalized Bill Menu'!$B$22 &amp; "'!" &amp;"$A$4:$CA$100"), VLOOKUP(VLOOKUP("RIDER RATE 2",'Misc. Data &amp; Mechanisms'!$E$601:$I$631,HLOOKUP('Personalized Bill Menu'!$B$22, 'Misc. Data &amp; Mechanisms'!$E$599:$I$600, 2, FALSE), FALSE), 'Misc. Data &amp; Mechanisms'!$A$599:$C$659, 2, FALSE), FALSE)), ""))</f>
        <v>0.80389999999999995</v>
      </c>
      <c r="AD26" s="69" t="str">
        <f ca="1">IF($A26="", "",IFERROR(IF(VLOOKUP($A26, INDIRECT("'" &amp; 'Personalized Bill Menu'!$B$22 &amp; "'!" &amp;"$A$4:$CA$100"), VLOOKUP(VLOOKUP("RIDER RATE 3",'Misc. Data &amp; Mechanisms'!$E$601:$I$631,HLOOKUP('Personalized Bill Menu'!$B$22, 'Misc. Data &amp; Mechanisms'!$E$599:$I$600, 2, FALSE), FALSE), 'Misc. Data &amp; Mechanisms'!$A$599:$C$659, 2, FALSE), FALSE) = "", "", VLOOKUP($A26, INDIRECT("'" &amp; 'Personalized Bill Menu'!$B$22 &amp; "'!" &amp;"$A$4:$CA$100"), VLOOKUP(VLOOKUP("RIDER RATE 3",'Misc. Data &amp; Mechanisms'!$E$601:$I$631,HLOOKUP('Personalized Bill Menu'!$B$22, 'Misc. Data &amp; Mechanisms'!$E$599:$I$600, 2, FALSE), FALSE), 'Misc. Data &amp; Mechanisms'!$A$599:$C$659, 2, FALSE), FALSE)), ""))</f>
        <v/>
      </c>
      <c r="AE26" s="69">
        <f ca="1">IF($A26="", "",IFERROR(IF(VLOOKUP($A26, INDIRECT("'" &amp; 'Personalized Bill Menu'!$B$22 &amp; "'!" &amp;"$A$4:$CA$100"), VLOOKUP(VLOOKUP("RIDER RATE 4",'Misc. Data &amp; Mechanisms'!$E$601:$I$631,HLOOKUP('Personalized Bill Menu'!$B$22, 'Misc. Data &amp; Mechanisms'!$E$599:$I$600, 2, FALSE), FALSE), 'Misc. Data &amp; Mechanisms'!$A$599:$C$659, 2, FALSE), FALSE) = "", "", VLOOKUP($A26, INDIRECT("'" &amp; 'Personalized Bill Menu'!$B$22 &amp; "'!" &amp;"$A$4:$CA$100"), VLOOKUP(VLOOKUP("RIDER RATE 4",'Misc. Data &amp; Mechanisms'!$E$601:$I$631,HLOOKUP('Personalized Bill Menu'!$B$22, 'Misc. Data &amp; Mechanisms'!$E$599:$I$600, 2, FALSE), FALSE), 'Misc. Data &amp; Mechanisms'!$A$599:$C$659, 2, FALSE), FALSE)), ""))</f>
        <v>-3.4599999999999999E-2</v>
      </c>
      <c r="AF26" s="90" t="str">
        <f ca="1">IF($A26="", "",IFERROR(IF(VLOOKUP($A26, INDIRECT("'" &amp; 'Personalized Bill Menu'!$B$22 &amp; "'!" &amp;"$A$4:$CA$100"), VLOOKUP(VLOOKUP("RIDER RATE 5",'Misc. Data &amp; Mechanisms'!$E$601:$I$631,HLOOKUP('Personalized Bill Menu'!$B$22, 'Misc. Data &amp; Mechanisms'!$E$599:$I$600, 2, FALSE), FALSE), 'Misc. Data &amp; Mechanisms'!$A$599:$C$659, 2, FALSE), FALSE) = "", "", VLOOKUP($A26, INDIRECT("'" &amp; 'Personalized Bill Menu'!$B$22 &amp; "'!" &amp;"$A$4:$CA$100"), VLOOKUP(VLOOKUP("RIDER RATE 5",'Misc. Data &amp; Mechanisms'!$E$601:$I$631,HLOOKUP('Personalized Bill Menu'!$B$22, 'Misc. Data &amp; Mechanisms'!$E$599:$I$600, 2, FALSE), FALSE), 'Misc. Data &amp; Mechanisms'!$A$599:$C$659, 2, FALSE), FALSE)), ""))</f>
        <v/>
      </c>
      <c r="AG26" s="90" t="str">
        <f ca="1">IF($A26="", "",IFERROR(IF(VLOOKUP($A26, INDIRECT("'" &amp; 'Personalized Bill Menu'!$B$22 &amp; "'!" &amp;"$A$4:$CA$100"), VLOOKUP(VLOOKUP("RIDER RATE 6",'Misc. Data &amp; Mechanisms'!$E$601:$I$631,HLOOKUP('Personalized Bill Menu'!$B$22, 'Misc. Data &amp; Mechanisms'!$E$599:$I$600, 2, FALSE), FALSE), 'Misc. Data &amp; Mechanisms'!$A$599:$C$659, 2, FALSE), FALSE) = "", "", VLOOKUP($A26, INDIRECT("'" &amp; 'Personalized Bill Menu'!$B$22 &amp; "'!" &amp;"$A$4:$CA$100"), VLOOKUP(VLOOKUP("RIDER RATE 6",'Misc. Data &amp; Mechanisms'!$E$601:$I$631,HLOOKUP('Personalized Bill Menu'!$B$22, 'Misc. Data &amp; Mechanisms'!$E$599:$I$600, 2, FALSE), FALSE), 'Misc. Data &amp; Mechanisms'!$A$599:$C$659, 2, FALSE), FALSE)), ""))</f>
        <v/>
      </c>
      <c r="AH26" s="90" t="str">
        <f ca="1">IF($A26="", "",IFERROR(IF(VLOOKUP($A26, INDIRECT("'" &amp; 'Personalized Bill Menu'!$B$22 &amp; "'!" &amp;"$A$4:$CA$100"), VLOOKUP(VLOOKUP("RIDER RATE 7",'Misc. Data &amp; Mechanisms'!$E$601:$I$631,HLOOKUP('Personalized Bill Menu'!$B$22, 'Misc. Data &amp; Mechanisms'!$E$599:$I$600, 2, FALSE), FALSE), 'Misc. Data &amp; Mechanisms'!$A$599:$C$659, 2, FALSE), FALSE) = "", "", VLOOKUP($A26, INDIRECT("'" &amp; 'Personalized Bill Menu'!$B$22 &amp; "'!" &amp;"$A$4:$CA$100"), VLOOKUP(VLOOKUP("RIDER RATE 7",'Misc. Data &amp; Mechanisms'!$E$601:$I$631,HLOOKUP('Personalized Bill Menu'!$B$22, 'Misc. Data &amp; Mechanisms'!$E$599:$I$600, 2, FALSE), FALSE), 'Misc. Data &amp; Mechanisms'!$A$599:$C$659, 2, FALSE), FALSE)), ""))</f>
        <v/>
      </c>
      <c r="AI26" s="72">
        <f t="shared" ca="1" si="14"/>
        <v>-3.1251480947076971</v>
      </c>
      <c r="AJ26" s="72">
        <f t="shared" ca="1" si="15"/>
        <v>4.4418432696879728</v>
      </c>
      <c r="AK26" s="72">
        <f ca="1">IF($A26="", "", IFERROR(IF($AD$6="%",IF('Personalized Bill Menu'!$B$22="ENMAX", $AD26*$I26, IF(AND($AD26="", 'Personalized Bill Menu'!$B$22="FORTIS"),($AE26/100)*$C26,$AD26*$H26)),($AD26/100)*$C26), 0))</f>
        <v>0</v>
      </c>
      <c r="AL26" s="72">
        <f ca="1">IF($A26="", "", IFERROR(IF('Personalized Bill Menu'!$B$22="ENMAX",$AE26*$B26,IF($AE$6="%",$AE26*($H26+$I26+$J26), IF('Personalized Bill Menu'!$B$22="FORTIS",$AF26*$I26,($AE26/100)*$C26))), 0))</f>
        <v>-1.0726</v>
      </c>
      <c r="AM26" s="72" t="str">
        <f>IF($A26="", "", IFERROR(IF('Personalized Bill Menu'!$B$22="EPCOR",($AF26/100)*$C26, IF('Personalized Bill Menu'!$B$22="ATCO",$AF26*1,"")), 0))</f>
        <v/>
      </c>
      <c r="AN26" s="72" t="str">
        <f>IF($A26="", "", IFERROR(IF('Personalized Bill Menu'!$B$22="ATCO",$AG26*$B26,""), 0))</f>
        <v/>
      </c>
      <c r="AO26" s="70" t="str">
        <f>IF($A26="", "", IFERROR(IF('Personalized Bill Menu'!$B$22="ATCO",$AH26*$B26,""), 0))</f>
        <v/>
      </c>
      <c r="AP26" s="81">
        <f>IF('Personalized Bill Menu'!$B$34&lt;&gt;"Natural Gas", 'Personalized Bill Menu'!$K23, "")</f>
        <v>0.23369999999999999</v>
      </c>
      <c r="AQ26" s="72">
        <f t="shared" si="16"/>
        <v>7.2446999999999999</v>
      </c>
      <c r="AR26" s="91">
        <f ca="1">IF($A26="", "",IF(VLOOKUP($A26, INDIRECT("'" &amp; 'Personalized Bill Menu'!$B$22 &amp; "'!" &amp;"$A$4:$CA$100"), VLOOKUP(VLOOKUP(AR$5,'Misc. Data &amp; Mechanisms'!$E$601:$I$631,HLOOKUP('Personalized Bill Menu'!$B$22, 'Misc. Data &amp; Mechanisms'!$E$599:$I$600, 2, FALSE), FALSE), 'Misc. Data &amp; Mechanisms'!$A$599:$C$659, 2, FALSE), FALSE) = "", "", VLOOKUP($A26, INDIRECT("'" &amp; 'Personalized Bill Menu'!$B$22 &amp; "'!" &amp;"$A$4:$CA$100"), VLOOKUP(VLOOKUP(AR$5,'Misc. Data &amp; Mechanisms'!$E$601:$I$631,HLOOKUP('Personalized Bill Menu'!$B$22, 'Misc. Data &amp; Mechanisms'!$E$599:$I$600, 2, FALSE), FALSE), 'Misc. Data &amp; Mechanisms'!$A$599:$C$659, 2, FALSE), FALSE)))</f>
        <v>0.05</v>
      </c>
      <c r="AS26" s="2"/>
      <c r="AT26" s="2"/>
      <c r="AU26" s="2"/>
      <c r="AV26" s="2"/>
      <c r="AW26" s="2"/>
    </row>
    <row r="27" spans="1:49" x14ac:dyDescent="0.35">
      <c r="A27" s="83">
        <f>'Personalized Bill Menu'!$H24</f>
        <v>41518</v>
      </c>
      <c r="B27" s="84">
        <f t="shared" si="0"/>
        <v>30</v>
      </c>
      <c r="C27" s="85">
        <f>IF('Personalized Bill Menu'!$B$34&lt;&gt;"Natural Gas", 'Personalized Bill Menu'!$I24, "")</f>
        <v>548.43636134944279</v>
      </c>
      <c r="D27" s="66">
        <f t="shared" ca="1" si="17"/>
        <v>19.668218663075749</v>
      </c>
      <c r="E27" s="66">
        <f ca="1">IFERROR((1+$AR27)*(IF('Personalized Bill Menu'!$B$22="ENMAX", ((1+IFERROR($X27, 0))*($N27+$P27+$R27+$AB27+$AC27))+((1+IF($X27="", 0,$X27))*(IF($AD27="", 0,$AD27)*$R27)), IF('Personalized Bill Menu'!$B$22="EPCOR", ($N27+$P27+$R27+$X27+SUM($AB27:$AE27)), IF('Personalized Bill Menu'!$B$22="ATCO",($N27+((1+IF($AE27="", 0,$AE27))*(1+$X27+$Y27)*($P27+$R27))+SUM($AB27:$AD27)),IF($AD27="",$N27+((1+$X27+$Y27)*($P27+$R27))+$AB27+$AE27+(IF($AC27="", 0, $AC27)*$P27)+($R27*IF($AF27="", 0, $AF27)),$N27+((1+$X27+$Y27)*($P27+$R27))+$AB27+($AD27*$P27)+(IF($AC27="", 0, $AC27)*$P27)+($R27*IF($AF27="", 0, $AF27))))))), "")</f>
        <v>16.134138657000001</v>
      </c>
      <c r="F27" s="1469">
        <f t="shared" ca="1" si="1"/>
        <v>107.86766277802467</v>
      </c>
      <c r="G27" s="66">
        <f t="shared" si="2"/>
        <v>60.042812840537003</v>
      </c>
      <c r="H27" s="66">
        <f t="shared" ca="1" si="3"/>
        <v>10.674216900944204</v>
      </c>
      <c r="I27" s="66">
        <f t="shared" ca="1" si="4"/>
        <v>14.125004565882916</v>
      </c>
      <c r="J27" s="66">
        <f t="shared" ca="1" si="5"/>
        <v>9.571149251182689</v>
      </c>
      <c r="K27" s="66">
        <f t="shared" ca="1" si="6"/>
        <v>1.3069238490957216</v>
      </c>
      <c r="L27" s="66">
        <f t="shared" si="7"/>
        <v>7.0110000000000001</v>
      </c>
      <c r="M27" s="68">
        <f t="shared" ca="1" si="8"/>
        <v>5.1365553703821272</v>
      </c>
      <c r="N27" s="69">
        <f>IF('Personalized Bill Menu'!$B$34&lt;&gt;"Natural Gas", 'Personalized Bill Menu'!$J24, "")</f>
        <v>10.948</v>
      </c>
      <c r="O27" s="70">
        <f t="shared" si="9"/>
        <v>60.042812840537003</v>
      </c>
      <c r="P27" s="71">
        <f ca="1">IF($A27="", "",IFERROR(IF(VLOOKUP($A27, INDIRECT("'" &amp; 'Personalized Bill Menu'!$B$22 &amp; "'!" &amp;"$A$4:$CA$100"), VLOOKUP(VLOOKUP(P$5,'Misc. Data &amp; Mechanisms'!$E$601:$I$631,HLOOKUP('Personalized Bill Menu'!$B$22, 'Misc. Data &amp; Mechanisms'!$E$599:$I$600, 2, FALSE), FALSE), 'Misc. Data &amp; Mechanisms'!$A$599:$C$659, 2, FALSE), FALSE) = "", "", VLOOKUP($A27, INDIRECT("'" &amp; 'Personalized Bill Menu'!$B$22 &amp; "'!" &amp;"$A$4:$CA$100"), VLOOKUP(VLOOKUP(P$5,'Misc. Data &amp; Mechanisms'!$E$601:$I$631,HLOOKUP('Personalized Bill Menu'!$B$22, 'Misc. Data &amp; Mechanisms'!$E$599:$I$600, 2, FALSE), FALSE), 'Misc. Data &amp; Mechanisms'!$A$599:$C$659, 2, FALSE), FALSE)), ""))</f>
        <v>1.9462999999999999</v>
      </c>
      <c r="Q27" s="72">
        <f t="shared" ca="1" si="10"/>
        <v>10.674216900944204</v>
      </c>
      <c r="R27" s="87">
        <f ca="1">IF($A27="", "",IFERROR(IF(VLOOKUP($A27, INDIRECT("'" &amp; 'Personalized Bill Menu'!$B$22 &amp; "'!" &amp;"$A$4:$CA$100"), VLOOKUP(VLOOKUP(R$5,'Misc. Data &amp; Mechanisms'!$E$601:$I$631,HLOOKUP('Personalized Bill Menu'!$B$22, 'Misc. Data &amp; Mechanisms'!$E$599:$I$600, 2, FALSE), FALSE), 'Misc. Data &amp; Mechanisms'!$A$599:$C$659, 2, FALSE), FALSE) = "", "", VLOOKUP($A27, INDIRECT("'" &amp; 'Personalized Bill Menu'!$B$22 &amp; "'!" &amp;"$A$4:$CA$100"), VLOOKUP(VLOOKUP(R$5,'Misc. Data &amp; Mechanisms'!$E$601:$I$631,HLOOKUP('Personalized Bill Menu'!$B$22, 'Misc. Data &amp; Mechanisms'!$E$599:$I$600, 2, FALSE), FALSE), 'Misc. Data &amp; Mechanisms'!$A$599:$C$659, 2, FALSE), FALSE)), ""))</f>
        <v>0.69679999999999997</v>
      </c>
      <c r="S27" s="88">
        <f ca="1">IF($A27="", "",IFERROR(IF(VLOOKUP($A27, INDIRECT("'" &amp; 'Personalized Bill Menu'!$B$22 &amp; "'!" &amp;"$A$4:$CA$100"), VLOOKUP(VLOOKUP(S$5,'Misc. Data &amp; Mechanisms'!$E$601:$I$631,HLOOKUP('Personalized Bill Menu'!$B$22, 'Misc. Data &amp; Mechanisms'!$E$599:$I$600, 2, FALSE), FALSE), 'Misc. Data &amp; Mechanisms'!$A$599:$C$659, 2, FALSE), FALSE) = "", "", VLOOKUP($A27, INDIRECT("'" &amp; 'Personalized Bill Menu'!$B$22 &amp; "'!" &amp;"$A$4:$CA$100"), VLOOKUP(VLOOKUP(S$5,'Misc. Data &amp; Mechanisms'!$E$601:$I$631,HLOOKUP('Personalized Bill Menu'!$B$22, 'Misc. Data &amp; Mechanisms'!$E$599:$I$600, 2, FALSE), FALSE), 'Misc. Data &amp; Mechanisms'!$A$599:$C$659, 2, FALSE), FALSE)), ""))</f>
        <v>0.34344999999999998</v>
      </c>
      <c r="T27" s="81" t="str">
        <f ca="1">IF($A27="", "",IFERROR(IF(VLOOKUP($A27, INDIRECT("'" &amp; 'Personalized Bill Menu'!$B$22 &amp; "'!" &amp;"$A$4:$CA$100"), VLOOKUP(VLOOKUP(T$5,'Misc. Data &amp; Mechanisms'!$E$601:$I$631,HLOOKUP('Personalized Bill Menu'!$B$22, 'Misc. Data &amp; Mechanisms'!$E$599:$I$600, 2, FALSE), FALSE), 'Misc. Data &amp; Mechanisms'!$A$599:$C$659, 2, FALSE), FALSE) = "", "", VLOOKUP($A27, INDIRECT("'" &amp; 'Personalized Bill Menu'!$B$22 &amp; "'!" &amp;"$A$4:$CA$100"), VLOOKUP(VLOOKUP(T$5,'Misc. Data &amp; Mechanisms'!$E$601:$I$631,HLOOKUP('Personalized Bill Menu'!$B$22, 'Misc. Data &amp; Mechanisms'!$E$599:$I$600, 2, FALSE), FALSE), 'Misc. Data &amp; Mechanisms'!$A$599:$C$659, 2, FALSE), FALSE)), ""))</f>
        <v/>
      </c>
      <c r="U27" s="72">
        <f t="shared" ca="1" si="11"/>
        <v>3.821504565882917</v>
      </c>
      <c r="V27" s="72">
        <f t="shared" ca="1" si="12"/>
        <v>10.3035</v>
      </c>
      <c r="W27" s="70" t="str">
        <f t="shared" si="13"/>
        <v/>
      </c>
      <c r="X27" s="78">
        <f>IFERROR(IF(VLOOKUP($A27,'Misc. Data &amp; Mechanisms'!$A$63:$DY$152,HLOOKUP('Personalized Bill Menu'!$B$21&amp;"_"&amp;'Personalized Bill Menu'!$B$22&amp;"_Elec_Y_1",'Misc. Data &amp; Mechanisms'!$A$55:$DY$62,8,FALSE), FALSE)="", "", VLOOKUP($A27,'Misc. Data &amp; Mechanisms'!$A$63:$DY$152,HLOOKUP('Personalized Bill Menu'!$B$21&amp;"_"&amp;'Personalized Bill Menu'!$B$22&amp;"_Elec_Y_1",'Misc. Data &amp; Mechanisms'!$A$55:$DY$62,8,FALSE), FALSE)), "")</f>
        <v>0.1111</v>
      </c>
      <c r="Y27" s="78" t="str">
        <f>IFERROR(IF(VLOOKUP($A27,'Misc. Data &amp; Mechanisms'!$A$63:$DY$152,HLOOKUP('Personalized Bill Menu'!$B$21&amp;"_"&amp;'Personalized Bill Menu'!$B$22&amp;"_Elec_Y_2",'Misc. Data &amp; Mechanisms'!$A$55:$DY$62,8,FALSE), FALSE)="", "", VLOOKUP($A27,'Misc. Data &amp; Mechanisms'!$A$63:$DY$152,HLOOKUP('Personalized Bill Menu'!$B$21&amp;"_"&amp;'Personalized Bill Menu'!$B$22&amp;"_Elec_Y_2",'Misc. Data &amp; Mechanisms'!$A$55:$DY$62,8,FALSE), FALSE)), "")</f>
        <v/>
      </c>
      <c r="Z27" s="72">
        <f ca="1">IF($A27="", "",IFERROR(IF(OR('Personalized Bill Menu'!$B$22="FORTIS", 'Personalized Bill Menu'!$B$22="ATCO"), $X27*($H27+$I27), IF('Personalized Bill Menu'!$B$22="ENMAX",$X27*($H27+$I27+$K27),($X27/100)*$C27)), 0))</f>
        <v>2.9003927445990278</v>
      </c>
      <c r="AA27" s="72">
        <f>IF($A27="", "", IFERROR(IF(OR('Personalized Bill Menu'!$B$22="FORTIS", 'Personalized Bill Menu'!$B$22="ATCO"), $Y27*($H27+$I27), IF('Personalized Bill Menu'!$B$22="ENMAX",$X27*$G27,"")), 0))</f>
        <v>6.6707565065836611</v>
      </c>
      <c r="AB27" s="89">
        <f ca="1">IF($A27="", "",IFERROR(IF(VLOOKUP($A27, INDIRECT("'" &amp; 'Personalized Bill Menu'!$B$22 &amp; "'!" &amp;"$A$4:$CA$100"), VLOOKUP(VLOOKUP("RIDER RATE 1",'Misc. Data &amp; Mechanisms'!$E$601:$I$631,HLOOKUP('Personalized Bill Menu'!$B$22, 'Misc. Data &amp; Mechanisms'!$E$599:$I$600, 2, FALSE), FALSE), 'Misc. Data &amp; Mechanisms'!$A$599:$C$659, 2, FALSE), FALSE) = "", "", VLOOKUP($A27, INDIRECT("'" &amp; 'Personalized Bill Menu'!$B$22 &amp; "'!" &amp;"$A$4:$CA$100"), VLOOKUP(VLOOKUP("RIDER RATE 1",'Misc. Data &amp; Mechanisms'!$E$601:$I$631,HLOOKUP('Personalized Bill Menu'!$B$22, 'Misc. Data &amp; Mechanisms'!$E$599:$I$600, 2, FALSE), FALSE), 'Misc. Data &amp; Mechanisms'!$A$599:$C$659, 2, FALSE), FALSE)), ""))</f>
        <v>-0.56559999999999999</v>
      </c>
      <c r="AC27" s="69">
        <f ca="1">IF($A27="", "",IFERROR(IF(VLOOKUP($A27, INDIRECT("'" &amp; 'Personalized Bill Menu'!$B$22 &amp; "'!" &amp;"$A$4:$CA$100"), VLOOKUP(VLOOKUP("RIDER RATE 2",'Misc. Data &amp; Mechanisms'!$E$601:$I$631,HLOOKUP('Personalized Bill Menu'!$B$22, 'Misc. Data &amp; Mechanisms'!$E$599:$I$600, 2, FALSE), FALSE), 'Misc. Data &amp; Mechanisms'!$A$599:$C$659, 2, FALSE), FALSE) = "", "", VLOOKUP($A27, INDIRECT("'" &amp; 'Personalized Bill Menu'!$B$22 &amp; "'!" &amp;"$A$4:$CA$100"), VLOOKUP(VLOOKUP("RIDER RATE 2",'Misc. Data &amp; Mechanisms'!$E$601:$I$631,HLOOKUP('Personalized Bill Menu'!$B$22, 'Misc. Data &amp; Mechanisms'!$E$599:$I$600, 2, FALSE), FALSE), 'Misc. Data &amp; Mechanisms'!$A$599:$C$659, 2, FALSE), FALSE)), ""))</f>
        <v>0.80389999999999995</v>
      </c>
      <c r="AD27" s="69" t="str">
        <f ca="1">IF($A27="", "",IFERROR(IF(VLOOKUP($A27, INDIRECT("'" &amp; 'Personalized Bill Menu'!$B$22 &amp; "'!" &amp;"$A$4:$CA$100"), VLOOKUP(VLOOKUP("RIDER RATE 3",'Misc. Data &amp; Mechanisms'!$E$601:$I$631,HLOOKUP('Personalized Bill Menu'!$B$22, 'Misc. Data &amp; Mechanisms'!$E$599:$I$600, 2, FALSE), FALSE), 'Misc. Data &amp; Mechanisms'!$A$599:$C$659, 2, FALSE), FALSE) = "", "", VLOOKUP($A27, INDIRECT("'" &amp; 'Personalized Bill Menu'!$B$22 &amp; "'!" &amp;"$A$4:$CA$100"), VLOOKUP(VLOOKUP("RIDER RATE 3",'Misc. Data &amp; Mechanisms'!$E$601:$I$631,HLOOKUP('Personalized Bill Menu'!$B$22, 'Misc. Data &amp; Mechanisms'!$E$599:$I$600, 2, FALSE), FALSE), 'Misc. Data &amp; Mechanisms'!$A$599:$C$659, 2, FALSE), FALSE)), ""))</f>
        <v/>
      </c>
      <c r="AE27" s="69" t="str">
        <f ca="1">IF($A27="", "",IFERROR(IF(VLOOKUP($A27, INDIRECT("'" &amp; 'Personalized Bill Menu'!$B$22 &amp; "'!" &amp;"$A$4:$CA$100"), VLOOKUP(VLOOKUP("RIDER RATE 4",'Misc. Data &amp; Mechanisms'!$E$601:$I$631,HLOOKUP('Personalized Bill Menu'!$B$22, 'Misc. Data &amp; Mechanisms'!$E$599:$I$600, 2, FALSE), FALSE), 'Misc. Data &amp; Mechanisms'!$A$599:$C$659, 2, FALSE), FALSE) = "", "", VLOOKUP($A27, INDIRECT("'" &amp; 'Personalized Bill Menu'!$B$22 &amp; "'!" &amp;"$A$4:$CA$100"), VLOOKUP(VLOOKUP("RIDER RATE 4",'Misc. Data &amp; Mechanisms'!$E$601:$I$631,HLOOKUP('Personalized Bill Menu'!$B$22, 'Misc. Data &amp; Mechanisms'!$E$599:$I$600, 2, FALSE), FALSE), 'Misc. Data &amp; Mechanisms'!$A$599:$C$659, 2, FALSE), FALSE)), ""))</f>
        <v/>
      </c>
      <c r="AF27" s="90" t="str">
        <f ca="1">IF($A27="", "",IFERROR(IF(VLOOKUP($A27, INDIRECT("'" &amp; 'Personalized Bill Menu'!$B$22 &amp; "'!" &amp;"$A$4:$CA$100"), VLOOKUP(VLOOKUP("RIDER RATE 5",'Misc. Data &amp; Mechanisms'!$E$601:$I$631,HLOOKUP('Personalized Bill Menu'!$B$22, 'Misc. Data &amp; Mechanisms'!$E$599:$I$600, 2, FALSE), FALSE), 'Misc. Data &amp; Mechanisms'!$A$599:$C$659, 2, FALSE), FALSE) = "", "", VLOOKUP($A27, INDIRECT("'" &amp; 'Personalized Bill Menu'!$B$22 &amp; "'!" &amp;"$A$4:$CA$100"), VLOOKUP(VLOOKUP("RIDER RATE 5",'Misc. Data &amp; Mechanisms'!$E$601:$I$631,HLOOKUP('Personalized Bill Menu'!$B$22, 'Misc. Data &amp; Mechanisms'!$E$599:$I$600, 2, FALSE), FALSE), 'Misc. Data &amp; Mechanisms'!$A$599:$C$659, 2, FALSE), FALSE)), ""))</f>
        <v/>
      </c>
      <c r="AG27" s="90" t="str">
        <f ca="1">IF($A27="", "",IFERROR(IF(VLOOKUP($A27, INDIRECT("'" &amp; 'Personalized Bill Menu'!$B$22 &amp; "'!" &amp;"$A$4:$CA$100"), VLOOKUP(VLOOKUP("RIDER RATE 6",'Misc. Data &amp; Mechanisms'!$E$601:$I$631,HLOOKUP('Personalized Bill Menu'!$B$22, 'Misc. Data &amp; Mechanisms'!$E$599:$I$600, 2, FALSE), FALSE), 'Misc. Data &amp; Mechanisms'!$A$599:$C$659, 2, FALSE), FALSE) = "", "", VLOOKUP($A27, INDIRECT("'" &amp; 'Personalized Bill Menu'!$B$22 &amp; "'!" &amp;"$A$4:$CA$100"), VLOOKUP(VLOOKUP("RIDER RATE 6",'Misc. Data &amp; Mechanisms'!$E$601:$I$631,HLOOKUP('Personalized Bill Menu'!$B$22, 'Misc. Data &amp; Mechanisms'!$E$599:$I$600, 2, FALSE), FALSE), 'Misc. Data &amp; Mechanisms'!$A$599:$C$659, 2, FALSE), FALSE)), ""))</f>
        <v/>
      </c>
      <c r="AH27" s="90" t="str">
        <f ca="1">IF($A27="", "",IFERROR(IF(VLOOKUP($A27, INDIRECT("'" &amp; 'Personalized Bill Menu'!$B$22 &amp; "'!" &amp;"$A$4:$CA$100"), VLOOKUP(VLOOKUP("RIDER RATE 7",'Misc. Data &amp; Mechanisms'!$E$601:$I$631,HLOOKUP('Personalized Bill Menu'!$B$22, 'Misc. Data &amp; Mechanisms'!$E$599:$I$600, 2, FALSE), FALSE), 'Misc. Data &amp; Mechanisms'!$A$599:$C$659, 2, FALSE), FALSE) = "", "", VLOOKUP($A27, INDIRECT("'" &amp; 'Personalized Bill Menu'!$B$22 &amp; "'!" &amp;"$A$4:$CA$100"), VLOOKUP(VLOOKUP("RIDER RATE 7",'Misc. Data &amp; Mechanisms'!$E$601:$I$631,HLOOKUP('Personalized Bill Menu'!$B$22, 'Misc. Data &amp; Mechanisms'!$E$599:$I$600, 2, FALSE), FALSE), 'Misc. Data &amp; Mechanisms'!$A$599:$C$659, 2, FALSE), FALSE)), ""))</f>
        <v/>
      </c>
      <c r="AI27" s="72">
        <f t="shared" ca="1" si="14"/>
        <v>-3.1019560597924483</v>
      </c>
      <c r="AJ27" s="72">
        <f t="shared" ca="1" si="15"/>
        <v>4.4088799088881698</v>
      </c>
      <c r="AK27" s="72">
        <f ca="1">IF($A27="", "", IFERROR(IF($AD$6="%",IF('Personalized Bill Menu'!$B$22="ENMAX", $AD27*$I27, IF(AND($AD27="", 'Personalized Bill Menu'!$B$22="FORTIS"),($AE27/100)*$C27,$AD27*$H27)),($AD27/100)*$C27), 0))</f>
        <v>0</v>
      </c>
      <c r="AL27" s="72">
        <f ca="1">IF($A27="", "", IFERROR(IF('Personalized Bill Menu'!$B$22="ENMAX",$AE27*$B27,IF($AE$6="%",$AE27*($H27+$I27+$J27), IF('Personalized Bill Menu'!$B$22="FORTIS",$AF27*$I27,($AE27/100)*$C27))), 0))</f>
        <v>0</v>
      </c>
      <c r="AM27" s="72" t="str">
        <f>IF($A27="", "", IFERROR(IF('Personalized Bill Menu'!$B$22="EPCOR",($AF27/100)*$C27, IF('Personalized Bill Menu'!$B$22="ATCO",$AF27*1,"")), 0))</f>
        <v/>
      </c>
      <c r="AN27" s="72" t="str">
        <f>IF($A27="", "", IFERROR(IF('Personalized Bill Menu'!$B$22="ATCO",$AG27*$B27,""), 0))</f>
        <v/>
      </c>
      <c r="AO27" s="70" t="str">
        <f>IF($A27="", "", IFERROR(IF('Personalized Bill Menu'!$B$22="ATCO",$AH27*$B27,""), 0))</f>
        <v/>
      </c>
      <c r="AP27" s="81">
        <f>IF('Personalized Bill Menu'!$B$34&lt;&gt;"Natural Gas", 'Personalized Bill Menu'!$K24, "")</f>
        <v>0.23369999999999999</v>
      </c>
      <c r="AQ27" s="72">
        <f t="shared" si="16"/>
        <v>7.0110000000000001</v>
      </c>
      <c r="AR27" s="91">
        <f ca="1">IF($A27="", "",IF(VLOOKUP($A27, INDIRECT("'" &amp; 'Personalized Bill Menu'!$B$22 &amp; "'!" &amp;"$A$4:$CA$100"), VLOOKUP(VLOOKUP(AR$5,'Misc. Data &amp; Mechanisms'!$E$601:$I$631,HLOOKUP('Personalized Bill Menu'!$B$22, 'Misc. Data &amp; Mechanisms'!$E$599:$I$600, 2, FALSE), FALSE), 'Misc. Data &amp; Mechanisms'!$A$599:$C$659, 2, FALSE), FALSE) = "", "", VLOOKUP($A27, INDIRECT("'" &amp; 'Personalized Bill Menu'!$B$22 &amp; "'!" &amp;"$A$4:$CA$100"), VLOOKUP(VLOOKUP(AR$5,'Misc. Data &amp; Mechanisms'!$E$601:$I$631,HLOOKUP('Personalized Bill Menu'!$B$22, 'Misc. Data &amp; Mechanisms'!$E$599:$I$600, 2, FALSE), FALSE), 'Misc. Data &amp; Mechanisms'!$A$599:$C$659, 2, FALSE), FALSE)))</f>
        <v>0.05</v>
      </c>
      <c r="AS27" s="2"/>
      <c r="AT27" s="2"/>
      <c r="AU27" s="2"/>
      <c r="AV27" s="2"/>
      <c r="AW27" s="2"/>
    </row>
    <row r="28" spans="1:49" x14ac:dyDescent="0.35">
      <c r="A28" s="83">
        <f>'Personalized Bill Menu'!$H25</f>
        <v>41548</v>
      </c>
      <c r="B28" s="84">
        <f t="shared" si="0"/>
        <v>31</v>
      </c>
      <c r="C28" s="85">
        <f>IF('Personalized Bill Menu'!$B$34&lt;&gt;"Natural Gas", 'Personalized Bill Menu'!$I25, "")</f>
        <v>603.77371963474275</v>
      </c>
      <c r="D28" s="66">
        <f t="shared" ca="1" si="17"/>
        <v>17.356471511191952</v>
      </c>
      <c r="E28" s="66">
        <f ca="1">IFERROR((1+$AR28)*(IF('Personalized Bill Menu'!$B$22="ENMAX", ((1+IFERROR($X28, 0))*($N28+$P28+$R28+$AB28+$AC28))+((1+IF($X28="", 0,$X28))*(IF($AD28="", 0,$AD28)*$R28)), IF('Personalized Bill Menu'!$B$22="EPCOR", ($N28+$P28+$R28+$X28+SUM($AB28:$AE28)), IF('Personalized Bill Menu'!$B$22="ATCO",($N28+((1+IF($AE28="", 0,$AE28))*(1+$X28+$Y28)*($P28+$R28))+SUM($AB28:$AD28)),IF($AD28="",$N28+((1+$X28+$Y28)*($P28+$R28))+$AB28+$AE28+(IF($AC28="", 0, $AC28)*$P28)+($R28*IF($AF28="", 0, $AF28)),$N28+((1+$X28+$Y28)*($P28+$R28))+$AB28+($AD28*$P28)+(IF($AC28="", 0, $AC28)*$P28)+($R28*IF($AF28="", 0, $AF28))))))), "")</f>
        <v>14.039292939000003</v>
      </c>
      <c r="F28" s="1469">
        <f t="shared" ca="1" si="1"/>
        <v>104.79381364046809</v>
      </c>
      <c r="G28" s="66">
        <f t="shared" si="2"/>
        <v>48.660539160242458</v>
      </c>
      <c r="H28" s="66">
        <f t="shared" ca="1" si="3"/>
        <v>11.751247905250997</v>
      </c>
      <c r="I28" s="66">
        <f t="shared" ca="1" si="4"/>
        <v>14.854045278414887</v>
      </c>
      <c r="J28" s="66">
        <f t="shared" ca="1" si="5"/>
        <v>9.2550601651353706</v>
      </c>
      <c r="K28" s="66">
        <f t="shared" ca="1" si="6"/>
        <v>8.038039529497329</v>
      </c>
      <c r="L28" s="66">
        <f t="shared" si="7"/>
        <v>7.2446999999999999</v>
      </c>
      <c r="M28" s="68">
        <f t="shared" ca="1" si="8"/>
        <v>4.990181601927052</v>
      </c>
      <c r="N28" s="69">
        <f>IF('Personalized Bill Menu'!$B$34&lt;&gt;"Natural Gas", 'Personalized Bill Menu'!$J25, "")</f>
        <v>8.0594000000000001</v>
      </c>
      <c r="O28" s="70">
        <f t="shared" si="9"/>
        <v>48.660539160242458</v>
      </c>
      <c r="P28" s="71">
        <f ca="1">IF($A28="", "",IFERROR(IF(VLOOKUP($A28, INDIRECT("'" &amp; 'Personalized Bill Menu'!$B$22 &amp; "'!" &amp;"$A$4:$CA$100"), VLOOKUP(VLOOKUP(P$5,'Misc. Data &amp; Mechanisms'!$E$601:$I$631,HLOOKUP('Personalized Bill Menu'!$B$22, 'Misc. Data &amp; Mechanisms'!$E$599:$I$600, 2, FALSE), FALSE), 'Misc. Data &amp; Mechanisms'!$A$599:$C$659, 2, FALSE), FALSE) = "", "", VLOOKUP($A28, INDIRECT("'" &amp; 'Personalized Bill Menu'!$B$22 &amp; "'!" &amp;"$A$4:$CA$100"), VLOOKUP(VLOOKUP(P$5,'Misc. Data &amp; Mechanisms'!$E$601:$I$631,HLOOKUP('Personalized Bill Menu'!$B$22, 'Misc. Data &amp; Mechanisms'!$E$599:$I$600, 2, FALSE), FALSE), 'Misc. Data &amp; Mechanisms'!$A$599:$C$659, 2, FALSE), FALSE)), ""))</f>
        <v>1.9462999999999999</v>
      </c>
      <c r="Q28" s="72">
        <f t="shared" ca="1" si="10"/>
        <v>11.751247905250997</v>
      </c>
      <c r="R28" s="87">
        <f ca="1">IF($A28="", "",IFERROR(IF(VLOOKUP($A28, INDIRECT("'" &amp; 'Personalized Bill Menu'!$B$22 &amp; "'!" &amp;"$A$4:$CA$100"), VLOOKUP(VLOOKUP(R$5,'Misc. Data &amp; Mechanisms'!$E$601:$I$631,HLOOKUP('Personalized Bill Menu'!$B$22, 'Misc. Data &amp; Mechanisms'!$E$599:$I$600, 2, FALSE), FALSE), 'Misc. Data &amp; Mechanisms'!$A$599:$C$659, 2, FALSE), FALSE) = "", "", VLOOKUP($A28, INDIRECT("'" &amp; 'Personalized Bill Menu'!$B$22 &amp; "'!" &amp;"$A$4:$CA$100"), VLOOKUP(VLOOKUP(R$5,'Misc. Data &amp; Mechanisms'!$E$601:$I$631,HLOOKUP('Personalized Bill Menu'!$B$22, 'Misc. Data &amp; Mechanisms'!$E$599:$I$600, 2, FALSE), FALSE), 'Misc. Data &amp; Mechanisms'!$A$599:$C$659, 2, FALSE), FALSE)), ""))</f>
        <v>0.69679999999999997</v>
      </c>
      <c r="S28" s="88">
        <f ca="1">IF($A28="", "",IFERROR(IF(VLOOKUP($A28, INDIRECT("'" &amp; 'Personalized Bill Menu'!$B$22 &amp; "'!" &amp;"$A$4:$CA$100"), VLOOKUP(VLOOKUP(S$5,'Misc. Data &amp; Mechanisms'!$E$601:$I$631,HLOOKUP('Personalized Bill Menu'!$B$22, 'Misc. Data &amp; Mechanisms'!$E$599:$I$600, 2, FALSE), FALSE), 'Misc. Data &amp; Mechanisms'!$A$599:$C$659, 2, FALSE), FALSE) = "", "", VLOOKUP($A28, INDIRECT("'" &amp; 'Personalized Bill Menu'!$B$22 &amp; "'!" &amp;"$A$4:$CA$100"), VLOOKUP(VLOOKUP(S$5,'Misc. Data &amp; Mechanisms'!$E$601:$I$631,HLOOKUP('Personalized Bill Menu'!$B$22, 'Misc. Data &amp; Mechanisms'!$E$599:$I$600, 2, FALSE), FALSE), 'Misc. Data &amp; Mechanisms'!$A$599:$C$659, 2, FALSE), FALSE)), ""))</f>
        <v>0.34344999999999998</v>
      </c>
      <c r="T28" s="81" t="str">
        <f ca="1">IF($A28="", "",IFERROR(IF(VLOOKUP($A28, INDIRECT("'" &amp; 'Personalized Bill Menu'!$B$22 &amp; "'!" &amp;"$A$4:$CA$100"), VLOOKUP(VLOOKUP(T$5,'Misc. Data &amp; Mechanisms'!$E$601:$I$631,HLOOKUP('Personalized Bill Menu'!$B$22, 'Misc. Data &amp; Mechanisms'!$E$599:$I$600, 2, FALSE), FALSE), 'Misc. Data &amp; Mechanisms'!$A$599:$C$659, 2, FALSE), FALSE) = "", "", VLOOKUP($A28, INDIRECT("'" &amp; 'Personalized Bill Menu'!$B$22 &amp; "'!" &amp;"$A$4:$CA$100"), VLOOKUP(VLOOKUP(T$5,'Misc. Data &amp; Mechanisms'!$E$601:$I$631,HLOOKUP('Personalized Bill Menu'!$B$22, 'Misc. Data &amp; Mechanisms'!$E$599:$I$600, 2, FALSE), FALSE), 'Misc. Data &amp; Mechanisms'!$A$599:$C$659, 2, FALSE), FALSE)), ""))</f>
        <v/>
      </c>
      <c r="U28" s="72">
        <f t="shared" ca="1" si="11"/>
        <v>4.2070952784148874</v>
      </c>
      <c r="V28" s="72">
        <f t="shared" ca="1" si="12"/>
        <v>10.646949999999999</v>
      </c>
      <c r="W28" s="70" t="str">
        <f t="shared" si="13"/>
        <v/>
      </c>
      <c r="X28" s="78">
        <f>IFERROR(IF(VLOOKUP($A28,'Misc. Data &amp; Mechanisms'!$A$63:$DY$152,HLOOKUP('Personalized Bill Menu'!$B$21&amp;"_"&amp;'Personalized Bill Menu'!$B$22&amp;"_Elec_Y_1",'Misc. Data &amp; Mechanisms'!$A$55:$DY$62,8,FALSE), FALSE)="", "", VLOOKUP($A28,'Misc. Data &amp; Mechanisms'!$A$63:$DY$152,HLOOKUP('Personalized Bill Menu'!$B$21&amp;"_"&amp;'Personalized Bill Menu'!$B$22&amp;"_Elec_Y_1",'Misc. Data &amp; Mechanisms'!$A$55:$DY$62,8,FALSE), FALSE)), "")</f>
        <v>0.1111</v>
      </c>
      <c r="Y28" s="78" t="str">
        <f>IFERROR(IF(VLOOKUP($A28,'Misc. Data &amp; Mechanisms'!$A$63:$DY$152,HLOOKUP('Personalized Bill Menu'!$B$21&amp;"_"&amp;'Personalized Bill Menu'!$B$22&amp;"_Elec_Y_2",'Misc. Data &amp; Mechanisms'!$A$55:$DY$62,8,FALSE), FALSE)="", "", VLOOKUP($A28,'Misc. Data &amp; Mechanisms'!$A$63:$DY$152,HLOOKUP('Personalized Bill Menu'!$B$21&amp;"_"&amp;'Personalized Bill Menu'!$B$22&amp;"_Elec_Y_2",'Misc. Data &amp; Mechanisms'!$A$55:$DY$62,8,FALSE), FALSE)), "")</f>
        <v/>
      </c>
      <c r="Z28" s="72">
        <f ca="1">IF($A28="", "",IFERROR(IF(OR('Personalized Bill Menu'!$B$22="FORTIS", 'Personalized Bill Menu'!$B$22="ATCO"), $X28*($H28+$I28), IF('Personalized Bill Menu'!$B$22="ENMAX",$X28*($H28+$I28+$K28),($X28/100)*$C28)), 0))</f>
        <v>3.8488742644324336</v>
      </c>
      <c r="AA28" s="72">
        <f>IF($A28="", "", IFERROR(IF(OR('Personalized Bill Menu'!$B$22="FORTIS", 'Personalized Bill Menu'!$B$22="ATCO"), $Y28*($H28+$I28), IF('Personalized Bill Menu'!$B$22="ENMAX",$X28*$G28,"")), 0))</f>
        <v>5.4061859007029369</v>
      </c>
      <c r="AB28" s="89">
        <f ca="1">IF($A28="", "",IFERROR(IF(VLOOKUP($A28, INDIRECT("'" &amp; 'Personalized Bill Menu'!$B$22 &amp; "'!" &amp;"$A$4:$CA$100"), VLOOKUP(VLOOKUP("RIDER RATE 1",'Misc. Data &amp; Mechanisms'!$E$601:$I$631,HLOOKUP('Personalized Bill Menu'!$B$22, 'Misc. Data &amp; Mechanisms'!$E$599:$I$600, 2, FALSE), FALSE), 'Misc. Data &amp; Mechanisms'!$A$599:$C$659, 2, FALSE), FALSE) = "", "", VLOOKUP($A28, INDIRECT("'" &amp; 'Personalized Bill Menu'!$B$22 &amp; "'!" &amp;"$A$4:$CA$100"), VLOOKUP(VLOOKUP("RIDER RATE 1",'Misc. Data &amp; Mechanisms'!$E$601:$I$631,HLOOKUP('Personalized Bill Menu'!$B$22, 'Misc. Data &amp; Mechanisms'!$E$599:$I$600, 2, FALSE), FALSE), 'Misc. Data &amp; Mechanisms'!$A$599:$C$659, 2, FALSE), FALSE)), ""))</f>
        <v>-0.56559999999999999</v>
      </c>
      <c r="AC28" s="69">
        <f ca="1">IF($A28="", "",IFERROR(IF(VLOOKUP($A28, INDIRECT("'" &amp; 'Personalized Bill Menu'!$B$22 &amp; "'!" &amp;"$A$4:$CA$100"), VLOOKUP(VLOOKUP("RIDER RATE 2",'Misc. Data &amp; Mechanisms'!$E$601:$I$631,HLOOKUP('Personalized Bill Menu'!$B$22, 'Misc. Data &amp; Mechanisms'!$E$599:$I$600, 2, FALSE), FALSE), 'Misc. Data &amp; Mechanisms'!$A$599:$C$659, 2, FALSE), FALSE) = "", "", VLOOKUP($A28, INDIRECT("'" &amp; 'Personalized Bill Menu'!$B$22 &amp; "'!" &amp;"$A$4:$CA$100"), VLOOKUP(VLOOKUP("RIDER RATE 2",'Misc. Data &amp; Mechanisms'!$E$601:$I$631,HLOOKUP('Personalized Bill Menu'!$B$22, 'Misc. Data &amp; Mechanisms'!$E$599:$I$600, 2, FALSE), FALSE), 'Misc. Data &amp; Mechanisms'!$A$599:$C$659, 2, FALSE), FALSE)), ""))</f>
        <v>1.8969</v>
      </c>
      <c r="AD28" s="69" t="str">
        <f ca="1">IF($A28="", "",IFERROR(IF(VLOOKUP($A28, INDIRECT("'" &amp; 'Personalized Bill Menu'!$B$22 &amp; "'!" &amp;"$A$4:$CA$100"), VLOOKUP(VLOOKUP("RIDER RATE 3",'Misc. Data &amp; Mechanisms'!$E$601:$I$631,HLOOKUP('Personalized Bill Menu'!$B$22, 'Misc. Data &amp; Mechanisms'!$E$599:$I$600, 2, FALSE), FALSE), 'Misc. Data &amp; Mechanisms'!$A$599:$C$659, 2, FALSE), FALSE) = "", "", VLOOKUP($A28, INDIRECT("'" &amp; 'Personalized Bill Menu'!$B$22 &amp; "'!" &amp;"$A$4:$CA$100"), VLOOKUP(VLOOKUP("RIDER RATE 3",'Misc. Data &amp; Mechanisms'!$E$601:$I$631,HLOOKUP('Personalized Bill Menu'!$B$22, 'Misc. Data &amp; Mechanisms'!$E$599:$I$600, 2, FALSE), FALSE), 'Misc. Data &amp; Mechanisms'!$A$599:$C$659, 2, FALSE), FALSE)), ""))</f>
        <v/>
      </c>
      <c r="AE28" s="69" t="str">
        <f ca="1">IF($A28="", "",IFERROR(IF(VLOOKUP($A28, INDIRECT("'" &amp; 'Personalized Bill Menu'!$B$22 &amp; "'!" &amp;"$A$4:$CA$100"), VLOOKUP(VLOOKUP("RIDER RATE 4",'Misc. Data &amp; Mechanisms'!$E$601:$I$631,HLOOKUP('Personalized Bill Menu'!$B$22, 'Misc. Data &amp; Mechanisms'!$E$599:$I$600, 2, FALSE), FALSE), 'Misc. Data &amp; Mechanisms'!$A$599:$C$659, 2, FALSE), FALSE) = "", "", VLOOKUP($A28, INDIRECT("'" &amp; 'Personalized Bill Menu'!$B$22 &amp; "'!" &amp;"$A$4:$CA$100"), VLOOKUP(VLOOKUP("RIDER RATE 4",'Misc. Data &amp; Mechanisms'!$E$601:$I$631,HLOOKUP('Personalized Bill Menu'!$B$22, 'Misc. Data &amp; Mechanisms'!$E$599:$I$600, 2, FALSE), FALSE), 'Misc. Data &amp; Mechanisms'!$A$599:$C$659, 2, FALSE), FALSE)), ""))</f>
        <v/>
      </c>
      <c r="AF28" s="90" t="str">
        <f ca="1">IF($A28="", "",IFERROR(IF(VLOOKUP($A28, INDIRECT("'" &amp; 'Personalized Bill Menu'!$B$22 &amp; "'!" &amp;"$A$4:$CA$100"), VLOOKUP(VLOOKUP("RIDER RATE 5",'Misc. Data &amp; Mechanisms'!$E$601:$I$631,HLOOKUP('Personalized Bill Menu'!$B$22, 'Misc. Data &amp; Mechanisms'!$E$599:$I$600, 2, FALSE), FALSE), 'Misc. Data &amp; Mechanisms'!$A$599:$C$659, 2, FALSE), FALSE) = "", "", VLOOKUP($A28, INDIRECT("'" &amp; 'Personalized Bill Menu'!$B$22 &amp; "'!" &amp;"$A$4:$CA$100"), VLOOKUP(VLOOKUP("RIDER RATE 5",'Misc. Data &amp; Mechanisms'!$E$601:$I$631,HLOOKUP('Personalized Bill Menu'!$B$22, 'Misc. Data &amp; Mechanisms'!$E$599:$I$600, 2, FALSE), FALSE), 'Misc. Data &amp; Mechanisms'!$A$599:$C$659, 2, FALSE), FALSE)), ""))</f>
        <v/>
      </c>
      <c r="AG28" s="90" t="str">
        <f ca="1">IF($A28="", "",IFERROR(IF(VLOOKUP($A28, INDIRECT("'" &amp; 'Personalized Bill Menu'!$B$22 &amp; "'!" &amp;"$A$4:$CA$100"), VLOOKUP(VLOOKUP("RIDER RATE 6",'Misc. Data &amp; Mechanisms'!$E$601:$I$631,HLOOKUP('Personalized Bill Menu'!$B$22, 'Misc. Data &amp; Mechanisms'!$E$599:$I$600, 2, FALSE), FALSE), 'Misc. Data &amp; Mechanisms'!$A$599:$C$659, 2, FALSE), FALSE) = "", "", VLOOKUP($A28, INDIRECT("'" &amp; 'Personalized Bill Menu'!$B$22 &amp; "'!" &amp;"$A$4:$CA$100"), VLOOKUP(VLOOKUP("RIDER RATE 6",'Misc. Data &amp; Mechanisms'!$E$601:$I$631,HLOOKUP('Personalized Bill Menu'!$B$22, 'Misc. Data &amp; Mechanisms'!$E$599:$I$600, 2, FALSE), FALSE), 'Misc. Data &amp; Mechanisms'!$A$599:$C$659, 2, FALSE), FALSE)), ""))</f>
        <v/>
      </c>
      <c r="AH28" s="90" t="str">
        <f ca="1">IF($A28="", "",IFERROR(IF(VLOOKUP($A28, INDIRECT("'" &amp; 'Personalized Bill Menu'!$B$22 &amp; "'!" &amp;"$A$4:$CA$100"), VLOOKUP(VLOOKUP("RIDER RATE 7",'Misc. Data &amp; Mechanisms'!$E$601:$I$631,HLOOKUP('Personalized Bill Menu'!$B$22, 'Misc. Data &amp; Mechanisms'!$E$599:$I$600, 2, FALSE), FALSE), 'Misc. Data &amp; Mechanisms'!$A$599:$C$659, 2, FALSE), FALSE) = "", "", VLOOKUP($A28, INDIRECT("'" &amp; 'Personalized Bill Menu'!$B$22 &amp; "'!" &amp;"$A$4:$CA$100"), VLOOKUP(VLOOKUP("RIDER RATE 7",'Misc. Data &amp; Mechanisms'!$E$601:$I$631,HLOOKUP('Personalized Bill Menu'!$B$22, 'Misc. Data &amp; Mechanisms'!$E$599:$I$600, 2, FALSE), FALSE), 'Misc. Data &amp; Mechanisms'!$A$599:$C$659, 2, FALSE), FALSE)), ""))</f>
        <v/>
      </c>
      <c r="AI28" s="72">
        <f t="shared" ca="1" si="14"/>
        <v>-3.4149441582541047</v>
      </c>
      <c r="AJ28" s="72">
        <f t="shared" ca="1" si="15"/>
        <v>11.452983687751434</v>
      </c>
      <c r="AK28" s="72">
        <f ca="1">IF($A28="", "", IFERROR(IF($AD$6="%",IF('Personalized Bill Menu'!$B$22="ENMAX", $AD28*$I28, IF(AND($AD28="", 'Personalized Bill Menu'!$B$22="FORTIS"),($AE28/100)*$C28,$AD28*$H28)),($AD28/100)*$C28), 0))</f>
        <v>0</v>
      </c>
      <c r="AL28" s="72">
        <f ca="1">IF($A28="", "", IFERROR(IF('Personalized Bill Menu'!$B$22="ENMAX",$AE28*$B28,IF($AE$6="%",$AE28*($H28+$I28+$J28), IF('Personalized Bill Menu'!$B$22="FORTIS",$AF28*$I28,($AE28/100)*$C28))), 0))</f>
        <v>0</v>
      </c>
      <c r="AM28" s="72" t="str">
        <f>IF($A28="", "", IFERROR(IF('Personalized Bill Menu'!$B$22="EPCOR",($AF28/100)*$C28, IF('Personalized Bill Menu'!$B$22="ATCO",$AF28*1,"")), 0))</f>
        <v/>
      </c>
      <c r="AN28" s="72" t="str">
        <f>IF($A28="", "", IFERROR(IF('Personalized Bill Menu'!$B$22="ATCO",$AG28*$B28,""), 0))</f>
        <v/>
      </c>
      <c r="AO28" s="70" t="str">
        <f>IF($A28="", "", IFERROR(IF('Personalized Bill Menu'!$B$22="ATCO",$AH28*$B28,""), 0))</f>
        <v/>
      </c>
      <c r="AP28" s="81">
        <f>IF('Personalized Bill Menu'!$B$34&lt;&gt;"Natural Gas", 'Personalized Bill Menu'!$K25, "")</f>
        <v>0.23369999999999999</v>
      </c>
      <c r="AQ28" s="72">
        <f t="shared" si="16"/>
        <v>7.2446999999999999</v>
      </c>
      <c r="AR28" s="91">
        <f ca="1">IF($A28="", "",IF(VLOOKUP($A28, INDIRECT("'" &amp; 'Personalized Bill Menu'!$B$22 &amp; "'!" &amp;"$A$4:$CA$100"), VLOOKUP(VLOOKUP(AR$5,'Misc. Data &amp; Mechanisms'!$E$601:$I$631,HLOOKUP('Personalized Bill Menu'!$B$22, 'Misc. Data &amp; Mechanisms'!$E$599:$I$600, 2, FALSE), FALSE), 'Misc. Data &amp; Mechanisms'!$A$599:$C$659, 2, FALSE), FALSE) = "", "", VLOOKUP($A28, INDIRECT("'" &amp; 'Personalized Bill Menu'!$B$22 &amp; "'!" &amp;"$A$4:$CA$100"), VLOOKUP(VLOOKUP(AR$5,'Misc. Data &amp; Mechanisms'!$E$601:$I$631,HLOOKUP('Personalized Bill Menu'!$B$22, 'Misc. Data &amp; Mechanisms'!$E$599:$I$600, 2, FALSE), FALSE), 'Misc. Data &amp; Mechanisms'!$A$599:$C$659, 2, FALSE), FALSE)))</f>
        <v>0.05</v>
      </c>
      <c r="AS28" s="2"/>
      <c r="AT28" s="2"/>
      <c r="AU28" s="2"/>
      <c r="AV28" s="2"/>
      <c r="AW28" s="2"/>
    </row>
    <row r="29" spans="1:49" x14ac:dyDescent="0.35">
      <c r="A29" s="83">
        <f>'Personalized Bill Menu'!$H26</f>
        <v>41579</v>
      </c>
      <c r="B29" s="84">
        <f t="shared" si="0"/>
        <v>30</v>
      </c>
      <c r="C29" s="85">
        <f>IF('Personalized Bill Menu'!$B$34&lt;&gt;"Natural Gas", 'Personalized Bill Menu'!$I26, "")</f>
        <v>654.080202180794</v>
      </c>
      <c r="D29" s="66">
        <f t="shared" ca="1" si="17"/>
        <v>16.819750758482481</v>
      </c>
      <c r="E29" s="66">
        <f ca="1">IFERROR((1+$AR29)*(IF('Personalized Bill Menu'!$B$22="ENMAX", ((1+IFERROR($X29, 0))*($N29+$P29+$R29+$AB29+$AC29))+((1+IF($X29="", 0,$X29))*(IF($AD29="", 0,$AD29)*$R29)), IF('Personalized Bill Menu'!$B$22="EPCOR", ($N29+$P29+$R29+$X29+SUM($AB29:$AE29)), IF('Personalized Bill Menu'!$B$22="ATCO",($N29+((1+IF($AE29="", 0,$AE29))*(1+$X29+$Y29)*($P29+$R29))+SUM($AB29:$AD29)),IF($AD29="",$N29+((1+$X29+$Y29)*($P29+$R29))+$AB29+$AE29+(IF($AC29="", 0, $AC29)*$P29)+($R29*IF($AF29="", 0, $AF29)),$N29+((1+$X29+$Y29)*($P29+$R29))+$AB29+($AD29*$P29)+(IF($AC29="", 0, $AC29)*$P29)+($R29*IF($AF29="", 0, $AF29))))))), "")</f>
        <v>13.8564781005</v>
      </c>
      <c r="F29" s="1469">
        <f t="shared" ca="1" si="1"/>
        <v>110.01465976738784</v>
      </c>
      <c r="G29" s="66">
        <f t="shared" si="2"/>
        <v>51.689996137741609</v>
      </c>
      <c r="H29" s="66">
        <f t="shared" ca="1" si="3"/>
        <v>12.730362975044793</v>
      </c>
      <c r="I29" s="66">
        <f t="shared" ca="1" si="4"/>
        <v>14.861130848795771</v>
      </c>
      <c r="J29" s="66">
        <f t="shared" ca="1" si="5"/>
        <v>9.7756067519161967</v>
      </c>
      <c r="K29" s="66">
        <f t="shared" ca="1" si="6"/>
        <v>8.7077697316329115</v>
      </c>
      <c r="L29" s="66">
        <f t="shared" si="7"/>
        <v>7.0110000000000001</v>
      </c>
      <c r="M29" s="68">
        <f t="shared" ca="1" si="8"/>
        <v>5.2387933222565639</v>
      </c>
      <c r="N29" s="69">
        <f>IF('Personalized Bill Menu'!$B$34&lt;&gt;"Natural Gas", 'Personalized Bill Menu'!$J26, "")</f>
        <v>7.9027000000000003</v>
      </c>
      <c r="O29" s="70">
        <f t="shared" si="9"/>
        <v>51.689996137741609</v>
      </c>
      <c r="P29" s="71">
        <f ca="1">IF($A29="", "",IFERROR(IF(VLOOKUP($A29, INDIRECT("'" &amp; 'Personalized Bill Menu'!$B$22 &amp; "'!" &amp;"$A$4:$CA$100"), VLOOKUP(VLOOKUP(P$5,'Misc. Data &amp; Mechanisms'!$E$601:$I$631,HLOOKUP('Personalized Bill Menu'!$B$22, 'Misc. Data &amp; Mechanisms'!$E$599:$I$600, 2, FALSE), FALSE), 'Misc. Data &amp; Mechanisms'!$A$599:$C$659, 2, FALSE), FALSE) = "", "", VLOOKUP($A29, INDIRECT("'" &amp; 'Personalized Bill Menu'!$B$22 &amp; "'!" &amp;"$A$4:$CA$100"), VLOOKUP(VLOOKUP(P$5,'Misc. Data &amp; Mechanisms'!$E$601:$I$631,HLOOKUP('Personalized Bill Menu'!$B$22, 'Misc. Data &amp; Mechanisms'!$E$599:$I$600, 2, FALSE), FALSE), 'Misc. Data &amp; Mechanisms'!$A$599:$C$659, 2, FALSE), FALSE)), ""))</f>
        <v>1.9462999999999999</v>
      </c>
      <c r="Q29" s="72">
        <f t="shared" ca="1" si="10"/>
        <v>12.730362975044793</v>
      </c>
      <c r="R29" s="87">
        <f ca="1">IF($A29="", "",IFERROR(IF(VLOOKUP($A29, INDIRECT("'" &amp; 'Personalized Bill Menu'!$B$22 &amp; "'!" &amp;"$A$4:$CA$100"), VLOOKUP(VLOOKUP(R$5,'Misc. Data &amp; Mechanisms'!$E$601:$I$631,HLOOKUP('Personalized Bill Menu'!$B$22, 'Misc. Data &amp; Mechanisms'!$E$599:$I$600, 2, FALSE), FALSE), 'Misc. Data &amp; Mechanisms'!$A$599:$C$659, 2, FALSE), FALSE) = "", "", VLOOKUP($A29, INDIRECT("'" &amp; 'Personalized Bill Menu'!$B$22 &amp; "'!" &amp;"$A$4:$CA$100"), VLOOKUP(VLOOKUP(R$5,'Misc. Data &amp; Mechanisms'!$E$601:$I$631,HLOOKUP('Personalized Bill Menu'!$B$22, 'Misc. Data &amp; Mechanisms'!$E$599:$I$600, 2, FALSE), FALSE), 'Misc. Data &amp; Mechanisms'!$A$599:$C$659, 2, FALSE), FALSE)), ""))</f>
        <v>0.69679999999999997</v>
      </c>
      <c r="S29" s="88">
        <f ca="1">IF($A29="", "",IFERROR(IF(VLOOKUP($A29, INDIRECT("'" &amp; 'Personalized Bill Menu'!$B$22 &amp; "'!" &amp;"$A$4:$CA$100"), VLOOKUP(VLOOKUP(S$5,'Misc. Data &amp; Mechanisms'!$E$601:$I$631,HLOOKUP('Personalized Bill Menu'!$B$22, 'Misc. Data &amp; Mechanisms'!$E$599:$I$600, 2, FALSE), FALSE), 'Misc. Data &amp; Mechanisms'!$A$599:$C$659, 2, FALSE), FALSE) = "", "", VLOOKUP($A29, INDIRECT("'" &amp; 'Personalized Bill Menu'!$B$22 &amp; "'!" &amp;"$A$4:$CA$100"), VLOOKUP(VLOOKUP(S$5,'Misc. Data &amp; Mechanisms'!$E$601:$I$631,HLOOKUP('Personalized Bill Menu'!$B$22, 'Misc. Data &amp; Mechanisms'!$E$599:$I$600, 2, FALSE), FALSE), 'Misc. Data &amp; Mechanisms'!$A$599:$C$659, 2, FALSE), FALSE)), ""))</f>
        <v>0.34344999999999998</v>
      </c>
      <c r="T29" s="81" t="str">
        <f ca="1">IF($A29="", "",IFERROR(IF(VLOOKUP($A29, INDIRECT("'" &amp; 'Personalized Bill Menu'!$B$22 &amp; "'!" &amp;"$A$4:$CA$100"), VLOOKUP(VLOOKUP(T$5,'Misc. Data &amp; Mechanisms'!$E$601:$I$631,HLOOKUP('Personalized Bill Menu'!$B$22, 'Misc. Data &amp; Mechanisms'!$E$599:$I$600, 2, FALSE), FALSE), 'Misc. Data &amp; Mechanisms'!$A$599:$C$659, 2, FALSE), FALSE) = "", "", VLOOKUP($A29, INDIRECT("'" &amp; 'Personalized Bill Menu'!$B$22 &amp; "'!" &amp;"$A$4:$CA$100"), VLOOKUP(VLOOKUP(T$5,'Misc. Data &amp; Mechanisms'!$E$601:$I$631,HLOOKUP('Personalized Bill Menu'!$B$22, 'Misc. Data &amp; Mechanisms'!$E$599:$I$600, 2, FALSE), FALSE), 'Misc. Data &amp; Mechanisms'!$A$599:$C$659, 2, FALSE), FALSE)), ""))</f>
        <v/>
      </c>
      <c r="U29" s="72">
        <f t="shared" ca="1" si="11"/>
        <v>4.557630848795772</v>
      </c>
      <c r="V29" s="72">
        <f t="shared" ca="1" si="12"/>
        <v>10.3035</v>
      </c>
      <c r="W29" s="70" t="str">
        <f t="shared" si="13"/>
        <v/>
      </c>
      <c r="X29" s="78">
        <f>IFERROR(IF(VLOOKUP($A29,'Misc. Data &amp; Mechanisms'!$A$63:$DY$152,HLOOKUP('Personalized Bill Menu'!$B$21&amp;"_"&amp;'Personalized Bill Menu'!$B$22&amp;"_Elec_Y_1",'Misc. Data &amp; Mechanisms'!$A$55:$DY$62,8,FALSE), FALSE)="", "", VLOOKUP($A29,'Misc. Data &amp; Mechanisms'!$A$63:$DY$152,HLOOKUP('Personalized Bill Menu'!$B$21&amp;"_"&amp;'Personalized Bill Menu'!$B$22&amp;"_Elec_Y_1",'Misc. Data &amp; Mechanisms'!$A$55:$DY$62,8,FALSE), FALSE)), "")</f>
        <v>0.1111</v>
      </c>
      <c r="Y29" s="78" t="str">
        <f>IFERROR(IF(VLOOKUP($A29,'Misc. Data &amp; Mechanisms'!$A$63:$DY$152,HLOOKUP('Personalized Bill Menu'!$B$21&amp;"_"&amp;'Personalized Bill Menu'!$B$22&amp;"_Elec_Y_2",'Misc. Data &amp; Mechanisms'!$A$55:$DY$62,8,FALSE), FALSE)="", "", VLOOKUP($A29,'Misc. Data &amp; Mechanisms'!$A$63:$DY$152,HLOOKUP('Personalized Bill Menu'!$B$21&amp;"_"&amp;'Personalized Bill Menu'!$B$22&amp;"_Elec_Y_2",'Misc. Data &amp; Mechanisms'!$A$55:$DY$62,8,FALSE), FALSE)), "")</f>
        <v/>
      </c>
      <c r="Z29" s="72">
        <f ca="1">IF($A29="", "",IFERROR(IF(OR('Personalized Bill Menu'!$B$22="FORTIS", 'Personalized Bill Menu'!$B$22="ATCO"), $X29*($H29+$I29), IF('Personalized Bill Menu'!$B$22="ENMAX",$X29*($H29+$I29+$K29),($X29/100)*$C29)), 0))</f>
        <v>4.0328481810131027</v>
      </c>
      <c r="AA29" s="72">
        <f>IF($A29="", "", IFERROR(IF(OR('Personalized Bill Menu'!$B$22="FORTIS", 'Personalized Bill Menu'!$B$22="ATCO"), $Y29*($H29+$I29), IF('Personalized Bill Menu'!$B$22="ENMAX",$X29*$G29,"")), 0))</f>
        <v>5.7427585709030931</v>
      </c>
      <c r="AB29" s="89">
        <f ca="1">IF($A29="", "",IFERROR(IF(VLOOKUP($A29, INDIRECT("'" &amp; 'Personalized Bill Menu'!$B$22 &amp; "'!" &amp;"$A$4:$CA$100"), VLOOKUP(VLOOKUP("RIDER RATE 1",'Misc. Data &amp; Mechanisms'!$E$601:$I$631,HLOOKUP('Personalized Bill Menu'!$B$22, 'Misc. Data &amp; Mechanisms'!$E$599:$I$600, 2, FALSE), FALSE), 'Misc. Data &amp; Mechanisms'!$A$599:$C$659, 2, FALSE), FALSE) = "", "", VLOOKUP($A29, INDIRECT("'" &amp; 'Personalized Bill Menu'!$B$22 &amp; "'!" &amp;"$A$4:$CA$100"), VLOOKUP(VLOOKUP("RIDER RATE 1",'Misc. Data &amp; Mechanisms'!$E$601:$I$631,HLOOKUP('Personalized Bill Menu'!$B$22, 'Misc. Data &amp; Mechanisms'!$E$599:$I$600, 2, FALSE), FALSE), 'Misc. Data &amp; Mechanisms'!$A$599:$C$659, 2, FALSE), FALSE)), ""))</f>
        <v>-0.56559999999999999</v>
      </c>
      <c r="AC29" s="69">
        <f ca="1">IF($A29="", "",IFERROR(IF(VLOOKUP($A29, INDIRECT("'" &amp; 'Personalized Bill Menu'!$B$22 &amp; "'!" &amp;"$A$4:$CA$100"), VLOOKUP(VLOOKUP("RIDER RATE 2",'Misc. Data &amp; Mechanisms'!$E$601:$I$631,HLOOKUP('Personalized Bill Menu'!$B$22, 'Misc. Data &amp; Mechanisms'!$E$599:$I$600, 2, FALSE), FALSE), 'Misc. Data &amp; Mechanisms'!$A$599:$C$659, 2, FALSE), FALSE) = "", "", VLOOKUP($A29, INDIRECT("'" &amp; 'Personalized Bill Menu'!$B$22 &amp; "'!" &amp;"$A$4:$CA$100"), VLOOKUP(VLOOKUP("RIDER RATE 2",'Misc. Data &amp; Mechanisms'!$E$601:$I$631,HLOOKUP('Personalized Bill Menu'!$B$22, 'Misc. Data &amp; Mechanisms'!$E$599:$I$600, 2, FALSE), FALSE), 'Misc. Data &amp; Mechanisms'!$A$599:$C$659, 2, FALSE), FALSE)), ""))</f>
        <v>1.8969</v>
      </c>
      <c r="AD29" s="69" t="str">
        <f ca="1">IF($A29="", "",IFERROR(IF(VLOOKUP($A29, INDIRECT("'" &amp; 'Personalized Bill Menu'!$B$22 &amp; "'!" &amp;"$A$4:$CA$100"), VLOOKUP(VLOOKUP("RIDER RATE 3",'Misc. Data &amp; Mechanisms'!$E$601:$I$631,HLOOKUP('Personalized Bill Menu'!$B$22, 'Misc. Data &amp; Mechanisms'!$E$599:$I$600, 2, FALSE), FALSE), 'Misc. Data &amp; Mechanisms'!$A$599:$C$659, 2, FALSE), FALSE) = "", "", VLOOKUP($A29, INDIRECT("'" &amp; 'Personalized Bill Menu'!$B$22 &amp; "'!" &amp;"$A$4:$CA$100"), VLOOKUP(VLOOKUP("RIDER RATE 3",'Misc. Data &amp; Mechanisms'!$E$601:$I$631,HLOOKUP('Personalized Bill Menu'!$B$22, 'Misc. Data &amp; Mechanisms'!$E$599:$I$600, 2, FALSE), FALSE), 'Misc. Data &amp; Mechanisms'!$A$599:$C$659, 2, FALSE), FALSE)), ""))</f>
        <v/>
      </c>
      <c r="AE29" s="69" t="str">
        <f ca="1">IF($A29="", "",IFERROR(IF(VLOOKUP($A29, INDIRECT("'" &amp; 'Personalized Bill Menu'!$B$22 &amp; "'!" &amp;"$A$4:$CA$100"), VLOOKUP(VLOOKUP("RIDER RATE 4",'Misc. Data &amp; Mechanisms'!$E$601:$I$631,HLOOKUP('Personalized Bill Menu'!$B$22, 'Misc. Data &amp; Mechanisms'!$E$599:$I$600, 2, FALSE), FALSE), 'Misc. Data &amp; Mechanisms'!$A$599:$C$659, 2, FALSE), FALSE) = "", "", VLOOKUP($A29, INDIRECT("'" &amp; 'Personalized Bill Menu'!$B$22 &amp; "'!" &amp;"$A$4:$CA$100"), VLOOKUP(VLOOKUP("RIDER RATE 4",'Misc. Data &amp; Mechanisms'!$E$601:$I$631,HLOOKUP('Personalized Bill Menu'!$B$22, 'Misc. Data &amp; Mechanisms'!$E$599:$I$600, 2, FALSE), FALSE), 'Misc. Data &amp; Mechanisms'!$A$599:$C$659, 2, FALSE), FALSE)), ""))</f>
        <v/>
      </c>
      <c r="AF29" s="90" t="str">
        <f ca="1">IF($A29="", "",IFERROR(IF(VLOOKUP($A29, INDIRECT("'" &amp; 'Personalized Bill Menu'!$B$22 &amp; "'!" &amp;"$A$4:$CA$100"), VLOOKUP(VLOOKUP("RIDER RATE 5",'Misc. Data &amp; Mechanisms'!$E$601:$I$631,HLOOKUP('Personalized Bill Menu'!$B$22, 'Misc. Data &amp; Mechanisms'!$E$599:$I$600, 2, FALSE), FALSE), 'Misc. Data &amp; Mechanisms'!$A$599:$C$659, 2, FALSE), FALSE) = "", "", VLOOKUP($A29, INDIRECT("'" &amp; 'Personalized Bill Menu'!$B$22 &amp; "'!" &amp;"$A$4:$CA$100"), VLOOKUP(VLOOKUP("RIDER RATE 5",'Misc. Data &amp; Mechanisms'!$E$601:$I$631,HLOOKUP('Personalized Bill Menu'!$B$22, 'Misc. Data &amp; Mechanisms'!$E$599:$I$600, 2, FALSE), FALSE), 'Misc. Data &amp; Mechanisms'!$A$599:$C$659, 2, FALSE), FALSE)), ""))</f>
        <v/>
      </c>
      <c r="AG29" s="90" t="str">
        <f ca="1">IF($A29="", "",IFERROR(IF(VLOOKUP($A29, INDIRECT("'" &amp; 'Personalized Bill Menu'!$B$22 &amp; "'!" &amp;"$A$4:$CA$100"), VLOOKUP(VLOOKUP("RIDER RATE 6",'Misc. Data &amp; Mechanisms'!$E$601:$I$631,HLOOKUP('Personalized Bill Menu'!$B$22, 'Misc. Data &amp; Mechanisms'!$E$599:$I$600, 2, FALSE), FALSE), 'Misc. Data &amp; Mechanisms'!$A$599:$C$659, 2, FALSE), FALSE) = "", "", VLOOKUP($A29, INDIRECT("'" &amp; 'Personalized Bill Menu'!$B$22 &amp; "'!" &amp;"$A$4:$CA$100"), VLOOKUP(VLOOKUP("RIDER RATE 6",'Misc. Data &amp; Mechanisms'!$E$601:$I$631,HLOOKUP('Personalized Bill Menu'!$B$22, 'Misc. Data &amp; Mechanisms'!$E$599:$I$600, 2, FALSE), FALSE), 'Misc. Data &amp; Mechanisms'!$A$599:$C$659, 2, FALSE), FALSE)), ""))</f>
        <v/>
      </c>
      <c r="AH29" s="90" t="str">
        <f ca="1">IF($A29="", "",IFERROR(IF(VLOOKUP($A29, INDIRECT("'" &amp; 'Personalized Bill Menu'!$B$22 &amp; "'!" &amp;"$A$4:$CA$100"), VLOOKUP(VLOOKUP("RIDER RATE 7",'Misc. Data &amp; Mechanisms'!$E$601:$I$631,HLOOKUP('Personalized Bill Menu'!$B$22, 'Misc. Data &amp; Mechanisms'!$E$599:$I$600, 2, FALSE), FALSE), 'Misc. Data &amp; Mechanisms'!$A$599:$C$659, 2, FALSE), FALSE) = "", "", VLOOKUP($A29, INDIRECT("'" &amp; 'Personalized Bill Menu'!$B$22 &amp; "'!" &amp;"$A$4:$CA$100"), VLOOKUP(VLOOKUP("RIDER RATE 7",'Misc. Data &amp; Mechanisms'!$E$601:$I$631,HLOOKUP('Personalized Bill Menu'!$B$22, 'Misc. Data &amp; Mechanisms'!$E$599:$I$600, 2, FALSE), FALSE), 'Misc. Data &amp; Mechanisms'!$A$599:$C$659, 2, FALSE), FALSE)), ""))</f>
        <v/>
      </c>
      <c r="AI29" s="72">
        <f t="shared" ca="1" si="14"/>
        <v>-3.6994776235345705</v>
      </c>
      <c r="AJ29" s="72">
        <f t="shared" ca="1" si="15"/>
        <v>12.407247355167481</v>
      </c>
      <c r="AK29" s="72">
        <f ca="1">IF($A29="", "", IFERROR(IF($AD$6="%",IF('Personalized Bill Menu'!$B$22="ENMAX", $AD29*$I29, IF(AND($AD29="", 'Personalized Bill Menu'!$B$22="FORTIS"),($AE29/100)*$C29,$AD29*$H29)),($AD29/100)*$C29), 0))</f>
        <v>0</v>
      </c>
      <c r="AL29" s="72">
        <f ca="1">IF($A29="", "", IFERROR(IF('Personalized Bill Menu'!$B$22="ENMAX",$AE29*$B29,IF($AE$6="%",$AE29*($H29+$I29+$J29), IF('Personalized Bill Menu'!$B$22="FORTIS",$AF29*$I29,($AE29/100)*$C29))), 0))</f>
        <v>0</v>
      </c>
      <c r="AM29" s="72" t="str">
        <f>IF($A29="", "", IFERROR(IF('Personalized Bill Menu'!$B$22="EPCOR",($AF29/100)*$C29, IF('Personalized Bill Menu'!$B$22="ATCO",$AF29*1,"")), 0))</f>
        <v/>
      </c>
      <c r="AN29" s="72" t="str">
        <f>IF($A29="", "", IFERROR(IF('Personalized Bill Menu'!$B$22="ATCO",$AG29*$B29,""), 0))</f>
        <v/>
      </c>
      <c r="AO29" s="70" t="str">
        <f>IF($A29="", "", IFERROR(IF('Personalized Bill Menu'!$B$22="ATCO",$AH29*$B29,""), 0))</f>
        <v/>
      </c>
      <c r="AP29" s="81">
        <f>IF('Personalized Bill Menu'!$B$34&lt;&gt;"Natural Gas", 'Personalized Bill Menu'!$K26, "")</f>
        <v>0.23369999999999999</v>
      </c>
      <c r="AQ29" s="72">
        <f t="shared" si="16"/>
        <v>7.0110000000000001</v>
      </c>
      <c r="AR29" s="91">
        <f ca="1">IF($A29="", "",IF(VLOOKUP($A29, INDIRECT("'" &amp; 'Personalized Bill Menu'!$B$22 &amp; "'!" &amp;"$A$4:$CA$100"), VLOOKUP(VLOOKUP(AR$5,'Misc. Data &amp; Mechanisms'!$E$601:$I$631,HLOOKUP('Personalized Bill Menu'!$B$22, 'Misc. Data &amp; Mechanisms'!$E$599:$I$600, 2, FALSE), FALSE), 'Misc. Data &amp; Mechanisms'!$A$599:$C$659, 2, FALSE), FALSE) = "", "", VLOOKUP($A29, INDIRECT("'" &amp; 'Personalized Bill Menu'!$B$22 &amp; "'!" &amp;"$A$4:$CA$100"), VLOOKUP(VLOOKUP(AR$5,'Misc. Data &amp; Mechanisms'!$E$601:$I$631,HLOOKUP('Personalized Bill Menu'!$B$22, 'Misc. Data &amp; Mechanisms'!$E$599:$I$600, 2, FALSE), FALSE), 'Misc. Data &amp; Mechanisms'!$A$599:$C$659, 2, FALSE), FALSE)))</f>
        <v>0.05</v>
      </c>
      <c r="AS29" s="2"/>
      <c r="AT29" s="2"/>
      <c r="AU29" s="2"/>
      <c r="AV29" s="2"/>
      <c r="AW29" s="2"/>
    </row>
    <row r="30" spans="1:49" x14ac:dyDescent="0.35">
      <c r="A30" s="83">
        <f>'Personalized Bill Menu'!$H27</f>
        <v>41609</v>
      </c>
      <c r="B30" s="84">
        <f t="shared" si="0"/>
        <v>31</v>
      </c>
      <c r="C30" s="85">
        <f>IF('Personalized Bill Menu'!$B$34&lt;&gt;"Natural Gas", 'Personalized Bill Menu'!$I27, "")</f>
        <v>767.71589655293087</v>
      </c>
      <c r="D30" s="66">
        <f t="shared" ca="1" si="17"/>
        <v>16.313856720645195</v>
      </c>
      <c r="E30" s="66">
        <f ca="1">IFERROR((1+$AR30)*(IF('Personalized Bill Menu'!$B$22="ENMAX", ((1+IFERROR($X30, 0))*($N30+$P30+$R30+$AB30+$AC30))+((1+IF($X30="", 0,$X30))*(IF($AD30="", 0,$AD30)*$R30)), IF('Personalized Bill Menu'!$B$22="EPCOR", ($N30+$P30+$R30+$X30+SUM($AB30:$AE30)), IF('Personalized Bill Menu'!$B$22="ATCO",($N30+((1+IF($AE30="", 0,$AE30))*(1+$X30+$Y30)*($P30+$R30))+SUM($AB30:$AD30)),IF($AD30="",$N30+((1+$X30+$Y30)*($P30+$R30))+$AB30+$AE30+(IF($AC30="", 0, $AC30)*$P30)+($R30*IF($AF30="", 0, $AF30)),$N30+((1+$X30+$Y30)*($P30+$R30))+$AB30+($AD30*$P30)+(IF($AC30="", 0, $AC30)*$P30)+($R30*IF($AF30="", 0, $AF30))))))), "")</f>
        <v>13.7050462815</v>
      </c>
      <c r="F30" s="1469">
        <f t="shared" ca="1" si="1"/>
        <v>125.24407138526182</v>
      </c>
      <c r="G30" s="66">
        <f t="shared" si="2"/>
        <v>58.189794095125947</v>
      </c>
      <c r="H30" s="66">
        <f t="shared" ca="1" si="3"/>
        <v>14.942054494609692</v>
      </c>
      <c r="I30" s="66">
        <f t="shared" ca="1" si="4"/>
        <v>15.99639436718082</v>
      </c>
      <c r="J30" s="66">
        <f t="shared" ca="1" si="5"/>
        <v>11.202528470201209</v>
      </c>
      <c r="K30" s="66">
        <f t="shared" ca="1" si="6"/>
        <v>11.704596558845983</v>
      </c>
      <c r="L30" s="66">
        <f t="shared" si="7"/>
        <v>7.2446999999999999</v>
      </c>
      <c r="M30" s="68">
        <f t="shared" ca="1" si="8"/>
        <v>5.964003399298182</v>
      </c>
      <c r="N30" s="69">
        <f>IF('Personalized Bill Menu'!$B$34&lt;&gt;"Natural Gas", 'Personalized Bill Menu'!$J27, "")</f>
        <v>7.5796000000000001</v>
      </c>
      <c r="O30" s="70">
        <f t="shared" si="9"/>
        <v>58.189794095125947</v>
      </c>
      <c r="P30" s="71">
        <f ca="1">IF($A30="", "",IFERROR(IF(VLOOKUP($A30, INDIRECT("'" &amp; 'Personalized Bill Menu'!$B$22 &amp; "'!" &amp;"$A$4:$CA$100"), VLOOKUP(VLOOKUP(P$5,'Misc. Data &amp; Mechanisms'!$E$601:$I$631,HLOOKUP('Personalized Bill Menu'!$B$22, 'Misc. Data &amp; Mechanisms'!$E$599:$I$600, 2, FALSE), FALSE), 'Misc. Data &amp; Mechanisms'!$A$599:$C$659, 2, FALSE), FALSE) = "", "", VLOOKUP($A30, INDIRECT("'" &amp; 'Personalized Bill Menu'!$B$22 &amp; "'!" &amp;"$A$4:$CA$100"), VLOOKUP(VLOOKUP(P$5,'Misc. Data &amp; Mechanisms'!$E$601:$I$631,HLOOKUP('Personalized Bill Menu'!$B$22, 'Misc. Data &amp; Mechanisms'!$E$599:$I$600, 2, FALSE), FALSE), 'Misc. Data &amp; Mechanisms'!$A$599:$C$659, 2, FALSE), FALSE)), ""))</f>
        <v>1.9462999999999999</v>
      </c>
      <c r="Q30" s="72">
        <f t="shared" ca="1" si="10"/>
        <v>14.942054494609692</v>
      </c>
      <c r="R30" s="87">
        <f ca="1">IF($A30="", "",IFERROR(IF(VLOOKUP($A30, INDIRECT("'" &amp; 'Personalized Bill Menu'!$B$22 &amp; "'!" &amp;"$A$4:$CA$100"), VLOOKUP(VLOOKUP(R$5,'Misc. Data &amp; Mechanisms'!$E$601:$I$631,HLOOKUP('Personalized Bill Menu'!$B$22, 'Misc. Data &amp; Mechanisms'!$E$599:$I$600, 2, FALSE), FALSE), 'Misc. Data &amp; Mechanisms'!$A$599:$C$659, 2, FALSE), FALSE) = "", "", VLOOKUP($A30, INDIRECT("'" &amp; 'Personalized Bill Menu'!$B$22 &amp; "'!" &amp;"$A$4:$CA$100"), VLOOKUP(VLOOKUP(R$5,'Misc. Data &amp; Mechanisms'!$E$601:$I$631,HLOOKUP('Personalized Bill Menu'!$B$22, 'Misc. Data &amp; Mechanisms'!$E$599:$I$600, 2, FALSE), FALSE), 'Misc. Data &amp; Mechanisms'!$A$599:$C$659, 2, FALSE), FALSE)), ""))</f>
        <v>0.69679999999999997</v>
      </c>
      <c r="S30" s="88">
        <f ca="1">IF($A30="", "",IFERROR(IF(VLOOKUP($A30, INDIRECT("'" &amp; 'Personalized Bill Menu'!$B$22 &amp; "'!" &amp;"$A$4:$CA$100"), VLOOKUP(VLOOKUP(S$5,'Misc. Data &amp; Mechanisms'!$E$601:$I$631,HLOOKUP('Personalized Bill Menu'!$B$22, 'Misc. Data &amp; Mechanisms'!$E$599:$I$600, 2, FALSE), FALSE), 'Misc. Data &amp; Mechanisms'!$A$599:$C$659, 2, FALSE), FALSE) = "", "", VLOOKUP($A30, INDIRECT("'" &amp; 'Personalized Bill Menu'!$B$22 &amp; "'!" &amp;"$A$4:$CA$100"), VLOOKUP(VLOOKUP(S$5,'Misc. Data &amp; Mechanisms'!$E$601:$I$631,HLOOKUP('Personalized Bill Menu'!$B$22, 'Misc. Data &amp; Mechanisms'!$E$599:$I$600, 2, FALSE), FALSE), 'Misc. Data &amp; Mechanisms'!$A$599:$C$659, 2, FALSE), FALSE)), ""))</f>
        <v>0.34344999999999998</v>
      </c>
      <c r="T30" s="81" t="str">
        <f ca="1">IF($A30="", "",IFERROR(IF(VLOOKUP($A30, INDIRECT("'" &amp; 'Personalized Bill Menu'!$B$22 &amp; "'!" &amp;"$A$4:$CA$100"), VLOOKUP(VLOOKUP(T$5,'Misc. Data &amp; Mechanisms'!$E$601:$I$631,HLOOKUP('Personalized Bill Menu'!$B$22, 'Misc. Data &amp; Mechanisms'!$E$599:$I$600, 2, FALSE), FALSE), 'Misc. Data &amp; Mechanisms'!$A$599:$C$659, 2, FALSE), FALSE) = "", "", VLOOKUP($A30, INDIRECT("'" &amp; 'Personalized Bill Menu'!$B$22 &amp; "'!" &amp;"$A$4:$CA$100"), VLOOKUP(VLOOKUP(T$5,'Misc. Data &amp; Mechanisms'!$E$601:$I$631,HLOOKUP('Personalized Bill Menu'!$B$22, 'Misc. Data &amp; Mechanisms'!$E$599:$I$600, 2, FALSE), FALSE), 'Misc. Data &amp; Mechanisms'!$A$599:$C$659, 2, FALSE), FALSE)), ""))</f>
        <v/>
      </c>
      <c r="U30" s="72">
        <f t="shared" ca="1" si="11"/>
        <v>5.3494443671808218</v>
      </c>
      <c r="V30" s="72">
        <f t="shared" ca="1" si="12"/>
        <v>10.646949999999999</v>
      </c>
      <c r="W30" s="70" t="str">
        <f t="shared" si="13"/>
        <v/>
      </c>
      <c r="X30" s="78">
        <f>IFERROR(IF(VLOOKUP($A30,'Misc. Data &amp; Mechanisms'!$A$63:$DY$152,HLOOKUP('Personalized Bill Menu'!$B$21&amp;"_"&amp;'Personalized Bill Menu'!$B$22&amp;"_Elec_Y_1",'Misc. Data &amp; Mechanisms'!$A$55:$DY$62,8,FALSE), FALSE)="", "", VLOOKUP($A30,'Misc. Data &amp; Mechanisms'!$A$63:$DY$152,HLOOKUP('Personalized Bill Menu'!$B$21&amp;"_"&amp;'Personalized Bill Menu'!$B$22&amp;"_Elec_Y_1",'Misc. Data &amp; Mechanisms'!$A$55:$DY$62,8,FALSE), FALSE)), "")</f>
        <v>0.1111</v>
      </c>
      <c r="Y30" s="78" t="str">
        <f>IFERROR(IF(VLOOKUP($A30,'Misc. Data &amp; Mechanisms'!$A$63:$DY$152,HLOOKUP('Personalized Bill Menu'!$B$21&amp;"_"&amp;'Personalized Bill Menu'!$B$22&amp;"_Elec_Y_2",'Misc. Data &amp; Mechanisms'!$A$55:$DY$62,8,FALSE), FALSE)="", "", VLOOKUP($A30,'Misc. Data &amp; Mechanisms'!$A$63:$DY$152,HLOOKUP('Personalized Bill Menu'!$B$21&amp;"_"&amp;'Personalized Bill Menu'!$B$22&amp;"_Elec_Y_2",'Misc. Data &amp; Mechanisms'!$A$55:$DY$62,8,FALSE), FALSE)), "")</f>
        <v/>
      </c>
      <c r="Z30" s="72">
        <f ca="1">IF($A30="", "",IFERROR(IF(OR('Personalized Bill Menu'!$B$22="FORTIS", 'Personalized Bill Menu'!$B$22="ATCO"), $X30*($H30+$I30), IF('Personalized Bill Menu'!$B$22="ENMAX",$X30*($H30+$I30+$K30),($X30/100)*$C30)), 0))</f>
        <v>4.7376423462327146</v>
      </c>
      <c r="AA30" s="72">
        <f>IF($A30="", "", IFERROR(IF(OR('Personalized Bill Menu'!$B$22="FORTIS", 'Personalized Bill Menu'!$B$22="ATCO"), $Y30*($H30+$I30), IF('Personalized Bill Menu'!$B$22="ENMAX",$X30*$G30,"")), 0))</f>
        <v>6.4648861239684932</v>
      </c>
      <c r="AB30" s="89">
        <f ca="1">IF($A30="", "",IFERROR(IF(VLOOKUP($A30, INDIRECT("'" &amp; 'Personalized Bill Menu'!$B$22 &amp; "'!" &amp;"$A$4:$CA$100"), VLOOKUP(VLOOKUP("RIDER RATE 1",'Misc. Data &amp; Mechanisms'!$E$601:$I$631,HLOOKUP('Personalized Bill Menu'!$B$22, 'Misc. Data &amp; Mechanisms'!$E$599:$I$600, 2, FALSE), FALSE), 'Misc. Data &amp; Mechanisms'!$A$599:$C$659, 2, FALSE), FALSE) = "", "", VLOOKUP($A30, INDIRECT("'" &amp; 'Personalized Bill Menu'!$B$22 &amp; "'!" &amp;"$A$4:$CA$100"), VLOOKUP(VLOOKUP("RIDER RATE 1",'Misc. Data &amp; Mechanisms'!$E$601:$I$631,HLOOKUP('Personalized Bill Menu'!$B$22, 'Misc. Data &amp; Mechanisms'!$E$599:$I$600, 2, FALSE), FALSE), 'Misc. Data &amp; Mechanisms'!$A$599:$C$659, 2, FALSE), FALSE)), ""))</f>
        <v>-0.56559999999999999</v>
      </c>
      <c r="AC30" s="69">
        <f ca="1">IF($A30="", "",IFERROR(IF(VLOOKUP($A30, INDIRECT("'" &amp; 'Personalized Bill Menu'!$B$22 &amp; "'!" &amp;"$A$4:$CA$100"), VLOOKUP(VLOOKUP("RIDER RATE 2",'Misc. Data &amp; Mechanisms'!$E$601:$I$631,HLOOKUP('Personalized Bill Menu'!$B$22, 'Misc. Data &amp; Mechanisms'!$E$599:$I$600, 2, FALSE), FALSE), 'Misc. Data &amp; Mechanisms'!$A$599:$C$659, 2, FALSE), FALSE) = "", "", VLOOKUP($A30, INDIRECT("'" &amp; 'Personalized Bill Menu'!$B$22 &amp; "'!" &amp;"$A$4:$CA$100"), VLOOKUP(VLOOKUP("RIDER RATE 2",'Misc. Data &amp; Mechanisms'!$E$601:$I$631,HLOOKUP('Personalized Bill Menu'!$B$22, 'Misc. Data &amp; Mechanisms'!$E$599:$I$600, 2, FALSE), FALSE), 'Misc. Data &amp; Mechanisms'!$A$599:$C$659, 2, FALSE), FALSE)), ""))</f>
        <v>2.0901999999999998</v>
      </c>
      <c r="AD30" s="69" t="str">
        <f ca="1">IF($A30="", "",IFERROR(IF(VLOOKUP($A30, INDIRECT("'" &amp; 'Personalized Bill Menu'!$B$22 &amp; "'!" &amp;"$A$4:$CA$100"), VLOOKUP(VLOOKUP("RIDER RATE 3",'Misc. Data &amp; Mechanisms'!$E$601:$I$631,HLOOKUP('Personalized Bill Menu'!$B$22, 'Misc. Data &amp; Mechanisms'!$E$599:$I$600, 2, FALSE), FALSE), 'Misc. Data &amp; Mechanisms'!$A$599:$C$659, 2, FALSE), FALSE) = "", "", VLOOKUP($A30, INDIRECT("'" &amp; 'Personalized Bill Menu'!$B$22 &amp; "'!" &amp;"$A$4:$CA$100"), VLOOKUP(VLOOKUP("RIDER RATE 3",'Misc. Data &amp; Mechanisms'!$E$601:$I$631,HLOOKUP('Personalized Bill Menu'!$B$22, 'Misc. Data &amp; Mechanisms'!$E$599:$I$600, 2, FALSE), FALSE), 'Misc. Data &amp; Mechanisms'!$A$599:$C$659, 2, FALSE), FALSE)), ""))</f>
        <v/>
      </c>
      <c r="AE30" s="69" t="str">
        <f ca="1">IF($A30="", "",IFERROR(IF(VLOOKUP($A30, INDIRECT("'" &amp; 'Personalized Bill Menu'!$B$22 &amp; "'!" &amp;"$A$4:$CA$100"), VLOOKUP(VLOOKUP("RIDER RATE 4",'Misc. Data &amp; Mechanisms'!$E$601:$I$631,HLOOKUP('Personalized Bill Menu'!$B$22, 'Misc. Data &amp; Mechanisms'!$E$599:$I$600, 2, FALSE), FALSE), 'Misc. Data &amp; Mechanisms'!$A$599:$C$659, 2, FALSE), FALSE) = "", "", VLOOKUP($A30, INDIRECT("'" &amp; 'Personalized Bill Menu'!$B$22 &amp; "'!" &amp;"$A$4:$CA$100"), VLOOKUP(VLOOKUP("RIDER RATE 4",'Misc. Data &amp; Mechanisms'!$E$601:$I$631,HLOOKUP('Personalized Bill Menu'!$B$22, 'Misc. Data &amp; Mechanisms'!$E$599:$I$600, 2, FALSE), FALSE), 'Misc. Data &amp; Mechanisms'!$A$599:$C$659, 2, FALSE), FALSE)), ""))</f>
        <v/>
      </c>
      <c r="AF30" s="90" t="str">
        <f ca="1">IF($A30="", "",IFERROR(IF(VLOOKUP($A30, INDIRECT("'" &amp; 'Personalized Bill Menu'!$B$22 &amp; "'!" &amp;"$A$4:$CA$100"), VLOOKUP(VLOOKUP("RIDER RATE 5",'Misc. Data &amp; Mechanisms'!$E$601:$I$631,HLOOKUP('Personalized Bill Menu'!$B$22, 'Misc. Data &amp; Mechanisms'!$E$599:$I$600, 2, FALSE), FALSE), 'Misc. Data &amp; Mechanisms'!$A$599:$C$659, 2, FALSE), FALSE) = "", "", VLOOKUP($A30, INDIRECT("'" &amp; 'Personalized Bill Menu'!$B$22 &amp; "'!" &amp;"$A$4:$CA$100"), VLOOKUP(VLOOKUP("RIDER RATE 5",'Misc. Data &amp; Mechanisms'!$E$601:$I$631,HLOOKUP('Personalized Bill Menu'!$B$22, 'Misc. Data &amp; Mechanisms'!$E$599:$I$600, 2, FALSE), FALSE), 'Misc. Data &amp; Mechanisms'!$A$599:$C$659, 2, FALSE), FALSE)), ""))</f>
        <v/>
      </c>
      <c r="AG30" s="90" t="str">
        <f ca="1">IF($A30="", "",IFERROR(IF(VLOOKUP($A30, INDIRECT("'" &amp; 'Personalized Bill Menu'!$B$22 &amp; "'!" &amp;"$A$4:$CA$100"), VLOOKUP(VLOOKUP("RIDER RATE 6",'Misc. Data &amp; Mechanisms'!$E$601:$I$631,HLOOKUP('Personalized Bill Menu'!$B$22, 'Misc. Data &amp; Mechanisms'!$E$599:$I$600, 2, FALSE), FALSE), 'Misc. Data &amp; Mechanisms'!$A$599:$C$659, 2, FALSE), FALSE) = "", "", VLOOKUP($A30, INDIRECT("'" &amp; 'Personalized Bill Menu'!$B$22 &amp; "'!" &amp;"$A$4:$CA$100"), VLOOKUP(VLOOKUP("RIDER RATE 6",'Misc. Data &amp; Mechanisms'!$E$601:$I$631,HLOOKUP('Personalized Bill Menu'!$B$22, 'Misc. Data &amp; Mechanisms'!$E$599:$I$600, 2, FALSE), FALSE), 'Misc. Data &amp; Mechanisms'!$A$599:$C$659, 2, FALSE), FALSE)), ""))</f>
        <v/>
      </c>
      <c r="AH30" s="90" t="str">
        <f ca="1">IF($A30="", "",IFERROR(IF(VLOOKUP($A30, INDIRECT("'" &amp; 'Personalized Bill Menu'!$B$22 &amp; "'!" &amp;"$A$4:$CA$100"), VLOOKUP(VLOOKUP("RIDER RATE 7",'Misc. Data &amp; Mechanisms'!$E$601:$I$631,HLOOKUP('Personalized Bill Menu'!$B$22, 'Misc. Data &amp; Mechanisms'!$E$599:$I$600, 2, FALSE), FALSE), 'Misc. Data &amp; Mechanisms'!$A$599:$C$659, 2, FALSE), FALSE) = "", "", VLOOKUP($A30, INDIRECT("'" &amp; 'Personalized Bill Menu'!$B$22 &amp; "'!" &amp;"$A$4:$CA$100"), VLOOKUP(VLOOKUP("RIDER RATE 7",'Misc. Data &amp; Mechanisms'!$E$601:$I$631,HLOOKUP('Personalized Bill Menu'!$B$22, 'Misc. Data &amp; Mechanisms'!$E$599:$I$600, 2, FALSE), FALSE), 'Misc. Data &amp; Mechanisms'!$A$599:$C$659, 2, FALSE), FALSE)), ""))</f>
        <v/>
      </c>
      <c r="AI30" s="72">
        <f t="shared" ca="1" si="14"/>
        <v>-4.3422011109033765</v>
      </c>
      <c r="AJ30" s="72">
        <f t="shared" ca="1" si="15"/>
        <v>16.04679766974936</v>
      </c>
      <c r="AK30" s="72">
        <f ca="1">IF($A30="", "", IFERROR(IF($AD$6="%",IF('Personalized Bill Menu'!$B$22="ENMAX", $AD30*$I30, IF(AND($AD30="", 'Personalized Bill Menu'!$B$22="FORTIS"),($AE30/100)*$C30,$AD30*$H30)),($AD30/100)*$C30), 0))</f>
        <v>0</v>
      </c>
      <c r="AL30" s="72">
        <f ca="1">IF($A30="", "", IFERROR(IF('Personalized Bill Menu'!$B$22="ENMAX",$AE30*$B30,IF($AE$6="%",$AE30*($H30+$I30+$J30), IF('Personalized Bill Menu'!$B$22="FORTIS",$AF30*$I30,($AE30/100)*$C30))), 0))</f>
        <v>0</v>
      </c>
      <c r="AM30" s="72" t="str">
        <f>IF($A30="", "", IFERROR(IF('Personalized Bill Menu'!$B$22="EPCOR",($AF30/100)*$C30, IF('Personalized Bill Menu'!$B$22="ATCO",$AF30*1,"")), 0))</f>
        <v/>
      </c>
      <c r="AN30" s="72" t="str">
        <f>IF($A30="", "", IFERROR(IF('Personalized Bill Menu'!$B$22="ATCO",$AG30*$B30,""), 0))</f>
        <v/>
      </c>
      <c r="AO30" s="70" t="str">
        <f>IF($A30="", "", IFERROR(IF('Personalized Bill Menu'!$B$22="ATCO",$AH30*$B30,""), 0))</f>
        <v/>
      </c>
      <c r="AP30" s="81">
        <f>IF('Personalized Bill Menu'!$B$34&lt;&gt;"Natural Gas", 'Personalized Bill Menu'!$K27, "")</f>
        <v>0.23369999999999999</v>
      </c>
      <c r="AQ30" s="72">
        <f t="shared" si="16"/>
        <v>7.2446999999999999</v>
      </c>
      <c r="AR30" s="91">
        <f ca="1">IF($A30="", "",IF(VLOOKUP($A30, INDIRECT("'" &amp; 'Personalized Bill Menu'!$B$22 &amp; "'!" &amp;"$A$4:$CA$100"), VLOOKUP(VLOOKUP(AR$5,'Misc. Data &amp; Mechanisms'!$E$601:$I$631,HLOOKUP('Personalized Bill Menu'!$B$22, 'Misc. Data &amp; Mechanisms'!$E$599:$I$600, 2, FALSE), FALSE), 'Misc. Data &amp; Mechanisms'!$A$599:$C$659, 2, FALSE), FALSE) = "", "", VLOOKUP($A30, INDIRECT("'" &amp; 'Personalized Bill Menu'!$B$22 &amp; "'!" &amp;"$A$4:$CA$100"), VLOOKUP(VLOOKUP(AR$5,'Misc. Data &amp; Mechanisms'!$E$601:$I$631,HLOOKUP('Personalized Bill Menu'!$B$22, 'Misc. Data &amp; Mechanisms'!$E$599:$I$600, 2, FALSE), FALSE), 'Misc. Data &amp; Mechanisms'!$A$599:$C$659, 2, FALSE), FALSE)))</f>
        <v>0.05</v>
      </c>
      <c r="AS30" s="2"/>
      <c r="AT30" s="2"/>
      <c r="AU30" s="2"/>
      <c r="AV30" s="2"/>
      <c r="AW30" s="2"/>
    </row>
    <row r="31" spans="1:49" x14ac:dyDescent="0.35">
      <c r="A31" s="83">
        <f>'Personalized Bill Menu'!$H28</f>
        <v>41640</v>
      </c>
      <c r="B31" s="84">
        <f t="shared" si="0"/>
        <v>31</v>
      </c>
      <c r="C31" s="85">
        <f>IF('Personalized Bill Menu'!$B$34&lt;&gt;"Natural Gas", 'Personalized Bill Menu'!$I28, "")</f>
        <v>679.80526265539095</v>
      </c>
      <c r="D31" s="66">
        <f t="shared" ca="1" si="17"/>
        <v>17.496754435794269</v>
      </c>
      <c r="E31" s="66">
        <f ca="1">IFERROR((1+$AR31)*(IF('Personalized Bill Menu'!$B$22="ENMAX", ((1+IFERROR($X31, 0))*($N31+$P31+$R31+$AB31+$AC31))+((1+IF($X31="", 0,$X31))*(IF($AD31="", 0,$AD31)*$R31)), IF('Personalized Bill Menu'!$B$22="EPCOR", ($N31+$P31+$R31+$X31+SUM($AB31:$AE31)), IF('Personalized Bill Menu'!$B$22="ATCO",($N31+((1+IF($AE31="", 0,$AE31))*(1+$X31+$Y31)*($P31+$R31))+SUM($AB31:$AD31)),IF($AD31="",$N31+((1+$X31+$Y31)*($P31+$R31))+$AB31+$AE31+(IF($AC31="", 0, $AC31)*$P31)+($R31*IF($AF31="", 0, $AF31)),$N31+((1+$X31+$Y31)*($P31+$R31))+$AB31+($AD31*$P31)+(IF($AC31="", 0, $AC31)*$P31)+($R31*IF($AF31="", 0, $AF31))))))), "")</f>
        <v>14.173224933</v>
      </c>
      <c r="F31" s="1469">
        <f t="shared" ca="1" si="1"/>
        <v>118.94385744842</v>
      </c>
      <c r="G31" s="66">
        <f t="shared" si="2"/>
        <v>53.052002697626712</v>
      </c>
      <c r="H31" s="66">
        <f t="shared" ca="1" si="3"/>
        <v>13.231049827061872</v>
      </c>
      <c r="I31" s="66">
        <f t="shared" ca="1" si="4"/>
        <v>18.706381169352127</v>
      </c>
      <c r="J31" s="66">
        <f t="shared" ca="1" si="5"/>
        <v>10.602562097637659</v>
      </c>
      <c r="K31" s="66">
        <f t="shared" ca="1" si="6"/>
        <v>10.443168444912114</v>
      </c>
      <c r="L31" s="66">
        <f t="shared" si="7"/>
        <v>7.2446999999999999</v>
      </c>
      <c r="M31" s="68">
        <f t="shared" ca="1" si="8"/>
        <v>5.6639932118295242</v>
      </c>
      <c r="N31" s="69">
        <f>IF('Personalized Bill Menu'!$B$34&lt;&gt;"Natural Gas", 'Personalized Bill Menu'!$J28, "")</f>
        <v>7.8040000000000003</v>
      </c>
      <c r="O31" s="70">
        <f t="shared" si="9"/>
        <v>53.052002697626712</v>
      </c>
      <c r="P31" s="71">
        <f ca="1">IF($A31="", "",IFERROR(IF(VLOOKUP($A31, INDIRECT("'" &amp; 'Personalized Bill Menu'!$B$22 &amp; "'!" &amp;"$A$4:$CA$100"), VLOOKUP(VLOOKUP(P$5,'Misc. Data &amp; Mechanisms'!$E$601:$I$631,HLOOKUP('Personalized Bill Menu'!$B$22, 'Misc. Data &amp; Mechanisms'!$E$599:$I$600, 2, FALSE), FALSE), 'Misc. Data &amp; Mechanisms'!$A$599:$C$659, 2, FALSE), FALSE) = "", "", VLOOKUP($A31, INDIRECT("'" &amp; 'Personalized Bill Menu'!$B$22 &amp; "'!" &amp;"$A$4:$CA$100"), VLOOKUP(VLOOKUP(P$5,'Misc. Data &amp; Mechanisms'!$E$601:$I$631,HLOOKUP('Personalized Bill Menu'!$B$22, 'Misc. Data &amp; Mechanisms'!$E$599:$I$600, 2, FALSE), FALSE), 'Misc. Data &amp; Mechanisms'!$A$599:$C$659, 2, FALSE), FALSE)), ""))</f>
        <v>1.9462999999999999</v>
      </c>
      <c r="Q31" s="72">
        <f t="shared" ca="1" si="10"/>
        <v>13.231049827061872</v>
      </c>
      <c r="R31" s="87">
        <f ca="1">IF($A31="", "",IFERROR(IF(VLOOKUP($A31, INDIRECT("'" &amp; 'Personalized Bill Menu'!$B$22 &amp; "'!" &amp;"$A$4:$CA$100"), VLOOKUP(VLOOKUP(R$5,'Misc. Data &amp; Mechanisms'!$E$601:$I$631,HLOOKUP('Personalized Bill Menu'!$B$22, 'Misc. Data &amp; Mechanisms'!$E$599:$I$600, 2, FALSE), FALSE), 'Misc. Data &amp; Mechanisms'!$A$599:$C$659, 2, FALSE), FALSE) = "", "", VLOOKUP($A31, INDIRECT("'" &amp; 'Personalized Bill Menu'!$B$22 &amp; "'!" &amp;"$A$4:$CA$100"), VLOOKUP(VLOOKUP(R$5,'Misc. Data &amp; Mechanisms'!$E$601:$I$631,HLOOKUP('Personalized Bill Menu'!$B$22, 'Misc. Data &amp; Mechanisms'!$E$599:$I$600, 2, FALSE), FALSE), 'Misc. Data &amp; Mechanisms'!$A$599:$C$659, 2, FALSE), FALSE)), ""))</f>
        <v>0.86209999999999998</v>
      </c>
      <c r="S31" s="88">
        <f ca="1">IF($A31="", "",IFERROR(IF(VLOOKUP($A31, INDIRECT("'" &amp; 'Personalized Bill Menu'!$B$22 &amp; "'!" &amp;"$A$4:$CA$100"), VLOOKUP(VLOOKUP(S$5,'Misc. Data &amp; Mechanisms'!$E$601:$I$631,HLOOKUP('Personalized Bill Menu'!$B$22, 'Misc. Data &amp; Mechanisms'!$E$599:$I$600, 2, FALSE), FALSE), 'Misc. Data &amp; Mechanisms'!$A$599:$C$659, 2, FALSE), FALSE) = "", "", VLOOKUP($A31, INDIRECT("'" &amp; 'Personalized Bill Menu'!$B$22 &amp; "'!" &amp;"$A$4:$CA$100"), VLOOKUP(VLOOKUP(S$5,'Misc. Data &amp; Mechanisms'!$E$601:$I$631,HLOOKUP('Personalized Bill Menu'!$B$22, 'Misc. Data &amp; Mechanisms'!$E$599:$I$600, 2, FALSE), FALSE), 'Misc. Data &amp; Mechanisms'!$A$599:$C$659, 2, FALSE), FALSE)), ""))</f>
        <v>0.41438000000000003</v>
      </c>
      <c r="T31" s="81" t="str">
        <f ca="1">IF($A31="", "",IFERROR(IF(VLOOKUP($A31, INDIRECT("'" &amp; 'Personalized Bill Menu'!$B$22 &amp; "'!" &amp;"$A$4:$CA$100"), VLOOKUP(VLOOKUP(T$5,'Misc. Data &amp; Mechanisms'!$E$601:$I$631,HLOOKUP('Personalized Bill Menu'!$B$22, 'Misc. Data &amp; Mechanisms'!$E$599:$I$600, 2, FALSE), FALSE), 'Misc. Data &amp; Mechanisms'!$A$599:$C$659, 2, FALSE), FALSE) = "", "", VLOOKUP($A31, INDIRECT("'" &amp; 'Personalized Bill Menu'!$B$22 &amp; "'!" &amp;"$A$4:$CA$100"), VLOOKUP(VLOOKUP(T$5,'Misc. Data &amp; Mechanisms'!$E$601:$I$631,HLOOKUP('Personalized Bill Menu'!$B$22, 'Misc. Data &amp; Mechanisms'!$E$599:$I$600, 2, FALSE), FALSE), 'Misc. Data &amp; Mechanisms'!$A$599:$C$659, 2, FALSE), FALSE)), ""))</f>
        <v/>
      </c>
      <c r="U31" s="72">
        <f t="shared" ca="1" si="11"/>
        <v>5.8606011693521252</v>
      </c>
      <c r="V31" s="72">
        <f t="shared" ca="1" si="12"/>
        <v>12.845780000000001</v>
      </c>
      <c r="W31" s="70" t="str">
        <f t="shared" si="13"/>
        <v/>
      </c>
      <c r="X31" s="78">
        <f>IFERROR(IF(VLOOKUP($A31,'Misc. Data &amp; Mechanisms'!$A$63:$DY$152,HLOOKUP('Personalized Bill Menu'!$B$21&amp;"_"&amp;'Personalized Bill Menu'!$B$22&amp;"_Elec_Y_1",'Misc. Data &amp; Mechanisms'!$A$55:$DY$62,8,FALSE), FALSE)="", "", VLOOKUP($A31,'Misc. Data &amp; Mechanisms'!$A$63:$DY$152,HLOOKUP('Personalized Bill Menu'!$B$21&amp;"_"&amp;'Personalized Bill Menu'!$B$22&amp;"_Elec_Y_1",'Misc. Data &amp; Mechanisms'!$A$55:$DY$62,8,FALSE), FALSE)), "")</f>
        <v>0.1111</v>
      </c>
      <c r="Y31" s="78" t="str">
        <f>IFERROR(IF(VLOOKUP($A31,'Misc. Data &amp; Mechanisms'!$A$63:$DY$152,HLOOKUP('Personalized Bill Menu'!$B$21&amp;"_"&amp;'Personalized Bill Menu'!$B$22&amp;"_Elec_Y_2",'Misc. Data &amp; Mechanisms'!$A$55:$DY$62,8,FALSE), FALSE)="", "", VLOOKUP($A31,'Misc. Data &amp; Mechanisms'!$A$63:$DY$152,HLOOKUP('Personalized Bill Menu'!$B$21&amp;"_"&amp;'Personalized Bill Menu'!$B$22&amp;"_Elec_Y_2",'Misc. Data &amp; Mechanisms'!$A$55:$DY$62,8,FALSE), FALSE)), "")</f>
        <v/>
      </c>
      <c r="Z31" s="72">
        <f ca="1">IF($A31="", "",IFERROR(IF(OR('Personalized Bill Menu'!$B$22="FORTIS", 'Personalized Bill Menu'!$B$22="ATCO"), $X31*($H31+$I31), IF('Personalized Bill Menu'!$B$22="ENMAX",$X31*($H31+$I31+$K31),($X31/100)*$C31)), 0))</f>
        <v>4.7084845979313315</v>
      </c>
      <c r="AA31" s="72">
        <f>IF($A31="", "", IFERROR(IF(OR('Personalized Bill Menu'!$B$22="FORTIS", 'Personalized Bill Menu'!$B$22="ATCO"), $Y31*($H31+$I31), IF('Personalized Bill Menu'!$B$22="ENMAX",$X31*$G31,"")), 0))</f>
        <v>5.8940774997063281</v>
      </c>
      <c r="AB31" s="89">
        <f ca="1">IF($A31="", "",IFERROR(IF(VLOOKUP($A31, INDIRECT("'" &amp; 'Personalized Bill Menu'!$B$22 &amp; "'!" &amp;"$A$4:$CA$100"), VLOOKUP(VLOOKUP("RIDER RATE 1",'Misc. Data &amp; Mechanisms'!$E$601:$I$631,HLOOKUP('Personalized Bill Menu'!$B$22, 'Misc. Data &amp; Mechanisms'!$E$599:$I$600, 2, FALSE), FALSE), 'Misc. Data &amp; Mechanisms'!$A$599:$C$659, 2, FALSE), FALSE) = "", "", VLOOKUP($A31, INDIRECT("'" &amp; 'Personalized Bill Menu'!$B$22 &amp; "'!" &amp;"$A$4:$CA$100"), VLOOKUP(VLOOKUP("RIDER RATE 1",'Misc. Data &amp; Mechanisms'!$E$601:$I$631,HLOOKUP('Personalized Bill Menu'!$B$22, 'Misc. Data &amp; Mechanisms'!$E$599:$I$600, 2, FALSE), FALSE), 'Misc. Data &amp; Mechanisms'!$A$599:$C$659, 2, FALSE), FALSE)), ""))</f>
        <v>-0.56430000000000002</v>
      </c>
      <c r="AC31" s="69">
        <f ca="1">IF($A31="", "",IFERROR(IF(VLOOKUP($A31, INDIRECT("'" &amp; 'Personalized Bill Menu'!$B$22 &amp; "'!" &amp;"$A$4:$CA$100"), VLOOKUP(VLOOKUP("RIDER RATE 2",'Misc. Data &amp; Mechanisms'!$E$601:$I$631,HLOOKUP('Personalized Bill Menu'!$B$22, 'Misc. Data &amp; Mechanisms'!$E$599:$I$600, 2, FALSE), FALSE), 'Misc. Data &amp; Mechanisms'!$A$599:$C$659, 2, FALSE), FALSE) = "", "", VLOOKUP($A31, INDIRECT("'" &amp; 'Personalized Bill Menu'!$B$22 &amp; "'!" &amp;"$A$4:$CA$100"), VLOOKUP(VLOOKUP("RIDER RATE 2",'Misc. Data &amp; Mechanisms'!$E$601:$I$631,HLOOKUP('Personalized Bill Menu'!$B$22, 'Misc. Data &amp; Mechanisms'!$E$599:$I$600, 2, FALSE), FALSE), 'Misc. Data &amp; Mechanisms'!$A$599:$C$659, 2, FALSE), FALSE)), ""))</f>
        <v>2.1004999999999998</v>
      </c>
      <c r="AD31" s="69" t="str">
        <f ca="1">IF($A31="", "",IFERROR(IF(VLOOKUP($A31, INDIRECT("'" &amp; 'Personalized Bill Menu'!$B$22 &amp; "'!" &amp;"$A$4:$CA$100"), VLOOKUP(VLOOKUP("RIDER RATE 3",'Misc. Data &amp; Mechanisms'!$E$601:$I$631,HLOOKUP('Personalized Bill Menu'!$B$22, 'Misc. Data &amp; Mechanisms'!$E$599:$I$600, 2, FALSE), FALSE), 'Misc. Data &amp; Mechanisms'!$A$599:$C$659, 2, FALSE), FALSE) = "", "", VLOOKUP($A31, INDIRECT("'" &amp; 'Personalized Bill Menu'!$B$22 &amp; "'!" &amp;"$A$4:$CA$100"), VLOOKUP(VLOOKUP("RIDER RATE 3",'Misc. Data &amp; Mechanisms'!$E$601:$I$631,HLOOKUP('Personalized Bill Menu'!$B$22, 'Misc. Data &amp; Mechanisms'!$E$599:$I$600, 2, FALSE), FALSE), 'Misc. Data &amp; Mechanisms'!$A$599:$C$659, 2, FALSE), FALSE)), ""))</f>
        <v/>
      </c>
      <c r="AE31" s="69" t="str">
        <f ca="1">IF($A31="", "",IFERROR(IF(VLOOKUP($A31, INDIRECT("'" &amp; 'Personalized Bill Menu'!$B$22 &amp; "'!" &amp;"$A$4:$CA$100"), VLOOKUP(VLOOKUP("RIDER RATE 4",'Misc. Data &amp; Mechanisms'!$E$601:$I$631,HLOOKUP('Personalized Bill Menu'!$B$22, 'Misc. Data &amp; Mechanisms'!$E$599:$I$600, 2, FALSE), FALSE), 'Misc. Data &amp; Mechanisms'!$A$599:$C$659, 2, FALSE), FALSE) = "", "", VLOOKUP($A31, INDIRECT("'" &amp; 'Personalized Bill Menu'!$B$22 &amp; "'!" &amp;"$A$4:$CA$100"), VLOOKUP(VLOOKUP("RIDER RATE 4",'Misc. Data &amp; Mechanisms'!$E$601:$I$631,HLOOKUP('Personalized Bill Menu'!$B$22, 'Misc. Data &amp; Mechanisms'!$E$599:$I$600, 2, FALSE), FALSE), 'Misc. Data &amp; Mechanisms'!$A$599:$C$659, 2, FALSE), FALSE)), ""))</f>
        <v/>
      </c>
      <c r="AF31" s="90" t="str">
        <f ca="1">IF($A31="", "",IFERROR(IF(VLOOKUP($A31, INDIRECT("'" &amp; 'Personalized Bill Menu'!$B$22 &amp; "'!" &amp;"$A$4:$CA$100"), VLOOKUP(VLOOKUP("RIDER RATE 5",'Misc. Data &amp; Mechanisms'!$E$601:$I$631,HLOOKUP('Personalized Bill Menu'!$B$22, 'Misc. Data &amp; Mechanisms'!$E$599:$I$600, 2, FALSE), FALSE), 'Misc. Data &amp; Mechanisms'!$A$599:$C$659, 2, FALSE), FALSE) = "", "", VLOOKUP($A31, INDIRECT("'" &amp; 'Personalized Bill Menu'!$B$22 &amp; "'!" &amp;"$A$4:$CA$100"), VLOOKUP(VLOOKUP("RIDER RATE 5",'Misc. Data &amp; Mechanisms'!$E$601:$I$631,HLOOKUP('Personalized Bill Menu'!$B$22, 'Misc. Data &amp; Mechanisms'!$E$599:$I$600, 2, FALSE), FALSE), 'Misc. Data &amp; Mechanisms'!$A$599:$C$659, 2, FALSE), FALSE)), ""))</f>
        <v/>
      </c>
      <c r="AG31" s="90" t="str">
        <f ca="1">IF($A31="", "",IFERROR(IF(VLOOKUP($A31, INDIRECT("'" &amp; 'Personalized Bill Menu'!$B$22 &amp; "'!" &amp;"$A$4:$CA$100"), VLOOKUP(VLOOKUP("RIDER RATE 6",'Misc. Data &amp; Mechanisms'!$E$601:$I$631,HLOOKUP('Personalized Bill Menu'!$B$22, 'Misc. Data &amp; Mechanisms'!$E$599:$I$600, 2, FALSE), FALSE), 'Misc. Data &amp; Mechanisms'!$A$599:$C$659, 2, FALSE), FALSE) = "", "", VLOOKUP($A31, INDIRECT("'" &amp; 'Personalized Bill Menu'!$B$22 &amp; "'!" &amp;"$A$4:$CA$100"), VLOOKUP(VLOOKUP("RIDER RATE 6",'Misc. Data &amp; Mechanisms'!$E$601:$I$631,HLOOKUP('Personalized Bill Menu'!$B$22, 'Misc. Data &amp; Mechanisms'!$E$599:$I$600, 2, FALSE), FALSE), 'Misc. Data &amp; Mechanisms'!$A$599:$C$659, 2, FALSE), FALSE)), ""))</f>
        <v/>
      </c>
      <c r="AH31" s="90" t="str">
        <f ca="1">IF($A31="", "",IFERROR(IF(VLOOKUP($A31, INDIRECT("'" &amp; 'Personalized Bill Menu'!$B$22 &amp; "'!" &amp;"$A$4:$CA$100"), VLOOKUP(VLOOKUP("RIDER RATE 7",'Misc. Data &amp; Mechanisms'!$E$601:$I$631,HLOOKUP('Personalized Bill Menu'!$B$22, 'Misc. Data &amp; Mechanisms'!$E$599:$I$600, 2, FALSE), FALSE), 'Misc. Data &amp; Mechanisms'!$A$599:$C$659, 2, FALSE), FALSE) = "", "", VLOOKUP($A31, INDIRECT("'" &amp; 'Personalized Bill Menu'!$B$22 &amp; "'!" &amp;"$A$4:$CA$100"), VLOOKUP(VLOOKUP("RIDER RATE 7",'Misc. Data &amp; Mechanisms'!$E$601:$I$631,HLOOKUP('Personalized Bill Menu'!$B$22, 'Misc. Data &amp; Mechanisms'!$E$599:$I$600, 2, FALSE), FALSE), 'Misc. Data &amp; Mechanisms'!$A$599:$C$659, 2, FALSE), FALSE)), ""))</f>
        <v/>
      </c>
      <c r="AI31" s="72">
        <f t="shared" ca="1" si="14"/>
        <v>-3.8361410971643712</v>
      </c>
      <c r="AJ31" s="72">
        <f t="shared" ca="1" si="15"/>
        <v>14.279309542076486</v>
      </c>
      <c r="AK31" s="72">
        <f ca="1">IF($A31="", "", IFERROR(IF($AD$6="%",IF('Personalized Bill Menu'!$B$22="ENMAX", $AD31*$I31, IF(AND($AD31="", 'Personalized Bill Menu'!$B$22="FORTIS"),($AE31/100)*$C31,$AD31*$H31)),($AD31/100)*$C31), 0))</f>
        <v>0</v>
      </c>
      <c r="AL31" s="72">
        <f ca="1">IF($A31="", "", IFERROR(IF('Personalized Bill Menu'!$B$22="ENMAX",$AE31*$B31,IF($AE$6="%",$AE31*($H31+$I31+$J31), IF('Personalized Bill Menu'!$B$22="FORTIS",$AF31*$I31,($AE31/100)*$C31))), 0))</f>
        <v>0</v>
      </c>
      <c r="AM31" s="72" t="str">
        <f>IF($A31="", "", IFERROR(IF('Personalized Bill Menu'!$B$22="EPCOR",($AF31/100)*$C31, IF('Personalized Bill Menu'!$B$22="ATCO",$AF31*1,"")), 0))</f>
        <v/>
      </c>
      <c r="AN31" s="72" t="str">
        <f>IF($A31="", "", IFERROR(IF('Personalized Bill Menu'!$B$22="ATCO",$AG31*$B31,""), 0))</f>
        <v/>
      </c>
      <c r="AO31" s="70" t="str">
        <f>IF($A31="", "", IFERROR(IF('Personalized Bill Menu'!$B$22="ATCO",$AH31*$B31,""), 0))</f>
        <v/>
      </c>
      <c r="AP31" s="81">
        <f>IF('Personalized Bill Menu'!$B$34&lt;&gt;"Natural Gas", 'Personalized Bill Menu'!$K28, "")</f>
        <v>0.23369999999999999</v>
      </c>
      <c r="AQ31" s="72">
        <f t="shared" si="16"/>
        <v>7.2446999999999999</v>
      </c>
      <c r="AR31" s="91">
        <f ca="1">IF($A31="", "",IF(VLOOKUP($A31, INDIRECT("'" &amp; 'Personalized Bill Menu'!$B$22 &amp; "'!" &amp;"$A$4:$CA$100"), VLOOKUP(VLOOKUP(AR$5,'Misc. Data &amp; Mechanisms'!$E$601:$I$631,HLOOKUP('Personalized Bill Menu'!$B$22, 'Misc. Data &amp; Mechanisms'!$E$599:$I$600, 2, FALSE), FALSE), 'Misc. Data &amp; Mechanisms'!$A$599:$C$659, 2, FALSE), FALSE) = "", "", VLOOKUP($A31, INDIRECT("'" &amp; 'Personalized Bill Menu'!$B$22 &amp; "'!" &amp;"$A$4:$CA$100"), VLOOKUP(VLOOKUP(AR$5,'Misc. Data &amp; Mechanisms'!$E$601:$I$631,HLOOKUP('Personalized Bill Menu'!$B$22, 'Misc. Data &amp; Mechanisms'!$E$599:$I$600, 2, FALSE), FALSE), 'Misc. Data &amp; Mechanisms'!$A$599:$C$659, 2, FALSE), FALSE)))</f>
        <v>0.05</v>
      </c>
      <c r="AS31" s="2"/>
      <c r="AT31" s="2"/>
      <c r="AU31" s="2"/>
      <c r="AV31" s="2"/>
      <c r="AW31" s="2"/>
    </row>
    <row r="32" spans="1:49" x14ac:dyDescent="0.35">
      <c r="A32" s="83">
        <f>'Personalized Bill Menu'!$H29</f>
        <v>41671</v>
      </c>
      <c r="B32" s="84">
        <f t="shared" si="0"/>
        <v>28</v>
      </c>
      <c r="C32" s="85">
        <f>IF('Personalized Bill Menu'!$B$34&lt;&gt;"Natural Gas", 'Personalized Bill Menu'!$I29, "")</f>
        <v>651.69079712842574</v>
      </c>
      <c r="D32" s="66">
        <f t="shared" ca="1" si="17"/>
        <v>16.589350647251397</v>
      </c>
      <c r="E32" s="66">
        <f ca="1">IFERROR((1+$AR32)*(IF('Personalized Bill Menu'!$B$22="ENMAX", ((1+IFERROR($X32, 0))*($N32+$P32+$R32+$AB32+$AC32))+((1+IF($X32="", 0,$X32))*(IF($AD32="", 0,$AD32)*$R32)), IF('Personalized Bill Menu'!$B$22="EPCOR", ($N32+$P32+$R32+$X32+SUM($AB32:$AE32)), IF('Personalized Bill Menu'!$B$22="ATCO",($N32+((1+IF($AE32="", 0,$AE32))*(1+$X32+$Y32)*($P32+$R32))+SUM($AB32:$AD32)),IF($AD32="",$N32+((1+$X32+$Y32)*($P32+$R32))+$AB32+$AE32+(IF($AC32="", 0, $AC32)*$P32)+($R32*IF($AF32="", 0, $AF32)),$N32+((1+$X32+$Y32)*($P32+$R32))+$AB32+($AD32*$P32)+(IF($AC32="", 0, $AC32)*$P32)+($R32*IF($AF32="", 0, $AF32))))))), "")</f>
        <v>13.4579487525</v>
      </c>
      <c r="F32" s="1469">
        <f t="shared" ca="1" si="1"/>
        <v>108.11127147150229</v>
      </c>
      <c r="G32" s="66">
        <f t="shared" si="2"/>
        <v>46.862433530707968</v>
      </c>
      <c r="H32" s="66">
        <f t="shared" ca="1" si="3"/>
        <v>12.683857984510549</v>
      </c>
      <c r="I32" s="66">
        <f t="shared" ca="1" si="4"/>
        <v>17.220866362044159</v>
      </c>
      <c r="J32" s="66">
        <f t="shared" ca="1" si="5"/>
        <v>9.6410837843954766</v>
      </c>
      <c r="K32" s="66">
        <f t="shared" ca="1" si="6"/>
        <v>10.011274025486877</v>
      </c>
      <c r="L32" s="66">
        <f t="shared" si="7"/>
        <v>6.5435999999999996</v>
      </c>
      <c r="M32" s="68">
        <f t="shared" ca="1" si="8"/>
        <v>5.1481557843572521</v>
      </c>
      <c r="N32" s="69">
        <f>IF('Personalized Bill Menu'!$B$34&lt;&gt;"Natural Gas", 'Personalized Bill Menu'!$J29, "")</f>
        <v>7.1909000000000001</v>
      </c>
      <c r="O32" s="70">
        <f t="shared" si="9"/>
        <v>46.862433530707968</v>
      </c>
      <c r="P32" s="71">
        <f ca="1">IF($A32="", "",IFERROR(IF(VLOOKUP($A32, INDIRECT("'" &amp; 'Personalized Bill Menu'!$B$22 &amp; "'!" &amp;"$A$4:$CA$100"), VLOOKUP(VLOOKUP(P$5,'Misc. Data &amp; Mechanisms'!$E$601:$I$631,HLOOKUP('Personalized Bill Menu'!$B$22, 'Misc. Data &amp; Mechanisms'!$E$599:$I$600, 2, FALSE), FALSE), 'Misc. Data &amp; Mechanisms'!$A$599:$C$659, 2, FALSE), FALSE) = "", "", VLOOKUP($A32, INDIRECT("'" &amp; 'Personalized Bill Menu'!$B$22 &amp; "'!" &amp;"$A$4:$CA$100"), VLOOKUP(VLOOKUP(P$5,'Misc. Data &amp; Mechanisms'!$E$601:$I$631,HLOOKUP('Personalized Bill Menu'!$B$22, 'Misc. Data &amp; Mechanisms'!$E$599:$I$600, 2, FALSE), FALSE), 'Misc. Data &amp; Mechanisms'!$A$599:$C$659, 2, FALSE), FALSE)), ""))</f>
        <v>1.9462999999999999</v>
      </c>
      <c r="Q32" s="72">
        <f t="shared" ca="1" si="10"/>
        <v>12.683857984510549</v>
      </c>
      <c r="R32" s="87">
        <f ca="1">IF($A32="", "",IFERROR(IF(VLOOKUP($A32, INDIRECT("'" &amp; 'Personalized Bill Menu'!$B$22 &amp; "'!" &amp;"$A$4:$CA$100"), VLOOKUP(VLOOKUP(R$5,'Misc. Data &amp; Mechanisms'!$E$601:$I$631,HLOOKUP('Personalized Bill Menu'!$B$22, 'Misc. Data &amp; Mechanisms'!$E$599:$I$600, 2, FALSE), FALSE), 'Misc. Data &amp; Mechanisms'!$A$599:$C$659, 2, FALSE), FALSE) = "", "", VLOOKUP($A32, INDIRECT("'" &amp; 'Personalized Bill Menu'!$B$22 &amp; "'!" &amp;"$A$4:$CA$100"), VLOOKUP(VLOOKUP(R$5,'Misc. Data &amp; Mechanisms'!$E$601:$I$631,HLOOKUP('Personalized Bill Menu'!$B$22, 'Misc. Data &amp; Mechanisms'!$E$599:$I$600, 2, FALSE), FALSE), 'Misc. Data &amp; Mechanisms'!$A$599:$C$659, 2, FALSE), FALSE)), ""))</f>
        <v>0.86209999999999998</v>
      </c>
      <c r="S32" s="88">
        <f ca="1">IF($A32="", "",IFERROR(IF(VLOOKUP($A32, INDIRECT("'" &amp; 'Personalized Bill Menu'!$B$22 &amp; "'!" &amp;"$A$4:$CA$100"), VLOOKUP(VLOOKUP(S$5,'Misc. Data &amp; Mechanisms'!$E$601:$I$631,HLOOKUP('Personalized Bill Menu'!$B$22, 'Misc. Data &amp; Mechanisms'!$E$599:$I$600, 2, FALSE), FALSE), 'Misc. Data &amp; Mechanisms'!$A$599:$C$659, 2, FALSE), FALSE) = "", "", VLOOKUP($A32, INDIRECT("'" &amp; 'Personalized Bill Menu'!$B$22 &amp; "'!" &amp;"$A$4:$CA$100"), VLOOKUP(VLOOKUP(S$5,'Misc. Data &amp; Mechanisms'!$E$601:$I$631,HLOOKUP('Personalized Bill Menu'!$B$22, 'Misc. Data &amp; Mechanisms'!$E$599:$I$600, 2, FALSE), FALSE), 'Misc. Data &amp; Mechanisms'!$A$599:$C$659, 2, FALSE), FALSE)), ""))</f>
        <v>0.41438000000000003</v>
      </c>
      <c r="T32" s="81" t="str">
        <f ca="1">IF($A32="", "",IFERROR(IF(VLOOKUP($A32, INDIRECT("'" &amp; 'Personalized Bill Menu'!$B$22 &amp; "'!" &amp;"$A$4:$CA$100"), VLOOKUP(VLOOKUP(T$5,'Misc. Data &amp; Mechanisms'!$E$601:$I$631,HLOOKUP('Personalized Bill Menu'!$B$22, 'Misc. Data &amp; Mechanisms'!$E$599:$I$600, 2, FALSE), FALSE), 'Misc. Data &amp; Mechanisms'!$A$599:$C$659, 2, FALSE), FALSE) = "", "", VLOOKUP($A32, INDIRECT("'" &amp; 'Personalized Bill Menu'!$B$22 &amp; "'!" &amp;"$A$4:$CA$100"), VLOOKUP(VLOOKUP(T$5,'Misc. Data &amp; Mechanisms'!$E$601:$I$631,HLOOKUP('Personalized Bill Menu'!$B$22, 'Misc. Data &amp; Mechanisms'!$E$599:$I$600, 2, FALSE), FALSE), 'Misc. Data &amp; Mechanisms'!$A$599:$C$659, 2, FALSE), FALSE)), ""))</f>
        <v/>
      </c>
      <c r="U32" s="72">
        <f t="shared" ca="1" si="11"/>
        <v>5.6182263620441582</v>
      </c>
      <c r="V32" s="72">
        <f t="shared" ca="1" si="12"/>
        <v>11.602640000000001</v>
      </c>
      <c r="W32" s="70" t="str">
        <f t="shared" si="13"/>
        <v/>
      </c>
      <c r="X32" s="78">
        <f>IFERROR(IF(VLOOKUP($A32,'Misc. Data &amp; Mechanisms'!$A$63:$DY$152,HLOOKUP('Personalized Bill Menu'!$B$21&amp;"_"&amp;'Personalized Bill Menu'!$B$22&amp;"_Elec_Y_1",'Misc. Data &amp; Mechanisms'!$A$55:$DY$62,8,FALSE), FALSE)="", "", VLOOKUP($A32,'Misc. Data &amp; Mechanisms'!$A$63:$DY$152,HLOOKUP('Personalized Bill Menu'!$B$21&amp;"_"&amp;'Personalized Bill Menu'!$B$22&amp;"_Elec_Y_1",'Misc. Data &amp; Mechanisms'!$A$55:$DY$62,8,FALSE), FALSE)), "")</f>
        <v>0.1111</v>
      </c>
      <c r="Y32" s="78" t="str">
        <f>IFERROR(IF(VLOOKUP($A32,'Misc. Data &amp; Mechanisms'!$A$63:$DY$152,HLOOKUP('Personalized Bill Menu'!$B$21&amp;"_"&amp;'Personalized Bill Menu'!$B$22&amp;"_Elec_Y_2",'Misc. Data &amp; Mechanisms'!$A$55:$DY$62,8,FALSE), FALSE)="", "", VLOOKUP($A32,'Misc. Data &amp; Mechanisms'!$A$63:$DY$152,HLOOKUP('Personalized Bill Menu'!$B$21&amp;"_"&amp;'Personalized Bill Menu'!$B$22&amp;"_Elec_Y_2",'Misc. Data &amp; Mechanisms'!$A$55:$DY$62,8,FALSE), FALSE)), "")</f>
        <v/>
      </c>
      <c r="Z32" s="72">
        <f ca="1">IF($A32="", "",IFERROR(IF(OR('Personalized Bill Menu'!$B$22="FORTIS", 'Personalized Bill Menu'!$B$22="ATCO"), $X32*($H32+$I32), IF('Personalized Bill Menu'!$B$22="ENMAX",$X32*($H32+$I32+$K32),($X32/100)*$C32)), 0))</f>
        <v>4.4346674191338202</v>
      </c>
      <c r="AA32" s="72">
        <f>IF($A32="", "", IFERROR(IF(OR('Personalized Bill Menu'!$B$22="FORTIS", 'Personalized Bill Menu'!$B$22="ATCO"), $Y32*($H32+$I32), IF('Personalized Bill Menu'!$B$22="ENMAX",$X32*$G32,"")), 0))</f>
        <v>5.2064163652616555</v>
      </c>
      <c r="AB32" s="89">
        <f ca="1">IF($A32="", "",IFERROR(IF(VLOOKUP($A32, INDIRECT("'" &amp; 'Personalized Bill Menu'!$B$22 &amp; "'!" &amp;"$A$4:$CA$100"), VLOOKUP(VLOOKUP("RIDER RATE 1",'Misc. Data &amp; Mechanisms'!$E$601:$I$631,HLOOKUP('Personalized Bill Menu'!$B$22, 'Misc. Data &amp; Mechanisms'!$E$599:$I$600, 2, FALSE), FALSE), 'Misc. Data &amp; Mechanisms'!$A$599:$C$659, 2, FALSE), FALSE) = "", "", VLOOKUP($A32, INDIRECT("'" &amp; 'Personalized Bill Menu'!$B$22 &amp; "'!" &amp;"$A$4:$CA$100"), VLOOKUP(VLOOKUP("RIDER RATE 1",'Misc. Data &amp; Mechanisms'!$E$601:$I$631,HLOOKUP('Personalized Bill Menu'!$B$22, 'Misc. Data &amp; Mechanisms'!$E$599:$I$600, 2, FALSE), FALSE), 'Misc. Data &amp; Mechanisms'!$A$599:$C$659, 2, FALSE), FALSE)), ""))</f>
        <v>-0.56430000000000002</v>
      </c>
      <c r="AC32" s="69">
        <f ca="1">IF($A32="", "",IFERROR(IF(VLOOKUP($A32, INDIRECT("'" &amp; 'Personalized Bill Menu'!$B$22 &amp; "'!" &amp;"$A$4:$CA$100"), VLOOKUP(VLOOKUP("RIDER RATE 2",'Misc. Data &amp; Mechanisms'!$E$601:$I$631,HLOOKUP('Personalized Bill Menu'!$B$22, 'Misc. Data &amp; Mechanisms'!$E$599:$I$600, 2, FALSE), FALSE), 'Misc. Data &amp; Mechanisms'!$A$599:$C$659, 2, FALSE), FALSE) = "", "", VLOOKUP($A32, INDIRECT("'" &amp; 'Personalized Bill Menu'!$B$22 &amp; "'!" &amp;"$A$4:$CA$100"), VLOOKUP(VLOOKUP("RIDER RATE 2",'Misc. Data &amp; Mechanisms'!$E$601:$I$631,HLOOKUP('Personalized Bill Menu'!$B$22, 'Misc. Data &amp; Mechanisms'!$E$599:$I$600, 2, FALSE), FALSE), 'Misc. Data &amp; Mechanisms'!$A$599:$C$659, 2, FALSE), FALSE)), ""))</f>
        <v>2.1004999999999998</v>
      </c>
      <c r="AD32" s="69" t="str">
        <f ca="1">IF($A32="", "",IFERROR(IF(VLOOKUP($A32, INDIRECT("'" &amp; 'Personalized Bill Menu'!$B$22 &amp; "'!" &amp;"$A$4:$CA$100"), VLOOKUP(VLOOKUP("RIDER RATE 3",'Misc. Data &amp; Mechanisms'!$E$601:$I$631,HLOOKUP('Personalized Bill Menu'!$B$22, 'Misc. Data &amp; Mechanisms'!$E$599:$I$600, 2, FALSE), FALSE), 'Misc. Data &amp; Mechanisms'!$A$599:$C$659, 2, FALSE), FALSE) = "", "", VLOOKUP($A32, INDIRECT("'" &amp; 'Personalized Bill Menu'!$B$22 &amp; "'!" &amp;"$A$4:$CA$100"), VLOOKUP(VLOOKUP("RIDER RATE 3",'Misc. Data &amp; Mechanisms'!$E$601:$I$631,HLOOKUP('Personalized Bill Menu'!$B$22, 'Misc. Data &amp; Mechanisms'!$E$599:$I$600, 2, FALSE), FALSE), 'Misc. Data &amp; Mechanisms'!$A$599:$C$659, 2, FALSE), FALSE)), ""))</f>
        <v/>
      </c>
      <c r="AE32" s="69" t="str">
        <f ca="1">IF($A32="", "",IFERROR(IF(VLOOKUP($A32, INDIRECT("'" &amp; 'Personalized Bill Menu'!$B$22 &amp; "'!" &amp;"$A$4:$CA$100"), VLOOKUP(VLOOKUP("RIDER RATE 4",'Misc. Data &amp; Mechanisms'!$E$601:$I$631,HLOOKUP('Personalized Bill Menu'!$B$22, 'Misc. Data &amp; Mechanisms'!$E$599:$I$600, 2, FALSE), FALSE), 'Misc. Data &amp; Mechanisms'!$A$599:$C$659, 2, FALSE), FALSE) = "", "", VLOOKUP($A32, INDIRECT("'" &amp; 'Personalized Bill Menu'!$B$22 &amp; "'!" &amp;"$A$4:$CA$100"), VLOOKUP(VLOOKUP("RIDER RATE 4",'Misc. Data &amp; Mechanisms'!$E$601:$I$631,HLOOKUP('Personalized Bill Menu'!$B$22, 'Misc. Data &amp; Mechanisms'!$E$599:$I$600, 2, FALSE), FALSE), 'Misc. Data &amp; Mechanisms'!$A$599:$C$659, 2, FALSE), FALSE)), ""))</f>
        <v/>
      </c>
      <c r="AF32" s="90" t="str">
        <f ca="1">IF($A32="", "",IFERROR(IF(VLOOKUP($A32, INDIRECT("'" &amp; 'Personalized Bill Menu'!$B$22 &amp; "'!" &amp;"$A$4:$CA$100"), VLOOKUP(VLOOKUP("RIDER RATE 5",'Misc. Data &amp; Mechanisms'!$E$601:$I$631,HLOOKUP('Personalized Bill Menu'!$B$22, 'Misc. Data &amp; Mechanisms'!$E$599:$I$600, 2, FALSE), FALSE), 'Misc. Data &amp; Mechanisms'!$A$599:$C$659, 2, FALSE), FALSE) = "", "", VLOOKUP($A32, INDIRECT("'" &amp; 'Personalized Bill Menu'!$B$22 &amp; "'!" &amp;"$A$4:$CA$100"), VLOOKUP(VLOOKUP("RIDER RATE 5",'Misc. Data &amp; Mechanisms'!$E$601:$I$631,HLOOKUP('Personalized Bill Menu'!$B$22, 'Misc. Data &amp; Mechanisms'!$E$599:$I$600, 2, FALSE), FALSE), 'Misc. Data &amp; Mechanisms'!$A$599:$C$659, 2, FALSE), FALSE)), ""))</f>
        <v/>
      </c>
      <c r="AG32" s="90" t="str">
        <f ca="1">IF($A32="", "",IFERROR(IF(VLOOKUP($A32, INDIRECT("'" &amp; 'Personalized Bill Menu'!$B$22 &amp; "'!" &amp;"$A$4:$CA$100"), VLOOKUP(VLOOKUP("RIDER RATE 6",'Misc. Data &amp; Mechanisms'!$E$601:$I$631,HLOOKUP('Personalized Bill Menu'!$B$22, 'Misc. Data &amp; Mechanisms'!$E$599:$I$600, 2, FALSE), FALSE), 'Misc. Data &amp; Mechanisms'!$A$599:$C$659, 2, FALSE), FALSE) = "", "", VLOOKUP($A32, INDIRECT("'" &amp; 'Personalized Bill Menu'!$B$22 &amp; "'!" &amp;"$A$4:$CA$100"), VLOOKUP(VLOOKUP("RIDER RATE 6",'Misc. Data &amp; Mechanisms'!$E$601:$I$631,HLOOKUP('Personalized Bill Menu'!$B$22, 'Misc. Data &amp; Mechanisms'!$E$599:$I$600, 2, FALSE), FALSE), 'Misc. Data &amp; Mechanisms'!$A$599:$C$659, 2, FALSE), FALSE)), ""))</f>
        <v/>
      </c>
      <c r="AH32" s="90" t="str">
        <f ca="1">IF($A32="", "",IFERROR(IF(VLOOKUP($A32, INDIRECT("'" &amp; 'Personalized Bill Menu'!$B$22 &amp; "'!" &amp;"$A$4:$CA$100"), VLOOKUP(VLOOKUP("RIDER RATE 7",'Misc. Data &amp; Mechanisms'!$E$601:$I$631,HLOOKUP('Personalized Bill Menu'!$B$22, 'Misc. Data &amp; Mechanisms'!$E$599:$I$600, 2, FALSE), FALSE), 'Misc. Data &amp; Mechanisms'!$A$599:$C$659, 2, FALSE), FALSE) = "", "", VLOOKUP($A32, INDIRECT("'" &amp; 'Personalized Bill Menu'!$B$22 &amp; "'!" &amp;"$A$4:$CA$100"), VLOOKUP(VLOOKUP("RIDER RATE 7",'Misc. Data &amp; Mechanisms'!$E$601:$I$631,HLOOKUP('Personalized Bill Menu'!$B$22, 'Misc. Data &amp; Mechanisms'!$E$599:$I$600, 2, FALSE), FALSE), 'Misc. Data &amp; Mechanisms'!$A$599:$C$659, 2, FALSE), FALSE)), ""))</f>
        <v/>
      </c>
      <c r="AI32" s="72">
        <f t="shared" ca="1" si="14"/>
        <v>-3.6774911681957065</v>
      </c>
      <c r="AJ32" s="72">
        <f t="shared" ca="1" si="15"/>
        <v>13.688765193682583</v>
      </c>
      <c r="AK32" s="72">
        <f ca="1">IF($A32="", "", IFERROR(IF($AD$6="%",IF('Personalized Bill Menu'!$B$22="ENMAX", $AD32*$I32, IF(AND($AD32="", 'Personalized Bill Menu'!$B$22="FORTIS"),($AE32/100)*$C32,$AD32*$H32)),($AD32/100)*$C32), 0))</f>
        <v>0</v>
      </c>
      <c r="AL32" s="72">
        <f ca="1">IF($A32="", "", IFERROR(IF('Personalized Bill Menu'!$B$22="ENMAX",$AE32*$B32,IF($AE$6="%",$AE32*($H32+$I32+$J32), IF('Personalized Bill Menu'!$B$22="FORTIS",$AF32*$I32,($AE32/100)*$C32))), 0))</f>
        <v>0</v>
      </c>
      <c r="AM32" s="72" t="str">
        <f>IF($A32="", "", IFERROR(IF('Personalized Bill Menu'!$B$22="EPCOR",($AF32/100)*$C32, IF('Personalized Bill Menu'!$B$22="ATCO",$AF32*1,"")), 0))</f>
        <v/>
      </c>
      <c r="AN32" s="72" t="str">
        <f>IF($A32="", "", IFERROR(IF('Personalized Bill Menu'!$B$22="ATCO",$AG32*$B32,""), 0))</f>
        <v/>
      </c>
      <c r="AO32" s="70" t="str">
        <f>IF($A32="", "", IFERROR(IF('Personalized Bill Menu'!$B$22="ATCO",$AH32*$B32,""), 0))</f>
        <v/>
      </c>
      <c r="AP32" s="81">
        <f>IF('Personalized Bill Menu'!$B$34&lt;&gt;"Natural Gas", 'Personalized Bill Menu'!$K29, "")</f>
        <v>0.23369999999999999</v>
      </c>
      <c r="AQ32" s="72">
        <f t="shared" si="16"/>
        <v>6.5435999999999996</v>
      </c>
      <c r="AR32" s="91">
        <f ca="1">IF($A32="", "",IF(VLOOKUP($A32, INDIRECT("'" &amp; 'Personalized Bill Menu'!$B$22 &amp; "'!" &amp;"$A$4:$CA$100"), VLOOKUP(VLOOKUP(AR$5,'Misc. Data &amp; Mechanisms'!$E$601:$I$631,HLOOKUP('Personalized Bill Menu'!$B$22, 'Misc. Data &amp; Mechanisms'!$E$599:$I$600, 2, FALSE), FALSE), 'Misc. Data &amp; Mechanisms'!$A$599:$C$659, 2, FALSE), FALSE) = "", "", VLOOKUP($A32, INDIRECT("'" &amp; 'Personalized Bill Menu'!$B$22 &amp; "'!" &amp;"$A$4:$CA$100"), VLOOKUP(VLOOKUP(AR$5,'Misc. Data &amp; Mechanisms'!$E$601:$I$631,HLOOKUP('Personalized Bill Menu'!$B$22, 'Misc. Data &amp; Mechanisms'!$E$599:$I$600, 2, FALSE), FALSE), 'Misc. Data &amp; Mechanisms'!$A$599:$C$659, 2, FALSE), FALSE)))</f>
        <v>0.05</v>
      </c>
      <c r="AS32" s="2"/>
      <c r="AT32" s="2"/>
      <c r="AU32" s="2"/>
      <c r="AV32" s="2"/>
      <c r="AW32" s="2"/>
    </row>
    <row r="33" spans="1:49" x14ac:dyDescent="0.35">
      <c r="A33" s="83">
        <f>'Personalized Bill Menu'!$H30</f>
        <v>41699</v>
      </c>
      <c r="B33" s="84">
        <f t="shared" si="0"/>
        <v>31</v>
      </c>
      <c r="C33" s="85">
        <f>IF('Personalized Bill Menu'!$B$34&lt;&gt;"Natural Gas", 'Personalized Bill Menu'!$I30, "")</f>
        <v>672.47295275973647</v>
      </c>
      <c r="D33" s="66">
        <f t="shared" ca="1" si="17"/>
        <v>17.388574457870906</v>
      </c>
      <c r="E33" s="66">
        <f ca="1">IFERROR((1+$AR33)*(IF('Personalized Bill Menu'!$B$22="ENMAX", ((1+IFERROR($X33, 0))*($N33+$P33+$R33+$AB33+$AC33))+((1+IF($X33="", 0,$X33))*(IF($AD33="", 0,$AD33)*$R33)), IF('Personalized Bill Menu'!$B$22="EPCOR", ($N33+$P33+$R33+$X33+SUM($AB33:$AE33)), IF('Personalized Bill Menu'!$B$22="ATCO",($N33+((1+IF($AE33="", 0,$AE33))*(1+$X33+$Y33)*($P33+$R33))+SUM($AB33:$AD33)),IF($AD33="",$N33+((1+$X33+$Y33)*($P33+$R33))+$AB33+$AE33+(IF($AC33="", 0, $AC33)*$P33)+($R33*IF($AF33="", 0, $AF33)),$N33+((1+$X33+$Y33)*($P33+$R33))+$AB33+($AD33*$P33)+(IF($AC33="", 0, $AC33)*$P33)+($R33*IF($AF33="", 0, $AF33))))))), "")</f>
        <v>13.738200096625201</v>
      </c>
      <c r="F33" s="1469">
        <f t="shared" ca="1" si="1"/>
        <v>116.9334600996698</v>
      </c>
      <c r="G33" s="66">
        <f t="shared" si="2"/>
        <v>49.216277993626832</v>
      </c>
      <c r="H33" s="66">
        <f t="shared" ca="1" si="3"/>
        <v>13.088341079562749</v>
      </c>
      <c r="I33" s="66">
        <f t="shared" ca="1" si="4"/>
        <v>18.643169325741688</v>
      </c>
      <c r="J33" s="66">
        <f t="shared" ca="1" si="5"/>
        <v>10.411112915620571</v>
      </c>
      <c r="K33" s="66">
        <f t="shared" ca="1" si="6"/>
        <v>12.761598780371788</v>
      </c>
      <c r="L33" s="66">
        <f t="shared" si="7"/>
        <v>7.2446999999999999</v>
      </c>
      <c r="M33" s="68">
        <f t="shared" ca="1" si="8"/>
        <v>5.5682600047461817</v>
      </c>
      <c r="N33" s="69">
        <f>IF('Personalized Bill Menu'!$B$34&lt;&gt;"Natural Gas", 'Personalized Bill Menu'!$J30, "")</f>
        <v>7.3186999999999998</v>
      </c>
      <c r="O33" s="70">
        <f t="shared" si="9"/>
        <v>49.216277993626832</v>
      </c>
      <c r="P33" s="71">
        <f ca="1">IF($A33="", "",IFERROR(IF(VLOOKUP($A33, INDIRECT("'" &amp; 'Personalized Bill Menu'!$B$22 &amp; "'!" &amp;"$A$4:$CA$100"), VLOOKUP(VLOOKUP(P$5,'Misc. Data &amp; Mechanisms'!$E$601:$I$631,HLOOKUP('Personalized Bill Menu'!$B$22, 'Misc. Data &amp; Mechanisms'!$E$599:$I$600, 2, FALSE), FALSE), 'Misc. Data &amp; Mechanisms'!$A$599:$C$659, 2, FALSE), FALSE) = "", "", VLOOKUP($A33, INDIRECT("'" &amp; 'Personalized Bill Menu'!$B$22 &amp; "'!" &amp;"$A$4:$CA$100"), VLOOKUP(VLOOKUP(P$5,'Misc. Data &amp; Mechanisms'!$E$601:$I$631,HLOOKUP('Personalized Bill Menu'!$B$22, 'Misc. Data &amp; Mechanisms'!$E$599:$I$600, 2, FALSE), FALSE), 'Misc. Data &amp; Mechanisms'!$A$599:$C$659, 2, FALSE), FALSE)), ""))</f>
        <v>1.9462999999999999</v>
      </c>
      <c r="Q33" s="72">
        <f t="shared" ca="1" si="10"/>
        <v>13.088341079562749</v>
      </c>
      <c r="R33" s="87">
        <f ca="1">IF($A33="", "",IFERROR(IF(VLOOKUP($A33, INDIRECT("'" &amp; 'Personalized Bill Menu'!$B$22 &amp; "'!" &amp;"$A$4:$CA$100"), VLOOKUP(VLOOKUP(R$5,'Misc. Data &amp; Mechanisms'!$E$601:$I$631,HLOOKUP('Personalized Bill Menu'!$B$22, 'Misc. Data &amp; Mechanisms'!$E$599:$I$600, 2, FALSE), FALSE), 'Misc. Data &amp; Mechanisms'!$A$599:$C$659, 2, FALSE), FALSE) = "", "", VLOOKUP($A33, INDIRECT("'" &amp; 'Personalized Bill Menu'!$B$22 &amp; "'!" &amp;"$A$4:$CA$100"), VLOOKUP(VLOOKUP(R$5,'Misc. Data &amp; Mechanisms'!$E$601:$I$631,HLOOKUP('Personalized Bill Menu'!$B$22, 'Misc. Data &amp; Mechanisms'!$E$599:$I$600, 2, FALSE), FALSE), 'Misc. Data &amp; Mechanisms'!$A$599:$C$659, 2, FALSE), FALSE)), ""))</f>
        <v>0.86209999999999998</v>
      </c>
      <c r="S33" s="88">
        <f ca="1">IF($A33="", "",IFERROR(IF(VLOOKUP($A33, INDIRECT("'" &amp; 'Personalized Bill Menu'!$B$22 &amp; "'!" &amp;"$A$4:$CA$100"), VLOOKUP(VLOOKUP(S$5,'Misc. Data &amp; Mechanisms'!$E$601:$I$631,HLOOKUP('Personalized Bill Menu'!$B$22, 'Misc. Data &amp; Mechanisms'!$E$599:$I$600, 2, FALSE), FALSE), 'Misc. Data &amp; Mechanisms'!$A$599:$C$659, 2, FALSE), FALSE) = "", "", VLOOKUP($A33, INDIRECT("'" &amp; 'Personalized Bill Menu'!$B$22 &amp; "'!" &amp;"$A$4:$CA$100"), VLOOKUP(VLOOKUP(S$5,'Misc. Data &amp; Mechanisms'!$E$601:$I$631,HLOOKUP('Personalized Bill Menu'!$B$22, 'Misc. Data &amp; Mechanisms'!$E$599:$I$600, 2, FALSE), FALSE), 'Misc. Data &amp; Mechanisms'!$A$599:$C$659, 2, FALSE), FALSE)), ""))</f>
        <v>0.41438000000000003</v>
      </c>
      <c r="T33" s="81" t="str">
        <f ca="1">IF($A33="", "",IFERROR(IF(VLOOKUP($A33, INDIRECT("'" &amp; 'Personalized Bill Menu'!$B$22 &amp; "'!" &amp;"$A$4:$CA$100"), VLOOKUP(VLOOKUP(T$5,'Misc. Data &amp; Mechanisms'!$E$601:$I$631,HLOOKUP('Personalized Bill Menu'!$B$22, 'Misc. Data &amp; Mechanisms'!$E$599:$I$600, 2, FALSE), FALSE), 'Misc. Data &amp; Mechanisms'!$A$599:$C$659, 2, FALSE), FALSE) = "", "", VLOOKUP($A33, INDIRECT("'" &amp; 'Personalized Bill Menu'!$B$22 &amp; "'!" &amp;"$A$4:$CA$100"), VLOOKUP(VLOOKUP(T$5,'Misc. Data &amp; Mechanisms'!$E$601:$I$631,HLOOKUP('Personalized Bill Menu'!$B$22, 'Misc. Data &amp; Mechanisms'!$E$599:$I$600, 2, FALSE), FALSE), 'Misc. Data &amp; Mechanisms'!$A$599:$C$659, 2, FALSE), FALSE)), ""))</f>
        <v/>
      </c>
      <c r="U33" s="72">
        <f t="shared" ca="1" si="11"/>
        <v>5.7973893257416886</v>
      </c>
      <c r="V33" s="72">
        <f t="shared" ca="1" si="12"/>
        <v>12.845780000000001</v>
      </c>
      <c r="W33" s="70" t="str">
        <f t="shared" si="13"/>
        <v/>
      </c>
      <c r="X33" s="78">
        <f>IFERROR(IF(VLOOKUP($A33,'Misc. Data &amp; Mechanisms'!$A$63:$DY$152,HLOOKUP('Personalized Bill Menu'!$B$21&amp;"_"&amp;'Personalized Bill Menu'!$B$22&amp;"_Elec_Y_1",'Misc. Data &amp; Mechanisms'!$A$55:$DY$62,8,FALSE), FALSE)="", "", VLOOKUP($A33,'Misc. Data &amp; Mechanisms'!$A$63:$DY$152,HLOOKUP('Personalized Bill Menu'!$B$21&amp;"_"&amp;'Personalized Bill Menu'!$B$22&amp;"_Elec_Y_1",'Misc. Data &amp; Mechanisms'!$A$55:$DY$62,8,FALSE), FALSE)), "")</f>
        <v>0.1111</v>
      </c>
      <c r="Y33" s="78" t="str">
        <f>IFERROR(IF(VLOOKUP($A33,'Misc. Data &amp; Mechanisms'!$A$63:$DY$152,HLOOKUP('Personalized Bill Menu'!$B$21&amp;"_"&amp;'Personalized Bill Menu'!$B$22&amp;"_Elec_Y_2",'Misc. Data &amp; Mechanisms'!$A$55:$DY$62,8,FALSE), FALSE)="", "", VLOOKUP($A33,'Misc. Data &amp; Mechanisms'!$A$63:$DY$152,HLOOKUP('Personalized Bill Menu'!$B$21&amp;"_"&amp;'Personalized Bill Menu'!$B$22&amp;"_Elec_Y_2",'Misc. Data &amp; Mechanisms'!$A$55:$DY$62,8,FALSE), FALSE)), "")</f>
        <v/>
      </c>
      <c r="Z33" s="72">
        <f ca="1">IF($A33="", "",IFERROR(IF(OR('Personalized Bill Menu'!$B$22="FORTIS", 'Personalized Bill Menu'!$B$22="ATCO"), $X33*($H33+$I33), IF('Personalized Bill Menu'!$B$22="ENMAX",$X33*($H33+$I33+$K33),($X33/100)*$C33)), 0))</f>
        <v>4.9431844305286292</v>
      </c>
      <c r="AA33" s="72">
        <f>IF($A33="", "", IFERROR(IF(OR('Personalized Bill Menu'!$B$22="FORTIS", 'Personalized Bill Menu'!$B$22="ATCO"), $Y33*($H33+$I33), IF('Personalized Bill Menu'!$B$22="ENMAX",$X33*$G33,"")), 0))</f>
        <v>5.4679284850919414</v>
      </c>
      <c r="AB33" s="89">
        <f ca="1">IF($A33="", "",IFERROR(IF(VLOOKUP($A33, INDIRECT("'" &amp; 'Personalized Bill Menu'!$B$22 &amp; "'!" &amp;"$A$4:$CA$100"), VLOOKUP(VLOOKUP("RIDER RATE 1",'Misc. Data &amp; Mechanisms'!$E$601:$I$631,HLOOKUP('Personalized Bill Menu'!$B$22, 'Misc. Data &amp; Mechanisms'!$E$599:$I$600, 2, FALSE), FALSE), 'Misc. Data &amp; Mechanisms'!$A$599:$C$659, 2, FALSE), FALSE) = "", "", VLOOKUP($A33, INDIRECT("'" &amp; 'Personalized Bill Menu'!$B$22 &amp; "'!" &amp;"$A$4:$CA$100"), VLOOKUP(VLOOKUP("RIDER RATE 1",'Misc. Data &amp; Mechanisms'!$E$601:$I$631,HLOOKUP('Personalized Bill Menu'!$B$22, 'Misc. Data &amp; Mechanisms'!$E$599:$I$600, 2, FALSE), FALSE), 'Misc. Data &amp; Mechanisms'!$A$599:$C$659, 2, FALSE), FALSE)), ""))</f>
        <v>-0.56430000000000002</v>
      </c>
      <c r="AC33" s="69">
        <f ca="1">IF($A33="", "",IFERROR(IF(VLOOKUP($A33, INDIRECT("'" &amp; 'Personalized Bill Menu'!$B$22 &amp; "'!" &amp;"$A$4:$CA$100"), VLOOKUP(VLOOKUP("RIDER RATE 2",'Misc. Data &amp; Mechanisms'!$E$601:$I$631,HLOOKUP('Personalized Bill Menu'!$B$22, 'Misc. Data &amp; Mechanisms'!$E$599:$I$600, 2, FALSE), FALSE), 'Misc. Data &amp; Mechanisms'!$A$599:$C$659, 2, FALSE), FALSE) = "", "", VLOOKUP($A33, INDIRECT("'" &amp; 'Personalized Bill Menu'!$B$22 &amp; "'!" &amp;"$A$4:$CA$100"), VLOOKUP(VLOOKUP("RIDER RATE 2",'Misc. Data &amp; Mechanisms'!$E$601:$I$631,HLOOKUP('Personalized Bill Menu'!$B$22, 'Misc. Data &amp; Mechanisms'!$E$599:$I$600, 2, FALSE), FALSE), 'Misc. Data &amp; Mechanisms'!$A$599:$C$659, 2, FALSE), FALSE)), ""))</f>
        <v>2.1004999999999998</v>
      </c>
      <c r="AD33" s="69">
        <f ca="1">IF($A33="", "",IFERROR(IF(VLOOKUP($A33, INDIRECT("'" &amp; 'Personalized Bill Menu'!$B$22 &amp; "'!" &amp;"$A$4:$CA$100"), VLOOKUP(VLOOKUP("RIDER RATE 3",'Misc. Data &amp; Mechanisms'!$E$601:$I$631,HLOOKUP('Personalized Bill Menu'!$B$22, 'Misc. Data &amp; Mechanisms'!$E$599:$I$600, 2, FALSE), FALSE), 'Misc. Data &amp; Mechanisms'!$A$599:$C$659, 2, FALSE), FALSE) = "", "", VLOOKUP($A33, INDIRECT("'" &amp; 'Personalized Bill Menu'!$B$22 &amp; "'!" &amp;"$A$4:$CA$100"), VLOOKUP(VLOOKUP("RIDER RATE 3",'Misc. Data &amp; Mechanisms'!$E$601:$I$631,HLOOKUP('Personalized Bill Menu'!$B$22, 'Misc. Data &amp; Mechanisms'!$E$599:$I$600, 2, FALSE), FALSE), 'Misc. Data &amp; Mechanisms'!$A$599:$C$659, 2, FALSE), FALSE)), ""))</f>
        <v>0.13039999999999999</v>
      </c>
      <c r="AE33" s="69" t="str">
        <f ca="1">IF($A33="", "",IFERROR(IF(VLOOKUP($A33, INDIRECT("'" &amp; 'Personalized Bill Menu'!$B$22 &amp; "'!" &amp;"$A$4:$CA$100"), VLOOKUP(VLOOKUP("RIDER RATE 4",'Misc. Data &amp; Mechanisms'!$E$601:$I$631,HLOOKUP('Personalized Bill Menu'!$B$22, 'Misc. Data &amp; Mechanisms'!$E$599:$I$600, 2, FALSE), FALSE), 'Misc. Data &amp; Mechanisms'!$A$599:$C$659, 2, FALSE), FALSE) = "", "", VLOOKUP($A33, INDIRECT("'" &amp; 'Personalized Bill Menu'!$B$22 &amp; "'!" &amp;"$A$4:$CA$100"), VLOOKUP(VLOOKUP("RIDER RATE 4",'Misc. Data &amp; Mechanisms'!$E$601:$I$631,HLOOKUP('Personalized Bill Menu'!$B$22, 'Misc. Data &amp; Mechanisms'!$E$599:$I$600, 2, FALSE), FALSE), 'Misc. Data &amp; Mechanisms'!$A$599:$C$659, 2, FALSE), FALSE)), ""))</f>
        <v/>
      </c>
      <c r="AF33" s="90" t="str">
        <f ca="1">IF($A33="", "",IFERROR(IF(VLOOKUP($A33, INDIRECT("'" &amp; 'Personalized Bill Menu'!$B$22 &amp; "'!" &amp;"$A$4:$CA$100"), VLOOKUP(VLOOKUP("RIDER RATE 5",'Misc. Data &amp; Mechanisms'!$E$601:$I$631,HLOOKUP('Personalized Bill Menu'!$B$22, 'Misc. Data &amp; Mechanisms'!$E$599:$I$600, 2, FALSE), FALSE), 'Misc. Data &amp; Mechanisms'!$A$599:$C$659, 2, FALSE), FALSE) = "", "", VLOOKUP($A33, INDIRECT("'" &amp; 'Personalized Bill Menu'!$B$22 &amp; "'!" &amp;"$A$4:$CA$100"), VLOOKUP(VLOOKUP("RIDER RATE 5",'Misc. Data &amp; Mechanisms'!$E$601:$I$631,HLOOKUP('Personalized Bill Menu'!$B$22, 'Misc. Data &amp; Mechanisms'!$E$599:$I$600, 2, FALSE), FALSE), 'Misc. Data &amp; Mechanisms'!$A$599:$C$659, 2, FALSE), FALSE)), ""))</f>
        <v/>
      </c>
      <c r="AG33" s="90" t="str">
        <f ca="1">IF($A33="", "",IFERROR(IF(VLOOKUP($A33, INDIRECT("'" &amp; 'Personalized Bill Menu'!$B$22 &amp; "'!" &amp;"$A$4:$CA$100"), VLOOKUP(VLOOKUP("RIDER RATE 6",'Misc. Data &amp; Mechanisms'!$E$601:$I$631,HLOOKUP('Personalized Bill Menu'!$B$22, 'Misc. Data &amp; Mechanisms'!$E$599:$I$600, 2, FALSE), FALSE), 'Misc. Data &amp; Mechanisms'!$A$599:$C$659, 2, FALSE), FALSE) = "", "", VLOOKUP($A33, INDIRECT("'" &amp; 'Personalized Bill Menu'!$B$22 &amp; "'!" &amp;"$A$4:$CA$100"), VLOOKUP(VLOOKUP("RIDER RATE 6",'Misc. Data &amp; Mechanisms'!$E$601:$I$631,HLOOKUP('Personalized Bill Menu'!$B$22, 'Misc. Data &amp; Mechanisms'!$E$599:$I$600, 2, FALSE), FALSE), 'Misc. Data &amp; Mechanisms'!$A$599:$C$659, 2, FALSE), FALSE)), ""))</f>
        <v/>
      </c>
      <c r="AH33" s="90" t="str">
        <f ca="1">IF($A33="", "",IFERROR(IF(VLOOKUP($A33, INDIRECT("'" &amp; 'Personalized Bill Menu'!$B$22 &amp; "'!" &amp;"$A$4:$CA$100"), VLOOKUP(VLOOKUP("RIDER RATE 7",'Misc. Data &amp; Mechanisms'!$E$601:$I$631,HLOOKUP('Personalized Bill Menu'!$B$22, 'Misc. Data &amp; Mechanisms'!$E$599:$I$600, 2, FALSE), FALSE), 'Misc. Data &amp; Mechanisms'!$A$599:$C$659, 2, FALSE), FALSE) = "", "", VLOOKUP($A33, INDIRECT("'" &amp; 'Personalized Bill Menu'!$B$22 &amp; "'!" &amp;"$A$4:$CA$100"), VLOOKUP(VLOOKUP("RIDER RATE 7",'Misc. Data &amp; Mechanisms'!$E$601:$I$631,HLOOKUP('Personalized Bill Menu'!$B$22, 'Misc. Data &amp; Mechanisms'!$E$599:$I$600, 2, FALSE), FALSE), 'Misc. Data &amp; Mechanisms'!$A$599:$C$659, 2, FALSE), FALSE)), ""))</f>
        <v/>
      </c>
      <c r="AI33" s="72">
        <f t="shared" ca="1" si="14"/>
        <v>-3.794764872423193</v>
      </c>
      <c r="AJ33" s="72">
        <f t="shared" ca="1" si="15"/>
        <v>14.125294372718264</v>
      </c>
      <c r="AK33" s="72">
        <f ca="1">IF($A33="", "", IFERROR(IF($AD$6="%",IF('Personalized Bill Menu'!$B$22="ENMAX", $AD33*$I33, IF(AND($AD33="", 'Personalized Bill Menu'!$B$22="FORTIS"),($AE33/100)*$C33,$AD33*$H33)),($AD33/100)*$C33), 0))</f>
        <v>2.431069280076716</v>
      </c>
      <c r="AL33" s="72">
        <f ca="1">IF($A33="", "", IFERROR(IF('Personalized Bill Menu'!$B$22="ENMAX",$AE33*$B33,IF($AE$6="%",$AE33*($H33+$I33+$J33), IF('Personalized Bill Menu'!$B$22="FORTIS",$AF33*$I33,($AE33/100)*$C33))), 0))</f>
        <v>0</v>
      </c>
      <c r="AM33" s="72" t="str">
        <f>IF($A33="", "", IFERROR(IF('Personalized Bill Menu'!$B$22="EPCOR",($AF33/100)*$C33, IF('Personalized Bill Menu'!$B$22="ATCO",$AF33*1,"")), 0))</f>
        <v/>
      </c>
      <c r="AN33" s="72" t="str">
        <f>IF($A33="", "", IFERROR(IF('Personalized Bill Menu'!$B$22="ATCO",$AG33*$B33,""), 0))</f>
        <v/>
      </c>
      <c r="AO33" s="70" t="str">
        <f>IF($A33="", "", IFERROR(IF('Personalized Bill Menu'!$B$22="ATCO",$AH33*$B33,""), 0))</f>
        <v/>
      </c>
      <c r="AP33" s="81">
        <f>IF('Personalized Bill Menu'!$B$34&lt;&gt;"Natural Gas", 'Personalized Bill Menu'!$K30, "")</f>
        <v>0.23369999999999999</v>
      </c>
      <c r="AQ33" s="72">
        <f t="shared" si="16"/>
        <v>7.2446999999999999</v>
      </c>
      <c r="AR33" s="91">
        <f ca="1">IF($A33="", "",IF(VLOOKUP($A33, INDIRECT("'" &amp; 'Personalized Bill Menu'!$B$22 &amp; "'!" &amp;"$A$4:$CA$100"), VLOOKUP(VLOOKUP(AR$5,'Misc. Data &amp; Mechanisms'!$E$601:$I$631,HLOOKUP('Personalized Bill Menu'!$B$22, 'Misc. Data &amp; Mechanisms'!$E$599:$I$600, 2, FALSE), FALSE), 'Misc. Data &amp; Mechanisms'!$A$599:$C$659, 2, FALSE), FALSE) = "", "", VLOOKUP($A33, INDIRECT("'" &amp; 'Personalized Bill Menu'!$B$22 &amp; "'!" &amp;"$A$4:$CA$100"), VLOOKUP(VLOOKUP(AR$5,'Misc. Data &amp; Mechanisms'!$E$601:$I$631,HLOOKUP('Personalized Bill Menu'!$B$22, 'Misc. Data &amp; Mechanisms'!$E$599:$I$600, 2, FALSE), FALSE), 'Misc. Data &amp; Mechanisms'!$A$599:$C$659, 2, FALSE), FALSE)))</f>
        <v>0.05</v>
      </c>
      <c r="AS33" s="2"/>
      <c r="AT33" s="2"/>
      <c r="AU33" s="2"/>
      <c r="AV33" s="2"/>
      <c r="AW33" s="2"/>
    </row>
    <row r="34" spans="1:49" x14ac:dyDescent="0.35">
      <c r="A34" s="83">
        <f>'Personalized Bill Menu'!$H31</f>
        <v>41730</v>
      </c>
      <c r="B34" s="84">
        <f t="shared" si="0"/>
        <v>30</v>
      </c>
      <c r="C34" s="85">
        <f>IF('Personalized Bill Menu'!$B$34&lt;&gt;"Natural Gas", 'Personalized Bill Menu'!$I31, "")</f>
        <v>549.22593994361023</v>
      </c>
      <c r="D34" s="66">
        <f t="shared" ca="1" si="17"/>
        <v>15.993549065059598</v>
      </c>
      <c r="E34" s="66">
        <f ca="1">IFERROR((1+$AR34)*(IF('Personalized Bill Menu'!$B$22="ENMAX", ((1+IFERROR($X34, 0))*($N34+$P34+$R34+$AB34+$AC34))+((1+IF($X34="", 0,$X34))*(IF($AD34="", 0,$AD34)*$R34)), IF('Personalized Bill Menu'!$B$22="EPCOR", ($N34+$P34+$R34+$X34+SUM($AB34:$AE34)), IF('Personalized Bill Menu'!$B$22="ATCO",($N34+((1+IF($AE34="", 0,$AE34))*(1+$X34+$Y34)*($P34+$R34))+SUM($AB34:$AD34)),IF($AD34="",$N34+((1+$X34+$Y34)*($P34+$R34))+$AB34+$AE34+(IF($AC34="", 0, $AC34)*$P34)+($R34*IF($AF34="", 0, $AF34)),$N34+((1+$X34+$Y34)*($P34+$R34))+$AB34+($AD34*$P34)+(IF($AC34="", 0, $AC34)*$P34)+($R34*IF($AF34="", 0, $AF34))))))), "")</f>
        <v>11.668204130125202</v>
      </c>
      <c r="F34" s="1469">
        <f t="shared" ca="1" si="1"/>
        <v>87.840720182916058</v>
      </c>
      <c r="G34" s="66">
        <f t="shared" si="2"/>
        <v>38.906067133725458</v>
      </c>
      <c r="H34" s="66">
        <f t="shared" ca="1" si="3"/>
        <v>10.689584469122485</v>
      </c>
      <c r="I34" s="66">
        <f t="shared" ca="1" si="4"/>
        <v>17.166276828253864</v>
      </c>
      <c r="J34" s="66">
        <f t="shared" ca="1" si="5"/>
        <v>7.663993046206441</v>
      </c>
      <c r="K34" s="66">
        <f t="shared" ca="1" si="6"/>
        <v>2.220907268326108</v>
      </c>
      <c r="L34" s="66">
        <f t="shared" si="7"/>
        <v>7.0110000000000001</v>
      </c>
      <c r="M34" s="68">
        <f t="shared" ca="1" si="8"/>
        <v>4.1828914372817172</v>
      </c>
      <c r="N34" s="69">
        <f>IF('Personalized Bill Menu'!$B$34&lt;&gt;"Natural Gas", 'Personalized Bill Menu'!$J31, "")</f>
        <v>7.0838000000000001</v>
      </c>
      <c r="O34" s="70">
        <f t="shared" si="9"/>
        <v>38.906067133725458</v>
      </c>
      <c r="P34" s="71">
        <f ca="1">IF($A34="", "",IFERROR(IF(VLOOKUP($A34, INDIRECT("'" &amp; 'Personalized Bill Menu'!$B$22 &amp; "'!" &amp;"$A$4:$CA$100"), VLOOKUP(VLOOKUP(P$5,'Misc. Data &amp; Mechanisms'!$E$601:$I$631,HLOOKUP('Personalized Bill Menu'!$B$22, 'Misc. Data &amp; Mechanisms'!$E$599:$I$600, 2, FALSE), FALSE), 'Misc. Data &amp; Mechanisms'!$A$599:$C$659, 2, FALSE), FALSE) = "", "", VLOOKUP($A34, INDIRECT("'" &amp; 'Personalized Bill Menu'!$B$22 &amp; "'!" &amp;"$A$4:$CA$100"), VLOOKUP(VLOOKUP(P$5,'Misc. Data &amp; Mechanisms'!$E$601:$I$631,HLOOKUP('Personalized Bill Menu'!$B$22, 'Misc. Data &amp; Mechanisms'!$E$599:$I$600, 2, FALSE), FALSE), 'Misc. Data &amp; Mechanisms'!$A$599:$C$659, 2, FALSE), FALSE)), ""))</f>
        <v>1.9462999999999999</v>
      </c>
      <c r="Q34" s="72">
        <f t="shared" ca="1" si="10"/>
        <v>10.689584469122485</v>
      </c>
      <c r="R34" s="87">
        <f ca="1">IF($A34="", "",IFERROR(IF(VLOOKUP($A34, INDIRECT("'" &amp; 'Personalized Bill Menu'!$B$22 &amp; "'!" &amp;"$A$4:$CA$100"), VLOOKUP(VLOOKUP(R$5,'Misc. Data &amp; Mechanisms'!$E$601:$I$631,HLOOKUP('Personalized Bill Menu'!$B$22, 'Misc. Data &amp; Mechanisms'!$E$599:$I$600, 2, FALSE), FALSE), 'Misc. Data &amp; Mechanisms'!$A$599:$C$659, 2, FALSE), FALSE) = "", "", VLOOKUP($A34, INDIRECT("'" &amp; 'Personalized Bill Menu'!$B$22 &amp; "'!" &amp;"$A$4:$CA$100"), VLOOKUP(VLOOKUP(R$5,'Misc. Data &amp; Mechanisms'!$E$601:$I$631,HLOOKUP('Personalized Bill Menu'!$B$22, 'Misc. Data &amp; Mechanisms'!$E$599:$I$600, 2, FALSE), FALSE), 'Misc. Data &amp; Mechanisms'!$A$599:$C$659, 2, FALSE), FALSE)), ""))</f>
        <v>0.86209999999999998</v>
      </c>
      <c r="S34" s="88">
        <f ca="1">IF($A34="", "",IFERROR(IF(VLOOKUP($A34, INDIRECT("'" &amp; 'Personalized Bill Menu'!$B$22 &amp; "'!" &amp;"$A$4:$CA$100"), VLOOKUP(VLOOKUP(S$5,'Misc. Data &amp; Mechanisms'!$E$601:$I$631,HLOOKUP('Personalized Bill Menu'!$B$22, 'Misc. Data &amp; Mechanisms'!$E$599:$I$600, 2, FALSE), FALSE), 'Misc. Data &amp; Mechanisms'!$A$599:$C$659, 2, FALSE), FALSE) = "", "", VLOOKUP($A34, INDIRECT("'" &amp; 'Personalized Bill Menu'!$B$22 &amp; "'!" &amp;"$A$4:$CA$100"), VLOOKUP(VLOOKUP(S$5,'Misc. Data &amp; Mechanisms'!$E$601:$I$631,HLOOKUP('Personalized Bill Menu'!$B$22, 'Misc. Data &amp; Mechanisms'!$E$599:$I$600, 2, FALSE), FALSE), 'Misc. Data &amp; Mechanisms'!$A$599:$C$659, 2, FALSE), FALSE)), ""))</f>
        <v>0.41438000000000003</v>
      </c>
      <c r="T34" s="81" t="str">
        <f ca="1">IF($A34="", "",IFERROR(IF(VLOOKUP($A34, INDIRECT("'" &amp; 'Personalized Bill Menu'!$B$22 &amp; "'!" &amp;"$A$4:$CA$100"), VLOOKUP(VLOOKUP(T$5,'Misc. Data &amp; Mechanisms'!$E$601:$I$631,HLOOKUP('Personalized Bill Menu'!$B$22, 'Misc. Data &amp; Mechanisms'!$E$599:$I$600, 2, FALSE), FALSE), 'Misc. Data &amp; Mechanisms'!$A$599:$C$659, 2, FALSE), FALSE) = "", "", VLOOKUP($A34, INDIRECT("'" &amp; 'Personalized Bill Menu'!$B$22 &amp; "'!" &amp;"$A$4:$CA$100"), VLOOKUP(VLOOKUP(T$5,'Misc. Data &amp; Mechanisms'!$E$601:$I$631,HLOOKUP('Personalized Bill Menu'!$B$22, 'Misc. Data &amp; Mechanisms'!$E$599:$I$600, 2, FALSE), FALSE), 'Misc. Data &amp; Mechanisms'!$A$599:$C$659, 2, FALSE), FALSE)), ""))</f>
        <v/>
      </c>
      <c r="U34" s="72">
        <f t="shared" ca="1" si="11"/>
        <v>4.7348768282538636</v>
      </c>
      <c r="V34" s="72">
        <f t="shared" ca="1" si="12"/>
        <v>12.4314</v>
      </c>
      <c r="W34" s="70" t="str">
        <f t="shared" si="13"/>
        <v/>
      </c>
      <c r="X34" s="78">
        <f>IFERROR(IF(VLOOKUP($A34,'Misc. Data &amp; Mechanisms'!$A$63:$DY$152,HLOOKUP('Personalized Bill Menu'!$B$21&amp;"_"&amp;'Personalized Bill Menu'!$B$22&amp;"_Elec_Y_1",'Misc. Data &amp; Mechanisms'!$A$55:$DY$62,8,FALSE), FALSE)="", "", VLOOKUP($A34,'Misc. Data &amp; Mechanisms'!$A$63:$DY$152,HLOOKUP('Personalized Bill Menu'!$B$21&amp;"_"&amp;'Personalized Bill Menu'!$B$22&amp;"_Elec_Y_1",'Misc. Data &amp; Mechanisms'!$A$55:$DY$62,8,FALSE), FALSE)), "")</f>
        <v>0.1111</v>
      </c>
      <c r="Y34" s="78" t="str">
        <f>IFERROR(IF(VLOOKUP($A34,'Misc. Data &amp; Mechanisms'!$A$63:$DY$152,HLOOKUP('Personalized Bill Menu'!$B$21&amp;"_"&amp;'Personalized Bill Menu'!$B$22&amp;"_Elec_Y_2",'Misc. Data &amp; Mechanisms'!$A$55:$DY$62,8,FALSE), FALSE)="", "", VLOOKUP($A34,'Misc. Data &amp; Mechanisms'!$A$63:$DY$152,HLOOKUP('Personalized Bill Menu'!$B$21&amp;"_"&amp;'Personalized Bill Menu'!$B$22&amp;"_Elec_Y_2",'Misc. Data &amp; Mechanisms'!$A$55:$DY$62,8,FALSE), FALSE)), "")</f>
        <v/>
      </c>
      <c r="Z34" s="72">
        <f ca="1">IF($A34="", "",IFERROR(IF(OR('Personalized Bill Menu'!$B$22="FORTIS", 'Personalized Bill Menu'!$B$22="ATCO"), $X34*($H34+$I34), IF('Personalized Bill Menu'!$B$22="ENMAX",$X34*($H34+$I34+$K34),($X34/100)*$C34)), 0))</f>
        <v>3.3415289876495433</v>
      </c>
      <c r="AA34" s="72">
        <f>IF($A34="", "", IFERROR(IF(OR('Personalized Bill Menu'!$B$22="FORTIS", 'Personalized Bill Menu'!$B$22="ATCO"), $Y34*($H34+$I34), IF('Personalized Bill Menu'!$B$22="ENMAX",$X34*$G34,"")), 0))</f>
        <v>4.3224640585568981</v>
      </c>
      <c r="AB34" s="89">
        <f ca="1">IF($A34="", "",IFERROR(IF(VLOOKUP($A34, INDIRECT("'" &amp; 'Personalized Bill Menu'!$B$22 &amp; "'!" &amp;"$A$4:$CA$100"), VLOOKUP(VLOOKUP("RIDER RATE 1",'Misc. Data &amp; Mechanisms'!$E$601:$I$631,HLOOKUP('Personalized Bill Menu'!$B$22, 'Misc. Data &amp; Mechanisms'!$E$599:$I$600, 2, FALSE), FALSE), 'Misc. Data &amp; Mechanisms'!$A$599:$C$659, 2, FALSE), FALSE) = "", "", VLOOKUP($A34, INDIRECT("'" &amp; 'Personalized Bill Menu'!$B$22 &amp; "'!" &amp;"$A$4:$CA$100"), VLOOKUP(VLOOKUP("RIDER RATE 1",'Misc. Data &amp; Mechanisms'!$E$601:$I$631,HLOOKUP('Personalized Bill Menu'!$B$22, 'Misc. Data &amp; Mechanisms'!$E$599:$I$600, 2, FALSE), FALSE), 'Misc. Data &amp; Mechanisms'!$A$599:$C$659, 2, FALSE), FALSE)), ""))</f>
        <v>-0.56430000000000002</v>
      </c>
      <c r="AC34" s="69">
        <f ca="1">IF($A34="", "",IFERROR(IF(VLOOKUP($A34, INDIRECT("'" &amp; 'Personalized Bill Menu'!$B$22 &amp; "'!" &amp;"$A$4:$CA$100"), VLOOKUP(VLOOKUP("RIDER RATE 2",'Misc. Data &amp; Mechanisms'!$E$601:$I$631,HLOOKUP('Personalized Bill Menu'!$B$22, 'Misc. Data &amp; Mechanisms'!$E$599:$I$600, 2, FALSE), FALSE), 'Misc. Data &amp; Mechanisms'!$A$599:$C$659, 2, FALSE), FALSE) = "", "", VLOOKUP($A34, INDIRECT("'" &amp; 'Personalized Bill Menu'!$B$22 &amp; "'!" &amp;"$A$4:$CA$100"), VLOOKUP(VLOOKUP("RIDER RATE 2",'Misc. Data &amp; Mechanisms'!$E$601:$I$631,HLOOKUP('Personalized Bill Menu'!$B$22, 'Misc. Data &amp; Mechanisms'!$E$599:$I$600, 2, FALSE), FALSE), 'Misc. Data &amp; Mechanisms'!$A$599:$C$659, 2, FALSE), FALSE)), ""))</f>
        <v>0.56110000000000004</v>
      </c>
      <c r="AD34" s="69">
        <f ca="1">IF($A34="", "",IFERROR(IF(VLOOKUP($A34, INDIRECT("'" &amp; 'Personalized Bill Menu'!$B$22 &amp; "'!" &amp;"$A$4:$CA$100"), VLOOKUP(VLOOKUP("RIDER RATE 3",'Misc. Data &amp; Mechanisms'!$E$601:$I$631,HLOOKUP('Personalized Bill Menu'!$B$22, 'Misc. Data &amp; Mechanisms'!$E$599:$I$600, 2, FALSE), FALSE), 'Misc. Data &amp; Mechanisms'!$A$599:$C$659, 2, FALSE), FALSE) = "", "", VLOOKUP($A34, INDIRECT("'" &amp; 'Personalized Bill Menu'!$B$22 &amp; "'!" &amp;"$A$4:$CA$100"), VLOOKUP(VLOOKUP("RIDER RATE 3",'Misc. Data &amp; Mechanisms'!$E$601:$I$631,HLOOKUP('Personalized Bill Menu'!$B$22, 'Misc. Data &amp; Mechanisms'!$E$599:$I$600, 2, FALSE), FALSE), 'Misc. Data &amp; Mechanisms'!$A$599:$C$659, 2, FALSE), FALSE)), ""))</f>
        <v>0.13039999999999999</v>
      </c>
      <c r="AE34" s="69" t="str">
        <f ca="1">IF($A34="", "",IFERROR(IF(VLOOKUP($A34, INDIRECT("'" &amp; 'Personalized Bill Menu'!$B$22 &amp; "'!" &amp;"$A$4:$CA$100"), VLOOKUP(VLOOKUP("RIDER RATE 4",'Misc. Data &amp; Mechanisms'!$E$601:$I$631,HLOOKUP('Personalized Bill Menu'!$B$22, 'Misc. Data &amp; Mechanisms'!$E$599:$I$600, 2, FALSE), FALSE), 'Misc. Data &amp; Mechanisms'!$A$599:$C$659, 2, FALSE), FALSE) = "", "", VLOOKUP($A34, INDIRECT("'" &amp; 'Personalized Bill Menu'!$B$22 &amp; "'!" &amp;"$A$4:$CA$100"), VLOOKUP(VLOOKUP("RIDER RATE 4",'Misc. Data &amp; Mechanisms'!$E$601:$I$631,HLOOKUP('Personalized Bill Menu'!$B$22, 'Misc. Data &amp; Mechanisms'!$E$599:$I$600, 2, FALSE), FALSE), 'Misc. Data &amp; Mechanisms'!$A$599:$C$659, 2, FALSE), FALSE)), ""))</f>
        <v/>
      </c>
      <c r="AF34" s="90" t="str">
        <f ca="1">IF($A34="", "",IFERROR(IF(VLOOKUP($A34, INDIRECT("'" &amp; 'Personalized Bill Menu'!$B$22 &amp; "'!" &amp;"$A$4:$CA$100"), VLOOKUP(VLOOKUP("RIDER RATE 5",'Misc. Data &amp; Mechanisms'!$E$601:$I$631,HLOOKUP('Personalized Bill Menu'!$B$22, 'Misc. Data &amp; Mechanisms'!$E$599:$I$600, 2, FALSE), FALSE), 'Misc. Data &amp; Mechanisms'!$A$599:$C$659, 2, FALSE), FALSE) = "", "", VLOOKUP($A34, INDIRECT("'" &amp; 'Personalized Bill Menu'!$B$22 &amp; "'!" &amp;"$A$4:$CA$100"), VLOOKUP(VLOOKUP("RIDER RATE 5",'Misc. Data &amp; Mechanisms'!$E$601:$I$631,HLOOKUP('Personalized Bill Menu'!$B$22, 'Misc. Data &amp; Mechanisms'!$E$599:$I$600, 2, FALSE), FALSE), 'Misc. Data &amp; Mechanisms'!$A$599:$C$659, 2, FALSE), FALSE)), ""))</f>
        <v/>
      </c>
      <c r="AG34" s="90" t="str">
        <f ca="1">IF($A34="", "",IFERROR(IF(VLOOKUP($A34, INDIRECT("'" &amp; 'Personalized Bill Menu'!$B$22 &amp; "'!" &amp;"$A$4:$CA$100"), VLOOKUP(VLOOKUP("RIDER RATE 6",'Misc. Data &amp; Mechanisms'!$E$601:$I$631,HLOOKUP('Personalized Bill Menu'!$B$22, 'Misc. Data &amp; Mechanisms'!$E$599:$I$600, 2, FALSE), FALSE), 'Misc. Data &amp; Mechanisms'!$A$599:$C$659, 2, FALSE), FALSE) = "", "", VLOOKUP($A34, INDIRECT("'" &amp; 'Personalized Bill Menu'!$B$22 &amp; "'!" &amp;"$A$4:$CA$100"), VLOOKUP(VLOOKUP("RIDER RATE 6",'Misc. Data &amp; Mechanisms'!$E$601:$I$631,HLOOKUP('Personalized Bill Menu'!$B$22, 'Misc. Data &amp; Mechanisms'!$E$599:$I$600, 2, FALSE), FALSE), 'Misc. Data &amp; Mechanisms'!$A$599:$C$659, 2, FALSE), FALSE)), ""))</f>
        <v/>
      </c>
      <c r="AH34" s="90" t="str">
        <f ca="1">IF($A34="", "",IFERROR(IF(VLOOKUP($A34, INDIRECT("'" &amp; 'Personalized Bill Menu'!$B$22 &amp; "'!" &amp;"$A$4:$CA$100"), VLOOKUP(VLOOKUP("RIDER RATE 7",'Misc. Data &amp; Mechanisms'!$E$601:$I$631,HLOOKUP('Personalized Bill Menu'!$B$22, 'Misc. Data &amp; Mechanisms'!$E$599:$I$600, 2, FALSE), FALSE), 'Misc. Data &amp; Mechanisms'!$A$599:$C$659, 2, FALSE), FALSE) = "", "", VLOOKUP($A34, INDIRECT("'" &amp; 'Personalized Bill Menu'!$B$22 &amp; "'!" &amp;"$A$4:$CA$100"), VLOOKUP(VLOOKUP("RIDER RATE 7",'Misc. Data &amp; Mechanisms'!$E$601:$I$631,HLOOKUP('Personalized Bill Menu'!$B$22, 'Misc. Data &amp; Mechanisms'!$E$599:$I$600, 2, FALSE), FALSE), 'Misc. Data &amp; Mechanisms'!$A$599:$C$659, 2, FALSE), FALSE)), ""))</f>
        <v/>
      </c>
      <c r="AI34" s="72">
        <f t="shared" ca="1" si="14"/>
        <v>-3.0992819791017929</v>
      </c>
      <c r="AJ34" s="72">
        <f t="shared" ca="1" si="15"/>
        <v>3.0817067490235974</v>
      </c>
      <c r="AK34" s="72">
        <f ca="1">IF($A34="", "", IFERROR(IF($AD$6="%",IF('Personalized Bill Menu'!$B$22="ENMAX", $AD34*$I34, IF(AND($AD34="", 'Personalized Bill Menu'!$B$22="FORTIS"),($AE34/100)*$C34,$AD34*$H34)),($AD34/100)*$C34), 0))</f>
        <v>2.2384824984043035</v>
      </c>
      <c r="AL34" s="72">
        <f ca="1">IF($A34="", "", IFERROR(IF('Personalized Bill Menu'!$B$22="ENMAX",$AE34*$B34,IF($AE$6="%",$AE34*($H34+$I34+$J34), IF('Personalized Bill Menu'!$B$22="FORTIS",$AF34*$I34,($AE34/100)*$C34))), 0))</f>
        <v>0</v>
      </c>
      <c r="AM34" s="72" t="str">
        <f>IF($A34="", "", IFERROR(IF('Personalized Bill Menu'!$B$22="EPCOR",($AF34/100)*$C34, IF('Personalized Bill Menu'!$B$22="ATCO",$AF34*1,"")), 0))</f>
        <v/>
      </c>
      <c r="AN34" s="72" t="str">
        <f>IF($A34="", "", IFERROR(IF('Personalized Bill Menu'!$B$22="ATCO",$AG34*$B34,""), 0))</f>
        <v/>
      </c>
      <c r="AO34" s="70" t="str">
        <f>IF($A34="", "", IFERROR(IF('Personalized Bill Menu'!$B$22="ATCO",$AH34*$B34,""), 0))</f>
        <v/>
      </c>
      <c r="AP34" s="81">
        <f>IF('Personalized Bill Menu'!$B$34&lt;&gt;"Natural Gas", 'Personalized Bill Menu'!$K31, "")</f>
        <v>0.23369999999999999</v>
      </c>
      <c r="AQ34" s="72">
        <f t="shared" si="16"/>
        <v>7.0110000000000001</v>
      </c>
      <c r="AR34" s="91">
        <f ca="1">IF($A34="", "",IF(VLOOKUP($A34, INDIRECT("'" &amp; 'Personalized Bill Menu'!$B$22 &amp; "'!" &amp;"$A$4:$CA$100"), VLOOKUP(VLOOKUP(AR$5,'Misc. Data &amp; Mechanisms'!$E$601:$I$631,HLOOKUP('Personalized Bill Menu'!$B$22, 'Misc. Data &amp; Mechanisms'!$E$599:$I$600, 2, FALSE), FALSE), 'Misc. Data &amp; Mechanisms'!$A$599:$C$659, 2, FALSE), FALSE) = "", "", VLOOKUP($A34, INDIRECT("'" &amp; 'Personalized Bill Menu'!$B$22 &amp; "'!" &amp;"$A$4:$CA$100"), VLOOKUP(VLOOKUP(AR$5,'Misc. Data &amp; Mechanisms'!$E$601:$I$631,HLOOKUP('Personalized Bill Menu'!$B$22, 'Misc. Data &amp; Mechanisms'!$E$599:$I$600, 2, FALSE), FALSE), 'Misc. Data &amp; Mechanisms'!$A$599:$C$659, 2, FALSE), FALSE)))</f>
        <v>0.05</v>
      </c>
      <c r="AS34" s="2"/>
      <c r="AT34" s="2"/>
      <c r="AU34" s="2"/>
      <c r="AV34" s="2"/>
      <c r="AW34" s="2"/>
    </row>
    <row r="35" spans="1:49" x14ac:dyDescent="0.35">
      <c r="A35" s="83">
        <f>'Personalized Bill Menu'!$H32</f>
        <v>41760</v>
      </c>
      <c r="B35" s="84">
        <f t="shared" si="0"/>
        <v>31</v>
      </c>
      <c r="C35" s="85">
        <f>IF('Personalized Bill Menu'!$B$34&lt;&gt;"Natural Gas", 'Personalized Bill Menu'!$I32, "")</f>
        <v>544.89601415275456</v>
      </c>
      <c r="D35" s="66">
        <f t="shared" ca="1" si="17"/>
        <v>20.289435724476846</v>
      </c>
      <c r="E35" s="66">
        <f ca="1">IFERROR((1+$AR35)*(IF('Personalized Bill Menu'!$B$22="ENMAX", ((1+IFERROR($X35, 0))*($N35+$P35+$R35+$AB35+$AC35))+((1+IF($X35="", 0,$X35))*(IF($AD35="", 0,$AD35)*$R35)), IF('Personalized Bill Menu'!$B$22="EPCOR", ($N35+$P35+$R35+$X35+SUM($AB35:$AE35)), IF('Personalized Bill Menu'!$B$22="ATCO",($N35+((1+IF($AE35="", 0,$AE35))*(1+$X35+$Y35)*($P35+$R35))+SUM($AB35:$AD35)),IF($AD35="",$N35+((1+$X35+$Y35)*($P35+$R35))+$AB35+$AE35+(IF($AC35="", 0, $AC35)*$P35)+($R35*IF($AF35="", 0, $AF35)),$N35+((1+$X35+$Y35)*($P35+$R35))+$AB35+($AD35*$P35)+(IF($AC35="", 0, $AC35)*$P35)+($R35*IF($AF35="", 0, $AF35))))))), "")</f>
        <v>15.7843963011252</v>
      </c>
      <c r="F35" s="1469">
        <f t="shared" ca="1" si="1"/>
        <v>110.5563265567594</v>
      </c>
      <c r="G35" s="66">
        <f t="shared" si="2"/>
        <v>57.824365021890316</v>
      </c>
      <c r="H35" s="66">
        <f t="shared" ca="1" si="3"/>
        <v>10.60531112345506</v>
      </c>
      <c r="I35" s="66">
        <f t="shared" ca="1" si="4"/>
        <v>17.543328538010897</v>
      </c>
      <c r="J35" s="66">
        <f t="shared" ca="1" si="5"/>
        <v>9.8038215256060877</v>
      </c>
      <c r="K35" s="66">
        <f t="shared" ca="1" si="6"/>
        <v>2.2702133689037329</v>
      </c>
      <c r="L35" s="66">
        <f t="shared" si="7"/>
        <v>7.2446999999999999</v>
      </c>
      <c r="M35" s="68">
        <f t="shared" ca="1" si="8"/>
        <v>5.2645869788933055</v>
      </c>
      <c r="N35" s="69">
        <f>IF('Personalized Bill Menu'!$B$34&lt;&gt;"Natural Gas", 'Personalized Bill Menu'!$J32, "")</f>
        <v>10.612</v>
      </c>
      <c r="O35" s="70">
        <f t="shared" si="9"/>
        <v>57.824365021890316</v>
      </c>
      <c r="P35" s="71">
        <f ca="1">IF($A35="", "",IFERROR(IF(VLOOKUP($A35, INDIRECT("'" &amp; 'Personalized Bill Menu'!$B$22 &amp; "'!" &amp;"$A$4:$CA$100"), VLOOKUP(VLOOKUP(P$5,'Misc. Data &amp; Mechanisms'!$E$601:$I$631,HLOOKUP('Personalized Bill Menu'!$B$22, 'Misc. Data &amp; Mechanisms'!$E$599:$I$600, 2, FALSE), FALSE), 'Misc. Data &amp; Mechanisms'!$A$599:$C$659, 2, FALSE), FALSE) = "", "", VLOOKUP($A35, INDIRECT("'" &amp; 'Personalized Bill Menu'!$B$22 &amp; "'!" &amp;"$A$4:$CA$100"), VLOOKUP(VLOOKUP(P$5,'Misc. Data &amp; Mechanisms'!$E$601:$I$631,HLOOKUP('Personalized Bill Menu'!$B$22, 'Misc. Data &amp; Mechanisms'!$E$599:$I$600, 2, FALSE), FALSE), 'Misc. Data &amp; Mechanisms'!$A$599:$C$659, 2, FALSE), FALSE)), ""))</f>
        <v>1.9462999999999999</v>
      </c>
      <c r="Q35" s="72">
        <f t="shared" ca="1" si="10"/>
        <v>10.60531112345506</v>
      </c>
      <c r="R35" s="87">
        <f ca="1">IF($A35="", "",IFERROR(IF(VLOOKUP($A35, INDIRECT("'" &amp; 'Personalized Bill Menu'!$B$22 &amp; "'!" &amp;"$A$4:$CA$100"), VLOOKUP(VLOOKUP(R$5,'Misc. Data &amp; Mechanisms'!$E$601:$I$631,HLOOKUP('Personalized Bill Menu'!$B$22, 'Misc. Data &amp; Mechanisms'!$E$599:$I$600, 2, FALSE), FALSE), 'Misc. Data &amp; Mechanisms'!$A$599:$C$659, 2, FALSE), FALSE) = "", "", VLOOKUP($A35, INDIRECT("'" &amp; 'Personalized Bill Menu'!$B$22 &amp; "'!" &amp;"$A$4:$CA$100"), VLOOKUP(VLOOKUP(R$5,'Misc. Data &amp; Mechanisms'!$E$601:$I$631,HLOOKUP('Personalized Bill Menu'!$B$22, 'Misc. Data &amp; Mechanisms'!$E$599:$I$600, 2, FALSE), FALSE), 'Misc. Data &amp; Mechanisms'!$A$599:$C$659, 2, FALSE), FALSE)), ""))</f>
        <v>0.86209999999999998</v>
      </c>
      <c r="S35" s="88">
        <f ca="1">IF($A35="", "",IFERROR(IF(VLOOKUP($A35, INDIRECT("'" &amp; 'Personalized Bill Menu'!$B$22 &amp; "'!" &amp;"$A$4:$CA$100"), VLOOKUP(VLOOKUP(S$5,'Misc. Data &amp; Mechanisms'!$E$601:$I$631,HLOOKUP('Personalized Bill Menu'!$B$22, 'Misc. Data &amp; Mechanisms'!$E$599:$I$600, 2, FALSE), FALSE), 'Misc. Data &amp; Mechanisms'!$A$599:$C$659, 2, FALSE), FALSE) = "", "", VLOOKUP($A35, INDIRECT("'" &amp; 'Personalized Bill Menu'!$B$22 &amp; "'!" &amp;"$A$4:$CA$100"), VLOOKUP(VLOOKUP(S$5,'Misc. Data &amp; Mechanisms'!$E$601:$I$631,HLOOKUP('Personalized Bill Menu'!$B$22, 'Misc. Data &amp; Mechanisms'!$E$599:$I$600, 2, FALSE), FALSE), 'Misc. Data &amp; Mechanisms'!$A$599:$C$659, 2, FALSE), FALSE)), ""))</f>
        <v>0.41438000000000003</v>
      </c>
      <c r="T35" s="81" t="str">
        <f ca="1">IF($A35="", "",IFERROR(IF(VLOOKUP($A35, INDIRECT("'" &amp; 'Personalized Bill Menu'!$B$22 &amp; "'!" &amp;"$A$4:$CA$100"), VLOOKUP(VLOOKUP(T$5,'Misc. Data &amp; Mechanisms'!$E$601:$I$631,HLOOKUP('Personalized Bill Menu'!$B$22, 'Misc. Data &amp; Mechanisms'!$E$599:$I$600, 2, FALSE), FALSE), 'Misc. Data &amp; Mechanisms'!$A$599:$C$659, 2, FALSE), FALSE) = "", "", VLOOKUP($A35, INDIRECT("'" &amp; 'Personalized Bill Menu'!$B$22 &amp; "'!" &amp;"$A$4:$CA$100"), VLOOKUP(VLOOKUP(T$5,'Misc. Data &amp; Mechanisms'!$E$601:$I$631,HLOOKUP('Personalized Bill Menu'!$B$22, 'Misc. Data &amp; Mechanisms'!$E$599:$I$600, 2, FALSE), FALSE), 'Misc. Data &amp; Mechanisms'!$A$599:$C$659, 2, FALSE), FALSE)), ""))</f>
        <v/>
      </c>
      <c r="U35" s="72">
        <f t="shared" ca="1" si="11"/>
        <v>4.6975485380108974</v>
      </c>
      <c r="V35" s="72">
        <f t="shared" ca="1" si="12"/>
        <v>12.845780000000001</v>
      </c>
      <c r="W35" s="70" t="str">
        <f t="shared" si="13"/>
        <v/>
      </c>
      <c r="X35" s="78">
        <f>IFERROR(IF(VLOOKUP($A35,'Misc. Data &amp; Mechanisms'!$A$63:$DY$152,HLOOKUP('Personalized Bill Menu'!$B$21&amp;"_"&amp;'Personalized Bill Menu'!$B$22&amp;"_Elec_Y_1",'Misc. Data &amp; Mechanisms'!$A$55:$DY$62,8,FALSE), FALSE)="", "", VLOOKUP($A35,'Misc. Data &amp; Mechanisms'!$A$63:$DY$152,HLOOKUP('Personalized Bill Menu'!$B$21&amp;"_"&amp;'Personalized Bill Menu'!$B$22&amp;"_Elec_Y_1",'Misc. Data &amp; Mechanisms'!$A$55:$DY$62,8,FALSE), FALSE)), "")</f>
        <v>0.1111</v>
      </c>
      <c r="Y35" s="78" t="str">
        <f>IFERROR(IF(VLOOKUP($A35,'Misc. Data &amp; Mechanisms'!$A$63:$DY$152,HLOOKUP('Personalized Bill Menu'!$B$21&amp;"_"&amp;'Personalized Bill Menu'!$B$22&amp;"_Elec_Y_2",'Misc. Data &amp; Mechanisms'!$A$55:$DY$62,8,FALSE), FALSE)="", "", VLOOKUP($A35,'Misc. Data &amp; Mechanisms'!$A$63:$DY$152,HLOOKUP('Personalized Bill Menu'!$B$21&amp;"_"&amp;'Personalized Bill Menu'!$B$22&amp;"_Elec_Y_2",'Misc. Data &amp; Mechanisms'!$A$55:$DY$62,8,FALSE), FALSE)), "")</f>
        <v/>
      </c>
      <c r="Z35" s="72">
        <f ca="1">IF($A35="", "",IFERROR(IF(OR('Personalized Bill Menu'!$B$22="FORTIS", 'Personalized Bill Menu'!$B$22="ATCO"), $X35*($H35+$I35), IF('Personalized Bill Menu'!$B$22="ENMAX",$X35*($H35+$I35+$K35),($X35/100)*$C35)), 0))</f>
        <v>3.3795345716740726</v>
      </c>
      <c r="AA35" s="72">
        <f>IF($A35="", "", IFERROR(IF(OR('Personalized Bill Menu'!$B$22="FORTIS", 'Personalized Bill Menu'!$B$22="ATCO"), $Y35*($H35+$I35), IF('Personalized Bill Menu'!$B$22="ENMAX",$X35*$G35,"")), 0))</f>
        <v>6.4242869539320147</v>
      </c>
      <c r="AB35" s="89">
        <f ca="1">IF($A35="", "",IFERROR(IF(VLOOKUP($A35, INDIRECT("'" &amp; 'Personalized Bill Menu'!$B$22 &amp; "'!" &amp;"$A$4:$CA$100"), VLOOKUP(VLOOKUP("RIDER RATE 1",'Misc. Data &amp; Mechanisms'!$E$601:$I$631,HLOOKUP('Personalized Bill Menu'!$B$22, 'Misc. Data &amp; Mechanisms'!$E$599:$I$600, 2, FALSE), FALSE), 'Misc. Data &amp; Mechanisms'!$A$599:$C$659, 2, FALSE), FALSE) = "", "", VLOOKUP($A35, INDIRECT("'" &amp; 'Personalized Bill Menu'!$B$22 &amp; "'!" &amp;"$A$4:$CA$100"), VLOOKUP(VLOOKUP("RIDER RATE 1",'Misc. Data &amp; Mechanisms'!$E$601:$I$631,HLOOKUP('Personalized Bill Menu'!$B$22, 'Misc. Data &amp; Mechanisms'!$E$599:$I$600, 2, FALSE), FALSE), 'Misc. Data &amp; Mechanisms'!$A$599:$C$659, 2, FALSE), FALSE)), ""))</f>
        <v>-0.56430000000000002</v>
      </c>
      <c r="AC35" s="69">
        <f ca="1">IF($A35="", "",IFERROR(IF(VLOOKUP($A35, INDIRECT("'" &amp; 'Personalized Bill Menu'!$B$22 &amp; "'!" &amp;"$A$4:$CA$100"), VLOOKUP(VLOOKUP("RIDER RATE 2",'Misc. Data &amp; Mechanisms'!$E$601:$I$631,HLOOKUP('Personalized Bill Menu'!$B$22, 'Misc. Data &amp; Mechanisms'!$E$599:$I$600, 2, FALSE), FALSE), 'Misc. Data &amp; Mechanisms'!$A$599:$C$659, 2, FALSE), FALSE) = "", "", VLOOKUP($A35, INDIRECT("'" &amp; 'Personalized Bill Menu'!$B$22 &amp; "'!" &amp;"$A$4:$CA$100"), VLOOKUP(VLOOKUP("RIDER RATE 2",'Misc. Data &amp; Mechanisms'!$E$601:$I$631,HLOOKUP('Personalized Bill Menu'!$B$22, 'Misc. Data &amp; Mechanisms'!$E$599:$I$600, 2, FALSE), FALSE), 'Misc. Data &amp; Mechanisms'!$A$599:$C$659, 2, FALSE), FALSE)), ""))</f>
        <v>0.56110000000000004</v>
      </c>
      <c r="AD35" s="69">
        <f ca="1">IF($A35="", "",IFERROR(IF(VLOOKUP($A35, INDIRECT("'" &amp; 'Personalized Bill Menu'!$B$22 &amp; "'!" &amp;"$A$4:$CA$100"), VLOOKUP(VLOOKUP("RIDER RATE 3",'Misc. Data &amp; Mechanisms'!$E$601:$I$631,HLOOKUP('Personalized Bill Menu'!$B$22, 'Misc. Data &amp; Mechanisms'!$E$599:$I$600, 2, FALSE), FALSE), 'Misc. Data &amp; Mechanisms'!$A$599:$C$659, 2, FALSE), FALSE) = "", "", VLOOKUP($A35, INDIRECT("'" &amp; 'Personalized Bill Menu'!$B$22 &amp; "'!" &amp;"$A$4:$CA$100"), VLOOKUP(VLOOKUP("RIDER RATE 3",'Misc. Data &amp; Mechanisms'!$E$601:$I$631,HLOOKUP('Personalized Bill Menu'!$B$22, 'Misc. Data &amp; Mechanisms'!$E$599:$I$600, 2, FALSE), FALSE), 'Misc. Data &amp; Mechanisms'!$A$599:$C$659, 2, FALSE), FALSE)), ""))</f>
        <v>0.13039999999999999</v>
      </c>
      <c r="AE35" s="69" t="str">
        <f ca="1">IF($A35="", "",IFERROR(IF(VLOOKUP($A35, INDIRECT("'" &amp; 'Personalized Bill Menu'!$B$22 &amp; "'!" &amp;"$A$4:$CA$100"), VLOOKUP(VLOOKUP("RIDER RATE 4",'Misc. Data &amp; Mechanisms'!$E$601:$I$631,HLOOKUP('Personalized Bill Menu'!$B$22, 'Misc. Data &amp; Mechanisms'!$E$599:$I$600, 2, FALSE), FALSE), 'Misc. Data &amp; Mechanisms'!$A$599:$C$659, 2, FALSE), FALSE) = "", "", VLOOKUP($A35, INDIRECT("'" &amp; 'Personalized Bill Menu'!$B$22 &amp; "'!" &amp;"$A$4:$CA$100"), VLOOKUP(VLOOKUP("RIDER RATE 4",'Misc. Data &amp; Mechanisms'!$E$601:$I$631,HLOOKUP('Personalized Bill Menu'!$B$22, 'Misc. Data &amp; Mechanisms'!$E$599:$I$600, 2, FALSE), FALSE), 'Misc. Data &amp; Mechanisms'!$A$599:$C$659, 2, FALSE), FALSE)), ""))</f>
        <v/>
      </c>
      <c r="AF35" s="90" t="str">
        <f ca="1">IF($A35="", "",IFERROR(IF(VLOOKUP($A35, INDIRECT("'" &amp; 'Personalized Bill Menu'!$B$22 &amp; "'!" &amp;"$A$4:$CA$100"), VLOOKUP(VLOOKUP("RIDER RATE 5",'Misc. Data &amp; Mechanisms'!$E$601:$I$631,HLOOKUP('Personalized Bill Menu'!$B$22, 'Misc. Data &amp; Mechanisms'!$E$599:$I$600, 2, FALSE), FALSE), 'Misc. Data &amp; Mechanisms'!$A$599:$C$659, 2, FALSE), FALSE) = "", "", VLOOKUP($A35, INDIRECT("'" &amp; 'Personalized Bill Menu'!$B$22 &amp; "'!" &amp;"$A$4:$CA$100"), VLOOKUP(VLOOKUP("RIDER RATE 5",'Misc. Data &amp; Mechanisms'!$E$601:$I$631,HLOOKUP('Personalized Bill Menu'!$B$22, 'Misc. Data &amp; Mechanisms'!$E$599:$I$600, 2, FALSE), FALSE), 'Misc. Data &amp; Mechanisms'!$A$599:$C$659, 2, FALSE), FALSE)), ""))</f>
        <v/>
      </c>
      <c r="AG35" s="90" t="str">
        <f ca="1">IF($A35="", "",IFERROR(IF(VLOOKUP($A35, INDIRECT("'" &amp; 'Personalized Bill Menu'!$B$22 &amp; "'!" &amp;"$A$4:$CA$100"), VLOOKUP(VLOOKUP("RIDER RATE 6",'Misc. Data &amp; Mechanisms'!$E$601:$I$631,HLOOKUP('Personalized Bill Menu'!$B$22, 'Misc. Data &amp; Mechanisms'!$E$599:$I$600, 2, FALSE), FALSE), 'Misc. Data &amp; Mechanisms'!$A$599:$C$659, 2, FALSE), FALSE) = "", "", VLOOKUP($A35, INDIRECT("'" &amp; 'Personalized Bill Menu'!$B$22 &amp; "'!" &amp;"$A$4:$CA$100"), VLOOKUP(VLOOKUP("RIDER RATE 6",'Misc. Data &amp; Mechanisms'!$E$601:$I$631,HLOOKUP('Personalized Bill Menu'!$B$22, 'Misc. Data &amp; Mechanisms'!$E$599:$I$600, 2, FALSE), FALSE), 'Misc. Data &amp; Mechanisms'!$A$599:$C$659, 2, FALSE), FALSE)), ""))</f>
        <v/>
      </c>
      <c r="AH35" s="90" t="str">
        <f ca="1">IF($A35="", "",IFERROR(IF(VLOOKUP($A35, INDIRECT("'" &amp; 'Personalized Bill Menu'!$B$22 &amp; "'!" &amp;"$A$4:$CA$100"), VLOOKUP(VLOOKUP("RIDER RATE 7",'Misc. Data &amp; Mechanisms'!$E$601:$I$631,HLOOKUP('Personalized Bill Menu'!$B$22, 'Misc. Data &amp; Mechanisms'!$E$599:$I$600, 2, FALSE), FALSE), 'Misc. Data &amp; Mechanisms'!$A$599:$C$659, 2, FALSE), FALSE) = "", "", VLOOKUP($A35, INDIRECT("'" &amp; 'Personalized Bill Menu'!$B$22 &amp; "'!" &amp;"$A$4:$CA$100"), VLOOKUP(VLOOKUP("RIDER RATE 7",'Misc. Data &amp; Mechanisms'!$E$601:$I$631,HLOOKUP('Personalized Bill Menu'!$B$22, 'Misc. Data &amp; Mechanisms'!$E$599:$I$600, 2, FALSE), FALSE), 'Misc. Data &amp; Mechanisms'!$A$599:$C$659, 2, FALSE), FALSE)), ""))</f>
        <v/>
      </c>
      <c r="AI35" s="72">
        <f t="shared" ca="1" si="14"/>
        <v>-3.0748482078639943</v>
      </c>
      <c r="AJ35" s="72">
        <f t="shared" ca="1" si="15"/>
        <v>3.0574115354111062</v>
      </c>
      <c r="AK35" s="72">
        <f ca="1">IF($A35="", "", IFERROR(IF($AD$6="%",IF('Personalized Bill Menu'!$B$22="ENMAX", $AD35*$I35, IF(AND($AD35="", 'Personalized Bill Menu'!$B$22="FORTIS"),($AE35/100)*$C35,$AD35*$H35)),($AD35/100)*$C35), 0))</f>
        <v>2.287650041356621</v>
      </c>
      <c r="AL35" s="72">
        <f ca="1">IF($A35="", "", IFERROR(IF('Personalized Bill Menu'!$B$22="ENMAX",$AE35*$B35,IF($AE$6="%",$AE35*($H35+$I35+$J35), IF('Personalized Bill Menu'!$B$22="FORTIS",$AF35*$I35,($AE35/100)*$C35))), 0))</f>
        <v>0</v>
      </c>
      <c r="AM35" s="72" t="str">
        <f>IF($A35="", "", IFERROR(IF('Personalized Bill Menu'!$B$22="EPCOR",($AF35/100)*$C35, IF('Personalized Bill Menu'!$B$22="ATCO",$AF35*1,"")), 0))</f>
        <v/>
      </c>
      <c r="AN35" s="72" t="str">
        <f>IF($A35="", "", IFERROR(IF('Personalized Bill Menu'!$B$22="ATCO",$AG35*$B35,""), 0))</f>
        <v/>
      </c>
      <c r="AO35" s="70" t="str">
        <f>IF($A35="", "", IFERROR(IF('Personalized Bill Menu'!$B$22="ATCO",$AH35*$B35,""), 0))</f>
        <v/>
      </c>
      <c r="AP35" s="81">
        <f>IF('Personalized Bill Menu'!$B$34&lt;&gt;"Natural Gas", 'Personalized Bill Menu'!$K32, "")</f>
        <v>0.23369999999999999</v>
      </c>
      <c r="AQ35" s="72">
        <f t="shared" si="16"/>
        <v>7.2446999999999999</v>
      </c>
      <c r="AR35" s="91">
        <f ca="1">IF($A35="", "",IF(VLOOKUP($A35, INDIRECT("'" &amp; 'Personalized Bill Menu'!$B$22 &amp; "'!" &amp;"$A$4:$CA$100"), VLOOKUP(VLOOKUP(AR$5,'Misc. Data &amp; Mechanisms'!$E$601:$I$631,HLOOKUP('Personalized Bill Menu'!$B$22, 'Misc. Data &amp; Mechanisms'!$E$599:$I$600, 2, FALSE), FALSE), 'Misc. Data &amp; Mechanisms'!$A$599:$C$659, 2, FALSE), FALSE) = "", "", VLOOKUP($A35, INDIRECT("'" &amp; 'Personalized Bill Menu'!$B$22 &amp; "'!" &amp;"$A$4:$CA$100"), VLOOKUP(VLOOKUP(AR$5,'Misc. Data &amp; Mechanisms'!$E$601:$I$631,HLOOKUP('Personalized Bill Menu'!$B$22, 'Misc. Data &amp; Mechanisms'!$E$599:$I$600, 2, FALSE), FALSE), 'Misc. Data &amp; Mechanisms'!$A$599:$C$659, 2, FALSE), FALSE)))</f>
        <v>0.05</v>
      </c>
      <c r="AS35" s="2"/>
      <c r="AT35" s="2"/>
      <c r="AU35" s="2"/>
      <c r="AV35" s="2"/>
      <c r="AW35" s="2"/>
    </row>
    <row r="36" spans="1:49" x14ac:dyDescent="0.35">
      <c r="A36" s="83">
        <f>'Personalized Bill Menu'!$H33</f>
        <v>41791</v>
      </c>
      <c r="B36" s="84">
        <f t="shared" si="0"/>
        <v>30</v>
      </c>
      <c r="C36" s="85">
        <f>IF('Personalized Bill Menu'!$B$34&lt;&gt;"Natural Gas", 'Personalized Bill Menu'!$I33, "")</f>
        <v>508.11715523587856</v>
      </c>
      <c r="D36" s="66">
        <f t="shared" ca="1" si="17"/>
        <v>14.268008159839434</v>
      </c>
      <c r="E36" s="66">
        <f ca="1">IFERROR((1+$AR36)*(IF('Personalized Bill Menu'!$B$22="ENMAX", ((1+IFERROR($X36, 0))*($N36+$P36+$R36+$AB36+$AC36))+((1+IF($X36="", 0,$X36))*(IF($AD36="", 0,$AD36)*$R36)), IF('Personalized Bill Menu'!$B$22="EPCOR", ($N36+$P36+$R36+$X36+SUM($AB36:$AE36)), IF('Personalized Bill Menu'!$B$22="ATCO",($N36+((1+IF($AE36="", 0,$AE36))*(1+$X36+$Y36)*($P36+$R36))+SUM($AB36:$AD36)),IF($AD36="",$N36+((1+$X36+$Y36)*($P36+$R36))+$AB36+$AE36+(IF($AC36="", 0, $AC36)*$P36)+($R36*IF($AF36="", 0, $AF36)),$N36+((1+$X36+$Y36)*($P36+$R36))+$AB36+($AD36*$P36)+(IF($AC36="", 0, $AC36)*$P36)+($R36*IF($AF36="", 0, $AF36))))))), "")</f>
        <v>9.5927248851252003</v>
      </c>
      <c r="F36" s="1469">
        <f t="shared" ca="1" si="1"/>
        <v>72.498197170599155</v>
      </c>
      <c r="G36" s="66">
        <f t="shared" si="2"/>
        <v>27.936789312023841</v>
      </c>
      <c r="H36" s="66">
        <f t="shared" ca="1" si="3"/>
        <v>9.8894841923559031</v>
      </c>
      <c r="I36" s="66">
        <f t="shared" ca="1" si="4"/>
        <v>16.811877995288508</v>
      </c>
      <c r="J36" s="66">
        <f t="shared" ca="1" si="5"/>
        <v>6.2029318870219283</v>
      </c>
      <c r="K36" s="66">
        <f t="shared" ca="1" si="6"/>
        <v>1.1938186805471196</v>
      </c>
      <c r="L36" s="66">
        <f t="shared" si="7"/>
        <v>7.0110000000000001</v>
      </c>
      <c r="M36" s="68">
        <f t="shared" ca="1" si="8"/>
        <v>3.4522951033618647</v>
      </c>
      <c r="N36" s="69">
        <f>IF('Personalized Bill Menu'!$B$34&lt;&gt;"Natural Gas", 'Personalized Bill Menu'!$J33, "")</f>
        <v>5.4981</v>
      </c>
      <c r="O36" s="70">
        <f t="shared" si="9"/>
        <v>27.936789312023841</v>
      </c>
      <c r="P36" s="71">
        <f ca="1">IF($A36="", "",IFERROR(IF(VLOOKUP($A36, INDIRECT("'" &amp; 'Personalized Bill Menu'!$B$22 &amp; "'!" &amp;"$A$4:$CA$100"), VLOOKUP(VLOOKUP(P$5,'Misc. Data &amp; Mechanisms'!$E$601:$I$631,HLOOKUP('Personalized Bill Menu'!$B$22, 'Misc. Data &amp; Mechanisms'!$E$599:$I$600, 2, FALSE), FALSE), 'Misc. Data &amp; Mechanisms'!$A$599:$C$659, 2, FALSE), FALSE) = "", "", VLOOKUP($A36, INDIRECT("'" &amp; 'Personalized Bill Menu'!$B$22 &amp; "'!" &amp;"$A$4:$CA$100"), VLOOKUP(VLOOKUP(P$5,'Misc. Data &amp; Mechanisms'!$E$601:$I$631,HLOOKUP('Personalized Bill Menu'!$B$22, 'Misc. Data &amp; Mechanisms'!$E$599:$I$600, 2, FALSE), FALSE), 'Misc. Data &amp; Mechanisms'!$A$599:$C$659, 2, FALSE), FALSE)), ""))</f>
        <v>1.9462999999999999</v>
      </c>
      <c r="Q36" s="72">
        <f t="shared" ca="1" si="10"/>
        <v>9.8894841923559031</v>
      </c>
      <c r="R36" s="87">
        <f ca="1">IF($A36="", "",IFERROR(IF(VLOOKUP($A36, INDIRECT("'" &amp; 'Personalized Bill Menu'!$B$22 &amp; "'!" &amp;"$A$4:$CA$100"), VLOOKUP(VLOOKUP(R$5,'Misc. Data &amp; Mechanisms'!$E$601:$I$631,HLOOKUP('Personalized Bill Menu'!$B$22, 'Misc. Data &amp; Mechanisms'!$E$599:$I$600, 2, FALSE), FALSE), 'Misc. Data &amp; Mechanisms'!$A$599:$C$659, 2, FALSE), FALSE) = "", "", VLOOKUP($A36, INDIRECT("'" &amp; 'Personalized Bill Menu'!$B$22 &amp; "'!" &amp;"$A$4:$CA$100"), VLOOKUP(VLOOKUP(R$5,'Misc. Data &amp; Mechanisms'!$E$601:$I$631,HLOOKUP('Personalized Bill Menu'!$B$22, 'Misc. Data &amp; Mechanisms'!$E$599:$I$600, 2, FALSE), FALSE), 'Misc. Data &amp; Mechanisms'!$A$599:$C$659, 2, FALSE), FALSE)), ""))</f>
        <v>0.86209999999999998</v>
      </c>
      <c r="S36" s="88">
        <f ca="1">IF($A36="", "",IFERROR(IF(VLOOKUP($A36, INDIRECT("'" &amp; 'Personalized Bill Menu'!$B$22 &amp; "'!" &amp;"$A$4:$CA$100"), VLOOKUP(VLOOKUP(S$5,'Misc. Data &amp; Mechanisms'!$E$601:$I$631,HLOOKUP('Personalized Bill Menu'!$B$22, 'Misc. Data &amp; Mechanisms'!$E$599:$I$600, 2, FALSE), FALSE), 'Misc. Data &amp; Mechanisms'!$A$599:$C$659, 2, FALSE), FALSE) = "", "", VLOOKUP($A36, INDIRECT("'" &amp; 'Personalized Bill Menu'!$B$22 &amp; "'!" &amp;"$A$4:$CA$100"), VLOOKUP(VLOOKUP(S$5,'Misc. Data &amp; Mechanisms'!$E$601:$I$631,HLOOKUP('Personalized Bill Menu'!$B$22, 'Misc. Data &amp; Mechanisms'!$E$599:$I$600, 2, FALSE), FALSE), 'Misc. Data &amp; Mechanisms'!$A$599:$C$659, 2, FALSE), FALSE)), ""))</f>
        <v>0.41438000000000003</v>
      </c>
      <c r="T36" s="81" t="str">
        <f ca="1">IF($A36="", "",IFERROR(IF(VLOOKUP($A36, INDIRECT("'" &amp; 'Personalized Bill Menu'!$B$22 &amp; "'!" &amp;"$A$4:$CA$100"), VLOOKUP(VLOOKUP(T$5,'Misc. Data &amp; Mechanisms'!$E$601:$I$631,HLOOKUP('Personalized Bill Menu'!$B$22, 'Misc. Data &amp; Mechanisms'!$E$599:$I$600, 2, FALSE), FALSE), 'Misc. Data &amp; Mechanisms'!$A$599:$C$659, 2, FALSE), FALSE) = "", "", VLOOKUP($A36, INDIRECT("'" &amp; 'Personalized Bill Menu'!$B$22 &amp; "'!" &amp;"$A$4:$CA$100"), VLOOKUP(VLOOKUP(T$5,'Misc. Data &amp; Mechanisms'!$E$601:$I$631,HLOOKUP('Personalized Bill Menu'!$B$22, 'Misc. Data &amp; Mechanisms'!$E$599:$I$600, 2, FALSE), FALSE), 'Misc. Data &amp; Mechanisms'!$A$599:$C$659, 2, FALSE), FALSE)), ""))</f>
        <v/>
      </c>
      <c r="U36" s="72">
        <f t="shared" ca="1" si="11"/>
        <v>4.3804779952885093</v>
      </c>
      <c r="V36" s="72">
        <f t="shared" ca="1" si="12"/>
        <v>12.4314</v>
      </c>
      <c r="W36" s="70" t="str">
        <f t="shared" si="13"/>
        <v/>
      </c>
      <c r="X36" s="78">
        <f>IFERROR(IF(VLOOKUP($A36,'Misc. Data &amp; Mechanisms'!$A$63:$DY$152,HLOOKUP('Personalized Bill Menu'!$B$21&amp;"_"&amp;'Personalized Bill Menu'!$B$22&amp;"_Elec_Y_1",'Misc. Data &amp; Mechanisms'!$A$55:$DY$62,8,FALSE), FALSE)="", "", VLOOKUP($A36,'Misc. Data &amp; Mechanisms'!$A$63:$DY$152,HLOOKUP('Personalized Bill Menu'!$B$21&amp;"_"&amp;'Personalized Bill Menu'!$B$22&amp;"_Elec_Y_1",'Misc. Data &amp; Mechanisms'!$A$55:$DY$62,8,FALSE), FALSE)), "")</f>
        <v>0.1111</v>
      </c>
      <c r="Y36" s="78" t="str">
        <f>IFERROR(IF(VLOOKUP($A36,'Misc. Data &amp; Mechanisms'!$A$63:$DY$152,HLOOKUP('Personalized Bill Menu'!$B$21&amp;"_"&amp;'Personalized Bill Menu'!$B$22&amp;"_Elec_Y_2",'Misc. Data &amp; Mechanisms'!$A$55:$DY$62,8,FALSE), FALSE)="", "", VLOOKUP($A36,'Misc. Data &amp; Mechanisms'!$A$63:$DY$152,HLOOKUP('Personalized Bill Menu'!$B$21&amp;"_"&amp;'Personalized Bill Menu'!$B$22&amp;"_Elec_Y_2",'Misc. Data &amp; Mechanisms'!$A$55:$DY$62,8,FALSE), FALSE)), "")</f>
        <v/>
      </c>
      <c r="Z36" s="72">
        <f ca="1">IF($A36="", "",IFERROR(IF(OR('Personalized Bill Menu'!$B$22="FORTIS", 'Personalized Bill Menu'!$B$22="ATCO"), $X36*($H36+$I36), IF('Personalized Bill Menu'!$B$22="ENMAX",$X36*($H36+$I36+$K36),($X36/100)*$C36)), 0))</f>
        <v>3.0991545944560794</v>
      </c>
      <c r="AA36" s="72">
        <f>IF($A36="", "", IFERROR(IF(OR('Personalized Bill Menu'!$B$22="FORTIS", 'Personalized Bill Menu'!$B$22="ATCO"), $Y36*($H36+$I36), IF('Personalized Bill Menu'!$B$22="ENMAX",$X36*$G36,"")), 0))</f>
        <v>3.1037772925658489</v>
      </c>
      <c r="AB36" s="89">
        <f ca="1">IF($A36="", "",IFERROR(IF(VLOOKUP($A36, INDIRECT("'" &amp; 'Personalized Bill Menu'!$B$22 &amp; "'!" &amp;"$A$4:$CA$100"), VLOOKUP(VLOOKUP("RIDER RATE 1",'Misc. Data &amp; Mechanisms'!$E$601:$I$631,HLOOKUP('Personalized Bill Menu'!$B$22, 'Misc. Data &amp; Mechanisms'!$E$599:$I$600, 2, FALSE), FALSE), 'Misc. Data &amp; Mechanisms'!$A$599:$C$659, 2, FALSE), FALSE) = "", "", VLOOKUP($A36, INDIRECT("'" &amp; 'Personalized Bill Menu'!$B$22 &amp; "'!" &amp;"$A$4:$CA$100"), VLOOKUP(VLOOKUP("RIDER RATE 1",'Misc. Data &amp; Mechanisms'!$E$601:$I$631,HLOOKUP('Personalized Bill Menu'!$B$22, 'Misc. Data &amp; Mechanisms'!$E$599:$I$600, 2, FALSE), FALSE), 'Misc. Data &amp; Mechanisms'!$A$599:$C$659, 2, FALSE), FALSE)), ""))</f>
        <v>-0.56430000000000002</v>
      </c>
      <c r="AC36" s="69">
        <f ca="1">IF($A36="", "",IFERROR(IF(VLOOKUP($A36, INDIRECT("'" &amp; 'Personalized Bill Menu'!$B$22 &amp; "'!" &amp;"$A$4:$CA$100"), VLOOKUP(VLOOKUP("RIDER RATE 2",'Misc. Data &amp; Mechanisms'!$E$601:$I$631,HLOOKUP('Personalized Bill Menu'!$B$22, 'Misc. Data &amp; Mechanisms'!$E$599:$I$600, 2, FALSE), FALSE), 'Misc. Data &amp; Mechanisms'!$A$599:$C$659, 2, FALSE), FALSE) = "", "", VLOOKUP($A36, INDIRECT("'" &amp; 'Personalized Bill Menu'!$B$22 &amp; "'!" &amp;"$A$4:$CA$100"), VLOOKUP(VLOOKUP("RIDER RATE 2",'Misc. Data &amp; Mechanisms'!$E$601:$I$631,HLOOKUP('Personalized Bill Menu'!$B$22, 'Misc. Data &amp; Mechanisms'!$E$599:$I$600, 2, FALSE), FALSE), 'Misc. Data &amp; Mechanisms'!$A$599:$C$659, 2, FALSE), FALSE)), ""))</f>
        <v>0.36780000000000002</v>
      </c>
      <c r="AD36" s="69">
        <f ca="1">IF($A36="", "",IFERROR(IF(VLOOKUP($A36, INDIRECT("'" &amp; 'Personalized Bill Menu'!$B$22 &amp; "'!" &amp;"$A$4:$CA$100"), VLOOKUP(VLOOKUP("RIDER RATE 3",'Misc. Data &amp; Mechanisms'!$E$601:$I$631,HLOOKUP('Personalized Bill Menu'!$B$22, 'Misc. Data &amp; Mechanisms'!$E$599:$I$600, 2, FALSE), FALSE), 'Misc. Data &amp; Mechanisms'!$A$599:$C$659, 2, FALSE), FALSE) = "", "", VLOOKUP($A36, INDIRECT("'" &amp; 'Personalized Bill Menu'!$B$22 &amp; "'!" &amp;"$A$4:$CA$100"), VLOOKUP(VLOOKUP("RIDER RATE 3",'Misc. Data &amp; Mechanisms'!$E$601:$I$631,HLOOKUP('Personalized Bill Menu'!$B$22, 'Misc. Data &amp; Mechanisms'!$E$599:$I$600, 2, FALSE), FALSE), 'Misc. Data &amp; Mechanisms'!$A$599:$C$659, 2, FALSE), FALSE)), ""))</f>
        <v>0.13039999999999999</v>
      </c>
      <c r="AE36" s="69" t="str">
        <f ca="1">IF($A36="", "",IFERROR(IF(VLOOKUP($A36, INDIRECT("'" &amp; 'Personalized Bill Menu'!$B$22 &amp; "'!" &amp;"$A$4:$CA$100"), VLOOKUP(VLOOKUP("RIDER RATE 4",'Misc. Data &amp; Mechanisms'!$E$601:$I$631,HLOOKUP('Personalized Bill Menu'!$B$22, 'Misc. Data &amp; Mechanisms'!$E$599:$I$600, 2, FALSE), FALSE), 'Misc. Data &amp; Mechanisms'!$A$599:$C$659, 2, FALSE), FALSE) = "", "", VLOOKUP($A36, INDIRECT("'" &amp; 'Personalized Bill Menu'!$B$22 &amp; "'!" &amp;"$A$4:$CA$100"), VLOOKUP(VLOOKUP("RIDER RATE 4",'Misc. Data &amp; Mechanisms'!$E$601:$I$631,HLOOKUP('Personalized Bill Menu'!$B$22, 'Misc. Data &amp; Mechanisms'!$E$599:$I$600, 2, FALSE), FALSE), 'Misc. Data &amp; Mechanisms'!$A$599:$C$659, 2, FALSE), FALSE)), ""))</f>
        <v/>
      </c>
      <c r="AF36" s="90" t="str">
        <f ca="1">IF($A36="", "",IFERROR(IF(VLOOKUP($A36, INDIRECT("'" &amp; 'Personalized Bill Menu'!$B$22 &amp; "'!" &amp;"$A$4:$CA$100"), VLOOKUP(VLOOKUP("RIDER RATE 5",'Misc. Data &amp; Mechanisms'!$E$601:$I$631,HLOOKUP('Personalized Bill Menu'!$B$22, 'Misc. Data &amp; Mechanisms'!$E$599:$I$600, 2, FALSE), FALSE), 'Misc. Data &amp; Mechanisms'!$A$599:$C$659, 2, FALSE), FALSE) = "", "", VLOOKUP($A36, INDIRECT("'" &amp; 'Personalized Bill Menu'!$B$22 &amp; "'!" &amp;"$A$4:$CA$100"), VLOOKUP(VLOOKUP("RIDER RATE 5",'Misc. Data &amp; Mechanisms'!$E$601:$I$631,HLOOKUP('Personalized Bill Menu'!$B$22, 'Misc. Data &amp; Mechanisms'!$E$599:$I$600, 2, FALSE), FALSE), 'Misc. Data &amp; Mechanisms'!$A$599:$C$659, 2, FALSE), FALSE)), ""))</f>
        <v/>
      </c>
      <c r="AG36" s="90" t="str">
        <f ca="1">IF($A36="", "",IFERROR(IF(VLOOKUP($A36, INDIRECT("'" &amp; 'Personalized Bill Menu'!$B$22 &amp; "'!" &amp;"$A$4:$CA$100"), VLOOKUP(VLOOKUP("RIDER RATE 6",'Misc. Data &amp; Mechanisms'!$E$601:$I$631,HLOOKUP('Personalized Bill Menu'!$B$22, 'Misc. Data &amp; Mechanisms'!$E$599:$I$600, 2, FALSE), FALSE), 'Misc. Data &amp; Mechanisms'!$A$599:$C$659, 2, FALSE), FALSE) = "", "", VLOOKUP($A36, INDIRECT("'" &amp; 'Personalized Bill Menu'!$B$22 &amp; "'!" &amp;"$A$4:$CA$100"), VLOOKUP(VLOOKUP("RIDER RATE 6",'Misc. Data &amp; Mechanisms'!$E$601:$I$631,HLOOKUP('Personalized Bill Menu'!$B$22, 'Misc. Data &amp; Mechanisms'!$E$599:$I$600, 2, FALSE), FALSE), 'Misc. Data &amp; Mechanisms'!$A$599:$C$659, 2, FALSE), FALSE)), ""))</f>
        <v/>
      </c>
      <c r="AH36" s="90" t="str">
        <f ca="1">IF($A36="", "",IFERROR(IF(VLOOKUP($A36, INDIRECT("'" &amp; 'Personalized Bill Menu'!$B$22 &amp; "'!" &amp;"$A$4:$CA$100"), VLOOKUP(VLOOKUP("RIDER RATE 7",'Misc. Data &amp; Mechanisms'!$E$601:$I$631,HLOOKUP('Personalized Bill Menu'!$B$22, 'Misc. Data &amp; Mechanisms'!$E$599:$I$600, 2, FALSE), FALSE), 'Misc. Data &amp; Mechanisms'!$A$599:$C$659, 2, FALSE), FALSE) = "", "", VLOOKUP($A36, INDIRECT("'" &amp; 'Personalized Bill Menu'!$B$22 &amp; "'!" &amp;"$A$4:$CA$100"), VLOOKUP(VLOOKUP("RIDER RATE 7",'Misc. Data &amp; Mechanisms'!$E$601:$I$631,HLOOKUP('Personalized Bill Menu'!$B$22, 'Misc. Data &amp; Mechanisms'!$E$599:$I$600, 2, FALSE), FALSE), 'Misc. Data &amp; Mechanisms'!$A$599:$C$659, 2, FALSE), FALSE)), ""))</f>
        <v/>
      </c>
      <c r="AI36" s="72">
        <f t="shared" ca="1" si="14"/>
        <v>-2.8673051069960631</v>
      </c>
      <c r="AJ36" s="72">
        <f t="shared" ca="1" si="15"/>
        <v>1.8688548969575616</v>
      </c>
      <c r="AK36" s="72">
        <f ca="1">IF($A36="", "", IFERROR(IF($AD$6="%",IF('Personalized Bill Menu'!$B$22="ENMAX", $AD36*$I36, IF(AND($AD36="", 'Personalized Bill Menu'!$B$22="FORTIS"),($AE36/100)*$C36,$AD36*$H36)),($AD36/100)*$C36), 0))</f>
        <v>2.1922688905856211</v>
      </c>
      <c r="AL36" s="72">
        <f ca="1">IF($A36="", "", IFERROR(IF('Personalized Bill Menu'!$B$22="ENMAX",$AE36*$B36,IF($AE$6="%",$AE36*($H36+$I36+$J36), IF('Personalized Bill Menu'!$B$22="FORTIS",$AF36*$I36,($AE36/100)*$C36))), 0))</f>
        <v>0</v>
      </c>
      <c r="AM36" s="72" t="str">
        <f>IF($A36="", "", IFERROR(IF('Personalized Bill Menu'!$B$22="EPCOR",($AF36/100)*$C36, IF('Personalized Bill Menu'!$B$22="ATCO",$AF36*1,"")), 0))</f>
        <v/>
      </c>
      <c r="AN36" s="72" t="str">
        <f>IF($A36="", "", IFERROR(IF('Personalized Bill Menu'!$B$22="ATCO",$AG36*$B36,""), 0))</f>
        <v/>
      </c>
      <c r="AO36" s="70" t="str">
        <f>IF($A36="", "", IFERROR(IF('Personalized Bill Menu'!$B$22="ATCO",$AH36*$B36,""), 0))</f>
        <v/>
      </c>
      <c r="AP36" s="81">
        <f>IF('Personalized Bill Menu'!$B$34&lt;&gt;"Natural Gas", 'Personalized Bill Menu'!$K33, "")</f>
        <v>0.23369999999999999</v>
      </c>
      <c r="AQ36" s="72">
        <f t="shared" si="16"/>
        <v>7.0110000000000001</v>
      </c>
      <c r="AR36" s="91">
        <f ca="1">IF($A36="", "",IF(VLOOKUP($A36, INDIRECT("'" &amp; 'Personalized Bill Menu'!$B$22 &amp; "'!" &amp;"$A$4:$CA$100"), VLOOKUP(VLOOKUP(AR$5,'Misc. Data &amp; Mechanisms'!$E$601:$I$631,HLOOKUP('Personalized Bill Menu'!$B$22, 'Misc. Data &amp; Mechanisms'!$E$599:$I$600, 2, FALSE), FALSE), 'Misc. Data &amp; Mechanisms'!$A$599:$C$659, 2, FALSE), FALSE) = "", "", VLOOKUP($A36, INDIRECT("'" &amp; 'Personalized Bill Menu'!$B$22 &amp; "'!" &amp;"$A$4:$CA$100"), VLOOKUP(VLOOKUP(AR$5,'Misc. Data &amp; Mechanisms'!$E$601:$I$631,HLOOKUP('Personalized Bill Menu'!$B$22, 'Misc. Data &amp; Mechanisms'!$E$599:$I$600, 2, FALSE), FALSE), 'Misc. Data &amp; Mechanisms'!$A$599:$C$659, 2, FALSE), FALSE)))</f>
        <v>0.05</v>
      </c>
      <c r="AS36" s="2"/>
      <c r="AT36" s="2"/>
      <c r="AU36" s="2"/>
      <c r="AV36" s="2"/>
      <c r="AW36" s="2"/>
    </row>
    <row r="37" spans="1:49" x14ac:dyDescent="0.35">
      <c r="A37" s="83">
        <f>'Personalized Bill Menu'!$H34</f>
        <v>41821</v>
      </c>
      <c r="B37" s="84">
        <f t="shared" si="0"/>
        <v>31</v>
      </c>
      <c r="C37" s="85">
        <f>IF('Personalized Bill Menu'!$B$34&lt;&gt;"Natural Gas", 'Personalized Bill Menu'!$I34, "")</f>
        <v>550.27564308737453</v>
      </c>
      <c r="D37" s="66">
        <f t="shared" ca="1" si="17"/>
        <v>16.86151053250385</v>
      </c>
      <c r="E37" s="66">
        <f ca="1">IFERROR((1+$AR37)*(IF('Personalized Bill Menu'!$B$22="ENMAX", ((1+IFERROR($X37, 0))*($N37+$P37+$R37+$AB37+$AC37))+((1+IF($X37="", 0,$X37))*(IF($AD37="", 0,$AD37)*$R37)), IF('Personalized Bill Menu'!$B$22="EPCOR", ($N37+$P37+$R37+$X37+SUM($AB37:$AE37)), IF('Personalized Bill Menu'!$B$22="ATCO",($N37+((1+IF($AE37="", 0,$AE37))*(1+$X37+$Y37)*($P37+$R37))+SUM($AB37:$AD37)),IF($AD37="",$N37+((1+$X37+$Y37)*($P37+$R37))+$AB37+$AE37+(IF($AC37="", 0, $AC37)*$P37)+($R37*IF($AF37="", 0, $AF37)),$N37+((1+$X37+$Y37)*($P37+$R37))+$AB37+($AD37*$P37)+(IF($AC37="", 0, $AC37)*$P37)+($R37*IF($AF37="", 0, $AF37))))))), "")</f>
        <v>12.400513473625201</v>
      </c>
      <c r="F37" s="1469">
        <f t="shared" ca="1" si="1"/>
        <v>92.784785516980946</v>
      </c>
      <c r="G37" s="66">
        <f t="shared" si="2"/>
        <v>42.393235543451333</v>
      </c>
      <c r="H37" s="66">
        <f t="shared" ca="1" si="3"/>
        <v>10.710014841409569</v>
      </c>
      <c r="I37" s="66">
        <f t="shared" ca="1" si="4"/>
        <v>17.589706319056258</v>
      </c>
      <c r="J37" s="66">
        <f t="shared" ca="1" si="5"/>
        <v>8.1114461365498656</v>
      </c>
      <c r="K37" s="66">
        <f t="shared" ca="1" si="6"/>
        <v>2.317359556657693</v>
      </c>
      <c r="L37" s="66">
        <f t="shared" si="7"/>
        <v>7.2446999999999999</v>
      </c>
      <c r="M37" s="68">
        <f t="shared" ca="1" si="8"/>
        <v>4.4183231198562352</v>
      </c>
      <c r="N37" s="69">
        <f>IF('Personalized Bill Menu'!$B$34&lt;&gt;"Natural Gas", 'Personalized Bill Menu'!$J34, "")</f>
        <v>7.7039999999999997</v>
      </c>
      <c r="O37" s="70">
        <f t="shared" si="9"/>
        <v>42.393235543451333</v>
      </c>
      <c r="P37" s="71">
        <f ca="1">IF($A37="", "",IFERROR(IF(VLOOKUP($A37, INDIRECT("'" &amp; 'Personalized Bill Menu'!$B$22 &amp; "'!" &amp;"$A$4:$CA$100"), VLOOKUP(VLOOKUP(P$5,'Misc. Data &amp; Mechanisms'!$E$601:$I$631,HLOOKUP('Personalized Bill Menu'!$B$22, 'Misc. Data &amp; Mechanisms'!$E$599:$I$600, 2, FALSE), FALSE), 'Misc. Data &amp; Mechanisms'!$A$599:$C$659, 2, FALSE), FALSE) = "", "", VLOOKUP($A37, INDIRECT("'" &amp; 'Personalized Bill Menu'!$B$22 &amp; "'!" &amp;"$A$4:$CA$100"), VLOOKUP(VLOOKUP(P$5,'Misc. Data &amp; Mechanisms'!$E$601:$I$631,HLOOKUP('Personalized Bill Menu'!$B$22, 'Misc. Data &amp; Mechanisms'!$E$599:$I$600, 2, FALSE), FALSE), 'Misc. Data &amp; Mechanisms'!$A$599:$C$659, 2, FALSE), FALSE)), ""))</f>
        <v>1.9462999999999999</v>
      </c>
      <c r="Q37" s="72">
        <f t="shared" ca="1" si="10"/>
        <v>10.710014841409569</v>
      </c>
      <c r="R37" s="87">
        <f ca="1">IF($A37="", "",IFERROR(IF(VLOOKUP($A37, INDIRECT("'" &amp; 'Personalized Bill Menu'!$B$22 &amp; "'!" &amp;"$A$4:$CA$100"), VLOOKUP(VLOOKUP(R$5,'Misc. Data &amp; Mechanisms'!$E$601:$I$631,HLOOKUP('Personalized Bill Menu'!$B$22, 'Misc. Data &amp; Mechanisms'!$E$599:$I$600, 2, FALSE), FALSE), 'Misc. Data &amp; Mechanisms'!$A$599:$C$659, 2, FALSE), FALSE) = "", "", VLOOKUP($A37, INDIRECT("'" &amp; 'Personalized Bill Menu'!$B$22 &amp; "'!" &amp;"$A$4:$CA$100"), VLOOKUP(VLOOKUP(R$5,'Misc. Data &amp; Mechanisms'!$E$601:$I$631,HLOOKUP('Personalized Bill Menu'!$B$22, 'Misc. Data &amp; Mechanisms'!$E$599:$I$600, 2, FALSE), FALSE), 'Misc. Data &amp; Mechanisms'!$A$599:$C$659, 2, FALSE), FALSE)), ""))</f>
        <v>0.86209999999999998</v>
      </c>
      <c r="S37" s="88">
        <f ca="1">IF($A37="", "",IFERROR(IF(VLOOKUP($A37, INDIRECT("'" &amp; 'Personalized Bill Menu'!$B$22 &amp; "'!" &amp;"$A$4:$CA$100"), VLOOKUP(VLOOKUP(S$5,'Misc. Data &amp; Mechanisms'!$E$601:$I$631,HLOOKUP('Personalized Bill Menu'!$B$22, 'Misc. Data &amp; Mechanisms'!$E$599:$I$600, 2, FALSE), FALSE), 'Misc. Data &amp; Mechanisms'!$A$599:$C$659, 2, FALSE), FALSE) = "", "", VLOOKUP($A37, INDIRECT("'" &amp; 'Personalized Bill Menu'!$B$22 &amp; "'!" &amp;"$A$4:$CA$100"), VLOOKUP(VLOOKUP(S$5,'Misc. Data &amp; Mechanisms'!$E$601:$I$631,HLOOKUP('Personalized Bill Menu'!$B$22, 'Misc. Data &amp; Mechanisms'!$E$599:$I$600, 2, FALSE), FALSE), 'Misc. Data &amp; Mechanisms'!$A$599:$C$659, 2, FALSE), FALSE)), ""))</f>
        <v>0.41438000000000003</v>
      </c>
      <c r="T37" s="81" t="str">
        <f ca="1">IF($A37="", "",IFERROR(IF(VLOOKUP($A37, INDIRECT("'" &amp; 'Personalized Bill Menu'!$B$22 &amp; "'!" &amp;"$A$4:$CA$100"), VLOOKUP(VLOOKUP(T$5,'Misc. Data &amp; Mechanisms'!$E$601:$I$631,HLOOKUP('Personalized Bill Menu'!$B$22, 'Misc. Data &amp; Mechanisms'!$E$599:$I$600, 2, FALSE), FALSE), 'Misc. Data &amp; Mechanisms'!$A$599:$C$659, 2, FALSE), FALSE) = "", "", VLOOKUP($A37, INDIRECT("'" &amp; 'Personalized Bill Menu'!$B$22 &amp; "'!" &amp;"$A$4:$CA$100"), VLOOKUP(VLOOKUP(T$5,'Misc. Data &amp; Mechanisms'!$E$601:$I$631,HLOOKUP('Personalized Bill Menu'!$B$22, 'Misc. Data &amp; Mechanisms'!$E$599:$I$600, 2, FALSE), FALSE), 'Misc. Data &amp; Mechanisms'!$A$599:$C$659, 2, FALSE), FALSE)), ""))</f>
        <v/>
      </c>
      <c r="U37" s="72">
        <f t="shared" ca="1" si="11"/>
        <v>4.7439263190562562</v>
      </c>
      <c r="V37" s="72">
        <f t="shared" ca="1" si="12"/>
        <v>12.845780000000001</v>
      </c>
      <c r="W37" s="70" t="str">
        <f t="shared" si="13"/>
        <v/>
      </c>
      <c r="X37" s="78">
        <f>IFERROR(IF(VLOOKUP($A37,'Misc. Data &amp; Mechanisms'!$A$63:$DY$152,HLOOKUP('Personalized Bill Menu'!$B$21&amp;"_"&amp;'Personalized Bill Menu'!$B$22&amp;"_Elec_Y_1",'Misc. Data &amp; Mechanisms'!$A$55:$DY$62,8,FALSE), FALSE)="", "", VLOOKUP($A37,'Misc. Data &amp; Mechanisms'!$A$63:$DY$152,HLOOKUP('Personalized Bill Menu'!$B$21&amp;"_"&amp;'Personalized Bill Menu'!$B$22&amp;"_Elec_Y_1",'Misc. Data &amp; Mechanisms'!$A$55:$DY$62,8,FALSE), FALSE)), "")</f>
        <v>0.1111</v>
      </c>
      <c r="Y37" s="78" t="str">
        <f>IFERROR(IF(VLOOKUP($A37,'Misc. Data &amp; Mechanisms'!$A$63:$DY$152,HLOOKUP('Personalized Bill Menu'!$B$21&amp;"_"&amp;'Personalized Bill Menu'!$B$22&amp;"_Elec_Y_2",'Misc. Data &amp; Mechanisms'!$A$55:$DY$62,8,FALSE), FALSE)="", "", VLOOKUP($A37,'Misc. Data &amp; Mechanisms'!$A$63:$DY$152,HLOOKUP('Personalized Bill Menu'!$B$21&amp;"_"&amp;'Personalized Bill Menu'!$B$22&amp;"_Elec_Y_2",'Misc. Data &amp; Mechanisms'!$A$55:$DY$62,8,FALSE), FALSE)), "")</f>
        <v/>
      </c>
      <c r="Z37" s="72">
        <f ca="1">IF($A37="", "",IFERROR(IF(OR('Personalized Bill Menu'!$B$22="FORTIS", 'Personalized Bill Menu'!$B$22="ATCO"), $X37*($H37+$I37), IF('Personalized Bill Menu'!$B$22="ENMAX",$X37*($H37+$I37+$K37),($X37/100)*$C37)), 0))</f>
        <v>3.4015576676724235</v>
      </c>
      <c r="AA37" s="72">
        <f>IF($A37="", "", IFERROR(IF(OR('Personalized Bill Menu'!$B$22="FORTIS", 'Personalized Bill Menu'!$B$22="ATCO"), $Y37*($H37+$I37), IF('Personalized Bill Menu'!$B$22="ENMAX",$X37*$G37,"")), 0))</f>
        <v>4.7098884688774429</v>
      </c>
      <c r="AB37" s="89">
        <f ca="1">IF($A37="", "",IFERROR(IF(VLOOKUP($A37, INDIRECT("'" &amp; 'Personalized Bill Menu'!$B$22 &amp; "'!" &amp;"$A$4:$CA$100"), VLOOKUP(VLOOKUP("RIDER RATE 1",'Misc. Data &amp; Mechanisms'!$E$601:$I$631,HLOOKUP('Personalized Bill Menu'!$B$22, 'Misc. Data &amp; Mechanisms'!$E$599:$I$600, 2, FALSE), FALSE), 'Misc. Data &amp; Mechanisms'!$A$599:$C$659, 2, FALSE), FALSE) = "", "", VLOOKUP($A37, INDIRECT("'" &amp; 'Personalized Bill Menu'!$B$22 &amp; "'!" &amp;"$A$4:$CA$100"), VLOOKUP(VLOOKUP("RIDER RATE 1",'Misc. Data &amp; Mechanisms'!$E$601:$I$631,HLOOKUP('Personalized Bill Menu'!$B$22, 'Misc. Data &amp; Mechanisms'!$E$599:$I$600, 2, FALSE), FALSE), 'Misc. Data &amp; Mechanisms'!$A$599:$C$659, 2, FALSE), FALSE)), ""))</f>
        <v>-0.56430000000000002</v>
      </c>
      <c r="AC37" s="69">
        <f ca="1">IF($A37="", "",IFERROR(IF(VLOOKUP($A37, INDIRECT("'" &amp; 'Personalized Bill Menu'!$B$22 &amp; "'!" &amp;"$A$4:$CA$100"), VLOOKUP(VLOOKUP("RIDER RATE 2",'Misc. Data &amp; Mechanisms'!$E$601:$I$631,HLOOKUP('Personalized Bill Menu'!$B$22, 'Misc. Data &amp; Mechanisms'!$E$599:$I$600, 2, FALSE), FALSE), 'Misc. Data &amp; Mechanisms'!$A$599:$C$659, 2, FALSE), FALSE) = "", "", VLOOKUP($A37, INDIRECT("'" &amp; 'Personalized Bill Menu'!$B$22 &amp; "'!" &amp;"$A$4:$CA$100"), VLOOKUP(VLOOKUP("RIDER RATE 2",'Misc. Data &amp; Mechanisms'!$E$601:$I$631,HLOOKUP('Personalized Bill Menu'!$B$22, 'Misc. Data &amp; Mechanisms'!$E$599:$I$600, 2, FALSE), FALSE), 'Misc. Data &amp; Mechanisms'!$A$599:$C$659, 2, FALSE), FALSE)), ""))</f>
        <v>0.56859999999999999</v>
      </c>
      <c r="AD37" s="69">
        <f ca="1">IF($A37="", "",IFERROR(IF(VLOOKUP($A37, INDIRECT("'" &amp; 'Personalized Bill Menu'!$B$22 &amp; "'!" &amp;"$A$4:$CA$100"), VLOOKUP(VLOOKUP("RIDER RATE 3",'Misc. Data &amp; Mechanisms'!$E$601:$I$631,HLOOKUP('Personalized Bill Menu'!$B$22, 'Misc. Data &amp; Mechanisms'!$E$599:$I$600, 2, FALSE), FALSE), 'Misc. Data &amp; Mechanisms'!$A$599:$C$659, 2, FALSE), FALSE) = "", "", VLOOKUP($A37, INDIRECT("'" &amp; 'Personalized Bill Menu'!$B$22 &amp; "'!" &amp;"$A$4:$CA$100"), VLOOKUP(VLOOKUP("RIDER RATE 3",'Misc. Data &amp; Mechanisms'!$E$601:$I$631,HLOOKUP('Personalized Bill Menu'!$B$22, 'Misc. Data &amp; Mechanisms'!$E$599:$I$600, 2, FALSE), FALSE), 'Misc. Data &amp; Mechanisms'!$A$599:$C$659, 2, FALSE), FALSE)), ""))</f>
        <v>0.13039999999999999</v>
      </c>
      <c r="AE37" s="69" t="str">
        <f ca="1">IF($A37="", "",IFERROR(IF(VLOOKUP($A37, INDIRECT("'" &amp; 'Personalized Bill Menu'!$B$22 &amp; "'!" &amp;"$A$4:$CA$100"), VLOOKUP(VLOOKUP("RIDER RATE 4",'Misc. Data &amp; Mechanisms'!$E$601:$I$631,HLOOKUP('Personalized Bill Menu'!$B$22, 'Misc. Data &amp; Mechanisms'!$E$599:$I$600, 2, FALSE), FALSE), 'Misc. Data &amp; Mechanisms'!$A$599:$C$659, 2, FALSE), FALSE) = "", "", VLOOKUP($A37, INDIRECT("'" &amp; 'Personalized Bill Menu'!$B$22 &amp; "'!" &amp;"$A$4:$CA$100"), VLOOKUP(VLOOKUP("RIDER RATE 4",'Misc. Data &amp; Mechanisms'!$E$601:$I$631,HLOOKUP('Personalized Bill Menu'!$B$22, 'Misc. Data &amp; Mechanisms'!$E$599:$I$600, 2, FALSE), FALSE), 'Misc. Data &amp; Mechanisms'!$A$599:$C$659, 2, FALSE), FALSE)), ""))</f>
        <v/>
      </c>
      <c r="AF37" s="90" t="str">
        <f ca="1">IF($A37="", "",IFERROR(IF(VLOOKUP($A37, INDIRECT("'" &amp; 'Personalized Bill Menu'!$B$22 &amp; "'!" &amp;"$A$4:$CA$100"), VLOOKUP(VLOOKUP("RIDER RATE 5",'Misc. Data &amp; Mechanisms'!$E$601:$I$631,HLOOKUP('Personalized Bill Menu'!$B$22, 'Misc. Data &amp; Mechanisms'!$E$599:$I$600, 2, FALSE), FALSE), 'Misc. Data &amp; Mechanisms'!$A$599:$C$659, 2, FALSE), FALSE) = "", "", VLOOKUP($A37, INDIRECT("'" &amp; 'Personalized Bill Menu'!$B$22 &amp; "'!" &amp;"$A$4:$CA$100"), VLOOKUP(VLOOKUP("RIDER RATE 5",'Misc. Data &amp; Mechanisms'!$E$601:$I$631,HLOOKUP('Personalized Bill Menu'!$B$22, 'Misc. Data &amp; Mechanisms'!$E$599:$I$600, 2, FALSE), FALSE), 'Misc. Data &amp; Mechanisms'!$A$599:$C$659, 2, FALSE), FALSE)), ""))</f>
        <v/>
      </c>
      <c r="AG37" s="90" t="str">
        <f ca="1">IF($A37="", "",IFERROR(IF(VLOOKUP($A37, INDIRECT("'" &amp; 'Personalized Bill Menu'!$B$22 &amp; "'!" &amp;"$A$4:$CA$100"), VLOOKUP(VLOOKUP("RIDER RATE 6",'Misc. Data &amp; Mechanisms'!$E$601:$I$631,HLOOKUP('Personalized Bill Menu'!$B$22, 'Misc. Data &amp; Mechanisms'!$E$599:$I$600, 2, FALSE), FALSE), 'Misc. Data &amp; Mechanisms'!$A$599:$C$659, 2, FALSE), FALSE) = "", "", VLOOKUP($A37, INDIRECT("'" &amp; 'Personalized Bill Menu'!$B$22 &amp; "'!" &amp;"$A$4:$CA$100"), VLOOKUP(VLOOKUP("RIDER RATE 6",'Misc. Data &amp; Mechanisms'!$E$601:$I$631,HLOOKUP('Personalized Bill Menu'!$B$22, 'Misc. Data &amp; Mechanisms'!$E$599:$I$600, 2, FALSE), FALSE), 'Misc. Data &amp; Mechanisms'!$A$599:$C$659, 2, FALSE), FALSE)), ""))</f>
        <v/>
      </c>
      <c r="AH37" s="90" t="str">
        <f ca="1">IF($A37="", "",IFERROR(IF(VLOOKUP($A37, INDIRECT("'" &amp; 'Personalized Bill Menu'!$B$22 &amp; "'!" &amp;"$A$4:$CA$100"), VLOOKUP(VLOOKUP("RIDER RATE 7",'Misc. Data &amp; Mechanisms'!$E$601:$I$631,HLOOKUP('Personalized Bill Menu'!$B$22, 'Misc. Data &amp; Mechanisms'!$E$599:$I$600, 2, FALSE), FALSE), 'Misc. Data &amp; Mechanisms'!$A$599:$C$659, 2, FALSE), FALSE) = "", "", VLOOKUP($A37, INDIRECT("'" &amp; 'Personalized Bill Menu'!$B$22 &amp; "'!" &amp;"$A$4:$CA$100"), VLOOKUP(VLOOKUP("RIDER RATE 7",'Misc. Data &amp; Mechanisms'!$E$601:$I$631,HLOOKUP('Personalized Bill Menu'!$B$22, 'Misc. Data &amp; Mechanisms'!$E$599:$I$600, 2, FALSE), FALSE), 'Misc. Data &amp; Mechanisms'!$A$599:$C$659, 2, FALSE), FALSE)), ""))</f>
        <v/>
      </c>
      <c r="AI37" s="72">
        <f t="shared" ca="1" si="14"/>
        <v>-3.1052054539420548</v>
      </c>
      <c r="AJ37" s="72">
        <f t="shared" ca="1" si="15"/>
        <v>3.1288673065948118</v>
      </c>
      <c r="AK37" s="72">
        <f ca="1">IF($A37="", "", IFERROR(IF($AD$6="%",IF('Personalized Bill Menu'!$B$22="ENMAX", $AD37*$I37, IF(AND($AD37="", 'Personalized Bill Menu'!$B$22="FORTIS"),($AE37/100)*$C37,$AD37*$H37)),($AD37/100)*$C37), 0))</f>
        <v>2.293697704004936</v>
      </c>
      <c r="AL37" s="72">
        <f ca="1">IF($A37="", "", IFERROR(IF('Personalized Bill Menu'!$B$22="ENMAX",$AE37*$B37,IF($AE$6="%",$AE37*($H37+$I37+$J37), IF('Personalized Bill Menu'!$B$22="FORTIS",$AF37*$I37,($AE37/100)*$C37))), 0))</f>
        <v>0</v>
      </c>
      <c r="AM37" s="72" t="str">
        <f>IF($A37="", "", IFERROR(IF('Personalized Bill Menu'!$B$22="EPCOR",($AF37/100)*$C37, IF('Personalized Bill Menu'!$B$22="ATCO",$AF37*1,"")), 0))</f>
        <v/>
      </c>
      <c r="AN37" s="72" t="str">
        <f>IF($A37="", "", IFERROR(IF('Personalized Bill Menu'!$B$22="ATCO",$AG37*$B37,""), 0))</f>
        <v/>
      </c>
      <c r="AO37" s="70" t="str">
        <f>IF($A37="", "", IFERROR(IF('Personalized Bill Menu'!$B$22="ATCO",$AH37*$B37,""), 0))</f>
        <v/>
      </c>
      <c r="AP37" s="81">
        <f>IF('Personalized Bill Menu'!$B$34&lt;&gt;"Natural Gas", 'Personalized Bill Menu'!$K34, "")</f>
        <v>0.23369999999999999</v>
      </c>
      <c r="AQ37" s="72">
        <f t="shared" si="16"/>
        <v>7.2446999999999999</v>
      </c>
      <c r="AR37" s="91">
        <f ca="1">IF($A37="", "",IF(VLOOKUP($A37, INDIRECT("'" &amp; 'Personalized Bill Menu'!$B$22 &amp; "'!" &amp;"$A$4:$CA$100"), VLOOKUP(VLOOKUP(AR$5,'Misc. Data &amp; Mechanisms'!$E$601:$I$631,HLOOKUP('Personalized Bill Menu'!$B$22, 'Misc. Data &amp; Mechanisms'!$E$599:$I$600, 2, FALSE), FALSE), 'Misc. Data &amp; Mechanisms'!$A$599:$C$659, 2, FALSE), FALSE) = "", "", VLOOKUP($A37, INDIRECT("'" &amp; 'Personalized Bill Menu'!$B$22 &amp; "'!" &amp;"$A$4:$CA$100"), VLOOKUP(VLOOKUP(AR$5,'Misc. Data &amp; Mechanisms'!$E$601:$I$631,HLOOKUP('Personalized Bill Menu'!$B$22, 'Misc. Data &amp; Mechanisms'!$E$599:$I$600, 2, FALSE), FALSE), 'Misc. Data &amp; Mechanisms'!$A$599:$C$659, 2, FALSE), FALSE)))</f>
        <v>0.05</v>
      </c>
      <c r="AS37" s="2"/>
      <c r="AT37" s="2"/>
      <c r="AU37" s="2"/>
      <c r="AV37" s="2"/>
      <c r="AW37" s="2"/>
    </row>
    <row r="38" spans="1:49" x14ac:dyDescent="0.35">
      <c r="A38" s="83">
        <f>'Personalized Bill Menu'!$H35</f>
        <v>41852</v>
      </c>
      <c r="B38" s="84">
        <f t="shared" si="0"/>
        <v>31</v>
      </c>
      <c r="C38" s="85">
        <f>IF('Personalized Bill Menu'!$B$34&lt;&gt;"Natural Gas", 'Personalized Bill Menu'!$I35, "")</f>
        <v>548.4852192164833</v>
      </c>
      <c r="D38" s="66">
        <f t="shared" ca="1" si="17"/>
        <v>17.969461660237435</v>
      </c>
      <c r="E38" s="66">
        <f ca="1">IFERROR((1+$AR38)*(IF('Personalized Bill Menu'!$B$22="ENMAX", ((1+IFERROR($X38, 0))*($N38+$P38+$R38+$AB38+$AC38))+((1+IF($X38="", 0,$X38))*(IF($AD38="", 0,$AD38)*$R38)), IF('Personalized Bill Menu'!$B$22="EPCOR", ($N38+$P38+$R38+$X38+SUM($AB38:$AE38)), IF('Personalized Bill Menu'!$B$22="ATCO",($N38+((1+IF($AE38="", 0,$AE38))*(1+$X38+$Y38)*($P38+$R38))+SUM($AB38:$AD38)),IF($AD38="",$N38+((1+$X38+$Y38)*($P38+$R38))+$AB38+$AE38+(IF($AC38="", 0, $AC38)*$P38)+($R38*IF($AF38="", 0, $AF38)),$N38+((1+$X38+$Y38)*($P38+$R38))+$AB38+($AD38*$P38)+(IF($AC38="", 0, $AC38)*$P38)+($R38*IF($AF38="", 0, $AF38))))))), "")</f>
        <v>13.4939025396252</v>
      </c>
      <c r="F38" s="1469">
        <f t="shared" ca="1" si="1"/>
        <v>98.559841179175223</v>
      </c>
      <c r="G38" s="66">
        <f t="shared" si="2"/>
        <v>47.395704762934749</v>
      </c>
      <c r="H38" s="66">
        <f t="shared" ca="1" si="3"/>
        <v>10.675167821610414</v>
      </c>
      <c r="I38" s="66">
        <f t="shared" ca="1" si="4"/>
        <v>17.574271074865305</v>
      </c>
      <c r="J38" s="66">
        <f t="shared" ca="1" si="5"/>
        <v>8.6614019367391126</v>
      </c>
      <c r="K38" s="66">
        <f t="shared" ca="1" si="6"/>
        <v>2.3152698125887441</v>
      </c>
      <c r="L38" s="66">
        <f t="shared" si="7"/>
        <v>7.2446999999999999</v>
      </c>
      <c r="M38" s="68">
        <f t="shared" ca="1" si="8"/>
        <v>4.6933257704369158</v>
      </c>
      <c r="N38" s="69">
        <f>IF('Personalized Bill Menu'!$B$34&lt;&gt;"Natural Gas", 'Personalized Bill Menu'!$J35, "")</f>
        <v>8.6411999999999995</v>
      </c>
      <c r="O38" s="70">
        <f t="shared" si="9"/>
        <v>47.395704762934749</v>
      </c>
      <c r="P38" s="71">
        <f ca="1">IF($A38="", "",IFERROR(IF(VLOOKUP($A38, INDIRECT("'" &amp; 'Personalized Bill Menu'!$B$22 &amp; "'!" &amp;"$A$4:$CA$100"), VLOOKUP(VLOOKUP(P$5,'Misc. Data &amp; Mechanisms'!$E$601:$I$631,HLOOKUP('Personalized Bill Menu'!$B$22, 'Misc. Data &amp; Mechanisms'!$E$599:$I$600, 2, FALSE), FALSE), 'Misc. Data &amp; Mechanisms'!$A$599:$C$659, 2, FALSE), FALSE) = "", "", VLOOKUP($A38, INDIRECT("'" &amp; 'Personalized Bill Menu'!$B$22 &amp; "'!" &amp;"$A$4:$CA$100"), VLOOKUP(VLOOKUP(P$5,'Misc. Data &amp; Mechanisms'!$E$601:$I$631,HLOOKUP('Personalized Bill Menu'!$B$22, 'Misc. Data &amp; Mechanisms'!$E$599:$I$600, 2, FALSE), FALSE), 'Misc. Data &amp; Mechanisms'!$A$599:$C$659, 2, FALSE), FALSE)), ""))</f>
        <v>1.9462999999999999</v>
      </c>
      <c r="Q38" s="72">
        <f t="shared" ca="1" si="10"/>
        <v>10.675167821610414</v>
      </c>
      <c r="R38" s="87">
        <f ca="1">IF($A38="", "",IFERROR(IF(VLOOKUP($A38, INDIRECT("'" &amp; 'Personalized Bill Menu'!$B$22 &amp; "'!" &amp;"$A$4:$CA$100"), VLOOKUP(VLOOKUP(R$5,'Misc. Data &amp; Mechanisms'!$E$601:$I$631,HLOOKUP('Personalized Bill Menu'!$B$22, 'Misc. Data &amp; Mechanisms'!$E$599:$I$600, 2, FALSE), FALSE), 'Misc. Data &amp; Mechanisms'!$A$599:$C$659, 2, FALSE), FALSE) = "", "", VLOOKUP($A38, INDIRECT("'" &amp; 'Personalized Bill Menu'!$B$22 &amp; "'!" &amp;"$A$4:$CA$100"), VLOOKUP(VLOOKUP(R$5,'Misc. Data &amp; Mechanisms'!$E$601:$I$631,HLOOKUP('Personalized Bill Menu'!$B$22, 'Misc. Data &amp; Mechanisms'!$E$599:$I$600, 2, FALSE), FALSE), 'Misc. Data &amp; Mechanisms'!$A$599:$C$659, 2, FALSE), FALSE)), ""))</f>
        <v>0.86209999999999998</v>
      </c>
      <c r="S38" s="88">
        <f ca="1">IF($A38="", "",IFERROR(IF(VLOOKUP($A38, INDIRECT("'" &amp; 'Personalized Bill Menu'!$B$22 &amp; "'!" &amp;"$A$4:$CA$100"), VLOOKUP(VLOOKUP(S$5,'Misc. Data &amp; Mechanisms'!$E$601:$I$631,HLOOKUP('Personalized Bill Menu'!$B$22, 'Misc. Data &amp; Mechanisms'!$E$599:$I$600, 2, FALSE), FALSE), 'Misc. Data &amp; Mechanisms'!$A$599:$C$659, 2, FALSE), FALSE) = "", "", VLOOKUP($A38, INDIRECT("'" &amp; 'Personalized Bill Menu'!$B$22 &amp; "'!" &amp;"$A$4:$CA$100"), VLOOKUP(VLOOKUP(S$5,'Misc. Data &amp; Mechanisms'!$E$601:$I$631,HLOOKUP('Personalized Bill Menu'!$B$22, 'Misc. Data &amp; Mechanisms'!$E$599:$I$600, 2, FALSE), FALSE), 'Misc. Data &amp; Mechanisms'!$A$599:$C$659, 2, FALSE), FALSE)), ""))</f>
        <v>0.41438000000000003</v>
      </c>
      <c r="T38" s="81" t="str">
        <f ca="1">IF($A38="", "",IFERROR(IF(VLOOKUP($A38, INDIRECT("'" &amp; 'Personalized Bill Menu'!$B$22 &amp; "'!" &amp;"$A$4:$CA$100"), VLOOKUP(VLOOKUP(T$5,'Misc. Data &amp; Mechanisms'!$E$601:$I$631,HLOOKUP('Personalized Bill Menu'!$B$22, 'Misc. Data &amp; Mechanisms'!$E$599:$I$600, 2, FALSE), FALSE), 'Misc. Data &amp; Mechanisms'!$A$599:$C$659, 2, FALSE), FALSE) = "", "", VLOOKUP($A38, INDIRECT("'" &amp; 'Personalized Bill Menu'!$B$22 &amp; "'!" &amp;"$A$4:$CA$100"), VLOOKUP(VLOOKUP(T$5,'Misc. Data &amp; Mechanisms'!$E$601:$I$631,HLOOKUP('Personalized Bill Menu'!$B$22, 'Misc. Data &amp; Mechanisms'!$E$599:$I$600, 2, FALSE), FALSE), 'Misc. Data &amp; Mechanisms'!$A$599:$C$659, 2, FALSE), FALSE)), ""))</f>
        <v/>
      </c>
      <c r="U38" s="72">
        <f t="shared" ca="1" si="11"/>
        <v>4.7284910748653024</v>
      </c>
      <c r="V38" s="72">
        <f t="shared" ca="1" si="12"/>
        <v>12.845780000000001</v>
      </c>
      <c r="W38" s="70" t="str">
        <f t="shared" si="13"/>
        <v/>
      </c>
      <c r="X38" s="78">
        <f>IFERROR(IF(VLOOKUP($A38,'Misc. Data &amp; Mechanisms'!$A$63:$DY$152,HLOOKUP('Personalized Bill Menu'!$B$21&amp;"_"&amp;'Personalized Bill Menu'!$B$22&amp;"_Elec_Y_1",'Misc. Data &amp; Mechanisms'!$A$55:$DY$62,8,FALSE), FALSE)="", "", VLOOKUP($A38,'Misc. Data &amp; Mechanisms'!$A$63:$DY$152,HLOOKUP('Personalized Bill Menu'!$B$21&amp;"_"&amp;'Personalized Bill Menu'!$B$22&amp;"_Elec_Y_1",'Misc. Data &amp; Mechanisms'!$A$55:$DY$62,8,FALSE), FALSE)), "")</f>
        <v>0.1111</v>
      </c>
      <c r="Y38" s="78" t="str">
        <f>IFERROR(IF(VLOOKUP($A38,'Misc. Data &amp; Mechanisms'!$A$63:$DY$152,HLOOKUP('Personalized Bill Menu'!$B$21&amp;"_"&amp;'Personalized Bill Menu'!$B$22&amp;"_Elec_Y_2",'Misc. Data &amp; Mechanisms'!$A$55:$DY$62,8,FALSE), FALSE)="", "", VLOOKUP($A38,'Misc. Data &amp; Mechanisms'!$A$63:$DY$152,HLOOKUP('Personalized Bill Menu'!$B$21&amp;"_"&amp;'Personalized Bill Menu'!$B$22&amp;"_Elec_Y_2",'Misc. Data &amp; Mechanisms'!$A$55:$DY$62,8,FALSE), FALSE)), "")</f>
        <v/>
      </c>
      <c r="Z38" s="72">
        <f ca="1">IF($A38="", "",IFERROR(IF(OR('Personalized Bill Menu'!$B$22="FORTIS", 'Personalized Bill Menu'!$B$22="ATCO"), $X38*($H38+$I38), IF('Personalized Bill Menu'!$B$22="ENMAX",$X38*($H38+$I38+$K38),($X38/100)*$C38)), 0))</f>
        <v>3.395739137577062</v>
      </c>
      <c r="AA38" s="72">
        <f>IF($A38="", "", IFERROR(IF(OR('Personalized Bill Menu'!$B$22="FORTIS", 'Personalized Bill Menu'!$B$22="ATCO"), $Y38*($H38+$I38), IF('Personalized Bill Menu'!$B$22="ENMAX",$X38*$G38,"")), 0))</f>
        <v>5.265662799162051</v>
      </c>
      <c r="AB38" s="89">
        <f ca="1">IF($A38="", "",IFERROR(IF(VLOOKUP($A38, INDIRECT("'" &amp; 'Personalized Bill Menu'!$B$22 &amp; "'!" &amp;"$A$4:$CA$100"), VLOOKUP(VLOOKUP("RIDER RATE 1",'Misc. Data &amp; Mechanisms'!$E$601:$I$631,HLOOKUP('Personalized Bill Menu'!$B$22, 'Misc. Data &amp; Mechanisms'!$E$599:$I$600, 2, FALSE), FALSE), 'Misc. Data &amp; Mechanisms'!$A$599:$C$659, 2, FALSE), FALSE) = "", "", VLOOKUP($A38, INDIRECT("'" &amp; 'Personalized Bill Menu'!$B$22 &amp; "'!" &amp;"$A$4:$CA$100"), VLOOKUP(VLOOKUP("RIDER RATE 1",'Misc. Data &amp; Mechanisms'!$E$601:$I$631,HLOOKUP('Personalized Bill Menu'!$B$22, 'Misc. Data &amp; Mechanisms'!$E$599:$I$600, 2, FALSE), FALSE), 'Misc. Data &amp; Mechanisms'!$A$599:$C$659, 2, FALSE), FALSE)), ""))</f>
        <v>-0.56430000000000002</v>
      </c>
      <c r="AC38" s="69">
        <f ca="1">IF($A38="", "",IFERROR(IF(VLOOKUP($A38, INDIRECT("'" &amp; 'Personalized Bill Menu'!$B$22 &amp; "'!" &amp;"$A$4:$CA$100"), VLOOKUP(VLOOKUP("RIDER RATE 2",'Misc. Data &amp; Mechanisms'!$E$601:$I$631,HLOOKUP('Personalized Bill Menu'!$B$22, 'Misc. Data &amp; Mechanisms'!$E$599:$I$600, 2, FALSE), FALSE), 'Misc. Data &amp; Mechanisms'!$A$599:$C$659, 2, FALSE), FALSE) = "", "", VLOOKUP($A38, INDIRECT("'" &amp; 'Personalized Bill Menu'!$B$22 &amp; "'!" &amp;"$A$4:$CA$100"), VLOOKUP(VLOOKUP("RIDER RATE 2",'Misc. Data &amp; Mechanisms'!$E$601:$I$631,HLOOKUP('Personalized Bill Menu'!$B$22, 'Misc. Data &amp; Mechanisms'!$E$599:$I$600, 2, FALSE), FALSE), 'Misc. Data &amp; Mechanisms'!$A$599:$C$659, 2, FALSE), FALSE)), ""))</f>
        <v>0.56859999999999999</v>
      </c>
      <c r="AD38" s="69">
        <f ca="1">IF($A38="", "",IFERROR(IF(VLOOKUP($A38, INDIRECT("'" &amp; 'Personalized Bill Menu'!$B$22 &amp; "'!" &amp;"$A$4:$CA$100"), VLOOKUP(VLOOKUP("RIDER RATE 3",'Misc. Data &amp; Mechanisms'!$E$601:$I$631,HLOOKUP('Personalized Bill Menu'!$B$22, 'Misc. Data &amp; Mechanisms'!$E$599:$I$600, 2, FALSE), FALSE), 'Misc. Data &amp; Mechanisms'!$A$599:$C$659, 2, FALSE), FALSE) = "", "", VLOOKUP($A38, INDIRECT("'" &amp; 'Personalized Bill Menu'!$B$22 &amp; "'!" &amp;"$A$4:$CA$100"), VLOOKUP(VLOOKUP("RIDER RATE 3",'Misc. Data &amp; Mechanisms'!$E$601:$I$631,HLOOKUP('Personalized Bill Menu'!$B$22, 'Misc. Data &amp; Mechanisms'!$E$599:$I$600, 2, FALSE), FALSE), 'Misc. Data &amp; Mechanisms'!$A$599:$C$659, 2, FALSE), FALSE)), ""))</f>
        <v>0.13039999999999999</v>
      </c>
      <c r="AE38" s="69" t="str">
        <f ca="1">IF($A38="", "",IFERROR(IF(VLOOKUP($A38, INDIRECT("'" &amp; 'Personalized Bill Menu'!$B$22 &amp; "'!" &amp;"$A$4:$CA$100"), VLOOKUP(VLOOKUP("RIDER RATE 4",'Misc. Data &amp; Mechanisms'!$E$601:$I$631,HLOOKUP('Personalized Bill Menu'!$B$22, 'Misc. Data &amp; Mechanisms'!$E$599:$I$600, 2, FALSE), FALSE), 'Misc. Data &amp; Mechanisms'!$A$599:$C$659, 2, FALSE), FALSE) = "", "", VLOOKUP($A38, INDIRECT("'" &amp; 'Personalized Bill Menu'!$B$22 &amp; "'!" &amp;"$A$4:$CA$100"), VLOOKUP(VLOOKUP("RIDER RATE 4",'Misc. Data &amp; Mechanisms'!$E$601:$I$631,HLOOKUP('Personalized Bill Menu'!$B$22, 'Misc. Data &amp; Mechanisms'!$E$599:$I$600, 2, FALSE), FALSE), 'Misc. Data &amp; Mechanisms'!$A$599:$C$659, 2, FALSE), FALSE)), ""))</f>
        <v/>
      </c>
      <c r="AF38" s="90" t="str">
        <f ca="1">IF($A38="", "",IFERROR(IF(VLOOKUP($A38, INDIRECT("'" &amp; 'Personalized Bill Menu'!$B$22 &amp; "'!" &amp;"$A$4:$CA$100"), VLOOKUP(VLOOKUP("RIDER RATE 5",'Misc. Data &amp; Mechanisms'!$E$601:$I$631,HLOOKUP('Personalized Bill Menu'!$B$22, 'Misc. Data &amp; Mechanisms'!$E$599:$I$600, 2, FALSE), FALSE), 'Misc. Data &amp; Mechanisms'!$A$599:$C$659, 2, FALSE), FALSE) = "", "", VLOOKUP($A38, INDIRECT("'" &amp; 'Personalized Bill Menu'!$B$22 &amp; "'!" &amp;"$A$4:$CA$100"), VLOOKUP(VLOOKUP("RIDER RATE 5",'Misc. Data &amp; Mechanisms'!$E$601:$I$631,HLOOKUP('Personalized Bill Menu'!$B$22, 'Misc. Data &amp; Mechanisms'!$E$599:$I$600, 2, FALSE), FALSE), 'Misc. Data &amp; Mechanisms'!$A$599:$C$659, 2, FALSE), FALSE)), ""))</f>
        <v/>
      </c>
      <c r="AG38" s="90" t="str">
        <f ca="1">IF($A38="", "",IFERROR(IF(VLOOKUP($A38, INDIRECT("'" &amp; 'Personalized Bill Menu'!$B$22 &amp; "'!" &amp;"$A$4:$CA$100"), VLOOKUP(VLOOKUP("RIDER RATE 6",'Misc. Data &amp; Mechanisms'!$E$601:$I$631,HLOOKUP('Personalized Bill Menu'!$B$22, 'Misc. Data &amp; Mechanisms'!$E$599:$I$600, 2, FALSE), FALSE), 'Misc. Data &amp; Mechanisms'!$A$599:$C$659, 2, FALSE), FALSE) = "", "", VLOOKUP($A38, INDIRECT("'" &amp; 'Personalized Bill Menu'!$B$22 &amp; "'!" &amp;"$A$4:$CA$100"), VLOOKUP(VLOOKUP("RIDER RATE 6",'Misc. Data &amp; Mechanisms'!$E$601:$I$631,HLOOKUP('Personalized Bill Menu'!$B$22, 'Misc. Data &amp; Mechanisms'!$E$599:$I$600, 2, FALSE), FALSE), 'Misc. Data &amp; Mechanisms'!$A$599:$C$659, 2, FALSE), FALSE)), ""))</f>
        <v/>
      </c>
      <c r="AH38" s="90" t="str">
        <f ca="1">IF($A38="", "",IFERROR(IF(VLOOKUP($A38, INDIRECT("'" &amp; 'Personalized Bill Menu'!$B$22 &amp; "'!" &amp;"$A$4:$CA$100"), VLOOKUP(VLOOKUP("RIDER RATE 7",'Misc. Data &amp; Mechanisms'!$E$601:$I$631,HLOOKUP('Personalized Bill Menu'!$B$22, 'Misc. Data &amp; Mechanisms'!$E$599:$I$600, 2, FALSE), FALSE), 'Misc. Data &amp; Mechanisms'!$A$599:$C$659, 2, FALSE), FALSE) = "", "", VLOOKUP($A38, INDIRECT("'" &amp; 'Personalized Bill Menu'!$B$22 &amp; "'!" &amp;"$A$4:$CA$100"), VLOOKUP(VLOOKUP("RIDER RATE 7",'Misc. Data &amp; Mechanisms'!$E$601:$I$631,HLOOKUP('Personalized Bill Menu'!$B$22, 'Misc. Data &amp; Mechanisms'!$E$599:$I$600, 2, FALSE), FALSE), 'Misc. Data &amp; Mechanisms'!$A$599:$C$659, 2, FALSE), FALSE)), ""))</f>
        <v/>
      </c>
      <c r="AI38" s="72">
        <f t="shared" ca="1" si="14"/>
        <v>-3.0951020920386156</v>
      </c>
      <c r="AJ38" s="72">
        <f t="shared" ca="1" si="15"/>
        <v>3.118686956464924</v>
      </c>
      <c r="AK38" s="72">
        <f ca="1">IF($A38="", "", IFERROR(IF($AD$6="%",IF('Personalized Bill Menu'!$B$22="ENMAX", $AD38*$I38, IF(AND($AD38="", 'Personalized Bill Menu'!$B$22="FORTIS"),($AE38/100)*$C38,$AD38*$H38)),($AD38/100)*$C38), 0))</f>
        <v>2.2916849481624357</v>
      </c>
      <c r="AL38" s="72">
        <f ca="1">IF($A38="", "", IFERROR(IF('Personalized Bill Menu'!$B$22="ENMAX",$AE38*$B38,IF($AE$6="%",$AE38*($H38+$I38+$J38), IF('Personalized Bill Menu'!$B$22="FORTIS",$AF38*$I38,($AE38/100)*$C38))), 0))</f>
        <v>0</v>
      </c>
      <c r="AM38" s="72" t="str">
        <f>IF($A38="", "", IFERROR(IF('Personalized Bill Menu'!$B$22="EPCOR",($AF38/100)*$C38, IF('Personalized Bill Menu'!$B$22="ATCO",$AF38*1,"")), 0))</f>
        <v/>
      </c>
      <c r="AN38" s="72" t="str">
        <f>IF($A38="", "", IFERROR(IF('Personalized Bill Menu'!$B$22="ATCO",$AG38*$B38,""), 0))</f>
        <v/>
      </c>
      <c r="AO38" s="70" t="str">
        <f>IF($A38="", "", IFERROR(IF('Personalized Bill Menu'!$B$22="ATCO",$AH38*$B38,""), 0))</f>
        <v/>
      </c>
      <c r="AP38" s="81">
        <f>IF('Personalized Bill Menu'!$B$34&lt;&gt;"Natural Gas", 'Personalized Bill Menu'!$K35, "")</f>
        <v>0.23369999999999999</v>
      </c>
      <c r="AQ38" s="72">
        <f t="shared" si="16"/>
        <v>7.2446999999999999</v>
      </c>
      <c r="AR38" s="91">
        <f ca="1">IF($A38="", "",IF(VLOOKUP($A38, INDIRECT("'" &amp; 'Personalized Bill Menu'!$B$22 &amp; "'!" &amp;"$A$4:$CA$100"), VLOOKUP(VLOOKUP(AR$5,'Misc. Data &amp; Mechanisms'!$E$601:$I$631,HLOOKUP('Personalized Bill Menu'!$B$22, 'Misc. Data &amp; Mechanisms'!$E$599:$I$600, 2, FALSE), FALSE), 'Misc. Data &amp; Mechanisms'!$A$599:$C$659, 2, FALSE), FALSE) = "", "", VLOOKUP($A38, INDIRECT("'" &amp; 'Personalized Bill Menu'!$B$22 &amp; "'!" &amp;"$A$4:$CA$100"), VLOOKUP(VLOOKUP(AR$5,'Misc. Data &amp; Mechanisms'!$E$601:$I$631,HLOOKUP('Personalized Bill Menu'!$B$22, 'Misc. Data &amp; Mechanisms'!$E$599:$I$600, 2, FALSE), FALSE), 'Misc. Data &amp; Mechanisms'!$A$599:$C$659, 2, FALSE), FALSE)))</f>
        <v>0.05</v>
      </c>
      <c r="AS38" s="2"/>
      <c r="AT38" s="2"/>
      <c r="AU38" s="2"/>
      <c r="AV38" s="2"/>
      <c r="AW38" s="2"/>
    </row>
    <row r="39" spans="1:49" x14ac:dyDescent="0.35">
      <c r="A39" s="83">
        <f>'Personalized Bill Menu'!$H36</f>
        <v>41883</v>
      </c>
      <c r="B39" s="84">
        <f t="shared" si="0"/>
        <v>30</v>
      </c>
      <c r="C39" s="85">
        <f>IF('Personalized Bill Menu'!$B$34&lt;&gt;"Natural Gas", 'Personalized Bill Menu'!$I36, "")</f>
        <v>539.49057792869712</v>
      </c>
      <c r="D39" s="66">
        <f t="shared" ca="1" si="17"/>
        <v>18.321379457144591</v>
      </c>
      <c r="E39" s="66">
        <f ca="1">IFERROR((1+$AR39)*(IF('Personalized Bill Menu'!$B$22="ENMAX", ((1+IFERROR($X39, 0))*($N39+$P39+$R39+$AB39+$AC39))+((1+IF($X39="", 0,$X39))*(IF($AD39="", 0,$AD39)*$R39)), IF('Personalized Bill Menu'!$B$22="EPCOR", ($N39+$P39+$R39+$X39+SUM($AB39:$AE39)), IF('Personalized Bill Menu'!$B$22="ATCO",($N39+((1+IF($AE39="", 0,$AE39))*(1+$X39+$Y39)*($P39+$R39))+SUM($AB39:$AD39)),IF($AD39="",$N39+((1+$X39+$Y39)*($P39+$R39))+$AB39+$AE39+(IF($AC39="", 0, $AC39)*$P39)+($R39*IF($AF39="", 0, $AF39)),$N39+((1+$X39+$Y39)*($P39+$R39))+$AB39+($AD39*$P39)+(IF($AC39="", 0, $AC39)*$P39)+($R39*IF($AF39="", 0, $AF39))))))), "")</f>
        <v>13.917981632125201</v>
      </c>
      <c r="F39" s="1469">
        <f t="shared" ca="1" si="1"/>
        <v>98.842115917858933</v>
      </c>
      <c r="G39" s="66">
        <f t="shared" si="2"/>
        <v>48.579508070745391</v>
      </c>
      <c r="H39" s="66">
        <f t="shared" ca="1" si="3"/>
        <v>10.50010511822623</v>
      </c>
      <c r="I39" s="66">
        <f t="shared" ca="1" si="4"/>
        <v>17.082348272323298</v>
      </c>
      <c r="J39" s="66">
        <f t="shared" ca="1" si="5"/>
        <v>8.711650722342192</v>
      </c>
      <c r="K39" s="66">
        <f t="shared" ca="1" si="6"/>
        <v>2.250736309561892</v>
      </c>
      <c r="L39" s="66">
        <f t="shared" si="7"/>
        <v>7.0110000000000001</v>
      </c>
      <c r="M39" s="68">
        <f t="shared" ca="1" si="8"/>
        <v>4.70676742465995</v>
      </c>
      <c r="N39" s="69">
        <f>IF('Personalized Bill Menu'!$B$34&lt;&gt;"Natural Gas", 'Personalized Bill Menu'!$J36, "")</f>
        <v>9.0046999999999997</v>
      </c>
      <c r="O39" s="70">
        <f t="shared" si="9"/>
        <v>48.579508070745391</v>
      </c>
      <c r="P39" s="71">
        <f ca="1">IF($A39="", "",IFERROR(IF(VLOOKUP($A39, INDIRECT("'" &amp; 'Personalized Bill Menu'!$B$22 &amp; "'!" &amp;"$A$4:$CA$100"), VLOOKUP(VLOOKUP(P$5,'Misc. Data &amp; Mechanisms'!$E$601:$I$631,HLOOKUP('Personalized Bill Menu'!$B$22, 'Misc. Data &amp; Mechanisms'!$E$599:$I$600, 2, FALSE), FALSE), 'Misc. Data &amp; Mechanisms'!$A$599:$C$659, 2, FALSE), FALSE) = "", "", VLOOKUP($A39, INDIRECT("'" &amp; 'Personalized Bill Menu'!$B$22 &amp; "'!" &amp;"$A$4:$CA$100"), VLOOKUP(VLOOKUP(P$5,'Misc. Data &amp; Mechanisms'!$E$601:$I$631,HLOOKUP('Personalized Bill Menu'!$B$22, 'Misc. Data &amp; Mechanisms'!$E$599:$I$600, 2, FALSE), FALSE), 'Misc. Data &amp; Mechanisms'!$A$599:$C$659, 2, FALSE), FALSE)), ""))</f>
        <v>1.9462999999999999</v>
      </c>
      <c r="Q39" s="72">
        <f t="shared" ca="1" si="10"/>
        <v>10.50010511822623</v>
      </c>
      <c r="R39" s="87">
        <f ca="1">IF($A39="", "",IFERROR(IF(VLOOKUP($A39, INDIRECT("'" &amp; 'Personalized Bill Menu'!$B$22 &amp; "'!" &amp;"$A$4:$CA$100"), VLOOKUP(VLOOKUP(R$5,'Misc. Data &amp; Mechanisms'!$E$601:$I$631,HLOOKUP('Personalized Bill Menu'!$B$22, 'Misc. Data &amp; Mechanisms'!$E$599:$I$600, 2, FALSE), FALSE), 'Misc. Data &amp; Mechanisms'!$A$599:$C$659, 2, FALSE), FALSE) = "", "", VLOOKUP($A39, INDIRECT("'" &amp; 'Personalized Bill Menu'!$B$22 &amp; "'!" &amp;"$A$4:$CA$100"), VLOOKUP(VLOOKUP(R$5,'Misc. Data &amp; Mechanisms'!$E$601:$I$631,HLOOKUP('Personalized Bill Menu'!$B$22, 'Misc. Data &amp; Mechanisms'!$E$599:$I$600, 2, FALSE), FALSE), 'Misc. Data &amp; Mechanisms'!$A$599:$C$659, 2, FALSE), FALSE)), ""))</f>
        <v>0.86209999999999998</v>
      </c>
      <c r="S39" s="88">
        <f ca="1">IF($A39="", "",IFERROR(IF(VLOOKUP($A39, INDIRECT("'" &amp; 'Personalized Bill Menu'!$B$22 &amp; "'!" &amp;"$A$4:$CA$100"), VLOOKUP(VLOOKUP(S$5,'Misc. Data &amp; Mechanisms'!$E$601:$I$631,HLOOKUP('Personalized Bill Menu'!$B$22, 'Misc. Data &amp; Mechanisms'!$E$599:$I$600, 2, FALSE), FALSE), 'Misc. Data &amp; Mechanisms'!$A$599:$C$659, 2, FALSE), FALSE) = "", "", VLOOKUP($A39, INDIRECT("'" &amp; 'Personalized Bill Menu'!$B$22 &amp; "'!" &amp;"$A$4:$CA$100"), VLOOKUP(VLOOKUP(S$5,'Misc. Data &amp; Mechanisms'!$E$601:$I$631,HLOOKUP('Personalized Bill Menu'!$B$22, 'Misc. Data &amp; Mechanisms'!$E$599:$I$600, 2, FALSE), FALSE), 'Misc. Data &amp; Mechanisms'!$A$599:$C$659, 2, FALSE), FALSE)), ""))</f>
        <v>0.41438000000000003</v>
      </c>
      <c r="T39" s="81" t="str">
        <f ca="1">IF($A39="", "",IFERROR(IF(VLOOKUP($A39, INDIRECT("'" &amp; 'Personalized Bill Menu'!$B$22 &amp; "'!" &amp;"$A$4:$CA$100"), VLOOKUP(VLOOKUP(T$5,'Misc. Data &amp; Mechanisms'!$E$601:$I$631,HLOOKUP('Personalized Bill Menu'!$B$22, 'Misc. Data &amp; Mechanisms'!$E$599:$I$600, 2, FALSE), FALSE), 'Misc. Data &amp; Mechanisms'!$A$599:$C$659, 2, FALSE), FALSE) = "", "", VLOOKUP($A39, INDIRECT("'" &amp; 'Personalized Bill Menu'!$B$22 &amp; "'!" &amp;"$A$4:$CA$100"), VLOOKUP(VLOOKUP(T$5,'Misc. Data &amp; Mechanisms'!$E$601:$I$631,HLOOKUP('Personalized Bill Menu'!$B$22, 'Misc. Data &amp; Mechanisms'!$E$599:$I$600, 2, FALSE), FALSE), 'Misc. Data &amp; Mechanisms'!$A$599:$C$659, 2, FALSE), FALSE)), ""))</f>
        <v/>
      </c>
      <c r="U39" s="72">
        <f t="shared" ca="1" si="11"/>
        <v>4.6509482723232978</v>
      </c>
      <c r="V39" s="72">
        <f t="shared" ca="1" si="12"/>
        <v>12.4314</v>
      </c>
      <c r="W39" s="70" t="str">
        <f t="shared" si="13"/>
        <v/>
      </c>
      <c r="X39" s="78">
        <f>IFERROR(IF(VLOOKUP($A39,'Misc. Data &amp; Mechanisms'!$A$63:$DY$152,HLOOKUP('Personalized Bill Menu'!$B$21&amp;"_"&amp;'Personalized Bill Menu'!$B$22&amp;"_Elec_Y_1",'Misc. Data &amp; Mechanisms'!$A$55:$DY$62,8,FALSE), FALSE)="", "", VLOOKUP($A39,'Misc. Data &amp; Mechanisms'!$A$63:$DY$152,HLOOKUP('Personalized Bill Menu'!$B$21&amp;"_"&amp;'Personalized Bill Menu'!$B$22&amp;"_Elec_Y_1",'Misc. Data &amp; Mechanisms'!$A$55:$DY$62,8,FALSE), FALSE)), "")</f>
        <v>0.1111</v>
      </c>
      <c r="Y39" s="78" t="str">
        <f>IFERROR(IF(VLOOKUP($A39,'Misc. Data &amp; Mechanisms'!$A$63:$DY$152,HLOOKUP('Personalized Bill Menu'!$B$21&amp;"_"&amp;'Personalized Bill Menu'!$B$22&amp;"_Elec_Y_2",'Misc. Data &amp; Mechanisms'!$A$55:$DY$62,8,FALSE), FALSE)="", "", VLOOKUP($A39,'Misc. Data &amp; Mechanisms'!$A$63:$DY$152,HLOOKUP('Personalized Bill Menu'!$B$21&amp;"_"&amp;'Personalized Bill Menu'!$B$22&amp;"_Elec_Y_2",'Misc. Data &amp; Mechanisms'!$A$55:$DY$62,8,FALSE), FALSE)), "")</f>
        <v/>
      </c>
      <c r="Z39" s="72">
        <f ca="1">IF($A39="", "",IFERROR(IF(OR('Personalized Bill Menu'!$B$22="FORTIS", 'Personalized Bill Menu'!$B$22="ATCO"), $X39*($H39+$I39), IF('Personalized Bill Menu'!$B$22="ENMAX",$X39*($H39+$I39+$K39),($X39/100)*$C39)), 0))</f>
        <v>3.3144673756823786</v>
      </c>
      <c r="AA39" s="72">
        <f>IF($A39="", "", IFERROR(IF(OR('Personalized Bill Menu'!$B$22="FORTIS", 'Personalized Bill Menu'!$B$22="ATCO"), $Y39*($H39+$I39), IF('Personalized Bill Menu'!$B$22="ENMAX",$X39*$G39,"")), 0))</f>
        <v>5.3971833466598129</v>
      </c>
      <c r="AB39" s="89">
        <f ca="1">IF($A39="", "",IFERROR(IF(VLOOKUP($A39, INDIRECT("'" &amp; 'Personalized Bill Menu'!$B$22 &amp; "'!" &amp;"$A$4:$CA$100"), VLOOKUP(VLOOKUP("RIDER RATE 1",'Misc. Data &amp; Mechanisms'!$E$601:$I$631,HLOOKUP('Personalized Bill Menu'!$B$22, 'Misc. Data &amp; Mechanisms'!$E$599:$I$600, 2, FALSE), FALSE), 'Misc. Data &amp; Mechanisms'!$A$599:$C$659, 2, FALSE), FALSE) = "", "", VLOOKUP($A39, INDIRECT("'" &amp; 'Personalized Bill Menu'!$B$22 &amp; "'!" &amp;"$A$4:$CA$100"), VLOOKUP(VLOOKUP("RIDER RATE 1",'Misc. Data &amp; Mechanisms'!$E$601:$I$631,HLOOKUP('Personalized Bill Menu'!$B$22, 'Misc. Data &amp; Mechanisms'!$E$599:$I$600, 2, FALSE), FALSE), 'Misc. Data &amp; Mechanisms'!$A$599:$C$659, 2, FALSE), FALSE)), ""))</f>
        <v>-0.56430000000000002</v>
      </c>
      <c r="AC39" s="69">
        <f ca="1">IF($A39="", "",IFERROR(IF(VLOOKUP($A39, INDIRECT("'" &amp; 'Personalized Bill Menu'!$B$22 &amp; "'!" &amp;"$A$4:$CA$100"), VLOOKUP(VLOOKUP("RIDER RATE 2",'Misc. Data &amp; Mechanisms'!$E$601:$I$631,HLOOKUP('Personalized Bill Menu'!$B$22, 'Misc. Data &amp; Mechanisms'!$E$599:$I$600, 2, FALSE), FALSE), 'Misc. Data &amp; Mechanisms'!$A$599:$C$659, 2, FALSE), FALSE) = "", "", VLOOKUP($A39, INDIRECT("'" &amp; 'Personalized Bill Menu'!$B$22 &amp; "'!" &amp;"$A$4:$CA$100"), VLOOKUP(VLOOKUP("RIDER RATE 2",'Misc. Data &amp; Mechanisms'!$E$601:$I$631,HLOOKUP('Personalized Bill Menu'!$B$22, 'Misc. Data &amp; Mechanisms'!$E$599:$I$600, 2, FALSE), FALSE), 'Misc. Data &amp; Mechanisms'!$A$599:$C$659, 2, FALSE), FALSE)), ""))</f>
        <v>0.56859999999999999</v>
      </c>
      <c r="AD39" s="69">
        <f ca="1">IF($A39="", "",IFERROR(IF(VLOOKUP($A39, INDIRECT("'" &amp; 'Personalized Bill Menu'!$B$22 &amp; "'!" &amp;"$A$4:$CA$100"), VLOOKUP(VLOOKUP("RIDER RATE 3",'Misc. Data &amp; Mechanisms'!$E$601:$I$631,HLOOKUP('Personalized Bill Menu'!$B$22, 'Misc. Data &amp; Mechanisms'!$E$599:$I$600, 2, FALSE), FALSE), 'Misc. Data &amp; Mechanisms'!$A$599:$C$659, 2, FALSE), FALSE) = "", "", VLOOKUP($A39, INDIRECT("'" &amp; 'Personalized Bill Menu'!$B$22 &amp; "'!" &amp;"$A$4:$CA$100"), VLOOKUP(VLOOKUP("RIDER RATE 3",'Misc. Data &amp; Mechanisms'!$E$601:$I$631,HLOOKUP('Personalized Bill Menu'!$B$22, 'Misc. Data &amp; Mechanisms'!$E$599:$I$600, 2, FALSE), FALSE), 'Misc. Data &amp; Mechanisms'!$A$599:$C$659, 2, FALSE), FALSE)), ""))</f>
        <v>0.13039999999999999</v>
      </c>
      <c r="AE39" s="69" t="str">
        <f ca="1">IF($A39="", "",IFERROR(IF(VLOOKUP($A39, INDIRECT("'" &amp; 'Personalized Bill Menu'!$B$22 &amp; "'!" &amp;"$A$4:$CA$100"), VLOOKUP(VLOOKUP("RIDER RATE 4",'Misc. Data &amp; Mechanisms'!$E$601:$I$631,HLOOKUP('Personalized Bill Menu'!$B$22, 'Misc. Data &amp; Mechanisms'!$E$599:$I$600, 2, FALSE), FALSE), 'Misc. Data &amp; Mechanisms'!$A$599:$C$659, 2, FALSE), FALSE) = "", "", VLOOKUP($A39, INDIRECT("'" &amp; 'Personalized Bill Menu'!$B$22 &amp; "'!" &amp;"$A$4:$CA$100"), VLOOKUP(VLOOKUP("RIDER RATE 4",'Misc. Data &amp; Mechanisms'!$E$601:$I$631,HLOOKUP('Personalized Bill Menu'!$B$22, 'Misc. Data &amp; Mechanisms'!$E$599:$I$600, 2, FALSE), FALSE), 'Misc. Data &amp; Mechanisms'!$A$599:$C$659, 2, FALSE), FALSE)), ""))</f>
        <v/>
      </c>
      <c r="AF39" s="90" t="str">
        <f ca="1">IF($A39="", "",IFERROR(IF(VLOOKUP($A39, INDIRECT("'" &amp; 'Personalized Bill Menu'!$B$22 &amp; "'!" &amp;"$A$4:$CA$100"), VLOOKUP(VLOOKUP("RIDER RATE 5",'Misc. Data &amp; Mechanisms'!$E$601:$I$631,HLOOKUP('Personalized Bill Menu'!$B$22, 'Misc. Data &amp; Mechanisms'!$E$599:$I$600, 2, FALSE), FALSE), 'Misc. Data &amp; Mechanisms'!$A$599:$C$659, 2, FALSE), FALSE) = "", "", VLOOKUP($A39, INDIRECT("'" &amp; 'Personalized Bill Menu'!$B$22 &amp; "'!" &amp;"$A$4:$CA$100"), VLOOKUP(VLOOKUP("RIDER RATE 5",'Misc. Data &amp; Mechanisms'!$E$601:$I$631,HLOOKUP('Personalized Bill Menu'!$B$22, 'Misc. Data &amp; Mechanisms'!$E$599:$I$600, 2, FALSE), FALSE), 'Misc. Data &amp; Mechanisms'!$A$599:$C$659, 2, FALSE), FALSE)), ""))</f>
        <v/>
      </c>
      <c r="AG39" s="90" t="str">
        <f ca="1">IF($A39="", "",IFERROR(IF(VLOOKUP($A39, INDIRECT("'" &amp; 'Personalized Bill Menu'!$B$22 &amp; "'!" &amp;"$A$4:$CA$100"), VLOOKUP(VLOOKUP("RIDER RATE 6",'Misc. Data &amp; Mechanisms'!$E$601:$I$631,HLOOKUP('Personalized Bill Menu'!$B$22, 'Misc. Data &amp; Mechanisms'!$E$599:$I$600, 2, FALSE), FALSE), 'Misc. Data &amp; Mechanisms'!$A$599:$C$659, 2, FALSE), FALSE) = "", "", VLOOKUP($A39, INDIRECT("'" &amp; 'Personalized Bill Menu'!$B$22 &amp; "'!" &amp;"$A$4:$CA$100"), VLOOKUP(VLOOKUP("RIDER RATE 6",'Misc. Data &amp; Mechanisms'!$E$601:$I$631,HLOOKUP('Personalized Bill Menu'!$B$22, 'Misc. Data &amp; Mechanisms'!$E$599:$I$600, 2, FALSE), FALSE), 'Misc. Data &amp; Mechanisms'!$A$599:$C$659, 2, FALSE), FALSE)), ""))</f>
        <v/>
      </c>
      <c r="AH39" s="90" t="str">
        <f ca="1">IF($A39="", "",IFERROR(IF(VLOOKUP($A39, INDIRECT("'" &amp; 'Personalized Bill Menu'!$B$22 &amp; "'!" &amp;"$A$4:$CA$100"), VLOOKUP(VLOOKUP("RIDER RATE 7",'Misc. Data &amp; Mechanisms'!$E$601:$I$631,HLOOKUP('Personalized Bill Menu'!$B$22, 'Misc. Data &amp; Mechanisms'!$E$599:$I$600, 2, FALSE), FALSE), 'Misc. Data &amp; Mechanisms'!$A$599:$C$659, 2, FALSE), FALSE) = "", "", VLOOKUP($A39, INDIRECT("'" &amp; 'Personalized Bill Menu'!$B$22 &amp; "'!" &amp;"$A$4:$CA$100"), VLOOKUP(VLOOKUP("RIDER RATE 7",'Misc. Data &amp; Mechanisms'!$E$601:$I$631,HLOOKUP('Personalized Bill Menu'!$B$22, 'Misc. Data &amp; Mechanisms'!$E$599:$I$600, 2, FALSE), FALSE), 'Misc. Data &amp; Mechanisms'!$A$599:$C$659, 2, FALSE), FALSE)), ""))</f>
        <v/>
      </c>
      <c r="AI39" s="72">
        <f t="shared" ca="1" si="14"/>
        <v>-3.044345331251638</v>
      </c>
      <c r="AJ39" s="72">
        <f t="shared" ca="1" si="15"/>
        <v>3.067543426102572</v>
      </c>
      <c r="AK39" s="72">
        <f ca="1">IF($A39="", "", IFERROR(IF($AD$6="%",IF('Personalized Bill Menu'!$B$22="ENMAX", $AD39*$I39, IF(AND($AD39="", 'Personalized Bill Menu'!$B$22="FORTIS"),($AE39/100)*$C39,$AD39*$H39)),($AD39/100)*$C39), 0))</f>
        <v>2.2275382147109579</v>
      </c>
      <c r="AL39" s="72">
        <f ca="1">IF($A39="", "", IFERROR(IF('Personalized Bill Menu'!$B$22="ENMAX",$AE39*$B39,IF($AE$6="%",$AE39*($H39+$I39+$J39), IF('Personalized Bill Menu'!$B$22="FORTIS",$AF39*$I39,($AE39/100)*$C39))), 0))</f>
        <v>0</v>
      </c>
      <c r="AM39" s="72" t="str">
        <f>IF($A39="", "", IFERROR(IF('Personalized Bill Menu'!$B$22="EPCOR",($AF39/100)*$C39, IF('Personalized Bill Menu'!$B$22="ATCO",$AF39*1,"")), 0))</f>
        <v/>
      </c>
      <c r="AN39" s="72" t="str">
        <f>IF($A39="", "", IFERROR(IF('Personalized Bill Menu'!$B$22="ATCO",$AG39*$B39,""), 0))</f>
        <v/>
      </c>
      <c r="AO39" s="70" t="str">
        <f>IF($A39="", "", IFERROR(IF('Personalized Bill Menu'!$B$22="ATCO",$AH39*$B39,""), 0))</f>
        <v/>
      </c>
      <c r="AP39" s="81">
        <f>IF('Personalized Bill Menu'!$B$34&lt;&gt;"Natural Gas", 'Personalized Bill Menu'!$K36, "")</f>
        <v>0.23369999999999999</v>
      </c>
      <c r="AQ39" s="72">
        <f t="shared" si="16"/>
        <v>7.0110000000000001</v>
      </c>
      <c r="AR39" s="91">
        <f ca="1">IF($A39="", "",IF(VLOOKUP($A39, INDIRECT("'" &amp; 'Personalized Bill Menu'!$B$22 &amp; "'!" &amp;"$A$4:$CA$100"), VLOOKUP(VLOOKUP(AR$5,'Misc. Data &amp; Mechanisms'!$E$601:$I$631,HLOOKUP('Personalized Bill Menu'!$B$22, 'Misc. Data &amp; Mechanisms'!$E$599:$I$600, 2, FALSE), FALSE), 'Misc. Data &amp; Mechanisms'!$A$599:$C$659, 2, FALSE), FALSE) = "", "", VLOOKUP($A39, INDIRECT("'" &amp; 'Personalized Bill Menu'!$B$22 &amp; "'!" &amp;"$A$4:$CA$100"), VLOOKUP(VLOOKUP(AR$5,'Misc. Data &amp; Mechanisms'!$E$601:$I$631,HLOOKUP('Personalized Bill Menu'!$B$22, 'Misc. Data &amp; Mechanisms'!$E$599:$I$600, 2, FALSE), FALSE), 'Misc. Data &amp; Mechanisms'!$A$599:$C$659, 2, FALSE), FALSE)))</f>
        <v>0.05</v>
      </c>
      <c r="AS39" s="2"/>
      <c r="AT39" s="2"/>
      <c r="AU39" s="2"/>
      <c r="AV39" s="2"/>
      <c r="AW39" s="2"/>
    </row>
    <row r="40" spans="1:49" x14ac:dyDescent="0.35">
      <c r="A40" s="83">
        <f>'Personalized Bill Menu'!$H37</f>
        <v>41913</v>
      </c>
      <c r="B40" s="84">
        <f t="shared" si="0"/>
        <v>31</v>
      </c>
      <c r="C40" s="85">
        <f>IF('Personalized Bill Menu'!$B$34&lt;&gt;"Natural Gas", 'Personalized Bill Menu'!$I37, "")</f>
        <v>577.81210120705612</v>
      </c>
      <c r="D40" s="66">
        <f t="shared" ca="1" si="17"/>
        <v>17.839836792042561</v>
      </c>
      <c r="E40" s="66">
        <f ca="1">IFERROR((1+$AR40)*(IF('Personalized Bill Menu'!$B$22="ENMAX", ((1+IFERROR($X40, 0))*($N40+$P40+$R40+$AB40+$AC40))+((1+IF($X40="", 0,$X40))*(IF($AD40="", 0,$AD40)*$R40)), IF('Personalized Bill Menu'!$B$22="EPCOR", ($N40+$P40+$R40+$X40+SUM($AB40:$AE40)), IF('Personalized Bill Menu'!$B$22="ATCO",($N40+((1+IF($AE40="", 0,$AE40))*(1+$X40+$Y40)*($P40+$R40))+SUM($AB40:$AD40)),IF($AD40="",$N40+((1+$X40+$Y40)*($P40+$R40))+$AB40+$AE40+(IF($AC40="", 0, $AC40)*$P40)+($R40*IF($AF40="", 0, $AF40)),$N40+((1+$X40+$Y40)*($P40+$R40))+$AB40+($AD40*$P40)+(IF($AC40="", 0, $AC40)*$P40)+($R40*IF($AF40="", 0, $AF40))))))), "")</f>
        <v>13.591434897625199</v>
      </c>
      <c r="F40" s="1469">
        <f t="shared" ca="1" si="1"/>
        <v>103.0807358200106</v>
      </c>
      <c r="G40" s="66">
        <f t="shared" si="2"/>
        <v>48.82974504880589</v>
      </c>
      <c r="H40" s="66">
        <f t="shared" ca="1" si="3"/>
        <v>11.245956925792932</v>
      </c>
      <c r="I40" s="66">
        <f t="shared" ca="1" si="4"/>
        <v>17.827098124506033</v>
      </c>
      <c r="J40" s="66">
        <f t="shared" ca="1" si="5"/>
        <v>9.0919245801913835</v>
      </c>
      <c r="K40" s="66">
        <f t="shared" ca="1" si="6"/>
        <v>3.9327046730948232</v>
      </c>
      <c r="L40" s="66">
        <f t="shared" si="7"/>
        <v>7.2446999999999999</v>
      </c>
      <c r="M40" s="68">
        <f t="shared" ca="1" si="8"/>
        <v>4.9086064676195527</v>
      </c>
      <c r="N40" s="69">
        <f>IF('Personalized Bill Menu'!$B$34&lt;&gt;"Natural Gas", 'Personalized Bill Menu'!$J37, "")</f>
        <v>8.4507999999999992</v>
      </c>
      <c r="O40" s="70">
        <f t="shared" si="9"/>
        <v>48.82974504880589</v>
      </c>
      <c r="P40" s="71">
        <f ca="1">IF($A40="", "",IFERROR(IF(VLOOKUP($A40, INDIRECT("'" &amp; 'Personalized Bill Menu'!$B$22 &amp; "'!" &amp;"$A$4:$CA$100"), VLOOKUP(VLOOKUP(P$5,'Misc. Data &amp; Mechanisms'!$E$601:$I$631,HLOOKUP('Personalized Bill Menu'!$B$22, 'Misc. Data &amp; Mechanisms'!$E$599:$I$600, 2, FALSE), FALSE), 'Misc. Data &amp; Mechanisms'!$A$599:$C$659, 2, FALSE), FALSE) = "", "", VLOOKUP($A40, INDIRECT("'" &amp; 'Personalized Bill Menu'!$B$22 &amp; "'!" &amp;"$A$4:$CA$100"), VLOOKUP(VLOOKUP(P$5,'Misc. Data &amp; Mechanisms'!$E$601:$I$631,HLOOKUP('Personalized Bill Menu'!$B$22, 'Misc. Data &amp; Mechanisms'!$E$599:$I$600, 2, FALSE), FALSE), 'Misc. Data &amp; Mechanisms'!$A$599:$C$659, 2, FALSE), FALSE)), ""))</f>
        <v>1.9462999999999999</v>
      </c>
      <c r="Q40" s="72">
        <f t="shared" ca="1" si="10"/>
        <v>11.245956925792932</v>
      </c>
      <c r="R40" s="87">
        <f ca="1">IF($A40="", "",IFERROR(IF(VLOOKUP($A40, INDIRECT("'" &amp; 'Personalized Bill Menu'!$B$22 &amp; "'!" &amp;"$A$4:$CA$100"), VLOOKUP(VLOOKUP(R$5,'Misc. Data &amp; Mechanisms'!$E$601:$I$631,HLOOKUP('Personalized Bill Menu'!$B$22, 'Misc. Data &amp; Mechanisms'!$E$599:$I$600, 2, FALSE), FALSE), 'Misc. Data &amp; Mechanisms'!$A$599:$C$659, 2, FALSE), FALSE) = "", "", VLOOKUP($A40, INDIRECT("'" &amp; 'Personalized Bill Menu'!$B$22 &amp; "'!" &amp;"$A$4:$CA$100"), VLOOKUP(VLOOKUP(R$5,'Misc. Data &amp; Mechanisms'!$E$601:$I$631,HLOOKUP('Personalized Bill Menu'!$B$22, 'Misc. Data &amp; Mechanisms'!$E$599:$I$600, 2, FALSE), FALSE), 'Misc. Data &amp; Mechanisms'!$A$599:$C$659, 2, FALSE), FALSE)), ""))</f>
        <v>0.86209999999999998</v>
      </c>
      <c r="S40" s="88">
        <f ca="1">IF($A40="", "",IFERROR(IF(VLOOKUP($A40, INDIRECT("'" &amp; 'Personalized Bill Menu'!$B$22 &amp; "'!" &amp;"$A$4:$CA$100"), VLOOKUP(VLOOKUP(S$5,'Misc. Data &amp; Mechanisms'!$E$601:$I$631,HLOOKUP('Personalized Bill Menu'!$B$22, 'Misc. Data &amp; Mechanisms'!$E$599:$I$600, 2, FALSE), FALSE), 'Misc. Data &amp; Mechanisms'!$A$599:$C$659, 2, FALSE), FALSE) = "", "", VLOOKUP($A40, INDIRECT("'" &amp; 'Personalized Bill Menu'!$B$22 &amp; "'!" &amp;"$A$4:$CA$100"), VLOOKUP(VLOOKUP(S$5,'Misc. Data &amp; Mechanisms'!$E$601:$I$631,HLOOKUP('Personalized Bill Menu'!$B$22, 'Misc. Data &amp; Mechanisms'!$E$599:$I$600, 2, FALSE), FALSE), 'Misc. Data &amp; Mechanisms'!$A$599:$C$659, 2, FALSE), FALSE)), ""))</f>
        <v>0.41438000000000003</v>
      </c>
      <c r="T40" s="81" t="str">
        <f ca="1">IF($A40="", "",IFERROR(IF(VLOOKUP($A40, INDIRECT("'" &amp; 'Personalized Bill Menu'!$B$22 &amp; "'!" &amp;"$A$4:$CA$100"), VLOOKUP(VLOOKUP(T$5,'Misc. Data &amp; Mechanisms'!$E$601:$I$631,HLOOKUP('Personalized Bill Menu'!$B$22, 'Misc. Data &amp; Mechanisms'!$E$599:$I$600, 2, FALSE), FALSE), 'Misc. Data &amp; Mechanisms'!$A$599:$C$659, 2, FALSE), FALSE) = "", "", VLOOKUP($A40, INDIRECT("'" &amp; 'Personalized Bill Menu'!$B$22 &amp; "'!" &amp;"$A$4:$CA$100"), VLOOKUP(VLOOKUP(T$5,'Misc. Data &amp; Mechanisms'!$E$601:$I$631,HLOOKUP('Personalized Bill Menu'!$B$22, 'Misc. Data &amp; Mechanisms'!$E$599:$I$600, 2, FALSE), FALSE), 'Misc. Data &amp; Mechanisms'!$A$599:$C$659, 2, FALSE), FALSE)), ""))</f>
        <v/>
      </c>
      <c r="U40" s="72">
        <f t="shared" ca="1" si="11"/>
        <v>4.9813181245060312</v>
      </c>
      <c r="V40" s="72">
        <f t="shared" ca="1" si="12"/>
        <v>12.845780000000001</v>
      </c>
      <c r="W40" s="70" t="str">
        <f t="shared" si="13"/>
        <v/>
      </c>
      <c r="X40" s="78">
        <f>IFERROR(IF(VLOOKUP($A40,'Misc. Data &amp; Mechanisms'!$A$63:$DY$152,HLOOKUP('Personalized Bill Menu'!$B$21&amp;"_"&amp;'Personalized Bill Menu'!$B$22&amp;"_Elec_Y_1",'Misc. Data &amp; Mechanisms'!$A$55:$DY$62,8,FALSE), FALSE)="", "", VLOOKUP($A40,'Misc. Data &amp; Mechanisms'!$A$63:$DY$152,HLOOKUP('Personalized Bill Menu'!$B$21&amp;"_"&amp;'Personalized Bill Menu'!$B$22&amp;"_Elec_Y_1",'Misc. Data &amp; Mechanisms'!$A$55:$DY$62,8,FALSE), FALSE)), "")</f>
        <v>0.1111</v>
      </c>
      <c r="Y40" s="78" t="str">
        <f>IFERROR(IF(VLOOKUP($A40,'Misc. Data &amp; Mechanisms'!$A$63:$DY$152,HLOOKUP('Personalized Bill Menu'!$B$21&amp;"_"&amp;'Personalized Bill Menu'!$B$22&amp;"_Elec_Y_2",'Misc. Data &amp; Mechanisms'!$A$55:$DY$62,8,FALSE), FALSE)="", "", VLOOKUP($A40,'Misc. Data &amp; Mechanisms'!$A$63:$DY$152,HLOOKUP('Personalized Bill Menu'!$B$21&amp;"_"&amp;'Personalized Bill Menu'!$B$22&amp;"_Elec_Y_2",'Misc. Data &amp; Mechanisms'!$A$55:$DY$62,8,FALSE), FALSE)), "")</f>
        <v/>
      </c>
      <c r="Z40" s="72">
        <f ca="1">IF($A40="", "",IFERROR(IF(OR('Personalized Bill Menu'!$B$22="FORTIS", 'Personalized Bill Menu'!$B$22="ATCO"), $X40*($H40+$I40), IF('Personalized Bill Menu'!$B$22="ENMAX",$X40*($H40+$I40+$K40),($X40/100)*$C40)), 0))</f>
        <v>3.6669399052690497</v>
      </c>
      <c r="AA40" s="72">
        <f>IF($A40="", "", IFERROR(IF(OR('Personalized Bill Menu'!$B$22="FORTIS", 'Personalized Bill Menu'!$B$22="ATCO"), $Y40*($H40+$I40), IF('Personalized Bill Menu'!$B$22="ENMAX",$X40*$G40,"")), 0))</f>
        <v>5.4249846749223343</v>
      </c>
      <c r="AB40" s="89">
        <f ca="1">IF($A40="", "",IFERROR(IF(VLOOKUP($A40, INDIRECT("'" &amp; 'Personalized Bill Menu'!$B$22 &amp; "'!" &amp;"$A$4:$CA$100"), VLOOKUP(VLOOKUP("RIDER RATE 1",'Misc. Data &amp; Mechanisms'!$E$601:$I$631,HLOOKUP('Personalized Bill Menu'!$B$22, 'Misc. Data &amp; Mechanisms'!$E$599:$I$600, 2, FALSE), FALSE), 'Misc. Data &amp; Mechanisms'!$A$599:$C$659, 2, FALSE), FALSE) = "", "", VLOOKUP($A40, INDIRECT("'" &amp; 'Personalized Bill Menu'!$B$22 &amp; "'!" &amp;"$A$4:$CA$100"), VLOOKUP(VLOOKUP("RIDER RATE 1",'Misc. Data &amp; Mechanisms'!$E$601:$I$631,HLOOKUP('Personalized Bill Menu'!$B$22, 'Misc. Data &amp; Mechanisms'!$E$599:$I$600, 2, FALSE), FALSE), 'Misc. Data &amp; Mechanisms'!$A$599:$C$659, 2, FALSE), FALSE)), ""))</f>
        <v>-0.56430000000000002</v>
      </c>
      <c r="AC40" s="69">
        <f ca="1">IF($A40="", "",IFERROR(IF(VLOOKUP($A40, INDIRECT("'" &amp; 'Personalized Bill Menu'!$B$22 &amp; "'!" &amp;"$A$4:$CA$100"), VLOOKUP(VLOOKUP("RIDER RATE 2",'Misc. Data &amp; Mechanisms'!$E$601:$I$631,HLOOKUP('Personalized Bill Menu'!$B$22, 'Misc. Data &amp; Mechanisms'!$E$599:$I$600, 2, FALSE), FALSE), 'Misc. Data &amp; Mechanisms'!$A$599:$C$659, 2, FALSE), FALSE) = "", "", VLOOKUP($A40, INDIRECT("'" &amp; 'Personalized Bill Menu'!$B$22 &amp; "'!" &amp;"$A$4:$CA$100"), VLOOKUP(VLOOKUP("RIDER RATE 2",'Misc. Data &amp; Mechanisms'!$E$601:$I$631,HLOOKUP('Personalized Bill Menu'!$B$22, 'Misc. Data &amp; Mechanisms'!$E$599:$I$600, 2, FALSE), FALSE), 'Misc. Data &amp; Mechanisms'!$A$599:$C$659, 2, FALSE), FALSE)), ""))</f>
        <v>0.84260000000000002</v>
      </c>
      <c r="AD40" s="69">
        <f ca="1">IF($A40="", "",IFERROR(IF(VLOOKUP($A40, INDIRECT("'" &amp; 'Personalized Bill Menu'!$B$22 &amp; "'!" &amp;"$A$4:$CA$100"), VLOOKUP(VLOOKUP("RIDER RATE 3",'Misc. Data &amp; Mechanisms'!$E$601:$I$631,HLOOKUP('Personalized Bill Menu'!$B$22, 'Misc. Data &amp; Mechanisms'!$E$599:$I$600, 2, FALSE), FALSE), 'Misc. Data &amp; Mechanisms'!$A$599:$C$659, 2, FALSE), FALSE) = "", "", VLOOKUP($A40, INDIRECT("'" &amp; 'Personalized Bill Menu'!$B$22 &amp; "'!" &amp;"$A$4:$CA$100"), VLOOKUP(VLOOKUP("RIDER RATE 3",'Misc. Data &amp; Mechanisms'!$E$601:$I$631,HLOOKUP('Personalized Bill Menu'!$B$22, 'Misc. Data &amp; Mechanisms'!$E$599:$I$600, 2, FALSE), FALSE), 'Misc. Data &amp; Mechanisms'!$A$599:$C$659, 2, FALSE), FALSE)), ""))</f>
        <v>0.13039999999999999</v>
      </c>
      <c r="AE40" s="69" t="str">
        <f ca="1">IF($A40="", "",IFERROR(IF(VLOOKUP($A40, INDIRECT("'" &amp; 'Personalized Bill Menu'!$B$22 &amp; "'!" &amp;"$A$4:$CA$100"), VLOOKUP(VLOOKUP("RIDER RATE 4",'Misc. Data &amp; Mechanisms'!$E$601:$I$631,HLOOKUP('Personalized Bill Menu'!$B$22, 'Misc. Data &amp; Mechanisms'!$E$599:$I$600, 2, FALSE), FALSE), 'Misc. Data &amp; Mechanisms'!$A$599:$C$659, 2, FALSE), FALSE) = "", "", VLOOKUP($A40, INDIRECT("'" &amp; 'Personalized Bill Menu'!$B$22 &amp; "'!" &amp;"$A$4:$CA$100"), VLOOKUP(VLOOKUP("RIDER RATE 4",'Misc. Data &amp; Mechanisms'!$E$601:$I$631,HLOOKUP('Personalized Bill Menu'!$B$22, 'Misc. Data &amp; Mechanisms'!$E$599:$I$600, 2, FALSE), FALSE), 'Misc. Data &amp; Mechanisms'!$A$599:$C$659, 2, FALSE), FALSE)), ""))</f>
        <v/>
      </c>
      <c r="AF40" s="90" t="str">
        <f ca="1">IF($A40="", "",IFERROR(IF(VLOOKUP($A40, INDIRECT("'" &amp; 'Personalized Bill Menu'!$B$22 &amp; "'!" &amp;"$A$4:$CA$100"), VLOOKUP(VLOOKUP("RIDER RATE 5",'Misc. Data &amp; Mechanisms'!$E$601:$I$631,HLOOKUP('Personalized Bill Menu'!$B$22, 'Misc. Data &amp; Mechanisms'!$E$599:$I$600, 2, FALSE), FALSE), 'Misc. Data &amp; Mechanisms'!$A$599:$C$659, 2, FALSE), FALSE) = "", "", VLOOKUP($A40, INDIRECT("'" &amp; 'Personalized Bill Menu'!$B$22 &amp; "'!" &amp;"$A$4:$CA$100"), VLOOKUP(VLOOKUP("RIDER RATE 5",'Misc. Data &amp; Mechanisms'!$E$601:$I$631,HLOOKUP('Personalized Bill Menu'!$B$22, 'Misc. Data &amp; Mechanisms'!$E$599:$I$600, 2, FALSE), FALSE), 'Misc. Data &amp; Mechanisms'!$A$599:$C$659, 2, FALSE), FALSE)), ""))</f>
        <v/>
      </c>
      <c r="AG40" s="90" t="str">
        <f ca="1">IF($A40="", "",IFERROR(IF(VLOOKUP($A40, INDIRECT("'" &amp; 'Personalized Bill Menu'!$B$22 &amp; "'!" &amp;"$A$4:$CA$100"), VLOOKUP(VLOOKUP("RIDER RATE 6",'Misc. Data &amp; Mechanisms'!$E$601:$I$631,HLOOKUP('Personalized Bill Menu'!$B$22, 'Misc. Data &amp; Mechanisms'!$E$599:$I$600, 2, FALSE), FALSE), 'Misc. Data &amp; Mechanisms'!$A$599:$C$659, 2, FALSE), FALSE) = "", "", VLOOKUP($A40, INDIRECT("'" &amp; 'Personalized Bill Menu'!$B$22 &amp; "'!" &amp;"$A$4:$CA$100"), VLOOKUP(VLOOKUP("RIDER RATE 6",'Misc. Data &amp; Mechanisms'!$E$601:$I$631,HLOOKUP('Personalized Bill Menu'!$B$22, 'Misc. Data &amp; Mechanisms'!$E$599:$I$600, 2, FALSE), FALSE), 'Misc. Data &amp; Mechanisms'!$A$599:$C$659, 2, FALSE), FALSE)), ""))</f>
        <v/>
      </c>
      <c r="AH40" s="90" t="str">
        <f ca="1">IF($A40="", "",IFERROR(IF(VLOOKUP($A40, INDIRECT("'" &amp; 'Personalized Bill Menu'!$B$22 &amp; "'!" &amp;"$A$4:$CA$100"), VLOOKUP(VLOOKUP("RIDER RATE 7",'Misc. Data &amp; Mechanisms'!$E$601:$I$631,HLOOKUP('Personalized Bill Menu'!$B$22, 'Misc. Data &amp; Mechanisms'!$E$599:$I$600, 2, FALSE), FALSE), 'Misc. Data &amp; Mechanisms'!$A$599:$C$659, 2, FALSE), FALSE) = "", "", VLOOKUP($A40, INDIRECT("'" &amp; 'Personalized Bill Menu'!$B$22 &amp; "'!" &amp;"$A$4:$CA$100"), VLOOKUP(VLOOKUP("RIDER RATE 7",'Misc. Data &amp; Mechanisms'!$E$601:$I$631,HLOOKUP('Personalized Bill Menu'!$B$22, 'Misc. Data &amp; Mechanisms'!$E$599:$I$600, 2, FALSE), FALSE), 'Misc. Data &amp; Mechanisms'!$A$599:$C$659, 2, FALSE), FALSE)), ""))</f>
        <v/>
      </c>
      <c r="AI40" s="72">
        <f t="shared" ca="1" si="14"/>
        <v>-3.2605936871114181</v>
      </c>
      <c r="AJ40" s="72">
        <f t="shared" ca="1" si="15"/>
        <v>4.8686447647706546</v>
      </c>
      <c r="AK40" s="72">
        <f ca="1">IF($A40="", "", IFERROR(IF($AD$6="%",IF('Personalized Bill Menu'!$B$22="ENMAX", $AD40*$I40, IF(AND($AD40="", 'Personalized Bill Menu'!$B$22="FORTIS"),($AE40/100)*$C40,$AD40*$H40)),($AD40/100)*$C40), 0))</f>
        <v>2.3246535954355867</v>
      </c>
      <c r="AL40" s="72">
        <f ca="1">IF($A40="", "", IFERROR(IF('Personalized Bill Menu'!$B$22="ENMAX",$AE40*$B40,IF($AE$6="%",$AE40*($H40+$I40+$J40), IF('Personalized Bill Menu'!$B$22="FORTIS",$AF40*$I40,($AE40/100)*$C40))), 0))</f>
        <v>0</v>
      </c>
      <c r="AM40" s="72" t="str">
        <f>IF($A40="", "", IFERROR(IF('Personalized Bill Menu'!$B$22="EPCOR",($AF40/100)*$C40, IF('Personalized Bill Menu'!$B$22="ATCO",$AF40*1,"")), 0))</f>
        <v/>
      </c>
      <c r="AN40" s="72" t="str">
        <f>IF($A40="", "", IFERROR(IF('Personalized Bill Menu'!$B$22="ATCO",$AG40*$B40,""), 0))</f>
        <v/>
      </c>
      <c r="AO40" s="70" t="str">
        <f>IF($A40="", "", IFERROR(IF('Personalized Bill Menu'!$B$22="ATCO",$AH40*$B40,""), 0))</f>
        <v/>
      </c>
      <c r="AP40" s="81">
        <f>IF('Personalized Bill Menu'!$B$34&lt;&gt;"Natural Gas", 'Personalized Bill Menu'!$K37, "")</f>
        <v>0.23369999999999999</v>
      </c>
      <c r="AQ40" s="72">
        <f t="shared" si="16"/>
        <v>7.2446999999999999</v>
      </c>
      <c r="AR40" s="91">
        <f ca="1">IF($A40="", "",IF(VLOOKUP($A40, INDIRECT("'" &amp; 'Personalized Bill Menu'!$B$22 &amp; "'!" &amp;"$A$4:$CA$100"), VLOOKUP(VLOOKUP(AR$5,'Misc. Data &amp; Mechanisms'!$E$601:$I$631,HLOOKUP('Personalized Bill Menu'!$B$22, 'Misc. Data &amp; Mechanisms'!$E$599:$I$600, 2, FALSE), FALSE), 'Misc. Data &amp; Mechanisms'!$A$599:$C$659, 2, FALSE), FALSE) = "", "", VLOOKUP($A40, INDIRECT("'" &amp; 'Personalized Bill Menu'!$B$22 &amp; "'!" &amp;"$A$4:$CA$100"), VLOOKUP(VLOOKUP(AR$5,'Misc. Data &amp; Mechanisms'!$E$601:$I$631,HLOOKUP('Personalized Bill Menu'!$B$22, 'Misc. Data &amp; Mechanisms'!$E$599:$I$600, 2, FALSE), FALSE), 'Misc. Data &amp; Mechanisms'!$A$599:$C$659, 2, FALSE), FALSE)))</f>
        <v>0.05</v>
      </c>
      <c r="AS40" s="2"/>
      <c r="AT40" s="2"/>
      <c r="AU40" s="2"/>
      <c r="AV40" s="2"/>
      <c r="AW40" s="2"/>
    </row>
    <row r="41" spans="1:49" x14ac:dyDescent="0.35">
      <c r="A41" s="83">
        <f>'Personalized Bill Menu'!$H38</f>
        <v>41944</v>
      </c>
      <c r="B41" s="84">
        <f t="shared" si="0"/>
        <v>30</v>
      </c>
      <c r="C41" s="85">
        <f>IF('Personalized Bill Menu'!$B$34&lt;&gt;"Natural Gas", 'Personalized Bill Menu'!$I38, "")</f>
        <v>681.40742022456311</v>
      </c>
      <c r="D41" s="66">
        <f t="shared" ca="1" si="17"/>
        <v>14.592177811863472</v>
      </c>
      <c r="E41" s="66">
        <f ca="1">IFERROR((1+$AR41)*(IF('Personalized Bill Menu'!$B$22="ENMAX", ((1+IFERROR($X41, 0))*($N41+$P41+$R41+$AB41+$AC41))+((1+IF($X41="", 0,$X41))*(IF($AD41="", 0,$AD41)*$R41)), IF('Personalized Bill Menu'!$B$22="EPCOR", ($N41+$P41+$R41+$X41+SUM($AB41:$AE41)), IF('Personalized Bill Menu'!$B$22="ATCO",($N41+((1+IF($AE41="", 0,$AE41))*(1+$X41+$Y41)*($P41+$R41))+SUM($AB41:$AD41)),IF($AD41="",$N41+((1+$X41+$Y41)*($P41+$R41))+$AB41+$AE41+(IF($AC41="", 0, $AC41)*$P41)+($R41*IF($AF41="", 0, $AF41)),$N41+((1+$X41+$Y41)*($P41+$R41))+$AB41+($AD41*$P41)+(IF($AC41="", 0, $AC41)*$P41)+($R41*IF($AF41="", 0, $AF41))))))), "")</f>
        <v>11.105876420125201</v>
      </c>
      <c r="F41" s="1469">
        <f t="shared" ca="1" si="1"/>
        <v>99.432182382399986</v>
      </c>
      <c r="G41" s="66">
        <f t="shared" si="2"/>
        <v>43.070400217554187</v>
      </c>
      <c r="H41" s="66">
        <f t="shared" ca="1" si="3"/>
        <v>13.262232619830669</v>
      </c>
      <c r="I41" s="66">
        <f t="shared" ca="1" si="4"/>
        <v>18.30581336975596</v>
      </c>
      <c r="J41" s="66">
        <f t="shared" ca="1" si="5"/>
        <v>8.7678424707258262</v>
      </c>
      <c r="K41" s="66">
        <f t="shared" ca="1" si="6"/>
        <v>4.2800278768000126</v>
      </c>
      <c r="L41" s="66">
        <f t="shared" si="7"/>
        <v>7.0110000000000001</v>
      </c>
      <c r="M41" s="68">
        <f t="shared" ca="1" si="8"/>
        <v>4.7348658277333326</v>
      </c>
      <c r="N41" s="69">
        <f>IF('Personalized Bill Menu'!$B$34&lt;&gt;"Natural Gas", 'Personalized Bill Menu'!$J38, "")</f>
        <v>6.3208000000000002</v>
      </c>
      <c r="O41" s="70">
        <f t="shared" si="9"/>
        <v>43.070400217554187</v>
      </c>
      <c r="P41" s="71">
        <f ca="1">IF($A41="", "",IFERROR(IF(VLOOKUP($A41, INDIRECT("'" &amp; 'Personalized Bill Menu'!$B$22 &amp; "'!" &amp;"$A$4:$CA$100"), VLOOKUP(VLOOKUP(P$5,'Misc. Data &amp; Mechanisms'!$E$601:$I$631,HLOOKUP('Personalized Bill Menu'!$B$22, 'Misc. Data &amp; Mechanisms'!$E$599:$I$600, 2, FALSE), FALSE), 'Misc. Data &amp; Mechanisms'!$A$599:$C$659, 2, FALSE), FALSE) = "", "", VLOOKUP($A41, INDIRECT("'" &amp; 'Personalized Bill Menu'!$B$22 &amp; "'!" &amp;"$A$4:$CA$100"), VLOOKUP(VLOOKUP(P$5,'Misc. Data &amp; Mechanisms'!$E$601:$I$631,HLOOKUP('Personalized Bill Menu'!$B$22, 'Misc. Data &amp; Mechanisms'!$E$599:$I$600, 2, FALSE), FALSE), 'Misc. Data &amp; Mechanisms'!$A$599:$C$659, 2, FALSE), FALSE)), ""))</f>
        <v>1.9462999999999999</v>
      </c>
      <c r="Q41" s="72">
        <f t="shared" ca="1" si="10"/>
        <v>13.262232619830669</v>
      </c>
      <c r="R41" s="87">
        <f ca="1">IF($A41="", "",IFERROR(IF(VLOOKUP($A41, INDIRECT("'" &amp; 'Personalized Bill Menu'!$B$22 &amp; "'!" &amp;"$A$4:$CA$100"), VLOOKUP(VLOOKUP(R$5,'Misc. Data &amp; Mechanisms'!$E$601:$I$631,HLOOKUP('Personalized Bill Menu'!$B$22, 'Misc. Data &amp; Mechanisms'!$E$599:$I$600, 2, FALSE), FALSE), 'Misc. Data &amp; Mechanisms'!$A$599:$C$659, 2, FALSE), FALSE) = "", "", VLOOKUP($A41, INDIRECT("'" &amp; 'Personalized Bill Menu'!$B$22 &amp; "'!" &amp;"$A$4:$CA$100"), VLOOKUP(VLOOKUP(R$5,'Misc. Data &amp; Mechanisms'!$E$601:$I$631,HLOOKUP('Personalized Bill Menu'!$B$22, 'Misc. Data &amp; Mechanisms'!$E$599:$I$600, 2, FALSE), FALSE), 'Misc. Data &amp; Mechanisms'!$A$599:$C$659, 2, FALSE), FALSE)), ""))</f>
        <v>0.86209999999999998</v>
      </c>
      <c r="S41" s="88">
        <f ca="1">IF($A41="", "",IFERROR(IF(VLOOKUP($A41, INDIRECT("'" &amp; 'Personalized Bill Menu'!$B$22 &amp; "'!" &amp;"$A$4:$CA$100"), VLOOKUP(VLOOKUP(S$5,'Misc. Data &amp; Mechanisms'!$E$601:$I$631,HLOOKUP('Personalized Bill Menu'!$B$22, 'Misc. Data &amp; Mechanisms'!$E$599:$I$600, 2, FALSE), FALSE), 'Misc. Data &amp; Mechanisms'!$A$599:$C$659, 2, FALSE), FALSE) = "", "", VLOOKUP($A41, INDIRECT("'" &amp; 'Personalized Bill Menu'!$B$22 &amp; "'!" &amp;"$A$4:$CA$100"), VLOOKUP(VLOOKUP(S$5,'Misc. Data &amp; Mechanisms'!$E$601:$I$631,HLOOKUP('Personalized Bill Menu'!$B$22, 'Misc. Data &amp; Mechanisms'!$E$599:$I$600, 2, FALSE), FALSE), 'Misc. Data &amp; Mechanisms'!$A$599:$C$659, 2, FALSE), FALSE)), ""))</f>
        <v>0.41438000000000003</v>
      </c>
      <c r="T41" s="81" t="str">
        <f ca="1">IF($A41="", "",IFERROR(IF(VLOOKUP($A41, INDIRECT("'" &amp; 'Personalized Bill Menu'!$B$22 &amp; "'!" &amp;"$A$4:$CA$100"), VLOOKUP(VLOOKUP(T$5,'Misc. Data &amp; Mechanisms'!$E$601:$I$631,HLOOKUP('Personalized Bill Menu'!$B$22, 'Misc. Data &amp; Mechanisms'!$E$599:$I$600, 2, FALSE), FALSE), 'Misc. Data &amp; Mechanisms'!$A$599:$C$659, 2, FALSE), FALSE) = "", "", VLOOKUP($A41, INDIRECT("'" &amp; 'Personalized Bill Menu'!$B$22 &amp; "'!" &amp;"$A$4:$CA$100"), VLOOKUP(VLOOKUP(T$5,'Misc. Data &amp; Mechanisms'!$E$601:$I$631,HLOOKUP('Personalized Bill Menu'!$B$22, 'Misc. Data &amp; Mechanisms'!$E$599:$I$600, 2, FALSE), FALSE), 'Misc. Data &amp; Mechanisms'!$A$599:$C$659, 2, FALSE), FALSE)), ""))</f>
        <v/>
      </c>
      <c r="U41" s="72">
        <f t="shared" ca="1" si="11"/>
        <v>5.8744133697559588</v>
      </c>
      <c r="V41" s="72">
        <f t="shared" ca="1" si="12"/>
        <v>12.4314</v>
      </c>
      <c r="W41" s="70" t="str">
        <f t="shared" si="13"/>
        <v/>
      </c>
      <c r="X41" s="78">
        <f>IFERROR(IF(VLOOKUP($A41,'Misc. Data &amp; Mechanisms'!$A$63:$DY$152,HLOOKUP('Personalized Bill Menu'!$B$21&amp;"_"&amp;'Personalized Bill Menu'!$B$22&amp;"_Elec_Y_1",'Misc. Data &amp; Mechanisms'!$A$55:$DY$62,8,FALSE), FALSE)="", "", VLOOKUP($A41,'Misc. Data &amp; Mechanisms'!$A$63:$DY$152,HLOOKUP('Personalized Bill Menu'!$B$21&amp;"_"&amp;'Personalized Bill Menu'!$B$22&amp;"_Elec_Y_1",'Misc. Data &amp; Mechanisms'!$A$55:$DY$62,8,FALSE), FALSE)), "")</f>
        <v>0.1111</v>
      </c>
      <c r="Y41" s="78" t="str">
        <f>IFERROR(IF(VLOOKUP($A41,'Misc. Data &amp; Mechanisms'!$A$63:$DY$152,HLOOKUP('Personalized Bill Menu'!$B$21&amp;"_"&amp;'Personalized Bill Menu'!$B$22&amp;"_Elec_Y_2",'Misc. Data &amp; Mechanisms'!$A$55:$DY$62,8,FALSE), FALSE)="", "", VLOOKUP($A41,'Misc. Data &amp; Mechanisms'!$A$63:$DY$152,HLOOKUP('Personalized Bill Menu'!$B$21&amp;"_"&amp;'Personalized Bill Menu'!$B$22&amp;"_Elec_Y_2",'Misc. Data &amp; Mechanisms'!$A$55:$DY$62,8,FALSE), FALSE)), "")</f>
        <v/>
      </c>
      <c r="Z41" s="72">
        <f ca="1">IF($A41="", "",IFERROR(IF(OR('Personalized Bill Menu'!$B$22="FORTIS", 'Personalized Bill Menu'!$B$22="ATCO"), $X41*($H41+$I41), IF('Personalized Bill Menu'!$B$22="ENMAX",$X41*($H41+$I41+$K41),($X41/100)*$C41)), 0))</f>
        <v>3.9827210065555563</v>
      </c>
      <c r="AA41" s="72">
        <f>IF($A41="", "", IFERROR(IF(OR('Personalized Bill Menu'!$B$22="FORTIS", 'Personalized Bill Menu'!$B$22="ATCO"), $Y41*($H41+$I41), IF('Personalized Bill Menu'!$B$22="ENMAX",$X41*$G41,"")), 0))</f>
        <v>4.7851214641702704</v>
      </c>
      <c r="AB41" s="89">
        <f ca="1">IF($A41="", "",IFERROR(IF(VLOOKUP($A41, INDIRECT("'" &amp; 'Personalized Bill Menu'!$B$22 &amp; "'!" &amp;"$A$4:$CA$100"), VLOOKUP(VLOOKUP("RIDER RATE 1",'Misc. Data &amp; Mechanisms'!$E$601:$I$631,HLOOKUP('Personalized Bill Menu'!$B$22, 'Misc. Data &amp; Mechanisms'!$E$599:$I$600, 2, FALSE), FALSE), 'Misc. Data &amp; Mechanisms'!$A$599:$C$659, 2, FALSE), FALSE) = "", "", VLOOKUP($A41, INDIRECT("'" &amp; 'Personalized Bill Menu'!$B$22 &amp; "'!" &amp;"$A$4:$CA$100"), VLOOKUP(VLOOKUP("RIDER RATE 1",'Misc. Data &amp; Mechanisms'!$E$601:$I$631,HLOOKUP('Personalized Bill Menu'!$B$22, 'Misc. Data &amp; Mechanisms'!$E$599:$I$600, 2, FALSE), FALSE), 'Misc. Data &amp; Mechanisms'!$A$599:$C$659, 2, FALSE), FALSE)), ""))</f>
        <v>-0.56430000000000002</v>
      </c>
      <c r="AC41" s="69">
        <f ca="1">IF($A41="", "",IFERROR(IF(VLOOKUP($A41, INDIRECT("'" &amp; 'Personalized Bill Menu'!$B$22 &amp; "'!" &amp;"$A$4:$CA$100"), VLOOKUP(VLOOKUP("RIDER RATE 2",'Misc. Data &amp; Mechanisms'!$E$601:$I$631,HLOOKUP('Personalized Bill Menu'!$B$22, 'Misc. Data &amp; Mechanisms'!$E$599:$I$600, 2, FALSE), FALSE), 'Misc. Data &amp; Mechanisms'!$A$599:$C$659, 2, FALSE), FALSE) = "", "", VLOOKUP($A41, INDIRECT("'" &amp; 'Personalized Bill Menu'!$B$22 &amp; "'!" &amp;"$A$4:$CA$100"), VLOOKUP(VLOOKUP("RIDER RATE 2",'Misc. Data &amp; Mechanisms'!$E$601:$I$631,HLOOKUP('Personalized Bill Menu'!$B$22, 'Misc. Data &amp; Mechanisms'!$E$599:$I$600, 2, FALSE), FALSE), 'Misc. Data &amp; Mechanisms'!$A$599:$C$659, 2, FALSE), FALSE)), ""))</f>
        <v>0.84209999999999996</v>
      </c>
      <c r="AD41" s="69">
        <f ca="1">IF($A41="", "",IFERROR(IF(VLOOKUP($A41, INDIRECT("'" &amp; 'Personalized Bill Menu'!$B$22 &amp; "'!" &amp;"$A$4:$CA$100"), VLOOKUP(VLOOKUP("RIDER RATE 3",'Misc. Data &amp; Mechanisms'!$E$601:$I$631,HLOOKUP('Personalized Bill Menu'!$B$22, 'Misc. Data &amp; Mechanisms'!$E$599:$I$600, 2, FALSE), FALSE), 'Misc. Data &amp; Mechanisms'!$A$599:$C$659, 2, FALSE), FALSE) = "", "", VLOOKUP($A41, INDIRECT("'" &amp; 'Personalized Bill Menu'!$B$22 &amp; "'!" &amp;"$A$4:$CA$100"), VLOOKUP(VLOOKUP("RIDER RATE 3",'Misc. Data &amp; Mechanisms'!$E$601:$I$631,HLOOKUP('Personalized Bill Menu'!$B$22, 'Misc. Data &amp; Mechanisms'!$E$599:$I$600, 2, FALSE), FALSE), 'Misc. Data &amp; Mechanisms'!$A$599:$C$659, 2, FALSE), FALSE)), ""))</f>
        <v>0.13039999999999999</v>
      </c>
      <c r="AE41" s="69" t="str">
        <f ca="1">IF($A41="", "",IFERROR(IF(VLOOKUP($A41, INDIRECT("'" &amp; 'Personalized Bill Menu'!$B$22 &amp; "'!" &amp;"$A$4:$CA$100"), VLOOKUP(VLOOKUP("RIDER RATE 4",'Misc. Data &amp; Mechanisms'!$E$601:$I$631,HLOOKUP('Personalized Bill Menu'!$B$22, 'Misc. Data &amp; Mechanisms'!$E$599:$I$600, 2, FALSE), FALSE), 'Misc. Data &amp; Mechanisms'!$A$599:$C$659, 2, FALSE), FALSE) = "", "", VLOOKUP($A41, INDIRECT("'" &amp; 'Personalized Bill Menu'!$B$22 &amp; "'!" &amp;"$A$4:$CA$100"), VLOOKUP(VLOOKUP("RIDER RATE 4",'Misc. Data &amp; Mechanisms'!$E$601:$I$631,HLOOKUP('Personalized Bill Menu'!$B$22, 'Misc. Data &amp; Mechanisms'!$E$599:$I$600, 2, FALSE), FALSE), 'Misc. Data &amp; Mechanisms'!$A$599:$C$659, 2, FALSE), FALSE)), ""))</f>
        <v/>
      </c>
      <c r="AF41" s="90" t="str">
        <f ca="1">IF($A41="", "",IFERROR(IF(VLOOKUP($A41, INDIRECT("'" &amp; 'Personalized Bill Menu'!$B$22 &amp; "'!" &amp;"$A$4:$CA$100"), VLOOKUP(VLOOKUP("RIDER RATE 5",'Misc. Data &amp; Mechanisms'!$E$601:$I$631,HLOOKUP('Personalized Bill Menu'!$B$22, 'Misc. Data &amp; Mechanisms'!$E$599:$I$600, 2, FALSE), FALSE), 'Misc. Data &amp; Mechanisms'!$A$599:$C$659, 2, FALSE), FALSE) = "", "", VLOOKUP($A41, INDIRECT("'" &amp; 'Personalized Bill Menu'!$B$22 &amp; "'!" &amp;"$A$4:$CA$100"), VLOOKUP(VLOOKUP("RIDER RATE 5",'Misc. Data &amp; Mechanisms'!$E$601:$I$631,HLOOKUP('Personalized Bill Menu'!$B$22, 'Misc. Data &amp; Mechanisms'!$E$599:$I$600, 2, FALSE), FALSE), 'Misc. Data &amp; Mechanisms'!$A$599:$C$659, 2, FALSE), FALSE)), ""))</f>
        <v/>
      </c>
      <c r="AG41" s="90" t="str">
        <f ca="1">IF($A41="", "",IFERROR(IF(VLOOKUP($A41, INDIRECT("'" &amp; 'Personalized Bill Menu'!$B$22 &amp; "'!" &amp;"$A$4:$CA$100"), VLOOKUP(VLOOKUP("RIDER RATE 6",'Misc. Data &amp; Mechanisms'!$E$601:$I$631,HLOOKUP('Personalized Bill Menu'!$B$22, 'Misc. Data &amp; Mechanisms'!$E$599:$I$600, 2, FALSE), FALSE), 'Misc. Data &amp; Mechanisms'!$A$599:$C$659, 2, FALSE), FALSE) = "", "", VLOOKUP($A41, INDIRECT("'" &amp; 'Personalized Bill Menu'!$B$22 &amp; "'!" &amp;"$A$4:$CA$100"), VLOOKUP(VLOOKUP("RIDER RATE 6",'Misc. Data &amp; Mechanisms'!$E$601:$I$631,HLOOKUP('Personalized Bill Menu'!$B$22, 'Misc. Data &amp; Mechanisms'!$E$599:$I$600, 2, FALSE), FALSE), 'Misc. Data &amp; Mechanisms'!$A$599:$C$659, 2, FALSE), FALSE)), ""))</f>
        <v/>
      </c>
      <c r="AH41" s="90" t="str">
        <f ca="1">IF($A41="", "",IFERROR(IF(VLOOKUP($A41, INDIRECT("'" &amp; 'Personalized Bill Menu'!$B$22 &amp; "'!" &amp;"$A$4:$CA$100"), VLOOKUP(VLOOKUP("RIDER RATE 7",'Misc. Data &amp; Mechanisms'!$E$601:$I$631,HLOOKUP('Personalized Bill Menu'!$B$22, 'Misc. Data &amp; Mechanisms'!$E$599:$I$600, 2, FALSE), FALSE), 'Misc. Data &amp; Mechanisms'!$A$599:$C$659, 2, FALSE), FALSE) = "", "", VLOOKUP($A41, INDIRECT("'" &amp; 'Personalized Bill Menu'!$B$22 &amp; "'!" &amp;"$A$4:$CA$100"), VLOOKUP(VLOOKUP("RIDER RATE 7",'Misc. Data &amp; Mechanisms'!$E$601:$I$631,HLOOKUP('Personalized Bill Menu'!$B$22, 'Misc. Data &amp; Mechanisms'!$E$599:$I$600, 2, FALSE), FALSE), 'Misc. Data &amp; Mechanisms'!$A$599:$C$659, 2, FALSE), FALSE)), ""))</f>
        <v/>
      </c>
      <c r="AI41" s="72">
        <f t="shared" ca="1" si="14"/>
        <v>-3.8451820723272099</v>
      </c>
      <c r="AJ41" s="72">
        <f t="shared" ca="1" si="15"/>
        <v>5.7381318857110459</v>
      </c>
      <c r="AK41" s="72">
        <f ca="1">IF($A41="", "", IFERROR(IF($AD$6="%",IF('Personalized Bill Menu'!$B$22="ENMAX", $AD41*$I41, IF(AND($AD41="", 'Personalized Bill Menu'!$B$22="FORTIS"),($AE41/100)*$C41,$AD41*$H41)),($AD41/100)*$C41), 0))</f>
        <v>2.387078063416177</v>
      </c>
      <c r="AL41" s="72">
        <f ca="1">IF($A41="", "", IFERROR(IF('Personalized Bill Menu'!$B$22="ENMAX",$AE41*$B41,IF($AE$6="%",$AE41*($H41+$I41+$J41), IF('Personalized Bill Menu'!$B$22="FORTIS",$AF41*$I41,($AE41/100)*$C41))), 0))</f>
        <v>0</v>
      </c>
      <c r="AM41" s="72" t="str">
        <f>IF($A41="", "", IFERROR(IF('Personalized Bill Menu'!$B$22="EPCOR",($AF41/100)*$C41, IF('Personalized Bill Menu'!$B$22="ATCO",$AF41*1,"")), 0))</f>
        <v/>
      </c>
      <c r="AN41" s="72" t="str">
        <f>IF($A41="", "", IFERROR(IF('Personalized Bill Menu'!$B$22="ATCO",$AG41*$B41,""), 0))</f>
        <v/>
      </c>
      <c r="AO41" s="70" t="str">
        <f>IF($A41="", "", IFERROR(IF('Personalized Bill Menu'!$B$22="ATCO",$AH41*$B41,""), 0))</f>
        <v/>
      </c>
      <c r="AP41" s="81">
        <f>IF('Personalized Bill Menu'!$B$34&lt;&gt;"Natural Gas", 'Personalized Bill Menu'!$K38, "")</f>
        <v>0.23369999999999999</v>
      </c>
      <c r="AQ41" s="72">
        <f t="shared" si="16"/>
        <v>7.0110000000000001</v>
      </c>
      <c r="AR41" s="91">
        <f ca="1">IF($A41="", "",IF(VLOOKUP($A41, INDIRECT("'" &amp; 'Personalized Bill Menu'!$B$22 &amp; "'!" &amp;"$A$4:$CA$100"), VLOOKUP(VLOOKUP(AR$5,'Misc. Data &amp; Mechanisms'!$E$601:$I$631,HLOOKUP('Personalized Bill Menu'!$B$22, 'Misc. Data &amp; Mechanisms'!$E$599:$I$600, 2, FALSE), FALSE), 'Misc. Data &amp; Mechanisms'!$A$599:$C$659, 2, FALSE), FALSE) = "", "", VLOOKUP($A41, INDIRECT("'" &amp; 'Personalized Bill Menu'!$B$22 &amp; "'!" &amp;"$A$4:$CA$100"), VLOOKUP(VLOOKUP(AR$5,'Misc. Data &amp; Mechanisms'!$E$601:$I$631,HLOOKUP('Personalized Bill Menu'!$B$22, 'Misc. Data &amp; Mechanisms'!$E$599:$I$600, 2, FALSE), FALSE), 'Misc. Data &amp; Mechanisms'!$A$599:$C$659, 2, FALSE), FALSE)))</f>
        <v>0.05</v>
      </c>
      <c r="AS41" s="2"/>
      <c r="AT41" s="2"/>
      <c r="AU41" s="2"/>
      <c r="AV41" s="2"/>
      <c r="AW41" s="2"/>
    </row>
    <row r="42" spans="1:49" x14ac:dyDescent="0.35">
      <c r="A42" s="83">
        <f>'Personalized Bill Menu'!$H39</f>
        <v>41974</v>
      </c>
      <c r="B42" s="84">
        <f t="shared" si="0"/>
        <v>31</v>
      </c>
      <c r="C42" s="85">
        <f>IF('Personalized Bill Menu'!$B$34&lt;&gt;"Natural Gas", 'Personalized Bill Menu'!$I39, "")</f>
        <v>703.19710101169528</v>
      </c>
      <c r="D42" s="66">
        <f t="shared" ca="1" si="17"/>
        <v>15.737046907641565</v>
      </c>
      <c r="E42" s="66">
        <f ca="1">IFERROR((1+$AR42)*(IF('Personalized Bill Menu'!$B$22="ENMAX", ((1+IFERROR($X42, 0))*($N42+$P42+$R42+$AB42+$AC42))+((1+IF($X42="", 0,$X42))*(IF($AD42="", 0,$AD42)*$R42)), IF('Personalized Bill Menu'!$B$22="EPCOR", ($N42+$P42+$R42+$X42+SUM($AB42:$AE42)), IF('Personalized Bill Menu'!$B$22="ATCO",($N42+((1+IF($AE42="", 0,$AE42))*(1+$X42+$Y42)*($P42+$R42))+SUM($AB42:$AD42)),IF($AD42="",$N42+((1+$X42+$Y42)*($P42+$R42))+$AB42+$AE42+(IF($AC42="", 0, $AC42)*$P42)+($R42*IF($AF42="", 0, $AF42)),$N42+((1+$X42+$Y42)*($P42+$R42))+$AB42+($AD42*$P42)+(IF($AC42="", 0, $AC42)*$P42)+($R42*IF($AF42="", 0, $AF42))))))), "")</f>
        <v>12.2461650171252</v>
      </c>
      <c r="F42" s="1469">
        <f t="shared" ca="1" si="1"/>
        <v>110.66245763938612</v>
      </c>
      <c r="G42" s="66">
        <f t="shared" si="2"/>
        <v>51.320730826035536</v>
      </c>
      <c r="H42" s="66">
        <f t="shared" ca="1" si="3"/>
        <v>13.686325176990623</v>
      </c>
      <c r="I42" s="66">
        <f t="shared" ca="1" si="4"/>
        <v>18.908042207821826</v>
      </c>
      <c r="J42" s="66">
        <f t="shared" ca="1" si="5"/>
        <v>9.8139283380569236</v>
      </c>
      <c r="K42" s="66">
        <f t="shared" ca="1" si="6"/>
        <v>4.4190902505104539</v>
      </c>
      <c r="L42" s="66">
        <f t="shared" si="7"/>
        <v>7.2446999999999999</v>
      </c>
      <c r="M42" s="68">
        <f t="shared" ca="1" si="8"/>
        <v>5.2696408399707684</v>
      </c>
      <c r="N42" s="69">
        <f>IF('Personalized Bill Menu'!$B$34&lt;&gt;"Natural Gas", 'Personalized Bill Menu'!$J39, "")</f>
        <v>7.2981999999999996</v>
      </c>
      <c r="O42" s="70">
        <f t="shared" si="9"/>
        <v>51.320730826035536</v>
      </c>
      <c r="P42" s="71">
        <f ca="1">IF($A42="", "",IFERROR(IF(VLOOKUP($A42, INDIRECT("'" &amp; 'Personalized Bill Menu'!$B$22 &amp; "'!" &amp;"$A$4:$CA$100"), VLOOKUP(VLOOKUP(P$5,'Misc. Data &amp; Mechanisms'!$E$601:$I$631,HLOOKUP('Personalized Bill Menu'!$B$22, 'Misc. Data &amp; Mechanisms'!$E$599:$I$600, 2, FALSE), FALSE), 'Misc. Data &amp; Mechanisms'!$A$599:$C$659, 2, FALSE), FALSE) = "", "", VLOOKUP($A42, INDIRECT("'" &amp; 'Personalized Bill Menu'!$B$22 &amp; "'!" &amp;"$A$4:$CA$100"), VLOOKUP(VLOOKUP(P$5,'Misc. Data &amp; Mechanisms'!$E$601:$I$631,HLOOKUP('Personalized Bill Menu'!$B$22, 'Misc. Data &amp; Mechanisms'!$E$599:$I$600, 2, FALSE), FALSE), 'Misc. Data &amp; Mechanisms'!$A$599:$C$659, 2, FALSE), FALSE)), ""))</f>
        <v>1.9462999999999999</v>
      </c>
      <c r="Q42" s="72">
        <f t="shared" ca="1" si="10"/>
        <v>13.686325176990623</v>
      </c>
      <c r="R42" s="87">
        <f ca="1">IF($A42="", "",IFERROR(IF(VLOOKUP($A42, INDIRECT("'" &amp; 'Personalized Bill Menu'!$B$22 &amp; "'!" &amp;"$A$4:$CA$100"), VLOOKUP(VLOOKUP(R$5,'Misc. Data &amp; Mechanisms'!$E$601:$I$631,HLOOKUP('Personalized Bill Menu'!$B$22, 'Misc. Data &amp; Mechanisms'!$E$599:$I$600, 2, FALSE), FALSE), 'Misc. Data &amp; Mechanisms'!$A$599:$C$659, 2, FALSE), FALSE) = "", "", VLOOKUP($A42, INDIRECT("'" &amp; 'Personalized Bill Menu'!$B$22 &amp; "'!" &amp;"$A$4:$CA$100"), VLOOKUP(VLOOKUP(R$5,'Misc. Data &amp; Mechanisms'!$E$601:$I$631,HLOOKUP('Personalized Bill Menu'!$B$22, 'Misc. Data &amp; Mechanisms'!$E$599:$I$600, 2, FALSE), FALSE), 'Misc. Data &amp; Mechanisms'!$A$599:$C$659, 2, FALSE), FALSE)), ""))</f>
        <v>0.86209999999999998</v>
      </c>
      <c r="S42" s="88">
        <f ca="1">IF($A42="", "",IFERROR(IF(VLOOKUP($A42, INDIRECT("'" &amp; 'Personalized Bill Menu'!$B$22 &amp; "'!" &amp;"$A$4:$CA$100"), VLOOKUP(VLOOKUP(S$5,'Misc. Data &amp; Mechanisms'!$E$601:$I$631,HLOOKUP('Personalized Bill Menu'!$B$22, 'Misc. Data &amp; Mechanisms'!$E$599:$I$600, 2, FALSE), FALSE), 'Misc. Data &amp; Mechanisms'!$A$599:$C$659, 2, FALSE), FALSE) = "", "", VLOOKUP($A42, INDIRECT("'" &amp; 'Personalized Bill Menu'!$B$22 &amp; "'!" &amp;"$A$4:$CA$100"), VLOOKUP(VLOOKUP(S$5,'Misc. Data &amp; Mechanisms'!$E$601:$I$631,HLOOKUP('Personalized Bill Menu'!$B$22, 'Misc. Data &amp; Mechanisms'!$E$599:$I$600, 2, FALSE), FALSE), 'Misc. Data &amp; Mechanisms'!$A$599:$C$659, 2, FALSE), FALSE)), ""))</f>
        <v>0.41438000000000003</v>
      </c>
      <c r="T42" s="81" t="str">
        <f ca="1">IF($A42="", "",IFERROR(IF(VLOOKUP($A42, INDIRECT("'" &amp; 'Personalized Bill Menu'!$B$22 &amp; "'!" &amp;"$A$4:$CA$100"), VLOOKUP(VLOOKUP(T$5,'Misc. Data &amp; Mechanisms'!$E$601:$I$631,HLOOKUP('Personalized Bill Menu'!$B$22, 'Misc. Data &amp; Mechanisms'!$E$599:$I$600, 2, FALSE), FALSE), 'Misc. Data &amp; Mechanisms'!$A$599:$C$659, 2, FALSE), FALSE) = "", "", VLOOKUP($A42, INDIRECT("'" &amp; 'Personalized Bill Menu'!$B$22 &amp; "'!" &amp;"$A$4:$CA$100"), VLOOKUP(VLOOKUP(T$5,'Misc. Data &amp; Mechanisms'!$E$601:$I$631,HLOOKUP('Personalized Bill Menu'!$B$22, 'Misc. Data &amp; Mechanisms'!$E$599:$I$600, 2, FALSE), FALSE), 'Misc. Data &amp; Mechanisms'!$A$599:$C$659, 2, FALSE), FALSE)), ""))</f>
        <v/>
      </c>
      <c r="U42" s="72">
        <f t="shared" ca="1" si="11"/>
        <v>6.0622622078218251</v>
      </c>
      <c r="V42" s="72">
        <f t="shared" ca="1" si="12"/>
        <v>12.845780000000001</v>
      </c>
      <c r="W42" s="70" t="str">
        <f t="shared" si="13"/>
        <v/>
      </c>
      <c r="X42" s="78">
        <f>IFERROR(IF(VLOOKUP($A42,'Misc. Data &amp; Mechanisms'!$A$63:$DY$152,HLOOKUP('Personalized Bill Menu'!$B$21&amp;"_"&amp;'Personalized Bill Menu'!$B$22&amp;"_Elec_Y_1",'Misc. Data &amp; Mechanisms'!$A$55:$DY$62,8,FALSE), FALSE)="", "", VLOOKUP($A42,'Misc. Data &amp; Mechanisms'!$A$63:$DY$152,HLOOKUP('Personalized Bill Menu'!$B$21&amp;"_"&amp;'Personalized Bill Menu'!$B$22&amp;"_Elec_Y_1",'Misc. Data &amp; Mechanisms'!$A$55:$DY$62,8,FALSE), FALSE)), "")</f>
        <v>0.1111</v>
      </c>
      <c r="Y42" s="78" t="str">
        <f>IFERROR(IF(VLOOKUP($A42,'Misc. Data &amp; Mechanisms'!$A$63:$DY$152,HLOOKUP('Personalized Bill Menu'!$B$21&amp;"_"&amp;'Personalized Bill Menu'!$B$22&amp;"_Elec_Y_2",'Misc. Data &amp; Mechanisms'!$A$55:$DY$62,8,FALSE), FALSE)="", "", VLOOKUP($A42,'Misc. Data &amp; Mechanisms'!$A$63:$DY$152,HLOOKUP('Personalized Bill Menu'!$B$21&amp;"_"&amp;'Personalized Bill Menu'!$B$22&amp;"_Elec_Y_2",'Misc. Data &amp; Mechanisms'!$A$55:$DY$62,8,FALSE), FALSE)), "")</f>
        <v/>
      </c>
      <c r="Z42" s="72">
        <f ca="1">IF($A42="", "",IFERROR(IF(OR('Personalized Bill Menu'!$B$22="FORTIS", 'Personalized Bill Menu'!$B$22="ATCO"), $X42*($H42+$I42), IF('Personalized Bill Menu'!$B$22="ENMAX",$X42*($H42+$I42+$K42),($X42/100)*$C42)), 0))</f>
        <v>4.1121951432843753</v>
      </c>
      <c r="AA42" s="72">
        <f>IF($A42="", "", IFERROR(IF(OR('Personalized Bill Menu'!$B$22="FORTIS", 'Personalized Bill Menu'!$B$22="ATCO"), $Y42*($H42+$I42), IF('Personalized Bill Menu'!$B$22="ENMAX",$X42*$G42,"")), 0))</f>
        <v>5.7017331947725483</v>
      </c>
      <c r="AB42" s="89">
        <f ca="1">IF($A42="", "",IFERROR(IF(VLOOKUP($A42, INDIRECT("'" &amp; 'Personalized Bill Menu'!$B$22 &amp; "'!" &amp;"$A$4:$CA$100"), VLOOKUP(VLOOKUP("RIDER RATE 1",'Misc. Data &amp; Mechanisms'!$E$601:$I$631,HLOOKUP('Personalized Bill Menu'!$B$22, 'Misc. Data &amp; Mechanisms'!$E$599:$I$600, 2, FALSE), FALSE), 'Misc. Data &amp; Mechanisms'!$A$599:$C$659, 2, FALSE), FALSE) = "", "", VLOOKUP($A42, INDIRECT("'" &amp; 'Personalized Bill Menu'!$B$22 &amp; "'!" &amp;"$A$4:$CA$100"), VLOOKUP(VLOOKUP("RIDER RATE 1",'Misc. Data &amp; Mechanisms'!$E$601:$I$631,HLOOKUP('Personalized Bill Menu'!$B$22, 'Misc. Data &amp; Mechanisms'!$E$599:$I$600, 2, FALSE), FALSE), 'Misc. Data &amp; Mechanisms'!$A$599:$C$659, 2, FALSE), FALSE)), ""))</f>
        <v>-0.56430000000000002</v>
      </c>
      <c r="AC42" s="69">
        <f ca="1">IF($A42="", "",IFERROR(IF(VLOOKUP($A42, INDIRECT("'" &amp; 'Personalized Bill Menu'!$B$22 &amp; "'!" &amp;"$A$4:$CA$100"), VLOOKUP(VLOOKUP("RIDER RATE 2",'Misc. Data &amp; Mechanisms'!$E$601:$I$631,HLOOKUP('Personalized Bill Menu'!$B$22, 'Misc. Data &amp; Mechanisms'!$E$599:$I$600, 2, FALSE), FALSE), 'Misc. Data &amp; Mechanisms'!$A$599:$C$659, 2, FALSE), FALSE) = "", "", VLOOKUP($A42, INDIRECT("'" &amp; 'Personalized Bill Menu'!$B$22 &amp; "'!" &amp;"$A$4:$CA$100"), VLOOKUP(VLOOKUP("RIDER RATE 2",'Misc. Data &amp; Mechanisms'!$E$601:$I$631,HLOOKUP('Personalized Bill Menu'!$B$22, 'Misc. Data &amp; Mechanisms'!$E$599:$I$600, 2, FALSE), FALSE), 'Misc. Data &amp; Mechanisms'!$A$599:$C$659, 2, FALSE), FALSE)), ""))</f>
        <v>0.84209999999999996</v>
      </c>
      <c r="AD42" s="69">
        <f ca="1">IF($A42="", "",IFERROR(IF(VLOOKUP($A42, INDIRECT("'" &amp; 'Personalized Bill Menu'!$B$22 &amp; "'!" &amp;"$A$4:$CA$100"), VLOOKUP(VLOOKUP("RIDER RATE 3",'Misc. Data &amp; Mechanisms'!$E$601:$I$631,HLOOKUP('Personalized Bill Menu'!$B$22, 'Misc. Data &amp; Mechanisms'!$E$599:$I$600, 2, FALSE), FALSE), 'Misc. Data &amp; Mechanisms'!$A$599:$C$659, 2, FALSE), FALSE) = "", "", VLOOKUP($A42, INDIRECT("'" &amp; 'Personalized Bill Menu'!$B$22 &amp; "'!" &amp;"$A$4:$CA$100"), VLOOKUP(VLOOKUP("RIDER RATE 3",'Misc. Data &amp; Mechanisms'!$E$601:$I$631,HLOOKUP('Personalized Bill Menu'!$B$22, 'Misc. Data &amp; Mechanisms'!$E$599:$I$600, 2, FALSE), FALSE), 'Misc. Data &amp; Mechanisms'!$A$599:$C$659, 2, FALSE), FALSE)), ""))</f>
        <v>0.13039999999999999</v>
      </c>
      <c r="AE42" s="69" t="str">
        <f ca="1">IF($A42="", "",IFERROR(IF(VLOOKUP($A42, INDIRECT("'" &amp; 'Personalized Bill Menu'!$B$22 &amp; "'!" &amp;"$A$4:$CA$100"), VLOOKUP(VLOOKUP("RIDER RATE 4",'Misc. Data &amp; Mechanisms'!$E$601:$I$631,HLOOKUP('Personalized Bill Menu'!$B$22, 'Misc. Data &amp; Mechanisms'!$E$599:$I$600, 2, FALSE), FALSE), 'Misc. Data &amp; Mechanisms'!$A$599:$C$659, 2, FALSE), FALSE) = "", "", VLOOKUP($A42, INDIRECT("'" &amp; 'Personalized Bill Menu'!$B$22 &amp; "'!" &amp;"$A$4:$CA$100"), VLOOKUP(VLOOKUP("RIDER RATE 4",'Misc. Data &amp; Mechanisms'!$E$601:$I$631,HLOOKUP('Personalized Bill Menu'!$B$22, 'Misc. Data &amp; Mechanisms'!$E$599:$I$600, 2, FALSE), FALSE), 'Misc. Data &amp; Mechanisms'!$A$599:$C$659, 2, FALSE), FALSE)), ""))</f>
        <v/>
      </c>
      <c r="AF42" s="90" t="str">
        <f ca="1">IF($A42="", "",IFERROR(IF(VLOOKUP($A42, INDIRECT("'" &amp; 'Personalized Bill Menu'!$B$22 &amp; "'!" &amp;"$A$4:$CA$100"), VLOOKUP(VLOOKUP("RIDER RATE 5",'Misc. Data &amp; Mechanisms'!$E$601:$I$631,HLOOKUP('Personalized Bill Menu'!$B$22, 'Misc. Data &amp; Mechanisms'!$E$599:$I$600, 2, FALSE), FALSE), 'Misc. Data &amp; Mechanisms'!$A$599:$C$659, 2, FALSE), FALSE) = "", "", VLOOKUP($A42, INDIRECT("'" &amp; 'Personalized Bill Menu'!$B$22 &amp; "'!" &amp;"$A$4:$CA$100"), VLOOKUP(VLOOKUP("RIDER RATE 5",'Misc. Data &amp; Mechanisms'!$E$601:$I$631,HLOOKUP('Personalized Bill Menu'!$B$22, 'Misc. Data &amp; Mechanisms'!$E$599:$I$600, 2, FALSE), FALSE), 'Misc. Data &amp; Mechanisms'!$A$599:$C$659, 2, FALSE), FALSE)), ""))</f>
        <v/>
      </c>
      <c r="AG42" s="90" t="str">
        <f ca="1">IF($A42="", "",IFERROR(IF(VLOOKUP($A42, INDIRECT("'" &amp; 'Personalized Bill Menu'!$B$22 &amp; "'!" &amp;"$A$4:$CA$100"), VLOOKUP(VLOOKUP("RIDER RATE 6",'Misc. Data &amp; Mechanisms'!$E$601:$I$631,HLOOKUP('Personalized Bill Menu'!$B$22, 'Misc. Data &amp; Mechanisms'!$E$599:$I$600, 2, FALSE), FALSE), 'Misc. Data &amp; Mechanisms'!$A$599:$C$659, 2, FALSE), FALSE) = "", "", VLOOKUP($A42, INDIRECT("'" &amp; 'Personalized Bill Menu'!$B$22 &amp; "'!" &amp;"$A$4:$CA$100"), VLOOKUP(VLOOKUP("RIDER RATE 6",'Misc. Data &amp; Mechanisms'!$E$601:$I$631,HLOOKUP('Personalized Bill Menu'!$B$22, 'Misc. Data &amp; Mechanisms'!$E$599:$I$600, 2, FALSE), FALSE), 'Misc. Data &amp; Mechanisms'!$A$599:$C$659, 2, FALSE), FALSE)), ""))</f>
        <v/>
      </c>
      <c r="AH42" s="90" t="str">
        <f ca="1">IF($A42="", "",IFERROR(IF(VLOOKUP($A42, INDIRECT("'" &amp; 'Personalized Bill Menu'!$B$22 &amp; "'!" &amp;"$A$4:$CA$100"), VLOOKUP(VLOOKUP("RIDER RATE 7",'Misc. Data &amp; Mechanisms'!$E$601:$I$631,HLOOKUP('Personalized Bill Menu'!$B$22, 'Misc. Data &amp; Mechanisms'!$E$599:$I$600, 2, FALSE), FALSE), 'Misc. Data &amp; Mechanisms'!$A$599:$C$659, 2, FALSE), FALSE) = "", "", VLOOKUP($A42, INDIRECT("'" &amp; 'Personalized Bill Menu'!$B$22 &amp; "'!" &amp;"$A$4:$CA$100"), VLOOKUP(VLOOKUP("RIDER RATE 7",'Misc. Data &amp; Mechanisms'!$E$601:$I$631,HLOOKUP('Personalized Bill Menu'!$B$22, 'Misc. Data &amp; Mechanisms'!$E$599:$I$600, 2, FALSE), FALSE), 'Misc. Data &amp; Mechanisms'!$A$599:$C$659, 2, FALSE), FALSE)), ""))</f>
        <v/>
      </c>
      <c r="AI42" s="72">
        <f t="shared" ca="1" si="14"/>
        <v>-3.9681412410089969</v>
      </c>
      <c r="AJ42" s="72">
        <f t="shared" ca="1" si="15"/>
        <v>5.9216227876194854</v>
      </c>
      <c r="AK42" s="72">
        <f ca="1">IF($A42="", "", IFERROR(IF($AD$6="%",IF('Personalized Bill Menu'!$B$22="ENMAX", $AD42*$I42, IF(AND($AD42="", 'Personalized Bill Menu'!$B$22="FORTIS"),($AE42/100)*$C42,$AD42*$H42)),($AD42/100)*$C42), 0))</f>
        <v>2.4656087038999659</v>
      </c>
      <c r="AL42" s="72">
        <f ca="1">IF($A42="", "", IFERROR(IF('Personalized Bill Menu'!$B$22="ENMAX",$AE42*$B42,IF($AE$6="%",$AE42*($H42+$I42+$J42), IF('Personalized Bill Menu'!$B$22="FORTIS",$AF42*$I42,($AE42/100)*$C42))), 0))</f>
        <v>0</v>
      </c>
      <c r="AM42" s="72" t="str">
        <f>IF($A42="", "", IFERROR(IF('Personalized Bill Menu'!$B$22="EPCOR",($AF42/100)*$C42, IF('Personalized Bill Menu'!$B$22="ATCO",$AF42*1,"")), 0))</f>
        <v/>
      </c>
      <c r="AN42" s="72" t="str">
        <f>IF($A42="", "", IFERROR(IF('Personalized Bill Menu'!$B$22="ATCO",$AG42*$B42,""), 0))</f>
        <v/>
      </c>
      <c r="AO42" s="70" t="str">
        <f>IF($A42="", "", IFERROR(IF('Personalized Bill Menu'!$B$22="ATCO",$AH42*$B42,""), 0))</f>
        <v/>
      </c>
      <c r="AP42" s="81">
        <f>IF('Personalized Bill Menu'!$B$34&lt;&gt;"Natural Gas", 'Personalized Bill Menu'!$K39, "")</f>
        <v>0.23369999999999999</v>
      </c>
      <c r="AQ42" s="72">
        <f t="shared" si="16"/>
        <v>7.2446999999999999</v>
      </c>
      <c r="AR42" s="91">
        <f ca="1">IF($A42="", "",IF(VLOOKUP($A42, INDIRECT("'" &amp; 'Personalized Bill Menu'!$B$22 &amp; "'!" &amp;"$A$4:$CA$100"), VLOOKUP(VLOOKUP(AR$5,'Misc. Data &amp; Mechanisms'!$E$601:$I$631,HLOOKUP('Personalized Bill Menu'!$B$22, 'Misc. Data &amp; Mechanisms'!$E$599:$I$600, 2, FALSE), FALSE), 'Misc. Data &amp; Mechanisms'!$A$599:$C$659, 2, FALSE), FALSE) = "", "", VLOOKUP($A42, INDIRECT("'" &amp; 'Personalized Bill Menu'!$B$22 &amp; "'!" &amp;"$A$4:$CA$100"), VLOOKUP(VLOOKUP(AR$5,'Misc. Data &amp; Mechanisms'!$E$601:$I$631,HLOOKUP('Personalized Bill Menu'!$B$22, 'Misc. Data &amp; Mechanisms'!$E$599:$I$600, 2, FALSE), FALSE), 'Misc. Data &amp; Mechanisms'!$A$599:$C$659, 2, FALSE), FALSE)))</f>
        <v>0.05</v>
      </c>
      <c r="AS42" s="2"/>
      <c r="AT42" s="2"/>
      <c r="AU42" s="2"/>
      <c r="AV42" s="2"/>
      <c r="AW42" s="2"/>
    </row>
    <row r="43" spans="1:49" x14ac:dyDescent="0.35">
      <c r="A43" s="83">
        <f>'Personalized Bill Menu'!$H40</f>
        <v>42005</v>
      </c>
      <c r="B43" s="84">
        <f t="shared" si="0"/>
        <v>31</v>
      </c>
      <c r="C43" s="85">
        <f>IF('Personalized Bill Menu'!$B$34&lt;&gt;"Natural Gas", 'Personalized Bill Menu'!$I40, "")</f>
        <v>672.43278272761768</v>
      </c>
      <c r="D43" s="66">
        <f t="shared" ca="1" si="17"/>
        <v>16.835289489062387</v>
      </c>
      <c r="E43" s="66">
        <f ca="1">IFERROR((1+$AR43)*(IF('Personalized Bill Menu'!$B$22="ENMAX", ((1+IFERROR($X43, 0))*($N43+$P43+$R43+$AB43+$AC43))+((1+IF($X43="", 0,$X43))*(IF($AD43="", 0,$AD43)*$R43)), IF('Personalized Bill Menu'!$B$22="EPCOR", ($N43+$P43+$R43+$X43+SUM($AB43:$AE43)), IF('Personalized Bill Menu'!$B$22="ATCO",($N43+((1+IF($AE43="", 0,$AE43))*(1+$X43+$Y43)*($P43+$R43))+SUM($AB43:$AD43)),IF($AD43="",$N43+((1+$X43+$Y43)*($P43+$R43))+$AB43+$AE43+(IF($AC43="", 0, $AC43)*$P43)+($R43*IF($AF43="", 0, $AF43)),$N43+((1+$X43+$Y43)*($P43+$R43))+$AB43+($AD43*$P43)+(IF($AC43="", 0, $AC43)*$P43)+($R43*IF($AF43="", 0, $AF43))))))), "")</f>
        <v>13.095473523955201</v>
      </c>
      <c r="F43" s="1469">
        <f t="shared" ca="1" si="1"/>
        <v>113.20600559155233</v>
      </c>
      <c r="G43" s="66">
        <f t="shared" si="2"/>
        <v>49.81920000672374</v>
      </c>
      <c r="H43" s="66">
        <f t="shared" ca="1" si="3"/>
        <v>13.087559250227621</v>
      </c>
      <c r="I43" s="66">
        <f t="shared" ca="1" si="4"/>
        <v>19.237159035144884</v>
      </c>
      <c r="J43" s="66">
        <f t="shared" ca="1" si="5"/>
        <v>10.070407914697544</v>
      </c>
      <c r="K43" s="66">
        <f t="shared" ca="1" si="6"/>
        <v>8.4988172137322362</v>
      </c>
      <c r="L43" s="66">
        <f t="shared" si="7"/>
        <v>7.1021000000000001</v>
      </c>
      <c r="M43" s="68">
        <f t="shared" ca="1" si="8"/>
        <v>5.3907621710263021</v>
      </c>
      <c r="N43" s="69">
        <f>IF('Personalized Bill Menu'!$B$34&lt;&gt;"Natural Gas", 'Personalized Bill Menu'!$J40, "")</f>
        <v>7.4088000000000003</v>
      </c>
      <c r="O43" s="70">
        <f t="shared" si="9"/>
        <v>49.81920000672374</v>
      </c>
      <c r="P43" s="71">
        <f ca="1">IF($A43="", "",IFERROR(IF(VLOOKUP($A43, INDIRECT("'" &amp; 'Personalized Bill Menu'!$B$22 &amp; "'!" &amp;"$A$4:$CA$100"), VLOOKUP(VLOOKUP(P$5,'Misc. Data &amp; Mechanisms'!$E$601:$I$631,HLOOKUP('Personalized Bill Menu'!$B$22, 'Misc. Data &amp; Mechanisms'!$E$599:$I$600, 2, FALSE), FALSE), 'Misc. Data &amp; Mechanisms'!$A$599:$C$659, 2, FALSE), FALSE) = "", "", VLOOKUP($A43, INDIRECT("'" &amp; 'Personalized Bill Menu'!$B$22 &amp; "'!" &amp;"$A$4:$CA$100"), VLOOKUP(VLOOKUP(P$5,'Misc. Data &amp; Mechanisms'!$E$601:$I$631,HLOOKUP('Personalized Bill Menu'!$B$22, 'Misc. Data &amp; Mechanisms'!$E$599:$I$600, 2, FALSE), FALSE), 'Misc. Data &amp; Mechanisms'!$A$599:$C$659, 2, FALSE), FALSE)), ""))</f>
        <v>1.9462999999999999</v>
      </c>
      <c r="Q43" s="72">
        <f t="shared" ca="1" si="10"/>
        <v>13.087559250227621</v>
      </c>
      <c r="R43" s="87">
        <f ca="1">IF($A43="", "",IFERROR(IF(VLOOKUP($A43, INDIRECT("'" &amp; 'Personalized Bill Menu'!$B$22 &amp; "'!" &amp;"$A$4:$CA$100"), VLOOKUP(VLOOKUP(R$5,'Misc. Data &amp; Mechanisms'!$E$601:$I$631,HLOOKUP('Personalized Bill Menu'!$B$22, 'Misc. Data &amp; Mechanisms'!$E$599:$I$600, 2, FALSE), FALSE), 'Misc. Data &amp; Mechanisms'!$A$599:$C$659, 2, FALSE), FALSE) = "", "", VLOOKUP($A43, INDIRECT("'" &amp; 'Personalized Bill Menu'!$B$22 &amp; "'!" &amp;"$A$4:$CA$100"), VLOOKUP(VLOOKUP(R$5,'Misc. Data &amp; Mechanisms'!$E$601:$I$631,HLOOKUP('Personalized Bill Menu'!$B$22, 'Misc. Data &amp; Mechanisms'!$E$599:$I$600, 2, FALSE), FALSE), 'Misc. Data &amp; Mechanisms'!$A$599:$C$659, 2, FALSE), FALSE)), ""))</f>
        <v>0.88959999999999995</v>
      </c>
      <c r="S43" s="88">
        <f ca="1">IF($A43="", "",IFERROR(IF(VLOOKUP($A43, INDIRECT("'" &amp; 'Personalized Bill Menu'!$B$22 &amp; "'!" &amp;"$A$4:$CA$100"), VLOOKUP(VLOOKUP(S$5,'Misc. Data &amp; Mechanisms'!$E$601:$I$631,HLOOKUP('Personalized Bill Menu'!$B$22, 'Misc. Data &amp; Mechanisms'!$E$599:$I$600, 2, FALSE), FALSE), 'Misc. Data &amp; Mechanisms'!$A$599:$C$659, 2, FALSE), FALSE) = "", "", VLOOKUP($A43, INDIRECT("'" &amp; 'Personalized Bill Menu'!$B$22 &amp; "'!" &amp;"$A$4:$CA$100"), VLOOKUP(VLOOKUP(S$5,'Misc. Data &amp; Mechanisms'!$E$601:$I$631,HLOOKUP('Personalized Bill Menu'!$B$22, 'Misc. Data &amp; Mechanisms'!$E$599:$I$600, 2, FALSE), FALSE), 'Misc. Data &amp; Mechanisms'!$A$599:$C$659, 2, FALSE), FALSE)), ""))</f>
        <v>0.42758699999999999</v>
      </c>
      <c r="T43" s="81" t="str">
        <f ca="1">IF($A43="", "",IFERROR(IF(VLOOKUP($A43, INDIRECT("'" &amp; 'Personalized Bill Menu'!$B$22 &amp; "'!" &amp;"$A$4:$CA$100"), VLOOKUP(VLOOKUP(T$5,'Misc. Data &amp; Mechanisms'!$E$601:$I$631,HLOOKUP('Personalized Bill Menu'!$B$22, 'Misc. Data &amp; Mechanisms'!$E$599:$I$600, 2, FALSE), FALSE), 'Misc. Data &amp; Mechanisms'!$A$599:$C$659, 2, FALSE), FALSE) = "", "", VLOOKUP($A43, INDIRECT("'" &amp; 'Personalized Bill Menu'!$B$22 &amp; "'!" &amp;"$A$4:$CA$100"), VLOOKUP(VLOOKUP(T$5,'Misc. Data &amp; Mechanisms'!$E$601:$I$631,HLOOKUP('Personalized Bill Menu'!$B$22, 'Misc. Data &amp; Mechanisms'!$E$599:$I$600, 2, FALSE), FALSE), 'Misc. Data &amp; Mechanisms'!$A$599:$C$659, 2, FALSE), FALSE)), ""))</f>
        <v/>
      </c>
      <c r="U43" s="72">
        <f t="shared" ca="1" si="11"/>
        <v>5.9819620351448863</v>
      </c>
      <c r="V43" s="72">
        <f t="shared" ca="1" si="12"/>
        <v>13.255196999999999</v>
      </c>
      <c r="W43" s="70" t="str">
        <f t="shared" si="13"/>
        <v/>
      </c>
      <c r="X43" s="78">
        <f>IFERROR(IF(VLOOKUP($A43,'Misc. Data &amp; Mechanisms'!$A$63:$DY$152,HLOOKUP('Personalized Bill Menu'!$B$21&amp;"_"&amp;'Personalized Bill Menu'!$B$22&amp;"_Elec_Y_1",'Misc. Data &amp; Mechanisms'!$A$55:$DY$62,8,FALSE), FALSE)="", "", VLOOKUP($A43,'Misc. Data &amp; Mechanisms'!$A$63:$DY$152,HLOOKUP('Personalized Bill Menu'!$B$21&amp;"_"&amp;'Personalized Bill Menu'!$B$22&amp;"_Elec_Y_1",'Misc. Data &amp; Mechanisms'!$A$55:$DY$62,8,FALSE), FALSE)), "")</f>
        <v>0.1111</v>
      </c>
      <c r="Y43" s="78" t="str">
        <f>IFERROR(IF(VLOOKUP($A43,'Misc. Data &amp; Mechanisms'!$A$63:$DY$152,HLOOKUP('Personalized Bill Menu'!$B$21&amp;"_"&amp;'Personalized Bill Menu'!$B$22&amp;"_Elec_Y_2",'Misc. Data &amp; Mechanisms'!$A$55:$DY$62,8,FALSE), FALSE)="", "", VLOOKUP($A43,'Misc. Data &amp; Mechanisms'!$A$63:$DY$152,HLOOKUP('Personalized Bill Menu'!$B$21&amp;"_"&amp;'Personalized Bill Menu'!$B$22&amp;"_Elec_Y_2",'Misc. Data &amp; Mechanisms'!$A$55:$DY$62,8,FALSE), FALSE)), "")</f>
        <v/>
      </c>
      <c r="Z43" s="72">
        <f ca="1">IF($A43="", "",IFERROR(IF(OR('Personalized Bill Menu'!$B$22="FORTIS", 'Personalized Bill Menu'!$B$22="ATCO"), $X43*($H43+$I43), IF('Personalized Bill Menu'!$B$22="ENMAX",$X43*($H43+$I43+$K43),($X43/100)*$C43)), 0))</f>
        <v>4.5354947939505372</v>
      </c>
      <c r="AA43" s="72">
        <f>IF($A43="", "", IFERROR(IF(OR('Personalized Bill Menu'!$B$22="FORTIS", 'Personalized Bill Menu'!$B$22="ATCO"), $Y43*($H43+$I43), IF('Personalized Bill Menu'!$B$22="ENMAX",$X43*$G43,"")), 0))</f>
        <v>5.5349131207470075</v>
      </c>
      <c r="AB43" s="89">
        <f ca="1">IF($A43="", "",IFERROR(IF(VLOOKUP($A43, INDIRECT("'" &amp; 'Personalized Bill Menu'!$B$22 &amp; "'!" &amp;"$A$4:$CA$100"), VLOOKUP(VLOOKUP("RIDER RATE 1",'Misc. Data &amp; Mechanisms'!$E$601:$I$631,HLOOKUP('Personalized Bill Menu'!$B$22, 'Misc. Data &amp; Mechanisms'!$E$599:$I$600, 2, FALSE), FALSE), 'Misc. Data &amp; Mechanisms'!$A$599:$C$659, 2, FALSE), FALSE) = "", "", VLOOKUP($A43, INDIRECT("'" &amp; 'Personalized Bill Menu'!$B$22 &amp; "'!" &amp;"$A$4:$CA$100"), VLOOKUP(VLOOKUP("RIDER RATE 1",'Misc. Data &amp; Mechanisms'!$E$601:$I$631,HLOOKUP('Personalized Bill Menu'!$B$22, 'Misc. Data &amp; Mechanisms'!$E$599:$I$600, 2, FALSE), FALSE), 'Misc. Data &amp; Mechanisms'!$A$599:$C$659, 2, FALSE), FALSE)), ""))</f>
        <v>-0.56420000000000003</v>
      </c>
      <c r="AC43" s="69">
        <f ca="1">IF($A43="", "",IFERROR(IF(VLOOKUP($A43, INDIRECT("'" &amp; 'Personalized Bill Menu'!$B$22 &amp; "'!" &amp;"$A$4:$CA$100"), VLOOKUP(VLOOKUP("RIDER RATE 2",'Misc. Data &amp; Mechanisms'!$E$601:$I$631,HLOOKUP('Personalized Bill Menu'!$B$22, 'Misc. Data &amp; Mechanisms'!$E$599:$I$600, 2, FALSE), FALSE), 'Misc. Data &amp; Mechanisms'!$A$599:$C$659, 2, FALSE), FALSE) = "", "", VLOOKUP($A43, INDIRECT("'" &amp; 'Personalized Bill Menu'!$B$22 &amp; "'!" &amp;"$A$4:$CA$100"), VLOOKUP(VLOOKUP("RIDER RATE 2",'Misc. Data &amp; Mechanisms'!$E$601:$I$631,HLOOKUP('Personalized Bill Menu'!$B$22, 'Misc. Data &amp; Mechanisms'!$E$599:$I$600, 2, FALSE), FALSE), 'Misc. Data &amp; Mechanisms'!$A$599:$C$659, 2, FALSE), FALSE)), ""))</f>
        <v>1.4282999999999999</v>
      </c>
      <c r="AD43" s="69">
        <f ca="1">IF($A43="", "",IFERROR(IF(VLOOKUP($A43, INDIRECT("'" &amp; 'Personalized Bill Menu'!$B$22 &amp; "'!" &amp;"$A$4:$CA$100"), VLOOKUP(VLOOKUP("RIDER RATE 3",'Misc. Data &amp; Mechanisms'!$E$601:$I$631,HLOOKUP('Personalized Bill Menu'!$B$22, 'Misc. Data &amp; Mechanisms'!$E$599:$I$600, 2, FALSE), FALSE), 'Misc. Data &amp; Mechanisms'!$A$599:$C$659, 2, FALSE), FALSE) = "", "", VLOOKUP($A43, INDIRECT("'" &amp; 'Personalized Bill Menu'!$B$22 &amp; "'!" &amp;"$A$4:$CA$100"), VLOOKUP(VLOOKUP("RIDER RATE 3",'Misc. Data &amp; Mechanisms'!$E$601:$I$631,HLOOKUP('Personalized Bill Menu'!$B$22, 'Misc. Data &amp; Mechanisms'!$E$599:$I$600, 2, FALSE), FALSE), 'Misc. Data &amp; Mechanisms'!$A$599:$C$659, 2, FALSE), FALSE)), ""))</f>
        <v>0.13039999999999999</v>
      </c>
      <c r="AE43" s="69">
        <f ca="1">IF($A43="", "",IFERROR(IF(VLOOKUP($A43, INDIRECT("'" &amp; 'Personalized Bill Menu'!$B$22 &amp; "'!" &amp;"$A$4:$CA$100"), VLOOKUP(VLOOKUP("RIDER RATE 4",'Misc. Data &amp; Mechanisms'!$E$601:$I$631,HLOOKUP('Personalized Bill Menu'!$B$22, 'Misc. Data &amp; Mechanisms'!$E$599:$I$600, 2, FALSE), FALSE), 'Misc. Data &amp; Mechanisms'!$A$599:$C$659, 2, FALSE), FALSE) = "", "", VLOOKUP($A43, INDIRECT("'" &amp; 'Personalized Bill Menu'!$B$22 &amp; "'!" &amp;"$A$4:$CA$100"), VLOOKUP(VLOOKUP("RIDER RATE 4",'Misc. Data &amp; Mechanisms'!$E$601:$I$631,HLOOKUP('Personalized Bill Menu'!$B$22, 'Misc. Data &amp; Mechanisms'!$E$599:$I$600, 2, FALSE), FALSE), 'Misc. Data &amp; Mechanisms'!$A$599:$C$659, 2, FALSE), FALSE)), ""))</f>
        <v>5.7999999999999996E-3</v>
      </c>
      <c r="AF43" s="90" t="str">
        <f ca="1">IF($A43="", "",IFERROR(IF(VLOOKUP($A43, INDIRECT("'" &amp; 'Personalized Bill Menu'!$B$22 &amp; "'!" &amp;"$A$4:$CA$100"), VLOOKUP(VLOOKUP("RIDER RATE 5",'Misc. Data &amp; Mechanisms'!$E$601:$I$631,HLOOKUP('Personalized Bill Menu'!$B$22, 'Misc. Data &amp; Mechanisms'!$E$599:$I$600, 2, FALSE), FALSE), 'Misc. Data &amp; Mechanisms'!$A$599:$C$659, 2, FALSE), FALSE) = "", "", VLOOKUP($A43, INDIRECT("'" &amp; 'Personalized Bill Menu'!$B$22 &amp; "'!" &amp;"$A$4:$CA$100"), VLOOKUP(VLOOKUP("RIDER RATE 5",'Misc. Data &amp; Mechanisms'!$E$601:$I$631,HLOOKUP('Personalized Bill Menu'!$B$22, 'Misc. Data &amp; Mechanisms'!$E$599:$I$600, 2, FALSE), FALSE), 'Misc. Data &amp; Mechanisms'!$A$599:$C$659, 2, FALSE), FALSE)), ""))</f>
        <v/>
      </c>
      <c r="AG43" s="90" t="str">
        <f ca="1">IF($A43="", "",IFERROR(IF(VLOOKUP($A43, INDIRECT("'" &amp; 'Personalized Bill Menu'!$B$22 &amp; "'!" &amp;"$A$4:$CA$100"), VLOOKUP(VLOOKUP("RIDER RATE 6",'Misc. Data &amp; Mechanisms'!$E$601:$I$631,HLOOKUP('Personalized Bill Menu'!$B$22, 'Misc. Data &amp; Mechanisms'!$E$599:$I$600, 2, FALSE), FALSE), 'Misc. Data &amp; Mechanisms'!$A$599:$C$659, 2, FALSE), FALSE) = "", "", VLOOKUP($A43, INDIRECT("'" &amp; 'Personalized Bill Menu'!$B$22 &amp; "'!" &amp;"$A$4:$CA$100"), VLOOKUP(VLOOKUP("RIDER RATE 6",'Misc. Data &amp; Mechanisms'!$E$601:$I$631,HLOOKUP('Personalized Bill Menu'!$B$22, 'Misc. Data &amp; Mechanisms'!$E$599:$I$600, 2, FALSE), FALSE), 'Misc. Data &amp; Mechanisms'!$A$599:$C$659, 2, FALSE), FALSE)), ""))</f>
        <v/>
      </c>
      <c r="AH43" s="90" t="str">
        <f ca="1">IF($A43="", "",IFERROR(IF(VLOOKUP($A43, INDIRECT("'" &amp; 'Personalized Bill Menu'!$B$22 &amp; "'!" &amp;"$A$4:$CA$100"), VLOOKUP(VLOOKUP("RIDER RATE 7",'Misc. Data &amp; Mechanisms'!$E$601:$I$631,HLOOKUP('Personalized Bill Menu'!$B$22, 'Misc. Data &amp; Mechanisms'!$E$599:$I$600, 2, FALSE), FALSE), 'Misc. Data &amp; Mechanisms'!$A$599:$C$659, 2, FALSE), FALSE) = "", "", VLOOKUP($A43, INDIRECT("'" &amp; 'Personalized Bill Menu'!$B$22 &amp; "'!" &amp;"$A$4:$CA$100"), VLOOKUP(VLOOKUP("RIDER RATE 7",'Misc. Data &amp; Mechanisms'!$E$601:$I$631,HLOOKUP('Personalized Bill Menu'!$B$22, 'Misc. Data &amp; Mechanisms'!$E$599:$I$600, 2, FALSE), FALSE), 'Misc. Data &amp; Mechanisms'!$A$599:$C$659, 2, FALSE), FALSE)), ""))</f>
        <v/>
      </c>
      <c r="AI43" s="72">
        <f t="shared" ca="1" si="14"/>
        <v>-3.7938657601492189</v>
      </c>
      <c r="AJ43" s="72">
        <f t="shared" ca="1" si="15"/>
        <v>9.6043574356985619</v>
      </c>
      <c r="AK43" s="72">
        <f ca="1">IF($A43="", "", IFERROR(IF($AD$6="%",IF('Personalized Bill Menu'!$B$22="ENMAX", $AD43*$I43, IF(AND($AD43="", 'Personalized Bill Menu'!$B$22="FORTIS"),($AE43/100)*$C43,$AD43*$H43)),($AD43/100)*$C43), 0))</f>
        <v>2.5085255381828926</v>
      </c>
      <c r="AL43" s="72">
        <f ca="1">IF($A43="", "", IFERROR(IF('Personalized Bill Menu'!$B$22="ENMAX",$AE43*$B43,IF($AE$6="%",$AE43*($H43+$I43+$J43), IF('Personalized Bill Menu'!$B$22="FORTIS",$AF43*$I43,($AE43/100)*$C43))), 0))</f>
        <v>0.17979999999999999</v>
      </c>
      <c r="AM43" s="72" t="str">
        <f>IF($A43="", "", IFERROR(IF('Personalized Bill Menu'!$B$22="EPCOR",($AF43/100)*$C43, IF('Personalized Bill Menu'!$B$22="ATCO",$AF43*1,"")), 0))</f>
        <v/>
      </c>
      <c r="AN43" s="72" t="str">
        <f>IF($A43="", "", IFERROR(IF('Personalized Bill Menu'!$B$22="ATCO",$AG43*$B43,""), 0))</f>
        <v/>
      </c>
      <c r="AO43" s="70" t="str">
        <f>IF($A43="", "", IFERROR(IF('Personalized Bill Menu'!$B$22="ATCO",$AH43*$B43,""), 0))</f>
        <v/>
      </c>
      <c r="AP43" s="81">
        <f>IF('Personalized Bill Menu'!$B$34&lt;&gt;"Natural Gas", 'Personalized Bill Menu'!$K40, "")</f>
        <v>0.2291</v>
      </c>
      <c r="AQ43" s="72">
        <f t="shared" si="16"/>
        <v>7.1021000000000001</v>
      </c>
      <c r="AR43" s="91">
        <f ca="1">IF($A43="", "",IF(VLOOKUP($A43, INDIRECT("'" &amp; 'Personalized Bill Menu'!$B$22 &amp; "'!" &amp;"$A$4:$CA$100"), VLOOKUP(VLOOKUP(AR$5,'Misc. Data &amp; Mechanisms'!$E$601:$I$631,HLOOKUP('Personalized Bill Menu'!$B$22, 'Misc. Data &amp; Mechanisms'!$E$599:$I$600, 2, FALSE), FALSE), 'Misc. Data &amp; Mechanisms'!$A$599:$C$659, 2, FALSE), FALSE) = "", "", VLOOKUP($A43, INDIRECT("'" &amp; 'Personalized Bill Menu'!$B$22 &amp; "'!" &amp;"$A$4:$CA$100"), VLOOKUP(VLOOKUP(AR$5,'Misc. Data &amp; Mechanisms'!$E$601:$I$631,HLOOKUP('Personalized Bill Menu'!$B$22, 'Misc. Data &amp; Mechanisms'!$E$599:$I$600, 2, FALSE), FALSE), 'Misc. Data &amp; Mechanisms'!$A$599:$C$659, 2, FALSE), FALSE)))</f>
        <v>0.05</v>
      </c>
      <c r="AS43" s="2"/>
      <c r="AT43" s="2"/>
      <c r="AU43" s="2"/>
      <c r="AV43" s="2"/>
      <c r="AW43" s="2"/>
    </row>
    <row r="44" spans="1:49" x14ac:dyDescent="0.35">
      <c r="A44" s="83">
        <f>'Personalized Bill Menu'!$H41</f>
        <v>42036</v>
      </c>
      <c r="B44" s="84">
        <f t="shared" si="0"/>
        <v>28</v>
      </c>
      <c r="C44" s="85">
        <f>IF('Personalized Bill Menu'!$B$34&lt;&gt;"Natural Gas", 'Personalized Bill Menu'!$I41, "")</f>
        <v>589.22827055193079</v>
      </c>
      <c r="D44" s="66">
        <f t="shared" ca="1" si="17"/>
        <v>15.225579719329994</v>
      </c>
      <c r="E44" s="66">
        <f ca="1">IFERROR((1+$AR44)*(IF('Personalized Bill Menu'!$B$22="ENMAX", ((1+IFERROR($X44, 0))*($N44+$P44+$R44+$AB44+$AC44))+((1+IF($X44="", 0,$X44))*(IF($AD44="", 0,$AD44)*$R44)), IF('Personalized Bill Menu'!$B$22="EPCOR", ($N44+$P44+$R44+$X44+SUM($AB44:$AE44)), IF('Personalized Bill Menu'!$B$22="ATCO",($N44+((1+IF($AE44="", 0,$AE44))*(1+$X44+$Y44)*($P44+$R44))+SUM($AB44:$AD44)),IF($AD44="",$N44+((1+$X44+$Y44)*($P44+$R44))+$AB44+$AE44+(IF($AC44="", 0, $AC44)*$P44)+($R44*IF($AF44="", 0, $AF44)),$N44+((1+$X44+$Y44)*($P44+$R44))+$AB44+($AD44*$P44)+(IF($AC44="", 0, $AC44)*$P44)+($R44*IF($AF44="", 0, $AF44))))))), "")</f>
        <v>11.370690771955204</v>
      </c>
      <c r="F44" s="1469">
        <f t="shared" ca="1" si="1"/>
        <v>89.713420061713649</v>
      </c>
      <c r="G44" s="66">
        <f t="shared" si="2"/>
        <v>34.940647215458945</v>
      </c>
      <c r="H44" s="66">
        <f t="shared" ca="1" si="3"/>
        <v>11.468149829752228</v>
      </c>
      <c r="I44" s="66">
        <f t="shared" ca="1" si="4"/>
        <v>17.214210694829976</v>
      </c>
      <c r="J44" s="66">
        <f t="shared" ca="1" si="5"/>
        <v>7.9019439978883108</v>
      </c>
      <c r="K44" s="66">
        <f t="shared" ca="1" si="6"/>
        <v>7.5016007017978232</v>
      </c>
      <c r="L44" s="66">
        <f t="shared" si="7"/>
        <v>6.4147999999999996</v>
      </c>
      <c r="M44" s="68">
        <f t="shared" ca="1" si="8"/>
        <v>4.2720676219863645</v>
      </c>
      <c r="N44" s="69">
        <f>IF('Personalized Bill Menu'!$B$34&lt;&gt;"Natural Gas", 'Personalized Bill Menu'!$J41, "")</f>
        <v>5.9298999999999999</v>
      </c>
      <c r="O44" s="70">
        <f t="shared" si="9"/>
        <v>34.940647215458945</v>
      </c>
      <c r="P44" s="71">
        <f ca="1">IF($A44="", "",IFERROR(IF(VLOOKUP($A44, INDIRECT("'" &amp; 'Personalized Bill Menu'!$B$22 &amp; "'!" &amp;"$A$4:$CA$100"), VLOOKUP(VLOOKUP(P$5,'Misc. Data &amp; Mechanisms'!$E$601:$I$631,HLOOKUP('Personalized Bill Menu'!$B$22, 'Misc. Data &amp; Mechanisms'!$E$599:$I$600, 2, FALSE), FALSE), 'Misc. Data &amp; Mechanisms'!$A$599:$C$659, 2, FALSE), FALSE) = "", "", VLOOKUP($A44, INDIRECT("'" &amp; 'Personalized Bill Menu'!$B$22 &amp; "'!" &amp;"$A$4:$CA$100"), VLOOKUP(VLOOKUP(P$5,'Misc. Data &amp; Mechanisms'!$E$601:$I$631,HLOOKUP('Personalized Bill Menu'!$B$22, 'Misc. Data &amp; Mechanisms'!$E$599:$I$600, 2, FALSE), FALSE), 'Misc. Data &amp; Mechanisms'!$A$599:$C$659, 2, FALSE), FALSE)), ""))</f>
        <v>1.9462999999999999</v>
      </c>
      <c r="Q44" s="72">
        <f t="shared" ca="1" si="10"/>
        <v>11.468149829752228</v>
      </c>
      <c r="R44" s="87">
        <f ca="1">IF($A44="", "",IFERROR(IF(VLOOKUP($A44, INDIRECT("'" &amp; 'Personalized Bill Menu'!$B$22 &amp; "'!" &amp;"$A$4:$CA$100"), VLOOKUP(VLOOKUP(R$5,'Misc. Data &amp; Mechanisms'!$E$601:$I$631,HLOOKUP('Personalized Bill Menu'!$B$22, 'Misc. Data &amp; Mechanisms'!$E$599:$I$600, 2, FALSE), FALSE), 'Misc. Data &amp; Mechanisms'!$A$599:$C$659, 2, FALSE), FALSE) = "", "", VLOOKUP($A44, INDIRECT("'" &amp; 'Personalized Bill Menu'!$B$22 &amp; "'!" &amp;"$A$4:$CA$100"), VLOOKUP(VLOOKUP(R$5,'Misc. Data &amp; Mechanisms'!$E$601:$I$631,HLOOKUP('Personalized Bill Menu'!$B$22, 'Misc. Data &amp; Mechanisms'!$E$599:$I$600, 2, FALSE), FALSE), 'Misc. Data &amp; Mechanisms'!$A$599:$C$659, 2, FALSE), FALSE)), ""))</f>
        <v>0.88959999999999995</v>
      </c>
      <c r="S44" s="88">
        <f ca="1">IF($A44="", "",IFERROR(IF(VLOOKUP($A44, INDIRECT("'" &amp; 'Personalized Bill Menu'!$B$22 &amp; "'!" &amp;"$A$4:$CA$100"), VLOOKUP(VLOOKUP(S$5,'Misc. Data &amp; Mechanisms'!$E$601:$I$631,HLOOKUP('Personalized Bill Menu'!$B$22, 'Misc. Data &amp; Mechanisms'!$E$599:$I$600, 2, FALSE), FALSE), 'Misc. Data &amp; Mechanisms'!$A$599:$C$659, 2, FALSE), FALSE) = "", "", VLOOKUP($A44, INDIRECT("'" &amp; 'Personalized Bill Menu'!$B$22 &amp; "'!" &amp;"$A$4:$CA$100"), VLOOKUP(VLOOKUP(S$5,'Misc. Data &amp; Mechanisms'!$E$601:$I$631,HLOOKUP('Personalized Bill Menu'!$B$22, 'Misc. Data &amp; Mechanisms'!$E$599:$I$600, 2, FALSE), FALSE), 'Misc. Data &amp; Mechanisms'!$A$599:$C$659, 2, FALSE), FALSE)), ""))</f>
        <v>0.42758699999999999</v>
      </c>
      <c r="T44" s="81" t="str">
        <f ca="1">IF($A44="", "",IFERROR(IF(VLOOKUP($A44, INDIRECT("'" &amp; 'Personalized Bill Menu'!$B$22 &amp; "'!" &amp;"$A$4:$CA$100"), VLOOKUP(VLOOKUP(T$5,'Misc. Data &amp; Mechanisms'!$E$601:$I$631,HLOOKUP('Personalized Bill Menu'!$B$22, 'Misc. Data &amp; Mechanisms'!$E$599:$I$600, 2, FALSE), FALSE), 'Misc. Data &amp; Mechanisms'!$A$599:$C$659, 2, FALSE), FALSE) = "", "", VLOOKUP($A44, INDIRECT("'" &amp; 'Personalized Bill Menu'!$B$22 &amp; "'!" &amp;"$A$4:$CA$100"), VLOOKUP(VLOOKUP(T$5,'Misc. Data &amp; Mechanisms'!$E$601:$I$631,HLOOKUP('Personalized Bill Menu'!$B$22, 'Misc. Data &amp; Mechanisms'!$E$599:$I$600, 2, FALSE), FALSE), 'Misc. Data &amp; Mechanisms'!$A$599:$C$659, 2, FALSE), FALSE)), ""))</f>
        <v/>
      </c>
      <c r="U44" s="72">
        <f t="shared" ca="1" si="11"/>
        <v>5.2417746948299762</v>
      </c>
      <c r="V44" s="72">
        <f t="shared" ca="1" si="12"/>
        <v>11.972436</v>
      </c>
      <c r="W44" s="70" t="str">
        <f t="shared" si="13"/>
        <v/>
      </c>
      <c r="X44" s="78">
        <f>IFERROR(IF(VLOOKUP($A44,'Misc. Data &amp; Mechanisms'!$A$63:$DY$152,HLOOKUP('Personalized Bill Menu'!$B$21&amp;"_"&amp;'Personalized Bill Menu'!$B$22&amp;"_Elec_Y_1",'Misc. Data &amp; Mechanisms'!$A$55:$DY$62,8,FALSE), FALSE)="", "", VLOOKUP($A44,'Misc. Data &amp; Mechanisms'!$A$63:$DY$152,HLOOKUP('Personalized Bill Menu'!$B$21&amp;"_"&amp;'Personalized Bill Menu'!$B$22&amp;"_Elec_Y_1",'Misc. Data &amp; Mechanisms'!$A$55:$DY$62,8,FALSE), FALSE)), "")</f>
        <v>0.1111</v>
      </c>
      <c r="Y44" s="78" t="str">
        <f>IFERROR(IF(VLOOKUP($A44,'Misc. Data &amp; Mechanisms'!$A$63:$DY$152,HLOOKUP('Personalized Bill Menu'!$B$21&amp;"_"&amp;'Personalized Bill Menu'!$B$22&amp;"_Elec_Y_2",'Misc. Data &amp; Mechanisms'!$A$55:$DY$62,8,FALSE), FALSE)="", "", VLOOKUP($A44,'Misc. Data &amp; Mechanisms'!$A$63:$DY$152,HLOOKUP('Personalized Bill Menu'!$B$21&amp;"_"&amp;'Personalized Bill Menu'!$B$22&amp;"_Elec_Y_2",'Misc. Data &amp; Mechanisms'!$A$55:$DY$62,8,FALSE), FALSE)), "")</f>
        <v/>
      </c>
      <c r="Z44" s="72">
        <f ca="1">IF($A44="", "",IFERROR(IF(OR('Personalized Bill Menu'!$B$22="FORTIS", 'Personalized Bill Menu'!$B$22="ATCO"), $X44*($H44+$I44), IF('Personalized Bill Menu'!$B$22="ENMAX",$X44*($H44+$I44+$K44),($X44/100)*$C44)), 0))</f>
        <v>4.0200380922508216</v>
      </c>
      <c r="AA44" s="72">
        <f>IF($A44="", "", IFERROR(IF(OR('Personalized Bill Menu'!$B$22="FORTIS", 'Personalized Bill Menu'!$B$22="ATCO"), $Y44*($H44+$I44), IF('Personalized Bill Menu'!$B$22="ENMAX",$X44*$G44,"")), 0))</f>
        <v>3.8819059056374892</v>
      </c>
      <c r="AB44" s="89">
        <f ca="1">IF($A44="", "",IFERROR(IF(VLOOKUP($A44, INDIRECT("'" &amp; 'Personalized Bill Menu'!$B$22 &amp; "'!" &amp;"$A$4:$CA$100"), VLOOKUP(VLOOKUP("RIDER RATE 1",'Misc. Data &amp; Mechanisms'!$E$601:$I$631,HLOOKUP('Personalized Bill Menu'!$B$22, 'Misc. Data &amp; Mechanisms'!$E$599:$I$600, 2, FALSE), FALSE), 'Misc. Data &amp; Mechanisms'!$A$599:$C$659, 2, FALSE), FALSE) = "", "", VLOOKUP($A44, INDIRECT("'" &amp; 'Personalized Bill Menu'!$B$22 &amp; "'!" &amp;"$A$4:$CA$100"), VLOOKUP(VLOOKUP("RIDER RATE 1",'Misc. Data &amp; Mechanisms'!$E$601:$I$631,HLOOKUP('Personalized Bill Menu'!$B$22, 'Misc. Data &amp; Mechanisms'!$E$599:$I$600, 2, FALSE), FALSE), 'Misc. Data &amp; Mechanisms'!$A$599:$C$659, 2, FALSE), FALSE)), ""))</f>
        <v>-0.56420000000000003</v>
      </c>
      <c r="AC44" s="69">
        <f ca="1">IF($A44="", "",IFERROR(IF(VLOOKUP($A44, INDIRECT("'" &amp; 'Personalized Bill Menu'!$B$22 &amp; "'!" &amp;"$A$4:$CA$100"), VLOOKUP(VLOOKUP("RIDER RATE 2",'Misc. Data &amp; Mechanisms'!$E$601:$I$631,HLOOKUP('Personalized Bill Menu'!$B$22, 'Misc. Data &amp; Mechanisms'!$E$599:$I$600, 2, FALSE), FALSE), 'Misc. Data &amp; Mechanisms'!$A$599:$C$659, 2, FALSE), FALSE) = "", "", VLOOKUP($A44, INDIRECT("'" &amp; 'Personalized Bill Menu'!$B$22 &amp; "'!" &amp;"$A$4:$CA$100"), VLOOKUP(VLOOKUP("RIDER RATE 2",'Misc. Data &amp; Mechanisms'!$E$601:$I$631,HLOOKUP('Personalized Bill Menu'!$B$22, 'Misc. Data &amp; Mechanisms'!$E$599:$I$600, 2, FALSE), FALSE), 'Misc. Data &amp; Mechanisms'!$A$599:$C$659, 2, FALSE), FALSE)), ""))</f>
        <v>1.4288000000000001</v>
      </c>
      <c r="AD44" s="69">
        <f ca="1">IF($A44="", "",IFERROR(IF(VLOOKUP($A44, INDIRECT("'" &amp; 'Personalized Bill Menu'!$B$22 &amp; "'!" &amp;"$A$4:$CA$100"), VLOOKUP(VLOOKUP("RIDER RATE 3",'Misc. Data &amp; Mechanisms'!$E$601:$I$631,HLOOKUP('Personalized Bill Menu'!$B$22, 'Misc. Data &amp; Mechanisms'!$E$599:$I$600, 2, FALSE), FALSE), 'Misc. Data &amp; Mechanisms'!$A$599:$C$659, 2, FALSE), FALSE) = "", "", VLOOKUP($A44, INDIRECT("'" &amp; 'Personalized Bill Menu'!$B$22 &amp; "'!" &amp;"$A$4:$CA$100"), VLOOKUP(VLOOKUP("RIDER RATE 3",'Misc. Data &amp; Mechanisms'!$E$601:$I$631,HLOOKUP('Personalized Bill Menu'!$B$22, 'Misc. Data &amp; Mechanisms'!$E$599:$I$600, 2, FALSE), FALSE), 'Misc. Data &amp; Mechanisms'!$A$599:$C$659, 2, FALSE), FALSE)), ""))</f>
        <v>0.13039999999999999</v>
      </c>
      <c r="AE44" s="69">
        <f ca="1">IF($A44="", "",IFERROR(IF(VLOOKUP($A44, INDIRECT("'" &amp; 'Personalized Bill Menu'!$B$22 &amp; "'!" &amp;"$A$4:$CA$100"), VLOOKUP(VLOOKUP("RIDER RATE 4",'Misc. Data &amp; Mechanisms'!$E$601:$I$631,HLOOKUP('Personalized Bill Menu'!$B$22, 'Misc. Data &amp; Mechanisms'!$E$599:$I$600, 2, FALSE), FALSE), 'Misc. Data &amp; Mechanisms'!$A$599:$C$659, 2, FALSE), FALSE) = "", "", VLOOKUP($A44, INDIRECT("'" &amp; 'Personalized Bill Menu'!$B$22 &amp; "'!" &amp;"$A$4:$CA$100"), VLOOKUP(VLOOKUP("RIDER RATE 4",'Misc. Data &amp; Mechanisms'!$E$601:$I$631,HLOOKUP('Personalized Bill Menu'!$B$22, 'Misc. Data &amp; Mechanisms'!$E$599:$I$600, 2, FALSE), FALSE), 'Misc. Data &amp; Mechanisms'!$A$599:$C$659, 2, FALSE), FALSE)), ""))</f>
        <v>5.7999999999999996E-3</v>
      </c>
      <c r="AF44" s="90" t="str">
        <f ca="1">IF($A44="", "",IFERROR(IF(VLOOKUP($A44, INDIRECT("'" &amp; 'Personalized Bill Menu'!$B$22 &amp; "'!" &amp;"$A$4:$CA$100"), VLOOKUP(VLOOKUP("RIDER RATE 5",'Misc. Data &amp; Mechanisms'!$E$601:$I$631,HLOOKUP('Personalized Bill Menu'!$B$22, 'Misc. Data &amp; Mechanisms'!$E$599:$I$600, 2, FALSE), FALSE), 'Misc. Data &amp; Mechanisms'!$A$599:$C$659, 2, FALSE), FALSE) = "", "", VLOOKUP($A44, INDIRECT("'" &amp; 'Personalized Bill Menu'!$B$22 &amp; "'!" &amp;"$A$4:$CA$100"), VLOOKUP(VLOOKUP("RIDER RATE 5",'Misc. Data &amp; Mechanisms'!$E$601:$I$631,HLOOKUP('Personalized Bill Menu'!$B$22, 'Misc. Data &amp; Mechanisms'!$E$599:$I$600, 2, FALSE), FALSE), 'Misc. Data &amp; Mechanisms'!$A$599:$C$659, 2, FALSE), FALSE)), ""))</f>
        <v/>
      </c>
      <c r="AG44" s="90" t="str">
        <f ca="1">IF($A44="", "",IFERROR(IF(VLOOKUP($A44, INDIRECT("'" &amp; 'Personalized Bill Menu'!$B$22 &amp; "'!" &amp;"$A$4:$CA$100"), VLOOKUP(VLOOKUP("RIDER RATE 6",'Misc. Data &amp; Mechanisms'!$E$601:$I$631,HLOOKUP('Personalized Bill Menu'!$B$22, 'Misc. Data &amp; Mechanisms'!$E$599:$I$600, 2, FALSE), FALSE), 'Misc. Data &amp; Mechanisms'!$A$599:$C$659, 2, FALSE), FALSE) = "", "", VLOOKUP($A44, INDIRECT("'" &amp; 'Personalized Bill Menu'!$B$22 &amp; "'!" &amp;"$A$4:$CA$100"), VLOOKUP(VLOOKUP("RIDER RATE 6",'Misc. Data &amp; Mechanisms'!$E$601:$I$631,HLOOKUP('Personalized Bill Menu'!$B$22, 'Misc. Data &amp; Mechanisms'!$E$599:$I$600, 2, FALSE), FALSE), 'Misc. Data &amp; Mechanisms'!$A$599:$C$659, 2, FALSE), FALSE)), ""))</f>
        <v/>
      </c>
      <c r="AH44" s="90" t="str">
        <f ca="1">IF($A44="", "",IFERROR(IF(VLOOKUP($A44, INDIRECT("'" &amp; 'Personalized Bill Menu'!$B$22 &amp; "'!" &amp;"$A$4:$CA$100"), VLOOKUP(VLOOKUP("RIDER RATE 7",'Misc. Data &amp; Mechanisms'!$E$601:$I$631,HLOOKUP('Personalized Bill Menu'!$B$22, 'Misc. Data &amp; Mechanisms'!$E$599:$I$600, 2, FALSE), FALSE), 'Misc. Data &amp; Mechanisms'!$A$599:$C$659, 2, FALSE), FALSE) = "", "", VLOOKUP($A44, INDIRECT("'" &amp; 'Personalized Bill Menu'!$B$22 &amp; "'!" &amp;"$A$4:$CA$100"), VLOOKUP(VLOOKUP("RIDER RATE 7",'Misc. Data &amp; Mechanisms'!$E$601:$I$631,HLOOKUP('Personalized Bill Menu'!$B$22, 'Misc. Data &amp; Mechanisms'!$E$599:$I$600, 2, FALSE), FALSE), 'Misc. Data &amp; Mechanisms'!$A$599:$C$659, 2, FALSE), FALSE)), ""))</f>
        <v/>
      </c>
      <c r="AI44" s="72">
        <f t="shared" ca="1" si="14"/>
        <v>-3.3244259024539935</v>
      </c>
      <c r="AJ44" s="72">
        <f t="shared" ca="1" si="15"/>
        <v>8.4188935296459881</v>
      </c>
      <c r="AK44" s="72">
        <f ca="1">IF($A44="", "", IFERROR(IF($AD$6="%",IF('Personalized Bill Menu'!$B$22="ENMAX", $AD44*$I44, IF(AND($AD44="", 'Personalized Bill Menu'!$B$22="FORTIS"),($AE44/100)*$C44,$AD44*$H44)),($AD44/100)*$C44), 0))</f>
        <v>2.2447330746058287</v>
      </c>
      <c r="AL44" s="72">
        <f ca="1">IF($A44="", "", IFERROR(IF('Personalized Bill Menu'!$B$22="ENMAX",$AE44*$B44,IF($AE$6="%",$AE44*($H44+$I44+$J44), IF('Personalized Bill Menu'!$B$22="FORTIS",$AF44*$I44,($AE44/100)*$C44))), 0))</f>
        <v>0.16239999999999999</v>
      </c>
      <c r="AM44" s="72" t="str">
        <f>IF($A44="", "", IFERROR(IF('Personalized Bill Menu'!$B$22="EPCOR",($AF44/100)*$C44, IF('Personalized Bill Menu'!$B$22="ATCO",$AF44*1,"")), 0))</f>
        <v/>
      </c>
      <c r="AN44" s="72" t="str">
        <f>IF($A44="", "", IFERROR(IF('Personalized Bill Menu'!$B$22="ATCO",$AG44*$B44,""), 0))</f>
        <v/>
      </c>
      <c r="AO44" s="70" t="str">
        <f>IF($A44="", "", IFERROR(IF('Personalized Bill Menu'!$B$22="ATCO",$AH44*$B44,""), 0))</f>
        <v/>
      </c>
      <c r="AP44" s="81">
        <f>IF('Personalized Bill Menu'!$B$34&lt;&gt;"Natural Gas", 'Personalized Bill Menu'!$K41, "")</f>
        <v>0.2291</v>
      </c>
      <c r="AQ44" s="72">
        <f t="shared" si="16"/>
        <v>6.4147999999999996</v>
      </c>
      <c r="AR44" s="91">
        <f ca="1">IF($A44="", "",IF(VLOOKUP($A44, INDIRECT("'" &amp; 'Personalized Bill Menu'!$B$22 &amp; "'!" &amp;"$A$4:$CA$100"), VLOOKUP(VLOOKUP(AR$5,'Misc. Data &amp; Mechanisms'!$E$601:$I$631,HLOOKUP('Personalized Bill Menu'!$B$22, 'Misc. Data &amp; Mechanisms'!$E$599:$I$600, 2, FALSE), FALSE), 'Misc. Data &amp; Mechanisms'!$A$599:$C$659, 2, FALSE), FALSE) = "", "", VLOOKUP($A44, INDIRECT("'" &amp; 'Personalized Bill Menu'!$B$22 &amp; "'!" &amp;"$A$4:$CA$100"), VLOOKUP(VLOOKUP(AR$5,'Misc. Data &amp; Mechanisms'!$E$601:$I$631,HLOOKUP('Personalized Bill Menu'!$B$22, 'Misc. Data &amp; Mechanisms'!$E$599:$I$600, 2, FALSE), FALSE), 'Misc. Data &amp; Mechanisms'!$A$599:$C$659, 2, FALSE), FALSE)))</f>
        <v>0.05</v>
      </c>
      <c r="AS44" s="2"/>
      <c r="AT44" s="2"/>
      <c r="AU44" s="2"/>
      <c r="AV44" s="2"/>
      <c r="AW44" s="2"/>
    </row>
    <row r="45" spans="1:49" x14ac:dyDescent="0.35">
      <c r="A45" s="83">
        <f>'Personalized Bill Menu'!$H42</f>
        <v>42064</v>
      </c>
      <c r="B45" s="84">
        <f t="shared" si="0"/>
        <v>31</v>
      </c>
      <c r="C45" s="85">
        <f>IF('Personalized Bill Menu'!$B$34&lt;&gt;"Natural Gas", 'Personalized Bill Menu'!$I42, "")</f>
        <v>591.76623672893038</v>
      </c>
      <c r="D45" s="66">
        <f t="shared" ca="1" si="17"/>
        <v>14.439294460557333</v>
      </c>
      <c r="E45" s="66">
        <f ca="1">IFERROR((1+$AR45)*(IF('Personalized Bill Menu'!$B$22="ENMAX", ((1+IFERROR($X45, 0))*($N45+$P45+$R45+$AB45+$AC45))+((1+IF($X45="", 0,$X45))*(IF($AD45="", 0,$AD45)*$R45)), IF('Personalized Bill Menu'!$B$22="EPCOR", ($N45+$P45+$R45+$X45+SUM($AB45:$AE45)), IF('Personalized Bill Menu'!$B$22="ATCO",($N45+((1+IF($AE45="", 0,$AE45))*(1+$X45+$Y45)*($P45+$R45))+SUM($AB45:$AD45)),IF($AD45="",$N45+((1+$X45+$Y45)*($P45+$R45))+$AB45+$AE45+(IF($AC45="", 0, $AC45)*$P45)+($R45*IF($AF45="", 0, $AF45)),$N45+((1+$X45+$Y45)*($P45+$R45))+$AB45+($AD45*$P45)+(IF($AC45="", 0, $AC45)*$P45)+($R45*IF($AF45="", 0, $AF45))))))), "")</f>
        <v>10.1896859154552</v>
      </c>
      <c r="F45" s="1469">
        <f t="shared" ca="1" si="1"/>
        <v>85.446869439449046</v>
      </c>
      <c r="G45" s="66">
        <f t="shared" si="2"/>
        <v>29.100696457381883</v>
      </c>
      <c r="H45" s="66">
        <f t="shared" ca="1" si="3"/>
        <v>11.51754626545517</v>
      </c>
      <c r="I45" s="66">
        <f t="shared" ca="1" si="4"/>
        <v>18.519549441940562</v>
      </c>
      <c r="J45" s="66">
        <f t="shared" ca="1" si="5"/>
        <v>7.426918599948392</v>
      </c>
      <c r="K45" s="66">
        <f t="shared" ca="1" si="6"/>
        <v>7.7111601299873822</v>
      </c>
      <c r="L45" s="66">
        <f t="shared" si="7"/>
        <v>7.1021000000000001</v>
      </c>
      <c r="M45" s="68">
        <f t="shared" ca="1" si="8"/>
        <v>4.0688985447356689</v>
      </c>
      <c r="N45" s="69">
        <f>IF('Personalized Bill Menu'!$B$34&lt;&gt;"Natural Gas", 'Personalized Bill Menu'!$J42, "")</f>
        <v>4.9176000000000002</v>
      </c>
      <c r="O45" s="70">
        <f t="shared" si="9"/>
        <v>29.100696457381883</v>
      </c>
      <c r="P45" s="71">
        <f ca="1">IF($A45="", "",IFERROR(IF(VLOOKUP($A45, INDIRECT("'" &amp; 'Personalized Bill Menu'!$B$22 &amp; "'!" &amp;"$A$4:$CA$100"), VLOOKUP(VLOOKUP(P$5,'Misc. Data &amp; Mechanisms'!$E$601:$I$631,HLOOKUP('Personalized Bill Menu'!$B$22, 'Misc. Data &amp; Mechanisms'!$E$599:$I$600, 2, FALSE), FALSE), 'Misc. Data &amp; Mechanisms'!$A$599:$C$659, 2, FALSE), FALSE) = "", "", VLOOKUP($A45, INDIRECT("'" &amp; 'Personalized Bill Menu'!$B$22 &amp; "'!" &amp;"$A$4:$CA$100"), VLOOKUP(VLOOKUP(P$5,'Misc. Data &amp; Mechanisms'!$E$601:$I$631,HLOOKUP('Personalized Bill Menu'!$B$22, 'Misc. Data &amp; Mechanisms'!$E$599:$I$600, 2, FALSE), FALSE), 'Misc. Data &amp; Mechanisms'!$A$599:$C$659, 2, FALSE), FALSE)), ""))</f>
        <v>1.9462999999999999</v>
      </c>
      <c r="Q45" s="72">
        <f t="shared" ca="1" si="10"/>
        <v>11.51754626545517</v>
      </c>
      <c r="R45" s="87">
        <f ca="1">IF($A45="", "",IFERROR(IF(VLOOKUP($A45, INDIRECT("'" &amp; 'Personalized Bill Menu'!$B$22 &amp; "'!" &amp;"$A$4:$CA$100"), VLOOKUP(VLOOKUP(R$5,'Misc. Data &amp; Mechanisms'!$E$601:$I$631,HLOOKUP('Personalized Bill Menu'!$B$22, 'Misc. Data &amp; Mechanisms'!$E$599:$I$600, 2, FALSE), FALSE), 'Misc. Data &amp; Mechanisms'!$A$599:$C$659, 2, FALSE), FALSE) = "", "", VLOOKUP($A45, INDIRECT("'" &amp; 'Personalized Bill Menu'!$B$22 &amp; "'!" &amp;"$A$4:$CA$100"), VLOOKUP(VLOOKUP(R$5,'Misc. Data &amp; Mechanisms'!$E$601:$I$631,HLOOKUP('Personalized Bill Menu'!$B$22, 'Misc. Data &amp; Mechanisms'!$E$599:$I$600, 2, FALSE), FALSE), 'Misc. Data &amp; Mechanisms'!$A$599:$C$659, 2, FALSE), FALSE)), ""))</f>
        <v>0.88959999999999995</v>
      </c>
      <c r="S45" s="88">
        <f ca="1">IF($A45="", "",IFERROR(IF(VLOOKUP($A45, INDIRECT("'" &amp; 'Personalized Bill Menu'!$B$22 &amp; "'!" &amp;"$A$4:$CA$100"), VLOOKUP(VLOOKUP(S$5,'Misc. Data &amp; Mechanisms'!$E$601:$I$631,HLOOKUP('Personalized Bill Menu'!$B$22, 'Misc. Data &amp; Mechanisms'!$E$599:$I$600, 2, FALSE), FALSE), 'Misc. Data &amp; Mechanisms'!$A$599:$C$659, 2, FALSE), FALSE) = "", "", VLOOKUP($A45, INDIRECT("'" &amp; 'Personalized Bill Menu'!$B$22 &amp; "'!" &amp;"$A$4:$CA$100"), VLOOKUP(VLOOKUP(S$5,'Misc. Data &amp; Mechanisms'!$E$601:$I$631,HLOOKUP('Personalized Bill Menu'!$B$22, 'Misc. Data &amp; Mechanisms'!$E$599:$I$600, 2, FALSE), FALSE), 'Misc. Data &amp; Mechanisms'!$A$599:$C$659, 2, FALSE), FALSE)), ""))</f>
        <v>0.42758699999999999</v>
      </c>
      <c r="T45" s="81" t="str">
        <f ca="1">IF($A45="", "",IFERROR(IF(VLOOKUP($A45, INDIRECT("'" &amp; 'Personalized Bill Menu'!$B$22 &amp; "'!" &amp;"$A$4:$CA$100"), VLOOKUP(VLOOKUP(T$5,'Misc. Data &amp; Mechanisms'!$E$601:$I$631,HLOOKUP('Personalized Bill Menu'!$B$22, 'Misc. Data &amp; Mechanisms'!$E$599:$I$600, 2, FALSE), FALSE), 'Misc. Data &amp; Mechanisms'!$A$599:$C$659, 2, FALSE), FALSE) = "", "", VLOOKUP($A45, INDIRECT("'" &amp; 'Personalized Bill Menu'!$B$22 &amp; "'!" &amp;"$A$4:$CA$100"), VLOOKUP(VLOOKUP(T$5,'Misc. Data &amp; Mechanisms'!$E$601:$I$631,HLOOKUP('Personalized Bill Menu'!$B$22, 'Misc. Data &amp; Mechanisms'!$E$599:$I$600, 2, FALSE), FALSE), 'Misc. Data &amp; Mechanisms'!$A$599:$C$659, 2, FALSE), FALSE)), ""))</f>
        <v/>
      </c>
      <c r="U45" s="72">
        <f t="shared" ca="1" si="11"/>
        <v>5.2643524419405647</v>
      </c>
      <c r="V45" s="72">
        <f t="shared" ca="1" si="12"/>
        <v>13.255196999999999</v>
      </c>
      <c r="W45" s="70" t="str">
        <f t="shared" si="13"/>
        <v/>
      </c>
      <c r="X45" s="78">
        <f>IFERROR(IF(VLOOKUP($A45,'Misc. Data &amp; Mechanisms'!$A$63:$DY$152,HLOOKUP('Personalized Bill Menu'!$B$21&amp;"_"&amp;'Personalized Bill Menu'!$B$22&amp;"_Elec_Y_1",'Misc. Data &amp; Mechanisms'!$A$55:$DY$62,8,FALSE), FALSE)="", "", VLOOKUP($A45,'Misc. Data &amp; Mechanisms'!$A$63:$DY$152,HLOOKUP('Personalized Bill Menu'!$B$21&amp;"_"&amp;'Personalized Bill Menu'!$B$22&amp;"_Elec_Y_1",'Misc. Data &amp; Mechanisms'!$A$55:$DY$62,8,FALSE), FALSE)), "")</f>
        <v>0.1111</v>
      </c>
      <c r="Y45" s="78" t="str">
        <f>IFERROR(IF(VLOOKUP($A45,'Misc. Data &amp; Mechanisms'!$A$63:$DY$152,HLOOKUP('Personalized Bill Menu'!$B$21&amp;"_"&amp;'Personalized Bill Menu'!$B$22&amp;"_Elec_Y_2",'Misc. Data &amp; Mechanisms'!$A$55:$DY$62,8,FALSE), FALSE)="", "", VLOOKUP($A45,'Misc. Data &amp; Mechanisms'!$A$63:$DY$152,HLOOKUP('Personalized Bill Menu'!$B$21&amp;"_"&amp;'Personalized Bill Menu'!$B$22&amp;"_Elec_Y_2",'Misc. Data &amp; Mechanisms'!$A$55:$DY$62,8,FALSE), FALSE)), "")</f>
        <v/>
      </c>
      <c r="Z45" s="72">
        <f ca="1">IF($A45="", "",IFERROR(IF(OR('Personalized Bill Menu'!$B$22="FORTIS", 'Personalized Bill Menu'!$B$22="ATCO"), $X45*($H45+$I45), IF('Personalized Bill Menu'!$B$22="ENMAX",$X45*($H45+$I45+$K45),($X45/100)*$C45)), 0))</f>
        <v>4.1938312235332642</v>
      </c>
      <c r="AA45" s="72">
        <f>IF($A45="", "", IFERROR(IF(OR('Personalized Bill Menu'!$B$22="FORTIS", 'Personalized Bill Menu'!$B$22="ATCO"), $Y45*($H45+$I45), IF('Personalized Bill Menu'!$B$22="ENMAX",$X45*$G45,"")), 0))</f>
        <v>3.2330873764151273</v>
      </c>
      <c r="AB45" s="89">
        <f ca="1">IF($A45="", "",IFERROR(IF(VLOOKUP($A45, INDIRECT("'" &amp; 'Personalized Bill Menu'!$B$22 &amp; "'!" &amp;"$A$4:$CA$100"), VLOOKUP(VLOOKUP("RIDER RATE 1",'Misc. Data &amp; Mechanisms'!$E$601:$I$631,HLOOKUP('Personalized Bill Menu'!$B$22, 'Misc. Data &amp; Mechanisms'!$E$599:$I$600, 2, FALSE), FALSE), 'Misc. Data &amp; Mechanisms'!$A$599:$C$659, 2, FALSE), FALSE) = "", "", VLOOKUP($A45, INDIRECT("'" &amp; 'Personalized Bill Menu'!$B$22 &amp; "'!" &amp;"$A$4:$CA$100"), VLOOKUP(VLOOKUP("RIDER RATE 1",'Misc. Data &amp; Mechanisms'!$E$601:$I$631,HLOOKUP('Personalized Bill Menu'!$B$22, 'Misc. Data &amp; Mechanisms'!$E$599:$I$600, 2, FALSE), FALSE), 'Misc. Data &amp; Mechanisms'!$A$599:$C$659, 2, FALSE), FALSE)), ""))</f>
        <v>-0.56420000000000003</v>
      </c>
      <c r="AC45" s="69">
        <f ca="1">IF($A45="", "",IFERROR(IF(VLOOKUP($A45, INDIRECT("'" &amp; 'Personalized Bill Menu'!$B$22 &amp; "'!" &amp;"$A$4:$CA$100"), VLOOKUP(VLOOKUP("RIDER RATE 2",'Misc. Data &amp; Mechanisms'!$E$601:$I$631,HLOOKUP('Personalized Bill Menu'!$B$22, 'Misc. Data &amp; Mechanisms'!$E$599:$I$600, 2, FALSE), FALSE), 'Misc. Data &amp; Mechanisms'!$A$599:$C$659, 2, FALSE), FALSE) = "", "", VLOOKUP($A45, INDIRECT("'" &amp; 'Personalized Bill Menu'!$B$22 &amp; "'!" &amp;"$A$4:$CA$100"), VLOOKUP(VLOOKUP("RIDER RATE 2",'Misc. Data &amp; Mechanisms'!$E$601:$I$631,HLOOKUP('Personalized Bill Menu'!$B$22, 'Misc. Data &amp; Mechanisms'!$E$599:$I$600, 2, FALSE), FALSE), 'Misc. Data &amp; Mechanisms'!$A$599:$C$659, 2, FALSE), FALSE)), ""))</f>
        <v>1.4288000000000001</v>
      </c>
      <c r="AD45" s="69">
        <f ca="1">IF($A45="", "",IFERROR(IF(VLOOKUP($A45, INDIRECT("'" &amp; 'Personalized Bill Menu'!$B$22 &amp; "'!" &amp;"$A$4:$CA$100"), VLOOKUP(VLOOKUP("RIDER RATE 3",'Misc. Data &amp; Mechanisms'!$E$601:$I$631,HLOOKUP('Personalized Bill Menu'!$B$22, 'Misc. Data &amp; Mechanisms'!$E$599:$I$600, 2, FALSE), FALSE), 'Misc. Data &amp; Mechanisms'!$A$599:$C$659, 2, FALSE), FALSE) = "", "", VLOOKUP($A45, INDIRECT("'" &amp; 'Personalized Bill Menu'!$B$22 &amp; "'!" &amp;"$A$4:$CA$100"), VLOOKUP(VLOOKUP("RIDER RATE 3",'Misc. Data &amp; Mechanisms'!$E$601:$I$631,HLOOKUP('Personalized Bill Menu'!$B$22, 'Misc. Data &amp; Mechanisms'!$E$599:$I$600, 2, FALSE), FALSE), 'Misc. Data &amp; Mechanisms'!$A$599:$C$659, 2, FALSE), FALSE)), ""))</f>
        <v>0.13039999999999999</v>
      </c>
      <c r="AE45" s="69">
        <f ca="1">IF($A45="", "",IFERROR(IF(VLOOKUP($A45, INDIRECT("'" &amp; 'Personalized Bill Menu'!$B$22 &amp; "'!" &amp;"$A$4:$CA$100"), VLOOKUP(VLOOKUP("RIDER RATE 4",'Misc. Data &amp; Mechanisms'!$E$601:$I$631,HLOOKUP('Personalized Bill Menu'!$B$22, 'Misc. Data &amp; Mechanisms'!$E$599:$I$600, 2, FALSE), FALSE), 'Misc. Data &amp; Mechanisms'!$A$599:$C$659, 2, FALSE), FALSE) = "", "", VLOOKUP($A45, INDIRECT("'" &amp; 'Personalized Bill Menu'!$B$22 &amp; "'!" &amp;"$A$4:$CA$100"), VLOOKUP(VLOOKUP("RIDER RATE 4",'Misc. Data &amp; Mechanisms'!$E$601:$I$631,HLOOKUP('Personalized Bill Menu'!$B$22, 'Misc. Data &amp; Mechanisms'!$E$599:$I$600, 2, FALSE), FALSE), 'Misc. Data &amp; Mechanisms'!$A$599:$C$659, 2, FALSE), FALSE)), ""))</f>
        <v>5.7999999999999996E-3</v>
      </c>
      <c r="AF45" s="90" t="str">
        <f ca="1">IF($A45="", "",IFERROR(IF(VLOOKUP($A45, INDIRECT("'" &amp; 'Personalized Bill Menu'!$B$22 &amp; "'!" &amp;"$A$4:$CA$100"), VLOOKUP(VLOOKUP("RIDER RATE 5",'Misc. Data &amp; Mechanisms'!$E$601:$I$631,HLOOKUP('Personalized Bill Menu'!$B$22, 'Misc. Data &amp; Mechanisms'!$E$599:$I$600, 2, FALSE), FALSE), 'Misc. Data &amp; Mechanisms'!$A$599:$C$659, 2, FALSE), FALSE) = "", "", VLOOKUP($A45, INDIRECT("'" &amp; 'Personalized Bill Menu'!$B$22 &amp; "'!" &amp;"$A$4:$CA$100"), VLOOKUP(VLOOKUP("RIDER RATE 5",'Misc. Data &amp; Mechanisms'!$E$601:$I$631,HLOOKUP('Personalized Bill Menu'!$B$22, 'Misc. Data &amp; Mechanisms'!$E$599:$I$600, 2, FALSE), FALSE), 'Misc. Data &amp; Mechanisms'!$A$599:$C$659, 2, FALSE), FALSE)), ""))</f>
        <v/>
      </c>
      <c r="AG45" s="90" t="str">
        <f ca="1">IF($A45="", "",IFERROR(IF(VLOOKUP($A45, INDIRECT("'" &amp; 'Personalized Bill Menu'!$B$22 &amp; "'!" &amp;"$A$4:$CA$100"), VLOOKUP(VLOOKUP("RIDER RATE 6",'Misc. Data &amp; Mechanisms'!$E$601:$I$631,HLOOKUP('Personalized Bill Menu'!$B$22, 'Misc. Data &amp; Mechanisms'!$E$599:$I$600, 2, FALSE), FALSE), 'Misc. Data &amp; Mechanisms'!$A$599:$C$659, 2, FALSE), FALSE) = "", "", VLOOKUP($A45, INDIRECT("'" &amp; 'Personalized Bill Menu'!$B$22 &amp; "'!" &amp;"$A$4:$CA$100"), VLOOKUP(VLOOKUP("RIDER RATE 6",'Misc. Data &amp; Mechanisms'!$E$601:$I$631,HLOOKUP('Personalized Bill Menu'!$B$22, 'Misc. Data &amp; Mechanisms'!$E$599:$I$600, 2, FALSE), FALSE), 'Misc. Data &amp; Mechanisms'!$A$599:$C$659, 2, FALSE), FALSE)), ""))</f>
        <v/>
      </c>
      <c r="AH45" s="90" t="str">
        <f ca="1">IF($A45="", "",IFERROR(IF(VLOOKUP($A45, INDIRECT("'" &amp; 'Personalized Bill Menu'!$B$22 &amp; "'!" &amp;"$A$4:$CA$100"), VLOOKUP(VLOOKUP("RIDER RATE 7",'Misc. Data &amp; Mechanisms'!$E$601:$I$631,HLOOKUP('Personalized Bill Menu'!$B$22, 'Misc. Data &amp; Mechanisms'!$E$599:$I$600, 2, FALSE), FALSE), 'Misc. Data &amp; Mechanisms'!$A$599:$C$659, 2, FALSE), FALSE) = "", "", VLOOKUP($A45, INDIRECT("'" &amp; 'Personalized Bill Menu'!$B$22 &amp; "'!" &amp;"$A$4:$CA$100"), VLOOKUP(VLOOKUP("RIDER RATE 7",'Misc. Data &amp; Mechanisms'!$E$601:$I$631,HLOOKUP('Personalized Bill Menu'!$B$22, 'Misc. Data &amp; Mechanisms'!$E$599:$I$600, 2, FALSE), FALSE), 'Misc. Data &amp; Mechanisms'!$A$599:$C$659, 2, FALSE), FALSE)), ""))</f>
        <v/>
      </c>
      <c r="AI45" s="72">
        <f t="shared" ca="1" si="14"/>
        <v>-3.3387451076246255</v>
      </c>
      <c r="AJ45" s="72">
        <f t="shared" ca="1" si="15"/>
        <v>8.4551559903829574</v>
      </c>
      <c r="AK45" s="72">
        <f ca="1">IF($A45="", "", IFERROR(IF($AD$6="%",IF('Personalized Bill Menu'!$B$22="ENMAX", $AD45*$I45, IF(AND($AD45="", 'Personalized Bill Menu'!$B$22="FORTIS"),($AE45/100)*$C45,$AD45*$H45)),($AD45/100)*$C45), 0))</f>
        <v>2.4149492472290492</v>
      </c>
      <c r="AL45" s="72">
        <f ca="1">IF($A45="", "", IFERROR(IF('Personalized Bill Menu'!$B$22="ENMAX",$AE45*$B45,IF($AE$6="%",$AE45*($H45+$I45+$J45), IF('Personalized Bill Menu'!$B$22="FORTIS",$AF45*$I45,($AE45/100)*$C45))), 0))</f>
        <v>0.17979999999999999</v>
      </c>
      <c r="AM45" s="72" t="str">
        <f>IF($A45="", "", IFERROR(IF('Personalized Bill Menu'!$B$22="EPCOR",($AF45/100)*$C45, IF('Personalized Bill Menu'!$B$22="ATCO",$AF45*1,"")), 0))</f>
        <v/>
      </c>
      <c r="AN45" s="72" t="str">
        <f>IF($A45="", "", IFERROR(IF('Personalized Bill Menu'!$B$22="ATCO",$AG45*$B45,""), 0))</f>
        <v/>
      </c>
      <c r="AO45" s="70" t="str">
        <f>IF($A45="", "", IFERROR(IF('Personalized Bill Menu'!$B$22="ATCO",$AH45*$B45,""), 0))</f>
        <v/>
      </c>
      <c r="AP45" s="81">
        <f>IF('Personalized Bill Menu'!$B$34&lt;&gt;"Natural Gas", 'Personalized Bill Menu'!$K42, "")</f>
        <v>0.2291</v>
      </c>
      <c r="AQ45" s="72">
        <f t="shared" si="16"/>
        <v>7.1021000000000001</v>
      </c>
      <c r="AR45" s="91">
        <f ca="1">IF($A45="", "",IF(VLOOKUP($A45, INDIRECT("'" &amp; 'Personalized Bill Menu'!$B$22 &amp; "'!" &amp;"$A$4:$CA$100"), VLOOKUP(VLOOKUP(AR$5,'Misc. Data &amp; Mechanisms'!$E$601:$I$631,HLOOKUP('Personalized Bill Menu'!$B$22, 'Misc. Data &amp; Mechanisms'!$E$599:$I$600, 2, FALSE), FALSE), 'Misc. Data &amp; Mechanisms'!$A$599:$C$659, 2, FALSE), FALSE) = "", "", VLOOKUP($A45, INDIRECT("'" &amp; 'Personalized Bill Menu'!$B$22 &amp; "'!" &amp;"$A$4:$CA$100"), VLOOKUP(VLOOKUP(AR$5,'Misc. Data &amp; Mechanisms'!$E$601:$I$631,HLOOKUP('Personalized Bill Menu'!$B$22, 'Misc. Data &amp; Mechanisms'!$E$599:$I$600, 2, FALSE), FALSE), 'Misc. Data &amp; Mechanisms'!$A$599:$C$659, 2, FALSE), FALSE)))</f>
        <v>0.05</v>
      </c>
      <c r="AS45" s="2"/>
      <c r="AT45" s="2"/>
      <c r="AU45" s="2"/>
      <c r="AV45" s="2"/>
      <c r="AW45" s="2"/>
    </row>
    <row r="46" spans="1:49" x14ac:dyDescent="0.35">
      <c r="A46" s="83">
        <f>'Personalized Bill Menu'!$H43</f>
        <v>42095</v>
      </c>
      <c r="B46" s="84">
        <f t="shared" si="0"/>
        <v>30</v>
      </c>
      <c r="C46" s="85">
        <f>IF('Personalized Bill Menu'!$B$34&lt;&gt;"Natural Gas", 'Personalized Bill Menu'!$I43, "")</f>
        <v>534.43170590601471</v>
      </c>
      <c r="D46" s="66">
        <f t="shared" ca="1" si="17"/>
        <v>14.139252363540704</v>
      </c>
      <c r="E46" s="66">
        <f ca="1">IFERROR((1+$AR46)*(IF('Personalized Bill Menu'!$B$22="ENMAX", ((1+IFERROR($X46, 0))*($N46+$P46+$R46+$AB46+$AC46))+((1+IF($X46="", 0,$X46))*(IF($AD46="", 0,$AD46)*$R46)), IF('Personalized Bill Menu'!$B$22="EPCOR", ($N46+$P46+$R46+$X46+SUM($AB46:$AE46)), IF('Personalized Bill Menu'!$B$22="ATCO",($N46+((1+IF($AE46="", 0,$AE46))*(1+$X46+$Y46)*($P46+$R46))+SUM($AB46:$AD46)),IF($AD46="",$N46+((1+$X46+$Y46)*($P46+$R46))+$AB46+$AE46+(IF($AC46="", 0, $AC46)*$P46)+($R46*IF($AF46="", 0, $AF46)),$N46+((1+$X46+$Y46)*($P46+$R46))+$AB46+($AD46*$P46)+(IF($AC46="", 0, $AC46)*$P46)+($R46*IF($AF46="", 0, $AF46))))))), "")</f>
        <v>9.9886667790000008</v>
      </c>
      <c r="F46" s="1469">
        <f t="shared" ca="1" si="1"/>
        <v>75.564647608827087</v>
      </c>
      <c r="G46" s="66">
        <f t="shared" si="2"/>
        <v>27.331371871739499</v>
      </c>
      <c r="H46" s="66">
        <f t="shared" ca="1" si="3"/>
        <v>10.401644292048763</v>
      </c>
      <c r="I46" s="66">
        <f t="shared" ca="1" si="4"/>
        <v>17.581914455739906</v>
      </c>
      <c r="J46" s="66">
        <f t="shared" ca="1" si="5"/>
        <v>6.5087472597646165</v>
      </c>
      <c r="K46" s="66">
        <f t="shared" ca="1" si="6"/>
        <v>3.269653176732997</v>
      </c>
      <c r="L46" s="66">
        <f t="shared" si="7"/>
        <v>6.8730000000000002</v>
      </c>
      <c r="M46" s="68">
        <f t="shared" ca="1" si="8"/>
        <v>3.5983165528012897</v>
      </c>
      <c r="N46" s="69">
        <f>IF('Personalized Bill Menu'!$B$34&lt;&gt;"Natural Gas", 'Personalized Bill Menu'!$J43, "")</f>
        <v>5.1140999999999996</v>
      </c>
      <c r="O46" s="70">
        <f t="shared" si="9"/>
        <v>27.331371871739499</v>
      </c>
      <c r="P46" s="71">
        <f ca="1">IF($A46="", "",IFERROR(IF(VLOOKUP($A46, INDIRECT("'" &amp; 'Personalized Bill Menu'!$B$22 &amp; "'!" &amp;"$A$4:$CA$100"), VLOOKUP(VLOOKUP(P$5,'Misc. Data &amp; Mechanisms'!$E$601:$I$631,HLOOKUP('Personalized Bill Menu'!$B$22, 'Misc. Data &amp; Mechanisms'!$E$599:$I$600, 2, FALSE), FALSE), 'Misc. Data &amp; Mechanisms'!$A$599:$C$659, 2, FALSE), FALSE) = "", "", VLOOKUP($A46, INDIRECT("'" &amp; 'Personalized Bill Menu'!$B$22 &amp; "'!" &amp;"$A$4:$CA$100"), VLOOKUP(VLOOKUP(P$5,'Misc. Data &amp; Mechanisms'!$E$601:$I$631,HLOOKUP('Personalized Bill Menu'!$B$22, 'Misc. Data &amp; Mechanisms'!$E$599:$I$600, 2, FALSE), FALSE), 'Misc. Data &amp; Mechanisms'!$A$599:$C$659, 2, FALSE), FALSE)), ""))</f>
        <v>1.9462999999999999</v>
      </c>
      <c r="Q46" s="72">
        <f t="shared" ca="1" si="10"/>
        <v>10.401644292048763</v>
      </c>
      <c r="R46" s="87">
        <f ca="1">IF($A46="", "",IFERROR(IF(VLOOKUP($A46, INDIRECT("'" &amp; 'Personalized Bill Menu'!$B$22 &amp; "'!" &amp;"$A$4:$CA$100"), VLOOKUP(VLOOKUP(R$5,'Misc. Data &amp; Mechanisms'!$E$601:$I$631,HLOOKUP('Personalized Bill Menu'!$B$22, 'Misc. Data &amp; Mechanisms'!$E$599:$I$600, 2, FALSE), FALSE), 'Misc. Data &amp; Mechanisms'!$A$599:$C$659, 2, FALSE), FALSE) = "", "", VLOOKUP($A46, INDIRECT("'" &amp; 'Personalized Bill Menu'!$B$22 &amp; "'!" &amp;"$A$4:$CA$100"), VLOOKUP(VLOOKUP(R$5,'Misc. Data &amp; Mechanisms'!$E$601:$I$631,HLOOKUP('Personalized Bill Menu'!$B$22, 'Misc. Data &amp; Mechanisms'!$E$599:$I$600, 2, FALSE), FALSE), 'Misc. Data &amp; Mechanisms'!$A$599:$C$659, 2, FALSE), FALSE)), ""))</f>
        <v>0.88959999999999995</v>
      </c>
      <c r="S46" s="88">
        <f ca="1">IF($A46="", "",IFERROR(IF(VLOOKUP($A46, INDIRECT("'" &amp; 'Personalized Bill Menu'!$B$22 &amp; "'!" &amp;"$A$4:$CA$100"), VLOOKUP(VLOOKUP(S$5,'Misc. Data &amp; Mechanisms'!$E$601:$I$631,HLOOKUP('Personalized Bill Menu'!$B$22, 'Misc. Data &amp; Mechanisms'!$E$599:$I$600, 2, FALSE), FALSE), 'Misc. Data &amp; Mechanisms'!$A$599:$C$659, 2, FALSE), FALSE) = "", "", VLOOKUP($A46, INDIRECT("'" &amp; 'Personalized Bill Menu'!$B$22 &amp; "'!" &amp;"$A$4:$CA$100"), VLOOKUP(VLOOKUP(S$5,'Misc. Data &amp; Mechanisms'!$E$601:$I$631,HLOOKUP('Personalized Bill Menu'!$B$22, 'Misc. Data &amp; Mechanisms'!$E$599:$I$600, 2, FALSE), FALSE), 'Misc. Data &amp; Mechanisms'!$A$599:$C$659, 2, FALSE), FALSE)), ""))</f>
        <v>0.42758699999999999</v>
      </c>
      <c r="T46" s="81" t="str">
        <f ca="1">IF($A46="", "",IFERROR(IF(VLOOKUP($A46, INDIRECT("'" &amp; 'Personalized Bill Menu'!$B$22 &amp; "'!" &amp;"$A$4:$CA$100"), VLOOKUP(VLOOKUP(T$5,'Misc. Data &amp; Mechanisms'!$E$601:$I$631,HLOOKUP('Personalized Bill Menu'!$B$22, 'Misc. Data &amp; Mechanisms'!$E$599:$I$600, 2, FALSE), FALSE), 'Misc. Data &amp; Mechanisms'!$A$599:$C$659, 2, FALSE), FALSE) = "", "", VLOOKUP($A46, INDIRECT("'" &amp; 'Personalized Bill Menu'!$B$22 &amp; "'!" &amp;"$A$4:$CA$100"), VLOOKUP(VLOOKUP(T$5,'Misc. Data &amp; Mechanisms'!$E$601:$I$631,HLOOKUP('Personalized Bill Menu'!$B$22, 'Misc. Data &amp; Mechanisms'!$E$599:$I$600, 2, FALSE), FALSE), 'Misc. Data &amp; Mechanisms'!$A$599:$C$659, 2, FALSE), FALSE)), ""))</f>
        <v/>
      </c>
      <c r="U46" s="72">
        <f t="shared" ca="1" si="11"/>
        <v>4.7543044557399066</v>
      </c>
      <c r="V46" s="72">
        <f t="shared" ca="1" si="12"/>
        <v>12.82761</v>
      </c>
      <c r="W46" s="70" t="str">
        <f t="shared" si="13"/>
        <v/>
      </c>
      <c r="X46" s="78">
        <f>IFERROR(IF(VLOOKUP($A46,'Misc. Data &amp; Mechanisms'!$A$63:$DY$152,HLOOKUP('Personalized Bill Menu'!$B$21&amp;"_"&amp;'Personalized Bill Menu'!$B$22&amp;"_Elec_Y_1",'Misc. Data &amp; Mechanisms'!$A$55:$DY$62,8,FALSE), FALSE)="", "", VLOOKUP($A46,'Misc. Data &amp; Mechanisms'!$A$63:$DY$152,HLOOKUP('Personalized Bill Menu'!$B$21&amp;"_"&amp;'Personalized Bill Menu'!$B$22&amp;"_Elec_Y_1",'Misc. Data &amp; Mechanisms'!$A$55:$DY$62,8,FALSE), FALSE)), "")</f>
        <v>0.1111</v>
      </c>
      <c r="Y46" s="78" t="str">
        <f>IFERROR(IF(VLOOKUP($A46,'Misc. Data &amp; Mechanisms'!$A$63:$DY$152,HLOOKUP('Personalized Bill Menu'!$B$21&amp;"_"&amp;'Personalized Bill Menu'!$B$22&amp;"_Elec_Y_2",'Misc. Data &amp; Mechanisms'!$A$55:$DY$62,8,FALSE), FALSE)="", "", VLOOKUP($A46,'Misc. Data &amp; Mechanisms'!$A$63:$DY$152,HLOOKUP('Personalized Bill Menu'!$B$21&amp;"_"&amp;'Personalized Bill Menu'!$B$22&amp;"_Elec_Y_2",'Misc. Data &amp; Mechanisms'!$A$55:$DY$62,8,FALSE), FALSE)), "")</f>
        <v/>
      </c>
      <c r="Z46" s="72">
        <f ca="1">IF($A46="", "",IFERROR(IF(OR('Personalized Bill Menu'!$B$22="FORTIS", 'Personalized Bill Menu'!$B$22="ATCO"), $X46*($H46+$I46), IF('Personalized Bill Menu'!$B$22="ENMAX",$X46*($H46+$I46+$K46),($X46/100)*$C46)), 0))</f>
        <v>3.4722318448143574</v>
      </c>
      <c r="AA46" s="72">
        <f>IF($A46="", "", IFERROR(IF(OR('Personalized Bill Menu'!$B$22="FORTIS", 'Personalized Bill Menu'!$B$22="ATCO"), $Y46*($H46+$I46), IF('Personalized Bill Menu'!$B$22="ENMAX",$X46*$G46,"")), 0))</f>
        <v>3.0365154149502587</v>
      </c>
      <c r="AB46" s="89">
        <f ca="1">IF($A46="", "",IFERROR(IF(VLOOKUP($A46, INDIRECT("'" &amp; 'Personalized Bill Menu'!$B$22 &amp; "'!" &amp;"$A$4:$CA$100"), VLOOKUP(VLOOKUP("RIDER RATE 1",'Misc. Data &amp; Mechanisms'!$E$601:$I$631,HLOOKUP('Personalized Bill Menu'!$B$22, 'Misc. Data &amp; Mechanisms'!$E$599:$I$600, 2, FALSE), FALSE), 'Misc. Data &amp; Mechanisms'!$A$599:$C$659, 2, FALSE), FALSE) = "", "", VLOOKUP($A46, INDIRECT("'" &amp; 'Personalized Bill Menu'!$B$22 &amp; "'!" &amp;"$A$4:$CA$100"), VLOOKUP(VLOOKUP("RIDER RATE 1",'Misc. Data &amp; Mechanisms'!$E$601:$I$631,HLOOKUP('Personalized Bill Menu'!$B$22, 'Misc. Data &amp; Mechanisms'!$E$599:$I$600, 2, FALSE), FALSE), 'Misc. Data &amp; Mechanisms'!$A$599:$C$659, 2, FALSE), FALSE)), ""))</f>
        <v>-0.56420000000000003</v>
      </c>
      <c r="AC46" s="69">
        <f ca="1">IF($A46="", "",IFERROR(IF(VLOOKUP($A46, INDIRECT("'" &amp; 'Personalized Bill Menu'!$B$22 &amp; "'!" &amp;"$A$4:$CA$100"), VLOOKUP(VLOOKUP("RIDER RATE 2",'Misc. Data &amp; Mechanisms'!$E$601:$I$631,HLOOKUP('Personalized Bill Menu'!$B$22, 'Misc. Data &amp; Mechanisms'!$E$599:$I$600, 2, FALSE), FALSE), 'Misc. Data &amp; Mechanisms'!$A$599:$C$659, 2, FALSE), FALSE) = "", "", VLOOKUP($A46, INDIRECT("'" &amp; 'Personalized Bill Menu'!$B$22 &amp; "'!" &amp;"$A$4:$CA$100"), VLOOKUP(VLOOKUP("RIDER RATE 2",'Misc. Data &amp; Mechanisms'!$E$601:$I$631,HLOOKUP('Personalized Bill Menu'!$B$22, 'Misc. Data &amp; Mechanisms'!$E$599:$I$600, 2, FALSE), FALSE), 'Misc. Data &amp; Mechanisms'!$A$599:$C$659, 2, FALSE), FALSE)), ""))</f>
        <v>1.1759999999999999</v>
      </c>
      <c r="AD46" s="69" t="str">
        <f ca="1">IF($A46="", "",IFERROR(IF(VLOOKUP($A46, INDIRECT("'" &amp; 'Personalized Bill Menu'!$B$22 &amp; "'!" &amp;"$A$4:$CA$100"), VLOOKUP(VLOOKUP("RIDER RATE 3",'Misc. Data &amp; Mechanisms'!$E$601:$I$631,HLOOKUP('Personalized Bill Menu'!$B$22, 'Misc. Data &amp; Mechanisms'!$E$599:$I$600, 2, FALSE), FALSE), 'Misc. Data &amp; Mechanisms'!$A$599:$C$659, 2, FALSE), FALSE) = "", "", VLOOKUP($A46, INDIRECT("'" &amp; 'Personalized Bill Menu'!$B$22 &amp; "'!" &amp;"$A$4:$CA$100"), VLOOKUP(VLOOKUP("RIDER RATE 3",'Misc. Data &amp; Mechanisms'!$E$601:$I$631,HLOOKUP('Personalized Bill Menu'!$B$22, 'Misc. Data &amp; Mechanisms'!$E$599:$I$600, 2, FALSE), FALSE), 'Misc. Data &amp; Mechanisms'!$A$599:$C$659, 2, FALSE), FALSE)), ""))</f>
        <v/>
      </c>
      <c r="AE46" s="69" t="str">
        <f ca="1">IF($A46="", "",IFERROR(IF(VLOOKUP($A46, INDIRECT("'" &amp; 'Personalized Bill Menu'!$B$22 &amp; "'!" &amp;"$A$4:$CA$100"), VLOOKUP(VLOOKUP("RIDER RATE 4",'Misc. Data &amp; Mechanisms'!$E$601:$I$631,HLOOKUP('Personalized Bill Menu'!$B$22, 'Misc. Data &amp; Mechanisms'!$E$599:$I$600, 2, FALSE), FALSE), 'Misc. Data &amp; Mechanisms'!$A$599:$C$659, 2, FALSE), FALSE) = "", "", VLOOKUP($A46, INDIRECT("'" &amp; 'Personalized Bill Menu'!$B$22 &amp; "'!" &amp;"$A$4:$CA$100"), VLOOKUP(VLOOKUP("RIDER RATE 4",'Misc. Data &amp; Mechanisms'!$E$601:$I$631,HLOOKUP('Personalized Bill Menu'!$B$22, 'Misc. Data &amp; Mechanisms'!$E$599:$I$600, 2, FALSE), FALSE), 'Misc. Data &amp; Mechanisms'!$A$599:$C$659, 2, FALSE), FALSE)), ""))</f>
        <v/>
      </c>
      <c r="AF46" s="90" t="str">
        <f ca="1">IF($A46="", "",IFERROR(IF(VLOOKUP($A46, INDIRECT("'" &amp; 'Personalized Bill Menu'!$B$22 &amp; "'!" &amp;"$A$4:$CA$100"), VLOOKUP(VLOOKUP("RIDER RATE 5",'Misc. Data &amp; Mechanisms'!$E$601:$I$631,HLOOKUP('Personalized Bill Menu'!$B$22, 'Misc. Data &amp; Mechanisms'!$E$599:$I$600, 2, FALSE), FALSE), 'Misc. Data &amp; Mechanisms'!$A$599:$C$659, 2, FALSE), FALSE) = "", "", VLOOKUP($A46, INDIRECT("'" &amp; 'Personalized Bill Menu'!$B$22 &amp; "'!" &amp;"$A$4:$CA$100"), VLOOKUP(VLOOKUP("RIDER RATE 5",'Misc. Data &amp; Mechanisms'!$E$601:$I$631,HLOOKUP('Personalized Bill Menu'!$B$22, 'Misc. Data &amp; Mechanisms'!$E$599:$I$600, 2, FALSE), FALSE), 'Misc. Data &amp; Mechanisms'!$A$599:$C$659, 2, FALSE), FALSE)), ""))</f>
        <v/>
      </c>
      <c r="AG46" s="90" t="str">
        <f ca="1">IF($A46="", "",IFERROR(IF(VLOOKUP($A46, INDIRECT("'" &amp; 'Personalized Bill Menu'!$B$22 &amp; "'!" &amp;"$A$4:$CA$100"), VLOOKUP(VLOOKUP("RIDER RATE 6",'Misc. Data &amp; Mechanisms'!$E$601:$I$631,HLOOKUP('Personalized Bill Menu'!$B$22, 'Misc. Data &amp; Mechanisms'!$E$599:$I$600, 2, FALSE), FALSE), 'Misc. Data &amp; Mechanisms'!$A$599:$C$659, 2, FALSE), FALSE) = "", "", VLOOKUP($A46, INDIRECT("'" &amp; 'Personalized Bill Menu'!$B$22 &amp; "'!" &amp;"$A$4:$CA$100"), VLOOKUP(VLOOKUP("RIDER RATE 6",'Misc. Data &amp; Mechanisms'!$E$601:$I$631,HLOOKUP('Personalized Bill Menu'!$B$22, 'Misc. Data &amp; Mechanisms'!$E$599:$I$600, 2, FALSE), FALSE), 'Misc. Data &amp; Mechanisms'!$A$599:$C$659, 2, FALSE), FALSE)), ""))</f>
        <v/>
      </c>
      <c r="AH46" s="90" t="str">
        <f ca="1">IF($A46="", "",IFERROR(IF(VLOOKUP($A46, INDIRECT("'" &amp; 'Personalized Bill Menu'!$B$22 &amp; "'!" &amp;"$A$4:$CA$100"), VLOOKUP(VLOOKUP("RIDER RATE 7",'Misc. Data &amp; Mechanisms'!$E$601:$I$631,HLOOKUP('Personalized Bill Menu'!$B$22, 'Misc. Data &amp; Mechanisms'!$E$599:$I$600, 2, FALSE), FALSE), 'Misc. Data &amp; Mechanisms'!$A$599:$C$659, 2, FALSE), FALSE) = "", "", VLOOKUP($A46, INDIRECT("'" &amp; 'Personalized Bill Menu'!$B$22 &amp; "'!" &amp;"$A$4:$CA$100"), VLOOKUP(VLOOKUP("RIDER RATE 7",'Misc. Data &amp; Mechanisms'!$E$601:$I$631,HLOOKUP('Personalized Bill Menu'!$B$22, 'Misc. Data &amp; Mechanisms'!$E$599:$I$600, 2, FALSE), FALSE), 'Misc. Data &amp; Mechanisms'!$A$599:$C$659, 2, FALSE), FALSE)), ""))</f>
        <v/>
      </c>
      <c r="AI46" s="72">
        <f t="shared" ca="1" si="14"/>
        <v>-3.0152636847217353</v>
      </c>
      <c r="AJ46" s="72">
        <f t="shared" ca="1" si="15"/>
        <v>6.2849168614547324</v>
      </c>
      <c r="AK46" s="72">
        <f ca="1">IF($A46="", "", IFERROR(IF($AD$6="%",IF('Personalized Bill Menu'!$B$22="ENMAX", $AD46*$I46, IF(AND($AD46="", 'Personalized Bill Menu'!$B$22="FORTIS"),($AE46/100)*$C46,$AD46*$H46)),($AD46/100)*$C46), 0))</f>
        <v>0</v>
      </c>
      <c r="AL46" s="72">
        <f ca="1">IF($A46="", "", IFERROR(IF('Personalized Bill Menu'!$B$22="ENMAX",$AE46*$B46,IF($AE$6="%",$AE46*($H46+$I46+$J46), IF('Personalized Bill Menu'!$B$22="FORTIS",$AF46*$I46,($AE46/100)*$C46))), 0))</f>
        <v>0</v>
      </c>
      <c r="AM46" s="72" t="str">
        <f>IF($A46="", "", IFERROR(IF('Personalized Bill Menu'!$B$22="EPCOR",($AF46/100)*$C46, IF('Personalized Bill Menu'!$B$22="ATCO",$AF46*1,"")), 0))</f>
        <v/>
      </c>
      <c r="AN46" s="72" t="str">
        <f>IF($A46="", "", IFERROR(IF('Personalized Bill Menu'!$B$22="ATCO",$AG46*$B46,""), 0))</f>
        <v/>
      </c>
      <c r="AO46" s="70" t="str">
        <f>IF($A46="", "", IFERROR(IF('Personalized Bill Menu'!$B$22="ATCO",$AH46*$B46,""), 0))</f>
        <v/>
      </c>
      <c r="AP46" s="81">
        <f>IF('Personalized Bill Menu'!$B$34&lt;&gt;"Natural Gas", 'Personalized Bill Menu'!$K43, "")</f>
        <v>0.2291</v>
      </c>
      <c r="AQ46" s="72">
        <f t="shared" si="16"/>
        <v>6.8730000000000002</v>
      </c>
      <c r="AR46" s="91">
        <f ca="1">IF($A46="", "",IF(VLOOKUP($A46, INDIRECT("'" &amp; 'Personalized Bill Menu'!$B$22 &amp; "'!" &amp;"$A$4:$CA$100"), VLOOKUP(VLOOKUP(AR$5,'Misc. Data &amp; Mechanisms'!$E$601:$I$631,HLOOKUP('Personalized Bill Menu'!$B$22, 'Misc. Data &amp; Mechanisms'!$E$599:$I$600, 2, FALSE), FALSE), 'Misc. Data &amp; Mechanisms'!$A$599:$C$659, 2, FALSE), FALSE) = "", "", VLOOKUP($A46, INDIRECT("'" &amp; 'Personalized Bill Menu'!$B$22 &amp; "'!" &amp;"$A$4:$CA$100"), VLOOKUP(VLOOKUP(AR$5,'Misc. Data &amp; Mechanisms'!$E$601:$I$631,HLOOKUP('Personalized Bill Menu'!$B$22, 'Misc. Data &amp; Mechanisms'!$E$599:$I$600, 2, FALSE), FALSE), 'Misc. Data &amp; Mechanisms'!$A$599:$C$659, 2, FALSE), FALSE)))</f>
        <v>0.05</v>
      </c>
      <c r="AS46" s="2"/>
      <c r="AT46" s="2"/>
      <c r="AU46" s="2"/>
      <c r="AV46" s="2"/>
      <c r="AW46" s="2"/>
    </row>
    <row r="47" spans="1:49" x14ac:dyDescent="0.35">
      <c r="A47" s="83">
        <f>'Personalized Bill Menu'!$H44</f>
        <v>42125</v>
      </c>
      <c r="B47" s="84">
        <f t="shared" si="0"/>
        <v>31</v>
      </c>
      <c r="C47" s="85">
        <f>IF('Personalized Bill Menu'!$B$34&lt;&gt;"Natural Gas", 'Personalized Bill Menu'!$I44, "")</f>
        <v>527.54718087523224</v>
      </c>
      <c r="D47" s="66">
        <f t="shared" ca="1" si="17"/>
        <v>13.635099793489475</v>
      </c>
      <c r="E47" s="66">
        <f ca="1">IFERROR((1+$AR47)*(IF('Personalized Bill Menu'!$B$22="ENMAX", ((1+IFERROR($X47, 0))*($N47+$P47+$R47+$AB47+$AC47))+((1+IF($X47="", 0,$X47))*(IF($AD47="", 0,$AD47)*$R47)), IF('Personalized Bill Menu'!$B$22="EPCOR", ($N47+$P47+$R47+$X47+SUM($AB47:$AE47)), IF('Personalized Bill Menu'!$B$22="ATCO",($N47+((1+IF($AE47="", 0,$AE47))*(1+$X47+$Y47)*($P47+$R47))+SUM($AB47:$AD47)),IF($AD47="",$N47+((1+$X47+$Y47)*($P47+$R47))+$AB47+$AE47+(IF($AC47="", 0, $AC47)*$P47)+($R47*IF($AF47="", 0, $AF47)),$N47+((1+$X47+$Y47)*($P47+$R47))+$AB47+($AD47*$P47)+(IF($AC47="", 0, $AC47)*$P47)+($R47*IF($AF47="", 0, $AF47))))))), "")</f>
        <v>9.2901904304999974</v>
      </c>
      <c r="F47" s="1469">
        <f t="shared" ca="1" si="1"/>
        <v>71.931584570078343</v>
      </c>
      <c r="G47" s="66">
        <f t="shared" si="2"/>
        <v>23.820865405240237</v>
      </c>
      <c r="H47" s="66">
        <f t="shared" ca="1" si="3"/>
        <v>10.267650781374645</v>
      </c>
      <c r="I47" s="66">
        <f t="shared" ca="1" si="4"/>
        <v>17.948256721066066</v>
      </c>
      <c r="J47" s="66">
        <f t="shared" ca="1" si="5"/>
        <v>6.1398644588466214</v>
      </c>
      <c r="K47" s="66">
        <f t="shared" ca="1" si="6"/>
        <v>3.2275336525946701</v>
      </c>
      <c r="L47" s="66">
        <f t="shared" si="7"/>
        <v>7.1021000000000001</v>
      </c>
      <c r="M47" s="68">
        <f t="shared" ca="1" si="8"/>
        <v>3.4253135509561119</v>
      </c>
      <c r="N47" s="69">
        <f>IF('Personalized Bill Menu'!$B$34&lt;&gt;"Natural Gas", 'Personalized Bill Menu'!$J44, "")</f>
        <v>4.5153999999999996</v>
      </c>
      <c r="O47" s="70">
        <f t="shared" si="9"/>
        <v>23.820865405240237</v>
      </c>
      <c r="P47" s="71">
        <f ca="1">IF($A47="", "",IFERROR(IF(VLOOKUP($A47, INDIRECT("'" &amp; 'Personalized Bill Menu'!$B$22 &amp; "'!" &amp;"$A$4:$CA$100"), VLOOKUP(VLOOKUP(P$5,'Misc. Data &amp; Mechanisms'!$E$601:$I$631,HLOOKUP('Personalized Bill Menu'!$B$22, 'Misc. Data &amp; Mechanisms'!$E$599:$I$600, 2, FALSE), FALSE), 'Misc. Data &amp; Mechanisms'!$A$599:$C$659, 2, FALSE), FALSE) = "", "", VLOOKUP($A47, INDIRECT("'" &amp; 'Personalized Bill Menu'!$B$22 &amp; "'!" &amp;"$A$4:$CA$100"), VLOOKUP(VLOOKUP(P$5,'Misc. Data &amp; Mechanisms'!$E$601:$I$631,HLOOKUP('Personalized Bill Menu'!$B$22, 'Misc. Data &amp; Mechanisms'!$E$599:$I$600, 2, FALSE), FALSE), 'Misc. Data &amp; Mechanisms'!$A$599:$C$659, 2, FALSE), FALSE)), ""))</f>
        <v>1.9462999999999999</v>
      </c>
      <c r="Q47" s="72">
        <f t="shared" ca="1" si="10"/>
        <v>10.267650781374645</v>
      </c>
      <c r="R47" s="87">
        <f ca="1">IF($A47="", "",IFERROR(IF(VLOOKUP($A47, INDIRECT("'" &amp; 'Personalized Bill Menu'!$B$22 &amp; "'!" &amp;"$A$4:$CA$100"), VLOOKUP(VLOOKUP(R$5,'Misc. Data &amp; Mechanisms'!$E$601:$I$631,HLOOKUP('Personalized Bill Menu'!$B$22, 'Misc. Data &amp; Mechanisms'!$E$599:$I$600, 2, FALSE), FALSE), 'Misc. Data &amp; Mechanisms'!$A$599:$C$659, 2, FALSE), FALSE) = "", "", VLOOKUP($A47, INDIRECT("'" &amp; 'Personalized Bill Menu'!$B$22 &amp; "'!" &amp;"$A$4:$CA$100"), VLOOKUP(VLOOKUP(R$5,'Misc. Data &amp; Mechanisms'!$E$601:$I$631,HLOOKUP('Personalized Bill Menu'!$B$22, 'Misc. Data &amp; Mechanisms'!$E$599:$I$600, 2, FALSE), FALSE), 'Misc. Data &amp; Mechanisms'!$A$599:$C$659, 2, FALSE), FALSE)), ""))</f>
        <v>0.88959999999999995</v>
      </c>
      <c r="S47" s="88">
        <f ca="1">IF($A47="", "",IFERROR(IF(VLOOKUP($A47, INDIRECT("'" &amp; 'Personalized Bill Menu'!$B$22 &amp; "'!" &amp;"$A$4:$CA$100"), VLOOKUP(VLOOKUP(S$5,'Misc. Data &amp; Mechanisms'!$E$601:$I$631,HLOOKUP('Personalized Bill Menu'!$B$22, 'Misc. Data &amp; Mechanisms'!$E$599:$I$600, 2, FALSE), FALSE), 'Misc. Data &amp; Mechanisms'!$A$599:$C$659, 2, FALSE), FALSE) = "", "", VLOOKUP($A47, INDIRECT("'" &amp; 'Personalized Bill Menu'!$B$22 &amp; "'!" &amp;"$A$4:$CA$100"), VLOOKUP(VLOOKUP(S$5,'Misc. Data &amp; Mechanisms'!$E$601:$I$631,HLOOKUP('Personalized Bill Menu'!$B$22, 'Misc. Data &amp; Mechanisms'!$E$599:$I$600, 2, FALSE), FALSE), 'Misc. Data &amp; Mechanisms'!$A$599:$C$659, 2, FALSE), FALSE)), ""))</f>
        <v>0.42758699999999999</v>
      </c>
      <c r="T47" s="81" t="str">
        <f ca="1">IF($A47="", "",IFERROR(IF(VLOOKUP($A47, INDIRECT("'" &amp; 'Personalized Bill Menu'!$B$22 &amp; "'!" &amp;"$A$4:$CA$100"), VLOOKUP(VLOOKUP(T$5,'Misc. Data &amp; Mechanisms'!$E$601:$I$631,HLOOKUP('Personalized Bill Menu'!$B$22, 'Misc. Data &amp; Mechanisms'!$E$599:$I$600, 2, FALSE), FALSE), 'Misc. Data &amp; Mechanisms'!$A$599:$C$659, 2, FALSE), FALSE) = "", "", VLOOKUP($A47, INDIRECT("'" &amp; 'Personalized Bill Menu'!$B$22 &amp; "'!" &amp;"$A$4:$CA$100"), VLOOKUP(VLOOKUP(T$5,'Misc. Data &amp; Mechanisms'!$E$601:$I$631,HLOOKUP('Personalized Bill Menu'!$B$22, 'Misc. Data &amp; Mechanisms'!$E$599:$I$600, 2, FALSE), FALSE), 'Misc. Data &amp; Mechanisms'!$A$599:$C$659, 2, FALSE), FALSE)), ""))</f>
        <v/>
      </c>
      <c r="U47" s="72">
        <f t="shared" ca="1" si="11"/>
        <v>4.6930597210660654</v>
      </c>
      <c r="V47" s="72">
        <f t="shared" ca="1" si="12"/>
        <v>13.255196999999999</v>
      </c>
      <c r="W47" s="70" t="str">
        <f t="shared" si="13"/>
        <v/>
      </c>
      <c r="X47" s="78">
        <f>IFERROR(IF(VLOOKUP($A47,'Misc. Data &amp; Mechanisms'!$A$63:$DY$152,HLOOKUP('Personalized Bill Menu'!$B$21&amp;"_"&amp;'Personalized Bill Menu'!$B$22&amp;"_Elec_Y_1",'Misc. Data &amp; Mechanisms'!$A$55:$DY$62,8,FALSE), FALSE)="", "", VLOOKUP($A47,'Misc. Data &amp; Mechanisms'!$A$63:$DY$152,HLOOKUP('Personalized Bill Menu'!$B$21&amp;"_"&amp;'Personalized Bill Menu'!$B$22&amp;"_Elec_Y_1",'Misc. Data &amp; Mechanisms'!$A$55:$DY$62,8,FALSE), FALSE)), "")</f>
        <v>0.1111</v>
      </c>
      <c r="Y47" s="78" t="str">
        <f>IFERROR(IF(VLOOKUP($A47,'Misc. Data &amp; Mechanisms'!$A$63:$DY$152,HLOOKUP('Personalized Bill Menu'!$B$21&amp;"_"&amp;'Personalized Bill Menu'!$B$22&amp;"_Elec_Y_2",'Misc. Data &amp; Mechanisms'!$A$55:$DY$62,8,FALSE), FALSE)="", "", VLOOKUP($A47,'Misc. Data &amp; Mechanisms'!$A$63:$DY$152,HLOOKUP('Personalized Bill Menu'!$B$21&amp;"_"&amp;'Personalized Bill Menu'!$B$22&amp;"_Elec_Y_2",'Misc. Data &amp; Mechanisms'!$A$55:$DY$62,8,FALSE), FALSE)), "")</f>
        <v/>
      </c>
      <c r="Z47" s="72">
        <f ca="1">IF($A47="", "",IFERROR(IF(OR('Personalized Bill Menu'!$B$22="FORTIS", 'Personalized Bill Menu'!$B$22="ATCO"), $X47*($H47+$I47), IF('Personalized Bill Menu'!$B$22="ENMAX",$X47*($H47+$I47+$K47),($X47/100)*$C47)), 0))</f>
        <v>3.4933663123244307</v>
      </c>
      <c r="AA47" s="72">
        <f>IF($A47="", "", IFERROR(IF(OR('Personalized Bill Menu'!$B$22="FORTIS", 'Personalized Bill Menu'!$B$22="ATCO"), $Y47*($H47+$I47), IF('Personalized Bill Menu'!$B$22="ENMAX",$X47*$G47,"")), 0))</f>
        <v>2.6464981465221906</v>
      </c>
      <c r="AB47" s="89">
        <f ca="1">IF($A47="", "",IFERROR(IF(VLOOKUP($A47, INDIRECT("'" &amp; 'Personalized Bill Menu'!$B$22 &amp; "'!" &amp;"$A$4:$CA$100"), VLOOKUP(VLOOKUP("RIDER RATE 1",'Misc. Data &amp; Mechanisms'!$E$601:$I$631,HLOOKUP('Personalized Bill Menu'!$B$22, 'Misc. Data &amp; Mechanisms'!$E$599:$I$600, 2, FALSE), FALSE), 'Misc. Data &amp; Mechanisms'!$A$599:$C$659, 2, FALSE), FALSE) = "", "", VLOOKUP($A47, INDIRECT("'" &amp; 'Personalized Bill Menu'!$B$22 &amp; "'!" &amp;"$A$4:$CA$100"), VLOOKUP(VLOOKUP("RIDER RATE 1",'Misc. Data &amp; Mechanisms'!$E$601:$I$631,HLOOKUP('Personalized Bill Menu'!$B$22, 'Misc. Data &amp; Mechanisms'!$E$599:$I$600, 2, FALSE), FALSE), 'Misc. Data &amp; Mechanisms'!$A$599:$C$659, 2, FALSE), FALSE)), ""))</f>
        <v>-0.56420000000000003</v>
      </c>
      <c r="AC47" s="69">
        <f ca="1">IF($A47="", "",IFERROR(IF(VLOOKUP($A47, INDIRECT("'" &amp; 'Personalized Bill Menu'!$B$22 &amp; "'!" &amp;"$A$4:$CA$100"), VLOOKUP(VLOOKUP("RIDER RATE 2",'Misc. Data &amp; Mechanisms'!$E$601:$I$631,HLOOKUP('Personalized Bill Menu'!$B$22, 'Misc. Data &amp; Mechanisms'!$E$599:$I$600, 2, FALSE), FALSE), 'Misc. Data &amp; Mechanisms'!$A$599:$C$659, 2, FALSE), FALSE) = "", "", VLOOKUP($A47, INDIRECT("'" &amp; 'Personalized Bill Menu'!$B$22 &amp; "'!" &amp;"$A$4:$CA$100"), VLOOKUP(VLOOKUP("RIDER RATE 2",'Misc. Data &amp; Mechanisms'!$E$601:$I$631,HLOOKUP('Personalized Bill Menu'!$B$22, 'Misc. Data &amp; Mechanisms'!$E$599:$I$600, 2, FALSE), FALSE), 'Misc. Data &amp; Mechanisms'!$A$599:$C$659, 2, FALSE), FALSE)), ""))</f>
        <v>1.1759999999999999</v>
      </c>
      <c r="AD47" s="69" t="str">
        <f ca="1">IF($A47="", "",IFERROR(IF(VLOOKUP($A47, INDIRECT("'" &amp; 'Personalized Bill Menu'!$B$22 &amp; "'!" &amp;"$A$4:$CA$100"), VLOOKUP(VLOOKUP("RIDER RATE 3",'Misc. Data &amp; Mechanisms'!$E$601:$I$631,HLOOKUP('Personalized Bill Menu'!$B$22, 'Misc. Data &amp; Mechanisms'!$E$599:$I$600, 2, FALSE), FALSE), 'Misc. Data &amp; Mechanisms'!$A$599:$C$659, 2, FALSE), FALSE) = "", "", VLOOKUP($A47, INDIRECT("'" &amp; 'Personalized Bill Menu'!$B$22 &amp; "'!" &amp;"$A$4:$CA$100"), VLOOKUP(VLOOKUP("RIDER RATE 3",'Misc. Data &amp; Mechanisms'!$E$601:$I$631,HLOOKUP('Personalized Bill Menu'!$B$22, 'Misc. Data &amp; Mechanisms'!$E$599:$I$600, 2, FALSE), FALSE), 'Misc. Data &amp; Mechanisms'!$A$599:$C$659, 2, FALSE), FALSE)), ""))</f>
        <v/>
      </c>
      <c r="AE47" s="69" t="str">
        <f ca="1">IF($A47="", "",IFERROR(IF(VLOOKUP($A47, INDIRECT("'" &amp; 'Personalized Bill Menu'!$B$22 &amp; "'!" &amp;"$A$4:$CA$100"), VLOOKUP(VLOOKUP("RIDER RATE 4",'Misc. Data &amp; Mechanisms'!$E$601:$I$631,HLOOKUP('Personalized Bill Menu'!$B$22, 'Misc. Data &amp; Mechanisms'!$E$599:$I$600, 2, FALSE), FALSE), 'Misc. Data &amp; Mechanisms'!$A$599:$C$659, 2, FALSE), FALSE) = "", "", VLOOKUP($A47, INDIRECT("'" &amp; 'Personalized Bill Menu'!$B$22 &amp; "'!" &amp;"$A$4:$CA$100"), VLOOKUP(VLOOKUP("RIDER RATE 4",'Misc. Data &amp; Mechanisms'!$E$601:$I$631,HLOOKUP('Personalized Bill Menu'!$B$22, 'Misc. Data &amp; Mechanisms'!$E$599:$I$600, 2, FALSE), FALSE), 'Misc. Data &amp; Mechanisms'!$A$599:$C$659, 2, FALSE), FALSE)), ""))</f>
        <v/>
      </c>
      <c r="AF47" s="90" t="str">
        <f ca="1">IF($A47="", "",IFERROR(IF(VLOOKUP($A47, INDIRECT("'" &amp; 'Personalized Bill Menu'!$B$22 &amp; "'!" &amp;"$A$4:$CA$100"), VLOOKUP(VLOOKUP("RIDER RATE 5",'Misc. Data &amp; Mechanisms'!$E$601:$I$631,HLOOKUP('Personalized Bill Menu'!$B$22, 'Misc. Data &amp; Mechanisms'!$E$599:$I$600, 2, FALSE), FALSE), 'Misc. Data &amp; Mechanisms'!$A$599:$C$659, 2, FALSE), FALSE) = "", "", VLOOKUP($A47, INDIRECT("'" &amp; 'Personalized Bill Menu'!$B$22 &amp; "'!" &amp;"$A$4:$CA$100"), VLOOKUP(VLOOKUP("RIDER RATE 5",'Misc. Data &amp; Mechanisms'!$E$601:$I$631,HLOOKUP('Personalized Bill Menu'!$B$22, 'Misc. Data &amp; Mechanisms'!$E$599:$I$600, 2, FALSE), FALSE), 'Misc. Data &amp; Mechanisms'!$A$599:$C$659, 2, FALSE), FALSE)), ""))</f>
        <v/>
      </c>
      <c r="AG47" s="90" t="str">
        <f ca="1">IF($A47="", "",IFERROR(IF(VLOOKUP($A47, INDIRECT("'" &amp; 'Personalized Bill Menu'!$B$22 &amp; "'!" &amp;"$A$4:$CA$100"), VLOOKUP(VLOOKUP("RIDER RATE 6",'Misc. Data &amp; Mechanisms'!$E$601:$I$631,HLOOKUP('Personalized Bill Menu'!$B$22, 'Misc. Data &amp; Mechanisms'!$E$599:$I$600, 2, FALSE), FALSE), 'Misc. Data &amp; Mechanisms'!$A$599:$C$659, 2, FALSE), FALSE) = "", "", VLOOKUP($A47, INDIRECT("'" &amp; 'Personalized Bill Menu'!$B$22 &amp; "'!" &amp;"$A$4:$CA$100"), VLOOKUP(VLOOKUP("RIDER RATE 6",'Misc. Data &amp; Mechanisms'!$E$601:$I$631,HLOOKUP('Personalized Bill Menu'!$B$22, 'Misc. Data &amp; Mechanisms'!$E$599:$I$600, 2, FALSE), FALSE), 'Misc. Data &amp; Mechanisms'!$A$599:$C$659, 2, FALSE), FALSE)), ""))</f>
        <v/>
      </c>
      <c r="AH47" s="90" t="str">
        <f ca="1">IF($A47="", "",IFERROR(IF(VLOOKUP($A47, INDIRECT("'" &amp; 'Personalized Bill Menu'!$B$22 &amp; "'!" &amp;"$A$4:$CA$100"), VLOOKUP(VLOOKUP("RIDER RATE 7",'Misc. Data &amp; Mechanisms'!$E$601:$I$631,HLOOKUP('Personalized Bill Menu'!$B$22, 'Misc. Data &amp; Mechanisms'!$E$599:$I$600, 2, FALSE), FALSE), 'Misc. Data &amp; Mechanisms'!$A$599:$C$659, 2, FALSE), FALSE) = "", "", VLOOKUP($A47, INDIRECT("'" &amp; 'Personalized Bill Menu'!$B$22 &amp; "'!" &amp;"$A$4:$CA$100"), VLOOKUP(VLOOKUP("RIDER RATE 7",'Misc. Data &amp; Mechanisms'!$E$601:$I$631,HLOOKUP('Personalized Bill Menu'!$B$22, 'Misc. Data &amp; Mechanisms'!$E$599:$I$600, 2, FALSE), FALSE), 'Misc. Data &amp; Mechanisms'!$A$599:$C$659, 2, FALSE), FALSE)), ""))</f>
        <v/>
      </c>
      <c r="AI47" s="72">
        <f t="shared" ca="1" si="14"/>
        <v>-2.9764211944980605</v>
      </c>
      <c r="AJ47" s="72">
        <f t="shared" ca="1" si="15"/>
        <v>6.2039548470927306</v>
      </c>
      <c r="AK47" s="72">
        <f ca="1">IF($A47="", "", IFERROR(IF($AD$6="%",IF('Personalized Bill Menu'!$B$22="ENMAX", $AD47*$I47, IF(AND($AD47="", 'Personalized Bill Menu'!$B$22="FORTIS"),($AE47/100)*$C47,$AD47*$H47)),($AD47/100)*$C47), 0))</f>
        <v>0</v>
      </c>
      <c r="AL47" s="72">
        <f ca="1">IF($A47="", "", IFERROR(IF('Personalized Bill Menu'!$B$22="ENMAX",$AE47*$B47,IF($AE$6="%",$AE47*($H47+$I47+$J47), IF('Personalized Bill Menu'!$B$22="FORTIS",$AF47*$I47,($AE47/100)*$C47))), 0))</f>
        <v>0</v>
      </c>
      <c r="AM47" s="72" t="str">
        <f>IF($A47="", "", IFERROR(IF('Personalized Bill Menu'!$B$22="EPCOR",($AF47/100)*$C47, IF('Personalized Bill Menu'!$B$22="ATCO",$AF47*1,"")), 0))</f>
        <v/>
      </c>
      <c r="AN47" s="72" t="str">
        <f>IF($A47="", "", IFERROR(IF('Personalized Bill Menu'!$B$22="ATCO",$AG47*$B47,""), 0))</f>
        <v/>
      </c>
      <c r="AO47" s="70" t="str">
        <f>IF($A47="", "", IFERROR(IF('Personalized Bill Menu'!$B$22="ATCO",$AH47*$B47,""), 0))</f>
        <v/>
      </c>
      <c r="AP47" s="81">
        <f>IF('Personalized Bill Menu'!$B$34&lt;&gt;"Natural Gas", 'Personalized Bill Menu'!$K44, "")</f>
        <v>0.2291</v>
      </c>
      <c r="AQ47" s="72">
        <f t="shared" si="16"/>
        <v>7.1021000000000001</v>
      </c>
      <c r="AR47" s="91">
        <f ca="1">IF($A47="", "",IF(VLOOKUP($A47, INDIRECT("'" &amp; 'Personalized Bill Menu'!$B$22 &amp; "'!" &amp;"$A$4:$CA$100"), VLOOKUP(VLOOKUP(AR$5,'Misc. Data &amp; Mechanisms'!$E$601:$I$631,HLOOKUP('Personalized Bill Menu'!$B$22, 'Misc. Data &amp; Mechanisms'!$E$599:$I$600, 2, FALSE), FALSE), 'Misc. Data &amp; Mechanisms'!$A$599:$C$659, 2, FALSE), FALSE) = "", "", VLOOKUP($A47, INDIRECT("'" &amp; 'Personalized Bill Menu'!$B$22 &amp; "'!" &amp;"$A$4:$CA$100"), VLOOKUP(VLOOKUP(AR$5,'Misc. Data &amp; Mechanisms'!$E$601:$I$631,HLOOKUP('Personalized Bill Menu'!$B$22, 'Misc. Data &amp; Mechanisms'!$E$599:$I$600, 2, FALSE), FALSE), 'Misc. Data &amp; Mechanisms'!$A$599:$C$659, 2, FALSE), FALSE)))</f>
        <v>0.05</v>
      </c>
      <c r="AS47" s="2"/>
      <c r="AT47" s="2"/>
      <c r="AU47" s="2"/>
      <c r="AV47" s="2"/>
      <c r="AW47" s="2"/>
    </row>
    <row r="48" spans="1:49" x14ac:dyDescent="0.35">
      <c r="A48" s="83">
        <f>'Personalized Bill Menu'!$H45</f>
        <v>42156</v>
      </c>
      <c r="B48" s="84">
        <f t="shared" si="0"/>
        <v>30</v>
      </c>
      <c r="C48" s="85">
        <f>IF('Personalized Bill Menu'!$B$34&lt;&gt;"Natural Gas", 'Personalized Bill Menu'!$I45, "")</f>
        <v>534.45054632951371</v>
      </c>
      <c r="D48" s="66">
        <f t="shared" ca="1" si="17"/>
        <v>12.606938035808602</v>
      </c>
      <c r="E48" s="66">
        <f ca="1">IFERROR((1+$AR48)*(IF('Personalized Bill Menu'!$B$22="ENMAX", ((1+IFERROR($X48, 0))*($N48+$P48+$R48+$AB48+$AC48))+((1+IF($X48="", 0,$X48))*(IF($AD48="", 0,$AD48)*$R48)), IF('Personalized Bill Menu'!$B$22="EPCOR", ($N48+$P48+$R48+$X48+SUM($AB48:$AE48)), IF('Personalized Bill Menu'!$B$22="ATCO",($N48+((1+IF($AE48="", 0,$AE48))*(1+$X48+$Y48)*($P48+$R48))+SUM($AB48:$AD48)),IF($AD48="",$N48+((1+$X48+$Y48)*($P48+$R48))+$AB48+$AE48+(IF($AC48="", 0, $AC48)*$P48)+($R48*IF($AF48="", 0, $AF48)),$N48+((1+$X48+$Y48)*($P48+$R48))+$AB48+($AD48*$P48)+(IF($AC48="", 0, $AC48)*$P48)+($R48*IF($AF48="", 0, $AF48))))))), "")</f>
        <v>8.4564987675000012</v>
      </c>
      <c r="F48" s="1469">
        <f t="shared" ca="1" si="1"/>
        <v>67.377849207802342</v>
      </c>
      <c r="G48" s="66">
        <f t="shared" si="2"/>
        <v>20.313396364892156</v>
      </c>
      <c r="H48" s="66">
        <f t="shared" ca="1" si="3"/>
        <v>10.402010983211325</v>
      </c>
      <c r="I48" s="66">
        <f t="shared" ca="1" si="4"/>
        <v>17.582082060147354</v>
      </c>
      <c r="J48" s="66">
        <f t="shared" ca="1" si="5"/>
        <v>5.7291223472121926</v>
      </c>
      <c r="K48" s="66">
        <f t="shared" ca="1" si="6"/>
        <v>3.2697684424439641</v>
      </c>
      <c r="L48" s="66">
        <f t="shared" si="7"/>
        <v>6.8730000000000002</v>
      </c>
      <c r="M48" s="68">
        <f t="shared" ca="1" si="8"/>
        <v>3.2084690098953494</v>
      </c>
      <c r="N48" s="69">
        <f>IF('Personalized Bill Menu'!$B$34&lt;&gt;"Natural Gas", 'Personalized Bill Menu'!$J45, "")</f>
        <v>3.8008000000000002</v>
      </c>
      <c r="O48" s="70">
        <f t="shared" si="9"/>
        <v>20.313396364892156</v>
      </c>
      <c r="P48" s="71">
        <f ca="1">IF($A48="", "",IFERROR(IF(VLOOKUP($A48, INDIRECT("'" &amp; 'Personalized Bill Menu'!$B$22 &amp; "'!" &amp;"$A$4:$CA$100"), VLOOKUP(VLOOKUP(P$5,'Misc. Data &amp; Mechanisms'!$E$601:$I$631,HLOOKUP('Personalized Bill Menu'!$B$22, 'Misc. Data &amp; Mechanisms'!$E$599:$I$600, 2, FALSE), FALSE), 'Misc. Data &amp; Mechanisms'!$A$599:$C$659, 2, FALSE), FALSE) = "", "", VLOOKUP($A48, INDIRECT("'" &amp; 'Personalized Bill Menu'!$B$22 &amp; "'!" &amp;"$A$4:$CA$100"), VLOOKUP(VLOOKUP(P$5,'Misc. Data &amp; Mechanisms'!$E$601:$I$631,HLOOKUP('Personalized Bill Menu'!$B$22, 'Misc. Data &amp; Mechanisms'!$E$599:$I$600, 2, FALSE), FALSE), 'Misc. Data &amp; Mechanisms'!$A$599:$C$659, 2, FALSE), FALSE)), ""))</f>
        <v>1.9462999999999999</v>
      </c>
      <c r="Q48" s="72">
        <f t="shared" ca="1" si="10"/>
        <v>10.402010983211325</v>
      </c>
      <c r="R48" s="87">
        <f ca="1">IF($A48="", "",IFERROR(IF(VLOOKUP($A48, INDIRECT("'" &amp; 'Personalized Bill Menu'!$B$22 &amp; "'!" &amp;"$A$4:$CA$100"), VLOOKUP(VLOOKUP(R$5,'Misc. Data &amp; Mechanisms'!$E$601:$I$631,HLOOKUP('Personalized Bill Menu'!$B$22, 'Misc. Data &amp; Mechanisms'!$E$599:$I$600, 2, FALSE), FALSE), 'Misc. Data &amp; Mechanisms'!$A$599:$C$659, 2, FALSE), FALSE) = "", "", VLOOKUP($A48, INDIRECT("'" &amp; 'Personalized Bill Menu'!$B$22 &amp; "'!" &amp;"$A$4:$CA$100"), VLOOKUP(VLOOKUP(R$5,'Misc. Data &amp; Mechanisms'!$E$601:$I$631,HLOOKUP('Personalized Bill Menu'!$B$22, 'Misc. Data &amp; Mechanisms'!$E$599:$I$600, 2, FALSE), FALSE), 'Misc. Data &amp; Mechanisms'!$A$599:$C$659, 2, FALSE), FALSE)), ""))</f>
        <v>0.88959999999999995</v>
      </c>
      <c r="S48" s="88">
        <f ca="1">IF($A48="", "",IFERROR(IF(VLOOKUP($A48, INDIRECT("'" &amp; 'Personalized Bill Menu'!$B$22 &amp; "'!" &amp;"$A$4:$CA$100"), VLOOKUP(VLOOKUP(S$5,'Misc. Data &amp; Mechanisms'!$E$601:$I$631,HLOOKUP('Personalized Bill Menu'!$B$22, 'Misc. Data &amp; Mechanisms'!$E$599:$I$600, 2, FALSE), FALSE), 'Misc. Data &amp; Mechanisms'!$A$599:$C$659, 2, FALSE), FALSE) = "", "", VLOOKUP($A48, INDIRECT("'" &amp; 'Personalized Bill Menu'!$B$22 &amp; "'!" &amp;"$A$4:$CA$100"), VLOOKUP(VLOOKUP(S$5,'Misc. Data &amp; Mechanisms'!$E$601:$I$631,HLOOKUP('Personalized Bill Menu'!$B$22, 'Misc. Data &amp; Mechanisms'!$E$599:$I$600, 2, FALSE), FALSE), 'Misc. Data &amp; Mechanisms'!$A$599:$C$659, 2, FALSE), FALSE)), ""))</f>
        <v>0.42758699999999999</v>
      </c>
      <c r="T48" s="81" t="str">
        <f ca="1">IF($A48="", "",IFERROR(IF(VLOOKUP($A48, INDIRECT("'" &amp; 'Personalized Bill Menu'!$B$22 &amp; "'!" &amp;"$A$4:$CA$100"), VLOOKUP(VLOOKUP(T$5,'Misc. Data &amp; Mechanisms'!$E$601:$I$631,HLOOKUP('Personalized Bill Menu'!$B$22, 'Misc. Data &amp; Mechanisms'!$E$599:$I$600, 2, FALSE), FALSE), 'Misc. Data &amp; Mechanisms'!$A$599:$C$659, 2, FALSE), FALSE) = "", "", VLOOKUP($A48, INDIRECT("'" &amp; 'Personalized Bill Menu'!$B$22 &amp; "'!" &amp;"$A$4:$CA$100"), VLOOKUP(VLOOKUP(T$5,'Misc. Data &amp; Mechanisms'!$E$601:$I$631,HLOOKUP('Personalized Bill Menu'!$B$22, 'Misc. Data &amp; Mechanisms'!$E$599:$I$600, 2, FALSE), FALSE), 'Misc. Data &amp; Mechanisms'!$A$599:$C$659, 2, FALSE), FALSE)), ""))</f>
        <v/>
      </c>
      <c r="U48" s="72">
        <f t="shared" ca="1" si="11"/>
        <v>4.7544720601473536</v>
      </c>
      <c r="V48" s="72">
        <f t="shared" ca="1" si="12"/>
        <v>12.82761</v>
      </c>
      <c r="W48" s="70" t="str">
        <f t="shared" si="13"/>
        <v/>
      </c>
      <c r="X48" s="78">
        <f>IFERROR(IF(VLOOKUP($A48,'Misc. Data &amp; Mechanisms'!$A$63:$DY$152,HLOOKUP('Personalized Bill Menu'!$B$21&amp;"_"&amp;'Personalized Bill Menu'!$B$22&amp;"_Elec_Y_1",'Misc. Data &amp; Mechanisms'!$A$55:$DY$62,8,FALSE), FALSE)="", "", VLOOKUP($A48,'Misc. Data &amp; Mechanisms'!$A$63:$DY$152,HLOOKUP('Personalized Bill Menu'!$B$21&amp;"_"&amp;'Personalized Bill Menu'!$B$22&amp;"_Elec_Y_1",'Misc. Data &amp; Mechanisms'!$A$55:$DY$62,8,FALSE), FALSE)), "")</f>
        <v>0.1111</v>
      </c>
      <c r="Y48" s="78" t="str">
        <f>IFERROR(IF(VLOOKUP($A48,'Misc. Data &amp; Mechanisms'!$A$63:$DY$152,HLOOKUP('Personalized Bill Menu'!$B$21&amp;"_"&amp;'Personalized Bill Menu'!$B$22&amp;"_Elec_Y_2",'Misc. Data &amp; Mechanisms'!$A$55:$DY$62,8,FALSE), FALSE)="", "", VLOOKUP($A48,'Misc. Data &amp; Mechanisms'!$A$63:$DY$152,HLOOKUP('Personalized Bill Menu'!$B$21&amp;"_"&amp;'Personalized Bill Menu'!$B$22&amp;"_Elec_Y_2",'Misc. Data &amp; Mechanisms'!$A$55:$DY$62,8,FALSE), FALSE)), "")</f>
        <v/>
      </c>
      <c r="Z48" s="72">
        <f ca="1">IF($A48="", "",IFERROR(IF(OR('Personalized Bill Menu'!$B$22="FORTIS", 'Personalized Bill Menu'!$B$22="ATCO"), $X48*($H48+$I48), IF('Personalized Bill Menu'!$B$22="ENMAX",$X48*($H48+$I48+$K48),($X48/100)*$C48)), 0))</f>
        <v>3.4723040110726737</v>
      </c>
      <c r="AA48" s="72">
        <f>IF($A48="", "", IFERROR(IF(OR('Personalized Bill Menu'!$B$22="FORTIS", 'Personalized Bill Menu'!$B$22="ATCO"), $Y48*($H48+$I48), IF('Personalized Bill Menu'!$B$22="ENMAX",$X48*$G48,"")), 0))</f>
        <v>2.2568183361395189</v>
      </c>
      <c r="AB48" s="89">
        <f ca="1">IF($A48="", "",IFERROR(IF(VLOOKUP($A48, INDIRECT("'" &amp; 'Personalized Bill Menu'!$B$22 &amp; "'!" &amp;"$A$4:$CA$100"), VLOOKUP(VLOOKUP("RIDER RATE 1",'Misc. Data &amp; Mechanisms'!$E$601:$I$631,HLOOKUP('Personalized Bill Menu'!$B$22, 'Misc. Data &amp; Mechanisms'!$E$599:$I$600, 2, FALSE), FALSE), 'Misc. Data &amp; Mechanisms'!$A$599:$C$659, 2, FALSE), FALSE) = "", "", VLOOKUP($A48, INDIRECT("'" &amp; 'Personalized Bill Menu'!$B$22 &amp; "'!" &amp;"$A$4:$CA$100"), VLOOKUP(VLOOKUP("RIDER RATE 1",'Misc. Data &amp; Mechanisms'!$E$601:$I$631,HLOOKUP('Personalized Bill Menu'!$B$22, 'Misc. Data &amp; Mechanisms'!$E$599:$I$600, 2, FALSE), FALSE), 'Misc. Data &amp; Mechanisms'!$A$599:$C$659, 2, FALSE), FALSE)), ""))</f>
        <v>-0.56420000000000003</v>
      </c>
      <c r="AC48" s="69">
        <f ca="1">IF($A48="", "",IFERROR(IF(VLOOKUP($A48, INDIRECT("'" &amp; 'Personalized Bill Menu'!$B$22 &amp; "'!" &amp;"$A$4:$CA$100"), VLOOKUP(VLOOKUP("RIDER RATE 2",'Misc. Data &amp; Mechanisms'!$E$601:$I$631,HLOOKUP('Personalized Bill Menu'!$B$22, 'Misc. Data &amp; Mechanisms'!$E$599:$I$600, 2, FALSE), FALSE), 'Misc. Data &amp; Mechanisms'!$A$599:$C$659, 2, FALSE), FALSE) = "", "", VLOOKUP($A48, INDIRECT("'" &amp; 'Personalized Bill Menu'!$B$22 &amp; "'!" &amp;"$A$4:$CA$100"), VLOOKUP(VLOOKUP("RIDER RATE 2",'Misc. Data &amp; Mechanisms'!$E$601:$I$631,HLOOKUP('Personalized Bill Menu'!$B$22, 'Misc. Data &amp; Mechanisms'!$E$599:$I$600, 2, FALSE), FALSE), 'Misc. Data &amp; Mechanisms'!$A$599:$C$659, 2, FALSE), FALSE)), ""))</f>
        <v>1.1759999999999999</v>
      </c>
      <c r="AD48" s="69" t="str">
        <f ca="1">IF($A48="", "",IFERROR(IF(VLOOKUP($A48, INDIRECT("'" &amp; 'Personalized Bill Menu'!$B$22 &amp; "'!" &amp;"$A$4:$CA$100"), VLOOKUP(VLOOKUP("RIDER RATE 3",'Misc. Data &amp; Mechanisms'!$E$601:$I$631,HLOOKUP('Personalized Bill Menu'!$B$22, 'Misc. Data &amp; Mechanisms'!$E$599:$I$600, 2, FALSE), FALSE), 'Misc. Data &amp; Mechanisms'!$A$599:$C$659, 2, FALSE), FALSE) = "", "", VLOOKUP($A48, INDIRECT("'" &amp; 'Personalized Bill Menu'!$B$22 &amp; "'!" &amp;"$A$4:$CA$100"), VLOOKUP(VLOOKUP("RIDER RATE 3",'Misc. Data &amp; Mechanisms'!$E$601:$I$631,HLOOKUP('Personalized Bill Menu'!$B$22, 'Misc. Data &amp; Mechanisms'!$E$599:$I$600, 2, FALSE), FALSE), 'Misc. Data &amp; Mechanisms'!$A$599:$C$659, 2, FALSE), FALSE)), ""))</f>
        <v/>
      </c>
      <c r="AE48" s="69" t="str">
        <f ca="1">IF($A48="", "",IFERROR(IF(VLOOKUP($A48, INDIRECT("'" &amp; 'Personalized Bill Menu'!$B$22 &amp; "'!" &amp;"$A$4:$CA$100"), VLOOKUP(VLOOKUP("RIDER RATE 4",'Misc. Data &amp; Mechanisms'!$E$601:$I$631,HLOOKUP('Personalized Bill Menu'!$B$22, 'Misc. Data &amp; Mechanisms'!$E$599:$I$600, 2, FALSE), FALSE), 'Misc. Data &amp; Mechanisms'!$A$599:$C$659, 2, FALSE), FALSE) = "", "", VLOOKUP($A48, INDIRECT("'" &amp; 'Personalized Bill Menu'!$B$22 &amp; "'!" &amp;"$A$4:$CA$100"), VLOOKUP(VLOOKUP("RIDER RATE 4",'Misc. Data &amp; Mechanisms'!$E$601:$I$631,HLOOKUP('Personalized Bill Menu'!$B$22, 'Misc. Data &amp; Mechanisms'!$E$599:$I$600, 2, FALSE), FALSE), 'Misc. Data &amp; Mechanisms'!$A$599:$C$659, 2, FALSE), FALSE)), ""))</f>
        <v/>
      </c>
      <c r="AF48" s="90" t="str">
        <f ca="1">IF($A48="", "",IFERROR(IF(VLOOKUP($A48, INDIRECT("'" &amp; 'Personalized Bill Menu'!$B$22 &amp; "'!" &amp;"$A$4:$CA$100"), VLOOKUP(VLOOKUP("RIDER RATE 5",'Misc. Data &amp; Mechanisms'!$E$601:$I$631,HLOOKUP('Personalized Bill Menu'!$B$22, 'Misc. Data &amp; Mechanisms'!$E$599:$I$600, 2, FALSE), FALSE), 'Misc. Data &amp; Mechanisms'!$A$599:$C$659, 2, FALSE), FALSE) = "", "", VLOOKUP($A48, INDIRECT("'" &amp; 'Personalized Bill Menu'!$B$22 &amp; "'!" &amp;"$A$4:$CA$100"), VLOOKUP(VLOOKUP("RIDER RATE 5",'Misc. Data &amp; Mechanisms'!$E$601:$I$631,HLOOKUP('Personalized Bill Menu'!$B$22, 'Misc. Data &amp; Mechanisms'!$E$599:$I$600, 2, FALSE), FALSE), 'Misc. Data &amp; Mechanisms'!$A$599:$C$659, 2, FALSE), FALSE)), ""))</f>
        <v/>
      </c>
      <c r="AG48" s="90" t="str">
        <f ca="1">IF($A48="", "",IFERROR(IF(VLOOKUP($A48, INDIRECT("'" &amp; 'Personalized Bill Menu'!$B$22 &amp; "'!" &amp;"$A$4:$CA$100"), VLOOKUP(VLOOKUP("RIDER RATE 6",'Misc. Data &amp; Mechanisms'!$E$601:$I$631,HLOOKUP('Personalized Bill Menu'!$B$22, 'Misc. Data &amp; Mechanisms'!$E$599:$I$600, 2, FALSE), FALSE), 'Misc. Data &amp; Mechanisms'!$A$599:$C$659, 2, FALSE), FALSE) = "", "", VLOOKUP($A48, INDIRECT("'" &amp; 'Personalized Bill Menu'!$B$22 &amp; "'!" &amp;"$A$4:$CA$100"), VLOOKUP(VLOOKUP("RIDER RATE 6",'Misc. Data &amp; Mechanisms'!$E$601:$I$631,HLOOKUP('Personalized Bill Menu'!$B$22, 'Misc. Data &amp; Mechanisms'!$E$599:$I$600, 2, FALSE), FALSE), 'Misc. Data &amp; Mechanisms'!$A$599:$C$659, 2, FALSE), FALSE)), ""))</f>
        <v/>
      </c>
      <c r="AH48" s="90" t="str">
        <f ca="1">IF($A48="", "",IFERROR(IF(VLOOKUP($A48, INDIRECT("'" &amp; 'Personalized Bill Menu'!$B$22 &amp; "'!" &amp;"$A$4:$CA$100"), VLOOKUP(VLOOKUP("RIDER RATE 7",'Misc. Data &amp; Mechanisms'!$E$601:$I$631,HLOOKUP('Personalized Bill Menu'!$B$22, 'Misc. Data &amp; Mechanisms'!$E$599:$I$600, 2, FALSE), FALSE), 'Misc. Data &amp; Mechanisms'!$A$599:$C$659, 2, FALSE), FALSE) = "", "", VLOOKUP($A48, INDIRECT("'" &amp; 'Personalized Bill Menu'!$B$22 &amp; "'!" &amp;"$A$4:$CA$100"), VLOOKUP(VLOOKUP("RIDER RATE 7",'Misc. Data &amp; Mechanisms'!$E$601:$I$631,HLOOKUP('Personalized Bill Menu'!$B$22, 'Misc. Data &amp; Mechanisms'!$E$599:$I$600, 2, FALSE), FALSE), 'Misc. Data &amp; Mechanisms'!$A$599:$C$659, 2, FALSE), FALSE)), ""))</f>
        <v/>
      </c>
      <c r="AI48" s="72">
        <f t="shared" ca="1" si="14"/>
        <v>-3.0153699823911166</v>
      </c>
      <c r="AJ48" s="72">
        <f t="shared" ca="1" si="15"/>
        <v>6.2851384248350808</v>
      </c>
      <c r="AK48" s="72">
        <f ca="1">IF($A48="", "", IFERROR(IF($AD$6="%",IF('Personalized Bill Menu'!$B$22="ENMAX", $AD48*$I48, IF(AND($AD48="", 'Personalized Bill Menu'!$B$22="FORTIS"),($AE48/100)*$C48,$AD48*$H48)),($AD48/100)*$C48), 0))</f>
        <v>0</v>
      </c>
      <c r="AL48" s="72">
        <f ca="1">IF($A48="", "", IFERROR(IF('Personalized Bill Menu'!$B$22="ENMAX",$AE48*$B48,IF($AE$6="%",$AE48*($H48+$I48+$J48), IF('Personalized Bill Menu'!$B$22="FORTIS",$AF48*$I48,($AE48/100)*$C48))), 0))</f>
        <v>0</v>
      </c>
      <c r="AM48" s="72" t="str">
        <f>IF($A48="", "", IFERROR(IF('Personalized Bill Menu'!$B$22="EPCOR",($AF48/100)*$C48, IF('Personalized Bill Menu'!$B$22="ATCO",$AF48*1,"")), 0))</f>
        <v/>
      </c>
      <c r="AN48" s="72" t="str">
        <f>IF($A48="", "", IFERROR(IF('Personalized Bill Menu'!$B$22="ATCO",$AG48*$B48,""), 0))</f>
        <v/>
      </c>
      <c r="AO48" s="70" t="str">
        <f>IF($A48="", "", IFERROR(IF('Personalized Bill Menu'!$B$22="ATCO",$AH48*$B48,""), 0))</f>
        <v/>
      </c>
      <c r="AP48" s="81">
        <f>IF('Personalized Bill Menu'!$B$34&lt;&gt;"Natural Gas", 'Personalized Bill Menu'!$K45, "")</f>
        <v>0.2291</v>
      </c>
      <c r="AQ48" s="72">
        <f t="shared" si="16"/>
        <v>6.8730000000000002</v>
      </c>
      <c r="AR48" s="91">
        <f ca="1">IF($A48="", "",IF(VLOOKUP($A48, INDIRECT("'" &amp; 'Personalized Bill Menu'!$B$22 &amp; "'!" &amp;"$A$4:$CA$100"), VLOOKUP(VLOOKUP(AR$5,'Misc. Data &amp; Mechanisms'!$E$601:$I$631,HLOOKUP('Personalized Bill Menu'!$B$22, 'Misc. Data &amp; Mechanisms'!$E$599:$I$600, 2, FALSE), FALSE), 'Misc. Data &amp; Mechanisms'!$A$599:$C$659, 2, FALSE), FALSE) = "", "", VLOOKUP($A48, INDIRECT("'" &amp; 'Personalized Bill Menu'!$B$22 &amp; "'!" &amp;"$A$4:$CA$100"), VLOOKUP(VLOOKUP(AR$5,'Misc. Data &amp; Mechanisms'!$E$601:$I$631,HLOOKUP('Personalized Bill Menu'!$B$22, 'Misc. Data &amp; Mechanisms'!$E$599:$I$600, 2, FALSE), FALSE), 'Misc. Data &amp; Mechanisms'!$A$599:$C$659, 2, FALSE), FALSE)))</f>
        <v>0.05</v>
      </c>
      <c r="AS48" s="2"/>
      <c r="AT48" s="2"/>
      <c r="AU48" s="2"/>
      <c r="AV48" s="2"/>
      <c r="AW48" s="2"/>
    </row>
    <row r="49" spans="1:49" x14ac:dyDescent="0.35">
      <c r="A49" s="83">
        <f>'Personalized Bill Menu'!$H46</f>
        <v>42186</v>
      </c>
      <c r="B49" s="84">
        <f t="shared" si="0"/>
        <v>31</v>
      </c>
      <c r="C49" s="85">
        <f>IF('Personalized Bill Menu'!$B$34&lt;&gt;"Natural Gas", 'Personalized Bill Menu'!$I46, "")</f>
        <v>545.29132412881165</v>
      </c>
      <c r="D49" s="66">
        <f t="shared" ca="1" si="17"/>
        <v>17.644438704901773</v>
      </c>
      <c r="E49" s="66">
        <f ca="1">IFERROR((1+$AR49)*(IF('Personalized Bill Menu'!$B$22="ENMAX", ((1+IFERROR($X49, 0))*($N49+$P49+$R49+$AB49+$AC49))+((1+IF($X49="", 0,$X49))*(IF($AD49="", 0,$AD49)*$R49)), IF('Personalized Bill Menu'!$B$22="EPCOR", ($N49+$P49+$R49+$X49+SUM($AB49:$AE49)), IF('Personalized Bill Menu'!$B$22="ATCO",($N49+((1+IF($AE49="", 0,$AE49))*(1+$X49+$Y49)*($P49+$R49))+SUM($AB49:$AD49)),IF($AD49="",$N49+((1+$X49+$Y49)*($P49+$R49))+$AB49+$AE49+(IF($AC49="", 0, $AC49)*$P49)+($R49*IF($AF49="", 0, $AF49)),$N49+((1+$X49+$Y49)*($P49+$R49))+$AB49+($AD49*$P49)+(IF($AC49="", 0, $AC49)*$P49)+($R49*IF($AF49="", 0, $AF49))))))), "")</f>
        <v>13.440915589499998</v>
      </c>
      <c r="F49" s="1469">
        <f t="shared" ca="1" si="1"/>
        <v>96.213593449055423</v>
      </c>
      <c r="G49" s="66">
        <f t="shared" si="2"/>
        <v>44.80113519042316</v>
      </c>
      <c r="H49" s="66">
        <f t="shared" ca="1" si="3"/>
        <v>10.61300504151906</v>
      </c>
      <c r="I49" s="66">
        <f t="shared" ca="1" si="4"/>
        <v>18.106108619449905</v>
      </c>
      <c r="J49" s="66">
        <f t="shared" ca="1" si="5"/>
        <v>8.4522285994488993</v>
      </c>
      <c r="K49" s="66">
        <f t="shared" ca="1" si="6"/>
        <v>2.5574163101641263</v>
      </c>
      <c r="L49" s="66">
        <f t="shared" si="7"/>
        <v>7.1021000000000001</v>
      </c>
      <c r="M49" s="68">
        <f t="shared" ca="1" si="8"/>
        <v>4.5815996880502583</v>
      </c>
      <c r="N49" s="69">
        <f>IF('Personalized Bill Menu'!$B$34&lt;&gt;"Natural Gas", 'Personalized Bill Menu'!$J46, "")</f>
        <v>8.2159999999999993</v>
      </c>
      <c r="O49" s="70">
        <f t="shared" si="9"/>
        <v>44.80113519042316</v>
      </c>
      <c r="P49" s="71">
        <f ca="1">IF($A49="", "",IFERROR(IF(VLOOKUP($A49, INDIRECT("'" &amp; 'Personalized Bill Menu'!$B$22 &amp; "'!" &amp;"$A$4:$CA$100"), VLOOKUP(VLOOKUP(P$5,'Misc. Data &amp; Mechanisms'!$E$601:$I$631,HLOOKUP('Personalized Bill Menu'!$B$22, 'Misc. Data &amp; Mechanisms'!$E$599:$I$600, 2, FALSE), FALSE), 'Misc. Data &amp; Mechanisms'!$A$599:$C$659, 2, FALSE), FALSE) = "", "", VLOOKUP($A49, INDIRECT("'" &amp; 'Personalized Bill Menu'!$B$22 &amp; "'!" &amp;"$A$4:$CA$100"), VLOOKUP(VLOOKUP(P$5,'Misc. Data &amp; Mechanisms'!$E$601:$I$631,HLOOKUP('Personalized Bill Menu'!$B$22, 'Misc. Data &amp; Mechanisms'!$E$599:$I$600, 2, FALSE), FALSE), 'Misc. Data &amp; Mechanisms'!$A$599:$C$659, 2, FALSE), FALSE)), ""))</f>
        <v>1.9462999999999999</v>
      </c>
      <c r="Q49" s="72">
        <f t="shared" ca="1" si="10"/>
        <v>10.61300504151906</v>
      </c>
      <c r="R49" s="87">
        <f ca="1">IF($A49="", "",IFERROR(IF(VLOOKUP($A49, INDIRECT("'" &amp; 'Personalized Bill Menu'!$B$22 &amp; "'!" &amp;"$A$4:$CA$100"), VLOOKUP(VLOOKUP(R$5,'Misc. Data &amp; Mechanisms'!$E$601:$I$631,HLOOKUP('Personalized Bill Menu'!$B$22, 'Misc. Data &amp; Mechanisms'!$E$599:$I$600, 2, FALSE), FALSE), 'Misc. Data &amp; Mechanisms'!$A$599:$C$659, 2, FALSE), FALSE) = "", "", VLOOKUP($A49, INDIRECT("'" &amp; 'Personalized Bill Menu'!$B$22 &amp; "'!" &amp;"$A$4:$CA$100"), VLOOKUP(VLOOKUP(R$5,'Misc. Data &amp; Mechanisms'!$E$601:$I$631,HLOOKUP('Personalized Bill Menu'!$B$22, 'Misc. Data &amp; Mechanisms'!$E$599:$I$600, 2, FALSE), FALSE), 'Misc. Data &amp; Mechanisms'!$A$599:$C$659, 2, FALSE), FALSE)), ""))</f>
        <v>0.88959999999999995</v>
      </c>
      <c r="S49" s="88">
        <f ca="1">IF($A49="", "",IFERROR(IF(VLOOKUP($A49, INDIRECT("'" &amp; 'Personalized Bill Menu'!$B$22 &amp; "'!" &amp;"$A$4:$CA$100"), VLOOKUP(VLOOKUP(S$5,'Misc. Data &amp; Mechanisms'!$E$601:$I$631,HLOOKUP('Personalized Bill Menu'!$B$22, 'Misc. Data &amp; Mechanisms'!$E$599:$I$600, 2, FALSE), FALSE), 'Misc. Data &amp; Mechanisms'!$A$599:$C$659, 2, FALSE), FALSE) = "", "", VLOOKUP($A49, INDIRECT("'" &amp; 'Personalized Bill Menu'!$B$22 &amp; "'!" &amp;"$A$4:$CA$100"), VLOOKUP(VLOOKUP(S$5,'Misc. Data &amp; Mechanisms'!$E$601:$I$631,HLOOKUP('Personalized Bill Menu'!$B$22, 'Misc. Data &amp; Mechanisms'!$E$599:$I$600, 2, FALSE), FALSE), 'Misc. Data &amp; Mechanisms'!$A$599:$C$659, 2, FALSE), FALSE)), ""))</f>
        <v>0.42758699999999999</v>
      </c>
      <c r="T49" s="81" t="str">
        <f ca="1">IF($A49="", "",IFERROR(IF(VLOOKUP($A49, INDIRECT("'" &amp; 'Personalized Bill Menu'!$B$22 &amp; "'!" &amp;"$A$4:$CA$100"), VLOOKUP(VLOOKUP(T$5,'Misc. Data &amp; Mechanisms'!$E$601:$I$631,HLOOKUP('Personalized Bill Menu'!$B$22, 'Misc. Data &amp; Mechanisms'!$E$599:$I$600, 2, FALSE), FALSE), 'Misc. Data &amp; Mechanisms'!$A$599:$C$659, 2, FALSE), FALSE) = "", "", VLOOKUP($A49, INDIRECT("'" &amp; 'Personalized Bill Menu'!$B$22 &amp; "'!" &amp;"$A$4:$CA$100"), VLOOKUP(VLOOKUP(T$5,'Misc. Data &amp; Mechanisms'!$E$601:$I$631,HLOOKUP('Personalized Bill Menu'!$B$22, 'Misc. Data &amp; Mechanisms'!$E$599:$I$600, 2, FALSE), FALSE), 'Misc. Data &amp; Mechanisms'!$A$599:$C$659, 2, FALSE), FALSE)), ""))</f>
        <v/>
      </c>
      <c r="U49" s="72">
        <f t="shared" ca="1" si="11"/>
        <v>4.8509116194499082</v>
      </c>
      <c r="V49" s="72">
        <f t="shared" ca="1" si="12"/>
        <v>13.255196999999999</v>
      </c>
      <c r="W49" s="70" t="str">
        <f t="shared" si="13"/>
        <v/>
      </c>
      <c r="X49" s="78">
        <f>IFERROR(IF(VLOOKUP($A49,'Misc. Data &amp; Mechanisms'!$A$63:$DY$152,HLOOKUP('Personalized Bill Menu'!$B$21&amp;"_"&amp;'Personalized Bill Menu'!$B$22&amp;"_Elec_Y_1",'Misc. Data &amp; Mechanisms'!$A$55:$DY$62,8,FALSE), FALSE)="", "", VLOOKUP($A49,'Misc. Data &amp; Mechanisms'!$A$63:$DY$152,HLOOKUP('Personalized Bill Menu'!$B$21&amp;"_"&amp;'Personalized Bill Menu'!$B$22&amp;"_Elec_Y_1",'Misc. Data &amp; Mechanisms'!$A$55:$DY$62,8,FALSE), FALSE)), "")</f>
        <v>0.1111</v>
      </c>
      <c r="Y49" s="78" t="str">
        <f>IFERROR(IF(VLOOKUP($A49,'Misc. Data &amp; Mechanisms'!$A$63:$DY$152,HLOOKUP('Personalized Bill Menu'!$B$21&amp;"_"&amp;'Personalized Bill Menu'!$B$22&amp;"_Elec_Y_2",'Misc. Data &amp; Mechanisms'!$A$55:$DY$62,8,FALSE), FALSE)="", "", VLOOKUP($A49,'Misc. Data &amp; Mechanisms'!$A$63:$DY$152,HLOOKUP('Personalized Bill Menu'!$B$21&amp;"_"&amp;'Personalized Bill Menu'!$B$22&amp;"_Elec_Y_2",'Misc. Data &amp; Mechanisms'!$A$55:$DY$62,8,FALSE), FALSE)), "")</f>
        <v/>
      </c>
      <c r="Z49" s="72">
        <f ca="1">IF($A49="", "",IFERROR(IF(OR('Personalized Bill Menu'!$B$22="FORTIS", 'Personalized Bill Menu'!$B$22="ATCO"), $X49*($H49+$I49), IF('Personalized Bill Menu'!$B$22="ENMAX",$X49*($H49+$I49+$K49),($X49/100)*$C49)), 0))</f>
        <v>3.4748224797928864</v>
      </c>
      <c r="AA49" s="72">
        <f>IF($A49="", "", IFERROR(IF(OR('Personalized Bill Menu'!$B$22="FORTIS", 'Personalized Bill Menu'!$B$22="ATCO"), $Y49*($H49+$I49), IF('Personalized Bill Menu'!$B$22="ENMAX",$X49*$G49,"")), 0))</f>
        <v>4.9774061196560133</v>
      </c>
      <c r="AB49" s="89">
        <f ca="1">IF($A49="", "",IFERROR(IF(VLOOKUP($A49, INDIRECT("'" &amp; 'Personalized Bill Menu'!$B$22 &amp; "'!" &amp;"$A$4:$CA$100"), VLOOKUP(VLOOKUP("RIDER RATE 1",'Misc. Data &amp; Mechanisms'!$E$601:$I$631,HLOOKUP('Personalized Bill Menu'!$B$22, 'Misc. Data &amp; Mechanisms'!$E$599:$I$600, 2, FALSE), FALSE), 'Misc. Data &amp; Mechanisms'!$A$599:$C$659, 2, FALSE), FALSE) = "", "", VLOOKUP($A49, INDIRECT("'" &amp; 'Personalized Bill Menu'!$B$22 &amp; "'!" &amp;"$A$4:$CA$100"), VLOOKUP(VLOOKUP("RIDER RATE 1",'Misc. Data &amp; Mechanisms'!$E$601:$I$631,HLOOKUP('Personalized Bill Menu'!$B$22, 'Misc. Data &amp; Mechanisms'!$E$599:$I$600, 2, FALSE), FALSE), 'Misc. Data &amp; Mechanisms'!$A$599:$C$659, 2, FALSE), FALSE)), ""))</f>
        <v>-0.56420000000000003</v>
      </c>
      <c r="AC49" s="69">
        <f ca="1">IF($A49="", "",IFERROR(IF(VLOOKUP($A49, INDIRECT("'" &amp; 'Personalized Bill Menu'!$B$22 &amp; "'!" &amp;"$A$4:$CA$100"), VLOOKUP(VLOOKUP("RIDER RATE 2",'Misc. Data &amp; Mechanisms'!$E$601:$I$631,HLOOKUP('Personalized Bill Menu'!$B$22, 'Misc. Data &amp; Mechanisms'!$E$599:$I$600, 2, FALSE), FALSE), 'Misc. Data &amp; Mechanisms'!$A$599:$C$659, 2, FALSE), FALSE) = "", "", VLOOKUP($A49, INDIRECT("'" &amp; 'Personalized Bill Menu'!$B$22 &amp; "'!" &amp;"$A$4:$CA$100"), VLOOKUP(VLOOKUP("RIDER RATE 2",'Misc. Data &amp; Mechanisms'!$E$601:$I$631,HLOOKUP('Personalized Bill Menu'!$B$22, 'Misc. Data &amp; Mechanisms'!$E$599:$I$600, 2, FALSE), FALSE), 'Misc. Data &amp; Mechanisms'!$A$599:$C$659, 2, FALSE), FALSE)), ""))</f>
        <v>1.0331999999999999</v>
      </c>
      <c r="AD49" s="69" t="str">
        <f ca="1">IF($A49="", "",IFERROR(IF(VLOOKUP($A49, INDIRECT("'" &amp; 'Personalized Bill Menu'!$B$22 &amp; "'!" &amp;"$A$4:$CA$100"), VLOOKUP(VLOOKUP("RIDER RATE 3",'Misc. Data &amp; Mechanisms'!$E$601:$I$631,HLOOKUP('Personalized Bill Menu'!$B$22, 'Misc. Data &amp; Mechanisms'!$E$599:$I$600, 2, FALSE), FALSE), 'Misc. Data &amp; Mechanisms'!$A$599:$C$659, 2, FALSE), FALSE) = "", "", VLOOKUP($A49, INDIRECT("'" &amp; 'Personalized Bill Menu'!$B$22 &amp; "'!" &amp;"$A$4:$CA$100"), VLOOKUP(VLOOKUP("RIDER RATE 3",'Misc. Data &amp; Mechanisms'!$E$601:$I$631,HLOOKUP('Personalized Bill Menu'!$B$22, 'Misc. Data &amp; Mechanisms'!$E$599:$I$600, 2, FALSE), FALSE), 'Misc. Data &amp; Mechanisms'!$A$599:$C$659, 2, FALSE), FALSE)), ""))</f>
        <v/>
      </c>
      <c r="AE49" s="69" t="str">
        <f ca="1">IF($A49="", "",IFERROR(IF(VLOOKUP($A49, INDIRECT("'" &amp; 'Personalized Bill Menu'!$B$22 &amp; "'!" &amp;"$A$4:$CA$100"), VLOOKUP(VLOOKUP("RIDER RATE 4",'Misc. Data &amp; Mechanisms'!$E$601:$I$631,HLOOKUP('Personalized Bill Menu'!$B$22, 'Misc. Data &amp; Mechanisms'!$E$599:$I$600, 2, FALSE), FALSE), 'Misc. Data &amp; Mechanisms'!$A$599:$C$659, 2, FALSE), FALSE) = "", "", VLOOKUP($A49, INDIRECT("'" &amp; 'Personalized Bill Menu'!$B$22 &amp; "'!" &amp;"$A$4:$CA$100"), VLOOKUP(VLOOKUP("RIDER RATE 4",'Misc. Data &amp; Mechanisms'!$E$601:$I$631,HLOOKUP('Personalized Bill Menu'!$B$22, 'Misc. Data &amp; Mechanisms'!$E$599:$I$600, 2, FALSE), FALSE), 'Misc. Data &amp; Mechanisms'!$A$599:$C$659, 2, FALSE), FALSE)), ""))</f>
        <v/>
      </c>
      <c r="AF49" s="90" t="str">
        <f ca="1">IF($A49="", "",IFERROR(IF(VLOOKUP($A49, INDIRECT("'" &amp; 'Personalized Bill Menu'!$B$22 &amp; "'!" &amp;"$A$4:$CA$100"), VLOOKUP(VLOOKUP("RIDER RATE 5",'Misc. Data &amp; Mechanisms'!$E$601:$I$631,HLOOKUP('Personalized Bill Menu'!$B$22, 'Misc. Data &amp; Mechanisms'!$E$599:$I$600, 2, FALSE), FALSE), 'Misc. Data &amp; Mechanisms'!$A$599:$C$659, 2, FALSE), FALSE) = "", "", VLOOKUP($A49, INDIRECT("'" &amp; 'Personalized Bill Menu'!$B$22 &amp; "'!" &amp;"$A$4:$CA$100"), VLOOKUP(VLOOKUP("RIDER RATE 5",'Misc. Data &amp; Mechanisms'!$E$601:$I$631,HLOOKUP('Personalized Bill Menu'!$B$22, 'Misc. Data &amp; Mechanisms'!$E$599:$I$600, 2, FALSE), FALSE), 'Misc. Data &amp; Mechanisms'!$A$599:$C$659, 2, FALSE), FALSE)), ""))</f>
        <v/>
      </c>
      <c r="AG49" s="90" t="str">
        <f ca="1">IF($A49="", "",IFERROR(IF(VLOOKUP($A49, INDIRECT("'" &amp; 'Personalized Bill Menu'!$B$22 &amp; "'!" &amp;"$A$4:$CA$100"), VLOOKUP(VLOOKUP("RIDER RATE 6",'Misc. Data &amp; Mechanisms'!$E$601:$I$631,HLOOKUP('Personalized Bill Menu'!$B$22, 'Misc. Data &amp; Mechanisms'!$E$599:$I$600, 2, FALSE), FALSE), 'Misc. Data &amp; Mechanisms'!$A$599:$C$659, 2, FALSE), FALSE) = "", "", VLOOKUP($A49, INDIRECT("'" &amp; 'Personalized Bill Menu'!$B$22 &amp; "'!" &amp;"$A$4:$CA$100"), VLOOKUP(VLOOKUP("RIDER RATE 6",'Misc. Data &amp; Mechanisms'!$E$601:$I$631,HLOOKUP('Personalized Bill Menu'!$B$22, 'Misc. Data &amp; Mechanisms'!$E$599:$I$600, 2, FALSE), FALSE), 'Misc. Data &amp; Mechanisms'!$A$599:$C$659, 2, FALSE), FALSE)), ""))</f>
        <v/>
      </c>
      <c r="AH49" s="90" t="str">
        <f ca="1">IF($A49="", "",IFERROR(IF(VLOOKUP($A49, INDIRECT("'" &amp; 'Personalized Bill Menu'!$B$22 &amp; "'!" &amp;"$A$4:$CA$100"), VLOOKUP(VLOOKUP("RIDER RATE 7",'Misc. Data &amp; Mechanisms'!$E$601:$I$631,HLOOKUP('Personalized Bill Menu'!$B$22, 'Misc. Data &amp; Mechanisms'!$E$599:$I$600, 2, FALSE), FALSE), 'Misc. Data &amp; Mechanisms'!$A$599:$C$659, 2, FALSE), FALSE) = "", "", VLOOKUP($A49, INDIRECT("'" &amp; 'Personalized Bill Menu'!$B$22 &amp; "'!" &amp;"$A$4:$CA$100"), VLOOKUP(VLOOKUP("RIDER RATE 7",'Misc. Data &amp; Mechanisms'!$E$601:$I$631,HLOOKUP('Personalized Bill Menu'!$B$22, 'Misc. Data &amp; Mechanisms'!$E$599:$I$600, 2, FALSE), FALSE), 'Misc. Data &amp; Mechanisms'!$A$599:$C$659, 2, FALSE), FALSE)), ""))</f>
        <v/>
      </c>
      <c r="AI49" s="72">
        <f t="shared" ca="1" si="14"/>
        <v>-3.0765336507347554</v>
      </c>
      <c r="AJ49" s="72">
        <f t="shared" ca="1" si="15"/>
        <v>5.6339499608988817</v>
      </c>
      <c r="AK49" s="72">
        <f ca="1">IF($A49="", "", IFERROR(IF($AD$6="%",IF('Personalized Bill Menu'!$B$22="ENMAX", $AD49*$I49, IF(AND($AD49="", 'Personalized Bill Menu'!$B$22="FORTIS"),($AE49/100)*$C49,$AD49*$H49)),($AD49/100)*$C49), 0))</f>
        <v>0</v>
      </c>
      <c r="AL49" s="72">
        <f ca="1">IF($A49="", "", IFERROR(IF('Personalized Bill Menu'!$B$22="ENMAX",$AE49*$B49,IF($AE$6="%",$AE49*($H49+$I49+$J49), IF('Personalized Bill Menu'!$B$22="FORTIS",$AF49*$I49,($AE49/100)*$C49))), 0))</f>
        <v>0</v>
      </c>
      <c r="AM49" s="72" t="str">
        <f>IF($A49="", "", IFERROR(IF('Personalized Bill Menu'!$B$22="EPCOR",($AF49/100)*$C49, IF('Personalized Bill Menu'!$B$22="ATCO",$AF49*1,"")), 0))</f>
        <v/>
      </c>
      <c r="AN49" s="72" t="str">
        <f>IF($A49="", "", IFERROR(IF('Personalized Bill Menu'!$B$22="ATCO",$AG49*$B49,""), 0))</f>
        <v/>
      </c>
      <c r="AO49" s="70" t="str">
        <f>IF($A49="", "", IFERROR(IF('Personalized Bill Menu'!$B$22="ATCO",$AH49*$B49,""), 0))</f>
        <v/>
      </c>
      <c r="AP49" s="81">
        <f>IF('Personalized Bill Menu'!$B$34&lt;&gt;"Natural Gas", 'Personalized Bill Menu'!$K46, "")</f>
        <v>0.2291</v>
      </c>
      <c r="AQ49" s="72">
        <f t="shared" si="16"/>
        <v>7.1021000000000001</v>
      </c>
      <c r="AR49" s="91">
        <f ca="1">IF($A49="", "",IF(VLOOKUP($A49, INDIRECT("'" &amp; 'Personalized Bill Menu'!$B$22 &amp; "'!" &amp;"$A$4:$CA$100"), VLOOKUP(VLOOKUP(AR$5,'Misc. Data &amp; Mechanisms'!$E$601:$I$631,HLOOKUP('Personalized Bill Menu'!$B$22, 'Misc. Data &amp; Mechanisms'!$E$599:$I$600, 2, FALSE), FALSE), 'Misc. Data &amp; Mechanisms'!$A$599:$C$659, 2, FALSE), FALSE) = "", "", VLOOKUP($A49, INDIRECT("'" &amp; 'Personalized Bill Menu'!$B$22 &amp; "'!" &amp;"$A$4:$CA$100"), VLOOKUP(VLOOKUP(AR$5,'Misc. Data &amp; Mechanisms'!$E$601:$I$631,HLOOKUP('Personalized Bill Menu'!$B$22, 'Misc. Data &amp; Mechanisms'!$E$599:$I$600, 2, FALSE), FALSE), 'Misc. Data &amp; Mechanisms'!$A$599:$C$659, 2, FALSE), FALSE)))</f>
        <v>0.05</v>
      </c>
      <c r="AS49" s="2"/>
      <c r="AT49" s="2"/>
      <c r="AU49" s="2"/>
      <c r="AV49" s="2"/>
      <c r="AW49" s="2"/>
    </row>
    <row r="50" spans="1:49" x14ac:dyDescent="0.35">
      <c r="A50" s="83">
        <f>'Personalized Bill Menu'!$H47</f>
        <v>42217</v>
      </c>
      <c r="B50" s="84">
        <f t="shared" si="0"/>
        <v>31</v>
      </c>
      <c r="C50" s="85">
        <f>IF('Personalized Bill Menu'!$B$34&lt;&gt;"Natural Gas", 'Personalized Bill Menu'!$I47, "")</f>
        <v>548.24925977459793</v>
      </c>
      <c r="D50" s="66">
        <f t="shared" ca="1" si="17"/>
        <v>17.248430094142964</v>
      </c>
      <c r="E50" s="66">
        <f ca="1">IFERROR((1+$AR50)*(IF('Personalized Bill Menu'!$B$22="ENMAX", ((1+IFERROR($X50, 0))*($N50+$P50+$R50+$AB50+$AC50))+((1+IF($X50="", 0,$X50))*(IF($AD50="", 0,$AD50)*$R50)), IF('Personalized Bill Menu'!$B$22="EPCOR", ($N50+$P50+$R50+$X50+SUM($AB50:$AE50)), IF('Personalized Bill Menu'!$B$22="ATCO",($N50+((1+IF($AE50="", 0,$AE50))*(1+$X50+$Y50)*($P50+$R50))+SUM($AB50:$AD50)),IF($AD50="",$N50+((1+$X50+$Y50)*($P50+$R50))+$AB50+$AE50+(IF($AC50="", 0, $AC50)*$P50)+($R50*IF($AF50="", 0, $AF50)),$N50+((1+$X50+$Y50)*($P50+$R50))+$AB50+($AD50*$P50)+(IF($AC50="", 0, $AC50)*$P50)+($R50*IF($AF50="", 0, $AF50))))))), "")</f>
        <v>13.067585989499999</v>
      </c>
      <c r="F50" s="1469">
        <f t="shared" ca="1" si="1"/>
        <v>94.564390313877794</v>
      </c>
      <c r="G50" s="66">
        <f t="shared" si="2"/>
        <v>43.28976155180225</v>
      </c>
      <c r="H50" s="66">
        <f t="shared" ca="1" si="3"/>
        <v>10.670575342992999</v>
      </c>
      <c r="I50" s="66">
        <f t="shared" ca="1" si="4"/>
        <v>18.132422414954821</v>
      </c>
      <c r="J50" s="66">
        <f t="shared" ca="1" si="5"/>
        <v>8.2951757703621247</v>
      </c>
      <c r="K50" s="66">
        <f t="shared" ca="1" si="6"/>
        <v>2.5712890283428638</v>
      </c>
      <c r="L50" s="66">
        <f t="shared" si="7"/>
        <v>7.1021000000000001</v>
      </c>
      <c r="M50" s="68">
        <f t="shared" ca="1" si="8"/>
        <v>4.5030662054227522</v>
      </c>
      <c r="N50" s="69">
        <f>IF('Personalized Bill Menu'!$B$34&lt;&gt;"Natural Gas", 'Personalized Bill Menu'!$J47, "")</f>
        <v>7.8959999999999999</v>
      </c>
      <c r="O50" s="70">
        <f t="shared" si="9"/>
        <v>43.28976155180225</v>
      </c>
      <c r="P50" s="71">
        <f ca="1">IF($A50="", "",IFERROR(IF(VLOOKUP($A50, INDIRECT("'" &amp; 'Personalized Bill Menu'!$B$22 &amp; "'!" &amp;"$A$4:$CA$100"), VLOOKUP(VLOOKUP(P$5,'Misc. Data &amp; Mechanisms'!$E$601:$I$631,HLOOKUP('Personalized Bill Menu'!$B$22, 'Misc. Data &amp; Mechanisms'!$E$599:$I$600, 2, FALSE), FALSE), 'Misc. Data &amp; Mechanisms'!$A$599:$C$659, 2, FALSE), FALSE) = "", "", VLOOKUP($A50, INDIRECT("'" &amp; 'Personalized Bill Menu'!$B$22 &amp; "'!" &amp;"$A$4:$CA$100"), VLOOKUP(VLOOKUP(P$5,'Misc. Data &amp; Mechanisms'!$E$601:$I$631,HLOOKUP('Personalized Bill Menu'!$B$22, 'Misc. Data &amp; Mechanisms'!$E$599:$I$600, 2, FALSE), FALSE), 'Misc. Data &amp; Mechanisms'!$A$599:$C$659, 2, FALSE), FALSE)), ""))</f>
        <v>1.9462999999999999</v>
      </c>
      <c r="Q50" s="72">
        <f t="shared" ca="1" si="10"/>
        <v>10.670575342992999</v>
      </c>
      <c r="R50" s="87">
        <f ca="1">IF($A50="", "",IFERROR(IF(VLOOKUP($A50, INDIRECT("'" &amp; 'Personalized Bill Menu'!$B$22 &amp; "'!" &amp;"$A$4:$CA$100"), VLOOKUP(VLOOKUP(R$5,'Misc. Data &amp; Mechanisms'!$E$601:$I$631,HLOOKUP('Personalized Bill Menu'!$B$22, 'Misc. Data &amp; Mechanisms'!$E$599:$I$600, 2, FALSE), FALSE), 'Misc. Data &amp; Mechanisms'!$A$599:$C$659, 2, FALSE), FALSE) = "", "", VLOOKUP($A50, INDIRECT("'" &amp; 'Personalized Bill Menu'!$B$22 &amp; "'!" &amp;"$A$4:$CA$100"), VLOOKUP(VLOOKUP(R$5,'Misc. Data &amp; Mechanisms'!$E$601:$I$631,HLOOKUP('Personalized Bill Menu'!$B$22, 'Misc. Data &amp; Mechanisms'!$E$599:$I$600, 2, FALSE), FALSE), 'Misc. Data &amp; Mechanisms'!$A$599:$C$659, 2, FALSE), FALSE)), ""))</f>
        <v>0.88959999999999995</v>
      </c>
      <c r="S50" s="88">
        <f ca="1">IF($A50="", "",IFERROR(IF(VLOOKUP($A50, INDIRECT("'" &amp; 'Personalized Bill Menu'!$B$22 &amp; "'!" &amp;"$A$4:$CA$100"), VLOOKUP(VLOOKUP(S$5,'Misc. Data &amp; Mechanisms'!$E$601:$I$631,HLOOKUP('Personalized Bill Menu'!$B$22, 'Misc. Data &amp; Mechanisms'!$E$599:$I$600, 2, FALSE), FALSE), 'Misc. Data &amp; Mechanisms'!$A$599:$C$659, 2, FALSE), FALSE) = "", "", VLOOKUP($A50, INDIRECT("'" &amp; 'Personalized Bill Menu'!$B$22 &amp; "'!" &amp;"$A$4:$CA$100"), VLOOKUP(VLOOKUP(S$5,'Misc. Data &amp; Mechanisms'!$E$601:$I$631,HLOOKUP('Personalized Bill Menu'!$B$22, 'Misc. Data &amp; Mechanisms'!$E$599:$I$600, 2, FALSE), FALSE), 'Misc. Data &amp; Mechanisms'!$A$599:$C$659, 2, FALSE), FALSE)), ""))</f>
        <v>0.42758699999999999</v>
      </c>
      <c r="T50" s="81" t="str">
        <f ca="1">IF($A50="", "",IFERROR(IF(VLOOKUP($A50, INDIRECT("'" &amp; 'Personalized Bill Menu'!$B$22 &amp; "'!" &amp;"$A$4:$CA$100"), VLOOKUP(VLOOKUP(T$5,'Misc. Data &amp; Mechanisms'!$E$601:$I$631,HLOOKUP('Personalized Bill Menu'!$B$22, 'Misc. Data &amp; Mechanisms'!$E$599:$I$600, 2, FALSE), FALSE), 'Misc. Data &amp; Mechanisms'!$A$599:$C$659, 2, FALSE), FALSE) = "", "", VLOOKUP($A50, INDIRECT("'" &amp; 'Personalized Bill Menu'!$B$22 &amp; "'!" &amp;"$A$4:$CA$100"), VLOOKUP(VLOOKUP(T$5,'Misc. Data &amp; Mechanisms'!$E$601:$I$631,HLOOKUP('Personalized Bill Menu'!$B$22, 'Misc. Data &amp; Mechanisms'!$E$599:$I$600, 2, FALSE), FALSE), 'Misc. Data &amp; Mechanisms'!$A$599:$C$659, 2, FALSE), FALSE)), ""))</f>
        <v/>
      </c>
      <c r="U50" s="72">
        <f t="shared" ca="1" si="11"/>
        <v>4.8772254149548226</v>
      </c>
      <c r="V50" s="72">
        <f t="shared" ca="1" si="12"/>
        <v>13.255196999999999</v>
      </c>
      <c r="W50" s="70" t="str">
        <f t="shared" si="13"/>
        <v/>
      </c>
      <c r="X50" s="78">
        <f>IFERROR(IF(VLOOKUP($A50,'Misc. Data &amp; Mechanisms'!$A$63:$DY$152,HLOOKUP('Personalized Bill Menu'!$B$21&amp;"_"&amp;'Personalized Bill Menu'!$B$22&amp;"_Elec_Y_1",'Misc. Data &amp; Mechanisms'!$A$55:$DY$62,8,FALSE), FALSE)="", "", VLOOKUP($A50,'Misc. Data &amp; Mechanisms'!$A$63:$DY$152,HLOOKUP('Personalized Bill Menu'!$B$21&amp;"_"&amp;'Personalized Bill Menu'!$B$22&amp;"_Elec_Y_1",'Misc. Data &amp; Mechanisms'!$A$55:$DY$62,8,FALSE), FALSE)), "")</f>
        <v>0.1111</v>
      </c>
      <c r="Y50" s="78" t="str">
        <f>IFERROR(IF(VLOOKUP($A50,'Misc. Data &amp; Mechanisms'!$A$63:$DY$152,HLOOKUP('Personalized Bill Menu'!$B$21&amp;"_"&amp;'Personalized Bill Menu'!$B$22&amp;"_Elec_Y_2",'Misc. Data &amp; Mechanisms'!$A$55:$DY$62,8,FALSE), FALSE)="", "", VLOOKUP($A50,'Misc. Data &amp; Mechanisms'!$A$63:$DY$152,HLOOKUP('Personalized Bill Menu'!$B$21&amp;"_"&amp;'Personalized Bill Menu'!$B$22&amp;"_Elec_Y_2",'Misc. Data &amp; Mechanisms'!$A$55:$DY$62,8,FALSE), FALSE)), "")</f>
        <v/>
      </c>
      <c r="Z50" s="72">
        <f ca="1">IF($A50="", "",IFERROR(IF(OR('Personalized Bill Menu'!$B$22="FORTIS", 'Personalized Bill Menu'!$B$22="ATCO"), $X50*($H50+$I50), IF('Personalized Bill Menu'!$B$22="ENMAX",$X50*($H50+$I50+$K50),($X50/100)*$C50)), 0))</f>
        <v>3.4856832619568952</v>
      </c>
      <c r="AA50" s="72">
        <f>IF($A50="", "", IFERROR(IF(OR('Personalized Bill Menu'!$B$22="FORTIS", 'Personalized Bill Menu'!$B$22="ATCO"), $Y50*($H50+$I50), IF('Personalized Bill Menu'!$B$22="ENMAX",$X50*$G50,"")), 0))</f>
        <v>4.8094925084052305</v>
      </c>
      <c r="AB50" s="89">
        <f ca="1">IF($A50="", "",IFERROR(IF(VLOOKUP($A50, INDIRECT("'" &amp; 'Personalized Bill Menu'!$B$22 &amp; "'!" &amp;"$A$4:$CA$100"), VLOOKUP(VLOOKUP("RIDER RATE 1",'Misc. Data &amp; Mechanisms'!$E$601:$I$631,HLOOKUP('Personalized Bill Menu'!$B$22, 'Misc. Data &amp; Mechanisms'!$E$599:$I$600, 2, FALSE), FALSE), 'Misc. Data &amp; Mechanisms'!$A$599:$C$659, 2, FALSE), FALSE) = "", "", VLOOKUP($A50, INDIRECT("'" &amp; 'Personalized Bill Menu'!$B$22 &amp; "'!" &amp;"$A$4:$CA$100"), VLOOKUP(VLOOKUP("RIDER RATE 1",'Misc. Data &amp; Mechanisms'!$E$601:$I$631,HLOOKUP('Personalized Bill Menu'!$B$22, 'Misc. Data &amp; Mechanisms'!$E$599:$I$600, 2, FALSE), FALSE), 'Misc. Data &amp; Mechanisms'!$A$599:$C$659, 2, FALSE), FALSE)), ""))</f>
        <v>-0.56420000000000003</v>
      </c>
      <c r="AC50" s="69">
        <f ca="1">IF($A50="", "",IFERROR(IF(VLOOKUP($A50, INDIRECT("'" &amp; 'Personalized Bill Menu'!$B$22 &amp; "'!" &amp;"$A$4:$CA$100"), VLOOKUP(VLOOKUP("RIDER RATE 2",'Misc. Data &amp; Mechanisms'!$E$601:$I$631,HLOOKUP('Personalized Bill Menu'!$B$22, 'Misc. Data &amp; Mechanisms'!$E$599:$I$600, 2, FALSE), FALSE), 'Misc. Data &amp; Mechanisms'!$A$599:$C$659, 2, FALSE), FALSE) = "", "", VLOOKUP($A50, INDIRECT("'" &amp; 'Personalized Bill Menu'!$B$22 &amp; "'!" &amp;"$A$4:$CA$100"), VLOOKUP(VLOOKUP("RIDER RATE 2",'Misc. Data &amp; Mechanisms'!$E$601:$I$631,HLOOKUP('Personalized Bill Menu'!$B$22, 'Misc. Data &amp; Mechanisms'!$E$599:$I$600, 2, FALSE), FALSE), 'Misc. Data &amp; Mechanisms'!$A$599:$C$659, 2, FALSE), FALSE)), ""))</f>
        <v>1.0331999999999999</v>
      </c>
      <c r="AD50" s="69" t="str">
        <f ca="1">IF($A50="", "",IFERROR(IF(VLOOKUP($A50, INDIRECT("'" &amp; 'Personalized Bill Menu'!$B$22 &amp; "'!" &amp;"$A$4:$CA$100"), VLOOKUP(VLOOKUP("RIDER RATE 3",'Misc. Data &amp; Mechanisms'!$E$601:$I$631,HLOOKUP('Personalized Bill Menu'!$B$22, 'Misc. Data &amp; Mechanisms'!$E$599:$I$600, 2, FALSE), FALSE), 'Misc. Data &amp; Mechanisms'!$A$599:$C$659, 2, FALSE), FALSE) = "", "", VLOOKUP($A50, INDIRECT("'" &amp; 'Personalized Bill Menu'!$B$22 &amp; "'!" &amp;"$A$4:$CA$100"), VLOOKUP(VLOOKUP("RIDER RATE 3",'Misc. Data &amp; Mechanisms'!$E$601:$I$631,HLOOKUP('Personalized Bill Menu'!$B$22, 'Misc. Data &amp; Mechanisms'!$E$599:$I$600, 2, FALSE), FALSE), 'Misc. Data &amp; Mechanisms'!$A$599:$C$659, 2, FALSE), FALSE)), ""))</f>
        <v/>
      </c>
      <c r="AE50" s="69" t="str">
        <f ca="1">IF($A50="", "",IFERROR(IF(VLOOKUP($A50, INDIRECT("'" &amp; 'Personalized Bill Menu'!$B$22 &amp; "'!" &amp;"$A$4:$CA$100"), VLOOKUP(VLOOKUP("RIDER RATE 4",'Misc. Data &amp; Mechanisms'!$E$601:$I$631,HLOOKUP('Personalized Bill Menu'!$B$22, 'Misc. Data &amp; Mechanisms'!$E$599:$I$600, 2, FALSE), FALSE), 'Misc. Data &amp; Mechanisms'!$A$599:$C$659, 2, FALSE), FALSE) = "", "", VLOOKUP($A50, INDIRECT("'" &amp; 'Personalized Bill Menu'!$B$22 &amp; "'!" &amp;"$A$4:$CA$100"), VLOOKUP(VLOOKUP("RIDER RATE 4",'Misc. Data &amp; Mechanisms'!$E$601:$I$631,HLOOKUP('Personalized Bill Menu'!$B$22, 'Misc. Data &amp; Mechanisms'!$E$599:$I$600, 2, FALSE), FALSE), 'Misc. Data &amp; Mechanisms'!$A$599:$C$659, 2, FALSE), FALSE)), ""))</f>
        <v/>
      </c>
      <c r="AF50" s="90" t="str">
        <f ca="1">IF($A50="", "",IFERROR(IF(VLOOKUP($A50, INDIRECT("'" &amp; 'Personalized Bill Menu'!$B$22 &amp; "'!" &amp;"$A$4:$CA$100"), VLOOKUP(VLOOKUP("RIDER RATE 5",'Misc. Data &amp; Mechanisms'!$E$601:$I$631,HLOOKUP('Personalized Bill Menu'!$B$22, 'Misc. Data &amp; Mechanisms'!$E$599:$I$600, 2, FALSE), FALSE), 'Misc. Data &amp; Mechanisms'!$A$599:$C$659, 2, FALSE), FALSE) = "", "", VLOOKUP($A50, INDIRECT("'" &amp; 'Personalized Bill Menu'!$B$22 &amp; "'!" &amp;"$A$4:$CA$100"), VLOOKUP(VLOOKUP("RIDER RATE 5",'Misc. Data &amp; Mechanisms'!$E$601:$I$631,HLOOKUP('Personalized Bill Menu'!$B$22, 'Misc. Data &amp; Mechanisms'!$E$599:$I$600, 2, FALSE), FALSE), 'Misc. Data &amp; Mechanisms'!$A$599:$C$659, 2, FALSE), FALSE)), ""))</f>
        <v/>
      </c>
      <c r="AG50" s="90" t="str">
        <f ca="1">IF($A50="", "",IFERROR(IF(VLOOKUP($A50, INDIRECT("'" &amp; 'Personalized Bill Menu'!$B$22 &amp; "'!" &amp;"$A$4:$CA$100"), VLOOKUP(VLOOKUP("RIDER RATE 6",'Misc. Data &amp; Mechanisms'!$E$601:$I$631,HLOOKUP('Personalized Bill Menu'!$B$22, 'Misc. Data &amp; Mechanisms'!$E$599:$I$600, 2, FALSE), FALSE), 'Misc. Data &amp; Mechanisms'!$A$599:$C$659, 2, FALSE), FALSE) = "", "", VLOOKUP($A50, INDIRECT("'" &amp; 'Personalized Bill Menu'!$B$22 &amp; "'!" &amp;"$A$4:$CA$100"), VLOOKUP(VLOOKUP("RIDER RATE 6",'Misc. Data &amp; Mechanisms'!$E$601:$I$631,HLOOKUP('Personalized Bill Menu'!$B$22, 'Misc. Data &amp; Mechanisms'!$E$599:$I$600, 2, FALSE), FALSE), 'Misc. Data &amp; Mechanisms'!$A$599:$C$659, 2, FALSE), FALSE)), ""))</f>
        <v/>
      </c>
      <c r="AH50" s="90" t="str">
        <f ca="1">IF($A50="", "",IFERROR(IF(VLOOKUP($A50, INDIRECT("'" &amp; 'Personalized Bill Menu'!$B$22 &amp; "'!" &amp;"$A$4:$CA$100"), VLOOKUP(VLOOKUP("RIDER RATE 7",'Misc. Data &amp; Mechanisms'!$E$601:$I$631,HLOOKUP('Personalized Bill Menu'!$B$22, 'Misc. Data &amp; Mechanisms'!$E$599:$I$600, 2, FALSE), FALSE), 'Misc. Data &amp; Mechanisms'!$A$599:$C$659, 2, FALSE), FALSE) = "", "", VLOOKUP($A50, INDIRECT("'" &amp; 'Personalized Bill Menu'!$B$22 &amp; "'!" &amp;"$A$4:$CA$100"), VLOOKUP(VLOOKUP("RIDER RATE 7",'Misc. Data &amp; Mechanisms'!$E$601:$I$631,HLOOKUP('Personalized Bill Menu'!$B$22, 'Misc. Data &amp; Mechanisms'!$E$599:$I$600, 2, FALSE), FALSE), 'Misc. Data &amp; Mechanisms'!$A$599:$C$659, 2, FALSE), FALSE)), ""))</f>
        <v/>
      </c>
      <c r="AI50" s="72">
        <f t="shared" ca="1" si="14"/>
        <v>-3.0932223236482819</v>
      </c>
      <c r="AJ50" s="72">
        <f t="shared" ca="1" si="15"/>
        <v>5.6645113519911456</v>
      </c>
      <c r="AK50" s="72">
        <f ca="1">IF($A50="", "", IFERROR(IF($AD$6="%",IF('Personalized Bill Menu'!$B$22="ENMAX", $AD50*$I50, IF(AND($AD50="", 'Personalized Bill Menu'!$B$22="FORTIS"),($AE50/100)*$C50,$AD50*$H50)),($AD50/100)*$C50), 0))</f>
        <v>0</v>
      </c>
      <c r="AL50" s="72">
        <f ca="1">IF($A50="", "", IFERROR(IF('Personalized Bill Menu'!$B$22="ENMAX",$AE50*$B50,IF($AE$6="%",$AE50*($H50+$I50+$J50), IF('Personalized Bill Menu'!$B$22="FORTIS",$AF50*$I50,($AE50/100)*$C50))), 0))</f>
        <v>0</v>
      </c>
      <c r="AM50" s="72" t="str">
        <f>IF($A50="", "", IFERROR(IF('Personalized Bill Menu'!$B$22="EPCOR",($AF50/100)*$C50, IF('Personalized Bill Menu'!$B$22="ATCO",$AF50*1,"")), 0))</f>
        <v/>
      </c>
      <c r="AN50" s="72" t="str">
        <f>IF($A50="", "", IFERROR(IF('Personalized Bill Menu'!$B$22="ATCO",$AG50*$B50,""), 0))</f>
        <v/>
      </c>
      <c r="AO50" s="70" t="str">
        <f>IF($A50="", "", IFERROR(IF('Personalized Bill Menu'!$B$22="ATCO",$AH50*$B50,""), 0))</f>
        <v/>
      </c>
      <c r="AP50" s="81">
        <f>IF('Personalized Bill Menu'!$B$34&lt;&gt;"Natural Gas", 'Personalized Bill Menu'!$K47, "")</f>
        <v>0.2291</v>
      </c>
      <c r="AQ50" s="72">
        <f t="shared" si="16"/>
        <v>7.1021000000000001</v>
      </c>
      <c r="AR50" s="91">
        <f ca="1">IF($A50="", "",IF(VLOOKUP($A50, INDIRECT("'" &amp; 'Personalized Bill Menu'!$B$22 &amp; "'!" &amp;"$A$4:$CA$100"), VLOOKUP(VLOOKUP(AR$5,'Misc. Data &amp; Mechanisms'!$E$601:$I$631,HLOOKUP('Personalized Bill Menu'!$B$22, 'Misc. Data &amp; Mechanisms'!$E$599:$I$600, 2, FALSE), FALSE), 'Misc. Data &amp; Mechanisms'!$A$599:$C$659, 2, FALSE), FALSE) = "", "", VLOOKUP($A50, INDIRECT("'" &amp; 'Personalized Bill Menu'!$B$22 &amp; "'!" &amp;"$A$4:$CA$100"), VLOOKUP(VLOOKUP(AR$5,'Misc. Data &amp; Mechanisms'!$E$601:$I$631,HLOOKUP('Personalized Bill Menu'!$B$22, 'Misc. Data &amp; Mechanisms'!$E$599:$I$600, 2, FALSE), FALSE), 'Misc. Data &amp; Mechanisms'!$A$599:$C$659, 2, FALSE), FALSE)))</f>
        <v>0.05</v>
      </c>
      <c r="AS50" s="2"/>
      <c r="AT50" s="2"/>
      <c r="AU50" s="2"/>
      <c r="AV50" s="2"/>
      <c r="AW50" s="2"/>
    </row>
    <row r="51" spans="1:49" x14ac:dyDescent="0.35">
      <c r="A51" s="83">
        <f>'Personalized Bill Menu'!$H48</f>
        <v>42248</v>
      </c>
      <c r="B51" s="84">
        <f t="shared" si="0"/>
        <v>30</v>
      </c>
      <c r="C51" s="85">
        <f>IF('Personalized Bill Menu'!$B$34&lt;&gt;"Natural Gas", 'Personalized Bill Menu'!$I48, "")</f>
        <v>519.19357702298203</v>
      </c>
      <c r="D51" s="66">
        <f t="shared" ca="1" si="17"/>
        <v>14.391494073986896</v>
      </c>
      <c r="E51" s="66">
        <f ca="1">IFERROR((1+$AR51)*(IF('Personalized Bill Menu'!$B$22="ENMAX", ((1+IFERROR($X51, 0))*($N51+$P51+$R51+$AB51+$AC51))+((1+IF($X51="", 0,$X51))*(IF($AD51="", 0,$AD51)*$R51)), IF('Personalized Bill Menu'!$B$22="EPCOR", ($N51+$P51+$R51+$X51+SUM($AB51:$AE51)), IF('Personalized Bill Menu'!$B$22="ATCO",($N51+((1+IF($AE51="", 0,$AE51))*(1+$X51+$Y51)*($P51+$R51))+SUM($AB51:$AD51)),IF($AD51="",$N51+((1+$X51+$Y51)*($P51+$R51))+$AB51+$AE51+(IF($AC51="", 0, $AC51)*$P51)+($R51*IF($AF51="", 0, $AF51)),$N51+((1+$X51+$Y51)*($P51+$R51))+$AB51+($AD51*$P51)+(IF($AC51="", 0, $AC51)*$P51)+($R51*IF($AF51="", 0, $AF51))))))), "")</f>
        <v>10.1519501328168</v>
      </c>
      <c r="F51" s="1469">
        <f t="shared" ca="1" si="1"/>
        <v>74.719712869783052</v>
      </c>
      <c r="G51" s="66">
        <f t="shared" si="2"/>
        <v>28.072796709632637</v>
      </c>
      <c r="H51" s="66">
        <f t="shared" ca="1" si="3"/>
        <v>10.105064589598298</v>
      </c>
      <c r="I51" s="66">
        <f t="shared" ca="1" si="4"/>
        <v>17.446356061196447</v>
      </c>
      <c r="J51" s="66">
        <f t="shared" ca="1" si="5"/>
        <v>6.4282845269877527</v>
      </c>
      <c r="K51" s="66">
        <f t="shared" ca="1" si="6"/>
        <v>2.236129417140146</v>
      </c>
      <c r="L51" s="66">
        <f t="shared" si="7"/>
        <v>6.8730000000000002</v>
      </c>
      <c r="M51" s="68">
        <f t="shared" ca="1" si="8"/>
        <v>3.5580815652277646</v>
      </c>
      <c r="N51" s="69">
        <f>IF('Personalized Bill Menu'!$B$34&lt;&gt;"Natural Gas", 'Personalized Bill Menu'!$J48, "")</f>
        <v>5.407</v>
      </c>
      <c r="O51" s="70">
        <f t="shared" si="9"/>
        <v>28.072796709632637</v>
      </c>
      <c r="P51" s="71">
        <f ca="1">IF($A51="", "",IFERROR(IF(VLOOKUP($A51, INDIRECT("'" &amp; 'Personalized Bill Menu'!$B$22 &amp; "'!" &amp;"$A$4:$CA$100"), VLOOKUP(VLOOKUP(P$5,'Misc. Data &amp; Mechanisms'!$E$601:$I$631,HLOOKUP('Personalized Bill Menu'!$B$22, 'Misc. Data &amp; Mechanisms'!$E$599:$I$600, 2, FALSE), FALSE), 'Misc. Data &amp; Mechanisms'!$A$599:$C$659, 2, FALSE), FALSE) = "", "", VLOOKUP($A51, INDIRECT("'" &amp; 'Personalized Bill Menu'!$B$22 &amp; "'!" &amp;"$A$4:$CA$100"), VLOOKUP(VLOOKUP(P$5,'Misc. Data &amp; Mechanisms'!$E$601:$I$631,HLOOKUP('Personalized Bill Menu'!$B$22, 'Misc. Data &amp; Mechanisms'!$E$599:$I$600, 2, FALSE), FALSE), 'Misc. Data &amp; Mechanisms'!$A$599:$C$659, 2, FALSE), FALSE)), ""))</f>
        <v>1.9462999999999999</v>
      </c>
      <c r="Q51" s="72">
        <f t="shared" ca="1" si="10"/>
        <v>10.105064589598298</v>
      </c>
      <c r="R51" s="87">
        <f ca="1">IF($A51="", "",IFERROR(IF(VLOOKUP($A51, INDIRECT("'" &amp; 'Personalized Bill Menu'!$B$22 &amp; "'!" &amp;"$A$4:$CA$100"), VLOOKUP(VLOOKUP(R$5,'Misc. Data &amp; Mechanisms'!$E$601:$I$631,HLOOKUP('Personalized Bill Menu'!$B$22, 'Misc. Data &amp; Mechanisms'!$E$599:$I$600, 2, FALSE), FALSE), 'Misc. Data &amp; Mechanisms'!$A$599:$C$659, 2, FALSE), FALSE) = "", "", VLOOKUP($A51, INDIRECT("'" &amp; 'Personalized Bill Menu'!$B$22 &amp; "'!" &amp;"$A$4:$CA$100"), VLOOKUP(VLOOKUP(R$5,'Misc. Data &amp; Mechanisms'!$E$601:$I$631,HLOOKUP('Personalized Bill Menu'!$B$22, 'Misc. Data &amp; Mechanisms'!$E$599:$I$600, 2, FALSE), FALSE), 'Misc. Data &amp; Mechanisms'!$A$599:$C$659, 2, FALSE), FALSE)), ""))</f>
        <v>0.88959999999999995</v>
      </c>
      <c r="S51" s="88">
        <f ca="1">IF($A51="", "",IFERROR(IF(VLOOKUP($A51, INDIRECT("'" &amp; 'Personalized Bill Menu'!$B$22 &amp; "'!" &amp;"$A$4:$CA$100"), VLOOKUP(VLOOKUP(S$5,'Misc. Data &amp; Mechanisms'!$E$601:$I$631,HLOOKUP('Personalized Bill Menu'!$B$22, 'Misc. Data &amp; Mechanisms'!$E$599:$I$600, 2, FALSE), FALSE), 'Misc. Data &amp; Mechanisms'!$A$599:$C$659, 2, FALSE), FALSE) = "", "", VLOOKUP($A51, INDIRECT("'" &amp; 'Personalized Bill Menu'!$B$22 &amp; "'!" &amp;"$A$4:$CA$100"), VLOOKUP(VLOOKUP(S$5,'Misc. Data &amp; Mechanisms'!$E$601:$I$631,HLOOKUP('Personalized Bill Menu'!$B$22, 'Misc. Data &amp; Mechanisms'!$E$599:$I$600, 2, FALSE), FALSE), 'Misc. Data &amp; Mechanisms'!$A$599:$C$659, 2, FALSE), FALSE)), ""))</f>
        <v>0.42758699999999999</v>
      </c>
      <c r="T51" s="81" t="str">
        <f ca="1">IF($A51="", "",IFERROR(IF(VLOOKUP($A51, INDIRECT("'" &amp; 'Personalized Bill Menu'!$B$22 &amp; "'!" &amp;"$A$4:$CA$100"), VLOOKUP(VLOOKUP(T$5,'Misc. Data &amp; Mechanisms'!$E$601:$I$631,HLOOKUP('Personalized Bill Menu'!$B$22, 'Misc. Data &amp; Mechanisms'!$E$599:$I$600, 2, FALSE), FALSE), 'Misc. Data &amp; Mechanisms'!$A$599:$C$659, 2, FALSE), FALSE) = "", "", VLOOKUP($A51, INDIRECT("'" &amp; 'Personalized Bill Menu'!$B$22 &amp; "'!" &amp;"$A$4:$CA$100"), VLOOKUP(VLOOKUP(T$5,'Misc. Data &amp; Mechanisms'!$E$601:$I$631,HLOOKUP('Personalized Bill Menu'!$B$22, 'Misc. Data &amp; Mechanisms'!$E$599:$I$600, 2, FALSE), FALSE), 'Misc. Data &amp; Mechanisms'!$A$599:$C$659, 2, FALSE), FALSE)), ""))</f>
        <v/>
      </c>
      <c r="U51" s="72">
        <f t="shared" ca="1" si="11"/>
        <v>4.6187460611964477</v>
      </c>
      <c r="V51" s="72">
        <f t="shared" ca="1" si="12"/>
        <v>12.82761</v>
      </c>
      <c r="W51" s="70" t="str">
        <f t="shared" si="13"/>
        <v/>
      </c>
      <c r="X51" s="78">
        <f>IFERROR(IF(VLOOKUP($A51,'Misc. Data &amp; Mechanisms'!$A$63:$DY$152,HLOOKUP('Personalized Bill Menu'!$B$21&amp;"_"&amp;'Personalized Bill Menu'!$B$22&amp;"_Elec_Y_1",'Misc. Data &amp; Mechanisms'!$A$55:$DY$62,8,FALSE), FALSE)="", "", VLOOKUP($A51,'Misc. Data &amp; Mechanisms'!$A$63:$DY$152,HLOOKUP('Personalized Bill Menu'!$B$21&amp;"_"&amp;'Personalized Bill Menu'!$B$22&amp;"_Elec_Y_1",'Misc. Data &amp; Mechanisms'!$A$55:$DY$62,8,FALSE), FALSE)), "")</f>
        <v>0.1111</v>
      </c>
      <c r="Y51" s="78" t="str">
        <f>IFERROR(IF(VLOOKUP($A51,'Misc. Data &amp; Mechanisms'!$A$63:$DY$152,HLOOKUP('Personalized Bill Menu'!$B$21&amp;"_"&amp;'Personalized Bill Menu'!$B$22&amp;"_Elec_Y_2",'Misc. Data &amp; Mechanisms'!$A$55:$DY$62,8,FALSE), FALSE)="", "", VLOOKUP($A51,'Misc. Data &amp; Mechanisms'!$A$63:$DY$152,HLOOKUP('Personalized Bill Menu'!$B$21&amp;"_"&amp;'Personalized Bill Menu'!$B$22&amp;"_Elec_Y_2",'Misc. Data &amp; Mechanisms'!$A$55:$DY$62,8,FALSE), FALSE)), "")</f>
        <v/>
      </c>
      <c r="Z51" s="72">
        <f ca="1">IF($A51="", "",IFERROR(IF(OR('Personalized Bill Menu'!$B$22="FORTIS", 'Personalized Bill Menu'!$B$22="ATCO"), $X51*($H51+$I51), IF('Personalized Bill Menu'!$B$22="ENMAX",$X51*($H51+$I51+$K51),($X51/100)*$C51)), 0))</f>
        <v>3.3093968125475666</v>
      </c>
      <c r="AA51" s="72">
        <f>IF($A51="", "", IFERROR(IF(OR('Personalized Bill Menu'!$B$22="FORTIS", 'Personalized Bill Menu'!$B$22="ATCO"), $Y51*($H51+$I51), IF('Personalized Bill Menu'!$B$22="ENMAX",$X51*$G51,"")), 0))</f>
        <v>3.1188877144401861</v>
      </c>
      <c r="AB51" s="89">
        <f ca="1">IF($A51="", "",IFERROR(IF(VLOOKUP($A51, INDIRECT("'" &amp; 'Personalized Bill Menu'!$B$22 &amp; "'!" &amp;"$A$4:$CA$100"), VLOOKUP(VLOOKUP("RIDER RATE 1",'Misc. Data &amp; Mechanisms'!$E$601:$I$631,HLOOKUP('Personalized Bill Menu'!$B$22, 'Misc. Data &amp; Mechanisms'!$E$599:$I$600, 2, FALSE), FALSE), 'Misc. Data &amp; Mechanisms'!$A$599:$C$659, 2, FALSE), FALSE) = "", "", VLOOKUP($A51, INDIRECT("'" &amp; 'Personalized Bill Menu'!$B$22 &amp; "'!" &amp;"$A$4:$CA$100"), VLOOKUP(VLOOKUP("RIDER RATE 1",'Misc. Data &amp; Mechanisms'!$E$601:$I$631,HLOOKUP('Personalized Bill Menu'!$B$22, 'Misc. Data &amp; Mechanisms'!$E$599:$I$600, 2, FALSE), FALSE), 'Misc. Data &amp; Mechanisms'!$A$599:$C$659, 2, FALSE), FALSE)), ""))</f>
        <v>-0.56420000000000003</v>
      </c>
      <c r="AC51" s="69">
        <f ca="1">IF($A51="", "",IFERROR(IF(VLOOKUP($A51, INDIRECT("'" &amp; 'Personalized Bill Menu'!$B$22 &amp; "'!" &amp;"$A$4:$CA$100"), VLOOKUP(VLOOKUP("RIDER RATE 2",'Misc. Data &amp; Mechanisms'!$E$601:$I$631,HLOOKUP('Personalized Bill Menu'!$B$22, 'Misc. Data &amp; Mechanisms'!$E$599:$I$600, 2, FALSE), FALSE), 'Misc. Data &amp; Mechanisms'!$A$599:$C$659, 2, FALSE), FALSE) = "", "", VLOOKUP($A51, INDIRECT("'" &amp; 'Personalized Bill Menu'!$B$22 &amp; "'!" &amp;"$A$4:$CA$100"), VLOOKUP(VLOOKUP("RIDER RATE 2",'Misc. Data &amp; Mechanisms'!$E$601:$I$631,HLOOKUP('Personalized Bill Menu'!$B$22, 'Misc. Data &amp; Mechanisms'!$E$599:$I$600, 2, FALSE), FALSE), 'Misc. Data &amp; Mechanisms'!$A$599:$C$659, 2, FALSE), FALSE)), ""))</f>
        <v>1.0331999999999999</v>
      </c>
      <c r="AD51" s="69">
        <f ca="1">IF($A51="", "",IFERROR(IF(VLOOKUP($A51, INDIRECT("'" &amp; 'Personalized Bill Menu'!$B$22 &amp; "'!" &amp;"$A$4:$CA$100"), VLOOKUP(VLOOKUP("RIDER RATE 3",'Misc. Data &amp; Mechanisms'!$E$601:$I$631,HLOOKUP('Personalized Bill Menu'!$B$22, 'Misc. Data &amp; Mechanisms'!$E$599:$I$600, 2, FALSE), FALSE), 'Misc. Data &amp; Mechanisms'!$A$599:$C$659, 2, FALSE), FALSE) = "", "", VLOOKUP($A51, INDIRECT("'" &amp; 'Personalized Bill Menu'!$B$22 &amp; "'!" &amp;"$A$4:$CA$100"), VLOOKUP(VLOOKUP("RIDER RATE 3",'Misc. Data &amp; Mechanisms'!$E$601:$I$631,HLOOKUP('Personalized Bill Menu'!$B$22, 'Misc. Data &amp; Mechanisms'!$E$599:$I$600, 2, FALSE), FALSE), 'Misc. Data &amp; Mechanisms'!$A$599:$C$659, 2, FALSE), FALSE)), ""))</f>
        <v>-1.14E-2</v>
      </c>
      <c r="AE51" s="69" t="str">
        <f ca="1">IF($A51="", "",IFERROR(IF(VLOOKUP($A51, INDIRECT("'" &amp; 'Personalized Bill Menu'!$B$22 &amp; "'!" &amp;"$A$4:$CA$100"), VLOOKUP(VLOOKUP("RIDER RATE 4",'Misc. Data &amp; Mechanisms'!$E$601:$I$631,HLOOKUP('Personalized Bill Menu'!$B$22, 'Misc. Data &amp; Mechanisms'!$E$599:$I$600, 2, FALSE), FALSE), 'Misc. Data &amp; Mechanisms'!$A$599:$C$659, 2, FALSE), FALSE) = "", "", VLOOKUP($A51, INDIRECT("'" &amp; 'Personalized Bill Menu'!$B$22 &amp; "'!" &amp;"$A$4:$CA$100"), VLOOKUP(VLOOKUP("RIDER RATE 4",'Misc. Data &amp; Mechanisms'!$E$601:$I$631,HLOOKUP('Personalized Bill Menu'!$B$22, 'Misc. Data &amp; Mechanisms'!$E$599:$I$600, 2, FALSE), FALSE), 'Misc. Data &amp; Mechanisms'!$A$599:$C$659, 2, FALSE), FALSE)), ""))</f>
        <v/>
      </c>
      <c r="AF51" s="90" t="str">
        <f ca="1">IF($A51="", "",IFERROR(IF(VLOOKUP($A51, INDIRECT("'" &amp; 'Personalized Bill Menu'!$B$22 &amp; "'!" &amp;"$A$4:$CA$100"), VLOOKUP(VLOOKUP("RIDER RATE 5",'Misc. Data &amp; Mechanisms'!$E$601:$I$631,HLOOKUP('Personalized Bill Menu'!$B$22, 'Misc. Data &amp; Mechanisms'!$E$599:$I$600, 2, FALSE), FALSE), 'Misc. Data &amp; Mechanisms'!$A$599:$C$659, 2, FALSE), FALSE) = "", "", VLOOKUP($A51, INDIRECT("'" &amp; 'Personalized Bill Menu'!$B$22 &amp; "'!" &amp;"$A$4:$CA$100"), VLOOKUP(VLOOKUP("RIDER RATE 5",'Misc. Data &amp; Mechanisms'!$E$601:$I$631,HLOOKUP('Personalized Bill Menu'!$B$22, 'Misc. Data &amp; Mechanisms'!$E$599:$I$600, 2, FALSE), FALSE), 'Misc. Data &amp; Mechanisms'!$A$599:$C$659, 2, FALSE), FALSE)), ""))</f>
        <v/>
      </c>
      <c r="AG51" s="90" t="str">
        <f ca="1">IF($A51="", "",IFERROR(IF(VLOOKUP($A51, INDIRECT("'" &amp; 'Personalized Bill Menu'!$B$22 &amp; "'!" &amp;"$A$4:$CA$100"), VLOOKUP(VLOOKUP("RIDER RATE 6",'Misc. Data &amp; Mechanisms'!$E$601:$I$631,HLOOKUP('Personalized Bill Menu'!$B$22, 'Misc. Data &amp; Mechanisms'!$E$599:$I$600, 2, FALSE), FALSE), 'Misc. Data &amp; Mechanisms'!$A$599:$C$659, 2, FALSE), FALSE) = "", "", VLOOKUP($A51, INDIRECT("'" &amp; 'Personalized Bill Menu'!$B$22 &amp; "'!" &amp;"$A$4:$CA$100"), VLOOKUP(VLOOKUP("RIDER RATE 6",'Misc. Data &amp; Mechanisms'!$E$601:$I$631,HLOOKUP('Personalized Bill Menu'!$B$22, 'Misc. Data &amp; Mechanisms'!$E$599:$I$600, 2, FALSE), FALSE), 'Misc. Data &amp; Mechanisms'!$A$599:$C$659, 2, FALSE), FALSE)), ""))</f>
        <v/>
      </c>
      <c r="AH51" s="90" t="str">
        <f ca="1">IF($A51="", "",IFERROR(IF(VLOOKUP($A51, INDIRECT("'" &amp; 'Personalized Bill Menu'!$B$22 &amp; "'!" &amp;"$A$4:$CA$100"), VLOOKUP(VLOOKUP("RIDER RATE 7",'Misc. Data &amp; Mechanisms'!$E$601:$I$631,HLOOKUP('Personalized Bill Menu'!$B$22, 'Misc. Data &amp; Mechanisms'!$E$599:$I$600, 2, FALSE), FALSE), 'Misc. Data &amp; Mechanisms'!$A$599:$C$659, 2, FALSE), FALSE) = "", "", VLOOKUP($A51, INDIRECT("'" &amp; 'Personalized Bill Menu'!$B$22 &amp; "'!" &amp;"$A$4:$CA$100"), VLOOKUP(VLOOKUP("RIDER RATE 7",'Misc. Data &amp; Mechanisms'!$E$601:$I$631,HLOOKUP('Personalized Bill Menu'!$B$22, 'Misc. Data &amp; Mechanisms'!$E$599:$I$600, 2, FALSE), FALSE), 'Misc. Data &amp; Mechanisms'!$A$599:$C$659, 2, FALSE), FALSE)), ""))</f>
        <v/>
      </c>
      <c r="AI51" s="72">
        <f t="shared" ca="1" si="14"/>
        <v>-2.9292901615636646</v>
      </c>
      <c r="AJ51" s="72">
        <f t="shared" ca="1" si="15"/>
        <v>5.3643080378014503</v>
      </c>
      <c r="AK51" s="72">
        <f ca="1">IF($A51="", "", IFERROR(IF($AD$6="%",IF('Personalized Bill Menu'!$B$22="ENMAX", $AD51*$I51, IF(AND($AD51="", 'Personalized Bill Menu'!$B$22="FORTIS"),($AE51/100)*$C51,$AD51*$H51)),($AD51/100)*$C51), 0))</f>
        <v>-0.1988884590976395</v>
      </c>
      <c r="AL51" s="72">
        <f ca="1">IF($A51="", "", IFERROR(IF('Personalized Bill Menu'!$B$22="ENMAX",$AE51*$B51,IF($AE$6="%",$AE51*($H51+$I51+$J51), IF('Personalized Bill Menu'!$B$22="FORTIS",$AF51*$I51,($AE51/100)*$C51))), 0))</f>
        <v>0</v>
      </c>
      <c r="AM51" s="72" t="str">
        <f>IF($A51="", "", IFERROR(IF('Personalized Bill Menu'!$B$22="EPCOR",($AF51/100)*$C51, IF('Personalized Bill Menu'!$B$22="ATCO",$AF51*1,"")), 0))</f>
        <v/>
      </c>
      <c r="AN51" s="72" t="str">
        <f>IF($A51="", "", IFERROR(IF('Personalized Bill Menu'!$B$22="ATCO",$AG51*$B51,""), 0))</f>
        <v/>
      </c>
      <c r="AO51" s="70" t="str">
        <f>IF($A51="", "", IFERROR(IF('Personalized Bill Menu'!$B$22="ATCO",$AH51*$B51,""), 0))</f>
        <v/>
      </c>
      <c r="AP51" s="81">
        <f>IF('Personalized Bill Menu'!$B$34&lt;&gt;"Natural Gas", 'Personalized Bill Menu'!$K48, "")</f>
        <v>0.2291</v>
      </c>
      <c r="AQ51" s="72">
        <f t="shared" si="16"/>
        <v>6.8730000000000002</v>
      </c>
      <c r="AR51" s="91">
        <f ca="1">IF($A51="", "",IF(VLOOKUP($A51, INDIRECT("'" &amp; 'Personalized Bill Menu'!$B$22 &amp; "'!" &amp;"$A$4:$CA$100"), VLOOKUP(VLOOKUP(AR$5,'Misc. Data &amp; Mechanisms'!$E$601:$I$631,HLOOKUP('Personalized Bill Menu'!$B$22, 'Misc. Data &amp; Mechanisms'!$E$599:$I$600, 2, FALSE), FALSE), 'Misc. Data &amp; Mechanisms'!$A$599:$C$659, 2, FALSE), FALSE) = "", "", VLOOKUP($A51, INDIRECT("'" &amp; 'Personalized Bill Menu'!$B$22 &amp; "'!" &amp;"$A$4:$CA$100"), VLOOKUP(VLOOKUP(AR$5,'Misc. Data &amp; Mechanisms'!$E$601:$I$631,HLOOKUP('Personalized Bill Menu'!$B$22, 'Misc. Data &amp; Mechanisms'!$E$599:$I$600, 2, FALSE), FALSE), 'Misc. Data &amp; Mechanisms'!$A$599:$C$659, 2, FALSE), FALSE)))</f>
        <v>0.05</v>
      </c>
      <c r="AS51" s="2"/>
      <c r="AT51" s="2"/>
      <c r="AU51" s="2"/>
      <c r="AV51" s="2"/>
      <c r="AW51" s="2"/>
    </row>
    <row r="52" spans="1:49" x14ac:dyDescent="0.35">
      <c r="A52" s="83">
        <f>'Personalized Bill Menu'!$H49</f>
        <v>42278</v>
      </c>
      <c r="B52" s="84">
        <f t="shared" si="0"/>
        <v>31</v>
      </c>
      <c r="C52" s="85">
        <f>IF('Personalized Bill Menu'!$B$34&lt;&gt;"Natural Gas", 'Personalized Bill Menu'!$I49, "")</f>
        <v>571.6210749094887</v>
      </c>
      <c r="D52" s="66">
        <f t="shared" ca="1" si="17"/>
        <v>14.760772068515982</v>
      </c>
      <c r="E52" s="66">
        <f ca="1">IFERROR((1+$AR52)*(IF('Personalized Bill Menu'!$B$22="ENMAX", ((1+IFERROR($X52, 0))*($N52+$P52+$R52+$AB52+$AC52))+((1+IF($X52="", 0,$X52))*(IF($AD52="", 0,$AD52)*$R52)), IF('Personalized Bill Menu'!$B$22="EPCOR", ($N52+$P52+$R52+$X52+SUM($AB52:$AE52)), IF('Personalized Bill Menu'!$B$22="ATCO",($N52+((1+IF($AE52="", 0,$AE52))*(1+$X52+$Y52)*($P52+$R52))+SUM($AB52:$AD52)),IF($AD52="",$N52+((1+$X52+$Y52)*($P52+$R52))+$AB52+$AE52+(IF($AC52="", 0, $AC52)*$P52)+($R52*IF($AF52="", 0, $AF52)),$N52+((1+$X52+$Y52)*($P52+$R52))+$AB52+($AD52*$P52)+(IF($AC52="", 0, $AC52)*$P52)+($R52*IF($AF52="", 0, $AF52))))))), "")</f>
        <v>10.781710501816802</v>
      </c>
      <c r="F52" s="1469">
        <f t="shared" ca="1" si="1"/>
        <v>84.375683962990621</v>
      </c>
      <c r="G52" s="66">
        <f t="shared" si="2"/>
        <v>31.751835847997373</v>
      </c>
      <c r="H52" s="66">
        <f t="shared" ca="1" si="3"/>
        <v>11.125460980963377</v>
      </c>
      <c r="I52" s="66">
        <f t="shared" ca="1" si="4"/>
        <v>18.340338082394808</v>
      </c>
      <c r="J52" s="66">
        <f t="shared" ca="1" si="5"/>
        <v>7.324910117205393</v>
      </c>
      <c r="K52" s="66">
        <f t="shared" ca="1" si="6"/>
        <v>4.7131492219063071</v>
      </c>
      <c r="L52" s="66">
        <f t="shared" si="7"/>
        <v>7.1021000000000001</v>
      </c>
      <c r="M52" s="68">
        <f t="shared" ca="1" si="8"/>
        <v>4.0178897125233632</v>
      </c>
      <c r="N52" s="69">
        <f>IF('Personalized Bill Menu'!$B$34&lt;&gt;"Natural Gas", 'Personalized Bill Menu'!$J49, "")</f>
        <v>5.5547000000000004</v>
      </c>
      <c r="O52" s="70">
        <f t="shared" si="9"/>
        <v>31.751835847997373</v>
      </c>
      <c r="P52" s="71">
        <f ca="1">IF($A52="", "",IFERROR(IF(VLOOKUP($A52, INDIRECT("'" &amp; 'Personalized Bill Menu'!$B$22 &amp; "'!" &amp;"$A$4:$CA$100"), VLOOKUP(VLOOKUP(P$5,'Misc. Data &amp; Mechanisms'!$E$601:$I$631,HLOOKUP('Personalized Bill Menu'!$B$22, 'Misc. Data &amp; Mechanisms'!$E$599:$I$600, 2, FALSE), FALSE), 'Misc. Data &amp; Mechanisms'!$A$599:$C$659, 2, FALSE), FALSE) = "", "", VLOOKUP($A52, INDIRECT("'" &amp; 'Personalized Bill Menu'!$B$22 &amp; "'!" &amp;"$A$4:$CA$100"), VLOOKUP(VLOOKUP(P$5,'Misc. Data &amp; Mechanisms'!$E$601:$I$631,HLOOKUP('Personalized Bill Menu'!$B$22, 'Misc. Data &amp; Mechanisms'!$E$599:$I$600, 2, FALSE), FALSE), 'Misc. Data &amp; Mechanisms'!$A$599:$C$659, 2, FALSE), FALSE)), ""))</f>
        <v>1.9462999999999999</v>
      </c>
      <c r="Q52" s="72">
        <f t="shared" ca="1" si="10"/>
        <v>11.125460980963377</v>
      </c>
      <c r="R52" s="87">
        <f ca="1">IF($A52="", "",IFERROR(IF(VLOOKUP($A52, INDIRECT("'" &amp; 'Personalized Bill Menu'!$B$22 &amp; "'!" &amp;"$A$4:$CA$100"), VLOOKUP(VLOOKUP(R$5,'Misc. Data &amp; Mechanisms'!$E$601:$I$631,HLOOKUP('Personalized Bill Menu'!$B$22, 'Misc. Data &amp; Mechanisms'!$E$599:$I$600, 2, FALSE), FALSE), 'Misc. Data &amp; Mechanisms'!$A$599:$C$659, 2, FALSE), FALSE) = "", "", VLOOKUP($A52, INDIRECT("'" &amp; 'Personalized Bill Menu'!$B$22 &amp; "'!" &amp;"$A$4:$CA$100"), VLOOKUP(VLOOKUP(R$5,'Misc. Data &amp; Mechanisms'!$E$601:$I$631,HLOOKUP('Personalized Bill Menu'!$B$22, 'Misc. Data &amp; Mechanisms'!$E$599:$I$600, 2, FALSE), FALSE), 'Misc. Data &amp; Mechanisms'!$A$599:$C$659, 2, FALSE), FALSE)), ""))</f>
        <v>0.88959999999999995</v>
      </c>
      <c r="S52" s="88">
        <f ca="1">IF($A52="", "",IFERROR(IF(VLOOKUP($A52, INDIRECT("'" &amp; 'Personalized Bill Menu'!$B$22 &amp; "'!" &amp;"$A$4:$CA$100"), VLOOKUP(VLOOKUP(S$5,'Misc. Data &amp; Mechanisms'!$E$601:$I$631,HLOOKUP('Personalized Bill Menu'!$B$22, 'Misc. Data &amp; Mechanisms'!$E$599:$I$600, 2, FALSE), FALSE), 'Misc. Data &amp; Mechanisms'!$A$599:$C$659, 2, FALSE), FALSE) = "", "", VLOOKUP($A52, INDIRECT("'" &amp; 'Personalized Bill Menu'!$B$22 &amp; "'!" &amp;"$A$4:$CA$100"), VLOOKUP(VLOOKUP(S$5,'Misc. Data &amp; Mechanisms'!$E$601:$I$631,HLOOKUP('Personalized Bill Menu'!$B$22, 'Misc. Data &amp; Mechanisms'!$E$599:$I$600, 2, FALSE), FALSE), 'Misc. Data &amp; Mechanisms'!$A$599:$C$659, 2, FALSE), FALSE)), ""))</f>
        <v>0.42758699999999999</v>
      </c>
      <c r="T52" s="81" t="str">
        <f ca="1">IF($A52="", "",IFERROR(IF(VLOOKUP($A52, INDIRECT("'" &amp; 'Personalized Bill Menu'!$B$22 &amp; "'!" &amp;"$A$4:$CA$100"), VLOOKUP(VLOOKUP(T$5,'Misc. Data &amp; Mechanisms'!$E$601:$I$631,HLOOKUP('Personalized Bill Menu'!$B$22, 'Misc. Data &amp; Mechanisms'!$E$599:$I$600, 2, FALSE), FALSE), 'Misc. Data &amp; Mechanisms'!$A$599:$C$659, 2, FALSE), FALSE) = "", "", VLOOKUP($A52, INDIRECT("'" &amp; 'Personalized Bill Menu'!$B$22 &amp; "'!" &amp;"$A$4:$CA$100"), VLOOKUP(VLOOKUP(T$5,'Misc. Data &amp; Mechanisms'!$E$601:$I$631,HLOOKUP('Personalized Bill Menu'!$B$22, 'Misc. Data &amp; Mechanisms'!$E$599:$I$600, 2, FALSE), FALSE), 'Misc. Data &amp; Mechanisms'!$A$599:$C$659, 2, FALSE), FALSE)), ""))</f>
        <v/>
      </c>
      <c r="U52" s="72">
        <f t="shared" ca="1" si="11"/>
        <v>5.0851410823948111</v>
      </c>
      <c r="V52" s="72">
        <f t="shared" ca="1" si="12"/>
        <v>13.255196999999999</v>
      </c>
      <c r="W52" s="70" t="str">
        <f t="shared" si="13"/>
        <v/>
      </c>
      <c r="X52" s="78">
        <f>IFERROR(IF(VLOOKUP($A52,'Misc. Data &amp; Mechanisms'!$A$63:$DY$152,HLOOKUP('Personalized Bill Menu'!$B$21&amp;"_"&amp;'Personalized Bill Menu'!$B$22&amp;"_Elec_Y_1",'Misc. Data &amp; Mechanisms'!$A$55:$DY$62,8,FALSE), FALSE)="", "", VLOOKUP($A52,'Misc. Data &amp; Mechanisms'!$A$63:$DY$152,HLOOKUP('Personalized Bill Menu'!$B$21&amp;"_"&amp;'Personalized Bill Menu'!$B$22&amp;"_Elec_Y_1",'Misc. Data &amp; Mechanisms'!$A$55:$DY$62,8,FALSE), FALSE)), "")</f>
        <v>0.1111</v>
      </c>
      <c r="Y52" s="78" t="str">
        <f>IFERROR(IF(VLOOKUP($A52,'Misc. Data &amp; Mechanisms'!$A$63:$DY$152,HLOOKUP('Personalized Bill Menu'!$B$21&amp;"_"&amp;'Personalized Bill Menu'!$B$22&amp;"_Elec_Y_2",'Misc. Data &amp; Mechanisms'!$A$55:$DY$62,8,FALSE), FALSE)="", "", VLOOKUP($A52,'Misc. Data &amp; Mechanisms'!$A$63:$DY$152,HLOOKUP('Personalized Bill Menu'!$B$21&amp;"_"&amp;'Personalized Bill Menu'!$B$22&amp;"_Elec_Y_2",'Misc. Data &amp; Mechanisms'!$A$55:$DY$62,8,FALSE), FALSE)), "")</f>
        <v/>
      </c>
      <c r="Z52" s="72">
        <f ca="1">IF($A52="", "",IFERROR(IF(OR('Personalized Bill Menu'!$B$22="FORTIS", 'Personalized Bill Menu'!$B$22="ATCO"), $X52*($H52+$I52), IF('Personalized Bill Menu'!$B$22="ENMAX",$X52*($H52+$I52+$K52),($X52/100)*$C52)), 0))</f>
        <v>3.7972811544928851</v>
      </c>
      <c r="AA52" s="72">
        <f>IF($A52="", "", IFERROR(IF(OR('Personalized Bill Menu'!$B$22="FORTIS", 'Personalized Bill Menu'!$B$22="ATCO"), $Y52*($H52+$I52), IF('Personalized Bill Menu'!$B$22="ENMAX",$X52*$G52,"")), 0))</f>
        <v>3.5276289627125084</v>
      </c>
      <c r="AB52" s="89">
        <f ca="1">IF($A52="", "",IFERROR(IF(VLOOKUP($A52, INDIRECT("'" &amp; 'Personalized Bill Menu'!$B$22 &amp; "'!" &amp;"$A$4:$CA$100"), VLOOKUP(VLOOKUP("RIDER RATE 1",'Misc. Data &amp; Mechanisms'!$E$601:$I$631,HLOOKUP('Personalized Bill Menu'!$B$22, 'Misc. Data &amp; Mechanisms'!$E$599:$I$600, 2, FALSE), FALSE), 'Misc. Data &amp; Mechanisms'!$A$599:$C$659, 2, FALSE), FALSE) = "", "", VLOOKUP($A52, INDIRECT("'" &amp; 'Personalized Bill Menu'!$B$22 &amp; "'!" &amp;"$A$4:$CA$100"), VLOOKUP(VLOOKUP("RIDER RATE 1",'Misc. Data &amp; Mechanisms'!$E$601:$I$631,HLOOKUP('Personalized Bill Menu'!$B$22, 'Misc. Data &amp; Mechanisms'!$E$599:$I$600, 2, FALSE), FALSE), 'Misc. Data &amp; Mechanisms'!$A$599:$C$659, 2, FALSE), FALSE)), ""))</f>
        <v>-0.56420000000000003</v>
      </c>
      <c r="AC52" s="69">
        <f ca="1">IF($A52="", "",IFERROR(IF(VLOOKUP($A52, INDIRECT("'" &amp; 'Personalized Bill Menu'!$B$22 &amp; "'!" &amp;"$A$4:$CA$100"), VLOOKUP(VLOOKUP("RIDER RATE 2",'Misc. Data &amp; Mechanisms'!$E$601:$I$631,HLOOKUP('Personalized Bill Menu'!$B$22, 'Misc. Data &amp; Mechanisms'!$E$599:$I$600, 2, FALSE), FALSE), 'Misc. Data &amp; Mechanisms'!$A$599:$C$659, 2, FALSE), FALSE) = "", "", VLOOKUP($A52, INDIRECT("'" &amp; 'Personalized Bill Menu'!$B$22 &amp; "'!" &amp;"$A$4:$CA$100"), VLOOKUP(VLOOKUP("RIDER RATE 2",'Misc. Data &amp; Mechanisms'!$E$601:$I$631,HLOOKUP('Personalized Bill Menu'!$B$22, 'Misc. Data &amp; Mechanisms'!$E$599:$I$600, 2, FALSE), FALSE), 'Misc. Data &amp; Mechanisms'!$A$599:$C$659, 2, FALSE), FALSE)), ""))</f>
        <v>1.4253</v>
      </c>
      <c r="AD52" s="69">
        <f ca="1">IF($A52="", "",IFERROR(IF(VLOOKUP($A52, INDIRECT("'" &amp; 'Personalized Bill Menu'!$B$22 &amp; "'!" &amp;"$A$4:$CA$100"), VLOOKUP(VLOOKUP("RIDER RATE 3",'Misc. Data &amp; Mechanisms'!$E$601:$I$631,HLOOKUP('Personalized Bill Menu'!$B$22, 'Misc. Data &amp; Mechanisms'!$E$599:$I$600, 2, FALSE), FALSE), 'Misc. Data &amp; Mechanisms'!$A$599:$C$659, 2, FALSE), FALSE) = "", "", VLOOKUP($A52, INDIRECT("'" &amp; 'Personalized Bill Menu'!$B$22 &amp; "'!" &amp;"$A$4:$CA$100"), VLOOKUP(VLOOKUP("RIDER RATE 3",'Misc. Data &amp; Mechanisms'!$E$601:$I$631,HLOOKUP('Personalized Bill Menu'!$B$22, 'Misc. Data &amp; Mechanisms'!$E$599:$I$600, 2, FALSE), FALSE), 'Misc. Data &amp; Mechanisms'!$A$599:$C$659, 2, FALSE), FALSE)), ""))</f>
        <v>-1.14E-2</v>
      </c>
      <c r="AE52" s="69" t="str">
        <f ca="1">IF($A52="", "",IFERROR(IF(VLOOKUP($A52, INDIRECT("'" &amp; 'Personalized Bill Menu'!$B$22 &amp; "'!" &amp;"$A$4:$CA$100"), VLOOKUP(VLOOKUP("RIDER RATE 4",'Misc. Data &amp; Mechanisms'!$E$601:$I$631,HLOOKUP('Personalized Bill Menu'!$B$22, 'Misc. Data &amp; Mechanisms'!$E$599:$I$600, 2, FALSE), FALSE), 'Misc. Data &amp; Mechanisms'!$A$599:$C$659, 2, FALSE), FALSE) = "", "", VLOOKUP($A52, INDIRECT("'" &amp; 'Personalized Bill Menu'!$B$22 &amp; "'!" &amp;"$A$4:$CA$100"), VLOOKUP(VLOOKUP("RIDER RATE 4",'Misc. Data &amp; Mechanisms'!$E$601:$I$631,HLOOKUP('Personalized Bill Menu'!$B$22, 'Misc. Data &amp; Mechanisms'!$E$599:$I$600, 2, FALSE), FALSE), 'Misc. Data &amp; Mechanisms'!$A$599:$C$659, 2, FALSE), FALSE)), ""))</f>
        <v/>
      </c>
      <c r="AF52" s="90" t="str">
        <f ca="1">IF($A52="", "",IFERROR(IF(VLOOKUP($A52, INDIRECT("'" &amp; 'Personalized Bill Menu'!$B$22 &amp; "'!" &amp;"$A$4:$CA$100"), VLOOKUP(VLOOKUP("RIDER RATE 5",'Misc. Data &amp; Mechanisms'!$E$601:$I$631,HLOOKUP('Personalized Bill Menu'!$B$22, 'Misc. Data &amp; Mechanisms'!$E$599:$I$600, 2, FALSE), FALSE), 'Misc. Data &amp; Mechanisms'!$A$599:$C$659, 2, FALSE), FALSE) = "", "", VLOOKUP($A52, INDIRECT("'" &amp; 'Personalized Bill Menu'!$B$22 &amp; "'!" &amp;"$A$4:$CA$100"), VLOOKUP(VLOOKUP("RIDER RATE 5",'Misc. Data &amp; Mechanisms'!$E$601:$I$631,HLOOKUP('Personalized Bill Menu'!$B$22, 'Misc. Data &amp; Mechanisms'!$E$599:$I$600, 2, FALSE), FALSE), 'Misc. Data &amp; Mechanisms'!$A$599:$C$659, 2, FALSE), FALSE)), ""))</f>
        <v/>
      </c>
      <c r="AG52" s="90" t="str">
        <f ca="1">IF($A52="", "",IFERROR(IF(VLOOKUP($A52, INDIRECT("'" &amp; 'Personalized Bill Menu'!$B$22 &amp; "'!" &amp;"$A$4:$CA$100"), VLOOKUP(VLOOKUP("RIDER RATE 6",'Misc. Data &amp; Mechanisms'!$E$601:$I$631,HLOOKUP('Personalized Bill Menu'!$B$22, 'Misc. Data &amp; Mechanisms'!$E$599:$I$600, 2, FALSE), FALSE), 'Misc. Data &amp; Mechanisms'!$A$599:$C$659, 2, FALSE), FALSE) = "", "", VLOOKUP($A52, INDIRECT("'" &amp; 'Personalized Bill Menu'!$B$22 &amp; "'!" &amp;"$A$4:$CA$100"), VLOOKUP(VLOOKUP("RIDER RATE 6",'Misc. Data &amp; Mechanisms'!$E$601:$I$631,HLOOKUP('Personalized Bill Menu'!$B$22, 'Misc. Data &amp; Mechanisms'!$E$599:$I$600, 2, FALSE), FALSE), 'Misc. Data &amp; Mechanisms'!$A$599:$C$659, 2, FALSE), FALSE)), ""))</f>
        <v/>
      </c>
      <c r="AH52" s="90" t="str">
        <f ca="1">IF($A52="", "",IFERROR(IF(VLOOKUP($A52, INDIRECT("'" &amp; 'Personalized Bill Menu'!$B$22 &amp; "'!" &amp;"$A$4:$CA$100"), VLOOKUP(VLOOKUP("RIDER RATE 7",'Misc. Data &amp; Mechanisms'!$E$601:$I$631,HLOOKUP('Personalized Bill Menu'!$B$22, 'Misc. Data &amp; Mechanisms'!$E$599:$I$600, 2, FALSE), FALSE), 'Misc. Data &amp; Mechanisms'!$A$599:$C$659, 2, FALSE), FALSE) = "", "", VLOOKUP($A52, INDIRECT("'" &amp; 'Personalized Bill Menu'!$B$22 &amp; "'!" &amp;"$A$4:$CA$100"), VLOOKUP(VLOOKUP("RIDER RATE 7",'Misc. Data &amp; Mechanisms'!$E$601:$I$631,HLOOKUP('Personalized Bill Menu'!$B$22, 'Misc. Data &amp; Mechanisms'!$E$599:$I$600, 2, FALSE), FALSE), 'Misc. Data &amp; Mechanisms'!$A$599:$C$659, 2, FALSE), FALSE)), ""))</f>
        <v/>
      </c>
      <c r="AI52" s="72">
        <f t="shared" ca="1" si="14"/>
        <v>-3.2250861046393355</v>
      </c>
      <c r="AJ52" s="72">
        <f t="shared" ca="1" si="15"/>
        <v>8.1473151806849433</v>
      </c>
      <c r="AK52" s="72">
        <f ca="1">IF($A52="", "", IFERROR(IF($AD$6="%",IF('Personalized Bill Menu'!$B$22="ENMAX", $AD52*$I52, IF(AND($AD52="", 'Personalized Bill Menu'!$B$22="FORTIS"),($AE52/100)*$C52,$AD52*$H52)),($AD52/100)*$C52), 0))</f>
        <v>-0.20907985413930083</v>
      </c>
      <c r="AL52" s="72">
        <f ca="1">IF($A52="", "", IFERROR(IF('Personalized Bill Menu'!$B$22="ENMAX",$AE52*$B52,IF($AE$6="%",$AE52*($H52+$I52+$J52), IF('Personalized Bill Menu'!$B$22="FORTIS",$AF52*$I52,($AE52/100)*$C52))), 0))</f>
        <v>0</v>
      </c>
      <c r="AM52" s="72" t="str">
        <f>IF($A52="", "", IFERROR(IF('Personalized Bill Menu'!$B$22="EPCOR",($AF52/100)*$C52, IF('Personalized Bill Menu'!$B$22="ATCO",$AF52*1,"")), 0))</f>
        <v/>
      </c>
      <c r="AN52" s="72" t="str">
        <f>IF($A52="", "", IFERROR(IF('Personalized Bill Menu'!$B$22="ATCO",$AG52*$B52,""), 0))</f>
        <v/>
      </c>
      <c r="AO52" s="70" t="str">
        <f>IF($A52="", "", IFERROR(IF('Personalized Bill Menu'!$B$22="ATCO",$AH52*$B52,""), 0))</f>
        <v/>
      </c>
      <c r="AP52" s="81">
        <f>IF('Personalized Bill Menu'!$B$34&lt;&gt;"Natural Gas", 'Personalized Bill Menu'!$K49, "")</f>
        <v>0.2291</v>
      </c>
      <c r="AQ52" s="72">
        <f t="shared" si="16"/>
        <v>7.1021000000000001</v>
      </c>
      <c r="AR52" s="91">
        <f ca="1">IF($A52="", "",IF(VLOOKUP($A52, INDIRECT("'" &amp; 'Personalized Bill Menu'!$B$22 &amp; "'!" &amp;"$A$4:$CA$100"), VLOOKUP(VLOOKUP(AR$5,'Misc. Data &amp; Mechanisms'!$E$601:$I$631,HLOOKUP('Personalized Bill Menu'!$B$22, 'Misc. Data &amp; Mechanisms'!$E$599:$I$600, 2, FALSE), FALSE), 'Misc. Data &amp; Mechanisms'!$A$599:$C$659, 2, FALSE), FALSE) = "", "", VLOOKUP($A52, INDIRECT("'" &amp; 'Personalized Bill Menu'!$B$22 &amp; "'!" &amp;"$A$4:$CA$100"), VLOOKUP(VLOOKUP(AR$5,'Misc. Data &amp; Mechanisms'!$E$601:$I$631,HLOOKUP('Personalized Bill Menu'!$B$22, 'Misc. Data &amp; Mechanisms'!$E$599:$I$600, 2, FALSE), FALSE), 'Misc. Data &amp; Mechanisms'!$A$599:$C$659, 2, FALSE), FALSE)))</f>
        <v>0.05</v>
      </c>
      <c r="AS52" s="2"/>
      <c r="AT52" s="2"/>
      <c r="AU52" s="2"/>
      <c r="AV52" s="2"/>
      <c r="AW52" s="2"/>
    </row>
    <row r="53" spans="1:49" x14ac:dyDescent="0.35">
      <c r="A53" s="83">
        <f>'Personalized Bill Menu'!$H50</f>
        <v>42309</v>
      </c>
      <c r="B53" s="84">
        <f t="shared" si="0"/>
        <v>30</v>
      </c>
      <c r="C53" s="85">
        <f>IF('Personalized Bill Menu'!$B$34&lt;&gt;"Natural Gas", 'Personalized Bill Menu'!$I50, "")</f>
        <v>621.16898918569302</v>
      </c>
      <c r="D53" s="66">
        <f t="shared" ca="1" si="17"/>
        <v>13.682317916770455</v>
      </c>
      <c r="E53" s="66">
        <f ca="1">IFERROR((1+$AR53)*(IF('Personalized Bill Menu'!$B$22="ENMAX", ((1+IFERROR($X53, 0))*($N53+$P53+$R53+$AB53+$AC53))+((1+IF($X53="", 0,$X53))*(IF($AD53="", 0,$AD53)*$R53)), IF('Personalized Bill Menu'!$B$22="EPCOR", ($N53+$P53+$R53+$X53+SUM($AB53:$AE53)), IF('Personalized Bill Menu'!$B$22="ATCO",($N53+((1+IF($AE53="", 0,$AE53))*(1+$X53+$Y53)*($P53+$R53))+SUM($AB53:$AD53)),IF($AD53="",$N53+((1+$X53+$Y53)*($P53+$R53))+$AB53+$AE53+(IF($AC53="", 0, $AC53)*$P53)+($R53*IF($AF53="", 0, $AF53)),$N53+((1+$X53+$Y53)*($P53+$R53))+$AB53+($AD53*$P53)+(IF($AC53="", 0, $AC53)*$P53)+($R53*IF($AF53="", 0, $AF53))))))), "")</f>
        <v>10.138766931316798</v>
      </c>
      <c r="F53" s="1469">
        <f t="shared" ca="1" si="1"/>
        <v>84.990315900775997</v>
      </c>
      <c r="G53" s="66">
        <f t="shared" si="2"/>
        <v>31.080811542895333</v>
      </c>
      <c r="H53" s="66">
        <f t="shared" ca="1" si="3"/>
        <v>12.089812036521142</v>
      </c>
      <c r="I53" s="66">
        <f t="shared" ca="1" si="4"/>
        <v>18.353529327795925</v>
      </c>
      <c r="J53" s="66">
        <f t="shared" ca="1" si="5"/>
        <v>7.4063491619855171</v>
      </c>
      <c r="K53" s="66">
        <f t="shared" ca="1" si="6"/>
        <v>5.1396559315411299</v>
      </c>
      <c r="L53" s="66">
        <f t="shared" si="7"/>
        <v>6.8730000000000002</v>
      </c>
      <c r="M53" s="68">
        <f t="shared" ca="1" si="8"/>
        <v>4.0471579000369529</v>
      </c>
      <c r="N53" s="69">
        <f>IF('Personalized Bill Menu'!$B$34&lt;&gt;"Natural Gas", 'Personalized Bill Menu'!$J50, "")</f>
        <v>5.0035999999999996</v>
      </c>
      <c r="O53" s="70">
        <f t="shared" si="9"/>
        <v>31.080811542895333</v>
      </c>
      <c r="P53" s="71">
        <f ca="1">IF($A53="", "",IFERROR(IF(VLOOKUP($A53, INDIRECT("'" &amp; 'Personalized Bill Menu'!$B$22 &amp; "'!" &amp;"$A$4:$CA$100"), VLOOKUP(VLOOKUP(P$5,'Misc. Data &amp; Mechanisms'!$E$601:$I$631,HLOOKUP('Personalized Bill Menu'!$B$22, 'Misc. Data &amp; Mechanisms'!$E$599:$I$600, 2, FALSE), FALSE), 'Misc. Data &amp; Mechanisms'!$A$599:$C$659, 2, FALSE), FALSE) = "", "", VLOOKUP($A53, INDIRECT("'" &amp; 'Personalized Bill Menu'!$B$22 &amp; "'!" &amp;"$A$4:$CA$100"), VLOOKUP(VLOOKUP(P$5,'Misc. Data &amp; Mechanisms'!$E$601:$I$631,HLOOKUP('Personalized Bill Menu'!$B$22, 'Misc. Data &amp; Mechanisms'!$E$599:$I$600, 2, FALSE), FALSE), 'Misc. Data &amp; Mechanisms'!$A$599:$C$659, 2, FALSE), FALSE)), ""))</f>
        <v>1.9462999999999999</v>
      </c>
      <c r="Q53" s="72">
        <f t="shared" ca="1" si="10"/>
        <v>12.089812036521142</v>
      </c>
      <c r="R53" s="87">
        <f ca="1">IF($A53="", "",IFERROR(IF(VLOOKUP($A53, INDIRECT("'" &amp; 'Personalized Bill Menu'!$B$22 &amp; "'!" &amp;"$A$4:$CA$100"), VLOOKUP(VLOOKUP(R$5,'Misc. Data &amp; Mechanisms'!$E$601:$I$631,HLOOKUP('Personalized Bill Menu'!$B$22, 'Misc. Data &amp; Mechanisms'!$E$599:$I$600, 2, FALSE), FALSE), 'Misc. Data &amp; Mechanisms'!$A$599:$C$659, 2, FALSE), FALSE) = "", "", VLOOKUP($A53, INDIRECT("'" &amp; 'Personalized Bill Menu'!$B$22 &amp; "'!" &amp;"$A$4:$CA$100"), VLOOKUP(VLOOKUP(R$5,'Misc. Data &amp; Mechanisms'!$E$601:$I$631,HLOOKUP('Personalized Bill Menu'!$B$22, 'Misc. Data &amp; Mechanisms'!$E$599:$I$600, 2, FALSE), FALSE), 'Misc. Data &amp; Mechanisms'!$A$599:$C$659, 2, FALSE), FALSE)), ""))</f>
        <v>0.88959999999999995</v>
      </c>
      <c r="S53" s="88">
        <f ca="1">IF($A53="", "",IFERROR(IF(VLOOKUP($A53, INDIRECT("'" &amp; 'Personalized Bill Menu'!$B$22 &amp; "'!" &amp;"$A$4:$CA$100"), VLOOKUP(VLOOKUP(S$5,'Misc. Data &amp; Mechanisms'!$E$601:$I$631,HLOOKUP('Personalized Bill Menu'!$B$22, 'Misc. Data &amp; Mechanisms'!$E$599:$I$600, 2, FALSE), FALSE), 'Misc. Data &amp; Mechanisms'!$A$599:$C$659, 2, FALSE), FALSE) = "", "", VLOOKUP($A53, INDIRECT("'" &amp; 'Personalized Bill Menu'!$B$22 &amp; "'!" &amp;"$A$4:$CA$100"), VLOOKUP(VLOOKUP(S$5,'Misc. Data &amp; Mechanisms'!$E$601:$I$631,HLOOKUP('Personalized Bill Menu'!$B$22, 'Misc. Data &amp; Mechanisms'!$E$599:$I$600, 2, FALSE), FALSE), 'Misc. Data &amp; Mechanisms'!$A$599:$C$659, 2, FALSE), FALSE)), ""))</f>
        <v>0.42758699999999999</v>
      </c>
      <c r="T53" s="81" t="str">
        <f ca="1">IF($A53="", "",IFERROR(IF(VLOOKUP($A53, INDIRECT("'" &amp; 'Personalized Bill Menu'!$B$22 &amp; "'!" &amp;"$A$4:$CA$100"), VLOOKUP(VLOOKUP(T$5,'Misc. Data &amp; Mechanisms'!$E$601:$I$631,HLOOKUP('Personalized Bill Menu'!$B$22, 'Misc. Data &amp; Mechanisms'!$E$599:$I$600, 2, FALSE), FALSE), 'Misc. Data &amp; Mechanisms'!$A$599:$C$659, 2, FALSE), FALSE) = "", "", VLOOKUP($A53, INDIRECT("'" &amp; 'Personalized Bill Menu'!$B$22 &amp; "'!" &amp;"$A$4:$CA$100"), VLOOKUP(VLOOKUP(T$5,'Misc. Data &amp; Mechanisms'!$E$601:$I$631,HLOOKUP('Personalized Bill Menu'!$B$22, 'Misc. Data &amp; Mechanisms'!$E$599:$I$600, 2, FALSE), FALSE), 'Misc. Data &amp; Mechanisms'!$A$599:$C$659, 2, FALSE), FALSE)), ""))</f>
        <v/>
      </c>
      <c r="U53" s="72">
        <f t="shared" ca="1" si="11"/>
        <v>5.5259193277959247</v>
      </c>
      <c r="V53" s="72">
        <f t="shared" ca="1" si="12"/>
        <v>12.82761</v>
      </c>
      <c r="W53" s="70" t="str">
        <f t="shared" si="13"/>
        <v/>
      </c>
      <c r="X53" s="78">
        <f>IFERROR(IF(VLOOKUP($A53,'Misc. Data &amp; Mechanisms'!$A$63:$DY$152,HLOOKUP('Personalized Bill Menu'!$B$21&amp;"_"&amp;'Personalized Bill Menu'!$B$22&amp;"_Elec_Y_1",'Misc. Data &amp; Mechanisms'!$A$55:$DY$62,8,FALSE), FALSE)="", "", VLOOKUP($A53,'Misc. Data &amp; Mechanisms'!$A$63:$DY$152,HLOOKUP('Personalized Bill Menu'!$B$21&amp;"_"&amp;'Personalized Bill Menu'!$B$22&amp;"_Elec_Y_1",'Misc. Data &amp; Mechanisms'!$A$55:$DY$62,8,FALSE), FALSE)), "")</f>
        <v>0.1111</v>
      </c>
      <c r="Y53" s="78" t="str">
        <f>IFERROR(IF(VLOOKUP($A53,'Misc. Data &amp; Mechanisms'!$A$63:$DY$152,HLOOKUP('Personalized Bill Menu'!$B$21&amp;"_"&amp;'Personalized Bill Menu'!$B$22&amp;"_Elec_Y_2",'Misc. Data &amp; Mechanisms'!$A$55:$DY$62,8,FALSE), FALSE)="", "", VLOOKUP($A53,'Misc. Data &amp; Mechanisms'!$A$63:$DY$152,HLOOKUP('Personalized Bill Menu'!$B$21&amp;"_"&amp;'Personalized Bill Menu'!$B$22&amp;"_Elec_Y_2",'Misc. Data &amp; Mechanisms'!$A$55:$DY$62,8,FALSE), FALSE)), "")</f>
        <v/>
      </c>
      <c r="Z53" s="72">
        <f ca="1">IF($A53="", "",IFERROR(IF(OR('Personalized Bill Menu'!$B$22="FORTIS", 'Personalized Bill Menu'!$B$22="ATCO"), $X53*($H53+$I53), IF('Personalized Bill Menu'!$B$22="ENMAX",$X53*($H53+$I53+$K53),($X53/100)*$C53)), 0))</f>
        <v>3.9532709995698458</v>
      </c>
      <c r="AA53" s="72">
        <f>IF($A53="", "", IFERROR(IF(OR('Personalized Bill Menu'!$B$22="FORTIS", 'Personalized Bill Menu'!$B$22="ATCO"), $Y53*($H53+$I53), IF('Personalized Bill Menu'!$B$22="ENMAX",$X53*$G53,"")), 0))</f>
        <v>3.4530781624156717</v>
      </c>
      <c r="AB53" s="89">
        <f ca="1">IF($A53="", "",IFERROR(IF(VLOOKUP($A53, INDIRECT("'" &amp; 'Personalized Bill Menu'!$B$22 &amp; "'!" &amp;"$A$4:$CA$100"), VLOOKUP(VLOOKUP("RIDER RATE 1",'Misc. Data &amp; Mechanisms'!$E$601:$I$631,HLOOKUP('Personalized Bill Menu'!$B$22, 'Misc. Data &amp; Mechanisms'!$E$599:$I$600, 2, FALSE), FALSE), 'Misc. Data &amp; Mechanisms'!$A$599:$C$659, 2, FALSE), FALSE) = "", "", VLOOKUP($A53, INDIRECT("'" &amp; 'Personalized Bill Menu'!$B$22 &amp; "'!" &amp;"$A$4:$CA$100"), VLOOKUP(VLOOKUP("RIDER RATE 1",'Misc. Data &amp; Mechanisms'!$E$601:$I$631,HLOOKUP('Personalized Bill Menu'!$B$22, 'Misc. Data &amp; Mechanisms'!$E$599:$I$600, 2, FALSE), FALSE), 'Misc. Data &amp; Mechanisms'!$A$599:$C$659, 2, FALSE), FALSE)), ""))</f>
        <v>-0.56420000000000003</v>
      </c>
      <c r="AC53" s="69">
        <f ca="1">IF($A53="", "",IFERROR(IF(VLOOKUP($A53, INDIRECT("'" &amp; 'Personalized Bill Menu'!$B$22 &amp; "'!" &amp;"$A$4:$CA$100"), VLOOKUP(VLOOKUP("RIDER RATE 2",'Misc. Data &amp; Mechanisms'!$E$601:$I$631,HLOOKUP('Personalized Bill Menu'!$B$22, 'Misc. Data &amp; Mechanisms'!$E$599:$I$600, 2, FALSE), FALSE), 'Misc. Data &amp; Mechanisms'!$A$599:$C$659, 2, FALSE), FALSE) = "", "", VLOOKUP($A53, INDIRECT("'" &amp; 'Personalized Bill Menu'!$B$22 &amp; "'!" &amp;"$A$4:$CA$100"), VLOOKUP(VLOOKUP("RIDER RATE 2",'Misc. Data &amp; Mechanisms'!$E$601:$I$631,HLOOKUP('Personalized Bill Menu'!$B$22, 'Misc. Data &amp; Mechanisms'!$E$599:$I$600, 2, FALSE), FALSE), 'Misc. Data &amp; Mechanisms'!$A$599:$C$659, 2, FALSE), FALSE)), ""))</f>
        <v>1.4253</v>
      </c>
      <c r="AD53" s="69">
        <f ca="1">IF($A53="", "",IFERROR(IF(VLOOKUP($A53, INDIRECT("'" &amp; 'Personalized Bill Menu'!$B$22 &amp; "'!" &amp;"$A$4:$CA$100"), VLOOKUP(VLOOKUP("RIDER RATE 3",'Misc. Data &amp; Mechanisms'!$E$601:$I$631,HLOOKUP('Personalized Bill Menu'!$B$22, 'Misc. Data &amp; Mechanisms'!$E$599:$I$600, 2, FALSE), FALSE), 'Misc. Data &amp; Mechanisms'!$A$599:$C$659, 2, FALSE), FALSE) = "", "", VLOOKUP($A53, INDIRECT("'" &amp; 'Personalized Bill Menu'!$B$22 &amp; "'!" &amp;"$A$4:$CA$100"), VLOOKUP(VLOOKUP("RIDER RATE 3",'Misc. Data &amp; Mechanisms'!$E$601:$I$631,HLOOKUP('Personalized Bill Menu'!$B$22, 'Misc. Data &amp; Mechanisms'!$E$599:$I$600, 2, FALSE), FALSE), 'Misc. Data &amp; Mechanisms'!$A$599:$C$659, 2, FALSE), FALSE)), ""))</f>
        <v>-1.14E-2</v>
      </c>
      <c r="AE53" s="69" t="str">
        <f ca="1">IF($A53="", "",IFERROR(IF(VLOOKUP($A53, INDIRECT("'" &amp; 'Personalized Bill Menu'!$B$22 &amp; "'!" &amp;"$A$4:$CA$100"), VLOOKUP(VLOOKUP("RIDER RATE 4",'Misc. Data &amp; Mechanisms'!$E$601:$I$631,HLOOKUP('Personalized Bill Menu'!$B$22, 'Misc. Data &amp; Mechanisms'!$E$599:$I$600, 2, FALSE), FALSE), 'Misc. Data &amp; Mechanisms'!$A$599:$C$659, 2, FALSE), FALSE) = "", "", VLOOKUP($A53, INDIRECT("'" &amp; 'Personalized Bill Menu'!$B$22 &amp; "'!" &amp;"$A$4:$CA$100"), VLOOKUP(VLOOKUP("RIDER RATE 4",'Misc. Data &amp; Mechanisms'!$E$601:$I$631,HLOOKUP('Personalized Bill Menu'!$B$22, 'Misc. Data &amp; Mechanisms'!$E$599:$I$600, 2, FALSE), FALSE), 'Misc. Data &amp; Mechanisms'!$A$599:$C$659, 2, FALSE), FALSE)), ""))</f>
        <v/>
      </c>
      <c r="AF53" s="90" t="str">
        <f ca="1">IF($A53="", "",IFERROR(IF(VLOOKUP($A53, INDIRECT("'" &amp; 'Personalized Bill Menu'!$B$22 &amp; "'!" &amp;"$A$4:$CA$100"), VLOOKUP(VLOOKUP("RIDER RATE 5",'Misc. Data &amp; Mechanisms'!$E$601:$I$631,HLOOKUP('Personalized Bill Menu'!$B$22, 'Misc. Data &amp; Mechanisms'!$E$599:$I$600, 2, FALSE), FALSE), 'Misc. Data &amp; Mechanisms'!$A$599:$C$659, 2, FALSE), FALSE) = "", "", VLOOKUP($A53, INDIRECT("'" &amp; 'Personalized Bill Menu'!$B$22 &amp; "'!" &amp;"$A$4:$CA$100"), VLOOKUP(VLOOKUP("RIDER RATE 5",'Misc. Data &amp; Mechanisms'!$E$601:$I$631,HLOOKUP('Personalized Bill Menu'!$B$22, 'Misc. Data &amp; Mechanisms'!$E$599:$I$600, 2, FALSE), FALSE), 'Misc. Data &amp; Mechanisms'!$A$599:$C$659, 2, FALSE), FALSE)), ""))</f>
        <v/>
      </c>
      <c r="AG53" s="90" t="str">
        <f ca="1">IF($A53="", "",IFERROR(IF(VLOOKUP($A53, INDIRECT("'" &amp; 'Personalized Bill Menu'!$B$22 &amp; "'!" &amp;"$A$4:$CA$100"), VLOOKUP(VLOOKUP("RIDER RATE 6",'Misc. Data &amp; Mechanisms'!$E$601:$I$631,HLOOKUP('Personalized Bill Menu'!$B$22, 'Misc. Data &amp; Mechanisms'!$E$599:$I$600, 2, FALSE), FALSE), 'Misc. Data &amp; Mechanisms'!$A$599:$C$659, 2, FALSE), FALSE) = "", "", VLOOKUP($A53, INDIRECT("'" &amp; 'Personalized Bill Menu'!$B$22 &amp; "'!" &amp;"$A$4:$CA$100"), VLOOKUP(VLOOKUP("RIDER RATE 6",'Misc. Data &amp; Mechanisms'!$E$601:$I$631,HLOOKUP('Personalized Bill Menu'!$B$22, 'Misc. Data &amp; Mechanisms'!$E$599:$I$600, 2, FALSE), FALSE), 'Misc. Data &amp; Mechanisms'!$A$599:$C$659, 2, FALSE), FALSE)), ""))</f>
        <v/>
      </c>
      <c r="AH53" s="90" t="str">
        <f ca="1">IF($A53="", "",IFERROR(IF(VLOOKUP($A53, INDIRECT("'" &amp; 'Personalized Bill Menu'!$B$22 &amp; "'!" &amp;"$A$4:$CA$100"), VLOOKUP(VLOOKUP("RIDER RATE 7",'Misc. Data &amp; Mechanisms'!$E$601:$I$631,HLOOKUP('Personalized Bill Menu'!$B$22, 'Misc. Data &amp; Mechanisms'!$E$599:$I$600, 2, FALSE), FALSE), 'Misc. Data &amp; Mechanisms'!$A$599:$C$659, 2, FALSE), FALSE) = "", "", VLOOKUP($A53, INDIRECT("'" &amp; 'Personalized Bill Menu'!$B$22 &amp; "'!" &amp;"$A$4:$CA$100"), VLOOKUP(VLOOKUP("RIDER RATE 7",'Misc. Data &amp; Mechanisms'!$E$601:$I$631,HLOOKUP('Personalized Bill Menu'!$B$22, 'Misc. Data &amp; Mechanisms'!$E$599:$I$600, 2, FALSE), FALSE), 'Misc. Data &amp; Mechanisms'!$A$599:$C$659, 2, FALSE), FALSE)), ""))</f>
        <v/>
      </c>
      <c r="AI53" s="72">
        <f t="shared" ca="1" si="14"/>
        <v>-3.50463543698568</v>
      </c>
      <c r="AJ53" s="72">
        <f t="shared" ca="1" si="15"/>
        <v>8.8535216028636832</v>
      </c>
      <c r="AK53" s="72">
        <f ca="1">IF($A53="", "", IFERROR(IF($AD$6="%",IF('Personalized Bill Menu'!$B$22="ENMAX", $AD53*$I53, IF(AND($AD53="", 'Personalized Bill Menu'!$B$22="FORTIS"),($AE53/100)*$C53,$AD53*$H53)),($AD53/100)*$C53), 0))</f>
        <v>-0.20923023433687357</v>
      </c>
      <c r="AL53" s="72">
        <f ca="1">IF($A53="", "", IFERROR(IF('Personalized Bill Menu'!$B$22="ENMAX",$AE53*$B53,IF($AE$6="%",$AE53*($H53+$I53+$J53), IF('Personalized Bill Menu'!$B$22="FORTIS",$AF53*$I53,($AE53/100)*$C53))), 0))</f>
        <v>0</v>
      </c>
      <c r="AM53" s="72" t="str">
        <f>IF($A53="", "", IFERROR(IF('Personalized Bill Menu'!$B$22="EPCOR",($AF53/100)*$C53, IF('Personalized Bill Menu'!$B$22="ATCO",$AF53*1,"")), 0))</f>
        <v/>
      </c>
      <c r="AN53" s="72" t="str">
        <f>IF($A53="", "", IFERROR(IF('Personalized Bill Menu'!$B$22="ATCO",$AG53*$B53,""), 0))</f>
        <v/>
      </c>
      <c r="AO53" s="70" t="str">
        <f>IF($A53="", "", IFERROR(IF('Personalized Bill Menu'!$B$22="ATCO",$AH53*$B53,""), 0))</f>
        <v/>
      </c>
      <c r="AP53" s="81">
        <f>IF('Personalized Bill Menu'!$B$34&lt;&gt;"Natural Gas", 'Personalized Bill Menu'!$K50, "")</f>
        <v>0.2291</v>
      </c>
      <c r="AQ53" s="72">
        <f t="shared" si="16"/>
        <v>6.8730000000000002</v>
      </c>
      <c r="AR53" s="91">
        <f ca="1">IF($A53="", "",IF(VLOOKUP($A53, INDIRECT("'" &amp; 'Personalized Bill Menu'!$B$22 &amp; "'!" &amp;"$A$4:$CA$100"), VLOOKUP(VLOOKUP(AR$5,'Misc. Data &amp; Mechanisms'!$E$601:$I$631,HLOOKUP('Personalized Bill Menu'!$B$22, 'Misc. Data &amp; Mechanisms'!$E$599:$I$600, 2, FALSE), FALSE), 'Misc. Data &amp; Mechanisms'!$A$599:$C$659, 2, FALSE), FALSE) = "", "", VLOOKUP($A53, INDIRECT("'" &amp; 'Personalized Bill Menu'!$B$22 &amp; "'!" &amp;"$A$4:$CA$100"), VLOOKUP(VLOOKUP(AR$5,'Misc. Data &amp; Mechanisms'!$E$601:$I$631,HLOOKUP('Personalized Bill Menu'!$B$22, 'Misc. Data &amp; Mechanisms'!$E$599:$I$600, 2, FALSE), FALSE), 'Misc. Data &amp; Mechanisms'!$A$599:$C$659, 2, FALSE), FALSE)))</f>
        <v>0.05</v>
      </c>
      <c r="AS53" s="2"/>
      <c r="AT53" s="2"/>
      <c r="AU53" s="2"/>
      <c r="AV53" s="2"/>
      <c r="AW53" s="2"/>
    </row>
    <row r="54" spans="1:49" x14ac:dyDescent="0.35">
      <c r="A54" s="83">
        <f>'Personalized Bill Menu'!$H51</f>
        <v>42339</v>
      </c>
      <c r="B54" s="84">
        <f t="shared" si="0"/>
        <v>31</v>
      </c>
      <c r="C54" s="85">
        <f>IF('Personalized Bill Menu'!$B$34&lt;&gt;"Natural Gas", 'Personalized Bill Menu'!$I51, "")</f>
        <v>703.35853981851835</v>
      </c>
      <c r="D54" s="66">
        <f t="shared" ca="1" si="17"/>
        <v>13.592590392301462</v>
      </c>
      <c r="E54" s="66">
        <f ca="1">IFERROR((1+$AR54)*(IF('Personalized Bill Menu'!$B$22="ENMAX", ((1+IFERROR($X54, 0))*($N54+$P54+$R54+$AB54+$AC54))+((1+IF($X54="", 0,$X54))*(IF($AD54="", 0,$AD54)*$R54)), IF('Personalized Bill Menu'!$B$22="EPCOR", ($N54+$P54+$R54+$X54+SUM($AB54:$AE54)), IF('Personalized Bill Menu'!$B$22="ATCO",($N54+((1+IF($AE54="", 0,$AE54))*(1+$X54+$Y54)*($P54+$R54))+SUM($AB54:$AD54)),IF($AD54="",$N54+((1+$X54+$Y54)*($P54+$R54))+$AB54+$AE54+(IF($AC54="", 0, $AC54)*$P54)+($R54*IF($AF54="", 0, $AF54)),$N54+((1+$X54+$Y54)*($P54+$R54))+$AB54+($AD54*$P54)+(IF($AC54="", 0, $AC54)*$P54)+($R54*IF($AF54="", 0, $AF54))))))), "")</f>
        <v>10.358798064316801</v>
      </c>
      <c r="F54" s="1469">
        <f t="shared" ca="1" si="1"/>
        <v>95.604645306803775</v>
      </c>
      <c r="G54" s="66">
        <f t="shared" si="2"/>
        <v>36.519782104457107</v>
      </c>
      <c r="H54" s="66">
        <f t="shared" ca="1" si="3"/>
        <v>13.68946726048782</v>
      </c>
      <c r="I54" s="66">
        <f t="shared" ca="1" si="4"/>
        <v>19.512274570225536</v>
      </c>
      <c r="J54" s="66">
        <f t="shared" ca="1" si="5"/>
        <v>8.3942387578897808</v>
      </c>
      <c r="K54" s="66">
        <f t="shared" ca="1" si="6"/>
        <v>5.8341804562766901</v>
      </c>
      <c r="L54" s="66">
        <f t="shared" si="7"/>
        <v>7.1021000000000001</v>
      </c>
      <c r="M54" s="68">
        <f t="shared" ca="1" si="8"/>
        <v>4.552602157466846</v>
      </c>
      <c r="N54" s="69">
        <f>IF('Personalized Bill Menu'!$B$34&lt;&gt;"Natural Gas", 'Personalized Bill Menu'!$J51, "")</f>
        <v>5.1921999999999997</v>
      </c>
      <c r="O54" s="70">
        <f t="shared" si="9"/>
        <v>36.519782104457107</v>
      </c>
      <c r="P54" s="71">
        <f ca="1">IF($A54="", "",IFERROR(IF(VLOOKUP($A54, INDIRECT("'" &amp; 'Personalized Bill Menu'!$B$22 &amp; "'!" &amp;"$A$4:$CA$100"), VLOOKUP(VLOOKUP(P$5,'Misc. Data &amp; Mechanisms'!$E$601:$I$631,HLOOKUP('Personalized Bill Menu'!$B$22, 'Misc. Data &amp; Mechanisms'!$E$599:$I$600, 2, FALSE), FALSE), 'Misc. Data &amp; Mechanisms'!$A$599:$C$659, 2, FALSE), FALSE) = "", "", VLOOKUP($A54, INDIRECT("'" &amp; 'Personalized Bill Menu'!$B$22 &amp; "'!" &amp;"$A$4:$CA$100"), VLOOKUP(VLOOKUP(P$5,'Misc. Data &amp; Mechanisms'!$E$601:$I$631,HLOOKUP('Personalized Bill Menu'!$B$22, 'Misc. Data &amp; Mechanisms'!$E$599:$I$600, 2, FALSE), FALSE), 'Misc. Data &amp; Mechanisms'!$A$599:$C$659, 2, FALSE), FALSE)), ""))</f>
        <v>1.9462999999999999</v>
      </c>
      <c r="Q54" s="72">
        <f t="shared" ca="1" si="10"/>
        <v>13.68946726048782</v>
      </c>
      <c r="R54" s="87">
        <f ca="1">IF($A54="", "",IFERROR(IF(VLOOKUP($A54, INDIRECT("'" &amp; 'Personalized Bill Menu'!$B$22 &amp; "'!" &amp;"$A$4:$CA$100"), VLOOKUP(VLOOKUP(R$5,'Misc. Data &amp; Mechanisms'!$E$601:$I$631,HLOOKUP('Personalized Bill Menu'!$B$22, 'Misc. Data &amp; Mechanisms'!$E$599:$I$600, 2, FALSE), FALSE), 'Misc. Data &amp; Mechanisms'!$A$599:$C$659, 2, FALSE), FALSE) = "", "", VLOOKUP($A54, INDIRECT("'" &amp; 'Personalized Bill Menu'!$B$22 &amp; "'!" &amp;"$A$4:$CA$100"), VLOOKUP(VLOOKUP(R$5,'Misc. Data &amp; Mechanisms'!$E$601:$I$631,HLOOKUP('Personalized Bill Menu'!$B$22, 'Misc. Data &amp; Mechanisms'!$E$599:$I$600, 2, FALSE), FALSE), 'Misc. Data &amp; Mechanisms'!$A$599:$C$659, 2, FALSE), FALSE)), ""))</f>
        <v>0.88959999999999995</v>
      </c>
      <c r="S54" s="88">
        <f ca="1">IF($A54="", "",IFERROR(IF(VLOOKUP($A54, INDIRECT("'" &amp; 'Personalized Bill Menu'!$B$22 &amp; "'!" &amp;"$A$4:$CA$100"), VLOOKUP(VLOOKUP(S$5,'Misc. Data &amp; Mechanisms'!$E$601:$I$631,HLOOKUP('Personalized Bill Menu'!$B$22, 'Misc. Data &amp; Mechanisms'!$E$599:$I$600, 2, FALSE), FALSE), 'Misc. Data &amp; Mechanisms'!$A$599:$C$659, 2, FALSE), FALSE) = "", "", VLOOKUP($A54, INDIRECT("'" &amp; 'Personalized Bill Menu'!$B$22 &amp; "'!" &amp;"$A$4:$CA$100"), VLOOKUP(VLOOKUP(S$5,'Misc. Data &amp; Mechanisms'!$E$601:$I$631,HLOOKUP('Personalized Bill Menu'!$B$22, 'Misc. Data &amp; Mechanisms'!$E$599:$I$600, 2, FALSE), FALSE), 'Misc. Data &amp; Mechanisms'!$A$599:$C$659, 2, FALSE), FALSE)), ""))</f>
        <v>0.42758699999999999</v>
      </c>
      <c r="T54" s="81" t="str">
        <f ca="1">IF($A54="", "",IFERROR(IF(VLOOKUP($A54, INDIRECT("'" &amp; 'Personalized Bill Menu'!$B$22 &amp; "'!" &amp;"$A$4:$CA$100"), VLOOKUP(VLOOKUP(T$5,'Misc. Data &amp; Mechanisms'!$E$601:$I$631,HLOOKUP('Personalized Bill Menu'!$B$22, 'Misc. Data &amp; Mechanisms'!$E$599:$I$600, 2, FALSE), FALSE), 'Misc. Data &amp; Mechanisms'!$A$599:$C$659, 2, FALSE), FALSE) = "", "", VLOOKUP($A54, INDIRECT("'" &amp; 'Personalized Bill Menu'!$B$22 &amp; "'!" &amp;"$A$4:$CA$100"), VLOOKUP(VLOOKUP(T$5,'Misc. Data &amp; Mechanisms'!$E$601:$I$631,HLOOKUP('Personalized Bill Menu'!$B$22, 'Misc. Data &amp; Mechanisms'!$E$599:$I$600, 2, FALSE), FALSE), 'Misc. Data &amp; Mechanisms'!$A$599:$C$659, 2, FALSE), FALSE)), ""))</f>
        <v/>
      </c>
      <c r="U54" s="72">
        <f t="shared" ca="1" si="11"/>
        <v>6.2570775702255386</v>
      </c>
      <c r="V54" s="72">
        <f t="shared" ca="1" si="12"/>
        <v>13.255196999999999</v>
      </c>
      <c r="W54" s="70" t="str">
        <f t="shared" si="13"/>
        <v/>
      </c>
      <c r="X54" s="78">
        <f>IFERROR(IF(VLOOKUP($A54,'Misc. Data &amp; Mechanisms'!$A$63:$DY$152,HLOOKUP('Personalized Bill Menu'!$B$21&amp;"_"&amp;'Personalized Bill Menu'!$B$22&amp;"_Elec_Y_1",'Misc. Data &amp; Mechanisms'!$A$55:$DY$62,8,FALSE), FALSE)="", "", VLOOKUP($A54,'Misc. Data &amp; Mechanisms'!$A$63:$DY$152,HLOOKUP('Personalized Bill Menu'!$B$21&amp;"_"&amp;'Personalized Bill Menu'!$B$22&amp;"_Elec_Y_1",'Misc. Data &amp; Mechanisms'!$A$55:$DY$62,8,FALSE), FALSE)), "")</f>
        <v>0.1111</v>
      </c>
      <c r="Y54" s="78" t="str">
        <f>IFERROR(IF(VLOOKUP($A54,'Misc. Data &amp; Mechanisms'!$A$63:$DY$152,HLOOKUP('Personalized Bill Menu'!$B$21&amp;"_"&amp;'Personalized Bill Menu'!$B$22&amp;"_Elec_Y_2",'Misc. Data &amp; Mechanisms'!$A$55:$DY$62,8,FALSE), FALSE)="", "", VLOOKUP($A54,'Misc. Data &amp; Mechanisms'!$A$63:$DY$152,HLOOKUP('Personalized Bill Menu'!$B$21&amp;"_"&amp;'Personalized Bill Menu'!$B$22&amp;"_Elec_Y_2",'Misc. Data &amp; Mechanisms'!$A$55:$DY$62,8,FALSE), FALSE)), "")</f>
        <v/>
      </c>
      <c r="Z54" s="72">
        <f ca="1">IF($A54="", "",IFERROR(IF(OR('Personalized Bill Menu'!$B$22="FORTIS", 'Personalized Bill Menu'!$B$22="ATCO"), $X54*($H54+$I54), IF('Personalized Bill Menu'!$B$22="ENMAX",$X54*($H54+$I54+$K54),($X54/100)*$C54)), 0))</f>
        <v>4.3368909660845949</v>
      </c>
      <c r="AA54" s="72">
        <f>IF($A54="", "", IFERROR(IF(OR('Personalized Bill Menu'!$B$22="FORTIS", 'Personalized Bill Menu'!$B$22="ATCO"), $Y54*($H54+$I54), IF('Personalized Bill Menu'!$B$22="ENMAX",$X54*$G54,"")), 0))</f>
        <v>4.057347791805185</v>
      </c>
      <c r="AB54" s="89">
        <f ca="1">IF($A54="", "",IFERROR(IF(VLOOKUP($A54, INDIRECT("'" &amp; 'Personalized Bill Menu'!$B$22 &amp; "'!" &amp;"$A$4:$CA$100"), VLOOKUP(VLOOKUP("RIDER RATE 1",'Misc. Data &amp; Mechanisms'!$E$601:$I$631,HLOOKUP('Personalized Bill Menu'!$B$22, 'Misc. Data &amp; Mechanisms'!$E$599:$I$600, 2, FALSE), FALSE), 'Misc. Data &amp; Mechanisms'!$A$599:$C$659, 2, FALSE), FALSE) = "", "", VLOOKUP($A54, INDIRECT("'" &amp; 'Personalized Bill Menu'!$B$22 &amp; "'!" &amp;"$A$4:$CA$100"), VLOOKUP(VLOOKUP("RIDER RATE 1",'Misc. Data &amp; Mechanisms'!$E$601:$I$631,HLOOKUP('Personalized Bill Menu'!$B$22, 'Misc. Data &amp; Mechanisms'!$E$599:$I$600, 2, FALSE), FALSE), 'Misc. Data &amp; Mechanisms'!$A$599:$C$659, 2, FALSE), FALSE)), ""))</f>
        <v>-0.56420000000000003</v>
      </c>
      <c r="AC54" s="69">
        <f ca="1">IF($A54="", "",IFERROR(IF(VLOOKUP($A54, INDIRECT("'" &amp; 'Personalized Bill Menu'!$B$22 &amp; "'!" &amp;"$A$4:$CA$100"), VLOOKUP(VLOOKUP("RIDER RATE 2",'Misc. Data &amp; Mechanisms'!$E$601:$I$631,HLOOKUP('Personalized Bill Menu'!$B$22, 'Misc. Data &amp; Mechanisms'!$E$599:$I$600, 2, FALSE), FALSE), 'Misc. Data &amp; Mechanisms'!$A$599:$C$659, 2, FALSE), FALSE) = "", "", VLOOKUP($A54, INDIRECT("'" &amp; 'Personalized Bill Menu'!$B$22 &amp; "'!" &amp;"$A$4:$CA$100"), VLOOKUP(VLOOKUP("RIDER RATE 2",'Misc. Data &amp; Mechanisms'!$E$601:$I$631,HLOOKUP('Personalized Bill Menu'!$B$22, 'Misc. Data &amp; Mechanisms'!$E$599:$I$600, 2, FALSE), FALSE), 'Misc. Data &amp; Mechanisms'!$A$599:$C$659, 2, FALSE), FALSE)), ""))</f>
        <v>1.4253</v>
      </c>
      <c r="AD54" s="69">
        <f ca="1">IF($A54="", "",IFERROR(IF(VLOOKUP($A54, INDIRECT("'" &amp; 'Personalized Bill Menu'!$B$22 &amp; "'!" &amp;"$A$4:$CA$100"), VLOOKUP(VLOOKUP("RIDER RATE 3",'Misc. Data &amp; Mechanisms'!$E$601:$I$631,HLOOKUP('Personalized Bill Menu'!$B$22, 'Misc. Data &amp; Mechanisms'!$E$599:$I$600, 2, FALSE), FALSE), 'Misc. Data &amp; Mechanisms'!$A$599:$C$659, 2, FALSE), FALSE) = "", "", VLOOKUP($A54, INDIRECT("'" &amp; 'Personalized Bill Menu'!$B$22 &amp; "'!" &amp;"$A$4:$CA$100"), VLOOKUP(VLOOKUP("RIDER RATE 3",'Misc. Data &amp; Mechanisms'!$E$601:$I$631,HLOOKUP('Personalized Bill Menu'!$B$22, 'Misc. Data &amp; Mechanisms'!$E$599:$I$600, 2, FALSE), FALSE), 'Misc. Data &amp; Mechanisms'!$A$599:$C$659, 2, FALSE), FALSE)), ""))</f>
        <v>-1.14E-2</v>
      </c>
      <c r="AE54" s="69" t="str">
        <f ca="1">IF($A54="", "",IFERROR(IF(VLOOKUP($A54, INDIRECT("'" &amp; 'Personalized Bill Menu'!$B$22 &amp; "'!" &amp;"$A$4:$CA$100"), VLOOKUP(VLOOKUP("RIDER RATE 4",'Misc. Data &amp; Mechanisms'!$E$601:$I$631,HLOOKUP('Personalized Bill Menu'!$B$22, 'Misc. Data &amp; Mechanisms'!$E$599:$I$600, 2, FALSE), FALSE), 'Misc. Data &amp; Mechanisms'!$A$599:$C$659, 2, FALSE), FALSE) = "", "", VLOOKUP($A54, INDIRECT("'" &amp; 'Personalized Bill Menu'!$B$22 &amp; "'!" &amp;"$A$4:$CA$100"), VLOOKUP(VLOOKUP("RIDER RATE 4",'Misc. Data &amp; Mechanisms'!$E$601:$I$631,HLOOKUP('Personalized Bill Menu'!$B$22, 'Misc. Data &amp; Mechanisms'!$E$599:$I$600, 2, FALSE), FALSE), 'Misc. Data &amp; Mechanisms'!$A$599:$C$659, 2, FALSE), FALSE)), ""))</f>
        <v/>
      </c>
      <c r="AF54" s="90" t="str">
        <f ca="1">IF($A54="", "",IFERROR(IF(VLOOKUP($A54, INDIRECT("'" &amp; 'Personalized Bill Menu'!$B$22 &amp; "'!" &amp;"$A$4:$CA$100"), VLOOKUP(VLOOKUP("RIDER RATE 5",'Misc. Data &amp; Mechanisms'!$E$601:$I$631,HLOOKUP('Personalized Bill Menu'!$B$22, 'Misc. Data &amp; Mechanisms'!$E$599:$I$600, 2, FALSE), FALSE), 'Misc. Data &amp; Mechanisms'!$A$599:$C$659, 2, FALSE), FALSE) = "", "", VLOOKUP($A54, INDIRECT("'" &amp; 'Personalized Bill Menu'!$B$22 &amp; "'!" &amp;"$A$4:$CA$100"), VLOOKUP(VLOOKUP("RIDER RATE 5",'Misc. Data &amp; Mechanisms'!$E$601:$I$631,HLOOKUP('Personalized Bill Menu'!$B$22, 'Misc. Data &amp; Mechanisms'!$E$599:$I$600, 2, FALSE), FALSE), 'Misc. Data &amp; Mechanisms'!$A$599:$C$659, 2, FALSE), FALSE)), ""))</f>
        <v/>
      </c>
      <c r="AG54" s="90" t="str">
        <f ca="1">IF($A54="", "",IFERROR(IF(VLOOKUP($A54, INDIRECT("'" &amp; 'Personalized Bill Menu'!$B$22 &amp; "'!" &amp;"$A$4:$CA$100"), VLOOKUP(VLOOKUP("RIDER RATE 6",'Misc. Data &amp; Mechanisms'!$E$601:$I$631,HLOOKUP('Personalized Bill Menu'!$B$22, 'Misc. Data &amp; Mechanisms'!$E$599:$I$600, 2, FALSE), FALSE), 'Misc. Data &amp; Mechanisms'!$A$599:$C$659, 2, FALSE), FALSE) = "", "", VLOOKUP($A54, INDIRECT("'" &amp; 'Personalized Bill Menu'!$B$22 &amp; "'!" &amp;"$A$4:$CA$100"), VLOOKUP(VLOOKUP("RIDER RATE 6",'Misc. Data &amp; Mechanisms'!$E$601:$I$631,HLOOKUP('Personalized Bill Menu'!$B$22, 'Misc. Data &amp; Mechanisms'!$E$599:$I$600, 2, FALSE), FALSE), 'Misc. Data &amp; Mechanisms'!$A$599:$C$659, 2, FALSE), FALSE)), ""))</f>
        <v/>
      </c>
      <c r="AH54" s="90" t="str">
        <f ca="1">IF($A54="", "",IFERROR(IF(VLOOKUP($A54, INDIRECT("'" &amp; 'Personalized Bill Menu'!$B$22 &amp; "'!" &amp;"$A$4:$CA$100"), VLOOKUP(VLOOKUP("RIDER RATE 7",'Misc. Data &amp; Mechanisms'!$E$601:$I$631,HLOOKUP('Personalized Bill Menu'!$B$22, 'Misc. Data &amp; Mechanisms'!$E$599:$I$600, 2, FALSE), FALSE), 'Misc. Data &amp; Mechanisms'!$A$599:$C$659, 2, FALSE), FALSE) = "", "", VLOOKUP($A54, INDIRECT("'" &amp; 'Personalized Bill Menu'!$B$22 &amp; "'!" &amp;"$A$4:$CA$100"), VLOOKUP(VLOOKUP("RIDER RATE 7",'Misc. Data &amp; Mechanisms'!$E$601:$I$631,HLOOKUP('Personalized Bill Menu'!$B$22, 'Misc. Data &amp; Mechanisms'!$E$599:$I$600, 2, FALSE), FALSE), 'Misc. Data &amp; Mechanisms'!$A$599:$C$659, 2, FALSE), FALSE)), ""))</f>
        <v/>
      </c>
      <c r="AI54" s="72">
        <f t="shared" ca="1" si="14"/>
        <v>-3.9683488816560808</v>
      </c>
      <c r="AJ54" s="72">
        <f t="shared" ca="1" si="15"/>
        <v>10.024969268033342</v>
      </c>
      <c r="AK54" s="72">
        <f ca="1">IF($A54="", "", IFERROR(IF($AD$6="%",IF('Personalized Bill Menu'!$B$22="ENMAX", $AD54*$I54, IF(AND($AD54="", 'Personalized Bill Menu'!$B$22="FORTIS"),($AE54/100)*$C54,$AD54*$H54)),($AD54/100)*$C54), 0))</f>
        <v>-0.22243993010057111</v>
      </c>
      <c r="AL54" s="72">
        <f ca="1">IF($A54="", "", IFERROR(IF('Personalized Bill Menu'!$B$22="ENMAX",$AE54*$B54,IF($AE$6="%",$AE54*($H54+$I54+$J54), IF('Personalized Bill Menu'!$B$22="FORTIS",$AF54*$I54,($AE54/100)*$C54))), 0))</f>
        <v>0</v>
      </c>
      <c r="AM54" s="72" t="str">
        <f>IF($A54="", "", IFERROR(IF('Personalized Bill Menu'!$B$22="EPCOR",($AF54/100)*$C54, IF('Personalized Bill Menu'!$B$22="ATCO",$AF54*1,"")), 0))</f>
        <v/>
      </c>
      <c r="AN54" s="72" t="str">
        <f>IF($A54="", "", IFERROR(IF('Personalized Bill Menu'!$B$22="ATCO",$AG54*$B54,""), 0))</f>
        <v/>
      </c>
      <c r="AO54" s="70" t="str">
        <f>IF($A54="", "", IFERROR(IF('Personalized Bill Menu'!$B$22="ATCO",$AH54*$B54,""), 0))</f>
        <v/>
      </c>
      <c r="AP54" s="81">
        <f>IF('Personalized Bill Menu'!$B$34&lt;&gt;"Natural Gas", 'Personalized Bill Menu'!$K51, "")</f>
        <v>0.2291</v>
      </c>
      <c r="AQ54" s="72">
        <f t="shared" si="16"/>
        <v>7.1021000000000001</v>
      </c>
      <c r="AR54" s="91">
        <f ca="1">IF($A54="", "",IF(VLOOKUP($A54, INDIRECT("'" &amp; 'Personalized Bill Menu'!$B$22 &amp; "'!" &amp;"$A$4:$CA$100"), VLOOKUP(VLOOKUP(AR$5,'Misc. Data &amp; Mechanisms'!$E$601:$I$631,HLOOKUP('Personalized Bill Menu'!$B$22, 'Misc. Data &amp; Mechanisms'!$E$599:$I$600, 2, FALSE), FALSE), 'Misc. Data &amp; Mechanisms'!$A$599:$C$659, 2, FALSE), FALSE) = "", "", VLOOKUP($A54, INDIRECT("'" &amp; 'Personalized Bill Menu'!$B$22 &amp; "'!" &amp;"$A$4:$CA$100"), VLOOKUP(VLOOKUP(AR$5,'Misc. Data &amp; Mechanisms'!$E$601:$I$631,HLOOKUP('Personalized Bill Menu'!$B$22, 'Misc. Data &amp; Mechanisms'!$E$599:$I$600, 2, FALSE), FALSE), 'Misc. Data &amp; Mechanisms'!$A$599:$C$659, 2, FALSE), FALSE)))</f>
        <v>0.05</v>
      </c>
      <c r="AS54" s="2"/>
      <c r="AT54" s="2"/>
      <c r="AU54" s="2"/>
      <c r="AV54" s="2"/>
      <c r="AW54" s="2"/>
    </row>
    <row r="55" spans="1:49" x14ac:dyDescent="0.35">
      <c r="A55" s="83">
        <f>'Personalized Bill Menu'!$H52</f>
        <v>42370</v>
      </c>
      <c r="B55" s="84">
        <f t="shared" si="0"/>
        <v>31</v>
      </c>
      <c r="C55" s="85">
        <f>IF('Personalized Bill Menu'!$B$34&lt;&gt;"Natural Gas", 'Personalized Bill Menu'!$I52, "")</f>
        <v>648.81494461562306</v>
      </c>
      <c r="D55" s="66">
        <f t="shared" ca="1" si="17"/>
        <v>14.224743751172495</v>
      </c>
      <c r="E55" s="66">
        <f ca="1">IFERROR((1+$AR55)*(IF('Personalized Bill Menu'!$B$22="ENMAX", ((1+IFERROR($X55, 0))*($N55+$P55+$R55+$AB55+$AC55))+((1+IF($X55="", 0,$X55))*(IF($AD55="", 0,$AD55)*$R55)), IF('Personalized Bill Menu'!$B$22="EPCOR", ($N55+$P55+$R55+$X55+SUM($AB55:$AE55)), IF('Personalized Bill Menu'!$B$22="ATCO",($N55+((1+IF($AE55="", 0,$AE55))*(1+$X55+$Y55)*($P55+$R55))+SUM($AB55:$AD55)),IF($AD55="",$N55+((1+$X55+$Y55)*($P55+$R55))+$AB55+$AE55+(IF($AC55="", 0, $AC55)*$P55)+($R55*IF($AF55="", 0, $AF55)),$N55+((1+$X55+$Y55)*($P55+$R55))+$AB55+($AD55*$P55)+(IF($AC55="", 0, $AC55)*$P55)+($R55*IF($AF55="", 0, $AF55))))))), "")</f>
        <v>10.691926412999999</v>
      </c>
      <c r="F55" s="1469">
        <f t="shared" ca="1" si="1"/>
        <v>92.292263290884136</v>
      </c>
      <c r="G55" s="66">
        <f t="shared" si="2"/>
        <v>31.108730149485275</v>
      </c>
      <c r="H55" s="66">
        <f t="shared" ca="1" si="3"/>
        <v>12.62788526705387</v>
      </c>
      <c r="I55" s="66">
        <f t="shared" ca="1" si="4"/>
        <v>19.027054747300582</v>
      </c>
      <c r="J55" s="66">
        <f t="shared" ca="1" si="5"/>
        <v>8.0788021961224405</v>
      </c>
      <c r="K55" s="66">
        <f t="shared" ca="1" si="6"/>
        <v>9.9528212504036588</v>
      </c>
      <c r="L55" s="66">
        <f t="shared" si="7"/>
        <v>7.1021000000000001</v>
      </c>
      <c r="M55" s="68">
        <f t="shared" ca="1" si="8"/>
        <v>4.3948696805182923</v>
      </c>
      <c r="N55" s="69">
        <f>IF('Personalized Bill Menu'!$B$34&lt;&gt;"Natural Gas", 'Personalized Bill Menu'!$J52, "")</f>
        <v>4.7946999999999997</v>
      </c>
      <c r="O55" s="70">
        <f t="shared" si="9"/>
        <v>31.108730149485275</v>
      </c>
      <c r="P55" s="71">
        <f ca="1">IF($A55="", "",IFERROR(IF(VLOOKUP($A55, INDIRECT("'" &amp; 'Personalized Bill Menu'!$B$22 &amp; "'!" &amp;"$A$4:$CA$100"), VLOOKUP(VLOOKUP(P$5,'Misc. Data &amp; Mechanisms'!$E$601:$I$631,HLOOKUP('Personalized Bill Menu'!$B$22, 'Misc. Data &amp; Mechanisms'!$E$599:$I$600, 2, FALSE), FALSE), 'Misc. Data &amp; Mechanisms'!$A$599:$C$659, 2, FALSE), FALSE) = "", "", VLOOKUP($A55, INDIRECT("'" &amp; 'Personalized Bill Menu'!$B$22 &amp; "'!" &amp;"$A$4:$CA$100"), VLOOKUP(VLOOKUP(P$5,'Misc. Data &amp; Mechanisms'!$E$601:$I$631,HLOOKUP('Personalized Bill Menu'!$B$22, 'Misc. Data &amp; Mechanisms'!$E$599:$I$600, 2, FALSE), FALSE), 'Misc. Data &amp; Mechanisms'!$A$599:$C$659, 2, FALSE), FALSE)), ""))</f>
        <v>1.9462999999999999</v>
      </c>
      <c r="Q55" s="72">
        <f t="shared" ca="1" si="10"/>
        <v>12.62788526705387</v>
      </c>
      <c r="R55" s="87">
        <f ca="1">IF($A55="", "",IFERROR(IF(VLOOKUP($A55, INDIRECT("'" &amp; 'Personalized Bill Menu'!$B$22 &amp; "'!" &amp;"$A$4:$CA$100"), VLOOKUP(VLOOKUP(R$5,'Misc. Data &amp; Mechanisms'!$E$601:$I$631,HLOOKUP('Personalized Bill Menu'!$B$22, 'Misc. Data &amp; Mechanisms'!$E$599:$I$600, 2, FALSE), FALSE), 'Misc. Data &amp; Mechanisms'!$A$599:$C$659, 2, FALSE), FALSE) = "", "", VLOOKUP($A55, INDIRECT("'" &amp; 'Personalized Bill Menu'!$B$22 &amp; "'!" &amp;"$A$4:$CA$100"), VLOOKUP(VLOOKUP(R$5,'Misc. Data &amp; Mechanisms'!$E$601:$I$631,HLOOKUP('Personalized Bill Menu'!$B$22, 'Misc. Data &amp; Mechanisms'!$E$599:$I$600, 2, FALSE), FALSE), 'Misc. Data &amp; Mechanisms'!$A$599:$C$659, 2, FALSE), FALSE)), ""))</f>
        <v>0.88959999999999995</v>
      </c>
      <c r="S55" s="88">
        <f ca="1">IF($A55="", "",IFERROR(IF(VLOOKUP($A55, INDIRECT("'" &amp; 'Personalized Bill Menu'!$B$22 &amp; "'!" &amp;"$A$4:$CA$100"), VLOOKUP(VLOOKUP(S$5,'Misc. Data &amp; Mechanisms'!$E$601:$I$631,HLOOKUP('Personalized Bill Menu'!$B$22, 'Misc. Data &amp; Mechanisms'!$E$599:$I$600, 2, FALSE), FALSE), 'Misc. Data &amp; Mechanisms'!$A$599:$C$659, 2, FALSE), FALSE) = "", "", VLOOKUP($A55, INDIRECT("'" &amp; 'Personalized Bill Menu'!$B$22 &amp; "'!" &amp;"$A$4:$CA$100"), VLOOKUP(VLOOKUP(S$5,'Misc. Data &amp; Mechanisms'!$E$601:$I$631,HLOOKUP('Personalized Bill Menu'!$B$22, 'Misc. Data &amp; Mechanisms'!$E$599:$I$600, 2, FALSE), FALSE), 'Misc. Data &amp; Mechanisms'!$A$599:$C$659, 2, FALSE), FALSE)), ""))</f>
        <v>0.42758699999999999</v>
      </c>
      <c r="T55" s="81" t="str">
        <f ca="1">IF($A55="", "",IFERROR(IF(VLOOKUP($A55, INDIRECT("'" &amp; 'Personalized Bill Menu'!$B$22 &amp; "'!" &amp;"$A$4:$CA$100"), VLOOKUP(VLOOKUP(T$5,'Misc. Data &amp; Mechanisms'!$E$601:$I$631,HLOOKUP('Personalized Bill Menu'!$B$22, 'Misc. Data &amp; Mechanisms'!$E$599:$I$600, 2, FALSE), FALSE), 'Misc. Data &amp; Mechanisms'!$A$599:$C$659, 2, FALSE), FALSE) = "", "", VLOOKUP($A55, INDIRECT("'" &amp; 'Personalized Bill Menu'!$B$22 &amp; "'!" &amp;"$A$4:$CA$100"), VLOOKUP(VLOOKUP(T$5,'Misc. Data &amp; Mechanisms'!$E$601:$I$631,HLOOKUP('Personalized Bill Menu'!$B$22, 'Misc. Data &amp; Mechanisms'!$E$599:$I$600, 2, FALSE), FALSE), 'Misc. Data &amp; Mechanisms'!$A$599:$C$659, 2, FALSE), FALSE)), ""))</f>
        <v/>
      </c>
      <c r="U55" s="72">
        <f t="shared" ca="1" si="11"/>
        <v>5.7718577473005821</v>
      </c>
      <c r="V55" s="72">
        <f t="shared" ca="1" si="12"/>
        <v>13.255196999999999</v>
      </c>
      <c r="W55" s="70" t="str">
        <f t="shared" si="13"/>
        <v/>
      </c>
      <c r="X55" s="78">
        <f>IFERROR(IF(VLOOKUP($A55,'Misc. Data &amp; Mechanisms'!$A$63:$DY$152,HLOOKUP('Personalized Bill Menu'!$B$21&amp;"_"&amp;'Personalized Bill Menu'!$B$22&amp;"_Elec_Y_1",'Misc. Data &amp; Mechanisms'!$A$55:$DY$62,8,FALSE), FALSE)="", "", VLOOKUP($A55,'Misc. Data &amp; Mechanisms'!$A$63:$DY$152,HLOOKUP('Personalized Bill Menu'!$B$21&amp;"_"&amp;'Personalized Bill Menu'!$B$22&amp;"_Elec_Y_1",'Misc. Data &amp; Mechanisms'!$A$55:$DY$62,8,FALSE), FALSE)), "")</f>
        <v>0.1111</v>
      </c>
      <c r="Y55" s="78" t="str">
        <f>IFERROR(IF(VLOOKUP($A55,'Misc. Data &amp; Mechanisms'!$A$63:$DY$152,HLOOKUP('Personalized Bill Menu'!$B$21&amp;"_"&amp;'Personalized Bill Menu'!$B$22&amp;"_Elec_Y_2",'Misc. Data &amp; Mechanisms'!$A$55:$DY$62,8,FALSE), FALSE)="", "", VLOOKUP($A55,'Misc. Data &amp; Mechanisms'!$A$63:$DY$152,HLOOKUP('Personalized Bill Menu'!$B$21&amp;"_"&amp;'Personalized Bill Menu'!$B$22&amp;"_Elec_Y_2",'Misc. Data &amp; Mechanisms'!$A$55:$DY$62,8,FALSE), FALSE)), "")</f>
        <v/>
      </c>
      <c r="Z55" s="72">
        <f ca="1">IF($A55="", "",IFERROR(IF(OR('Personalized Bill Menu'!$B$22="FORTIS", 'Personalized Bill Menu'!$B$22="ATCO"), $X55*($H55+$I55), IF('Personalized Bill Menu'!$B$22="ENMAX",$X55*($H55+$I55+$K55),($X55/100)*$C55)), 0))</f>
        <v>4.6226222765146261</v>
      </c>
      <c r="AA55" s="72">
        <f>IF($A55="", "", IFERROR(IF(OR('Personalized Bill Menu'!$B$22="FORTIS", 'Personalized Bill Menu'!$B$22="ATCO"), $Y55*($H55+$I55), IF('Personalized Bill Menu'!$B$22="ENMAX",$X55*$G55,"")), 0))</f>
        <v>3.456179919607814</v>
      </c>
      <c r="AB55" s="89">
        <f ca="1">IF($A55="", "",IFERROR(IF(VLOOKUP($A55, INDIRECT("'" &amp; 'Personalized Bill Menu'!$B$22 &amp; "'!" &amp;"$A$4:$CA$100"), VLOOKUP(VLOOKUP("RIDER RATE 1",'Misc. Data &amp; Mechanisms'!$E$601:$I$631,HLOOKUP('Personalized Bill Menu'!$B$22, 'Misc. Data &amp; Mechanisms'!$E$599:$I$600, 2, FALSE), FALSE), 'Misc. Data &amp; Mechanisms'!$A$599:$C$659, 2, FALSE), FALSE) = "", "", VLOOKUP($A55, INDIRECT("'" &amp; 'Personalized Bill Menu'!$B$22 &amp; "'!" &amp;"$A$4:$CA$100"), VLOOKUP(VLOOKUP("RIDER RATE 1",'Misc. Data &amp; Mechanisms'!$E$601:$I$631,HLOOKUP('Personalized Bill Menu'!$B$22, 'Misc. Data &amp; Mechanisms'!$E$599:$I$600, 2, FALSE), FALSE), 'Misc. Data &amp; Mechanisms'!$A$599:$C$659, 2, FALSE), FALSE)), ""))</f>
        <v>-0.33339999999999997</v>
      </c>
      <c r="AC55" s="69">
        <f ca="1">IF($A55="", "",IFERROR(IF(VLOOKUP($A55, INDIRECT("'" &amp; 'Personalized Bill Menu'!$B$22 &amp; "'!" &amp;"$A$4:$CA$100"), VLOOKUP(VLOOKUP("RIDER RATE 2",'Misc. Data &amp; Mechanisms'!$E$601:$I$631,HLOOKUP('Personalized Bill Menu'!$B$22, 'Misc. Data &amp; Mechanisms'!$E$599:$I$600, 2, FALSE), FALSE), 'Misc. Data &amp; Mechanisms'!$A$599:$C$659, 2, FALSE), FALSE) = "", "", VLOOKUP($A55, INDIRECT("'" &amp; 'Personalized Bill Menu'!$B$22 &amp; "'!" &amp;"$A$4:$CA$100"), VLOOKUP(VLOOKUP("RIDER RATE 2",'Misc. Data &amp; Mechanisms'!$E$601:$I$631,HLOOKUP('Personalized Bill Menu'!$B$22, 'Misc. Data &amp; Mechanisms'!$E$599:$I$600, 2, FALSE), FALSE), 'Misc. Data &amp; Mechanisms'!$A$599:$C$659, 2, FALSE), FALSE)), ""))</f>
        <v>1.8673999999999999</v>
      </c>
      <c r="AD55" s="69" t="str">
        <f ca="1">IF($A55="", "",IFERROR(IF(VLOOKUP($A55, INDIRECT("'" &amp; 'Personalized Bill Menu'!$B$22 &amp; "'!" &amp;"$A$4:$CA$100"), VLOOKUP(VLOOKUP("RIDER RATE 3",'Misc. Data &amp; Mechanisms'!$E$601:$I$631,HLOOKUP('Personalized Bill Menu'!$B$22, 'Misc. Data &amp; Mechanisms'!$E$599:$I$600, 2, FALSE), FALSE), 'Misc. Data &amp; Mechanisms'!$A$599:$C$659, 2, FALSE), FALSE) = "", "", VLOOKUP($A55, INDIRECT("'" &amp; 'Personalized Bill Menu'!$B$22 &amp; "'!" &amp;"$A$4:$CA$100"), VLOOKUP(VLOOKUP("RIDER RATE 3",'Misc. Data &amp; Mechanisms'!$E$601:$I$631,HLOOKUP('Personalized Bill Menu'!$B$22, 'Misc. Data &amp; Mechanisms'!$E$599:$I$600, 2, FALSE), FALSE), 'Misc. Data &amp; Mechanisms'!$A$599:$C$659, 2, FALSE), FALSE)), ""))</f>
        <v/>
      </c>
      <c r="AE55" s="69" t="str">
        <f ca="1">IF($A55="", "",IFERROR(IF(VLOOKUP($A55, INDIRECT("'" &amp; 'Personalized Bill Menu'!$B$22 &amp; "'!" &amp;"$A$4:$CA$100"), VLOOKUP(VLOOKUP("RIDER RATE 4",'Misc. Data &amp; Mechanisms'!$E$601:$I$631,HLOOKUP('Personalized Bill Menu'!$B$22, 'Misc. Data &amp; Mechanisms'!$E$599:$I$600, 2, FALSE), FALSE), 'Misc. Data &amp; Mechanisms'!$A$599:$C$659, 2, FALSE), FALSE) = "", "", VLOOKUP($A55, INDIRECT("'" &amp; 'Personalized Bill Menu'!$B$22 &amp; "'!" &amp;"$A$4:$CA$100"), VLOOKUP(VLOOKUP("RIDER RATE 4",'Misc. Data &amp; Mechanisms'!$E$601:$I$631,HLOOKUP('Personalized Bill Menu'!$B$22, 'Misc. Data &amp; Mechanisms'!$E$599:$I$600, 2, FALSE), FALSE), 'Misc. Data &amp; Mechanisms'!$A$599:$C$659, 2, FALSE), FALSE)), ""))</f>
        <v/>
      </c>
      <c r="AF55" s="90" t="str">
        <f ca="1">IF($A55="", "",IFERROR(IF(VLOOKUP($A55, INDIRECT("'" &amp; 'Personalized Bill Menu'!$B$22 &amp; "'!" &amp;"$A$4:$CA$100"), VLOOKUP(VLOOKUP("RIDER RATE 5",'Misc. Data &amp; Mechanisms'!$E$601:$I$631,HLOOKUP('Personalized Bill Menu'!$B$22, 'Misc. Data &amp; Mechanisms'!$E$599:$I$600, 2, FALSE), FALSE), 'Misc. Data &amp; Mechanisms'!$A$599:$C$659, 2, FALSE), FALSE) = "", "", VLOOKUP($A55, INDIRECT("'" &amp; 'Personalized Bill Menu'!$B$22 &amp; "'!" &amp;"$A$4:$CA$100"), VLOOKUP(VLOOKUP("RIDER RATE 5",'Misc. Data &amp; Mechanisms'!$E$601:$I$631,HLOOKUP('Personalized Bill Menu'!$B$22, 'Misc. Data &amp; Mechanisms'!$E$599:$I$600, 2, FALSE), FALSE), 'Misc. Data &amp; Mechanisms'!$A$599:$C$659, 2, FALSE), FALSE)), ""))</f>
        <v/>
      </c>
      <c r="AG55" s="90" t="str">
        <f ca="1">IF($A55="", "",IFERROR(IF(VLOOKUP($A55, INDIRECT("'" &amp; 'Personalized Bill Menu'!$B$22 &amp; "'!" &amp;"$A$4:$CA$100"), VLOOKUP(VLOOKUP("RIDER RATE 6",'Misc. Data &amp; Mechanisms'!$E$601:$I$631,HLOOKUP('Personalized Bill Menu'!$B$22, 'Misc. Data &amp; Mechanisms'!$E$599:$I$600, 2, FALSE), FALSE), 'Misc. Data &amp; Mechanisms'!$A$599:$C$659, 2, FALSE), FALSE) = "", "", VLOOKUP($A55, INDIRECT("'" &amp; 'Personalized Bill Menu'!$B$22 &amp; "'!" &amp;"$A$4:$CA$100"), VLOOKUP(VLOOKUP("RIDER RATE 6",'Misc. Data &amp; Mechanisms'!$E$601:$I$631,HLOOKUP('Personalized Bill Menu'!$B$22, 'Misc. Data &amp; Mechanisms'!$E$599:$I$600, 2, FALSE), FALSE), 'Misc. Data &amp; Mechanisms'!$A$599:$C$659, 2, FALSE), FALSE)), ""))</f>
        <v/>
      </c>
      <c r="AH55" s="90" t="str">
        <f ca="1">IF($A55="", "",IFERROR(IF(VLOOKUP($A55, INDIRECT("'" &amp; 'Personalized Bill Menu'!$B$22 &amp; "'!" &amp;"$A$4:$CA$100"), VLOOKUP(VLOOKUP("RIDER RATE 7",'Misc. Data &amp; Mechanisms'!$E$601:$I$631,HLOOKUP('Personalized Bill Menu'!$B$22, 'Misc. Data &amp; Mechanisms'!$E$599:$I$600, 2, FALSE), FALSE), 'Misc. Data &amp; Mechanisms'!$A$599:$C$659, 2, FALSE), FALSE) = "", "", VLOOKUP($A55, INDIRECT("'" &amp; 'Personalized Bill Menu'!$B$22 &amp; "'!" &amp;"$A$4:$CA$100"), VLOOKUP(VLOOKUP("RIDER RATE 7",'Misc. Data &amp; Mechanisms'!$E$601:$I$631,HLOOKUP('Personalized Bill Menu'!$B$22, 'Misc. Data &amp; Mechanisms'!$E$599:$I$600, 2, FALSE), FALSE), 'Misc. Data &amp; Mechanisms'!$A$599:$C$659, 2, FALSE), FALSE)), ""))</f>
        <v/>
      </c>
      <c r="AI55" s="72">
        <f t="shared" ca="1" si="14"/>
        <v>-2.1631490253484871</v>
      </c>
      <c r="AJ55" s="72">
        <f t="shared" ca="1" si="15"/>
        <v>12.115970275752145</v>
      </c>
      <c r="AK55" s="72">
        <f ca="1">IF($A55="", "", IFERROR(IF($AD$6="%",IF('Personalized Bill Menu'!$B$22="ENMAX", $AD55*$I55, IF(AND($AD55="", 'Personalized Bill Menu'!$B$22="FORTIS"),($AE55/100)*$C55,$AD55*$H55)),($AD55/100)*$C55), 0))</f>
        <v>0</v>
      </c>
      <c r="AL55" s="72">
        <f ca="1">IF($A55="", "", IFERROR(IF('Personalized Bill Menu'!$B$22="ENMAX",$AE55*$B55,IF($AE$6="%",$AE55*($H55+$I55+$J55), IF('Personalized Bill Menu'!$B$22="FORTIS",$AF55*$I55,($AE55/100)*$C55))), 0))</f>
        <v>0</v>
      </c>
      <c r="AM55" s="72" t="str">
        <f>IF($A55="", "", IFERROR(IF('Personalized Bill Menu'!$B$22="EPCOR",($AF55/100)*$C55, IF('Personalized Bill Menu'!$B$22="ATCO",$AF55*1,"")), 0))</f>
        <v/>
      </c>
      <c r="AN55" s="72" t="str">
        <f>IF($A55="", "", IFERROR(IF('Personalized Bill Menu'!$B$22="ATCO",$AG55*$B55,""), 0))</f>
        <v/>
      </c>
      <c r="AO55" s="70" t="str">
        <f>IF($A55="", "", IFERROR(IF('Personalized Bill Menu'!$B$22="ATCO",$AH55*$B55,""), 0))</f>
        <v/>
      </c>
      <c r="AP55" s="81">
        <f>IF('Personalized Bill Menu'!$B$34&lt;&gt;"Natural Gas", 'Personalized Bill Menu'!$K52, "")</f>
        <v>0.2291</v>
      </c>
      <c r="AQ55" s="72">
        <f t="shared" si="16"/>
        <v>7.1021000000000001</v>
      </c>
      <c r="AR55" s="91">
        <f ca="1">IF($A55="", "",IF(VLOOKUP($A55, INDIRECT("'" &amp; 'Personalized Bill Menu'!$B$22 &amp; "'!" &amp;"$A$4:$CA$100"), VLOOKUP(VLOOKUP(AR$5,'Misc. Data &amp; Mechanisms'!$E$601:$I$631,HLOOKUP('Personalized Bill Menu'!$B$22, 'Misc. Data &amp; Mechanisms'!$E$599:$I$600, 2, FALSE), FALSE), 'Misc. Data &amp; Mechanisms'!$A$599:$C$659, 2, FALSE), FALSE) = "", "", VLOOKUP($A55, INDIRECT("'" &amp; 'Personalized Bill Menu'!$B$22 &amp; "'!" &amp;"$A$4:$CA$100"), VLOOKUP(VLOOKUP(AR$5,'Misc. Data &amp; Mechanisms'!$E$601:$I$631,HLOOKUP('Personalized Bill Menu'!$B$22, 'Misc. Data &amp; Mechanisms'!$E$599:$I$600, 2, FALSE), FALSE), 'Misc. Data &amp; Mechanisms'!$A$599:$C$659, 2, FALSE), FALSE)))</f>
        <v>0.05</v>
      </c>
      <c r="AS55" s="2"/>
      <c r="AT55" s="2"/>
      <c r="AU55" s="2"/>
      <c r="AV55" s="2"/>
      <c r="AW55" s="2"/>
    </row>
    <row r="56" spans="1:49" x14ac:dyDescent="0.35">
      <c r="A56" s="83">
        <f>'Personalized Bill Menu'!$H53</f>
        <v>42401</v>
      </c>
      <c r="B56" s="84">
        <f t="shared" si="0"/>
        <v>29</v>
      </c>
      <c r="C56" s="85">
        <f>IF('Personalized Bill Menu'!$B$34&lt;&gt;"Natural Gas", 'Personalized Bill Menu'!$I53, "")</f>
        <v>572.05995122032334</v>
      </c>
      <c r="D56" s="66">
        <f t="shared" ca="1" si="17"/>
        <v>13.970552205948662</v>
      </c>
      <c r="E56" s="66">
        <f ca="1">IFERROR((1+$AR56)*(IF('Personalized Bill Menu'!$B$22="ENMAX", ((1+IFERROR($X56, 0))*($N56+$P56+$R56+$AB56+$AC56))+((1+IF($X56="", 0,$X56))*(IF($AD56="", 0,$AD56)*$R56)), IF('Personalized Bill Menu'!$B$22="EPCOR", ($N56+$P56+$R56+$X56+SUM($AB56:$AE56)), IF('Personalized Bill Menu'!$B$22="ATCO",($N56+((1+IF($AE56="", 0,$AE56))*(1+$X56+$Y56)*($P56+$R56))+SUM($AB56:$AD56)),IF($AD56="",$N56+((1+$X56+$Y56)*($P56+$R56))+$AB56+$AE56+(IF($AC56="", 0, $AC56)*$P56)+($R56*IF($AF56="", 0, $AF56)),$N56+((1+$X56+$Y56)*($P56+$R56))+$AB56+($AD56*$P56)+(IF($AC56="", 0, $AC56)*$P56)+($R56*IF($AF56="", 0, $AF56))))))), "")</f>
        <v>10.222231110000001</v>
      </c>
      <c r="F56" s="1469">
        <f t="shared" ca="1" si="1"/>
        <v>79.919934134559725</v>
      </c>
      <c r="G56" s="66">
        <f t="shared" si="2"/>
        <v>25.125445117547823</v>
      </c>
      <c r="H56" s="66">
        <f t="shared" ca="1" si="3"/>
        <v>11.134002830601151</v>
      </c>
      <c r="I56" s="66">
        <f t="shared" ca="1" si="4"/>
        <v>17.489068326055996</v>
      </c>
      <c r="J56" s="66">
        <f t="shared" ca="1" si="5"/>
        <v>6.9464070593702374</v>
      </c>
      <c r="K56" s="66">
        <f t="shared" ca="1" si="6"/>
        <v>8.7753996517197592</v>
      </c>
      <c r="L56" s="66">
        <f t="shared" si="7"/>
        <v>6.6439000000000004</v>
      </c>
      <c r="M56" s="68">
        <f t="shared" ca="1" si="8"/>
        <v>3.8057111492647486</v>
      </c>
      <c r="N56" s="69">
        <f>IF('Personalized Bill Menu'!$B$34&lt;&gt;"Natural Gas", 'Personalized Bill Menu'!$J53, "")</f>
        <v>4.3921000000000001</v>
      </c>
      <c r="O56" s="70">
        <f t="shared" si="9"/>
        <v>25.125445117547823</v>
      </c>
      <c r="P56" s="71">
        <f ca="1">IF($A56="", "",IFERROR(IF(VLOOKUP($A56, INDIRECT("'" &amp; 'Personalized Bill Menu'!$B$22 &amp; "'!" &amp;"$A$4:$CA$100"), VLOOKUP(VLOOKUP(P$5,'Misc. Data &amp; Mechanisms'!$E$601:$I$631,HLOOKUP('Personalized Bill Menu'!$B$22, 'Misc. Data &amp; Mechanisms'!$E$599:$I$600, 2, FALSE), FALSE), 'Misc. Data &amp; Mechanisms'!$A$599:$C$659, 2, FALSE), FALSE) = "", "", VLOOKUP($A56, INDIRECT("'" &amp; 'Personalized Bill Menu'!$B$22 &amp; "'!" &amp;"$A$4:$CA$100"), VLOOKUP(VLOOKUP(P$5,'Misc. Data &amp; Mechanisms'!$E$601:$I$631,HLOOKUP('Personalized Bill Menu'!$B$22, 'Misc. Data &amp; Mechanisms'!$E$599:$I$600, 2, FALSE), FALSE), 'Misc. Data &amp; Mechanisms'!$A$599:$C$659, 2, FALSE), FALSE)), ""))</f>
        <v>1.9462999999999999</v>
      </c>
      <c r="Q56" s="72">
        <f t="shared" ca="1" si="10"/>
        <v>11.134002830601151</v>
      </c>
      <c r="R56" s="87">
        <f ca="1">IF($A56="", "",IFERROR(IF(VLOOKUP($A56, INDIRECT("'" &amp; 'Personalized Bill Menu'!$B$22 &amp; "'!" &amp;"$A$4:$CA$100"), VLOOKUP(VLOOKUP(R$5,'Misc. Data &amp; Mechanisms'!$E$601:$I$631,HLOOKUP('Personalized Bill Menu'!$B$22, 'Misc. Data &amp; Mechanisms'!$E$599:$I$600, 2, FALSE), FALSE), 'Misc. Data &amp; Mechanisms'!$A$599:$C$659, 2, FALSE), FALSE) = "", "", VLOOKUP($A56, INDIRECT("'" &amp; 'Personalized Bill Menu'!$B$22 &amp; "'!" &amp;"$A$4:$CA$100"), VLOOKUP(VLOOKUP(R$5,'Misc. Data &amp; Mechanisms'!$E$601:$I$631,HLOOKUP('Personalized Bill Menu'!$B$22, 'Misc. Data &amp; Mechanisms'!$E$599:$I$600, 2, FALSE), FALSE), 'Misc. Data &amp; Mechanisms'!$A$599:$C$659, 2, FALSE), FALSE)), ""))</f>
        <v>0.88959999999999995</v>
      </c>
      <c r="S56" s="88">
        <f ca="1">IF($A56="", "",IFERROR(IF(VLOOKUP($A56, INDIRECT("'" &amp; 'Personalized Bill Menu'!$B$22 &amp; "'!" &amp;"$A$4:$CA$100"), VLOOKUP(VLOOKUP(S$5,'Misc. Data &amp; Mechanisms'!$E$601:$I$631,HLOOKUP('Personalized Bill Menu'!$B$22, 'Misc. Data &amp; Mechanisms'!$E$599:$I$600, 2, FALSE), FALSE), 'Misc. Data &amp; Mechanisms'!$A$599:$C$659, 2, FALSE), FALSE) = "", "", VLOOKUP($A56, INDIRECT("'" &amp; 'Personalized Bill Menu'!$B$22 &amp; "'!" &amp;"$A$4:$CA$100"), VLOOKUP(VLOOKUP(S$5,'Misc. Data &amp; Mechanisms'!$E$601:$I$631,HLOOKUP('Personalized Bill Menu'!$B$22, 'Misc. Data &amp; Mechanisms'!$E$599:$I$600, 2, FALSE), FALSE), 'Misc. Data &amp; Mechanisms'!$A$599:$C$659, 2, FALSE), FALSE)), ""))</f>
        <v>0.42758699999999999</v>
      </c>
      <c r="T56" s="81" t="str">
        <f ca="1">IF($A56="", "",IFERROR(IF(VLOOKUP($A56, INDIRECT("'" &amp; 'Personalized Bill Menu'!$B$22 &amp; "'!" &amp;"$A$4:$CA$100"), VLOOKUP(VLOOKUP(T$5,'Misc. Data &amp; Mechanisms'!$E$601:$I$631,HLOOKUP('Personalized Bill Menu'!$B$22, 'Misc. Data &amp; Mechanisms'!$E$599:$I$600, 2, FALSE), FALSE), 'Misc. Data &amp; Mechanisms'!$A$599:$C$659, 2, FALSE), FALSE) = "", "", VLOOKUP($A56, INDIRECT("'" &amp; 'Personalized Bill Menu'!$B$22 &amp; "'!" &amp;"$A$4:$CA$100"), VLOOKUP(VLOOKUP(T$5,'Misc. Data &amp; Mechanisms'!$E$601:$I$631,HLOOKUP('Personalized Bill Menu'!$B$22, 'Misc. Data &amp; Mechanisms'!$E$599:$I$600, 2, FALSE), FALSE), 'Misc. Data &amp; Mechanisms'!$A$599:$C$659, 2, FALSE), FALSE)), ""))</f>
        <v/>
      </c>
      <c r="U56" s="72">
        <f t="shared" ca="1" si="11"/>
        <v>5.089045326055996</v>
      </c>
      <c r="V56" s="72">
        <f t="shared" ca="1" si="12"/>
        <v>12.400022999999999</v>
      </c>
      <c r="W56" s="70" t="str">
        <f t="shared" si="13"/>
        <v/>
      </c>
      <c r="X56" s="78">
        <f>IFERROR(IF(VLOOKUP($A56,'Misc. Data &amp; Mechanisms'!$A$63:$DY$152,HLOOKUP('Personalized Bill Menu'!$B$21&amp;"_"&amp;'Personalized Bill Menu'!$B$22&amp;"_Elec_Y_1",'Misc. Data &amp; Mechanisms'!$A$55:$DY$62,8,FALSE), FALSE)="", "", VLOOKUP($A56,'Misc. Data &amp; Mechanisms'!$A$63:$DY$152,HLOOKUP('Personalized Bill Menu'!$B$21&amp;"_"&amp;'Personalized Bill Menu'!$B$22&amp;"_Elec_Y_1",'Misc. Data &amp; Mechanisms'!$A$55:$DY$62,8,FALSE), FALSE)), "")</f>
        <v>0.1111</v>
      </c>
      <c r="Y56" s="78" t="str">
        <f>IFERROR(IF(VLOOKUP($A56,'Misc. Data &amp; Mechanisms'!$A$63:$DY$152,HLOOKUP('Personalized Bill Menu'!$B$21&amp;"_"&amp;'Personalized Bill Menu'!$B$22&amp;"_Elec_Y_2",'Misc. Data &amp; Mechanisms'!$A$55:$DY$62,8,FALSE), FALSE)="", "", VLOOKUP($A56,'Misc. Data &amp; Mechanisms'!$A$63:$DY$152,HLOOKUP('Personalized Bill Menu'!$B$21&amp;"_"&amp;'Personalized Bill Menu'!$B$22&amp;"_Elec_Y_2",'Misc. Data &amp; Mechanisms'!$A$55:$DY$62,8,FALSE), FALSE)), "")</f>
        <v/>
      </c>
      <c r="Z56" s="72">
        <f ca="1">IF($A56="", "",IFERROR(IF(OR('Personalized Bill Menu'!$B$22="FORTIS", 'Personalized Bill Menu'!$B$22="ATCO"), $X56*($H56+$I56), IF('Personalized Bill Menu'!$B$22="ENMAX",$X56*($H56+$I56+$K56),($X56/100)*$C56)), 0))</f>
        <v>4.1549701068106746</v>
      </c>
      <c r="AA56" s="72">
        <f>IF($A56="", "", IFERROR(IF(OR('Personalized Bill Menu'!$B$22="FORTIS", 'Personalized Bill Menu'!$B$22="ATCO"), $Y56*($H56+$I56), IF('Personalized Bill Menu'!$B$22="ENMAX",$X56*$G56,"")), 0))</f>
        <v>2.7914369525595633</v>
      </c>
      <c r="AB56" s="89">
        <f ca="1">IF($A56="", "",IFERROR(IF(VLOOKUP($A56, INDIRECT("'" &amp; 'Personalized Bill Menu'!$B$22 &amp; "'!" &amp;"$A$4:$CA$100"), VLOOKUP(VLOOKUP("RIDER RATE 1",'Misc. Data &amp; Mechanisms'!$E$601:$I$631,HLOOKUP('Personalized Bill Menu'!$B$22, 'Misc. Data &amp; Mechanisms'!$E$599:$I$600, 2, FALSE), FALSE), 'Misc. Data &amp; Mechanisms'!$A$599:$C$659, 2, FALSE), FALSE) = "", "", VLOOKUP($A56, INDIRECT("'" &amp; 'Personalized Bill Menu'!$B$22 &amp; "'!" &amp;"$A$4:$CA$100"), VLOOKUP(VLOOKUP("RIDER RATE 1",'Misc. Data &amp; Mechanisms'!$E$601:$I$631,HLOOKUP('Personalized Bill Menu'!$B$22, 'Misc. Data &amp; Mechanisms'!$E$599:$I$600, 2, FALSE), FALSE), 'Misc. Data &amp; Mechanisms'!$A$599:$C$659, 2, FALSE), FALSE)), ""))</f>
        <v>-0.33339999999999997</v>
      </c>
      <c r="AC56" s="69">
        <f ca="1">IF($A56="", "",IFERROR(IF(VLOOKUP($A56, INDIRECT("'" &amp; 'Personalized Bill Menu'!$B$22 &amp; "'!" &amp;"$A$4:$CA$100"), VLOOKUP(VLOOKUP("RIDER RATE 2",'Misc. Data &amp; Mechanisms'!$E$601:$I$631,HLOOKUP('Personalized Bill Menu'!$B$22, 'Misc. Data &amp; Mechanisms'!$E$599:$I$600, 2, FALSE), FALSE), 'Misc. Data &amp; Mechanisms'!$A$599:$C$659, 2, FALSE), FALSE) = "", "", VLOOKUP($A56, INDIRECT("'" &amp; 'Personalized Bill Menu'!$B$22 &amp; "'!" &amp;"$A$4:$CA$100"), VLOOKUP(VLOOKUP("RIDER RATE 2",'Misc. Data &amp; Mechanisms'!$E$601:$I$631,HLOOKUP('Personalized Bill Menu'!$B$22, 'Misc. Data &amp; Mechanisms'!$E$599:$I$600, 2, FALSE), FALSE), 'Misc. Data &amp; Mechanisms'!$A$599:$C$659, 2, FALSE), FALSE)), ""))</f>
        <v>1.8673999999999999</v>
      </c>
      <c r="AD56" s="69" t="str">
        <f ca="1">IF($A56="", "",IFERROR(IF(VLOOKUP($A56, INDIRECT("'" &amp; 'Personalized Bill Menu'!$B$22 &amp; "'!" &amp;"$A$4:$CA$100"), VLOOKUP(VLOOKUP("RIDER RATE 3",'Misc. Data &amp; Mechanisms'!$E$601:$I$631,HLOOKUP('Personalized Bill Menu'!$B$22, 'Misc. Data &amp; Mechanisms'!$E$599:$I$600, 2, FALSE), FALSE), 'Misc. Data &amp; Mechanisms'!$A$599:$C$659, 2, FALSE), FALSE) = "", "", VLOOKUP($A56, INDIRECT("'" &amp; 'Personalized Bill Menu'!$B$22 &amp; "'!" &amp;"$A$4:$CA$100"), VLOOKUP(VLOOKUP("RIDER RATE 3",'Misc. Data &amp; Mechanisms'!$E$601:$I$631,HLOOKUP('Personalized Bill Menu'!$B$22, 'Misc. Data &amp; Mechanisms'!$E$599:$I$600, 2, FALSE), FALSE), 'Misc. Data &amp; Mechanisms'!$A$599:$C$659, 2, FALSE), FALSE)), ""))</f>
        <v/>
      </c>
      <c r="AE56" s="69" t="str">
        <f ca="1">IF($A56="", "",IFERROR(IF(VLOOKUP($A56, INDIRECT("'" &amp; 'Personalized Bill Menu'!$B$22 &amp; "'!" &amp;"$A$4:$CA$100"), VLOOKUP(VLOOKUP("RIDER RATE 4",'Misc. Data &amp; Mechanisms'!$E$601:$I$631,HLOOKUP('Personalized Bill Menu'!$B$22, 'Misc. Data &amp; Mechanisms'!$E$599:$I$600, 2, FALSE), FALSE), 'Misc. Data &amp; Mechanisms'!$A$599:$C$659, 2, FALSE), FALSE) = "", "", VLOOKUP($A56, INDIRECT("'" &amp; 'Personalized Bill Menu'!$B$22 &amp; "'!" &amp;"$A$4:$CA$100"), VLOOKUP(VLOOKUP("RIDER RATE 4",'Misc. Data &amp; Mechanisms'!$E$601:$I$631,HLOOKUP('Personalized Bill Menu'!$B$22, 'Misc. Data &amp; Mechanisms'!$E$599:$I$600, 2, FALSE), FALSE), 'Misc. Data &amp; Mechanisms'!$A$599:$C$659, 2, FALSE), FALSE)), ""))</f>
        <v/>
      </c>
      <c r="AF56" s="90" t="str">
        <f ca="1">IF($A56="", "",IFERROR(IF(VLOOKUP($A56, INDIRECT("'" &amp; 'Personalized Bill Menu'!$B$22 &amp; "'!" &amp;"$A$4:$CA$100"), VLOOKUP(VLOOKUP("RIDER RATE 5",'Misc. Data &amp; Mechanisms'!$E$601:$I$631,HLOOKUP('Personalized Bill Menu'!$B$22, 'Misc. Data &amp; Mechanisms'!$E$599:$I$600, 2, FALSE), FALSE), 'Misc. Data &amp; Mechanisms'!$A$599:$C$659, 2, FALSE), FALSE) = "", "", VLOOKUP($A56, INDIRECT("'" &amp; 'Personalized Bill Menu'!$B$22 &amp; "'!" &amp;"$A$4:$CA$100"), VLOOKUP(VLOOKUP("RIDER RATE 5",'Misc. Data &amp; Mechanisms'!$E$601:$I$631,HLOOKUP('Personalized Bill Menu'!$B$22, 'Misc. Data &amp; Mechanisms'!$E$599:$I$600, 2, FALSE), FALSE), 'Misc. Data &amp; Mechanisms'!$A$599:$C$659, 2, FALSE), FALSE)), ""))</f>
        <v/>
      </c>
      <c r="AG56" s="90" t="str">
        <f ca="1">IF($A56="", "",IFERROR(IF(VLOOKUP($A56, INDIRECT("'" &amp; 'Personalized Bill Menu'!$B$22 &amp; "'!" &amp;"$A$4:$CA$100"), VLOOKUP(VLOOKUP("RIDER RATE 6",'Misc. Data &amp; Mechanisms'!$E$601:$I$631,HLOOKUP('Personalized Bill Menu'!$B$22, 'Misc. Data &amp; Mechanisms'!$E$599:$I$600, 2, FALSE), FALSE), 'Misc. Data &amp; Mechanisms'!$A$599:$C$659, 2, FALSE), FALSE) = "", "", VLOOKUP($A56, INDIRECT("'" &amp; 'Personalized Bill Menu'!$B$22 &amp; "'!" &amp;"$A$4:$CA$100"), VLOOKUP(VLOOKUP("RIDER RATE 6",'Misc. Data &amp; Mechanisms'!$E$601:$I$631,HLOOKUP('Personalized Bill Menu'!$B$22, 'Misc. Data &amp; Mechanisms'!$E$599:$I$600, 2, FALSE), FALSE), 'Misc. Data &amp; Mechanisms'!$A$599:$C$659, 2, FALSE), FALSE)), ""))</f>
        <v/>
      </c>
      <c r="AH56" s="90" t="str">
        <f ca="1">IF($A56="", "",IFERROR(IF(VLOOKUP($A56, INDIRECT("'" &amp; 'Personalized Bill Menu'!$B$22 &amp; "'!" &amp;"$A$4:$CA$100"), VLOOKUP(VLOOKUP("RIDER RATE 7",'Misc. Data &amp; Mechanisms'!$E$601:$I$631,HLOOKUP('Personalized Bill Menu'!$B$22, 'Misc. Data &amp; Mechanisms'!$E$599:$I$600, 2, FALSE), FALSE), 'Misc. Data &amp; Mechanisms'!$A$599:$C$659, 2, FALSE), FALSE) = "", "", VLOOKUP($A56, INDIRECT("'" &amp; 'Personalized Bill Menu'!$B$22 &amp; "'!" &amp;"$A$4:$CA$100"), VLOOKUP(VLOOKUP("RIDER RATE 7",'Misc. Data &amp; Mechanisms'!$E$601:$I$631,HLOOKUP('Personalized Bill Menu'!$B$22, 'Misc. Data &amp; Mechanisms'!$E$599:$I$600, 2, FALSE), FALSE), 'Misc. Data &amp; Mechanisms'!$A$599:$C$659, 2, FALSE), FALSE)), ""))</f>
        <v/>
      </c>
      <c r="AI56" s="72">
        <f t="shared" ca="1" si="14"/>
        <v>-1.9072478773685579</v>
      </c>
      <c r="AJ56" s="72">
        <f t="shared" ca="1" si="15"/>
        <v>10.682647529088317</v>
      </c>
      <c r="AK56" s="72">
        <f ca="1">IF($A56="", "", IFERROR(IF($AD$6="%",IF('Personalized Bill Menu'!$B$22="ENMAX", $AD56*$I56, IF(AND($AD56="", 'Personalized Bill Menu'!$B$22="FORTIS"),($AE56/100)*$C56,$AD56*$H56)),($AD56/100)*$C56), 0))</f>
        <v>0</v>
      </c>
      <c r="AL56" s="72">
        <f ca="1">IF($A56="", "", IFERROR(IF('Personalized Bill Menu'!$B$22="ENMAX",$AE56*$B56,IF($AE$6="%",$AE56*($H56+$I56+$J56), IF('Personalized Bill Menu'!$B$22="FORTIS",$AF56*$I56,($AE56/100)*$C56))), 0))</f>
        <v>0</v>
      </c>
      <c r="AM56" s="72" t="str">
        <f>IF($A56="", "", IFERROR(IF('Personalized Bill Menu'!$B$22="EPCOR",($AF56/100)*$C56, IF('Personalized Bill Menu'!$B$22="ATCO",$AF56*1,"")), 0))</f>
        <v/>
      </c>
      <c r="AN56" s="72" t="str">
        <f>IF($A56="", "", IFERROR(IF('Personalized Bill Menu'!$B$22="ATCO",$AG56*$B56,""), 0))</f>
        <v/>
      </c>
      <c r="AO56" s="70" t="str">
        <f>IF($A56="", "", IFERROR(IF('Personalized Bill Menu'!$B$22="ATCO",$AH56*$B56,""), 0))</f>
        <v/>
      </c>
      <c r="AP56" s="81">
        <f>IF('Personalized Bill Menu'!$B$34&lt;&gt;"Natural Gas", 'Personalized Bill Menu'!$K53, "")</f>
        <v>0.2291</v>
      </c>
      <c r="AQ56" s="72">
        <f t="shared" si="16"/>
        <v>6.6439000000000004</v>
      </c>
      <c r="AR56" s="91">
        <f ca="1">IF($A56="", "",IF(VLOOKUP($A56, INDIRECT("'" &amp; 'Personalized Bill Menu'!$B$22 &amp; "'!" &amp;"$A$4:$CA$100"), VLOOKUP(VLOOKUP(AR$5,'Misc. Data &amp; Mechanisms'!$E$601:$I$631,HLOOKUP('Personalized Bill Menu'!$B$22, 'Misc. Data &amp; Mechanisms'!$E$599:$I$600, 2, FALSE), FALSE), 'Misc. Data &amp; Mechanisms'!$A$599:$C$659, 2, FALSE), FALSE) = "", "", VLOOKUP($A56, INDIRECT("'" &amp; 'Personalized Bill Menu'!$B$22 &amp; "'!" &amp;"$A$4:$CA$100"), VLOOKUP(VLOOKUP(AR$5,'Misc. Data &amp; Mechanisms'!$E$601:$I$631,HLOOKUP('Personalized Bill Menu'!$B$22, 'Misc. Data &amp; Mechanisms'!$E$599:$I$600, 2, FALSE), FALSE), 'Misc. Data &amp; Mechanisms'!$A$599:$C$659, 2, FALSE), FALSE)))</f>
        <v>0.05</v>
      </c>
      <c r="AS56" s="2"/>
      <c r="AT56" s="2"/>
      <c r="AU56" s="2"/>
      <c r="AV56" s="2"/>
      <c r="AW56" s="2"/>
    </row>
    <row r="57" spans="1:49" x14ac:dyDescent="0.35">
      <c r="A57" s="83">
        <f>'Personalized Bill Menu'!$H54</f>
        <v>42430</v>
      </c>
      <c r="B57" s="84">
        <f t="shared" si="0"/>
        <v>31</v>
      </c>
      <c r="C57" s="85">
        <f>IF('Personalized Bill Menu'!$B$34&lt;&gt;"Natural Gas", 'Personalized Bill Menu'!$I54, "")</f>
        <v>568.09995204782911</v>
      </c>
      <c r="D57" s="66">
        <f t="shared" ca="1" si="17"/>
        <v>14.016306175541557</v>
      </c>
      <c r="E57" s="66">
        <f ca="1">IFERROR((1+$AR57)*(IF('Personalized Bill Menu'!$B$22="ENMAX", ((1+IFERROR($X57, 0))*($N57+$P57+$R57+$AB57+$AC57))+((1+IF($X57="", 0,$X57))*(IF($AD57="", 0,$AD57)*$R57)), IF('Personalized Bill Menu'!$B$22="EPCOR", ($N57+$P57+$R57+$X57+SUM($AB57:$AE57)), IF('Personalized Bill Menu'!$B$22="ATCO",($N57+((1+IF($AE57="", 0,$AE57))*(1+$X57+$Y57)*($P57+$R57))+SUM($AB57:$AD57)),IF($AD57="",$N57+((1+$X57+$Y57)*($P57+$R57))+$AB57+$AE57+(IF($AC57="", 0, $AC57)*$P57)+($R57*IF($AF57="", 0, $AF57)),$N57+((1+$X57+$Y57)*($P57+$R57))+$AB57+($AD57*$P57)+(IF($AC57="", 0, $AC57)*$P57)+($R57*IF($AF57="", 0, $AF57))))))), "")</f>
        <v>9.9815501834999996</v>
      </c>
      <c r="F57" s="1469">
        <f t="shared" ca="1" si="1"/>
        <v>79.626628662128496</v>
      </c>
      <c r="G57" s="66">
        <f t="shared" si="2"/>
        <v>23.779527792818033</v>
      </c>
      <c r="H57" s="66">
        <f t="shared" ca="1" si="3"/>
        <v>11.056929366706896</v>
      </c>
      <c r="I57" s="66">
        <f t="shared" ca="1" si="4"/>
        <v>18.309014173417488</v>
      </c>
      <c r="J57" s="66">
        <f t="shared" ca="1" si="5"/>
        <v>6.8726598427662644</v>
      </c>
      <c r="K57" s="66">
        <f t="shared" ca="1" si="6"/>
        <v>8.7146532644136983</v>
      </c>
      <c r="L57" s="66">
        <f t="shared" si="7"/>
        <v>7.1021000000000001</v>
      </c>
      <c r="M57" s="68">
        <f t="shared" ca="1" si="8"/>
        <v>3.7917442220061193</v>
      </c>
      <c r="N57" s="69">
        <f>IF('Personalized Bill Menu'!$B$34&lt;&gt;"Natural Gas", 'Personalized Bill Menu'!$J54, "")</f>
        <v>4.1858000000000004</v>
      </c>
      <c r="O57" s="70">
        <f t="shared" si="9"/>
        <v>23.779527792818033</v>
      </c>
      <c r="P57" s="71">
        <f ca="1">IF($A57="", "",IFERROR(IF(VLOOKUP($A57, INDIRECT("'" &amp; 'Personalized Bill Menu'!$B$22 &amp; "'!" &amp;"$A$4:$CA$100"), VLOOKUP(VLOOKUP(P$5,'Misc. Data &amp; Mechanisms'!$E$601:$I$631,HLOOKUP('Personalized Bill Menu'!$B$22, 'Misc. Data &amp; Mechanisms'!$E$599:$I$600, 2, FALSE), FALSE), 'Misc. Data &amp; Mechanisms'!$A$599:$C$659, 2, FALSE), FALSE) = "", "", VLOOKUP($A57, INDIRECT("'" &amp; 'Personalized Bill Menu'!$B$22 &amp; "'!" &amp;"$A$4:$CA$100"), VLOOKUP(VLOOKUP(P$5,'Misc. Data &amp; Mechanisms'!$E$601:$I$631,HLOOKUP('Personalized Bill Menu'!$B$22, 'Misc. Data &amp; Mechanisms'!$E$599:$I$600, 2, FALSE), FALSE), 'Misc. Data &amp; Mechanisms'!$A$599:$C$659, 2, FALSE), FALSE)), ""))</f>
        <v>1.9462999999999999</v>
      </c>
      <c r="Q57" s="72">
        <f t="shared" ca="1" si="10"/>
        <v>11.056929366706896</v>
      </c>
      <c r="R57" s="87">
        <f ca="1">IF($A57="", "",IFERROR(IF(VLOOKUP($A57, INDIRECT("'" &amp; 'Personalized Bill Menu'!$B$22 &amp; "'!" &amp;"$A$4:$CA$100"), VLOOKUP(VLOOKUP(R$5,'Misc. Data &amp; Mechanisms'!$E$601:$I$631,HLOOKUP('Personalized Bill Menu'!$B$22, 'Misc. Data &amp; Mechanisms'!$E$599:$I$600, 2, FALSE), FALSE), 'Misc. Data &amp; Mechanisms'!$A$599:$C$659, 2, FALSE), FALSE) = "", "", VLOOKUP($A57, INDIRECT("'" &amp; 'Personalized Bill Menu'!$B$22 &amp; "'!" &amp;"$A$4:$CA$100"), VLOOKUP(VLOOKUP(R$5,'Misc. Data &amp; Mechanisms'!$E$601:$I$631,HLOOKUP('Personalized Bill Menu'!$B$22, 'Misc. Data &amp; Mechanisms'!$E$599:$I$600, 2, FALSE), FALSE), 'Misc. Data &amp; Mechanisms'!$A$599:$C$659, 2, FALSE), FALSE)), ""))</f>
        <v>0.88959999999999995</v>
      </c>
      <c r="S57" s="88">
        <f ca="1">IF($A57="", "",IFERROR(IF(VLOOKUP($A57, INDIRECT("'" &amp; 'Personalized Bill Menu'!$B$22 &amp; "'!" &amp;"$A$4:$CA$100"), VLOOKUP(VLOOKUP(S$5,'Misc. Data &amp; Mechanisms'!$E$601:$I$631,HLOOKUP('Personalized Bill Menu'!$B$22, 'Misc. Data &amp; Mechanisms'!$E$599:$I$600, 2, FALSE), FALSE), 'Misc. Data &amp; Mechanisms'!$A$599:$C$659, 2, FALSE), FALSE) = "", "", VLOOKUP($A57, INDIRECT("'" &amp; 'Personalized Bill Menu'!$B$22 &amp; "'!" &amp;"$A$4:$CA$100"), VLOOKUP(VLOOKUP(S$5,'Misc. Data &amp; Mechanisms'!$E$601:$I$631,HLOOKUP('Personalized Bill Menu'!$B$22, 'Misc. Data &amp; Mechanisms'!$E$599:$I$600, 2, FALSE), FALSE), 'Misc. Data &amp; Mechanisms'!$A$599:$C$659, 2, FALSE), FALSE)), ""))</f>
        <v>0.42758699999999999</v>
      </c>
      <c r="T57" s="81" t="str">
        <f ca="1">IF($A57="", "",IFERROR(IF(VLOOKUP($A57, INDIRECT("'" &amp; 'Personalized Bill Menu'!$B$22 &amp; "'!" &amp;"$A$4:$CA$100"), VLOOKUP(VLOOKUP(T$5,'Misc. Data &amp; Mechanisms'!$E$601:$I$631,HLOOKUP('Personalized Bill Menu'!$B$22, 'Misc. Data &amp; Mechanisms'!$E$599:$I$600, 2, FALSE), FALSE), 'Misc. Data &amp; Mechanisms'!$A$599:$C$659, 2, FALSE), FALSE) = "", "", VLOOKUP($A57, INDIRECT("'" &amp; 'Personalized Bill Menu'!$B$22 &amp; "'!" &amp;"$A$4:$CA$100"), VLOOKUP(VLOOKUP(T$5,'Misc. Data &amp; Mechanisms'!$E$601:$I$631,HLOOKUP('Personalized Bill Menu'!$B$22, 'Misc. Data &amp; Mechanisms'!$E$599:$I$600, 2, FALSE), FALSE), 'Misc. Data &amp; Mechanisms'!$A$599:$C$659, 2, FALSE), FALSE)), ""))</f>
        <v/>
      </c>
      <c r="U57" s="72">
        <f t="shared" ca="1" si="11"/>
        <v>5.053817173417487</v>
      </c>
      <c r="V57" s="72">
        <f t="shared" ca="1" si="12"/>
        <v>13.255196999999999</v>
      </c>
      <c r="W57" s="70" t="str">
        <f t="shared" si="13"/>
        <v/>
      </c>
      <c r="X57" s="78">
        <f>IFERROR(IF(VLOOKUP($A57,'Misc. Data &amp; Mechanisms'!$A$63:$DY$152,HLOOKUP('Personalized Bill Menu'!$B$21&amp;"_"&amp;'Personalized Bill Menu'!$B$22&amp;"_Elec_Y_1",'Misc. Data &amp; Mechanisms'!$A$55:$DY$62,8,FALSE), FALSE)="", "", VLOOKUP($A57,'Misc. Data &amp; Mechanisms'!$A$63:$DY$152,HLOOKUP('Personalized Bill Menu'!$B$21&amp;"_"&amp;'Personalized Bill Menu'!$B$22&amp;"_Elec_Y_1",'Misc. Data &amp; Mechanisms'!$A$55:$DY$62,8,FALSE), FALSE)), "")</f>
        <v>0.1111</v>
      </c>
      <c r="Y57" s="78" t="str">
        <f>IFERROR(IF(VLOOKUP($A57,'Misc. Data &amp; Mechanisms'!$A$63:$DY$152,HLOOKUP('Personalized Bill Menu'!$B$21&amp;"_"&amp;'Personalized Bill Menu'!$B$22&amp;"_Elec_Y_2",'Misc. Data &amp; Mechanisms'!$A$55:$DY$62,8,FALSE), FALSE)="", "", VLOOKUP($A57,'Misc. Data &amp; Mechanisms'!$A$63:$DY$152,HLOOKUP('Personalized Bill Menu'!$B$21&amp;"_"&amp;'Personalized Bill Menu'!$B$22&amp;"_Elec_Y_2",'Misc. Data &amp; Mechanisms'!$A$55:$DY$62,8,FALSE), FALSE)), "")</f>
        <v/>
      </c>
      <c r="Z57" s="72">
        <f ca="1">IF($A57="", "",IFERROR(IF(OR('Personalized Bill Menu'!$B$22="FORTIS", 'Personalized Bill Menu'!$B$22="ATCO"), $X57*($H57+$I57), IF('Personalized Bill Menu'!$B$22="ENMAX",$X57*($H57+$I57+$K57),($X57/100)*$C57)), 0))</f>
        <v>4.2307543049841811</v>
      </c>
      <c r="AA57" s="72">
        <f>IF($A57="", "", IFERROR(IF(OR('Personalized Bill Menu'!$B$22="FORTIS", 'Personalized Bill Menu'!$B$22="ATCO"), $Y57*($H57+$I57), IF('Personalized Bill Menu'!$B$22="ENMAX",$X57*$G57,"")), 0))</f>
        <v>2.6419055377820837</v>
      </c>
      <c r="AB57" s="89">
        <f ca="1">IF($A57="", "",IFERROR(IF(VLOOKUP($A57, INDIRECT("'" &amp; 'Personalized Bill Menu'!$B$22 &amp; "'!" &amp;"$A$4:$CA$100"), VLOOKUP(VLOOKUP("RIDER RATE 1",'Misc. Data &amp; Mechanisms'!$E$601:$I$631,HLOOKUP('Personalized Bill Menu'!$B$22, 'Misc. Data &amp; Mechanisms'!$E$599:$I$600, 2, FALSE), FALSE), 'Misc. Data &amp; Mechanisms'!$A$599:$C$659, 2, FALSE), FALSE) = "", "", VLOOKUP($A57, INDIRECT("'" &amp; 'Personalized Bill Menu'!$B$22 &amp; "'!" &amp;"$A$4:$CA$100"), VLOOKUP(VLOOKUP("RIDER RATE 1",'Misc. Data &amp; Mechanisms'!$E$601:$I$631,HLOOKUP('Personalized Bill Menu'!$B$22, 'Misc. Data &amp; Mechanisms'!$E$599:$I$600, 2, FALSE), FALSE), 'Misc. Data &amp; Mechanisms'!$A$599:$C$659, 2, FALSE), FALSE)), ""))</f>
        <v>-0.33339999999999997</v>
      </c>
      <c r="AC57" s="69">
        <f ca="1">IF($A57="", "",IFERROR(IF(VLOOKUP($A57, INDIRECT("'" &amp; 'Personalized Bill Menu'!$B$22 &amp; "'!" &amp;"$A$4:$CA$100"), VLOOKUP(VLOOKUP("RIDER RATE 2",'Misc. Data &amp; Mechanisms'!$E$601:$I$631,HLOOKUP('Personalized Bill Menu'!$B$22, 'Misc. Data &amp; Mechanisms'!$E$599:$I$600, 2, FALSE), FALSE), 'Misc. Data &amp; Mechanisms'!$A$599:$C$659, 2, FALSE), FALSE) = "", "", VLOOKUP($A57, INDIRECT("'" &amp; 'Personalized Bill Menu'!$B$22 &amp; "'!" &amp;"$A$4:$CA$100"), VLOOKUP(VLOOKUP("RIDER RATE 2",'Misc. Data &amp; Mechanisms'!$E$601:$I$631,HLOOKUP('Personalized Bill Menu'!$B$22, 'Misc. Data &amp; Mechanisms'!$E$599:$I$600, 2, FALSE), FALSE), 'Misc. Data &amp; Mechanisms'!$A$599:$C$659, 2, FALSE), FALSE)), ""))</f>
        <v>1.8673999999999999</v>
      </c>
      <c r="AD57" s="69" t="str">
        <f ca="1">IF($A57="", "",IFERROR(IF(VLOOKUP($A57, INDIRECT("'" &amp; 'Personalized Bill Menu'!$B$22 &amp; "'!" &amp;"$A$4:$CA$100"), VLOOKUP(VLOOKUP("RIDER RATE 3",'Misc. Data &amp; Mechanisms'!$E$601:$I$631,HLOOKUP('Personalized Bill Menu'!$B$22, 'Misc. Data &amp; Mechanisms'!$E$599:$I$600, 2, FALSE), FALSE), 'Misc. Data &amp; Mechanisms'!$A$599:$C$659, 2, FALSE), FALSE) = "", "", VLOOKUP($A57, INDIRECT("'" &amp; 'Personalized Bill Menu'!$B$22 &amp; "'!" &amp;"$A$4:$CA$100"), VLOOKUP(VLOOKUP("RIDER RATE 3",'Misc. Data &amp; Mechanisms'!$E$601:$I$631,HLOOKUP('Personalized Bill Menu'!$B$22, 'Misc. Data &amp; Mechanisms'!$E$599:$I$600, 2, FALSE), FALSE), 'Misc. Data &amp; Mechanisms'!$A$599:$C$659, 2, FALSE), FALSE)), ""))</f>
        <v/>
      </c>
      <c r="AE57" s="69" t="str">
        <f ca="1">IF($A57="", "",IFERROR(IF(VLOOKUP($A57, INDIRECT("'" &amp; 'Personalized Bill Menu'!$B$22 &amp; "'!" &amp;"$A$4:$CA$100"), VLOOKUP(VLOOKUP("RIDER RATE 4",'Misc. Data &amp; Mechanisms'!$E$601:$I$631,HLOOKUP('Personalized Bill Menu'!$B$22, 'Misc. Data &amp; Mechanisms'!$E$599:$I$600, 2, FALSE), FALSE), 'Misc. Data &amp; Mechanisms'!$A$599:$C$659, 2, FALSE), FALSE) = "", "", VLOOKUP($A57, INDIRECT("'" &amp; 'Personalized Bill Menu'!$B$22 &amp; "'!" &amp;"$A$4:$CA$100"), VLOOKUP(VLOOKUP("RIDER RATE 4",'Misc. Data &amp; Mechanisms'!$E$601:$I$631,HLOOKUP('Personalized Bill Menu'!$B$22, 'Misc. Data &amp; Mechanisms'!$E$599:$I$600, 2, FALSE), FALSE), 'Misc. Data &amp; Mechanisms'!$A$599:$C$659, 2, FALSE), FALSE)), ""))</f>
        <v/>
      </c>
      <c r="AF57" s="90" t="str">
        <f ca="1">IF($A57="", "",IFERROR(IF(VLOOKUP($A57, INDIRECT("'" &amp; 'Personalized Bill Menu'!$B$22 &amp; "'!" &amp;"$A$4:$CA$100"), VLOOKUP(VLOOKUP("RIDER RATE 5",'Misc. Data &amp; Mechanisms'!$E$601:$I$631,HLOOKUP('Personalized Bill Menu'!$B$22, 'Misc. Data &amp; Mechanisms'!$E$599:$I$600, 2, FALSE), FALSE), 'Misc. Data &amp; Mechanisms'!$A$599:$C$659, 2, FALSE), FALSE) = "", "", VLOOKUP($A57, INDIRECT("'" &amp; 'Personalized Bill Menu'!$B$22 &amp; "'!" &amp;"$A$4:$CA$100"), VLOOKUP(VLOOKUP("RIDER RATE 5",'Misc. Data &amp; Mechanisms'!$E$601:$I$631,HLOOKUP('Personalized Bill Menu'!$B$22, 'Misc. Data &amp; Mechanisms'!$E$599:$I$600, 2, FALSE), FALSE), 'Misc. Data &amp; Mechanisms'!$A$599:$C$659, 2, FALSE), FALSE)), ""))</f>
        <v/>
      </c>
      <c r="AG57" s="90" t="str">
        <f ca="1">IF($A57="", "",IFERROR(IF(VLOOKUP($A57, INDIRECT("'" &amp; 'Personalized Bill Menu'!$B$22 &amp; "'!" &amp;"$A$4:$CA$100"), VLOOKUP(VLOOKUP("RIDER RATE 6",'Misc. Data &amp; Mechanisms'!$E$601:$I$631,HLOOKUP('Personalized Bill Menu'!$B$22, 'Misc. Data &amp; Mechanisms'!$E$599:$I$600, 2, FALSE), FALSE), 'Misc. Data &amp; Mechanisms'!$A$599:$C$659, 2, FALSE), FALSE) = "", "", VLOOKUP($A57, INDIRECT("'" &amp; 'Personalized Bill Menu'!$B$22 &amp; "'!" &amp;"$A$4:$CA$100"), VLOOKUP(VLOOKUP("RIDER RATE 6",'Misc. Data &amp; Mechanisms'!$E$601:$I$631,HLOOKUP('Personalized Bill Menu'!$B$22, 'Misc. Data &amp; Mechanisms'!$E$599:$I$600, 2, FALSE), FALSE), 'Misc. Data &amp; Mechanisms'!$A$599:$C$659, 2, FALSE), FALSE)), ""))</f>
        <v/>
      </c>
      <c r="AH57" s="90" t="str">
        <f ca="1">IF($A57="", "",IFERROR(IF(VLOOKUP($A57, INDIRECT("'" &amp; 'Personalized Bill Menu'!$B$22 &amp; "'!" &amp;"$A$4:$CA$100"), VLOOKUP(VLOOKUP("RIDER RATE 7",'Misc. Data &amp; Mechanisms'!$E$601:$I$631,HLOOKUP('Personalized Bill Menu'!$B$22, 'Misc. Data &amp; Mechanisms'!$E$599:$I$600, 2, FALSE), FALSE), 'Misc. Data &amp; Mechanisms'!$A$599:$C$659, 2, FALSE), FALSE) = "", "", VLOOKUP($A57, INDIRECT("'" &amp; 'Personalized Bill Menu'!$B$22 &amp; "'!" &amp;"$A$4:$CA$100"), VLOOKUP(VLOOKUP("RIDER RATE 7",'Misc. Data &amp; Mechanisms'!$E$601:$I$631,HLOOKUP('Personalized Bill Menu'!$B$22, 'Misc. Data &amp; Mechanisms'!$E$599:$I$600, 2, FALSE), FALSE), 'Misc. Data &amp; Mechanisms'!$A$599:$C$659, 2, FALSE), FALSE)), ""))</f>
        <v/>
      </c>
      <c r="AI57" s="72">
        <f t="shared" ca="1" si="14"/>
        <v>-1.8940452401274621</v>
      </c>
      <c r="AJ57" s="72">
        <f t="shared" ca="1" si="15"/>
        <v>10.608698504541161</v>
      </c>
      <c r="AK57" s="72">
        <f ca="1">IF($A57="", "", IFERROR(IF($AD$6="%",IF('Personalized Bill Menu'!$B$22="ENMAX", $AD57*$I57, IF(AND($AD57="", 'Personalized Bill Menu'!$B$22="FORTIS"),($AE57/100)*$C57,$AD57*$H57)),($AD57/100)*$C57), 0))</f>
        <v>0</v>
      </c>
      <c r="AL57" s="72">
        <f ca="1">IF($A57="", "", IFERROR(IF('Personalized Bill Menu'!$B$22="ENMAX",$AE57*$B57,IF($AE$6="%",$AE57*($H57+$I57+$J57), IF('Personalized Bill Menu'!$B$22="FORTIS",$AF57*$I57,($AE57/100)*$C57))), 0))</f>
        <v>0</v>
      </c>
      <c r="AM57" s="72" t="str">
        <f>IF($A57="", "", IFERROR(IF('Personalized Bill Menu'!$B$22="EPCOR",($AF57/100)*$C57, IF('Personalized Bill Menu'!$B$22="ATCO",$AF57*1,"")), 0))</f>
        <v/>
      </c>
      <c r="AN57" s="72" t="str">
        <f>IF($A57="", "", IFERROR(IF('Personalized Bill Menu'!$B$22="ATCO",$AG57*$B57,""), 0))</f>
        <v/>
      </c>
      <c r="AO57" s="70" t="str">
        <f>IF($A57="", "", IFERROR(IF('Personalized Bill Menu'!$B$22="ATCO",$AH57*$B57,""), 0))</f>
        <v/>
      </c>
      <c r="AP57" s="81">
        <f>IF('Personalized Bill Menu'!$B$34&lt;&gt;"Natural Gas", 'Personalized Bill Menu'!$K54, "")</f>
        <v>0.2291</v>
      </c>
      <c r="AQ57" s="72">
        <f t="shared" si="16"/>
        <v>7.1021000000000001</v>
      </c>
      <c r="AR57" s="91">
        <f ca="1">IF($A57="", "",IF(VLOOKUP($A57, INDIRECT("'" &amp; 'Personalized Bill Menu'!$B$22 &amp; "'!" &amp;"$A$4:$CA$100"), VLOOKUP(VLOOKUP(AR$5,'Misc. Data &amp; Mechanisms'!$E$601:$I$631,HLOOKUP('Personalized Bill Menu'!$B$22, 'Misc. Data &amp; Mechanisms'!$E$599:$I$600, 2, FALSE), FALSE), 'Misc. Data &amp; Mechanisms'!$A$599:$C$659, 2, FALSE), FALSE) = "", "", VLOOKUP($A57, INDIRECT("'" &amp; 'Personalized Bill Menu'!$B$22 &amp; "'!" &amp;"$A$4:$CA$100"), VLOOKUP(VLOOKUP(AR$5,'Misc. Data &amp; Mechanisms'!$E$601:$I$631,HLOOKUP('Personalized Bill Menu'!$B$22, 'Misc. Data &amp; Mechanisms'!$E$599:$I$600, 2, FALSE), FALSE), 'Misc. Data &amp; Mechanisms'!$A$599:$C$659, 2, FALSE), FALSE)))</f>
        <v>0.05</v>
      </c>
      <c r="AS57" s="2"/>
      <c r="AT57" s="2"/>
      <c r="AU57" s="2"/>
      <c r="AV57" s="2"/>
      <c r="AW57" s="2"/>
    </row>
    <row r="58" spans="1:49" x14ac:dyDescent="0.35">
      <c r="A58" s="83">
        <f>'Personalized Bill Menu'!$H55</f>
        <v>42461</v>
      </c>
      <c r="B58" s="84">
        <f t="shared" si="0"/>
        <v>30</v>
      </c>
      <c r="C58" s="85">
        <f>IF('Personalized Bill Menu'!$B$34&lt;&gt;"Natural Gas", 'Personalized Bill Menu'!$I55, "")</f>
        <v>507.02427047604448</v>
      </c>
      <c r="D58" s="66">
        <f t="shared" ca="1" si="17"/>
        <v>13.045410735127113</v>
      </c>
      <c r="E58" s="66">
        <f ca="1">IFERROR((1+$AR58)*(IF('Personalized Bill Menu'!$B$22="ENMAX", ((1+IFERROR($X58, 0))*($N58+$P58+$R58+$AB58+$AC58))+((1+IF($X58="", 0,$X58))*(IF($AD58="", 0,$AD58)*$R58)), IF('Personalized Bill Menu'!$B$22="EPCOR", ($N58+$P58+$R58+$X58+SUM($AB58:$AE58)), IF('Personalized Bill Menu'!$B$22="ATCO",($N58+((1+IF($AE58="", 0,$AE58))*(1+$X58+$Y58)*($P58+$R58))+SUM($AB58:$AD58)),IF($AD58="",$N58+((1+$X58+$Y58)*($P58+$R58))+$AB58+$AE58+(IF($AC58="", 0, $AC58)*$P58)+($R58*IF($AF58="", 0, $AF58)),$N58+((1+$X58+$Y58)*($P58+$R58))+$AB58+($AD58*$P58)+(IF($AC58="", 0, $AC58)*$P58)+($R58*IF($AF58="", 0, $AF58))))))), "")</f>
        <v>8.6704632944999993</v>
      </c>
      <c r="F58" s="1469">
        <f t="shared" ca="1" si="1"/>
        <v>66.143398610381837</v>
      </c>
      <c r="G58" s="66">
        <f t="shared" si="2"/>
        <v>16.983791988136062</v>
      </c>
      <c r="H58" s="66">
        <f t="shared" ca="1" si="3"/>
        <v>9.8682133762752517</v>
      </c>
      <c r="I58" s="66">
        <f t="shared" ca="1" si="4"/>
        <v>17.338097910154893</v>
      </c>
      <c r="J58" s="66">
        <f t="shared" ca="1" si="5"/>
        <v>5.6115662047592672</v>
      </c>
      <c r="K58" s="66">
        <f t="shared" ca="1" si="6"/>
        <v>6.319043482942944</v>
      </c>
      <c r="L58" s="66">
        <f t="shared" si="7"/>
        <v>6.8730000000000002</v>
      </c>
      <c r="M58" s="68">
        <f t="shared" ca="1" si="8"/>
        <v>3.1496856481134206</v>
      </c>
      <c r="N58" s="69">
        <f>IF('Personalized Bill Menu'!$B$34&lt;&gt;"Natural Gas", 'Personalized Bill Menu'!$J55, "")</f>
        <v>3.3496999999999999</v>
      </c>
      <c r="O58" s="70">
        <f t="shared" si="9"/>
        <v>16.983791988136062</v>
      </c>
      <c r="P58" s="71">
        <f ca="1">IF($A58="", "",IFERROR(IF(VLOOKUP($A58, INDIRECT("'" &amp; 'Personalized Bill Menu'!$B$22 &amp; "'!" &amp;"$A$4:$CA$100"), VLOOKUP(VLOOKUP(P$5,'Misc. Data &amp; Mechanisms'!$E$601:$I$631,HLOOKUP('Personalized Bill Menu'!$B$22, 'Misc. Data &amp; Mechanisms'!$E$599:$I$600, 2, FALSE), FALSE), 'Misc. Data &amp; Mechanisms'!$A$599:$C$659, 2, FALSE), FALSE) = "", "", VLOOKUP($A58, INDIRECT("'" &amp; 'Personalized Bill Menu'!$B$22 &amp; "'!" &amp;"$A$4:$CA$100"), VLOOKUP(VLOOKUP(P$5,'Misc. Data &amp; Mechanisms'!$E$601:$I$631,HLOOKUP('Personalized Bill Menu'!$B$22, 'Misc. Data &amp; Mechanisms'!$E$599:$I$600, 2, FALSE), FALSE), 'Misc. Data &amp; Mechanisms'!$A$599:$C$659, 2, FALSE), FALSE)), ""))</f>
        <v>1.9462999999999999</v>
      </c>
      <c r="Q58" s="72">
        <f t="shared" ca="1" si="10"/>
        <v>9.8682133762752517</v>
      </c>
      <c r="R58" s="87">
        <f ca="1">IF($A58="", "",IFERROR(IF(VLOOKUP($A58, INDIRECT("'" &amp; 'Personalized Bill Menu'!$B$22 &amp; "'!" &amp;"$A$4:$CA$100"), VLOOKUP(VLOOKUP(R$5,'Misc. Data &amp; Mechanisms'!$E$601:$I$631,HLOOKUP('Personalized Bill Menu'!$B$22, 'Misc. Data &amp; Mechanisms'!$E$599:$I$600, 2, FALSE), FALSE), 'Misc. Data &amp; Mechanisms'!$A$599:$C$659, 2, FALSE), FALSE) = "", "", VLOOKUP($A58, INDIRECT("'" &amp; 'Personalized Bill Menu'!$B$22 &amp; "'!" &amp;"$A$4:$CA$100"), VLOOKUP(VLOOKUP(R$5,'Misc. Data &amp; Mechanisms'!$E$601:$I$631,HLOOKUP('Personalized Bill Menu'!$B$22, 'Misc. Data &amp; Mechanisms'!$E$599:$I$600, 2, FALSE), FALSE), 'Misc. Data &amp; Mechanisms'!$A$599:$C$659, 2, FALSE), FALSE)), ""))</f>
        <v>0.88959999999999995</v>
      </c>
      <c r="S58" s="88">
        <f ca="1">IF($A58="", "",IFERROR(IF(VLOOKUP($A58, INDIRECT("'" &amp; 'Personalized Bill Menu'!$B$22 &amp; "'!" &amp;"$A$4:$CA$100"), VLOOKUP(VLOOKUP(S$5,'Misc. Data &amp; Mechanisms'!$E$601:$I$631,HLOOKUP('Personalized Bill Menu'!$B$22, 'Misc. Data &amp; Mechanisms'!$E$599:$I$600, 2, FALSE), FALSE), 'Misc. Data &amp; Mechanisms'!$A$599:$C$659, 2, FALSE), FALSE) = "", "", VLOOKUP($A58, INDIRECT("'" &amp; 'Personalized Bill Menu'!$B$22 &amp; "'!" &amp;"$A$4:$CA$100"), VLOOKUP(VLOOKUP(S$5,'Misc. Data &amp; Mechanisms'!$E$601:$I$631,HLOOKUP('Personalized Bill Menu'!$B$22, 'Misc. Data &amp; Mechanisms'!$E$599:$I$600, 2, FALSE), FALSE), 'Misc. Data &amp; Mechanisms'!$A$599:$C$659, 2, FALSE), FALSE)), ""))</f>
        <v>0.42758699999999999</v>
      </c>
      <c r="T58" s="81" t="str">
        <f ca="1">IF($A58="", "",IFERROR(IF(VLOOKUP($A58, INDIRECT("'" &amp; 'Personalized Bill Menu'!$B$22 &amp; "'!" &amp;"$A$4:$CA$100"), VLOOKUP(VLOOKUP(T$5,'Misc. Data &amp; Mechanisms'!$E$601:$I$631,HLOOKUP('Personalized Bill Menu'!$B$22, 'Misc. Data &amp; Mechanisms'!$E$599:$I$600, 2, FALSE), FALSE), 'Misc. Data &amp; Mechanisms'!$A$599:$C$659, 2, FALSE), FALSE) = "", "", VLOOKUP($A58, INDIRECT("'" &amp; 'Personalized Bill Menu'!$B$22 &amp; "'!" &amp;"$A$4:$CA$100"), VLOOKUP(VLOOKUP(T$5,'Misc. Data &amp; Mechanisms'!$E$601:$I$631,HLOOKUP('Personalized Bill Menu'!$B$22, 'Misc. Data &amp; Mechanisms'!$E$599:$I$600, 2, FALSE), FALSE), 'Misc. Data &amp; Mechanisms'!$A$599:$C$659, 2, FALSE), FALSE)), ""))</f>
        <v/>
      </c>
      <c r="U58" s="72">
        <f t="shared" ca="1" si="11"/>
        <v>4.5104879101548914</v>
      </c>
      <c r="V58" s="72">
        <f t="shared" ca="1" si="12"/>
        <v>12.82761</v>
      </c>
      <c r="W58" s="70" t="str">
        <f t="shared" si="13"/>
        <v/>
      </c>
      <c r="X58" s="78">
        <f>IFERROR(IF(VLOOKUP($A58,'Misc. Data &amp; Mechanisms'!$A$63:$DY$152,HLOOKUP('Personalized Bill Menu'!$B$21&amp;"_"&amp;'Personalized Bill Menu'!$B$22&amp;"_Elec_Y_1",'Misc. Data &amp; Mechanisms'!$A$55:$DY$62,8,FALSE), FALSE)="", "", VLOOKUP($A58,'Misc. Data &amp; Mechanisms'!$A$63:$DY$152,HLOOKUP('Personalized Bill Menu'!$B$21&amp;"_"&amp;'Personalized Bill Menu'!$B$22&amp;"_Elec_Y_1",'Misc. Data &amp; Mechanisms'!$A$55:$DY$62,8,FALSE), FALSE)), "")</f>
        <v>0.1111</v>
      </c>
      <c r="Y58" s="78" t="str">
        <f>IFERROR(IF(VLOOKUP($A58,'Misc. Data &amp; Mechanisms'!$A$63:$DY$152,HLOOKUP('Personalized Bill Menu'!$B$21&amp;"_"&amp;'Personalized Bill Menu'!$B$22&amp;"_Elec_Y_2",'Misc. Data &amp; Mechanisms'!$A$55:$DY$62,8,FALSE), FALSE)="", "", VLOOKUP($A58,'Misc. Data &amp; Mechanisms'!$A$63:$DY$152,HLOOKUP('Personalized Bill Menu'!$B$21&amp;"_"&amp;'Personalized Bill Menu'!$B$22&amp;"_Elec_Y_2",'Misc. Data &amp; Mechanisms'!$A$55:$DY$62,8,FALSE), FALSE)), "")</f>
        <v/>
      </c>
      <c r="Z58" s="72">
        <f ca="1">IF($A58="", "",IFERROR(IF(OR('Personalized Bill Menu'!$B$22="FORTIS", 'Personalized Bill Menu'!$B$22="ATCO"), $X58*($H58+$I58), IF('Personalized Bill Menu'!$B$22="ENMAX",$X58*($H58+$I58+$K58),($X58/100)*$C58)), 0))</f>
        <v>3.7246669148773504</v>
      </c>
      <c r="AA58" s="72">
        <f>IF($A58="", "", IFERROR(IF(OR('Personalized Bill Menu'!$B$22="FORTIS", 'Personalized Bill Menu'!$B$22="ATCO"), $Y58*($H58+$I58), IF('Personalized Bill Menu'!$B$22="ENMAX",$X58*$G58,"")), 0))</f>
        <v>1.8868992898819166</v>
      </c>
      <c r="AB58" s="89">
        <f ca="1">IF($A58="", "",IFERROR(IF(VLOOKUP($A58, INDIRECT("'" &amp; 'Personalized Bill Menu'!$B$22 &amp; "'!" &amp;"$A$4:$CA$100"), VLOOKUP(VLOOKUP("RIDER RATE 1",'Misc. Data &amp; Mechanisms'!$E$601:$I$631,HLOOKUP('Personalized Bill Menu'!$B$22, 'Misc. Data &amp; Mechanisms'!$E$599:$I$600, 2, FALSE), FALSE), 'Misc. Data &amp; Mechanisms'!$A$599:$C$659, 2, FALSE), FALSE) = "", "", VLOOKUP($A58, INDIRECT("'" &amp; 'Personalized Bill Menu'!$B$22 &amp; "'!" &amp;"$A$4:$CA$100"), VLOOKUP(VLOOKUP("RIDER RATE 1",'Misc. Data &amp; Mechanisms'!$E$601:$I$631,HLOOKUP('Personalized Bill Menu'!$B$22, 'Misc. Data &amp; Mechanisms'!$E$599:$I$600, 2, FALSE), FALSE), 'Misc. Data &amp; Mechanisms'!$A$599:$C$659, 2, FALSE), FALSE)), ""))</f>
        <v>-0.33339999999999997</v>
      </c>
      <c r="AC58" s="69">
        <f ca="1">IF($A58="", "",IFERROR(IF(VLOOKUP($A58, INDIRECT("'" &amp; 'Personalized Bill Menu'!$B$22 &amp; "'!" &amp;"$A$4:$CA$100"), VLOOKUP(VLOOKUP("RIDER RATE 2",'Misc. Data &amp; Mechanisms'!$E$601:$I$631,HLOOKUP('Personalized Bill Menu'!$B$22, 'Misc. Data &amp; Mechanisms'!$E$599:$I$600, 2, FALSE), FALSE), 'Misc. Data &amp; Mechanisms'!$A$599:$C$659, 2, FALSE), FALSE) = "", "", VLOOKUP($A58, INDIRECT("'" &amp; 'Personalized Bill Menu'!$B$22 &amp; "'!" &amp;"$A$4:$CA$100"), VLOOKUP(VLOOKUP("RIDER RATE 2",'Misc. Data &amp; Mechanisms'!$E$601:$I$631,HLOOKUP('Personalized Bill Menu'!$B$22, 'Misc. Data &amp; Mechanisms'!$E$599:$I$600, 2, FALSE), FALSE), 'Misc. Data &amp; Mechanisms'!$A$599:$C$659, 2, FALSE), FALSE)), ""))</f>
        <v>1.5797000000000001</v>
      </c>
      <c r="AD58" s="69" t="str">
        <f ca="1">IF($A58="", "",IFERROR(IF(VLOOKUP($A58, INDIRECT("'" &amp; 'Personalized Bill Menu'!$B$22 &amp; "'!" &amp;"$A$4:$CA$100"), VLOOKUP(VLOOKUP("RIDER RATE 3",'Misc. Data &amp; Mechanisms'!$E$601:$I$631,HLOOKUP('Personalized Bill Menu'!$B$22, 'Misc. Data &amp; Mechanisms'!$E$599:$I$600, 2, FALSE), FALSE), 'Misc. Data &amp; Mechanisms'!$A$599:$C$659, 2, FALSE), FALSE) = "", "", VLOOKUP($A58, INDIRECT("'" &amp; 'Personalized Bill Menu'!$B$22 &amp; "'!" &amp;"$A$4:$CA$100"), VLOOKUP(VLOOKUP("RIDER RATE 3",'Misc. Data &amp; Mechanisms'!$E$601:$I$631,HLOOKUP('Personalized Bill Menu'!$B$22, 'Misc. Data &amp; Mechanisms'!$E$599:$I$600, 2, FALSE), FALSE), 'Misc. Data &amp; Mechanisms'!$A$599:$C$659, 2, FALSE), FALSE)), ""))</f>
        <v/>
      </c>
      <c r="AE58" s="69" t="str">
        <f ca="1">IF($A58="", "",IFERROR(IF(VLOOKUP($A58, INDIRECT("'" &amp; 'Personalized Bill Menu'!$B$22 &amp; "'!" &amp;"$A$4:$CA$100"), VLOOKUP(VLOOKUP("RIDER RATE 4",'Misc. Data &amp; Mechanisms'!$E$601:$I$631,HLOOKUP('Personalized Bill Menu'!$B$22, 'Misc. Data &amp; Mechanisms'!$E$599:$I$600, 2, FALSE), FALSE), 'Misc. Data &amp; Mechanisms'!$A$599:$C$659, 2, FALSE), FALSE) = "", "", VLOOKUP($A58, INDIRECT("'" &amp; 'Personalized Bill Menu'!$B$22 &amp; "'!" &amp;"$A$4:$CA$100"), VLOOKUP(VLOOKUP("RIDER RATE 4",'Misc. Data &amp; Mechanisms'!$E$601:$I$631,HLOOKUP('Personalized Bill Menu'!$B$22, 'Misc. Data &amp; Mechanisms'!$E$599:$I$600, 2, FALSE), FALSE), 'Misc. Data &amp; Mechanisms'!$A$599:$C$659, 2, FALSE), FALSE)), ""))</f>
        <v/>
      </c>
      <c r="AF58" s="90" t="str">
        <f ca="1">IF($A58="", "",IFERROR(IF(VLOOKUP($A58, INDIRECT("'" &amp; 'Personalized Bill Menu'!$B$22 &amp; "'!" &amp;"$A$4:$CA$100"), VLOOKUP(VLOOKUP("RIDER RATE 5",'Misc. Data &amp; Mechanisms'!$E$601:$I$631,HLOOKUP('Personalized Bill Menu'!$B$22, 'Misc. Data &amp; Mechanisms'!$E$599:$I$600, 2, FALSE), FALSE), 'Misc. Data &amp; Mechanisms'!$A$599:$C$659, 2, FALSE), FALSE) = "", "", VLOOKUP($A58, INDIRECT("'" &amp; 'Personalized Bill Menu'!$B$22 &amp; "'!" &amp;"$A$4:$CA$100"), VLOOKUP(VLOOKUP("RIDER RATE 5",'Misc. Data &amp; Mechanisms'!$E$601:$I$631,HLOOKUP('Personalized Bill Menu'!$B$22, 'Misc. Data &amp; Mechanisms'!$E$599:$I$600, 2, FALSE), FALSE), 'Misc. Data &amp; Mechanisms'!$A$599:$C$659, 2, FALSE), FALSE)), ""))</f>
        <v/>
      </c>
      <c r="AG58" s="90" t="str">
        <f ca="1">IF($A58="", "",IFERROR(IF(VLOOKUP($A58, INDIRECT("'" &amp; 'Personalized Bill Menu'!$B$22 &amp; "'!" &amp;"$A$4:$CA$100"), VLOOKUP(VLOOKUP("RIDER RATE 6",'Misc. Data &amp; Mechanisms'!$E$601:$I$631,HLOOKUP('Personalized Bill Menu'!$B$22, 'Misc. Data &amp; Mechanisms'!$E$599:$I$600, 2, FALSE), FALSE), 'Misc. Data &amp; Mechanisms'!$A$599:$C$659, 2, FALSE), FALSE) = "", "", VLOOKUP($A58, INDIRECT("'" &amp; 'Personalized Bill Menu'!$B$22 &amp; "'!" &amp;"$A$4:$CA$100"), VLOOKUP(VLOOKUP("RIDER RATE 6",'Misc. Data &amp; Mechanisms'!$E$601:$I$631,HLOOKUP('Personalized Bill Menu'!$B$22, 'Misc. Data &amp; Mechanisms'!$E$599:$I$600, 2, FALSE), FALSE), 'Misc. Data &amp; Mechanisms'!$A$599:$C$659, 2, FALSE), FALSE)), ""))</f>
        <v/>
      </c>
      <c r="AH58" s="90" t="str">
        <f ca="1">IF($A58="", "",IFERROR(IF(VLOOKUP($A58, INDIRECT("'" &amp; 'Personalized Bill Menu'!$B$22 &amp; "'!" &amp;"$A$4:$CA$100"), VLOOKUP(VLOOKUP("RIDER RATE 7",'Misc. Data &amp; Mechanisms'!$E$601:$I$631,HLOOKUP('Personalized Bill Menu'!$B$22, 'Misc. Data &amp; Mechanisms'!$E$599:$I$600, 2, FALSE), FALSE), 'Misc. Data &amp; Mechanisms'!$A$599:$C$659, 2, FALSE), FALSE) = "", "", VLOOKUP($A58, INDIRECT("'" &amp; 'Personalized Bill Menu'!$B$22 &amp; "'!" &amp;"$A$4:$CA$100"), VLOOKUP(VLOOKUP("RIDER RATE 7",'Misc. Data &amp; Mechanisms'!$E$601:$I$631,HLOOKUP('Personalized Bill Menu'!$B$22, 'Misc. Data &amp; Mechanisms'!$E$599:$I$600, 2, FALSE), FALSE), 'Misc. Data &amp; Mechanisms'!$A$599:$C$659, 2, FALSE), FALSE)), ""))</f>
        <v/>
      </c>
      <c r="AI58" s="72">
        <f t="shared" ca="1" si="14"/>
        <v>-1.690418917767132</v>
      </c>
      <c r="AJ58" s="72">
        <f t="shared" ca="1" si="15"/>
        <v>8.0094624007100759</v>
      </c>
      <c r="AK58" s="72">
        <f ca="1">IF($A58="", "", IFERROR(IF($AD$6="%",IF('Personalized Bill Menu'!$B$22="ENMAX", $AD58*$I58, IF(AND($AD58="", 'Personalized Bill Menu'!$B$22="FORTIS"),($AE58/100)*$C58,$AD58*$H58)),($AD58/100)*$C58), 0))</f>
        <v>0</v>
      </c>
      <c r="AL58" s="72">
        <f ca="1">IF($A58="", "", IFERROR(IF('Personalized Bill Menu'!$B$22="ENMAX",$AE58*$B58,IF($AE$6="%",$AE58*($H58+$I58+$J58), IF('Personalized Bill Menu'!$B$22="FORTIS",$AF58*$I58,($AE58/100)*$C58))), 0))</f>
        <v>0</v>
      </c>
      <c r="AM58" s="72" t="str">
        <f>IF($A58="", "", IFERROR(IF('Personalized Bill Menu'!$B$22="EPCOR",($AF58/100)*$C58, IF('Personalized Bill Menu'!$B$22="ATCO",$AF58*1,"")), 0))</f>
        <v/>
      </c>
      <c r="AN58" s="72" t="str">
        <f>IF($A58="", "", IFERROR(IF('Personalized Bill Menu'!$B$22="ATCO",$AG58*$B58,""), 0))</f>
        <v/>
      </c>
      <c r="AO58" s="70" t="str">
        <f>IF($A58="", "", IFERROR(IF('Personalized Bill Menu'!$B$22="ATCO",$AH58*$B58,""), 0))</f>
        <v/>
      </c>
      <c r="AP58" s="81">
        <f>IF('Personalized Bill Menu'!$B$34&lt;&gt;"Natural Gas", 'Personalized Bill Menu'!$K55, "")</f>
        <v>0.2291</v>
      </c>
      <c r="AQ58" s="72">
        <f t="shared" si="16"/>
        <v>6.8730000000000002</v>
      </c>
      <c r="AR58" s="91">
        <f ca="1">IF($A58="", "",IF(VLOOKUP($A58, INDIRECT("'" &amp; 'Personalized Bill Menu'!$B$22 &amp; "'!" &amp;"$A$4:$CA$100"), VLOOKUP(VLOOKUP(AR$5,'Misc. Data &amp; Mechanisms'!$E$601:$I$631,HLOOKUP('Personalized Bill Menu'!$B$22, 'Misc. Data &amp; Mechanisms'!$E$599:$I$600, 2, FALSE), FALSE), 'Misc. Data &amp; Mechanisms'!$A$599:$C$659, 2, FALSE), FALSE) = "", "", VLOOKUP($A58, INDIRECT("'" &amp; 'Personalized Bill Menu'!$B$22 &amp; "'!" &amp;"$A$4:$CA$100"), VLOOKUP(VLOOKUP(AR$5,'Misc. Data &amp; Mechanisms'!$E$601:$I$631,HLOOKUP('Personalized Bill Menu'!$B$22, 'Misc. Data &amp; Mechanisms'!$E$599:$I$600, 2, FALSE), FALSE), 'Misc. Data &amp; Mechanisms'!$A$599:$C$659, 2, FALSE), FALSE)))</f>
        <v>0.05</v>
      </c>
      <c r="AS58" s="2"/>
      <c r="AT58" s="2"/>
      <c r="AU58" s="2"/>
      <c r="AV58" s="2"/>
      <c r="AW58" s="2"/>
    </row>
    <row r="59" spans="1:49" x14ac:dyDescent="0.35">
      <c r="A59" s="83">
        <f>'Personalized Bill Menu'!$H56</f>
        <v>42491</v>
      </c>
      <c r="B59" s="84">
        <f t="shared" si="0"/>
        <v>31</v>
      </c>
      <c r="C59" s="85">
        <f>IF('Personalized Bill Menu'!$B$34&lt;&gt;"Natural Gas", 'Personalized Bill Menu'!$I56, "")</f>
        <v>528.70316044981587</v>
      </c>
      <c r="D59" s="66">
        <f t="shared" ca="1" si="17"/>
        <v>12.952906621769827</v>
      </c>
      <c r="E59" s="66">
        <f ca="1">IFERROR((1+$AR59)*(IF('Personalized Bill Menu'!$B$22="ENMAX", ((1+IFERROR($X59, 0))*($N59+$P59+$R59+$AB59+$AC59))+((1+IF($X59="", 0,$X59))*(IF($AD59="", 0,$AD59)*$R59)), IF('Personalized Bill Menu'!$B$22="EPCOR", ($N59+$P59+$R59+$X59+SUM($AB59:$AE59)), IF('Personalized Bill Menu'!$B$22="ATCO",($N59+((1+IF($AE59="", 0,$AE59))*(1+$X59+$Y59)*($P59+$R59))+SUM($AB59:$AD59)),IF($AD59="",$N59+((1+$X59+$Y59)*($P59+$R59))+$AB59+$AE59+(IF($AC59="", 0, $AC59)*$P59)+($R59*IF($AF59="", 0, $AF59)),$N59+((1+$X59+$Y59)*($P59+$R59))+$AB59+($AD59*$P59)+(IF($AC59="", 0, $AC59)*$P59)+($R59*IF($AF59="", 0, $AF59))))))), "")</f>
        <v>8.617497157499999</v>
      </c>
      <c r="F59" s="1469">
        <f t="shared" ca="1" si="1"/>
        <v>68.482426679410551</v>
      </c>
      <c r="G59" s="66">
        <f t="shared" si="2"/>
        <v>17.469938530743267</v>
      </c>
      <c r="H59" s="66">
        <f t="shared" ca="1" si="3"/>
        <v>10.290149611834766</v>
      </c>
      <c r="I59" s="66">
        <f t="shared" ca="1" si="4"/>
        <v>17.95854031536156</v>
      </c>
      <c r="J59" s="66">
        <f t="shared" ca="1" si="5"/>
        <v>5.8114027956701095</v>
      </c>
      <c r="K59" s="66">
        <f t="shared" ca="1" si="6"/>
        <v>6.5892274886860571</v>
      </c>
      <c r="L59" s="66">
        <f t="shared" si="7"/>
        <v>7.1021000000000001</v>
      </c>
      <c r="M59" s="68">
        <f t="shared" ca="1" si="8"/>
        <v>3.2610679371147882</v>
      </c>
      <c r="N59" s="69">
        <f>IF('Personalized Bill Menu'!$B$34&lt;&gt;"Natural Gas", 'Personalized Bill Menu'!$J56, "")</f>
        <v>3.3043</v>
      </c>
      <c r="O59" s="70">
        <f t="shared" si="9"/>
        <v>17.469938530743267</v>
      </c>
      <c r="P59" s="71">
        <f ca="1">IF($A59="", "",IFERROR(IF(VLOOKUP($A59, INDIRECT("'" &amp; 'Personalized Bill Menu'!$B$22 &amp; "'!" &amp;"$A$4:$CA$100"), VLOOKUP(VLOOKUP(P$5,'Misc. Data &amp; Mechanisms'!$E$601:$I$631,HLOOKUP('Personalized Bill Menu'!$B$22, 'Misc. Data &amp; Mechanisms'!$E$599:$I$600, 2, FALSE), FALSE), 'Misc. Data &amp; Mechanisms'!$A$599:$C$659, 2, FALSE), FALSE) = "", "", VLOOKUP($A59, INDIRECT("'" &amp; 'Personalized Bill Menu'!$B$22 &amp; "'!" &amp;"$A$4:$CA$100"), VLOOKUP(VLOOKUP(P$5,'Misc. Data &amp; Mechanisms'!$E$601:$I$631,HLOOKUP('Personalized Bill Menu'!$B$22, 'Misc. Data &amp; Mechanisms'!$E$599:$I$600, 2, FALSE), FALSE), 'Misc. Data &amp; Mechanisms'!$A$599:$C$659, 2, FALSE), FALSE)), ""))</f>
        <v>1.9462999999999999</v>
      </c>
      <c r="Q59" s="72">
        <f t="shared" ca="1" si="10"/>
        <v>10.290149611834766</v>
      </c>
      <c r="R59" s="87">
        <f ca="1">IF($A59="", "",IFERROR(IF(VLOOKUP($A59, INDIRECT("'" &amp; 'Personalized Bill Menu'!$B$22 &amp; "'!" &amp;"$A$4:$CA$100"), VLOOKUP(VLOOKUP(R$5,'Misc. Data &amp; Mechanisms'!$E$601:$I$631,HLOOKUP('Personalized Bill Menu'!$B$22, 'Misc. Data &amp; Mechanisms'!$E$599:$I$600, 2, FALSE), FALSE), 'Misc. Data &amp; Mechanisms'!$A$599:$C$659, 2, FALSE), FALSE) = "", "", VLOOKUP($A59, INDIRECT("'" &amp; 'Personalized Bill Menu'!$B$22 &amp; "'!" &amp;"$A$4:$CA$100"), VLOOKUP(VLOOKUP(R$5,'Misc. Data &amp; Mechanisms'!$E$601:$I$631,HLOOKUP('Personalized Bill Menu'!$B$22, 'Misc. Data &amp; Mechanisms'!$E$599:$I$600, 2, FALSE), FALSE), 'Misc. Data &amp; Mechanisms'!$A$599:$C$659, 2, FALSE), FALSE)), ""))</f>
        <v>0.88959999999999995</v>
      </c>
      <c r="S59" s="88">
        <f ca="1">IF($A59="", "",IFERROR(IF(VLOOKUP($A59, INDIRECT("'" &amp; 'Personalized Bill Menu'!$B$22 &amp; "'!" &amp;"$A$4:$CA$100"), VLOOKUP(VLOOKUP(S$5,'Misc. Data &amp; Mechanisms'!$E$601:$I$631,HLOOKUP('Personalized Bill Menu'!$B$22, 'Misc. Data &amp; Mechanisms'!$E$599:$I$600, 2, FALSE), FALSE), 'Misc. Data &amp; Mechanisms'!$A$599:$C$659, 2, FALSE), FALSE) = "", "", VLOOKUP($A59, INDIRECT("'" &amp; 'Personalized Bill Menu'!$B$22 &amp; "'!" &amp;"$A$4:$CA$100"), VLOOKUP(VLOOKUP(S$5,'Misc. Data &amp; Mechanisms'!$E$601:$I$631,HLOOKUP('Personalized Bill Menu'!$B$22, 'Misc. Data &amp; Mechanisms'!$E$599:$I$600, 2, FALSE), FALSE), 'Misc. Data &amp; Mechanisms'!$A$599:$C$659, 2, FALSE), FALSE)), ""))</f>
        <v>0.42758699999999999</v>
      </c>
      <c r="T59" s="81" t="str">
        <f ca="1">IF($A59="", "",IFERROR(IF(VLOOKUP($A59, INDIRECT("'" &amp; 'Personalized Bill Menu'!$B$22 &amp; "'!" &amp;"$A$4:$CA$100"), VLOOKUP(VLOOKUP(T$5,'Misc. Data &amp; Mechanisms'!$E$601:$I$631,HLOOKUP('Personalized Bill Menu'!$B$22, 'Misc. Data &amp; Mechanisms'!$E$599:$I$600, 2, FALSE), FALSE), 'Misc. Data &amp; Mechanisms'!$A$599:$C$659, 2, FALSE), FALSE) = "", "", VLOOKUP($A59, INDIRECT("'" &amp; 'Personalized Bill Menu'!$B$22 &amp; "'!" &amp;"$A$4:$CA$100"), VLOOKUP(VLOOKUP(T$5,'Misc. Data &amp; Mechanisms'!$E$601:$I$631,HLOOKUP('Personalized Bill Menu'!$B$22, 'Misc. Data &amp; Mechanisms'!$E$599:$I$600, 2, FALSE), FALSE), 'Misc. Data &amp; Mechanisms'!$A$599:$C$659, 2, FALSE), FALSE)), ""))</f>
        <v/>
      </c>
      <c r="U59" s="72">
        <f t="shared" ca="1" si="11"/>
        <v>4.703343315361562</v>
      </c>
      <c r="V59" s="72">
        <f t="shared" ca="1" si="12"/>
        <v>13.255196999999999</v>
      </c>
      <c r="W59" s="70" t="str">
        <f t="shared" si="13"/>
        <v/>
      </c>
      <c r="X59" s="78">
        <f>IFERROR(IF(VLOOKUP($A59,'Misc. Data &amp; Mechanisms'!$A$63:$DY$152,HLOOKUP('Personalized Bill Menu'!$B$21&amp;"_"&amp;'Personalized Bill Menu'!$B$22&amp;"_Elec_Y_1",'Misc. Data &amp; Mechanisms'!$A$55:$DY$62,8,FALSE), FALSE)="", "", VLOOKUP($A59,'Misc. Data &amp; Mechanisms'!$A$63:$DY$152,HLOOKUP('Personalized Bill Menu'!$B$21&amp;"_"&amp;'Personalized Bill Menu'!$B$22&amp;"_Elec_Y_1",'Misc. Data &amp; Mechanisms'!$A$55:$DY$62,8,FALSE), FALSE)), "")</f>
        <v>0.1111</v>
      </c>
      <c r="Y59" s="78" t="str">
        <f>IFERROR(IF(VLOOKUP($A59,'Misc. Data &amp; Mechanisms'!$A$63:$DY$152,HLOOKUP('Personalized Bill Menu'!$B$21&amp;"_"&amp;'Personalized Bill Menu'!$B$22&amp;"_Elec_Y_2",'Misc. Data &amp; Mechanisms'!$A$55:$DY$62,8,FALSE), FALSE)="", "", VLOOKUP($A59,'Misc. Data &amp; Mechanisms'!$A$63:$DY$152,HLOOKUP('Personalized Bill Menu'!$B$21&amp;"_"&amp;'Personalized Bill Menu'!$B$22&amp;"_Elec_Y_2",'Misc. Data &amp; Mechanisms'!$A$55:$DY$62,8,FALSE), FALSE)), "")</f>
        <v/>
      </c>
      <c r="Z59" s="72">
        <f ca="1">IF($A59="", "",IFERROR(IF(OR('Personalized Bill Menu'!$B$22="FORTIS", 'Personalized Bill Menu'!$B$22="ATCO"), $X59*($H59+$I59), IF('Personalized Bill Menu'!$B$22="ENMAX",$X59*($H59+$I59+$K59),($X59/100)*$C59)), 0))</f>
        <v>3.8704926249045326</v>
      </c>
      <c r="AA59" s="72">
        <f>IF($A59="", "", IFERROR(IF(OR('Personalized Bill Menu'!$B$22="FORTIS", 'Personalized Bill Menu'!$B$22="ATCO"), $Y59*($H59+$I59), IF('Personalized Bill Menu'!$B$22="ENMAX",$X59*$G59,"")), 0))</f>
        <v>1.9409101707655771</v>
      </c>
      <c r="AB59" s="89">
        <f ca="1">IF($A59="", "",IFERROR(IF(VLOOKUP($A59, INDIRECT("'" &amp; 'Personalized Bill Menu'!$B$22 &amp; "'!" &amp;"$A$4:$CA$100"), VLOOKUP(VLOOKUP("RIDER RATE 1",'Misc. Data &amp; Mechanisms'!$E$601:$I$631,HLOOKUP('Personalized Bill Menu'!$B$22, 'Misc. Data &amp; Mechanisms'!$E$599:$I$600, 2, FALSE), FALSE), 'Misc. Data &amp; Mechanisms'!$A$599:$C$659, 2, FALSE), FALSE) = "", "", VLOOKUP($A59, INDIRECT("'" &amp; 'Personalized Bill Menu'!$B$22 &amp; "'!" &amp;"$A$4:$CA$100"), VLOOKUP(VLOOKUP("RIDER RATE 1",'Misc. Data &amp; Mechanisms'!$E$601:$I$631,HLOOKUP('Personalized Bill Menu'!$B$22, 'Misc. Data &amp; Mechanisms'!$E$599:$I$600, 2, FALSE), FALSE), 'Misc. Data &amp; Mechanisms'!$A$599:$C$659, 2, FALSE), FALSE)), ""))</f>
        <v>-0.33339999999999997</v>
      </c>
      <c r="AC59" s="69">
        <f ca="1">IF($A59="", "",IFERROR(IF(VLOOKUP($A59, INDIRECT("'" &amp; 'Personalized Bill Menu'!$B$22 &amp; "'!" &amp;"$A$4:$CA$100"), VLOOKUP(VLOOKUP("RIDER RATE 2",'Misc. Data &amp; Mechanisms'!$E$601:$I$631,HLOOKUP('Personalized Bill Menu'!$B$22, 'Misc. Data &amp; Mechanisms'!$E$599:$I$600, 2, FALSE), FALSE), 'Misc. Data &amp; Mechanisms'!$A$599:$C$659, 2, FALSE), FALSE) = "", "", VLOOKUP($A59, INDIRECT("'" &amp; 'Personalized Bill Menu'!$B$22 &amp; "'!" &amp;"$A$4:$CA$100"), VLOOKUP(VLOOKUP("RIDER RATE 2",'Misc. Data &amp; Mechanisms'!$E$601:$I$631,HLOOKUP('Personalized Bill Menu'!$B$22, 'Misc. Data &amp; Mechanisms'!$E$599:$I$600, 2, FALSE), FALSE), 'Misc. Data &amp; Mechanisms'!$A$599:$C$659, 2, FALSE), FALSE)), ""))</f>
        <v>1.5797000000000001</v>
      </c>
      <c r="AD59" s="69" t="str">
        <f ca="1">IF($A59="", "",IFERROR(IF(VLOOKUP($A59, INDIRECT("'" &amp; 'Personalized Bill Menu'!$B$22 &amp; "'!" &amp;"$A$4:$CA$100"), VLOOKUP(VLOOKUP("RIDER RATE 3",'Misc. Data &amp; Mechanisms'!$E$601:$I$631,HLOOKUP('Personalized Bill Menu'!$B$22, 'Misc. Data &amp; Mechanisms'!$E$599:$I$600, 2, FALSE), FALSE), 'Misc. Data &amp; Mechanisms'!$A$599:$C$659, 2, FALSE), FALSE) = "", "", VLOOKUP($A59, INDIRECT("'" &amp; 'Personalized Bill Menu'!$B$22 &amp; "'!" &amp;"$A$4:$CA$100"), VLOOKUP(VLOOKUP("RIDER RATE 3",'Misc. Data &amp; Mechanisms'!$E$601:$I$631,HLOOKUP('Personalized Bill Menu'!$B$22, 'Misc. Data &amp; Mechanisms'!$E$599:$I$600, 2, FALSE), FALSE), 'Misc. Data &amp; Mechanisms'!$A$599:$C$659, 2, FALSE), FALSE)), ""))</f>
        <v/>
      </c>
      <c r="AE59" s="69" t="str">
        <f ca="1">IF($A59="", "",IFERROR(IF(VLOOKUP($A59, INDIRECT("'" &amp; 'Personalized Bill Menu'!$B$22 &amp; "'!" &amp;"$A$4:$CA$100"), VLOOKUP(VLOOKUP("RIDER RATE 4",'Misc. Data &amp; Mechanisms'!$E$601:$I$631,HLOOKUP('Personalized Bill Menu'!$B$22, 'Misc. Data &amp; Mechanisms'!$E$599:$I$600, 2, FALSE), FALSE), 'Misc. Data &amp; Mechanisms'!$A$599:$C$659, 2, FALSE), FALSE) = "", "", VLOOKUP($A59, INDIRECT("'" &amp; 'Personalized Bill Menu'!$B$22 &amp; "'!" &amp;"$A$4:$CA$100"), VLOOKUP(VLOOKUP("RIDER RATE 4",'Misc. Data &amp; Mechanisms'!$E$601:$I$631,HLOOKUP('Personalized Bill Menu'!$B$22, 'Misc. Data &amp; Mechanisms'!$E$599:$I$600, 2, FALSE), FALSE), 'Misc. Data &amp; Mechanisms'!$A$599:$C$659, 2, FALSE), FALSE)), ""))</f>
        <v/>
      </c>
      <c r="AF59" s="90" t="str">
        <f ca="1">IF($A59="", "",IFERROR(IF(VLOOKUP($A59, INDIRECT("'" &amp; 'Personalized Bill Menu'!$B$22 &amp; "'!" &amp;"$A$4:$CA$100"), VLOOKUP(VLOOKUP("RIDER RATE 5",'Misc. Data &amp; Mechanisms'!$E$601:$I$631,HLOOKUP('Personalized Bill Menu'!$B$22, 'Misc. Data &amp; Mechanisms'!$E$599:$I$600, 2, FALSE), FALSE), 'Misc. Data &amp; Mechanisms'!$A$599:$C$659, 2, FALSE), FALSE) = "", "", VLOOKUP($A59, INDIRECT("'" &amp; 'Personalized Bill Menu'!$B$22 &amp; "'!" &amp;"$A$4:$CA$100"), VLOOKUP(VLOOKUP("RIDER RATE 5",'Misc. Data &amp; Mechanisms'!$E$601:$I$631,HLOOKUP('Personalized Bill Menu'!$B$22, 'Misc. Data &amp; Mechanisms'!$E$599:$I$600, 2, FALSE), FALSE), 'Misc. Data &amp; Mechanisms'!$A$599:$C$659, 2, FALSE), FALSE)), ""))</f>
        <v/>
      </c>
      <c r="AG59" s="90" t="str">
        <f ca="1">IF($A59="", "",IFERROR(IF(VLOOKUP($A59, INDIRECT("'" &amp; 'Personalized Bill Menu'!$B$22 &amp; "'!" &amp;"$A$4:$CA$100"), VLOOKUP(VLOOKUP("RIDER RATE 6",'Misc. Data &amp; Mechanisms'!$E$601:$I$631,HLOOKUP('Personalized Bill Menu'!$B$22, 'Misc. Data &amp; Mechanisms'!$E$599:$I$600, 2, FALSE), FALSE), 'Misc. Data &amp; Mechanisms'!$A$599:$C$659, 2, FALSE), FALSE) = "", "", VLOOKUP($A59, INDIRECT("'" &amp; 'Personalized Bill Menu'!$B$22 &amp; "'!" &amp;"$A$4:$CA$100"), VLOOKUP(VLOOKUP("RIDER RATE 6",'Misc. Data &amp; Mechanisms'!$E$601:$I$631,HLOOKUP('Personalized Bill Menu'!$B$22, 'Misc. Data &amp; Mechanisms'!$E$599:$I$600, 2, FALSE), FALSE), 'Misc. Data &amp; Mechanisms'!$A$599:$C$659, 2, FALSE), FALSE)), ""))</f>
        <v/>
      </c>
      <c r="AH59" s="90" t="str">
        <f ca="1">IF($A59="", "",IFERROR(IF(VLOOKUP($A59, INDIRECT("'" &amp; 'Personalized Bill Menu'!$B$22 &amp; "'!" &amp;"$A$4:$CA$100"), VLOOKUP(VLOOKUP("RIDER RATE 7",'Misc. Data &amp; Mechanisms'!$E$601:$I$631,HLOOKUP('Personalized Bill Menu'!$B$22, 'Misc. Data &amp; Mechanisms'!$E$599:$I$600, 2, FALSE), FALSE), 'Misc. Data &amp; Mechanisms'!$A$599:$C$659, 2, FALSE), FALSE) = "", "", VLOOKUP($A59, INDIRECT("'" &amp; 'Personalized Bill Menu'!$B$22 &amp; "'!" &amp;"$A$4:$CA$100"), VLOOKUP(VLOOKUP("RIDER RATE 7",'Misc. Data &amp; Mechanisms'!$E$601:$I$631,HLOOKUP('Personalized Bill Menu'!$B$22, 'Misc. Data &amp; Mechanisms'!$E$599:$I$600, 2, FALSE), FALSE), 'Misc. Data &amp; Mechanisms'!$A$599:$C$659, 2, FALSE), FALSE)), ""))</f>
        <v/>
      </c>
      <c r="AI59" s="72">
        <f t="shared" ca="1" si="14"/>
        <v>-1.762696336939686</v>
      </c>
      <c r="AJ59" s="72">
        <f t="shared" ca="1" si="15"/>
        <v>8.3519238256257431</v>
      </c>
      <c r="AK59" s="72">
        <f ca="1">IF($A59="", "", IFERROR(IF($AD$6="%",IF('Personalized Bill Menu'!$B$22="ENMAX", $AD59*$I59, IF(AND($AD59="", 'Personalized Bill Menu'!$B$22="FORTIS"),($AE59/100)*$C59,$AD59*$H59)),($AD59/100)*$C59), 0))</f>
        <v>0</v>
      </c>
      <c r="AL59" s="72">
        <f ca="1">IF($A59="", "", IFERROR(IF('Personalized Bill Menu'!$B$22="ENMAX",$AE59*$B59,IF($AE$6="%",$AE59*($H59+$I59+$J59), IF('Personalized Bill Menu'!$B$22="FORTIS",$AF59*$I59,($AE59/100)*$C59))), 0))</f>
        <v>0</v>
      </c>
      <c r="AM59" s="72" t="str">
        <f>IF($A59="", "", IFERROR(IF('Personalized Bill Menu'!$B$22="EPCOR",($AF59/100)*$C59, IF('Personalized Bill Menu'!$B$22="ATCO",$AF59*1,"")), 0))</f>
        <v/>
      </c>
      <c r="AN59" s="72" t="str">
        <f>IF($A59="", "", IFERROR(IF('Personalized Bill Menu'!$B$22="ATCO",$AG59*$B59,""), 0))</f>
        <v/>
      </c>
      <c r="AO59" s="70" t="str">
        <f>IF($A59="", "", IFERROR(IF('Personalized Bill Menu'!$B$22="ATCO",$AH59*$B59,""), 0))</f>
        <v/>
      </c>
      <c r="AP59" s="81">
        <f>IF('Personalized Bill Menu'!$B$34&lt;&gt;"Natural Gas", 'Personalized Bill Menu'!$K56, "")</f>
        <v>0.2291</v>
      </c>
      <c r="AQ59" s="72">
        <f t="shared" si="16"/>
        <v>7.1021000000000001</v>
      </c>
      <c r="AR59" s="91">
        <f ca="1">IF($A59="", "",IF(VLOOKUP($A59, INDIRECT("'" &amp; 'Personalized Bill Menu'!$B$22 &amp; "'!" &amp;"$A$4:$CA$100"), VLOOKUP(VLOOKUP(AR$5,'Misc. Data &amp; Mechanisms'!$E$601:$I$631,HLOOKUP('Personalized Bill Menu'!$B$22, 'Misc. Data &amp; Mechanisms'!$E$599:$I$600, 2, FALSE), FALSE), 'Misc. Data &amp; Mechanisms'!$A$599:$C$659, 2, FALSE), FALSE) = "", "", VLOOKUP($A59, INDIRECT("'" &amp; 'Personalized Bill Menu'!$B$22 &amp; "'!" &amp;"$A$4:$CA$100"), VLOOKUP(VLOOKUP(AR$5,'Misc. Data &amp; Mechanisms'!$E$601:$I$631,HLOOKUP('Personalized Bill Menu'!$B$22, 'Misc. Data &amp; Mechanisms'!$E$599:$I$600, 2, FALSE), FALSE), 'Misc. Data &amp; Mechanisms'!$A$599:$C$659, 2, FALSE), FALSE)))</f>
        <v>0.05</v>
      </c>
    </row>
    <row r="60" spans="1:49" x14ac:dyDescent="0.35">
      <c r="A60" s="83">
        <f>'Personalized Bill Menu'!$H57</f>
        <v>42522</v>
      </c>
      <c r="B60" s="84">
        <f t="shared" si="0"/>
        <v>30</v>
      </c>
      <c r="C60" s="85">
        <f>IF('Personalized Bill Menu'!$B$34&lt;&gt;"Natural Gas", 'Personalized Bill Menu'!$I57, "")</f>
        <v>505.94066890972266</v>
      </c>
      <c r="D60" s="66">
        <f t="shared" ca="1" si="17"/>
        <v>13.187779475948769</v>
      </c>
      <c r="E60" s="66">
        <f ca="1">IFERROR((1+$AR60)*(IF('Personalized Bill Menu'!$B$22="ENMAX", ((1+IFERROR($X60, 0))*($N60+$P60+$R60+$AB60+$AC60))+((1+IF($X60="", 0,$X60))*(IF($AD60="", 0,$AD60)*$R60)), IF('Personalized Bill Menu'!$B$22="EPCOR", ($N60+$P60+$R60+$X60+SUM($AB60:$AE60)), IF('Personalized Bill Menu'!$B$22="ATCO",($N60+((1+IF($AE60="", 0,$AE60))*(1+$X60+$Y60)*($P60+$R60))+SUM($AB60:$AD60)),IF($AD60="",$N60+((1+$X60+$Y60)*($P60+$R60))+$AB60+$AE60+(IF($AC60="", 0, $AC60)*$P60)+($R60*IF($AF60="", 0, $AF60)),$N60+((1+$X60+$Y60)*($P60+$R60))+$AB60+($AD60*$P60)+(IF($AC60="", 0, $AC60)*$P60)+($R60*IF($AF60="", 0, $AF60))))))), "")</f>
        <v>8.8034619645000003</v>
      </c>
      <c r="F60" s="1469">
        <f t="shared" ca="1" si="1"/>
        <v>66.722339694954314</v>
      </c>
      <c r="G60" s="66">
        <f t="shared" si="2"/>
        <v>17.524266949026064</v>
      </c>
      <c r="H60" s="66">
        <f t="shared" ca="1" si="3"/>
        <v>9.8471232389899317</v>
      </c>
      <c r="I60" s="66">
        <f t="shared" ca="1" si="4"/>
        <v>17.328458190620893</v>
      </c>
      <c r="J60" s="66">
        <f t="shared" ca="1" si="5"/>
        <v>5.6666984885072491</v>
      </c>
      <c r="K60" s="66">
        <f t="shared" ca="1" si="6"/>
        <v>6.3055385566218751</v>
      </c>
      <c r="L60" s="66">
        <f t="shared" si="7"/>
        <v>6.8730000000000002</v>
      </c>
      <c r="M60" s="68">
        <f t="shared" ca="1" si="8"/>
        <v>3.1772542711883007</v>
      </c>
      <c r="N60" s="69">
        <f>IF('Personalized Bill Menu'!$B$34&lt;&gt;"Natural Gas", 'Personalized Bill Menu'!$J57, "")</f>
        <v>3.4636999999999998</v>
      </c>
      <c r="O60" s="70">
        <f t="shared" si="9"/>
        <v>17.524266949026064</v>
      </c>
      <c r="P60" s="71">
        <f ca="1">IF($A60="", "",IFERROR(IF(VLOOKUP($A60, INDIRECT("'" &amp; 'Personalized Bill Menu'!$B$22 &amp; "'!" &amp;"$A$4:$CA$100"), VLOOKUP(VLOOKUP(P$5,'Misc. Data &amp; Mechanisms'!$E$601:$I$631,HLOOKUP('Personalized Bill Menu'!$B$22, 'Misc. Data &amp; Mechanisms'!$E$599:$I$600, 2, FALSE), FALSE), 'Misc. Data &amp; Mechanisms'!$A$599:$C$659, 2, FALSE), FALSE) = "", "", VLOOKUP($A60, INDIRECT("'" &amp; 'Personalized Bill Menu'!$B$22 &amp; "'!" &amp;"$A$4:$CA$100"), VLOOKUP(VLOOKUP(P$5,'Misc. Data &amp; Mechanisms'!$E$601:$I$631,HLOOKUP('Personalized Bill Menu'!$B$22, 'Misc. Data &amp; Mechanisms'!$E$599:$I$600, 2, FALSE), FALSE), 'Misc. Data &amp; Mechanisms'!$A$599:$C$659, 2, FALSE), FALSE)), ""))</f>
        <v>1.9462999999999999</v>
      </c>
      <c r="Q60" s="72">
        <f t="shared" ca="1" si="10"/>
        <v>9.8471232389899317</v>
      </c>
      <c r="R60" s="87">
        <f ca="1">IF($A60="", "",IFERROR(IF(VLOOKUP($A60, INDIRECT("'" &amp; 'Personalized Bill Menu'!$B$22 &amp; "'!" &amp;"$A$4:$CA$100"), VLOOKUP(VLOOKUP(R$5,'Misc. Data &amp; Mechanisms'!$E$601:$I$631,HLOOKUP('Personalized Bill Menu'!$B$22, 'Misc. Data &amp; Mechanisms'!$E$599:$I$600, 2, FALSE), FALSE), 'Misc. Data &amp; Mechanisms'!$A$599:$C$659, 2, FALSE), FALSE) = "", "", VLOOKUP($A60, INDIRECT("'" &amp; 'Personalized Bill Menu'!$B$22 &amp; "'!" &amp;"$A$4:$CA$100"), VLOOKUP(VLOOKUP(R$5,'Misc. Data &amp; Mechanisms'!$E$601:$I$631,HLOOKUP('Personalized Bill Menu'!$B$22, 'Misc. Data &amp; Mechanisms'!$E$599:$I$600, 2, FALSE), FALSE), 'Misc. Data &amp; Mechanisms'!$A$599:$C$659, 2, FALSE), FALSE)), ""))</f>
        <v>0.88959999999999995</v>
      </c>
      <c r="S60" s="88">
        <f ca="1">IF($A60="", "",IFERROR(IF(VLOOKUP($A60, INDIRECT("'" &amp; 'Personalized Bill Menu'!$B$22 &amp; "'!" &amp;"$A$4:$CA$100"), VLOOKUP(VLOOKUP(S$5,'Misc. Data &amp; Mechanisms'!$E$601:$I$631,HLOOKUP('Personalized Bill Menu'!$B$22, 'Misc. Data &amp; Mechanisms'!$E$599:$I$600, 2, FALSE), FALSE), 'Misc. Data &amp; Mechanisms'!$A$599:$C$659, 2, FALSE), FALSE) = "", "", VLOOKUP($A60, INDIRECT("'" &amp; 'Personalized Bill Menu'!$B$22 &amp; "'!" &amp;"$A$4:$CA$100"), VLOOKUP(VLOOKUP(S$5,'Misc. Data &amp; Mechanisms'!$E$601:$I$631,HLOOKUP('Personalized Bill Menu'!$B$22, 'Misc. Data &amp; Mechanisms'!$E$599:$I$600, 2, FALSE), FALSE), 'Misc. Data &amp; Mechanisms'!$A$599:$C$659, 2, FALSE), FALSE)), ""))</f>
        <v>0.42758699999999999</v>
      </c>
      <c r="T60" s="81" t="str">
        <f ca="1">IF($A60="", "",IFERROR(IF(VLOOKUP($A60, INDIRECT("'" &amp; 'Personalized Bill Menu'!$B$22 &amp; "'!" &amp;"$A$4:$CA$100"), VLOOKUP(VLOOKUP(T$5,'Misc. Data &amp; Mechanisms'!$E$601:$I$631,HLOOKUP('Personalized Bill Menu'!$B$22, 'Misc. Data &amp; Mechanisms'!$E$599:$I$600, 2, FALSE), FALSE), 'Misc. Data &amp; Mechanisms'!$A$599:$C$659, 2, FALSE), FALSE) = "", "", VLOOKUP($A60, INDIRECT("'" &amp; 'Personalized Bill Menu'!$B$22 &amp; "'!" &amp;"$A$4:$CA$100"), VLOOKUP(VLOOKUP(T$5,'Misc. Data &amp; Mechanisms'!$E$601:$I$631,HLOOKUP('Personalized Bill Menu'!$B$22, 'Misc. Data &amp; Mechanisms'!$E$599:$I$600, 2, FALSE), FALSE), 'Misc. Data &amp; Mechanisms'!$A$599:$C$659, 2, FALSE), FALSE)), ""))</f>
        <v/>
      </c>
      <c r="U60" s="72">
        <f t="shared" ca="1" si="11"/>
        <v>4.5008481906208928</v>
      </c>
      <c r="V60" s="72">
        <f t="shared" ca="1" si="12"/>
        <v>12.82761</v>
      </c>
      <c r="W60" s="70" t="str">
        <f t="shared" si="13"/>
        <v/>
      </c>
      <c r="X60" s="78">
        <f>IFERROR(IF(VLOOKUP($A60,'Misc. Data &amp; Mechanisms'!$A$63:$DY$152,HLOOKUP('Personalized Bill Menu'!$B$21&amp;"_"&amp;'Personalized Bill Menu'!$B$22&amp;"_Elec_Y_1",'Misc. Data &amp; Mechanisms'!$A$55:$DY$62,8,FALSE), FALSE)="", "", VLOOKUP($A60,'Misc. Data &amp; Mechanisms'!$A$63:$DY$152,HLOOKUP('Personalized Bill Menu'!$B$21&amp;"_"&amp;'Personalized Bill Menu'!$B$22&amp;"_Elec_Y_1",'Misc. Data &amp; Mechanisms'!$A$55:$DY$62,8,FALSE), FALSE)), "")</f>
        <v>0.1111</v>
      </c>
      <c r="Y60" s="78" t="str">
        <f>IFERROR(IF(VLOOKUP($A60,'Misc. Data &amp; Mechanisms'!$A$63:$DY$152,HLOOKUP('Personalized Bill Menu'!$B$21&amp;"_"&amp;'Personalized Bill Menu'!$B$22&amp;"_Elec_Y_2",'Misc. Data &amp; Mechanisms'!$A$55:$DY$62,8,FALSE), FALSE)="", "", VLOOKUP($A60,'Misc. Data &amp; Mechanisms'!$A$63:$DY$152,HLOOKUP('Personalized Bill Menu'!$B$21&amp;"_"&amp;'Personalized Bill Menu'!$B$22&amp;"_Elec_Y_2",'Misc. Data &amp; Mechanisms'!$A$55:$DY$62,8,FALSE), FALSE)), "")</f>
        <v/>
      </c>
      <c r="Z60" s="72">
        <f ca="1">IF($A60="", "",IFERROR(IF(OR('Personalized Bill Menu'!$B$22="FORTIS", 'Personalized Bill Menu'!$B$22="ATCO"), $X60*($H60+$I60), IF('Personalized Bill Menu'!$B$22="ENMAX",$X60*($H60+$I60+$K60),($X60/100)*$C60)), 0))</f>
        <v>3.7197524304704528</v>
      </c>
      <c r="AA60" s="72">
        <f>IF($A60="", "", IFERROR(IF(OR('Personalized Bill Menu'!$B$22="FORTIS", 'Personalized Bill Menu'!$B$22="ATCO"), $Y60*($H60+$I60), IF('Personalized Bill Menu'!$B$22="ENMAX",$X60*$G60,"")), 0))</f>
        <v>1.9469460580367959</v>
      </c>
      <c r="AB60" s="89">
        <f ca="1">IF($A60="", "",IFERROR(IF(VLOOKUP($A60, INDIRECT("'" &amp; 'Personalized Bill Menu'!$B$22 &amp; "'!" &amp;"$A$4:$CA$100"), VLOOKUP(VLOOKUP("RIDER RATE 1",'Misc. Data &amp; Mechanisms'!$E$601:$I$631,HLOOKUP('Personalized Bill Menu'!$B$22, 'Misc. Data &amp; Mechanisms'!$E$599:$I$600, 2, FALSE), FALSE), 'Misc. Data &amp; Mechanisms'!$A$599:$C$659, 2, FALSE), FALSE) = "", "", VLOOKUP($A60, INDIRECT("'" &amp; 'Personalized Bill Menu'!$B$22 &amp; "'!" &amp;"$A$4:$CA$100"), VLOOKUP(VLOOKUP("RIDER RATE 1",'Misc. Data &amp; Mechanisms'!$E$601:$I$631,HLOOKUP('Personalized Bill Menu'!$B$22, 'Misc. Data &amp; Mechanisms'!$E$599:$I$600, 2, FALSE), FALSE), 'Misc. Data &amp; Mechanisms'!$A$599:$C$659, 2, FALSE), FALSE)), ""))</f>
        <v>-0.33339999999999997</v>
      </c>
      <c r="AC60" s="69">
        <f ca="1">IF($A60="", "",IFERROR(IF(VLOOKUP($A60, INDIRECT("'" &amp; 'Personalized Bill Menu'!$B$22 &amp; "'!" &amp;"$A$4:$CA$100"), VLOOKUP(VLOOKUP("RIDER RATE 2",'Misc. Data &amp; Mechanisms'!$E$601:$I$631,HLOOKUP('Personalized Bill Menu'!$B$22, 'Misc. Data &amp; Mechanisms'!$E$599:$I$600, 2, FALSE), FALSE), 'Misc. Data &amp; Mechanisms'!$A$599:$C$659, 2, FALSE), FALSE) = "", "", VLOOKUP($A60, INDIRECT("'" &amp; 'Personalized Bill Menu'!$B$22 &amp; "'!" &amp;"$A$4:$CA$100"), VLOOKUP(VLOOKUP("RIDER RATE 2",'Misc. Data &amp; Mechanisms'!$E$601:$I$631,HLOOKUP('Personalized Bill Menu'!$B$22, 'Misc. Data &amp; Mechanisms'!$E$599:$I$600, 2, FALSE), FALSE), 'Misc. Data &amp; Mechanisms'!$A$599:$C$659, 2, FALSE), FALSE)), ""))</f>
        <v>1.5797000000000001</v>
      </c>
      <c r="AD60" s="69" t="str">
        <f ca="1">IF($A60="", "",IFERROR(IF(VLOOKUP($A60, INDIRECT("'" &amp; 'Personalized Bill Menu'!$B$22 &amp; "'!" &amp;"$A$4:$CA$100"), VLOOKUP(VLOOKUP("RIDER RATE 3",'Misc. Data &amp; Mechanisms'!$E$601:$I$631,HLOOKUP('Personalized Bill Menu'!$B$22, 'Misc. Data &amp; Mechanisms'!$E$599:$I$600, 2, FALSE), FALSE), 'Misc. Data &amp; Mechanisms'!$A$599:$C$659, 2, FALSE), FALSE) = "", "", VLOOKUP($A60, INDIRECT("'" &amp; 'Personalized Bill Menu'!$B$22 &amp; "'!" &amp;"$A$4:$CA$100"), VLOOKUP(VLOOKUP("RIDER RATE 3",'Misc. Data &amp; Mechanisms'!$E$601:$I$631,HLOOKUP('Personalized Bill Menu'!$B$22, 'Misc. Data &amp; Mechanisms'!$E$599:$I$600, 2, FALSE), FALSE), 'Misc. Data &amp; Mechanisms'!$A$599:$C$659, 2, FALSE), FALSE)), ""))</f>
        <v/>
      </c>
      <c r="AE60" s="69" t="str">
        <f ca="1">IF($A60="", "",IFERROR(IF(VLOOKUP($A60, INDIRECT("'" &amp; 'Personalized Bill Menu'!$B$22 &amp; "'!" &amp;"$A$4:$CA$100"), VLOOKUP(VLOOKUP("RIDER RATE 4",'Misc. Data &amp; Mechanisms'!$E$601:$I$631,HLOOKUP('Personalized Bill Menu'!$B$22, 'Misc. Data &amp; Mechanisms'!$E$599:$I$600, 2, FALSE), FALSE), 'Misc. Data &amp; Mechanisms'!$A$599:$C$659, 2, FALSE), FALSE) = "", "", VLOOKUP($A60, INDIRECT("'" &amp; 'Personalized Bill Menu'!$B$22 &amp; "'!" &amp;"$A$4:$CA$100"), VLOOKUP(VLOOKUP("RIDER RATE 4",'Misc. Data &amp; Mechanisms'!$E$601:$I$631,HLOOKUP('Personalized Bill Menu'!$B$22, 'Misc. Data &amp; Mechanisms'!$E$599:$I$600, 2, FALSE), FALSE), 'Misc. Data &amp; Mechanisms'!$A$599:$C$659, 2, FALSE), FALSE)), ""))</f>
        <v/>
      </c>
      <c r="AF60" s="90" t="str">
        <f ca="1">IF($A60="", "",IFERROR(IF(VLOOKUP($A60, INDIRECT("'" &amp; 'Personalized Bill Menu'!$B$22 &amp; "'!" &amp;"$A$4:$CA$100"), VLOOKUP(VLOOKUP("RIDER RATE 5",'Misc. Data &amp; Mechanisms'!$E$601:$I$631,HLOOKUP('Personalized Bill Menu'!$B$22, 'Misc. Data &amp; Mechanisms'!$E$599:$I$600, 2, FALSE), FALSE), 'Misc. Data &amp; Mechanisms'!$A$599:$C$659, 2, FALSE), FALSE) = "", "", VLOOKUP($A60, INDIRECT("'" &amp; 'Personalized Bill Menu'!$B$22 &amp; "'!" &amp;"$A$4:$CA$100"), VLOOKUP(VLOOKUP("RIDER RATE 5",'Misc. Data &amp; Mechanisms'!$E$601:$I$631,HLOOKUP('Personalized Bill Menu'!$B$22, 'Misc. Data &amp; Mechanisms'!$E$599:$I$600, 2, FALSE), FALSE), 'Misc. Data &amp; Mechanisms'!$A$599:$C$659, 2, FALSE), FALSE)), ""))</f>
        <v/>
      </c>
      <c r="AG60" s="90" t="str">
        <f ca="1">IF($A60="", "",IFERROR(IF(VLOOKUP($A60, INDIRECT("'" &amp; 'Personalized Bill Menu'!$B$22 &amp; "'!" &amp;"$A$4:$CA$100"), VLOOKUP(VLOOKUP("RIDER RATE 6",'Misc. Data &amp; Mechanisms'!$E$601:$I$631,HLOOKUP('Personalized Bill Menu'!$B$22, 'Misc. Data &amp; Mechanisms'!$E$599:$I$600, 2, FALSE), FALSE), 'Misc. Data &amp; Mechanisms'!$A$599:$C$659, 2, FALSE), FALSE) = "", "", VLOOKUP($A60, INDIRECT("'" &amp; 'Personalized Bill Menu'!$B$22 &amp; "'!" &amp;"$A$4:$CA$100"), VLOOKUP(VLOOKUP("RIDER RATE 6",'Misc. Data &amp; Mechanisms'!$E$601:$I$631,HLOOKUP('Personalized Bill Menu'!$B$22, 'Misc. Data &amp; Mechanisms'!$E$599:$I$600, 2, FALSE), FALSE), 'Misc. Data &amp; Mechanisms'!$A$599:$C$659, 2, FALSE), FALSE)), ""))</f>
        <v/>
      </c>
      <c r="AH60" s="90" t="str">
        <f ca="1">IF($A60="", "",IFERROR(IF(VLOOKUP($A60, INDIRECT("'" &amp; 'Personalized Bill Menu'!$B$22 &amp; "'!" &amp;"$A$4:$CA$100"), VLOOKUP(VLOOKUP("RIDER RATE 7",'Misc. Data &amp; Mechanisms'!$E$601:$I$631,HLOOKUP('Personalized Bill Menu'!$B$22, 'Misc. Data &amp; Mechanisms'!$E$599:$I$600, 2, FALSE), FALSE), 'Misc. Data &amp; Mechanisms'!$A$599:$C$659, 2, FALSE), FALSE) = "", "", VLOOKUP($A60, INDIRECT("'" &amp; 'Personalized Bill Menu'!$B$22 &amp; "'!" &amp;"$A$4:$CA$100"), VLOOKUP(VLOOKUP("RIDER RATE 7",'Misc. Data &amp; Mechanisms'!$E$601:$I$631,HLOOKUP('Personalized Bill Menu'!$B$22, 'Misc. Data &amp; Mechanisms'!$E$599:$I$600, 2, FALSE), FALSE), 'Misc. Data &amp; Mechanisms'!$A$599:$C$659, 2, FALSE), FALSE)), ""))</f>
        <v/>
      </c>
      <c r="AI60" s="72">
        <f t="shared" ca="1" si="14"/>
        <v>-1.6868061901450153</v>
      </c>
      <c r="AJ60" s="72">
        <f t="shared" ca="1" si="15"/>
        <v>7.9923447467668902</v>
      </c>
      <c r="AK60" s="72">
        <f ca="1">IF($A60="", "", IFERROR(IF($AD$6="%",IF('Personalized Bill Menu'!$B$22="ENMAX", $AD60*$I60, IF(AND($AD60="", 'Personalized Bill Menu'!$B$22="FORTIS"),($AE60/100)*$C60,$AD60*$H60)),($AD60/100)*$C60), 0))</f>
        <v>0</v>
      </c>
      <c r="AL60" s="72">
        <f ca="1">IF($A60="", "", IFERROR(IF('Personalized Bill Menu'!$B$22="ENMAX",$AE60*$B60,IF($AE$6="%",$AE60*($H60+$I60+$J60), IF('Personalized Bill Menu'!$B$22="FORTIS",$AF60*$I60,($AE60/100)*$C60))), 0))</f>
        <v>0</v>
      </c>
      <c r="AM60" s="72" t="str">
        <f>IF($A60="", "", IFERROR(IF('Personalized Bill Menu'!$B$22="EPCOR",($AF60/100)*$C60, IF('Personalized Bill Menu'!$B$22="ATCO",$AF60*1,"")), 0))</f>
        <v/>
      </c>
      <c r="AN60" s="72" t="str">
        <f>IF($A60="", "", IFERROR(IF('Personalized Bill Menu'!$B$22="ATCO",$AG60*$B60,""), 0))</f>
        <v/>
      </c>
      <c r="AO60" s="70" t="str">
        <f>IF($A60="", "", IFERROR(IF('Personalized Bill Menu'!$B$22="ATCO",$AH60*$B60,""), 0))</f>
        <v/>
      </c>
      <c r="AP60" s="81">
        <f>IF('Personalized Bill Menu'!$B$34&lt;&gt;"Natural Gas", 'Personalized Bill Menu'!$K57, "")</f>
        <v>0.2291</v>
      </c>
      <c r="AQ60" s="72">
        <f t="shared" si="16"/>
        <v>6.8730000000000002</v>
      </c>
      <c r="AR60" s="91">
        <f ca="1">IF($A60="", "",IF(VLOOKUP($A60, INDIRECT("'" &amp; 'Personalized Bill Menu'!$B$22 &amp; "'!" &amp;"$A$4:$CA$100"), VLOOKUP(VLOOKUP(AR$5,'Misc. Data &amp; Mechanisms'!$E$601:$I$631,HLOOKUP('Personalized Bill Menu'!$B$22, 'Misc. Data &amp; Mechanisms'!$E$599:$I$600, 2, FALSE), FALSE), 'Misc. Data &amp; Mechanisms'!$A$599:$C$659, 2, FALSE), FALSE) = "", "", VLOOKUP($A60, INDIRECT("'" &amp; 'Personalized Bill Menu'!$B$22 &amp; "'!" &amp;"$A$4:$CA$100"), VLOOKUP(VLOOKUP(AR$5,'Misc. Data &amp; Mechanisms'!$E$601:$I$631,HLOOKUP('Personalized Bill Menu'!$B$22, 'Misc. Data &amp; Mechanisms'!$E$599:$I$600, 2, FALSE), FALSE), 'Misc. Data &amp; Mechanisms'!$A$599:$C$659, 2, FALSE), FALSE)))</f>
        <v>0.05</v>
      </c>
    </row>
    <row r="61" spans="1:49" x14ac:dyDescent="0.35">
      <c r="A61" s="83">
        <f>'Personalized Bill Menu'!$H58</f>
        <v>42552</v>
      </c>
      <c r="B61" s="84">
        <f t="shared" si="0"/>
        <v>31</v>
      </c>
      <c r="C61" s="85">
        <f>IF('Personalized Bill Menu'!$B$34&lt;&gt;"Natural Gas", 'Personalized Bill Menu'!$I58, "")</f>
        <v>525.29824868173444</v>
      </c>
      <c r="D61" s="66">
        <f t="shared" ca="1" si="17"/>
        <v>14.968521613977085</v>
      </c>
      <c r="E61" s="66">
        <f ca="1">IFERROR((1+$AR61)*(IF('Personalized Bill Menu'!$B$22="ENMAX", ((1+IFERROR($X61, 0))*($N61+$P61+$R61+$AB61+$AC61))+((1+IF($X61="", 0,$X61))*(IF($AD61="", 0,$AD61)*$R61)), IF('Personalized Bill Menu'!$B$22="EPCOR", ($N61+$P61+$R61+$X61+SUM($AB61:$AE61)), IF('Personalized Bill Menu'!$B$22="ATCO",($N61+((1+IF($AE61="", 0,$AE61))*(1+$X61+$Y61)*($P61+$R61))+SUM($AB61:$AD61)),IF($AD61="",$N61+((1+$X61+$Y61)*($P61+$R61))+$AB61+$AE61+(IF($AC61="", 0, $AC61)*$P61)+($R61*IF($AF61="", 0, $AF61)),$N61+((1+$X61+$Y61)*($P61+$R61))+$AB61+($AD61*$P61)+(IF($AC61="", 0, $AC61)*$P61)+($R61*IF($AF61="", 0, $AF61))))))), "")</f>
        <v>10.605010615499999</v>
      </c>
      <c r="F61" s="1469">
        <f t="shared" ca="1" si="1"/>
        <v>78.629381891768517</v>
      </c>
      <c r="G61" s="66">
        <f t="shared" si="2"/>
        <v>26.174561135313464</v>
      </c>
      <c r="H61" s="66">
        <f t="shared" ca="1" si="3"/>
        <v>10.223879814092596</v>
      </c>
      <c r="I61" s="66">
        <f t="shared" ca="1" si="4"/>
        <v>17.928250220272709</v>
      </c>
      <c r="J61" s="66">
        <f t="shared" ca="1" si="5"/>
        <v>6.7776925077897783</v>
      </c>
      <c r="K61" s="66">
        <f t="shared" ca="1" si="6"/>
        <v>6.6786419337395717</v>
      </c>
      <c r="L61" s="66">
        <f t="shared" si="7"/>
        <v>7.1021000000000001</v>
      </c>
      <c r="M61" s="68">
        <f t="shared" ca="1" si="8"/>
        <v>3.7442562805604056</v>
      </c>
      <c r="N61" s="69">
        <f>IF('Personalized Bill Menu'!$B$34&lt;&gt;"Natural Gas", 'Personalized Bill Menu'!$J58, "")</f>
        <v>4.9828000000000001</v>
      </c>
      <c r="O61" s="70">
        <f t="shared" si="9"/>
        <v>26.174561135313464</v>
      </c>
      <c r="P61" s="71">
        <f ca="1">IF($A61="", "",IFERROR(IF(VLOOKUP($A61, INDIRECT("'" &amp; 'Personalized Bill Menu'!$B$22 &amp; "'!" &amp;"$A$4:$CA$100"), VLOOKUP(VLOOKUP(P$5,'Misc. Data &amp; Mechanisms'!$E$601:$I$631,HLOOKUP('Personalized Bill Menu'!$B$22, 'Misc. Data &amp; Mechanisms'!$E$599:$I$600, 2, FALSE), FALSE), 'Misc. Data &amp; Mechanisms'!$A$599:$C$659, 2, FALSE), FALSE) = "", "", VLOOKUP($A61, INDIRECT("'" &amp; 'Personalized Bill Menu'!$B$22 &amp; "'!" &amp;"$A$4:$CA$100"), VLOOKUP(VLOOKUP(P$5,'Misc. Data &amp; Mechanisms'!$E$601:$I$631,HLOOKUP('Personalized Bill Menu'!$B$22, 'Misc. Data &amp; Mechanisms'!$E$599:$I$600, 2, FALSE), FALSE), 'Misc. Data &amp; Mechanisms'!$A$599:$C$659, 2, FALSE), FALSE)), ""))</f>
        <v>1.9462999999999999</v>
      </c>
      <c r="Q61" s="72">
        <f t="shared" ca="1" si="10"/>
        <v>10.223879814092596</v>
      </c>
      <c r="R61" s="87">
        <f ca="1">IF($A61="", "",IFERROR(IF(VLOOKUP($A61, INDIRECT("'" &amp; 'Personalized Bill Menu'!$B$22 &amp; "'!" &amp;"$A$4:$CA$100"), VLOOKUP(VLOOKUP(R$5,'Misc. Data &amp; Mechanisms'!$E$601:$I$631,HLOOKUP('Personalized Bill Menu'!$B$22, 'Misc. Data &amp; Mechanisms'!$E$599:$I$600, 2, FALSE), FALSE), 'Misc. Data &amp; Mechanisms'!$A$599:$C$659, 2, FALSE), FALSE) = "", "", VLOOKUP($A61, INDIRECT("'" &amp; 'Personalized Bill Menu'!$B$22 &amp; "'!" &amp;"$A$4:$CA$100"), VLOOKUP(VLOOKUP(R$5,'Misc. Data &amp; Mechanisms'!$E$601:$I$631,HLOOKUP('Personalized Bill Menu'!$B$22, 'Misc. Data &amp; Mechanisms'!$E$599:$I$600, 2, FALSE), FALSE), 'Misc. Data &amp; Mechanisms'!$A$599:$C$659, 2, FALSE), FALSE)), ""))</f>
        <v>0.88959999999999995</v>
      </c>
      <c r="S61" s="88">
        <f ca="1">IF($A61="", "",IFERROR(IF(VLOOKUP($A61, INDIRECT("'" &amp; 'Personalized Bill Menu'!$B$22 &amp; "'!" &amp;"$A$4:$CA$100"), VLOOKUP(VLOOKUP(S$5,'Misc. Data &amp; Mechanisms'!$E$601:$I$631,HLOOKUP('Personalized Bill Menu'!$B$22, 'Misc. Data &amp; Mechanisms'!$E$599:$I$600, 2, FALSE), FALSE), 'Misc. Data &amp; Mechanisms'!$A$599:$C$659, 2, FALSE), FALSE) = "", "", VLOOKUP($A61, INDIRECT("'" &amp; 'Personalized Bill Menu'!$B$22 &amp; "'!" &amp;"$A$4:$CA$100"), VLOOKUP(VLOOKUP(S$5,'Misc. Data &amp; Mechanisms'!$E$601:$I$631,HLOOKUP('Personalized Bill Menu'!$B$22, 'Misc. Data &amp; Mechanisms'!$E$599:$I$600, 2, FALSE), FALSE), 'Misc. Data &amp; Mechanisms'!$A$599:$C$659, 2, FALSE), FALSE)), ""))</f>
        <v>0.42758699999999999</v>
      </c>
      <c r="T61" s="81" t="str">
        <f ca="1">IF($A61="", "",IFERROR(IF(VLOOKUP($A61, INDIRECT("'" &amp; 'Personalized Bill Menu'!$B$22 &amp; "'!" &amp;"$A$4:$CA$100"), VLOOKUP(VLOOKUP(T$5,'Misc. Data &amp; Mechanisms'!$E$601:$I$631,HLOOKUP('Personalized Bill Menu'!$B$22, 'Misc. Data &amp; Mechanisms'!$E$599:$I$600, 2, FALSE), FALSE), 'Misc. Data &amp; Mechanisms'!$A$599:$C$659, 2, FALSE), FALSE) = "", "", VLOOKUP($A61, INDIRECT("'" &amp; 'Personalized Bill Menu'!$B$22 &amp; "'!" &amp;"$A$4:$CA$100"), VLOOKUP(VLOOKUP(T$5,'Misc. Data &amp; Mechanisms'!$E$601:$I$631,HLOOKUP('Personalized Bill Menu'!$B$22, 'Misc. Data &amp; Mechanisms'!$E$599:$I$600, 2, FALSE), FALSE), 'Misc. Data &amp; Mechanisms'!$A$599:$C$659, 2, FALSE), FALSE)), ""))</f>
        <v/>
      </c>
      <c r="U61" s="72">
        <f t="shared" ca="1" si="11"/>
        <v>4.6730532202727089</v>
      </c>
      <c r="V61" s="72">
        <f t="shared" ca="1" si="12"/>
        <v>13.255196999999999</v>
      </c>
      <c r="W61" s="70" t="str">
        <f t="shared" si="13"/>
        <v/>
      </c>
      <c r="X61" s="78">
        <f>IFERROR(IF(VLOOKUP($A61,'Misc. Data &amp; Mechanisms'!$A$63:$DY$152,HLOOKUP('Personalized Bill Menu'!$B$21&amp;"_"&amp;'Personalized Bill Menu'!$B$22&amp;"_Elec_Y_1",'Misc. Data &amp; Mechanisms'!$A$55:$DY$62,8,FALSE), FALSE)="", "", VLOOKUP($A61,'Misc. Data &amp; Mechanisms'!$A$63:$DY$152,HLOOKUP('Personalized Bill Menu'!$B$21&amp;"_"&amp;'Personalized Bill Menu'!$B$22&amp;"_Elec_Y_1",'Misc. Data &amp; Mechanisms'!$A$55:$DY$62,8,FALSE), FALSE)), "")</f>
        <v>0.1111</v>
      </c>
      <c r="Y61" s="78" t="str">
        <f>IFERROR(IF(VLOOKUP($A61,'Misc. Data &amp; Mechanisms'!$A$63:$DY$152,HLOOKUP('Personalized Bill Menu'!$B$21&amp;"_"&amp;'Personalized Bill Menu'!$B$22&amp;"_Elec_Y_2",'Misc. Data &amp; Mechanisms'!$A$55:$DY$62,8,FALSE), FALSE)="", "", VLOOKUP($A61,'Misc. Data &amp; Mechanisms'!$A$63:$DY$152,HLOOKUP('Personalized Bill Menu'!$B$21&amp;"_"&amp;'Personalized Bill Menu'!$B$22&amp;"_Elec_Y_2",'Misc. Data &amp; Mechanisms'!$A$55:$DY$62,8,FALSE), FALSE)), "")</f>
        <v/>
      </c>
      <c r="Z61" s="72">
        <f ca="1">IF($A61="", "",IFERROR(IF(OR('Personalized Bill Menu'!$B$22="FORTIS", 'Personalized Bill Menu'!$B$22="ATCO"), $X61*($H61+$I61), IF('Personalized Bill Menu'!$B$22="ENMAX",$X61*($H61+$I61+$K61),($X61/100)*$C61)), 0))</f>
        <v>3.8696987656564521</v>
      </c>
      <c r="AA61" s="72">
        <f>IF($A61="", "", IFERROR(IF(OR('Personalized Bill Menu'!$B$22="FORTIS", 'Personalized Bill Menu'!$B$22="ATCO"), $Y61*($H61+$I61), IF('Personalized Bill Menu'!$B$22="ENMAX",$X61*$G61,"")), 0))</f>
        <v>2.9079937421333262</v>
      </c>
      <c r="AB61" s="89">
        <f ca="1">IF($A61="", "",IFERROR(IF(VLOOKUP($A61, INDIRECT("'" &amp; 'Personalized Bill Menu'!$B$22 &amp; "'!" &amp;"$A$4:$CA$100"), VLOOKUP(VLOOKUP("RIDER RATE 1",'Misc. Data &amp; Mechanisms'!$E$601:$I$631,HLOOKUP('Personalized Bill Menu'!$B$22, 'Misc. Data &amp; Mechanisms'!$E$599:$I$600, 2, FALSE), FALSE), 'Misc. Data &amp; Mechanisms'!$A$599:$C$659, 2, FALSE), FALSE) = "", "", VLOOKUP($A61, INDIRECT("'" &amp; 'Personalized Bill Menu'!$B$22 &amp; "'!" &amp;"$A$4:$CA$100"), VLOOKUP(VLOOKUP("RIDER RATE 1",'Misc. Data &amp; Mechanisms'!$E$601:$I$631,HLOOKUP('Personalized Bill Menu'!$B$22, 'Misc. Data &amp; Mechanisms'!$E$599:$I$600, 2, FALSE), FALSE), 'Misc. Data &amp; Mechanisms'!$A$599:$C$659, 2, FALSE), FALSE)), ""))</f>
        <v>-0.33339999999999997</v>
      </c>
      <c r="AC61" s="69">
        <f ca="1">IF($A61="", "",IFERROR(IF(VLOOKUP($A61, INDIRECT("'" &amp; 'Personalized Bill Menu'!$B$22 &amp; "'!" &amp;"$A$4:$CA$100"), VLOOKUP(VLOOKUP("RIDER RATE 2",'Misc. Data &amp; Mechanisms'!$E$601:$I$631,HLOOKUP('Personalized Bill Menu'!$B$22, 'Misc. Data &amp; Mechanisms'!$E$599:$I$600, 2, FALSE), FALSE), 'Misc. Data &amp; Mechanisms'!$A$599:$C$659, 2, FALSE), FALSE) = "", "", VLOOKUP($A61, INDIRECT("'" &amp; 'Personalized Bill Menu'!$B$22 &amp; "'!" &amp;"$A$4:$CA$100"), VLOOKUP(VLOOKUP("RIDER RATE 2",'Misc. Data &amp; Mechanisms'!$E$601:$I$631,HLOOKUP('Personalized Bill Menu'!$B$22, 'Misc. Data &amp; Mechanisms'!$E$599:$I$600, 2, FALSE), FALSE), 'Misc. Data &amp; Mechanisms'!$A$599:$C$659, 2, FALSE), FALSE)), ""))</f>
        <v>1.6048</v>
      </c>
      <c r="AD61" s="69" t="str">
        <f ca="1">IF($A61="", "",IFERROR(IF(VLOOKUP($A61, INDIRECT("'" &amp; 'Personalized Bill Menu'!$B$22 &amp; "'!" &amp;"$A$4:$CA$100"), VLOOKUP(VLOOKUP("RIDER RATE 3",'Misc. Data &amp; Mechanisms'!$E$601:$I$631,HLOOKUP('Personalized Bill Menu'!$B$22, 'Misc. Data &amp; Mechanisms'!$E$599:$I$600, 2, FALSE), FALSE), 'Misc. Data &amp; Mechanisms'!$A$599:$C$659, 2, FALSE), FALSE) = "", "", VLOOKUP($A61, INDIRECT("'" &amp; 'Personalized Bill Menu'!$B$22 &amp; "'!" &amp;"$A$4:$CA$100"), VLOOKUP(VLOOKUP("RIDER RATE 3",'Misc. Data &amp; Mechanisms'!$E$601:$I$631,HLOOKUP('Personalized Bill Menu'!$B$22, 'Misc. Data &amp; Mechanisms'!$E$599:$I$600, 2, FALSE), FALSE), 'Misc. Data &amp; Mechanisms'!$A$599:$C$659, 2, FALSE), FALSE)), ""))</f>
        <v/>
      </c>
      <c r="AE61" s="69" t="str">
        <f ca="1">IF($A61="", "",IFERROR(IF(VLOOKUP($A61, INDIRECT("'" &amp; 'Personalized Bill Menu'!$B$22 &amp; "'!" &amp;"$A$4:$CA$100"), VLOOKUP(VLOOKUP("RIDER RATE 4",'Misc. Data &amp; Mechanisms'!$E$601:$I$631,HLOOKUP('Personalized Bill Menu'!$B$22, 'Misc. Data &amp; Mechanisms'!$E$599:$I$600, 2, FALSE), FALSE), 'Misc. Data &amp; Mechanisms'!$A$599:$C$659, 2, FALSE), FALSE) = "", "", VLOOKUP($A61, INDIRECT("'" &amp; 'Personalized Bill Menu'!$B$22 &amp; "'!" &amp;"$A$4:$CA$100"), VLOOKUP(VLOOKUP("RIDER RATE 4",'Misc. Data &amp; Mechanisms'!$E$601:$I$631,HLOOKUP('Personalized Bill Menu'!$B$22, 'Misc. Data &amp; Mechanisms'!$E$599:$I$600, 2, FALSE), FALSE), 'Misc. Data &amp; Mechanisms'!$A$599:$C$659, 2, FALSE), FALSE)), ""))</f>
        <v/>
      </c>
      <c r="AF61" s="90" t="str">
        <f ca="1">IF($A61="", "",IFERROR(IF(VLOOKUP($A61, INDIRECT("'" &amp; 'Personalized Bill Menu'!$B$22 &amp; "'!" &amp;"$A$4:$CA$100"), VLOOKUP(VLOOKUP("RIDER RATE 5",'Misc. Data &amp; Mechanisms'!$E$601:$I$631,HLOOKUP('Personalized Bill Menu'!$B$22, 'Misc. Data &amp; Mechanisms'!$E$599:$I$600, 2, FALSE), FALSE), 'Misc. Data &amp; Mechanisms'!$A$599:$C$659, 2, FALSE), FALSE) = "", "", VLOOKUP($A61, INDIRECT("'" &amp; 'Personalized Bill Menu'!$B$22 &amp; "'!" &amp;"$A$4:$CA$100"), VLOOKUP(VLOOKUP("RIDER RATE 5",'Misc. Data &amp; Mechanisms'!$E$601:$I$631,HLOOKUP('Personalized Bill Menu'!$B$22, 'Misc. Data &amp; Mechanisms'!$E$599:$I$600, 2, FALSE), FALSE), 'Misc. Data &amp; Mechanisms'!$A$599:$C$659, 2, FALSE), FALSE)), ""))</f>
        <v/>
      </c>
      <c r="AG61" s="90" t="str">
        <f ca="1">IF($A61="", "",IFERROR(IF(VLOOKUP($A61, INDIRECT("'" &amp; 'Personalized Bill Menu'!$B$22 &amp; "'!" &amp;"$A$4:$CA$100"), VLOOKUP(VLOOKUP("RIDER RATE 6",'Misc. Data &amp; Mechanisms'!$E$601:$I$631,HLOOKUP('Personalized Bill Menu'!$B$22, 'Misc. Data &amp; Mechanisms'!$E$599:$I$600, 2, FALSE), FALSE), 'Misc. Data &amp; Mechanisms'!$A$599:$C$659, 2, FALSE), FALSE) = "", "", VLOOKUP($A61, INDIRECT("'" &amp; 'Personalized Bill Menu'!$B$22 &amp; "'!" &amp;"$A$4:$CA$100"), VLOOKUP(VLOOKUP("RIDER RATE 6",'Misc. Data &amp; Mechanisms'!$E$601:$I$631,HLOOKUP('Personalized Bill Menu'!$B$22, 'Misc. Data &amp; Mechanisms'!$E$599:$I$600, 2, FALSE), FALSE), 'Misc. Data &amp; Mechanisms'!$A$599:$C$659, 2, FALSE), FALSE)), ""))</f>
        <v/>
      </c>
      <c r="AH61" s="90" t="str">
        <f ca="1">IF($A61="", "",IFERROR(IF(VLOOKUP($A61, INDIRECT("'" &amp; 'Personalized Bill Menu'!$B$22 &amp; "'!" &amp;"$A$4:$CA$100"), VLOOKUP(VLOOKUP("RIDER RATE 7",'Misc. Data &amp; Mechanisms'!$E$601:$I$631,HLOOKUP('Personalized Bill Menu'!$B$22, 'Misc. Data &amp; Mechanisms'!$E$599:$I$600, 2, FALSE), FALSE), 'Misc. Data &amp; Mechanisms'!$A$599:$C$659, 2, FALSE), FALSE) = "", "", VLOOKUP($A61, INDIRECT("'" &amp; 'Personalized Bill Menu'!$B$22 &amp; "'!" &amp;"$A$4:$CA$100"), VLOOKUP(VLOOKUP("RIDER RATE 7",'Misc. Data &amp; Mechanisms'!$E$601:$I$631,HLOOKUP('Personalized Bill Menu'!$B$22, 'Misc. Data &amp; Mechanisms'!$E$599:$I$600, 2, FALSE), FALSE), 'Misc. Data &amp; Mechanisms'!$A$599:$C$659, 2, FALSE), FALSE)), ""))</f>
        <v/>
      </c>
      <c r="AI61" s="72">
        <f t="shared" ca="1" si="14"/>
        <v>-1.7513443611049024</v>
      </c>
      <c r="AJ61" s="72">
        <f t="shared" ca="1" si="15"/>
        <v>8.4299862948444737</v>
      </c>
      <c r="AK61" s="72">
        <f ca="1">IF($A61="", "", IFERROR(IF($AD$6="%",IF('Personalized Bill Menu'!$B$22="ENMAX", $AD61*$I61, IF(AND($AD61="", 'Personalized Bill Menu'!$B$22="FORTIS"),($AE61/100)*$C61,$AD61*$H61)),($AD61/100)*$C61), 0))</f>
        <v>0</v>
      </c>
      <c r="AL61" s="72">
        <f ca="1">IF($A61="", "", IFERROR(IF('Personalized Bill Menu'!$B$22="ENMAX",$AE61*$B61,IF($AE$6="%",$AE61*($H61+$I61+$J61), IF('Personalized Bill Menu'!$B$22="FORTIS",$AF61*$I61,($AE61/100)*$C61))), 0))</f>
        <v>0</v>
      </c>
      <c r="AM61" s="72" t="str">
        <f>IF($A61="", "", IFERROR(IF('Personalized Bill Menu'!$B$22="EPCOR",($AF61/100)*$C61, IF('Personalized Bill Menu'!$B$22="ATCO",$AF61*1,"")), 0))</f>
        <v/>
      </c>
      <c r="AN61" s="72" t="str">
        <f>IF($A61="", "", IFERROR(IF('Personalized Bill Menu'!$B$22="ATCO",$AG61*$B61,""), 0))</f>
        <v/>
      </c>
      <c r="AO61" s="70" t="str">
        <f>IF($A61="", "", IFERROR(IF('Personalized Bill Menu'!$B$22="ATCO",$AH61*$B61,""), 0))</f>
        <v/>
      </c>
      <c r="AP61" s="81">
        <f>IF('Personalized Bill Menu'!$B$34&lt;&gt;"Natural Gas", 'Personalized Bill Menu'!$K58, "")</f>
        <v>0.2291</v>
      </c>
      <c r="AQ61" s="72">
        <f t="shared" si="16"/>
        <v>7.1021000000000001</v>
      </c>
      <c r="AR61" s="91">
        <f ca="1">IF($A61="", "",IF(VLOOKUP($A61, INDIRECT("'" &amp; 'Personalized Bill Menu'!$B$22 &amp; "'!" &amp;"$A$4:$CA$100"), VLOOKUP(VLOOKUP(AR$5,'Misc. Data &amp; Mechanisms'!$E$601:$I$631,HLOOKUP('Personalized Bill Menu'!$B$22, 'Misc. Data &amp; Mechanisms'!$E$599:$I$600, 2, FALSE), FALSE), 'Misc. Data &amp; Mechanisms'!$A$599:$C$659, 2, FALSE), FALSE) = "", "", VLOOKUP($A61, INDIRECT("'" &amp; 'Personalized Bill Menu'!$B$22 &amp; "'!" &amp;"$A$4:$CA$100"), VLOOKUP(VLOOKUP(AR$5,'Misc. Data &amp; Mechanisms'!$E$601:$I$631,HLOOKUP('Personalized Bill Menu'!$B$22, 'Misc. Data &amp; Mechanisms'!$E$599:$I$600, 2, FALSE), FALSE), 'Misc. Data &amp; Mechanisms'!$A$599:$C$659, 2, FALSE), FALSE)))</f>
        <v>0.05</v>
      </c>
    </row>
    <row r="62" spans="1:49" x14ac:dyDescent="0.35">
      <c r="A62" s="83">
        <f>'Personalized Bill Menu'!$H59</f>
        <v>42583</v>
      </c>
      <c r="B62" s="84">
        <f t="shared" si="0"/>
        <v>31</v>
      </c>
      <c r="C62" s="85">
        <f>IF('Personalized Bill Menu'!$B$34&lt;&gt;"Natural Gas", 'Personalized Bill Menu'!$I59, "")</f>
        <v>514.49747885704483</v>
      </c>
      <c r="D62" s="66">
        <f t="shared" ca="1" si="17"/>
        <v>14.924442181432694</v>
      </c>
      <c r="E62" s="66">
        <f ca="1">IFERROR((1+$AR62)*(IF('Personalized Bill Menu'!$B$22="ENMAX", ((1+IFERROR($X62, 0))*($N62+$P62+$R62+$AB62+$AC62))+((1+IF($X62="", 0,$X62))*(IF($AD62="", 0,$AD62)*$R62)), IF('Personalized Bill Menu'!$B$22="EPCOR", ($N62+$P62+$R62+$X62+SUM($AB62:$AE62)), IF('Personalized Bill Menu'!$B$22="ATCO",($N62+((1+IF($AE62="", 0,$AE62))*(1+$X62+$Y62)*($P62+$R62))+SUM($AB62:$AD62)),IF($AD62="",$N62+((1+$X62+$Y62)*($P62+$R62))+$AB62+$AE62+(IF($AC62="", 0, $AC62)*$P62)+($R62*IF($AF62="", 0, $AF62)),$N62+((1+$X62+$Y62)*($P62+$R62))+$AB62+($AD62*$P62)+(IF($AC62="", 0, $AC62)*$P62)+($R62*IF($AF62="", 0, $AF62))))))), "")</f>
        <v>10.469328639</v>
      </c>
      <c r="F62" s="1469">
        <f t="shared" ca="1" si="1"/>
        <v>76.785878756948549</v>
      </c>
      <c r="G62" s="66">
        <f t="shared" si="2"/>
        <v>25.038019808578085</v>
      </c>
      <c r="H62" s="66">
        <f t="shared" ca="1" si="3"/>
        <v>10.013664430994663</v>
      </c>
      <c r="I62" s="66">
        <f t="shared" ca="1" si="4"/>
        <v>17.832166571912268</v>
      </c>
      <c r="J62" s="66">
        <f t="shared" ca="1" si="5"/>
        <v>6.6021365822775238</v>
      </c>
      <c r="K62" s="66">
        <f t="shared" ca="1" si="6"/>
        <v>6.5413209461884669</v>
      </c>
      <c r="L62" s="66">
        <f t="shared" si="7"/>
        <v>7.1021000000000001</v>
      </c>
      <c r="M62" s="68">
        <f t="shared" ca="1" si="8"/>
        <v>3.6564704169975499</v>
      </c>
      <c r="N62" s="69">
        <f>IF('Personalized Bill Menu'!$B$34&lt;&gt;"Natural Gas", 'Personalized Bill Menu'!$J59, "")</f>
        <v>4.8665000000000003</v>
      </c>
      <c r="O62" s="70">
        <f t="shared" si="9"/>
        <v>25.038019808578085</v>
      </c>
      <c r="P62" s="71">
        <f ca="1">IF($A62="", "",IFERROR(IF(VLOOKUP($A62, INDIRECT("'" &amp; 'Personalized Bill Menu'!$B$22 &amp; "'!" &amp;"$A$4:$CA$100"), VLOOKUP(VLOOKUP(P$5,'Misc. Data &amp; Mechanisms'!$E$601:$I$631,HLOOKUP('Personalized Bill Menu'!$B$22, 'Misc. Data &amp; Mechanisms'!$E$599:$I$600, 2, FALSE), FALSE), 'Misc. Data &amp; Mechanisms'!$A$599:$C$659, 2, FALSE), FALSE) = "", "", VLOOKUP($A62, INDIRECT("'" &amp; 'Personalized Bill Menu'!$B$22 &amp; "'!" &amp;"$A$4:$CA$100"), VLOOKUP(VLOOKUP(P$5,'Misc. Data &amp; Mechanisms'!$E$601:$I$631,HLOOKUP('Personalized Bill Menu'!$B$22, 'Misc. Data &amp; Mechanisms'!$E$599:$I$600, 2, FALSE), FALSE), 'Misc. Data &amp; Mechanisms'!$A$599:$C$659, 2, FALSE), FALSE)), ""))</f>
        <v>1.9462999999999999</v>
      </c>
      <c r="Q62" s="72">
        <f t="shared" ca="1" si="10"/>
        <v>10.013664430994663</v>
      </c>
      <c r="R62" s="87">
        <f ca="1">IF($A62="", "",IFERROR(IF(VLOOKUP($A62, INDIRECT("'" &amp; 'Personalized Bill Menu'!$B$22 &amp; "'!" &amp;"$A$4:$CA$100"), VLOOKUP(VLOOKUP(R$5,'Misc. Data &amp; Mechanisms'!$E$601:$I$631,HLOOKUP('Personalized Bill Menu'!$B$22, 'Misc. Data &amp; Mechanisms'!$E$599:$I$600, 2, FALSE), FALSE), 'Misc. Data &amp; Mechanisms'!$A$599:$C$659, 2, FALSE), FALSE) = "", "", VLOOKUP($A62, INDIRECT("'" &amp; 'Personalized Bill Menu'!$B$22 &amp; "'!" &amp;"$A$4:$CA$100"), VLOOKUP(VLOOKUP(R$5,'Misc. Data &amp; Mechanisms'!$E$601:$I$631,HLOOKUP('Personalized Bill Menu'!$B$22, 'Misc. Data &amp; Mechanisms'!$E$599:$I$600, 2, FALSE), FALSE), 'Misc. Data &amp; Mechanisms'!$A$599:$C$659, 2, FALSE), FALSE)), ""))</f>
        <v>0.88959999999999995</v>
      </c>
      <c r="S62" s="88">
        <f ca="1">IF($A62="", "",IFERROR(IF(VLOOKUP($A62, INDIRECT("'" &amp; 'Personalized Bill Menu'!$B$22 &amp; "'!" &amp;"$A$4:$CA$100"), VLOOKUP(VLOOKUP(S$5,'Misc. Data &amp; Mechanisms'!$E$601:$I$631,HLOOKUP('Personalized Bill Menu'!$B$22, 'Misc. Data &amp; Mechanisms'!$E$599:$I$600, 2, FALSE), FALSE), 'Misc. Data &amp; Mechanisms'!$A$599:$C$659, 2, FALSE), FALSE) = "", "", VLOOKUP($A62, INDIRECT("'" &amp; 'Personalized Bill Menu'!$B$22 &amp; "'!" &amp;"$A$4:$CA$100"), VLOOKUP(VLOOKUP(S$5,'Misc. Data &amp; Mechanisms'!$E$601:$I$631,HLOOKUP('Personalized Bill Menu'!$B$22, 'Misc. Data &amp; Mechanisms'!$E$599:$I$600, 2, FALSE), FALSE), 'Misc. Data &amp; Mechanisms'!$A$599:$C$659, 2, FALSE), FALSE)), ""))</f>
        <v>0.42758699999999999</v>
      </c>
      <c r="T62" s="81" t="str">
        <f ca="1">IF($A62="", "",IFERROR(IF(VLOOKUP($A62, INDIRECT("'" &amp; 'Personalized Bill Menu'!$B$22 &amp; "'!" &amp;"$A$4:$CA$100"), VLOOKUP(VLOOKUP(T$5,'Misc. Data &amp; Mechanisms'!$E$601:$I$631,HLOOKUP('Personalized Bill Menu'!$B$22, 'Misc. Data &amp; Mechanisms'!$E$599:$I$600, 2, FALSE), FALSE), 'Misc. Data &amp; Mechanisms'!$A$599:$C$659, 2, FALSE), FALSE) = "", "", VLOOKUP($A62, INDIRECT("'" &amp; 'Personalized Bill Menu'!$B$22 &amp; "'!" &amp;"$A$4:$CA$100"), VLOOKUP(VLOOKUP(T$5,'Misc. Data &amp; Mechanisms'!$E$601:$I$631,HLOOKUP('Personalized Bill Menu'!$B$22, 'Misc. Data &amp; Mechanisms'!$E$599:$I$600, 2, FALSE), FALSE), 'Misc. Data &amp; Mechanisms'!$A$599:$C$659, 2, FALSE), FALSE)), ""))</f>
        <v/>
      </c>
      <c r="U62" s="72">
        <f t="shared" ca="1" si="11"/>
        <v>4.5769695719122705</v>
      </c>
      <c r="V62" s="72">
        <f t="shared" ca="1" si="12"/>
        <v>13.255196999999999</v>
      </c>
      <c r="W62" s="70" t="str">
        <f t="shared" si="13"/>
        <v/>
      </c>
      <c r="X62" s="78">
        <f>IFERROR(IF(VLOOKUP($A62,'Misc. Data &amp; Mechanisms'!$A$63:$DY$152,HLOOKUP('Personalized Bill Menu'!$B$21&amp;"_"&amp;'Personalized Bill Menu'!$B$22&amp;"_Elec_Y_1",'Misc. Data &amp; Mechanisms'!$A$55:$DY$62,8,FALSE), FALSE)="", "", VLOOKUP($A62,'Misc. Data &amp; Mechanisms'!$A$63:$DY$152,HLOOKUP('Personalized Bill Menu'!$B$21&amp;"_"&amp;'Personalized Bill Menu'!$B$22&amp;"_Elec_Y_1",'Misc. Data &amp; Mechanisms'!$A$55:$DY$62,8,FALSE), FALSE)), "")</f>
        <v>0.1111</v>
      </c>
      <c r="Y62" s="78" t="str">
        <f>IFERROR(IF(VLOOKUP($A62,'Misc. Data &amp; Mechanisms'!$A$63:$DY$152,HLOOKUP('Personalized Bill Menu'!$B$21&amp;"_"&amp;'Personalized Bill Menu'!$B$22&amp;"_Elec_Y_2",'Misc. Data &amp; Mechanisms'!$A$55:$DY$62,8,FALSE), FALSE)="", "", VLOOKUP($A62,'Misc. Data &amp; Mechanisms'!$A$63:$DY$152,HLOOKUP('Personalized Bill Menu'!$B$21&amp;"_"&amp;'Personalized Bill Menu'!$B$22&amp;"_Elec_Y_2",'Misc. Data &amp; Mechanisms'!$A$55:$DY$62,8,FALSE), FALSE)), "")</f>
        <v/>
      </c>
      <c r="Z62" s="72">
        <f ca="1">IF($A62="", "",IFERROR(IF(OR('Personalized Bill Menu'!$B$22="FORTIS", 'Personalized Bill Menu'!$B$22="ATCO"), $X62*($H62+$I62), IF('Personalized Bill Menu'!$B$22="ENMAX",$X62*($H62+$I62+$K62),($X62/100)*$C62)), 0))</f>
        <v>3.8204125815444989</v>
      </c>
      <c r="AA62" s="72">
        <f>IF($A62="", "", IFERROR(IF(OR('Personalized Bill Menu'!$B$22="FORTIS", 'Personalized Bill Menu'!$B$22="ATCO"), $Y62*($H62+$I62), IF('Personalized Bill Menu'!$B$22="ENMAX",$X62*$G62,"")), 0))</f>
        <v>2.7817240007330253</v>
      </c>
      <c r="AB62" s="89">
        <f ca="1">IF($A62="", "",IFERROR(IF(VLOOKUP($A62, INDIRECT("'" &amp; 'Personalized Bill Menu'!$B$22 &amp; "'!" &amp;"$A$4:$CA$100"), VLOOKUP(VLOOKUP("RIDER RATE 1",'Misc. Data &amp; Mechanisms'!$E$601:$I$631,HLOOKUP('Personalized Bill Menu'!$B$22, 'Misc. Data &amp; Mechanisms'!$E$599:$I$600, 2, FALSE), FALSE), 'Misc. Data &amp; Mechanisms'!$A$599:$C$659, 2, FALSE), FALSE) = "", "", VLOOKUP($A62, INDIRECT("'" &amp; 'Personalized Bill Menu'!$B$22 &amp; "'!" &amp;"$A$4:$CA$100"), VLOOKUP(VLOOKUP("RIDER RATE 1",'Misc. Data &amp; Mechanisms'!$E$601:$I$631,HLOOKUP('Personalized Bill Menu'!$B$22, 'Misc. Data &amp; Mechanisms'!$E$599:$I$600, 2, FALSE), FALSE), 'Misc. Data &amp; Mechanisms'!$A$599:$C$659, 2, FALSE), FALSE)), ""))</f>
        <v>-0.33339999999999997</v>
      </c>
      <c r="AC62" s="69">
        <f ca="1">IF($A62="", "",IFERROR(IF(VLOOKUP($A62, INDIRECT("'" &amp; 'Personalized Bill Menu'!$B$22 &amp; "'!" &amp;"$A$4:$CA$100"), VLOOKUP(VLOOKUP("RIDER RATE 2",'Misc. Data &amp; Mechanisms'!$E$601:$I$631,HLOOKUP('Personalized Bill Menu'!$B$22, 'Misc. Data &amp; Mechanisms'!$E$599:$I$600, 2, FALSE), FALSE), 'Misc. Data &amp; Mechanisms'!$A$599:$C$659, 2, FALSE), FALSE) = "", "", VLOOKUP($A62, INDIRECT("'" &amp; 'Personalized Bill Menu'!$B$22 &amp; "'!" &amp;"$A$4:$CA$100"), VLOOKUP(VLOOKUP("RIDER RATE 2",'Misc. Data &amp; Mechanisms'!$E$601:$I$631,HLOOKUP('Personalized Bill Menu'!$B$22, 'Misc. Data &amp; Mechanisms'!$E$599:$I$600, 2, FALSE), FALSE), 'Misc. Data &amp; Mechanisms'!$A$599:$C$659, 2, FALSE), FALSE)), ""))</f>
        <v>1.6048</v>
      </c>
      <c r="AD62" s="69" t="str">
        <f ca="1">IF($A62="", "",IFERROR(IF(VLOOKUP($A62, INDIRECT("'" &amp; 'Personalized Bill Menu'!$B$22 &amp; "'!" &amp;"$A$4:$CA$100"), VLOOKUP(VLOOKUP("RIDER RATE 3",'Misc. Data &amp; Mechanisms'!$E$601:$I$631,HLOOKUP('Personalized Bill Menu'!$B$22, 'Misc. Data &amp; Mechanisms'!$E$599:$I$600, 2, FALSE), FALSE), 'Misc. Data &amp; Mechanisms'!$A$599:$C$659, 2, FALSE), FALSE) = "", "", VLOOKUP($A62, INDIRECT("'" &amp; 'Personalized Bill Menu'!$B$22 &amp; "'!" &amp;"$A$4:$CA$100"), VLOOKUP(VLOOKUP("RIDER RATE 3",'Misc. Data &amp; Mechanisms'!$E$601:$I$631,HLOOKUP('Personalized Bill Menu'!$B$22, 'Misc. Data &amp; Mechanisms'!$E$599:$I$600, 2, FALSE), FALSE), 'Misc. Data &amp; Mechanisms'!$A$599:$C$659, 2, FALSE), FALSE)), ""))</f>
        <v/>
      </c>
      <c r="AE62" s="69" t="str">
        <f ca="1">IF($A62="", "",IFERROR(IF(VLOOKUP($A62, INDIRECT("'" &amp; 'Personalized Bill Menu'!$B$22 &amp; "'!" &amp;"$A$4:$CA$100"), VLOOKUP(VLOOKUP("RIDER RATE 4",'Misc. Data &amp; Mechanisms'!$E$601:$I$631,HLOOKUP('Personalized Bill Menu'!$B$22, 'Misc. Data &amp; Mechanisms'!$E$599:$I$600, 2, FALSE), FALSE), 'Misc. Data &amp; Mechanisms'!$A$599:$C$659, 2, FALSE), FALSE) = "", "", VLOOKUP($A62, INDIRECT("'" &amp; 'Personalized Bill Menu'!$B$22 &amp; "'!" &amp;"$A$4:$CA$100"), VLOOKUP(VLOOKUP("RIDER RATE 4",'Misc. Data &amp; Mechanisms'!$E$601:$I$631,HLOOKUP('Personalized Bill Menu'!$B$22, 'Misc. Data &amp; Mechanisms'!$E$599:$I$600, 2, FALSE), FALSE), 'Misc. Data &amp; Mechanisms'!$A$599:$C$659, 2, FALSE), FALSE)), ""))</f>
        <v/>
      </c>
      <c r="AF62" s="90" t="str">
        <f ca="1">IF($A62="", "",IFERROR(IF(VLOOKUP($A62, INDIRECT("'" &amp; 'Personalized Bill Menu'!$B$22 &amp; "'!" &amp;"$A$4:$CA$100"), VLOOKUP(VLOOKUP("RIDER RATE 5",'Misc. Data &amp; Mechanisms'!$E$601:$I$631,HLOOKUP('Personalized Bill Menu'!$B$22, 'Misc. Data &amp; Mechanisms'!$E$599:$I$600, 2, FALSE), FALSE), 'Misc. Data &amp; Mechanisms'!$A$599:$C$659, 2, FALSE), FALSE) = "", "", VLOOKUP($A62, INDIRECT("'" &amp; 'Personalized Bill Menu'!$B$22 &amp; "'!" &amp;"$A$4:$CA$100"), VLOOKUP(VLOOKUP("RIDER RATE 5",'Misc. Data &amp; Mechanisms'!$E$601:$I$631,HLOOKUP('Personalized Bill Menu'!$B$22, 'Misc. Data &amp; Mechanisms'!$E$599:$I$600, 2, FALSE), FALSE), 'Misc. Data &amp; Mechanisms'!$A$599:$C$659, 2, FALSE), FALSE)), ""))</f>
        <v/>
      </c>
      <c r="AG62" s="90" t="str">
        <f ca="1">IF($A62="", "",IFERROR(IF(VLOOKUP($A62, INDIRECT("'" &amp; 'Personalized Bill Menu'!$B$22 &amp; "'!" &amp;"$A$4:$CA$100"), VLOOKUP(VLOOKUP("RIDER RATE 6",'Misc. Data &amp; Mechanisms'!$E$601:$I$631,HLOOKUP('Personalized Bill Menu'!$B$22, 'Misc. Data &amp; Mechanisms'!$E$599:$I$600, 2, FALSE), FALSE), 'Misc. Data &amp; Mechanisms'!$A$599:$C$659, 2, FALSE), FALSE) = "", "", VLOOKUP($A62, INDIRECT("'" &amp; 'Personalized Bill Menu'!$B$22 &amp; "'!" &amp;"$A$4:$CA$100"), VLOOKUP(VLOOKUP("RIDER RATE 6",'Misc. Data &amp; Mechanisms'!$E$601:$I$631,HLOOKUP('Personalized Bill Menu'!$B$22, 'Misc. Data &amp; Mechanisms'!$E$599:$I$600, 2, FALSE), FALSE), 'Misc. Data &amp; Mechanisms'!$A$599:$C$659, 2, FALSE), FALSE)), ""))</f>
        <v/>
      </c>
      <c r="AH62" s="90" t="str">
        <f ca="1">IF($A62="", "",IFERROR(IF(VLOOKUP($A62, INDIRECT("'" &amp; 'Personalized Bill Menu'!$B$22 &amp; "'!" &amp;"$A$4:$CA$100"), VLOOKUP(VLOOKUP("RIDER RATE 7",'Misc. Data &amp; Mechanisms'!$E$601:$I$631,HLOOKUP('Personalized Bill Menu'!$B$22, 'Misc. Data &amp; Mechanisms'!$E$599:$I$600, 2, FALSE), FALSE), 'Misc. Data &amp; Mechanisms'!$A$599:$C$659, 2, FALSE), FALSE) = "", "", VLOOKUP($A62, INDIRECT("'" &amp; 'Personalized Bill Menu'!$B$22 &amp; "'!" &amp;"$A$4:$CA$100"), VLOOKUP(VLOOKUP("RIDER RATE 7",'Misc. Data &amp; Mechanisms'!$E$601:$I$631,HLOOKUP('Personalized Bill Menu'!$B$22, 'Misc. Data &amp; Mechanisms'!$E$599:$I$600, 2, FALSE), FALSE), 'Misc. Data &amp; Mechanisms'!$A$599:$C$659, 2, FALSE), FALSE)), ""))</f>
        <v/>
      </c>
      <c r="AI62" s="72">
        <f t="shared" ca="1" si="14"/>
        <v>-1.7153345945093874</v>
      </c>
      <c r="AJ62" s="72">
        <f t="shared" ca="1" si="15"/>
        <v>8.2566555406978548</v>
      </c>
      <c r="AK62" s="72">
        <f ca="1">IF($A62="", "", IFERROR(IF($AD$6="%",IF('Personalized Bill Menu'!$B$22="ENMAX", $AD62*$I62, IF(AND($AD62="", 'Personalized Bill Menu'!$B$22="FORTIS"),($AE62/100)*$C62,$AD62*$H62)),($AD62/100)*$C62), 0))</f>
        <v>0</v>
      </c>
      <c r="AL62" s="72">
        <f ca="1">IF($A62="", "", IFERROR(IF('Personalized Bill Menu'!$B$22="ENMAX",$AE62*$B62,IF($AE$6="%",$AE62*($H62+$I62+$J62), IF('Personalized Bill Menu'!$B$22="FORTIS",$AF62*$I62,($AE62/100)*$C62))), 0))</f>
        <v>0</v>
      </c>
      <c r="AM62" s="72" t="str">
        <f>IF($A62="", "", IFERROR(IF('Personalized Bill Menu'!$B$22="EPCOR",($AF62/100)*$C62, IF('Personalized Bill Menu'!$B$22="ATCO",$AF62*1,"")), 0))</f>
        <v/>
      </c>
      <c r="AN62" s="72" t="str">
        <f>IF($A62="", "", IFERROR(IF('Personalized Bill Menu'!$B$22="ATCO",$AG62*$B62,""), 0))</f>
        <v/>
      </c>
      <c r="AO62" s="70" t="str">
        <f>IF($A62="", "", IFERROR(IF('Personalized Bill Menu'!$B$22="ATCO",$AH62*$B62,""), 0))</f>
        <v/>
      </c>
      <c r="AP62" s="81">
        <f>IF('Personalized Bill Menu'!$B$34&lt;&gt;"Natural Gas", 'Personalized Bill Menu'!$K59, "")</f>
        <v>0.2291</v>
      </c>
      <c r="AQ62" s="72">
        <f t="shared" si="16"/>
        <v>7.1021000000000001</v>
      </c>
      <c r="AR62" s="91">
        <f ca="1">IF($A62="", "",IF(VLOOKUP($A62, INDIRECT("'" &amp; 'Personalized Bill Menu'!$B$22 &amp; "'!" &amp;"$A$4:$CA$100"), VLOOKUP(VLOOKUP(AR$5,'Misc. Data &amp; Mechanisms'!$E$601:$I$631,HLOOKUP('Personalized Bill Menu'!$B$22, 'Misc. Data &amp; Mechanisms'!$E$599:$I$600, 2, FALSE), FALSE), 'Misc. Data &amp; Mechanisms'!$A$599:$C$659, 2, FALSE), FALSE) = "", "", VLOOKUP($A62, INDIRECT("'" &amp; 'Personalized Bill Menu'!$B$22 &amp; "'!" &amp;"$A$4:$CA$100"), VLOOKUP(VLOOKUP(AR$5,'Misc. Data &amp; Mechanisms'!$E$601:$I$631,HLOOKUP('Personalized Bill Menu'!$B$22, 'Misc. Data &amp; Mechanisms'!$E$599:$I$600, 2, FALSE), FALSE), 'Misc. Data &amp; Mechanisms'!$A$599:$C$659, 2, FALSE), FALSE)))</f>
        <v>0.05</v>
      </c>
    </row>
    <row r="63" spans="1:49" x14ac:dyDescent="0.35">
      <c r="A63" s="83">
        <f>'Personalized Bill Menu'!$H60</f>
        <v>42614</v>
      </c>
      <c r="B63" s="84">
        <f t="shared" si="0"/>
        <v>30</v>
      </c>
      <c r="C63" s="85">
        <f>IF('Personalized Bill Menu'!$B$34&lt;&gt;"Natural Gas", 'Personalized Bill Menu'!$I60, "")</f>
        <v>499.54586897401543</v>
      </c>
      <c r="D63" s="66">
        <f t="shared" ca="1" si="17"/>
        <v>13.50990145851245</v>
      </c>
      <c r="E63" s="66">
        <f ca="1">IFERROR((1+$AR63)*(IF('Personalized Bill Menu'!$B$22="ENMAX", ((1+IFERROR($X63, 0))*($N63+$P63+$R63+$AB63+$AC63))+((1+IF($X63="", 0,$X63))*(IF($AD63="", 0,$AD63)*$R63)), IF('Personalized Bill Menu'!$B$22="EPCOR", ($N63+$P63+$R63+$X63+SUM($AB63:$AE63)), IF('Personalized Bill Menu'!$B$22="ATCO",($N63+((1+IF($AE63="", 0,$AE63))*(1+$X63+$Y63)*($P63+$R63))+SUM($AB63:$AD63)),IF($AD63="",$N63+((1+$X63+$Y63)*($P63+$R63))+$AB63+$AE63+(IF($AC63="", 0, $AC63)*$P63)+($R63*IF($AF63="", 0, $AF63)),$N63+((1+$X63+$Y63)*($P63+$R63))+$AB63+($AD63*$P63)+(IF($AC63="", 0, $AC63)*$P63)+($R63*IF($AF63="", 0, $AF63))))))), "")</f>
        <v>9.0694593044999987</v>
      </c>
      <c r="F63" s="1469">
        <f t="shared" ca="1" si="1"/>
        <v>67.488154638459207</v>
      </c>
      <c r="G63" s="66">
        <f t="shared" si="2"/>
        <v>18.31634883180125</v>
      </c>
      <c r="H63" s="66">
        <f t="shared" ca="1" si="3"/>
        <v>9.7226612478412608</v>
      </c>
      <c r="I63" s="66">
        <f t="shared" ca="1" si="4"/>
        <v>17.271570050392839</v>
      </c>
      <c r="J63" s="66">
        <f t="shared" ca="1" si="5"/>
        <v>5.7396266808377963</v>
      </c>
      <c r="K63" s="66">
        <f t="shared" ca="1" si="6"/>
        <v>6.3512261781356321</v>
      </c>
      <c r="L63" s="66">
        <f t="shared" si="7"/>
        <v>6.8730000000000002</v>
      </c>
      <c r="M63" s="68">
        <f t="shared" ca="1" si="8"/>
        <v>3.2137216494504388</v>
      </c>
      <c r="N63" s="69">
        <f>IF('Personalized Bill Menu'!$B$34&lt;&gt;"Natural Gas", 'Personalized Bill Menu'!$J60, "")</f>
        <v>3.6665999999999999</v>
      </c>
      <c r="O63" s="70">
        <f t="shared" si="9"/>
        <v>18.31634883180125</v>
      </c>
      <c r="P63" s="71">
        <f ca="1">IF($A63="", "",IFERROR(IF(VLOOKUP($A63, INDIRECT("'" &amp; 'Personalized Bill Menu'!$B$22 &amp; "'!" &amp;"$A$4:$CA$100"), VLOOKUP(VLOOKUP(P$5,'Misc. Data &amp; Mechanisms'!$E$601:$I$631,HLOOKUP('Personalized Bill Menu'!$B$22, 'Misc. Data &amp; Mechanisms'!$E$599:$I$600, 2, FALSE), FALSE), 'Misc. Data &amp; Mechanisms'!$A$599:$C$659, 2, FALSE), FALSE) = "", "", VLOOKUP($A63, INDIRECT("'" &amp; 'Personalized Bill Menu'!$B$22 &amp; "'!" &amp;"$A$4:$CA$100"), VLOOKUP(VLOOKUP(P$5,'Misc. Data &amp; Mechanisms'!$E$601:$I$631,HLOOKUP('Personalized Bill Menu'!$B$22, 'Misc. Data &amp; Mechanisms'!$E$599:$I$600, 2, FALSE), FALSE), 'Misc. Data &amp; Mechanisms'!$A$599:$C$659, 2, FALSE), FALSE)), ""))</f>
        <v>1.9462999999999999</v>
      </c>
      <c r="Q63" s="72">
        <f t="shared" ca="1" si="10"/>
        <v>9.7226612478412608</v>
      </c>
      <c r="R63" s="87">
        <f ca="1">IF($A63="", "",IFERROR(IF(VLOOKUP($A63, INDIRECT("'" &amp; 'Personalized Bill Menu'!$B$22 &amp; "'!" &amp;"$A$4:$CA$100"), VLOOKUP(VLOOKUP(R$5,'Misc. Data &amp; Mechanisms'!$E$601:$I$631,HLOOKUP('Personalized Bill Menu'!$B$22, 'Misc. Data &amp; Mechanisms'!$E$599:$I$600, 2, FALSE), FALSE), 'Misc. Data &amp; Mechanisms'!$A$599:$C$659, 2, FALSE), FALSE) = "", "", VLOOKUP($A63, INDIRECT("'" &amp; 'Personalized Bill Menu'!$B$22 &amp; "'!" &amp;"$A$4:$CA$100"), VLOOKUP(VLOOKUP(R$5,'Misc. Data &amp; Mechanisms'!$E$601:$I$631,HLOOKUP('Personalized Bill Menu'!$B$22, 'Misc. Data &amp; Mechanisms'!$E$599:$I$600, 2, FALSE), FALSE), 'Misc. Data &amp; Mechanisms'!$A$599:$C$659, 2, FALSE), FALSE)), ""))</f>
        <v>0.88959999999999995</v>
      </c>
      <c r="S63" s="88">
        <f ca="1">IF($A63="", "",IFERROR(IF(VLOOKUP($A63, INDIRECT("'" &amp; 'Personalized Bill Menu'!$B$22 &amp; "'!" &amp;"$A$4:$CA$100"), VLOOKUP(VLOOKUP(S$5,'Misc. Data &amp; Mechanisms'!$E$601:$I$631,HLOOKUP('Personalized Bill Menu'!$B$22, 'Misc. Data &amp; Mechanisms'!$E$599:$I$600, 2, FALSE), FALSE), 'Misc. Data &amp; Mechanisms'!$A$599:$C$659, 2, FALSE), FALSE) = "", "", VLOOKUP($A63, INDIRECT("'" &amp; 'Personalized Bill Menu'!$B$22 &amp; "'!" &amp;"$A$4:$CA$100"), VLOOKUP(VLOOKUP(S$5,'Misc. Data &amp; Mechanisms'!$E$601:$I$631,HLOOKUP('Personalized Bill Menu'!$B$22, 'Misc. Data &amp; Mechanisms'!$E$599:$I$600, 2, FALSE), FALSE), 'Misc. Data &amp; Mechanisms'!$A$599:$C$659, 2, FALSE), FALSE)), ""))</f>
        <v>0.42758699999999999</v>
      </c>
      <c r="T63" s="81" t="str">
        <f ca="1">IF($A63="", "",IFERROR(IF(VLOOKUP($A63, INDIRECT("'" &amp; 'Personalized Bill Menu'!$B$22 &amp; "'!" &amp;"$A$4:$CA$100"), VLOOKUP(VLOOKUP(T$5,'Misc. Data &amp; Mechanisms'!$E$601:$I$631,HLOOKUP('Personalized Bill Menu'!$B$22, 'Misc. Data &amp; Mechanisms'!$E$599:$I$600, 2, FALSE), FALSE), 'Misc. Data &amp; Mechanisms'!$A$599:$C$659, 2, FALSE), FALSE) = "", "", VLOOKUP($A63, INDIRECT("'" &amp; 'Personalized Bill Menu'!$B$22 &amp; "'!" &amp;"$A$4:$CA$100"), VLOOKUP(VLOOKUP(T$5,'Misc. Data &amp; Mechanisms'!$E$601:$I$631,HLOOKUP('Personalized Bill Menu'!$B$22, 'Misc. Data &amp; Mechanisms'!$E$599:$I$600, 2, FALSE), FALSE), 'Misc. Data &amp; Mechanisms'!$A$599:$C$659, 2, FALSE), FALSE)), ""))</f>
        <v/>
      </c>
      <c r="U63" s="72">
        <f t="shared" ca="1" si="11"/>
        <v>4.4439600503928407</v>
      </c>
      <c r="V63" s="72">
        <f t="shared" ca="1" si="12"/>
        <v>12.82761</v>
      </c>
      <c r="W63" s="70" t="str">
        <f t="shared" si="13"/>
        <v/>
      </c>
      <c r="X63" s="78">
        <f>IFERROR(IF(VLOOKUP($A63,'Misc. Data &amp; Mechanisms'!$A$63:$DY$152,HLOOKUP('Personalized Bill Menu'!$B$21&amp;"_"&amp;'Personalized Bill Menu'!$B$22&amp;"_Elec_Y_1",'Misc. Data &amp; Mechanisms'!$A$55:$DY$62,8,FALSE), FALSE)="", "", VLOOKUP($A63,'Misc. Data &amp; Mechanisms'!$A$63:$DY$152,HLOOKUP('Personalized Bill Menu'!$B$21&amp;"_"&amp;'Personalized Bill Menu'!$B$22&amp;"_Elec_Y_1",'Misc. Data &amp; Mechanisms'!$A$55:$DY$62,8,FALSE), FALSE)), "")</f>
        <v>0.1111</v>
      </c>
      <c r="Y63" s="78" t="str">
        <f>IFERROR(IF(VLOOKUP($A63,'Misc. Data &amp; Mechanisms'!$A$63:$DY$152,HLOOKUP('Personalized Bill Menu'!$B$21&amp;"_"&amp;'Personalized Bill Menu'!$B$22&amp;"_Elec_Y_2",'Misc. Data &amp; Mechanisms'!$A$55:$DY$62,8,FALSE), FALSE)="", "", VLOOKUP($A63,'Misc. Data &amp; Mechanisms'!$A$63:$DY$152,HLOOKUP('Personalized Bill Menu'!$B$21&amp;"_"&amp;'Personalized Bill Menu'!$B$22&amp;"_Elec_Y_2",'Misc. Data &amp; Mechanisms'!$A$55:$DY$62,8,FALSE), FALSE)), "")</f>
        <v/>
      </c>
      <c r="Z63" s="72">
        <f ca="1">IF($A63="", "",IFERROR(IF(OR('Personalized Bill Menu'!$B$22="FORTIS", 'Personalized Bill Menu'!$B$22="ATCO"), $X63*($H63+$I63), IF('Personalized Bill Menu'!$B$22="ENMAX",$X63*($H63+$I63+$K63),($X63/100)*$C63)), 0))</f>
        <v>3.7046803256246772</v>
      </c>
      <c r="AA63" s="72">
        <f>IF($A63="", "", IFERROR(IF(OR('Personalized Bill Menu'!$B$22="FORTIS", 'Personalized Bill Menu'!$B$22="ATCO"), $Y63*($H63+$I63), IF('Personalized Bill Menu'!$B$22="ENMAX",$X63*$G63,"")), 0))</f>
        <v>2.0349463552131191</v>
      </c>
      <c r="AB63" s="89">
        <f ca="1">IF($A63="", "",IFERROR(IF(VLOOKUP($A63, INDIRECT("'" &amp; 'Personalized Bill Menu'!$B$22 &amp; "'!" &amp;"$A$4:$CA$100"), VLOOKUP(VLOOKUP("RIDER RATE 1",'Misc. Data &amp; Mechanisms'!$E$601:$I$631,HLOOKUP('Personalized Bill Menu'!$B$22, 'Misc. Data &amp; Mechanisms'!$E$599:$I$600, 2, FALSE), FALSE), 'Misc. Data &amp; Mechanisms'!$A$599:$C$659, 2, FALSE), FALSE) = "", "", VLOOKUP($A63, INDIRECT("'" &amp; 'Personalized Bill Menu'!$B$22 &amp; "'!" &amp;"$A$4:$CA$100"), VLOOKUP(VLOOKUP("RIDER RATE 1",'Misc. Data &amp; Mechanisms'!$E$601:$I$631,HLOOKUP('Personalized Bill Menu'!$B$22, 'Misc. Data &amp; Mechanisms'!$E$599:$I$600, 2, FALSE), FALSE), 'Misc. Data &amp; Mechanisms'!$A$599:$C$659, 2, FALSE), FALSE)), ""))</f>
        <v>-0.33339999999999997</v>
      </c>
      <c r="AC63" s="69">
        <f ca="1">IF($A63="", "",IFERROR(IF(VLOOKUP($A63, INDIRECT("'" &amp; 'Personalized Bill Menu'!$B$22 &amp; "'!" &amp;"$A$4:$CA$100"), VLOOKUP(VLOOKUP("RIDER RATE 2",'Misc. Data &amp; Mechanisms'!$E$601:$I$631,HLOOKUP('Personalized Bill Menu'!$B$22, 'Misc. Data &amp; Mechanisms'!$E$599:$I$600, 2, FALSE), FALSE), 'Misc. Data &amp; Mechanisms'!$A$599:$C$659, 2, FALSE), FALSE) = "", "", VLOOKUP($A63, INDIRECT("'" &amp; 'Personalized Bill Menu'!$B$22 &amp; "'!" &amp;"$A$4:$CA$100"), VLOOKUP(VLOOKUP("RIDER RATE 2",'Misc. Data &amp; Mechanisms'!$E$601:$I$631,HLOOKUP('Personalized Bill Menu'!$B$22, 'Misc. Data &amp; Mechanisms'!$E$599:$I$600, 2, FALSE), FALSE), 'Misc. Data &amp; Mechanisms'!$A$599:$C$659, 2, FALSE), FALSE)), ""))</f>
        <v>1.6048</v>
      </c>
      <c r="AD63" s="69" t="str">
        <f ca="1">IF($A63="", "",IFERROR(IF(VLOOKUP($A63, INDIRECT("'" &amp; 'Personalized Bill Menu'!$B$22 &amp; "'!" &amp;"$A$4:$CA$100"), VLOOKUP(VLOOKUP("RIDER RATE 3",'Misc. Data &amp; Mechanisms'!$E$601:$I$631,HLOOKUP('Personalized Bill Menu'!$B$22, 'Misc. Data &amp; Mechanisms'!$E$599:$I$600, 2, FALSE), FALSE), 'Misc. Data &amp; Mechanisms'!$A$599:$C$659, 2, FALSE), FALSE) = "", "", VLOOKUP($A63, INDIRECT("'" &amp; 'Personalized Bill Menu'!$B$22 &amp; "'!" &amp;"$A$4:$CA$100"), VLOOKUP(VLOOKUP("RIDER RATE 3",'Misc. Data &amp; Mechanisms'!$E$601:$I$631,HLOOKUP('Personalized Bill Menu'!$B$22, 'Misc. Data &amp; Mechanisms'!$E$599:$I$600, 2, FALSE), FALSE), 'Misc. Data &amp; Mechanisms'!$A$599:$C$659, 2, FALSE), FALSE)), ""))</f>
        <v/>
      </c>
      <c r="AE63" s="69" t="str">
        <f ca="1">IF($A63="", "",IFERROR(IF(VLOOKUP($A63, INDIRECT("'" &amp; 'Personalized Bill Menu'!$B$22 &amp; "'!" &amp;"$A$4:$CA$100"), VLOOKUP(VLOOKUP("RIDER RATE 4",'Misc. Data &amp; Mechanisms'!$E$601:$I$631,HLOOKUP('Personalized Bill Menu'!$B$22, 'Misc. Data &amp; Mechanisms'!$E$599:$I$600, 2, FALSE), FALSE), 'Misc. Data &amp; Mechanisms'!$A$599:$C$659, 2, FALSE), FALSE) = "", "", VLOOKUP($A63, INDIRECT("'" &amp; 'Personalized Bill Menu'!$B$22 &amp; "'!" &amp;"$A$4:$CA$100"), VLOOKUP(VLOOKUP("RIDER RATE 4",'Misc. Data &amp; Mechanisms'!$E$601:$I$631,HLOOKUP('Personalized Bill Menu'!$B$22, 'Misc. Data &amp; Mechanisms'!$E$599:$I$600, 2, FALSE), FALSE), 'Misc. Data &amp; Mechanisms'!$A$599:$C$659, 2, FALSE), FALSE)), ""))</f>
        <v/>
      </c>
      <c r="AF63" s="90" t="str">
        <f ca="1">IF($A63="", "",IFERROR(IF(VLOOKUP($A63, INDIRECT("'" &amp; 'Personalized Bill Menu'!$B$22 &amp; "'!" &amp;"$A$4:$CA$100"), VLOOKUP(VLOOKUP("RIDER RATE 5",'Misc. Data &amp; Mechanisms'!$E$601:$I$631,HLOOKUP('Personalized Bill Menu'!$B$22, 'Misc. Data &amp; Mechanisms'!$E$599:$I$600, 2, FALSE), FALSE), 'Misc. Data &amp; Mechanisms'!$A$599:$C$659, 2, FALSE), FALSE) = "", "", VLOOKUP($A63, INDIRECT("'" &amp; 'Personalized Bill Menu'!$B$22 &amp; "'!" &amp;"$A$4:$CA$100"), VLOOKUP(VLOOKUP("RIDER RATE 5",'Misc. Data &amp; Mechanisms'!$E$601:$I$631,HLOOKUP('Personalized Bill Menu'!$B$22, 'Misc. Data &amp; Mechanisms'!$E$599:$I$600, 2, FALSE), FALSE), 'Misc. Data &amp; Mechanisms'!$A$599:$C$659, 2, FALSE), FALSE)), ""))</f>
        <v/>
      </c>
      <c r="AG63" s="90" t="str">
        <f ca="1">IF($A63="", "",IFERROR(IF(VLOOKUP($A63, INDIRECT("'" &amp; 'Personalized Bill Menu'!$B$22 &amp; "'!" &amp;"$A$4:$CA$100"), VLOOKUP(VLOOKUP("RIDER RATE 6",'Misc. Data &amp; Mechanisms'!$E$601:$I$631,HLOOKUP('Personalized Bill Menu'!$B$22, 'Misc. Data &amp; Mechanisms'!$E$599:$I$600, 2, FALSE), FALSE), 'Misc. Data &amp; Mechanisms'!$A$599:$C$659, 2, FALSE), FALSE) = "", "", VLOOKUP($A63, INDIRECT("'" &amp; 'Personalized Bill Menu'!$B$22 &amp; "'!" &amp;"$A$4:$CA$100"), VLOOKUP(VLOOKUP("RIDER RATE 6",'Misc. Data &amp; Mechanisms'!$E$601:$I$631,HLOOKUP('Personalized Bill Menu'!$B$22, 'Misc. Data &amp; Mechanisms'!$E$599:$I$600, 2, FALSE), FALSE), 'Misc. Data &amp; Mechanisms'!$A$599:$C$659, 2, FALSE), FALSE)), ""))</f>
        <v/>
      </c>
      <c r="AH63" s="90" t="str">
        <f ca="1">IF($A63="", "",IFERROR(IF(VLOOKUP($A63, INDIRECT("'" &amp; 'Personalized Bill Menu'!$B$22 &amp; "'!" &amp;"$A$4:$CA$100"), VLOOKUP(VLOOKUP("RIDER RATE 7",'Misc. Data &amp; Mechanisms'!$E$601:$I$631,HLOOKUP('Personalized Bill Menu'!$B$22, 'Misc. Data &amp; Mechanisms'!$E$599:$I$600, 2, FALSE), FALSE), 'Misc. Data &amp; Mechanisms'!$A$599:$C$659, 2, FALSE), FALSE) = "", "", VLOOKUP($A63, INDIRECT("'" &amp; 'Personalized Bill Menu'!$B$22 &amp; "'!" &amp;"$A$4:$CA$100"), VLOOKUP(VLOOKUP("RIDER RATE 7",'Misc. Data &amp; Mechanisms'!$E$601:$I$631,HLOOKUP('Personalized Bill Menu'!$B$22, 'Misc. Data &amp; Mechanisms'!$E$599:$I$600, 2, FALSE), FALSE), 'Misc. Data &amp; Mechanisms'!$A$599:$C$659, 2, FALSE), FALSE)), ""))</f>
        <v/>
      </c>
      <c r="AI63" s="72">
        <f t="shared" ca="1" si="14"/>
        <v>-1.6654859271593674</v>
      </c>
      <c r="AJ63" s="72">
        <f t="shared" ca="1" si="15"/>
        <v>8.0167121052949994</v>
      </c>
      <c r="AK63" s="72">
        <f ca="1">IF($A63="", "", IFERROR(IF($AD$6="%",IF('Personalized Bill Menu'!$B$22="ENMAX", $AD63*$I63, IF(AND($AD63="", 'Personalized Bill Menu'!$B$22="FORTIS"),($AE63/100)*$C63,$AD63*$H63)),($AD63/100)*$C63), 0))</f>
        <v>0</v>
      </c>
      <c r="AL63" s="72">
        <f ca="1">IF($A63="", "", IFERROR(IF('Personalized Bill Menu'!$B$22="ENMAX",$AE63*$B63,IF($AE$6="%",$AE63*($H63+$I63+$J63), IF('Personalized Bill Menu'!$B$22="FORTIS",$AF63*$I63,($AE63/100)*$C63))), 0))</f>
        <v>0</v>
      </c>
      <c r="AM63" s="72" t="str">
        <f>IF($A63="", "", IFERROR(IF('Personalized Bill Menu'!$B$22="EPCOR",($AF63/100)*$C63, IF('Personalized Bill Menu'!$B$22="ATCO",$AF63*1,"")), 0))</f>
        <v/>
      </c>
      <c r="AN63" s="72" t="str">
        <f>IF($A63="", "", IFERROR(IF('Personalized Bill Menu'!$B$22="ATCO",$AG63*$B63,""), 0))</f>
        <v/>
      </c>
      <c r="AO63" s="70" t="str">
        <f>IF($A63="", "", IFERROR(IF('Personalized Bill Menu'!$B$22="ATCO",$AH63*$B63,""), 0))</f>
        <v/>
      </c>
      <c r="AP63" s="81">
        <f>IF('Personalized Bill Menu'!$B$34&lt;&gt;"Natural Gas", 'Personalized Bill Menu'!$K60, "")</f>
        <v>0.2291</v>
      </c>
      <c r="AQ63" s="72">
        <f t="shared" si="16"/>
        <v>6.8730000000000002</v>
      </c>
      <c r="AR63" s="91">
        <f ca="1">IF($A63="", "",IF(VLOOKUP($A63, INDIRECT("'" &amp; 'Personalized Bill Menu'!$B$22 &amp; "'!" &amp;"$A$4:$CA$100"), VLOOKUP(VLOOKUP(AR$5,'Misc. Data &amp; Mechanisms'!$E$601:$I$631,HLOOKUP('Personalized Bill Menu'!$B$22, 'Misc. Data &amp; Mechanisms'!$E$599:$I$600, 2, FALSE), FALSE), 'Misc. Data &amp; Mechanisms'!$A$599:$C$659, 2, FALSE), FALSE) = "", "", VLOOKUP($A63, INDIRECT("'" &amp; 'Personalized Bill Menu'!$B$22 &amp; "'!" &amp;"$A$4:$CA$100"), VLOOKUP(VLOOKUP(AR$5,'Misc. Data &amp; Mechanisms'!$E$601:$I$631,HLOOKUP('Personalized Bill Menu'!$B$22, 'Misc. Data &amp; Mechanisms'!$E$599:$I$600, 2, FALSE), FALSE), 'Misc. Data &amp; Mechanisms'!$A$599:$C$659, 2, FALSE), FALSE)))</f>
        <v>0.05</v>
      </c>
    </row>
    <row r="64" spans="1:49" x14ac:dyDescent="0.35">
      <c r="A64" s="83">
        <f>'Personalized Bill Menu'!$H61</f>
        <v>42644</v>
      </c>
      <c r="B64" s="84">
        <f t="shared" si="0"/>
        <v>31</v>
      </c>
      <c r="C64" s="85">
        <f>IF('Personalized Bill Menu'!$B$34&lt;&gt;"Natural Gas", 'Personalized Bill Menu'!$I61, "")</f>
        <v>581.41581667192713</v>
      </c>
      <c r="D64" s="66">
        <f t="shared" ca="1" si="17"/>
        <v>12.28136667908225</v>
      </c>
      <c r="E64" s="66">
        <f ca="1">IFERROR((1+$AR64)*(IF('Personalized Bill Menu'!$B$22="ENMAX", ((1+IFERROR($X64, 0))*($N64+$P64+$R64+$AB64+$AC64))+((1+IF($X64="", 0,$X64))*(IF($AD64="", 0,$AD64)*$R64)), IF('Personalized Bill Menu'!$B$22="EPCOR", ($N64+$P64+$R64+$X64+SUM($AB64:$AE64)), IF('Personalized Bill Menu'!$B$22="ATCO",($N64+((1+IF($AE64="", 0,$AE64))*(1+$X64+$Y64)*($P64+$R64))+SUM($AB64:$AD64)),IF($AD64="",$N64+((1+$X64+$Y64)*($P64+$R64))+$AB64+$AE64+(IF($AC64="", 0, $AC64)*$P64)+($R64*IF($AF64="", 0, $AF64)),$N64+((1+$X64+$Y64)*($P64+$R64))+$AB64+($AD64*$P64)+(IF($AC64="", 0, $AC64)*$P64)+($R64*IF($AF64="", 0, $AF64))))))), "")</f>
        <v>8.3390166089999997</v>
      </c>
      <c r="F64" s="1469">
        <f t="shared" ca="1" si="1"/>
        <v>71.405808375660001</v>
      </c>
      <c r="G64" s="66">
        <f t="shared" si="2"/>
        <v>23.996193585683777</v>
      </c>
      <c r="H64" s="66">
        <f t="shared" ca="1" si="3"/>
        <v>11.316096039885716</v>
      </c>
      <c r="I64" s="66">
        <f t="shared" ca="1" si="4"/>
        <v>18.427472105113463</v>
      </c>
      <c r="J64" s="66">
        <f t="shared" ca="1" si="5"/>
        <v>6.0897950422668448</v>
      </c>
      <c r="K64" s="66">
        <f t="shared" ca="1" si="6"/>
        <v>1.0738750133930497</v>
      </c>
      <c r="L64" s="66">
        <f t="shared" si="7"/>
        <v>7.1021000000000001</v>
      </c>
      <c r="M64" s="68">
        <f t="shared" ca="1" si="8"/>
        <v>3.4002765893171429</v>
      </c>
      <c r="N64" s="69">
        <f>IF('Personalized Bill Menu'!$B$34&lt;&gt;"Natural Gas", 'Personalized Bill Menu'!$J61, "")</f>
        <v>4.1272000000000002</v>
      </c>
      <c r="O64" s="70">
        <f t="shared" si="9"/>
        <v>23.996193585683777</v>
      </c>
      <c r="P64" s="71">
        <f ca="1">IF($A64="", "",IFERROR(IF(VLOOKUP($A64, INDIRECT("'" &amp; 'Personalized Bill Menu'!$B$22 &amp; "'!" &amp;"$A$4:$CA$100"), VLOOKUP(VLOOKUP(P$5,'Misc. Data &amp; Mechanisms'!$E$601:$I$631,HLOOKUP('Personalized Bill Menu'!$B$22, 'Misc. Data &amp; Mechanisms'!$E$599:$I$600, 2, FALSE), FALSE), 'Misc. Data &amp; Mechanisms'!$A$599:$C$659, 2, FALSE), FALSE) = "", "", VLOOKUP($A64, INDIRECT("'" &amp; 'Personalized Bill Menu'!$B$22 &amp; "'!" &amp;"$A$4:$CA$100"), VLOOKUP(VLOOKUP(P$5,'Misc. Data &amp; Mechanisms'!$E$601:$I$631,HLOOKUP('Personalized Bill Menu'!$B$22, 'Misc. Data &amp; Mechanisms'!$E$599:$I$600, 2, FALSE), FALSE), 'Misc. Data &amp; Mechanisms'!$A$599:$C$659, 2, FALSE), FALSE)), ""))</f>
        <v>1.9462999999999999</v>
      </c>
      <c r="Q64" s="72">
        <f t="shared" ca="1" si="10"/>
        <v>11.316096039885716</v>
      </c>
      <c r="R64" s="87">
        <f ca="1">IF($A64="", "",IFERROR(IF(VLOOKUP($A64, INDIRECT("'" &amp; 'Personalized Bill Menu'!$B$22 &amp; "'!" &amp;"$A$4:$CA$100"), VLOOKUP(VLOOKUP(R$5,'Misc. Data &amp; Mechanisms'!$E$601:$I$631,HLOOKUP('Personalized Bill Menu'!$B$22, 'Misc. Data &amp; Mechanisms'!$E$599:$I$600, 2, FALSE), FALSE), 'Misc. Data &amp; Mechanisms'!$A$599:$C$659, 2, FALSE), FALSE) = "", "", VLOOKUP($A64, INDIRECT("'" &amp; 'Personalized Bill Menu'!$B$22 &amp; "'!" &amp;"$A$4:$CA$100"), VLOOKUP(VLOOKUP(R$5,'Misc. Data &amp; Mechanisms'!$E$601:$I$631,HLOOKUP('Personalized Bill Menu'!$B$22, 'Misc. Data &amp; Mechanisms'!$E$599:$I$600, 2, FALSE), FALSE), 'Misc. Data &amp; Mechanisms'!$A$599:$C$659, 2, FALSE), FALSE)), ""))</f>
        <v>0.88959999999999995</v>
      </c>
      <c r="S64" s="88">
        <f ca="1">IF($A64="", "",IFERROR(IF(VLOOKUP($A64, INDIRECT("'" &amp; 'Personalized Bill Menu'!$B$22 &amp; "'!" &amp;"$A$4:$CA$100"), VLOOKUP(VLOOKUP(S$5,'Misc. Data &amp; Mechanisms'!$E$601:$I$631,HLOOKUP('Personalized Bill Menu'!$B$22, 'Misc. Data &amp; Mechanisms'!$E$599:$I$600, 2, FALSE), FALSE), 'Misc. Data &amp; Mechanisms'!$A$599:$C$659, 2, FALSE), FALSE) = "", "", VLOOKUP($A64, INDIRECT("'" &amp; 'Personalized Bill Menu'!$B$22 &amp; "'!" &amp;"$A$4:$CA$100"), VLOOKUP(VLOOKUP(S$5,'Misc. Data &amp; Mechanisms'!$E$601:$I$631,HLOOKUP('Personalized Bill Menu'!$B$22, 'Misc. Data &amp; Mechanisms'!$E$599:$I$600, 2, FALSE), FALSE), 'Misc. Data &amp; Mechanisms'!$A$599:$C$659, 2, FALSE), FALSE)), ""))</f>
        <v>0.42758699999999999</v>
      </c>
      <c r="T64" s="81" t="str">
        <f ca="1">IF($A64="", "",IFERROR(IF(VLOOKUP($A64, INDIRECT("'" &amp; 'Personalized Bill Menu'!$B$22 &amp; "'!" &amp;"$A$4:$CA$100"), VLOOKUP(VLOOKUP(T$5,'Misc. Data &amp; Mechanisms'!$E$601:$I$631,HLOOKUP('Personalized Bill Menu'!$B$22, 'Misc. Data &amp; Mechanisms'!$E$599:$I$600, 2, FALSE), FALSE), 'Misc. Data &amp; Mechanisms'!$A$599:$C$659, 2, FALSE), FALSE) = "", "", VLOOKUP($A64, INDIRECT("'" &amp; 'Personalized Bill Menu'!$B$22 &amp; "'!" &amp;"$A$4:$CA$100"), VLOOKUP(VLOOKUP(T$5,'Misc. Data &amp; Mechanisms'!$E$601:$I$631,HLOOKUP('Personalized Bill Menu'!$B$22, 'Misc. Data &amp; Mechanisms'!$E$599:$I$600, 2, FALSE), FALSE), 'Misc. Data &amp; Mechanisms'!$A$599:$C$659, 2, FALSE), FALSE)), ""))</f>
        <v/>
      </c>
      <c r="U64" s="72">
        <f t="shared" ca="1" si="11"/>
        <v>5.1722751051134637</v>
      </c>
      <c r="V64" s="72">
        <f t="shared" ca="1" si="12"/>
        <v>13.255196999999999</v>
      </c>
      <c r="W64" s="70" t="str">
        <f t="shared" si="13"/>
        <v/>
      </c>
      <c r="X64" s="78">
        <f>IFERROR(IF(VLOOKUP($A64,'Misc. Data &amp; Mechanisms'!$A$63:$DY$152,HLOOKUP('Personalized Bill Menu'!$B$21&amp;"_"&amp;'Personalized Bill Menu'!$B$22&amp;"_Elec_Y_1",'Misc. Data &amp; Mechanisms'!$A$55:$DY$62,8,FALSE), FALSE)="", "", VLOOKUP($A64,'Misc. Data &amp; Mechanisms'!$A$63:$DY$152,HLOOKUP('Personalized Bill Menu'!$B$21&amp;"_"&amp;'Personalized Bill Menu'!$B$22&amp;"_Elec_Y_1",'Misc. Data &amp; Mechanisms'!$A$55:$DY$62,8,FALSE), FALSE)), "")</f>
        <v>0.1111</v>
      </c>
      <c r="Y64" s="78" t="str">
        <f>IFERROR(IF(VLOOKUP($A64,'Misc. Data &amp; Mechanisms'!$A$63:$DY$152,HLOOKUP('Personalized Bill Menu'!$B$21&amp;"_"&amp;'Personalized Bill Menu'!$B$22&amp;"_Elec_Y_2",'Misc. Data &amp; Mechanisms'!$A$55:$DY$62,8,FALSE), FALSE)="", "", VLOOKUP($A64,'Misc. Data &amp; Mechanisms'!$A$63:$DY$152,HLOOKUP('Personalized Bill Menu'!$B$21&amp;"_"&amp;'Personalized Bill Menu'!$B$22&amp;"_Elec_Y_2",'Misc. Data &amp; Mechanisms'!$A$55:$DY$62,8,FALSE), FALSE)), "")</f>
        <v/>
      </c>
      <c r="Z64" s="72">
        <f ca="1">IF($A64="", "",IFERROR(IF(OR('Personalized Bill Menu'!$B$22="FORTIS", 'Personalized Bill Menu'!$B$22="ATCO"), $X64*($H64+$I64), IF('Personalized Bill Menu'!$B$22="ENMAX",$X64*($H64+$I64+$K64),($X64/100)*$C64)), 0))</f>
        <v>3.423817934897377</v>
      </c>
      <c r="AA64" s="72">
        <f>IF($A64="", "", IFERROR(IF(OR('Personalized Bill Menu'!$B$22="FORTIS", 'Personalized Bill Menu'!$B$22="ATCO"), $Y64*($H64+$I64), IF('Personalized Bill Menu'!$B$22="ENMAX",$X64*$G64,"")), 0))</f>
        <v>2.6659771073694678</v>
      </c>
      <c r="AB64" s="89">
        <f ca="1">IF($A64="", "",IFERROR(IF(VLOOKUP($A64, INDIRECT("'" &amp; 'Personalized Bill Menu'!$B$22 &amp; "'!" &amp;"$A$4:$CA$100"), VLOOKUP(VLOOKUP("RIDER RATE 1",'Misc. Data &amp; Mechanisms'!$E$601:$I$631,HLOOKUP('Personalized Bill Menu'!$B$22, 'Misc. Data &amp; Mechanisms'!$E$599:$I$600, 2, FALSE), FALSE), 'Misc. Data &amp; Mechanisms'!$A$599:$C$659, 2, FALSE), FALSE) = "", "", VLOOKUP($A64, INDIRECT("'" &amp; 'Personalized Bill Menu'!$B$22 &amp; "'!" &amp;"$A$4:$CA$100"), VLOOKUP(VLOOKUP("RIDER RATE 1",'Misc. Data &amp; Mechanisms'!$E$601:$I$631,HLOOKUP('Personalized Bill Menu'!$B$22, 'Misc. Data &amp; Mechanisms'!$E$599:$I$600, 2, FALSE), FALSE), 'Misc. Data &amp; Mechanisms'!$A$599:$C$659, 2, FALSE), FALSE)), ""))</f>
        <v>-0.33339999999999997</v>
      </c>
      <c r="AC64" s="69">
        <f ca="1">IF($A64="", "",IFERROR(IF(VLOOKUP($A64, INDIRECT("'" &amp; 'Personalized Bill Menu'!$B$22 &amp; "'!" &amp;"$A$4:$CA$100"), VLOOKUP(VLOOKUP("RIDER RATE 2",'Misc. Data &amp; Mechanisms'!$E$601:$I$631,HLOOKUP('Personalized Bill Menu'!$B$22, 'Misc. Data &amp; Mechanisms'!$E$599:$I$600, 2, FALSE), FALSE), 'Misc. Data &amp; Mechanisms'!$A$599:$C$659, 2, FALSE), FALSE) = "", "", VLOOKUP($A64, INDIRECT("'" &amp; 'Personalized Bill Menu'!$B$22 &amp; "'!" &amp;"$A$4:$CA$100"), VLOOKUP(VLOOKUP("RIDER RATE 2",'Misc. Data &amp; Mechanisms'!$E$601:$I$631,HLOOKUP('Personalized Bill Menu'!$B$22, 'Misc. Data &amp; Mechanisms'!$E$599:$I$600, 2, FALSE), FALSE), 'Misc. Data &amp; Mechanisms'!$A$599:$C$659, 2, FALSE), FALSE)), ""))</f>
        <v>0.5181</v>
      </c>
      <c r="AD64" s="69" t="str">
        <f ca="1">IF($A64="", "",IFERROR(IF(VLOOKUP($A64, INDIRECT("'" &amp; 'Personalized Bill Menu'!$B$22 &amp; "'!" &amp;"$A$4:$CA$100"), VLOOKUP(VLOOKUP("RIDER RATE 3",'Misc. Data &amp; Mechanisms'!$E$601:$I$631,HLOOKUP('Personalized Bill Menu'!$B$22, 'Misc. Data &amp; Mechanisms'!$E$599:$I$600, 2, FALSE), FALSE), 'Misc. Data &amp; Mechanisms'!$A$599:$C$659, 2, FALSE), FALSE) = "", "", VLOOKUP($A64, INDIRECT("'" &amp; 'Personalized Bill Menu'!$B$22 &amp; "'!" &amp;"$A$4:$CA$100"), VLOOKUP(VLOOKUP("RIDER RATE 3",'Misc. Data &amp; Mechanisms'!$E$601:$I$631,HLOOKUP('Personalized Bill Menu'!$B$22, 'Misc. Data &amp; Mechanisms'!$E$599:$I$600, 2, FALSE), FALSE), 'Misc. Data &amp; Mechanisms'!$A$599:$C$659, 2, FALSE), FALSE)), ""))</f>
        <v/>
      </c>
      <c r="AE64" s="69" t="str">
        <f ca="1">IF($A64="", "",IFERROR(IF(VLOOKUP($A64, INDIRECT("'" &amp; 'Personalized Bill Menu'!$B$22 &amp; "'!" &amp;"$A$4:$CA$100"), VLOOKUP(VLOOKUP("RIDER RATE 4",'Misc. Data &amp; Mechanisms'!$E$601:$I$631,HLOOKUP('Personalized Bill Menu'!$B$22, 'Misc. Data &amp; Mechanisms'!$E$599:$I$600, 2, FALSE), FALSE), 'Misc. Data &amp; Mechanisms'!$A$599:$C$659, 2, FALSE), FALSE) = "", "", VLOOKUP($A64, INDIRECT("'" &amp; 'Personalized Bill Menu'!$B$22 &amp; "'!" &amp;"$A$4:$CA$100"), VLOOKUP(VLOOKUP("RIDER RATE 4",'Misc. Data &amp; Mechanisms'!$E$601:$I$631,HLOOKUP('Personalized Bill Menu'!$B$22, 'Misc. Data &amp; Mechanisms'!$E$599:$I$600, 2, FALSE), FALSE), 'Misc. Data &amp; Mechanisms'!$A$599:$C$659, 2, FALSE), FALSE)), ""))</f>
        <v/>
      </c>
      <c r="AF64" s="90" t="str">
        <f ca="1">IF($A64="", "",IFERROR(IF(VLOOKUP($A64, INDIRECT("'" &amp; 'Personalized Bill Menu'!$B$22 &amp; "'!" &amp;"$A$4:$CA$100"), VLOOKUP(VLOOKUP("RIDER RATE 5",'Misc. Data &amp; Mechanisms'!$E$601:$I$631,HLOOKUP('Personalized Bill Menu'!$B$22, 'Misc. Data &amp; Mechanisms'!$E$599:$I$600, 2, FALSE), FALSE), 'Misc. Data &amp; Mechanisms'!$A$599:$C$659, 2, FALSE), FALSE) = "", "", VLOOKUP($A64, INDIRECT("'" &amp; 'Personalized Bill Menu'!$B$22 &amp; "'!" &amp;"$A$4:$CA$100"), VLOOKUP(VLOOKUP("RIDER RATE 5",'Misc. Data &amp; Mechanisms'!$E$601:$I$631,HLOOKUP('Personalized Bill Menu'!$B$22, 'Misc. Data &amp; Mechanisms'!$E$599:$I$600, 2, FALSE), FALSE), 'Misc. Data &amp; Mechanisms'!$A$599:$C$659, 2, FALSE), FALSE)), ""))</f>
        <v/>
      </c>
      <c r="AG64" s="90" t="str">
        <f ca="1">IF($A64="", "",IFERROR(IF(VLOOKUP($A64, INDIRECT("'" &amp; 'Personalized Bill Menu'!$B$22 &amp; "'!" &amp;"$A$4:$CA$100"), VLOOKUP(VLOOKUP("RIDER RATE 6",'Misc. Data &amp; Mechanisms'!$E$601:$I$631,HLOOKUP('Personalized Bill Menu'!$B$22, 'Misc. Data &amp; Mechanisms'!$E$599:$I$600, 2, FALSE), FALSE), 'Misc. Data &amp; Mechanisms'!$A$599:$C$659, 2, FALSE), FALSE) = "", "", VLOOKUP($A64, INDIRECT("'" &amp; 'Personalized Bill Menu'!$B$22 &amp; "'!" &amp;"$A$4:$CA$100"), VLOOKUP(VLOOKUP("RIDER RATE 6",'Misc. Data &amp; Mechanisms'!$E$601:$I$631,HLOOKUP('Personalized Bill Menu'!$B$22, 'Misc. Data &amp; Mechanisms'!$E$599:$I$600, 2, FALSE), FALSE), 'Misc. Data &amp; Mechanisms'!$A$599:$C$659, 2, FALSE), FALSE)), ""))</f>
        <v/>
      </c>
      <c r="AH64" s="90" t="str">
        <f ca="1">IF($A64="", "",IFERROR(IF(VLOOKUP($A64, INDIRECT("'" &amp; 'Personalized Bill Menu'!$B$22 &amp; "'!" &amp;"$A$4:$CA$100"), VLOOKUP(VLOOKUP("RIDER RATE 7",'Misc. Data &amp; Mechanisms'!$E$601:$I$631,HLOOKUP('Personalized Bill Menu'!$B$22, 'Misc. Data &amp; Mechanisms'!$E$599:$I$600, 2, FALSE), FALSE), 'Misc. Data &amp; Mechanisms'!$A$599:$C$659, 2, FALSE), FALSE) = "", "", VLOOKUP($A64, INDIRECT("'" &amp; 'Personalized Bill Menu'!$B$22 &amp; "'!" &amp;"$A$4:$CA$100"), VLOOKUP(VLOOKUP("RIDER RATE 7",'Misc. Data &amp; Mechanisms'!$E$601:$I$631,HLOOKUP('Personalized Bill Menu'!$B$22, 'Misc. Data &amp; Mechanisms'!$E$599:$I$600, 2, FALSE), FALSE), 'Misc. Data &amp; Mechanisms'!$A$599:$C$659, 2, FALSE), FALSE)), ""))</f>
        <v/>
      </c>
      <c r="AI64" s="72">
        <f t="shared" ca="1" si="14"/>
        <v>-1.9384403327842048</v>
      </c>
      <c r="AJ64" s="72">
        <f t="shared" ca="1" si="15"/>
        <v>3.0123153461772545</v>
      </c>
      <c r="AK64" s="72">
        <f ca="1">IF($A64="", "", IFERROR(IF($AD$6="%",IF('Personalized Bill Menu'!$B$22="ENMAX", $AD64*$I64, IF(AND($AD64="", 'Personalized Bill Menu'!$B$22="FORTIS"),($AE64/100)*$C64,$AD64*$H64)),($AD64/100)*$C64), 0))</f>
        <v>0</v>
      </c>
      <c r="AL64" s="72">
        <f ca="1">IF($A64="", "", IFERROR(IF('Personalized Bill Menu'!$B$22="ENMAX",$AE64*$B64,IF($AE$6="%",$AE64*($H64+$I64+$J64), IF('Personalized Bill Menu'!$B$22="FORTIS",$AF64*$I64,($AE64/100)*$C64))), 0))</f>
        <v>0</v>
      </c>
      <c r="AM64" s="72" t="str">
        <f>IF($A64="", "", IFERROR(IF('Personalized Bill Menu'!$B$22="EPCOR",($AF64/100)*$C64, IF('Personalized Bill Menu'!$B$22="ATCO",$AF64*1,"")), 0))</f>
        <v/>
      </c>
      <c r="AN64" s="72" t="str">
        <f>IF($A64="", "", IFERROR(IF('Personalized Bill Menu'!$B$22="ATCO",$AG64*$B64,""), 0))</f>
        <v/>
      </c>
      <c r="AO64" s="70" t="str">
        <f>IF($A64="", "", IFERROR(IF('Personalized Bill Menu'!$B$22="ATCO",$AH64*$B64,""), 0))</f>
        <v/>
      </c>
      <c r="AP64" s="81">
        <f>IF('Personalized Bill Menu'!$B$34&lt;&gt;"Natural Gas", 'Personalized Bill Menu'!$K61, "")</f>
        <v>0.2291</v>
      </c>
      <c r="AQ64" s="72">
        <f t="shared" si="16"/>
        <v>7.1021000000000001</v>
      </c>
      <c r="AR64" s="91">
        <f ca="1">IF($A64="", "",IF(VLOOKUP($A64, INDIRECT("'" &amp; 'Personalized Bill Menu'!$B$22 &amp; "'!" &amp;"$A$4:$CA$100"), VLOOKUP(VLOOKUP(AR$5,'Misc. Data &amp; Mechanisms'!$E$601:$I$631,HLOOKUP('Personalized Bill Menu'!$B$22, 'Misc. Data &amp; Mechanisms'!$E$599:$I$600, 2, FALSE), FALSE), 'Misc. Data &amp; Mechanisms'!$A$599:$C$659, 2, FALSE), FALSE) = "", "", VLOOKUP($A64, INDIRECT("'" &amp; 'Personalized Bill Menu'!$B$22 &amp; "'!" &amp;"$A$4:$CA$100"), VLOOKUP(VLOOKUP(AR$5,'Misc. Data &amp; Mechanisms'!$E$601:$I$631,HLOOKUP('Personalized Bill Menu'!$B$22, 'Misc. Data &amp; Mechanisms'!$E$599:$I$600, 2, FALSE), FALSE), 'Misc. Data &amp; Mechanisms'!$A$599:$C$659, 2, FALSE), FALSE)))</f>
        <v>0.05</v>
      </c>
    </row>
    <row r="65" spans="1:44" x14ac:dyDescent="0.35">
      <c r="A65" s="83">
        <f>'Personalized Bill Menu'!$H62</f>
        <v>42675</v>
      </c>
      <c r="B65" s="84">
        <f t="shared" si="0"/>
        <v>30</v>
      </c>
      <c r="C65" s="85">
        <f>IF('Personalized Bill Menu'!$B$34&lt;&gt;"Natural Gas", 'Personalized Bill Menu'!$I62, "")</f>
        <v>576.30672568593138</v>
      </c>
      <c r="D65" s="66">
        <f t="shared" ca="1" si="17"/>
        <v>11.069983617793689</v>
      </c>
      <c r="E65" s="66">
        <f ca="1">IFERROR((1+$AR65)*(IF('Personalized Bill Menu'!$B$22="ENMAX", ((1+IFERROR($X65, 0))*($N65+$P65+$R65+$AB65+$AC65))+((1+IF($X65="", 0,$X65))*(IF($AD65="", 0,$AD65)*$R65)), IF('Personalized Bill Menu'!$B$22="EPCOR", ($N65+$P65+$R65+$X65+SUM($AB65:$AE65)), IF('Personalized Bill Menu'!$B$22="ATCO",($N65+((1+IF($AE65="", 0,$AE65))*(1+$X65+$Y65)*($P65+$R65))+SUM($AB65:$AD65)),IF($AD65="",$N65+((1+$X65+$Y65)*($P65+$R65))+$AB65+$AE65+(IF($AC65="", 0, $AC65)*$P65)+($R65*IF($AF65="", 0, $AF65)),$N65+((1+$X65+$Y65)*($P65+$R65))+$AB65+($AD65*$P65)+(IF($AC65="", 0, $AC65)*$P65)+($R65*IF($AF65="", 0, $AF65))))))), "")</f>
        <v>7.9705869599999986</v>
      </c>
      <c r="F65" s="1469">
        <f t="shared" ca="1" si="1"/>
        <v>63.797060121675813</v>
      </c>
      <c r="G65" s="66">
        <f t="shared" si="2"/>
        <v>21.965354542793591</v>
      </c>
      <c r="H65" s="66">
        <f t="shared" ca="1" si="3"/>
        <v>11.216657802025281</v>
      </c>
      <c r="I65" s="66">
        <f t="shared" ca="1" si="4"/>
        <v>17.954434631702046</v>
      </c>
      <c r="J65" s="66">
        <f t="shared" ca="1" si="5"/>
        <v>5.4562193789236613</v>
      </c>
      <c r="K65" s="66">
        <f t="shared" ca="1" si="6"/>
        <v>-2.0255614776580848</v>
      </c>
      <c r="L65" s="66">
        <f t="shared" si="7"/>
        <v>6.1920000000000002</v>
      </c>
      <c r="M65" s="68">
        <f t="shared" ca="1" si="8"/>
        <v>3.0379552438893249</v>
      </c>
      <c r="N65" s="69">
        <f>IF('Personalized Bill Menu'!$B$34&lt;&gt;"Natural Gas", 'Personalized Bill Menu'!$J62, "")</f>
        <v>3.8113999999999999</v>
      </c>
      <c r="O65" s="70">
        <f t="shared" si="9"/>
        <v>21.965354542793591</v>
      </c>
      <c r="P65" s="71">
        <f ca="1">IF($A65="", "",IFERROR(IF(VLOOKUP($A65, INDIRECT("'" &amp; 'Personalized Bill Menu'!$B$22 &amp; "'!" &amp;"$A$4:$CA$100"), VLOOKUP(VLOOKUP(P$5,'Misc. Data &amp; Mechanisms'!$E$601:$I$631,HLOOKUP('Personalized Bill Menu'!$B$22, 'Misc. Data &amp; Mechanisms'!$E$599:$I$600, 2, FALSE), FALSE), 'Misc. Data &amp; Mechanisms'!$A$599:$C$659, 2, FALSE), FALSE) = "", "", VLOOKUP($A65, INDIRECT("'" &amp; 'Personalized Bill Menu'!$B$22 &amp; "'!" &amp;"$A$4:$CA$100"), VLOOKUP(VLOOKUP(P$5,'Misc. Data &amp; Mechanisms'!$E$601:$I$631,HLOOKUP('Personalized Bill Menu'!$B$22, 'Misc. Data &amp; Mechanisms'!$E$599:$I$600, 2, FALSE), FALSE), 'Misc. Data &amp; Mechanisms'!$A$599:$C$659, 2, FALSE), FALSE)), ""))</f>
        <v>1.9462999999999999</v>
      </c>
      <c r="Q65" s="72">
        <f t="shared" ca="1" si="10"/>
        <v>11.216657802025281</v>
      </c>
      <c r="R65" s="87">
        <f ca="1">IF($A65="", "",IFERROR(IF(VLOOKUP($A65, INDIRECT("'" &amp; 'Personalized Bill Menu'!$B$22 &amp; "'!" &amp;"$A$4:$CA$100"), VLOOKUP(VLOOKUP(R$5,'Misc. Data &amp; Mechanisms'!$E$601:$I$631,HLOOKUP('Personalized Bill Menu'!$B$22, 'Misc. Data &amp; Mechanisms'!$E$599:$I$600, 2, FALSE), FALSE), 'Misc. Data &amp; Mechanisms'!$A$599:$C$659, 2, FALSE), FALSE) = "", "", VLOOKUP($A65, INDIRECT("'" &amp; 'Personalized Bill Menu'!$B$22 &amp; "'!" &amp;"$A$4:$CA$100"), VLOOKUP(VLOOKUP(R$5,'Misc. Data &amp; Mechanisms'!$E$601:$I$631,HLOOKUP('Personalized Bill Menu'!$B$22, 'Misc. Data &amp; Mechanisms'!$E$599:$I$600, 2, FALSE), FALSE), 'Misc. Data &amp; Mechanisms'!$A$599:$C$659, 2, FALSE), FALSE)), ""))</f>
        <v>0.88959999999999995</v>
      </c>
      <c r="S65" s="88">
        <f ca="1">IF($A65="", "",IFERROR(IF(VLOOKUP($A65, INDIRECT("'" &amp; 'Personalized Bill Menu'!$B$22 &amp; "'!" &amp;"$A$4:$CA$100"), VLOOKUP(VLOOKUP(S$5,'Misc. Data &amp; Mechanisms'!$E$601:$I$631,HLOOKUP('Personalized Bill Menu'!$B$22, 'Misc. Data &amp; Mechanisms'!$E$599:$I$600, 2, FALSE), FALSE), 'Misc. Data &amp; Mechanisms'!$A$599:$C$659, 2, FALSE), FALSE) = "", "", VLOOKUP($A65, INDIRECT("'" &amp; 'Personalized Bill Menu'!$B$22 &amp; "'!" &amp;"$A$4:$CA$100"), VLOOKUP(VLOOKUP(S$5,'Misc. Data &amp; Mechanisms'!$E$601:$I$631,HLOOKUP('Personalized Bill Menu'!$B$22, 'Misc. Data &amp; Mechanisms'!$E$599:$I$600, 2, FALSE), FALSE), 'Misc. Data &amp; Mechanisms'!$A$599:$C$659, 2, FALSE), FALSE)), ""))</f>
        <v>0.42758699999999999</v>
      </c>
      <c r="T65" s="81" t="str">
        <f ca="1">IF($A65="", "",IFERROR(IF(VLOOKUP($A65, INDIRECT("'" &amp; 'Personalized Bill Menu'!$B$22 &amp; "'!" &amp;"$A$4:$CA$100"), VLOOKUP(VLOOKUP(T$5,'Misc. Data &amp; Mechanisms'!$E$601:$I$631,HLOOKUP('Personalized Bill Menu'!$B$22, 'Misc. Data &amp; Mechanisms'!$E$599:$I$600, 2, FALSE), FALSE), 'Misc. Data &amp; Mechanisms'!$A$599:$C$659, 2, FALSE), FALSE) = "", "", VLOOKUP($A65, INDIRECT("'" &amp; 'Personalized Bill Menu'!$B$22 &amp; "'!" &amp;"$A$4:$CA$100"), VLOOKUP(VLOOKUP(T$5,'Misc. Data &amp; Mechanisms'!$E$601:$I$631,HLOOKUP('Personalized Bill Menu'!$B$22, 'Misc. Data &amp; Mechanisms'!$E$599:$I$600, 2, FALSE), FALSE), 'Misc. Data &amp; Mechanisms'!$A$599:$C$659, 2, FALSE), FALSE)), ""))</f>
        <v/>
      </c>
      <c r="U65" s="72">
        <f t="shared" ca="1" si="11"/>
        <v>5.1268246317020454</v>
      </c>
      <c r="V65" s="72">
        <f t="shared" ca="1" si="12"/>
        <v>12.82761</v>
      </c>
      <c r="W65" s="70" t="str">
        <f t="shared" si="13"/>
        <v/>
      </c>
      <c r="X65" s="78">
        <f>IFERROR(IF(VLOOKUP($A65,'Misc. Data &amp; Mechanisms'!$A$63:$DY$152,HLOOKUP('Personalized Bill Menu'!$B$21&amp;"_"&amp;'Personalized Bill Menu'!$B$22&amp;"_Elec_Y_1",'Misc. Data &amp; Mechanisms'!$A$55:$DY$62,8,FALSE), FALSE)="", "", VLOOKUP($A65,'Misc. Data &amp; Mechanisms'!$A$63:$DY$152,HLOOKUP('Personalized Bill Menu'!$B$21&amp;"_"&amp;'Personalized Bill Menu'!$B$22&amp;"_Elec_Y_1",'Misc. Data &amp; Mechanisms'!$A$55:$DY$62,8,FALSE), FALSE)), "")</f>
        <v>0.1111</v>
      </c>
      <c r="Y65" s="78" t="str">
        <f>IFERROR(IF(VLOOKUP($A65,'Misc. Data &amp; Mechanisms'!$A$63:$DY$152,HLOOKUP('Personalized Bill Menu'!$B$21&amp;"_"&amp;'Personalized Bill Menu'!$B$22&amp;"_Elec_Y_2",'Misc. Data &amp; Mechanisms'!$A$55:$DY$62,8,FALSE), FALSE)="", "", VLOOKUP($A65,'Misc. Data &amp; Mechanisms'!$A$63:$DY$152,HLOOKUP('Personalized Bill Menu'!$B$21&amp;"_"&amp;'Personalized Bill Menu'!$B$22&amp;"_Elec_Y_2",'Misc. Data &amp; Mechanisms'!$A$55:$DY$62,8,FALSE), FALSE)), "")</f>
        <v/>
      </c>
      <c r="Z65" s="72">
        <f ca="1">IF($A65="", "",IFERROR(IF(OR('Personalized Bill Menu'!$B$22="FORTIS", 'Personalized Bill Menu'!$B$22="ATCO"), $X65*($H65+$I65), IF('Personalized Bill Menu'!$B$22="ENMAX",$X65*($H65+$I65+$K65),($X65/100)*$C65)), 0))</f>
        <v>3.0158684892192933</v>
      </c>
      <c r="AA65" s="72">
        <f>IF($A65="", "", IFERROR(IF(OR('Personalized Bill Menu'!$B$22="FORTIS", 'Personalized Bill Menu'!$B$22="ATCO"), $Y65*($H65+$I65), IF('Personalized Bill Menu'!$B$22="ENMAX",$X65*$G65,"")), 0))</f>
        <v>2.440350889704368</v>
      </c>
      <c r="AB65" s="89">
        <f ca="1">IF($A65="", "",IFERROR(IF(VLOOKUP($A65, INDIRECT("'" &amp; 'Personalized Bill Menu'!$B$22 &amp; "'!" &amp;"$A$4:$CA$100"), VLOOKUP(VLOOKUP("RIDER RATE 1",'Misc. Data &amp; Mechanisms'!$E$601:$I$631,HLOOKUP('Personalized Bill Menu'!$B$22, 'Misc. Data &amp; Mechanisms'!$E$599:$I$600, 2, FALSE), FALSE), 'Misc. Data &amp; Mechanisms'!$A$599:$C$659, 2, FALSE), FALSE) = "", "", VLOOKUP($A65, INDIRECT("'" &amp; 'Personalized Bill Menu'!$B$22 &amp; "'!" &amp;"$A$4:$CA$100"), VLOOKUP(VLOOKUP("RIDER RATE 1",'Misc. Data &amp; Mechanisms'!$E$601:$I$631,HLOOKUP('Personalized Bill Menu'!$B$22, 'Misc. Data &amp; Mechanisms'!$E$599:$I$600, 2, FALSE), FALSE), 'Misc. Data &amp; Mechanisms'!$A$599:$C$659, 2, FALSE), FALSE)), ""))</f>
        <v>-0.33339999999999997</v>
      </c>
      <c r="AC65" s="69">
        <f ca="1">IF($A65="", "",IFERROR(IF(VLOOKUP($A65, INDIRECT("'" &amp; 'Personalized Bill Menu'!$B$22 &amp; "'!" &amp;"$A$4:$CA$100"), VLOOKUP(VLOOKUP("RIDER RATE 2",'Misc. Data &amp; Mechanisms'!$E$601:$I$631,HLOOKUP('Personalized Bill Menu'!$B$22, 'Misc. Data &amp; Mechanisms'!$E$599:$I$600, 2, FALSE), FALSE), 'Misc. Data &amp; Mechanisms'!$A$599:$C$659, 2, FALSE), FALSE) = "", "", VLOOKUP($A65, INDIRECT("'" &amp; 'Personalized Bill Menu'!$B$22 &amp; "'!" &amp;"$A$4:$CA$100"), VLOOKUP(VLOOKUP("RIDER RATE 2",'Misc. Data &amp; Mechanisms'!$E$601:$I$631,HLOOKUP('Personalized Bill Menu'!$B$22, 'Misc. Data &amp; Mechanisms'!$E$599:$I$600, 2, FALSE), FALSE), 'Misc. Data &amp; Mechanisms'!$A$599:$C$659, 2, FALSE), FALSE)), ""))</f>
        <v>0.5181</v>
      </c>
      <c r="AD65" s="69" t="str">
        <f ca="1">IF($A65="", "",IFERROR(IF(VLOOKUP($A65, INDIRECT("'" &amp; 'Personalized Bill Menu'!$B$22 &amp; "'!" &amp;"$A$4:$CA$100"), VLOOKUP(VLOOKUP("RIDER RATE 3",'Misc. Data &amp; Mechanisms'!$E$601:$I$631,HLOOKUP('Personalized Bill Menu'!$B$22, 'Misc. Data &amp; Mechanisms'!$E$599:$I$600, 2, FALSE), FALSE), 'Misc. Data &amp; Mechanisms'!$A$599:$C$659, 2, FALSE), FALSE) = "", "", VLOOKUP($A65, INDIRECT("'" &amp; 'Personalized Bill Menu'!$B$22 &amp; "'!" &amp;"$A$4:$CA$100"), VLOOKUP(VLOOKUP("RIDER RATE 3",'Misc. Data &amp; Mechanisms'!$E$601:$I$631,HLOOKUP('Personalized Bill Menu'!$B$22, 'Misc. Data &amp; Mechanisms'!$E$599:$I$600, 2, FALSE), FALSE), 'Misc. Data &amp; Mechanisms'!$A$599:$C$659, 2, FALSE), FALSE)), ""))</f>
        <v/>
      </c>
      <c r="AE65" s="69">
        <f ca="1">IF($A65="", "",IFERROR(IF(VLOOKUP($A65, INDIRECT("'" &amp; 'Personalized Bill Menu'!$B$22 &amp; "'!" &amp;"$A$4:$CA$100"), VLOOKUP(VLOOKUP("RIDER RATE 4",'Misc. Data &amp; Mechanisms'!$E$601:$I$631,HLOOKUP('Personalized Bill Menu'!$B$22, 'Misc. Data &amp; Mechanisms'!$E$599:$I$600, 2, FALSE), FALSE), 'Misc. Data &amp; Mechanisms'!$A$599:$C$659, 2, FALSE), FALSE) = "", "", VLOOKUP($A65, INDIRECT("'" &amp; 'Personalized Bill Menu'!$B$22 &amp; "'!" &amp;"$A$4:$CA$100"), VLOOKUP(VLOOKUP("RIDER RATE 4",'Misc. Data &amp; Mechanisms'!$E$601:$I$631,HLOOKUP('Personalized Bill Menu'!$B$22, 'Misc. Data &amp; Mechanisms'!$E$599:$I$600, 2, FALSE), FALSE), 'Misc. Data &amp; Mechanisms'!$A$599:$C$659, 2, FALSE), FALSE)), ""))</f>
        <v>-0.10299999999999999</v>
      </c>
      <c r="AF65" s="90" t="str">
        <f ca="1">IF($A65="", "",IFERROR(IF(VLOOKUP($A65, INDIRECT("'" &amp; 'Personalized Bill Menu'!$B$22 &amp; "'!" &amp;"$A$4:$CA$100"), VLOOKUP(VLOOKUP("RIDER RATE 5",'Misc. Data &amp; Mechanisms'!$E$601:$I$631,HLOOKUP('Personalized Bill Menu'!$B$22, 'Misc. Data &amp; Mechanisms'!$E$599:$I$600, 2, FALSE), FALSE), 'Misc. Data &amp; Mechanisms'!$A$599:$C$659, 2, FALSE), FALSE) = "", "", VLOOKUP($A65, INDIRECT("'" &amp; 'Personalized Bill Menu'!$B$22 &amp; "'!" &amp;"$A$4:$CA$100"), VLOOKUP(VLOOKUP("RIDER RATE 5",'Misc. Data &amp; Mechanisms'!$E$601:$I$631,HLOOKUP('Personalized Bill Menu'!$B$22, 'Misc. Data &amp; Mechanisms'!$E$599:$I$600, 2, FALSE), FALSE), 'Misc. Data &amp; Mechanisms'!$A$599:$C$659, 2, FALSE), FALSE)), ""))</f>
        <v/>
      </c>
      <c r="AG65" s="90" t="str">
        <f ca="1">IF($A65="", "",IFERROR(IF(VLOOKUP($A65, INDIRECT("'" &amp; 'Personalized Bill Menu'!$B$22 &amp; "'!" &amp;"$A$4:$CA$100"), VLOOKUP(VLOOKUP("RIDER RATE 6",'Misc. Data &amp; Mechanisms'!$E$601:$I$631,HLOOKUP('Personalized Bill Menu'!$B$22, 'Misc. Data &amp; Mechanisms'!$E$599:$I$600, 2, FALSE), FALSE), 'Misc. Data &amp; Mechanisms'!$A$599:$C$659, 2, FALSE), FALSE) = "", "", VLOOKUP($A65, INDIRECT("'" &amp; 'Personalized Bill Menu'!$B$22 &amp; "'!" &amp;"$A$4:$CA$100"), VLOOKUP(VLOOKUP("RIDER RATE 6",'Misc. Data &amp; Mechanisms'!$E$601:$I$631,HLOOKUP('Personalized Bill Menu'!$B$22, 'Misc. Data &amp; Mechanisms'!$E$599:$I$600, 2, FALSE), FALSE), 'Misc. Data &amp; Mechanisms'!$A$599:$C$659, 2, FALSE), FALSE)), ""))</f>
        <v/>
      </c>
      <c r="AH65" s="90" t="str">
        <f ca="1">IF($A65="", "",IFERROR(IF(VLOOKUP($A65, INDIRECT("'" &amp; 'Personalized Bill Menu'!$B$22 &amp; "'!" &amp;"$A$4:$CA$100"), VLOOKUP(VLOOKUP("RIDER RATE 7",'Misc. Data &amp; Mechanisms'!$E$601:$I$631,HLOOKUP('Personalized Bill Menu'!$B$22, 'Misc. Data &amp; Mechanisms'!$E$599:$I$600, 2, FALSE), FALSE), 'Misc. Data &amp; Mechanisms'!$A$599:$C$659, 2, FALSE), FALSE) = "", "", VLOOKUP($A65, INDIRECT("'" &amp; 'Personalized Bill Menu'!$B$22 &amp; "'!" &amp;"$A$4:$CA$100"), VLOOKUP(VLOOKUP("RIDER RATE 7",'Misc. Data &amp; Mechanisms'!$E$601:$I$631,HLOOKUP('Personalized Bill Menu'!$B$22, 'Misc. Data &amp; Mechanisms'!$E$599:$I$600, 2, FALSE), FALSE), 'Misc. Data &amp; Mechanisms'!$A$599:$C$659, 2, FALSE), FALSE)), ""))</f>
        <v/>
      </c>
      <c r="AI65" s="72">
        <f t="shared" ca="1" si="14"/>
        <v>-1.9214066234368952</v>
      </c>
      <c r="AJ65" s="72">
        <f t="shared" ca="1" si="15"/>
        <v>2.9858451457788102</v>
      </c>
      <c r="AK65" s="72">
        <f ca="1">IF($A65="", "", IFERROR(IF($AD$6="%",IF('Personalized Bill Menu'!$B$22="ENMAX", $AD65*$I65, IF(AND($AD65="", 'Personalized Bill Menu'!$B$22="FORTIS"),($AE65/100)*$C65,$AD65*$H65)),($AD65/100)*$C65), 0))</f>
        <v>0</v>
      </c>
      <c r="AL65" s="72">
        <f ca="1">IF($A65="", "", IFERROR(IF('Personalized Bill Menu'!$B$22="ENMAX",$AE65*$B65,IF($AE$6="%",$AE65*($H65+$I65+$J65), IF('Personalized Bill Menu'!$B$22="FORTIS",$AF65*$I65,($AE65/100)*$C65))), 0))</f>
        <v>-3.09</v>
      </c>
      <c r="AM65" s="72" t="str">
        <f>IF($A65="", "", IFERROR(IF('Personalized Bill Menu'!$B$22="EPCOR",($AF65/100)*$C65, IF('Personalized Bill Menu'!$B$22="ATCO",$AF65*1,"")), 0))</f>
        <v/>
      </c>
      <c r="AN65" s="72" t="str">
        <f>IF($A65="", "", IFERROR(IF('Personalized Bill Menu'!$B$22="ATCO",$AG65*$B65,""), 0))</f>
        <v/>
      </c>
      <c r="AO65" s="70" t="str">
        <f>IF($A65="", "", IFERROR(IF('Personalized Bill Menu'!$B$22="ATCO",$AH65*$B65,""), 0))</f>
        <v/>
      </c>
      <c r="AP65" s="81">
        <f>IF('Personalized Bill Menu'!$B$34&lt;&gt;"Natural Gas", 'Personalized Bill Menu'!$K62, "")</f>
        <v>0.2064</v>
      </c>
      <c r="AQ65" s="72">
        <f t="shared" si="16"/>
        <v>6.1920000000000002</v>
      </c>
      <c r="AR65" s="91">
        <f ca="1">IF($A65="", "",IF(VLOOKUP($A65, INDIRECT("'" &amp; 'Personalized Bill Menu'!$B$22 &amp; "'!" &amp;"$A$4:$CA$100"), VLOOKUP(VLOOKUP(AR$5,'Misc. Data &amp; Mechanisms'!$E$601:$I$631,HLOOKUP('Personalized Bill Menu'!$B$22, 'Misc. Data &amp; Mechanisms'!$E$599:$I$600, 2, FALSE), FALSE), 'Misc. Data &amp; Mechanisms'!$A$599:$C$659, 2, FALSE), FALSE) = "", "", VLOOKUP($A65, INDIRECT("'" &amp; 'Personalized Bill Menu'!$B$22 &amp; "'!" &amp;"$A$4:$CA$100"), VLOOKUP(VLOOKUP(AR$5,'Misc. Data &amp; Mechanisms'!$E$601:$I$631,HLOOKUP('Personalized Bill Menu'!$B$22, 'Misc. Data &amp; Mechanisms'!$E$599:$I$600, 2, FALSE), FALSE), 'Misc. Data &amp; Mechanisms'!$A$599:$C$659, 2, FALSE), FALSE)))</f>
        <v>0.05</v>
      </c>
    </row>
    <row r="66" spans="1:44" x14ac:dyDescent="0.35">
      <c r="A66" s="83">
        <f>'Personalized Bill Menu'!$H63</f>
        <v>42705</v>
      </c>
      <c r="B66" s="84">
        <f t="shared" si="0"/>
        <v>31</v>
      </c>
      <c r="C66" s="85">
        <f>IF('Personalized Bill Menu'!$B$34&lt;&gt;"Natural Gas", 'Personalized Bill Menu'!$I63, "")</f>
        <v>758.93857168514921</v>
      </c>
      <c r="D66" s="66">
        <f t="shared" ca="1" si="17"/>
        <v>10.817572254357174</v>
      </c>
      <c r="E66" s="66">
        <f ca="1">IFERROR((1+$AR66)*(IF('Personalized Bill Menu'!$B$22="ENMAX", ((1+IFERROR($X66, 0))*($N66+$P66+$R66+$AB66+$AC66))+((1+IF($X66="", 0,$X66))*(IF($AD66="", 0,$AD66)*$R66)), IF('Personalized Bill Menu'!$B$22="EPCOR", ($N66+$P66+$R66+$X66+SUM($AB66:$AE66)), IF('Personalized Bill Menu'!$B$22="ATCO",($N66+((1+IF($AE66="", 0,$AE66))*(1+$X66+$Y66)*($P66+$R66))+SUM($AB66:$AD66)),IF($AD66="",$N66+((1+$X66+$Y66)*($P66+$R66))+$AB66+$AE66+(IF($AC66="", 0, $AC66)*$P66)+($R66*IF($AF66="", 0, $AF66)),$N66+((1+$X66+$Y66)*($P66+$R66))+$AB66+($AD66*$P66)+(IF($AC66="", 0, $AC66)*$P66)+($R66*IF($AF66="", 0, $AF66))))))), "")</f>
        <v>8.3855661435000002</v>
      </c>
      <c r="F66" s="1469">
        <f t="shared" ca="1" si="1"/>
        <v>82.098728358227334</v>
      </c>
      <c r="G66" s="66">
        <f t="shared" si="2"/>
        <v>31.625729220691849</v>
      </c>
      <c r="H66" s="66">
        <f t="shared" ca="1" si="3"/>
        <v>14.771221420708057</v>
      </c>
      <c r="I66" s="66">
        <f t="shared" ca="1" si="4"/>
        <v>20.006714533711087</v>
      </c>
      <c r="J66" s="66">
        <f t="shared" ca="1" si="5"/>
        <v>7.1784403860601964</v>
      </c>
      <c r="K66" s="66">
        <f t="shared" ca="1" si="6"/>
        <v>-1.791240458097529</v>
      </c>
      <c r="L66" s="66">
        <f t="shared" si="7"/>
        <v>6.3983999999999996</v>
      </c>
      <c r="M66" s="68">
        <f t="shared" ca="1" si="8"/>
        <v>3.9094632551536828</v>
      </c>
      <c r="N66" s="69">
        <f>IF('Personalized Bill Menu'!$B$34&lt;&gt;"Natural Gas", 'Personalized Bill Menu'!$J63, "")</f>
        <v>4.1670999999999996</v>
      </c>
      <c r="O66" s="70">
        <f t="shared" si="9"/>
        <v>31.625729220691849</v>
      </c>
      <c r="P66" s="71">
        <f ca="1">IF($A66="", "",IFERROR(IF(VLOOKUP($A66, INDIRECT("'" &amp; 'Personalized Bill Menu'!$B$22 &amp; "'!" &amp;"$A$4:$CA$100"), VLOOKUP(VLOOKUP(P$5,'Misc. Data &amp; Mechanisms'!$E$601:$I$631,HLOOKUP('Personalized Bill Menu'!$B$22, 'Misc. Data &amp; Mechanisms'!$E$599:$I$600, 2, FALSE), FALSE), 'Misc. Data &amp; Mechanisms'!$A$599:$C$659, 2, FALSE), FALSE) = "", "", VLOOKUP($A66, INDIRECT("'" &amp; 'Personalized Bill Menu'!$B$22 &amp; "'!" &amp;"$A$4:$CA$100"), VLOOKUP(VLOOKUP(P$5,'Misc. Data &amp; Mechanisms'!$E$601:$I$631,HLOOKUP('Personalized Bill Menu'!$B$22, 'Misc. Data &amp; Mechanisms'!$E$599:$I$600, 2, FALSE), FALSE), 'Misc. Data &amp; Mechanisms'!$A$599:$C$659, 2, FALSE), FALSE)), ""))</f>
        <v>1.9462999999999999</v>
      </c>
      <c r="Q66" s="72">
        <f t="shared" ca="1" si="10"/>
        <v>14.771221420708057</v>
      </c>
      <c r="R66" s="87">
        <f ca="1">IF($A66="", "",IFERROR(IF(VLOOKUP($A66, INDIRECT("'" &amp; 'Personalized Bill Menu'!$B$22 &amp; "'!" &amp;"$A$4:$CA$100"), VLOOKUP(VLOOKUP(R$5,'Misc. Data &amp; Mechanisms'!$E$601:$I$631,HLOOKUP('Personalized Bill Menu'!$B$22, 'Misc. Data &amp; Mechanisms'!$E$599:$I$600, 2, FALSE), FALSE), 'Misc. Data &amp; Mechanisms'!$A$599:$C$659, 2, FALSE), FALSE) = "", "", VLOOKUP($A66, INDIRECT("'" &amp; 'Personalized Bill Menu'!$B$22 &amp; "'!" &amp;"$A$4:$CA$100"), VLOOKUP(VLOOKUP(R$5,'Misc. Data &amp; Mechanisms'!$E$601:$I$631,HLOOKUP('Personalized Bill Menu'!$B$22, 'Misc. Data &amp; Mechanisms'!$E$599:$I$600, 2, FALSE), FALSE), 'Misc. Data &amp; Mechanisms'!$A$599:$C$659, 2, FALSE), FALSE)), ""))</f>
        <v>0.88959999999999995</v>
      </c>
      <c r="S66" s="88">
        <f ca="1">IF($A66="", "",IFERROR(IF(VLOOKUP($A66, INDIRECT("'" &amp; 'Personalized Bill Menu'!$B$22 &amp; "'!" &amp;"$A$4:$CA$100"), VLOOKUP(VLOOKUP(S$5,'Misc. Data &amp; Mechanisms'!$E$601:$I$631,HLOOKUP('Personalized Bill Menu'!$B$22, 'Misc. Data &amp; Mechanisms'!$E$599:$I$600, 2, FALSE), FALSE), 'Misc. Data &amp; Mechanisms'!$A$599:$C$659, 2, FALSE), FALSE) = "", "", VLOOKUP($A66, INDIRECT("'" &amp; 'Personalized Bill Menu'!$B$22 &amp; "'!" &amp;"$A$4:$CA$100"), VLOOKUP(VLOOKUP(S$5,'Misc. Data &amp; Mechanisms'!$E$601:$I$631,HLOOKUP('Personalized Bill Menu'!$B$22, 'Misc. Data &amp; Mechanisms'!$E$599:$I$600, 2, FALSE), FALSE), 'Misc. Data &amp; Mechanisms'!$A$599:$C$659, 2, FALSE), FALSE)), ""))</f>
        <v>0.42758699999999999</v>
      </c>
      <c r="T66" s="81" t="str">
        <f ca="1">IF($A66="", "",IFERROR(IF(VLOOKUP($A66, INDIRECT("'" &amp; 'Personalized Bill Menu'!$B$22 &amp; "'!" &amp;"$A$4:$CA$100"), VLOOKUP(VLOOKUP(T$5,'Misc. Data &amp; Mechanisms'!$E$601:$I$631,HLOOKUP('Personalized Bill Menu'!$B$22, 'Misc. Data &amp; Mechanisms'!$E$599:$I$600, 2, FALSE), FALSE), 'Misc. Data &amp; Mechanisms'!$A$599:$C$659, 2, FALSE), FALSE) = "", "", VLOOKUP($A66, INDIRECT("'" &amp; 'Personalized Bill Menu'!$B$22 &amp; "'!" &amp;"$A$4:$CA$100"), VLOOKUP(VLOOKUP(T$5,'Misc. Data &amp; Mechanisms'!$E$601:$I$631,HLOOKUP('Personalized Bill Menu'!$B$22, 'Misc. Data &amp; Mechanisms'!$E$599:$I$600, 2, FALSE), FALSE), 'Misc. Data &amp; Mechanisms'!$A$599:$C$659, 2, FALSE), FALSE)), ""))</f>
        <v/>
      </c>
      <c r="U66" s="72">
        <f t="shared" ca="1" si="11"/>
        <v>6.7515175337110866</v>
      </c>
      <c r="V66" s="72">
        <f t="shared" ca="1" si="12"/>
        <v>13.255196999999999</v>
      </c>
      <c r="W66" s="70" t="str">
        <f t="shared" si="13"/>
        <v/>
      </c>
      <c r="X66" s="78">
        <f>IFERROR(IF(VLOOKUP($A66,'Misc. Data &amp; Mechanisms'!$A$63:$DY$152,HLOOKUP('Personalized Bill Menu'!$B$21&amp;"_"&amp;'Personalized Bill Menu'!$B$22&amp;"_Elec_Y_1",'Misc. Data &amp; Mechanisms'!$A$55:$DY$62,8,FALSE), FALSE)="", "", VLOOKUP($A66,'Misc. Data &amp; Mechanisms'!$A$63:$DY$152,HLOOKUP('Personalized Bill Menu'!$B$21&amp;"_"&amp;'Personalized Bill Menu'!$B$22&amp;"_Elec_Y_1",'Misc. Data &amp; Mechanisms'!$A$55:$DY$62,8,FALSE), FALSE)), "")</f>
        <v>0.1111</v>
      </c>
      <c r="Y66" s="78" t="str">
        <f>IFERROR(IF(VLOOKUP($A66,'Misc. Data &amp; Mechanisms'!$A$63:$DY$152,HLOOKUP('Personalized Bill Menu'!$B$21&amp;"_"&amp;'Personalized Bill Menu'!$B$22&amp;"_Elec_Y_2",'Misc. Data &amp; Mechanisms'!$A$55:$DY$62,8,FALSE), FALSE)="", "", VLOOKUP($A66,'Misc. Data &amp; Mechanisms'!$A$63:$DY$152,HLOOKUP('Personalized Bill Menu'!$B$21&amp;"_"&amp;'Personalized Bill Menu'!$B$22&amp;"_Elec_Y_2",'Misc. Data &amp; Mechanisms'!$A$55:$DY$62,8,FALSE), FALSE)), "")</f>
        <v/>
      </c>
      <c r="Z66" s="72">
        <f ca="1">IF($A66="", "",IFERROR(IF(OR('Personalized Bill Menu'!$B$22="FORTIS", 'Personalized Bill Menu'!$B$22="ATCO"), $X66*($H66+$I66), IF('Personalized Bill Menu'!$B$22="ENMAX",$X66*($H66+$I66+$K66),($X66/100)*$C66)), 0))</f>
        <v>3.6648218696413317</v>
      </c>
      <c r="AA66" s="72">
        <f>IF($A66="", "", IFERROR(IF(OR('Personalized Bill Menu'!$B$22="FORTIS", 'Personalized Bill Menu'!$B$22="ATCO"), $Y66*($H66+$I66), IF('Personalized Bill Menu'!$B$22="ENMAX",$X66*$G66,"")), 0))</f>
        <v>3.5136185164188647</v>
      </c>
      <c r="AB66" s="89">
        <f ca="1">IF($A66="", "",IFERROR(IF(VLOOKUP($A66, INDIRECT("'" &amp; 'Personalized Bill Menu'!$B$22 &amp; "'!" &amp;"$A$4:$CA$100"), VLOOKUP(VLOOKUP("RIDER RATE 1",'Misc. Data &amp; Mechanisms'!$E$601:$I$631,HLOOKUP('Personalized Bill Menu'!$B$22, 'Misc. Data &amp; Mechanisms'!$E$599:$I$600, 2, FALSE), FALSE), 'Misc. Data &amp; Mechanisms'!$A$599:$C$659, 2, FALSE), FALSE) = "", "", VLOOKUP($A66, INDIRECT("'" &amp; 'Personalized Bill Menu'!$B$22 &amp; "'!" &amp;"$A$4:$CA$100"), VLOOKUP(VLOOKUP("RIDER RATE 1",'Misc. Data &amp; Mechanisms'!$E$601:$I$631,HLOOKUP('Personalized Bill Menu'!$B$22, 'Misc. Data &amp; Mechanisms'!$E$599:$I$600, 2, FALSE), FALSE), 'Misc. Data &amp; Mechanisms'!$A$599:$C$659, 2, FALSE), FALSE)), ""))</f>
        <v>-0.33339999999999997</v>
      </c>
      <c r="AC66" s="69">
        <f ca="1">IF($A66="", "",IFERROR(IF(VLOOKUP($A66, INDIRECT("'" &amp; 'Personalized Bill Menu'!$B$22 &amp; "'!" &amp;"$A$4:$CA$100"), VLOOKUP(VLOOKUP("RIDER RATE 2",'Misc. Data &amp; Mechanisms'!$E$601:$I$631,HLOOKUP('Personalized Bill Menu'!$B$22, 'Misc. Data &amp; Mechanisms'!$E$599:$I$600, 2, FALSE), FALSE), 'Misc. Data &amp; Mechanisms'!$A$599:$C$659, 2, FALSE), FALSE) = "", "", VLOOKUP($A66, INDIRECT("'" &amp; 'Personalized Bill Menu'!$B$22 &amp; "'!" &amp;"$A$4:$CA$100"), VLOOKUP(VLOOKUP("RIDER RATE 2",'Misc. Data &amp; Mechanisms'!$E$601:$I$631,HLOOKUP('Personalized Bill Menu'!$B$22, 'Misc. Data &amp; Mechanisms'!$E$599:$I$600, 2, FALSE), FALSE), 'Misc. Data &amp; Mechanisms'!$A$599:$C$659, 2, FALSE), FALSE)), ""))</f>
        <v>0.5181</v>
      </c>
      <c r="AD66" s="69" t="str">
        <f ca="1">IF($A66="", "",IFERROR(IF(VLOOKUP($A66, INDIRECT("'" &amp; 'Personalized Bill Menu'!$B$22 &amp; "'!" &amp;"$A$4:$CA$100"), VLOOKUP(VLOOKUP("RIDER RATE 3",'Misc. Data &amp; Mechanisms'!$E$601:$I$631,HLOOKUP('Personalized Bill Menu'!$B$22, 'Misc. Data &amp; Mechanisms'!$E$599:$I$600, 2, FALSE), FALSE), 'Misc. Data &amp; Mechanisms'!$A$599:$C$659, 2, FALSE), FALSE) = "", "", VLOOKUP($A66, INDIRECT("'" &amp; 'Personalized Bill Menu'!$B$22 &amp; "'!" &amp;"$A$4:$CA$100"), VLOOKUP(VLOOKUP("RIDER RATE 3",'Misc. Data &amp; Mechanisms'!$E$601:$I$631,HLOOKUP('Personalized Bill Menu'!$B$22, 'Misc. Data &amp; Mechanisms'!$E$599:$I$600, 2, FALSE), FALSE), 'Misc. Data &amp; Mechanisms'!$A$599:$C$659, 2, FALSE), FALSE)), ""))</f>
        <v/>
      </c>
      <c r="AE66" s="69">
        <f ca="1">IF($A66="", "",IFERROR(IF(VLOOKUP($A66, INDIRECT("'" &amp; 'Personalized Bill Menu'!$B$22 &amp; "'!" &amp;"$A$4:$CA$100"), VLOOKUP(VLOOKUP("RIDER RATE 4",'Misc. Data &amp; Mechanisms'!$E$601:$I$631,HLOOKUP('Personalized Bill Menu'!$B$22, 'Misc. Data &amp; Mechanisms'!$E$599:$I$600, 2, FALSE), FALSE), 'Misc. Data &amp; Mechanisms'!$A$599:$C$659, 2, FALSE), FALSE) = "", "", VLOOKUP($A66, INDIRECT("'" &amp; 'Personalized Bill Menu'!$B$22 &amp; "'!" &amp;"$A$4:$CA$100"), VLOOKUP(VLOOKUP("RIDER RATE 4",'Misc. Data &amp; Mechanisms'!$E$601:$I$631,HLOOKUP('Personalized Bill Menu'!$B$22, 'Misc. Data &amp; Mechanisms'!$E$599:$I$600, 2, FALSE), FALSE), 'Misc. Data &amp; Mechanisms'!$A$599:$C$659, 2, FALSE), FALSE)), ""))</f>
        <v>-0.10299999999999999</v>
      </c>
      <c r="AF66" s="90" t="str">
        <f ca="1">IF($A66="", "",IFERROR(IF(VLOOKUP($A66, INDIRECT("'" &amp; 'Personalized Bill Menu'!$B$22 &amp; "'!" &amp;"$A$4:$CA$100"), VLOOKUP(VLOOKUP("RIDER RATE 5",'Misc. Data &amp; Mechanisms'!$E$601:$I$631,HLOOKUP('Personalized Bill Menu'!$B$22, 'Misc. Data &amp; Mechanisms'!$E$599:$I$600, 2, FALSE), FALSE), 'Misc. Data &amp; Mechanisms'!$A$599:$C$659, 2, FALSE), FALSE) = "", "", VLOOKUP($A66, INDIRECT("'" &amp; 'Personalized Bill Menu'!$B$22 &amp; "'!" &amp;"$A$4:$CA$100"), VLOOKUP(VLOOKUP("RIDER RATE 5",'Misc. Data &amp; Mechanisms'!$E$601:$I$631,HLOOKUP('Personalized Bill Menu'!$B$22, 'Misc. Data &amp; Mechanisms'!$E$599:$I$600, 2, FALSE), FALSE), 'Misc. Data &amp; Mechanisms'!$A$599:$C$659, 2, FALSE), FALSE)), ""))</f>
        <v/>
      </c>
      <c r="AG66" s="90" t="str">
        <f ca="1">IF($A66="", "",IFERROR(IF(VLOOKUP($A66, INDIRECT("'" &amp; 'Personalized Bill Menu'!$B$22 &amp; "'!" &amp;"$A$4:$CA$100"), VLOOKUP(VLOOKUP("RIDER RATE 6",'Misc. Data &amp; Mechanisms'!$E$601:$I$631,HLOOKUP('Personalized Bill Menu'!$B$22, 'Misc. Data &amp; Mechanisms'!$E$599:$I$600, 2, FALSE), FALSE), 'Misc. Data &amp; Mechanisms'!$A$599:$C$659, 2, FALSE), FALSE) = "", "", VLOOKUP($A66, INDIRECT("'" &amp; 'Personalized Bill Menu'!$B$22 &amp; "'!" &amp;"$A$4:$CA$100"), VLOOKUP(VLOOKUP("RIDER RATE 6",'Misc. Data &amp; Mechanisms'!$E$601:$I$631,HLOOKUP('Personalized Bill Menu'!$B$22, 'Misc. Data &amp; Mechanisms'!$E$599:$I$600, 2, FALSE), FALSE), 'Misc. Data &amp; Mechanisms'!$A$599:$C$659, 2, FALSE), FALSE)), ""))</f>
        <v/>
      </c>
      <c r="AH66" s="90" t="str">
        <f ca="1">IF($A66="", "",IFERROR(IF(VLOOKUP($A66, INDIRECT("'" &amp; 'Personalized Bill Menu'!$B$22 &amp; "'!" &amp;"$A$4:$CA$100"), VLOOKUP(VLOOKUP("RIDER RATE 7",'Misc. Data &amp; Mechanisms'!$E$601:$I$631,HLOOKUP('Personalized Bill Menu'!$B$22, 'Misc. Data &amp; Mechanisms'!$E$599:$I$600, 2, FALSE), FALSE), 'Misc. Data &amp; Mechanisms'!$A$599:$C$659, 2, FALSE), FALSE) = "", "", VLOOKUP($A66, INDIRECT("'" &amp; 'Personalized Bill Menu'!$B$22 &amp; "'!" &amp;"$A$4:$CA$100"), VLOOKUP(VLOOKUP("RIDER RATE 7",'Misc. Data &amp; Mechanisms'!$E$601:$I$631,HLOOKUP('Personalized Bill Menu'!$B$22, 'Misc. Data &amp; Mechanisms'!$E$599:$I$600, 2, FALSE), FALSE), 'Misc. Data &amp; Mechanisms'!$A$599:$C$659, 2, FALSE), FALSE)), ""))</f>
        <v/>
      </c>
      <c r="AI66" s="72">
        <f t="shared" ca="1" si="14"/>
        <v>-2.5303011979982872</v>
      </c>
      <c r="AJ66" s="72">
        <f t="shared" ca="1" si="15"/>
        <v>3.9320607399007579</v>
      </c>
      <c r="AK66" s="72">
        <f ca="1">IF($A66="", "", IFERROR(IF($AD$6="%",IF('Personalized Bill Menu'!$B$22="ENMAX", $AD66*$I66, IF(AND($AD66="", 'Personalized Bill Menu'!$B$22="FORTIS"),($AE66/100)*$C66,$AD66*$H66)),($AD66/100)*$C66), 0))</f>
        <v>0</v>
      </c>
      <c r="AL66" s="72">
        <f ca="1">IF($A66="", "", IFERROR(IF('Personalized Bill Menu'!$B$22="ENMAX",$AE66*$B66,IF($AE$6="%",$AE66*($H66+$I66+$J66), IF('Personalized Bill Menu'!$B$22="FORTIS",$AF66*$I66,($AE66/100)*$C66))), 0))</f>
        <v>-3.1929999999999996</v>
      </c>
      <c r="AM66" s="72" t="str">
        <f>IF($A66="", "", IFERROR(IF('Personalized Bill Menu'!$B$22="EPCOR",($AF66/100)*$C66, IF('Personalized Bill Menu'!$B$22="ATCO",$AF66*1,"")), 0))</f>
        <v/>
      </c>
      <c r="AN66" s="72" t="str">
        <f>IF($A66="", "", IFERROR(IF('Personalized Bill Menu'!$B$22="ATCO",$AG66*$B66,""), 0))</f>
        <v/>
      </c>
      <c r="AO66" s="70" t="str">
        <f>IF($A66="", "", IFERROR(IF('Personalized Bill Menu'!$B$22="ATCO",$AH66*$B66,""), 0))</f>
        <v/>
      </c>
      <c r="AP66" s="81">
        <f>IF('Personalized Bill Menu'!$B$34&lt;&gt;"Natural Gas", 'Personalized Bill Menu'!$K63, "")</f>
        <v>0.2064</v>
      </c>
      <c r="AQ66" s="72">
        <f t="shared" si="16"/>
        <v>6.3983999999999996</v>
      </c>
      <c r="AR66" s="91">
        <f ca="1">IF($A66="", "",IF(VLOOKUP($A66, INDIRECT("'" &amp; 'Personalized Bill Menu'!$B$22 &amp; "'!" &amp;"$A$4:$CA$100"), VLOOKUP(VLOOKUP(AR$5,'Misc. Data &amp; Mechanisms'!$E$601:$I$631,HLOOKUP('Personalized Bill Menu'!$B$22, 'Misc. Data &amp; Mechanisms'!$E$599:$I$600, 2, FALSE), FALSE), 'Misc. Data &amp; Mechanisms'!$A$599:$C$659, 2, FALSE), FALSE) = "", "", VLOOKUP($A66, INDIRECT("'" &amp; 'Personalized Bill Menu'!$B$22 &amp; "'!" &amp;"$A$4:$CA$100"), VLOOKUP(VLOOKUP(AR$5,'Misc. Data &amp; Mechanisms'!$E$601:$I$631,HLOOKUP('Personalized Bill Menu'!$B$22, 'Misc. Data &amp; Mechanisms'!$E$599:$I$600, 2, FALSE), FALSE), 'Misc. Data &amp; Mechanisms'!$A$599:$C$659, 2, FALSE), FALSE)))</f>
        <v>0.05</v>
      </c>
    </row>
    <row r="67" spans="1:44" x14ac:dyDescent="0.35">
      <c r="A67" s="83">
        <f>'Personalized Bill Menu'!$H64</f>
        <v>42736</v>
      </c>
      <c r="B67" s="84">
        <f t="shared" si="0"/>
        <v>31</v>
      </c>
      <c r="C67" s="85">
        <f>IF('Personalized Bill Menu'!$B$34&lt;&gt;"Natural Gas", 'Personalized Bill Menu'!$I64, "")</f>
        <v>647.80149995356771</v>
      </c>
      <c r="D67" s="66">
        <f t="shared" ca="1" si="17"/>
        <v>12.530483635944698</v>
      </c>
      <c r="E67" s="66">
        <f ca="1">IFERROR((1+$AR67)*(IF('Personalized Bill Menu'!$B$22="ENMAX", ((1+IFERROR($X67, 0))*($N67+$P67+$R67+$AB67+$AC67))+((1+IF($X67="", 0,$X67))*(IF($AD67="", 0,$AD67)*$R67)), IF('Personalized Bill Menu'!$B$22="EPCOR", ($N67+$P67+$R67+$X67+SUM($AB67:$AE67)), IF('Personalized Bill Menu'!$B$22="ATCO",($N67+((1+IF($AE67="", 0,$AE67))*(1+$X67+$Y67)*($P67+$R67))+SUM($AB67:$AD67)),IF($AD67="",$N67+((1+$X67+$Y67)*($P67+$R67))+$AB67+$AE67+(IF($AC67="", 0, $AC67)*$P67)+($R67*IF($AF67="", 0, $AF67)),$N67+((1+$X67+$Y67)*($P67+$R67))+$AB67+($AD67*$P67)+(IF($AC67="", 0, $AC67)*$P67)+($R67*IF($AF67="", 0, $AF67))))))), "")</f>
        <v>9.2799238665000008</v>
      </c>
      <c r="F67" s="1469">
        <f t="shared" ca="1" si="1"/>
        <v>81.172660945086108</v>
      </c>
      <c r="G67" s="66">
        <f t="shared" si="2"/>
        <v>28.46634131245963</v>
      </c>
      <c r="H67" s="66">
        <f t="shared" ca="1" si="3"/>
        <v>12.608160593596287</v>
      </c>
      <c r="I67" s="66">
        <f t="shared" ca="1" si="4"/>
        <v>21.992031670033494</v>
      </c>
      <c r="J67" s="66">
        <f t="shared" ca="1" si="5"/>
        <v>7.0902514273706174</v>
      </c>
      <c r="K67" s="66">
        <f t="shared" ca="1" si="6"/>
        <v>0.75211113471722779</v>
      </c>
      <c r="L67" s="66">
        <f t="shared" si="7"/>
        <v>6.3983999999999996</v>
      </c>
      <c r="M67" s="68">
        <f t="shared" ca="1" si="8"/>
        <v>3.8653648069088629</v>
      </c>
      <c r="N67" s="69">
        <f>IF('Personalized Bill Menu'!$B$34&lt;&gt;"Natural Gas", 'Personalized Bill Menu'!$J64, "")</f>
        <v>4.3943000000000003</v>
      </c>
      <c r="O67" s="70">
        <f t="shared" si="9"/>
        <v>28.46634131245963</v>
      </c>
      <c r="P67" s="71">
        <f ca="1">IF($A67="", "",IFERROR(IF(VLOOKUP($A67, INDIRECT("'" &amp; 'Personalized Bill Menu'!$B$22 &amp; "'!" &amp;"$A$4:$CA$100"), VLOOKUP(VLOOKUP(P$5,'Misc. Data &amp; Mechanisms'!$E$601:$I$631,HLOOKUP('Personalized Bill Menu'!$B$22, 'Misc. Data &amp; Mechanisms'!$E$599:$I$600, 2, FALSE), FALSE), 'Misc. Data &amp; Mechanisms'!$A$599:$C$659, 2, FALSE), FALSE) = "", "", VLOOKUP($A67, INDIRECT("'" &amp; 'Personalized Bill Menu'!$B$22 &amp; "'!" &amp;"$A$4:$CA$100"), VLOOKUP(VLOOKUP(P$5,'Misc. Data &amp; Mechanisms'!$E$601:$I$631,HLOOKUP('Personalized Bill Menu'!$B$22, 'Misc. Data &amp; Mechanisms'!$E$599:$I$600, 2, FALSE), FALSE), 'Misc. Data &amp; Mechanisms'!$A$599:$C$659, 2, FALSE), FALSE)), ""))</f>
        <v>1.9462999999999999</v>
      </c>
      <c r="Q67" s="72">
        <f t="shared" ca="1" si="10"/>
        <v>12.608160593596287</v>
      </c>
      <c r="R67" s="87">
        <f ca="1">IF($A67="", "",IFERROR(IF(VLOOKUP($A67, INDIRECT("'" &amp; 'Personalized Bill Menu'!$B$22 &amp; "'!" &amp;"$A$4:$CA$100"), VLOOKUP(VLOOKUP(R$5,'Misc. Data &amp; Mechanisms'!$E$601:$I$631,HLOOKUP('Personalized Bill Menu'!$B$22, 'Misc. Data &amp; Mechanisms'!$E$599:$I$600, 2, FALSE), FALSE), 'Misc. Data &amp; Mechanisms'!$A$599:$C$659, 2, FALSE), FALSE) = "", "", VLOOKUP($A67, INDIRECT("'" &amp; 'Personalized Bill Menu'!$B$22 &amp; "'!" &amp;"$A$4:$CA$100"), VLOOKUP(VLOOKUP(R$5,'Misc. Data &amp; Mechanisms'!$E$601:$I$631,HLOOKUP('Personalized Bill Menu'!$B$22, 'Misc. Data &amp; Mechanisms'!$E$599:$I$600, 2, FALSE), FALSE), 'Misc. Data &amp; Mechanisms'!$A$599:$C$659, 2, FALSE), FALSE)), ""))</f>
        <v>1.0046999999999999</v>
      </c>
      <c r="S67" s="88">
        <f ca="1">IF($A67="", "",IFERROR(IF(VLOOKUP($A67, INDIRECT("'" &amp; 'Personalized Bill Menu'!$B$22 &amp; "'!" &amp;"$A$4:$CA$100"), VLOOKUP(VLOOKUP(S$5,'Misc. Data &amp; Mechanisms'!$E$601:$I$631,HLOOKUP('Personalized Bill Menu'!$B$22, 'Misc. Data &amp; Mechanisms'!$E$599:$I$600, 2, FALSE), FALSE), 'Misc. Data &amp; Mechanisms'!$A$599:$C$659, 2, FALSE), FALSE) = "", "", VLOOKUP($A67, INDIRECT("'" &amp; 'Personalized Bill Menu'!$B$22 &amp; "'!" &amp;"$A$4:$CA$100"), VLOOKUP(VLOOKUP(S$5,'Misc. Data &amp; Mechanisms'!$E$601:$I$631,HLOOKUP('Personalized Bill Menu'!$B$22, 'Misc. Data &amp; Mechanisms'!$E$599:$I$600, 2, FALSE), FALSE), 'Misc. Data &amp; Mechanisms'!$A$599:$C$659, 2, FALSE), FALSE)), ""))</f>
        <v>0.49947000000000003</v>
      </c>
      <c r="T67" s="81" t="str">
        <f ca="1">IF($A67="", "",IFERROR(IF(VLOOKUP($A67, INDIRECT("'" &amp; 'Personalized Bill Menu'!$B$22 &amp; "'!" &amp;"$A$4:$CA$100"), VLOOKUP(VLOOKUP(T$5,'Misc. Data &amp; Mechanisms'!$E$601:$I$631,HLOOKUP('Personalized Bill Menu'!$B$22, 'Misc. Data &amp; Mechanisms'!$E$599:$I$600, 2, FALSE), FALSE), 'Misc. Data &amp; Mechanisms'!$A$599:$C$659, 2, FALSE), FALSE) = "", "", VLOOKUP($A67, INDIRECT("'" &amp; 'Personalized Bill Menu'!$B$22 &amp; "'!" &amp;"$A$4:$CA$100"), VLOOKUP(VLOOKUP(T$5,'Misc. Data &amp; Mechanisms'!$E$601:$I$631,HLOOKUP('Personalized Bill Menu'!$B$22, 'Misc. Data &amp; Mechanisms'!$E$599:$I$600, 2, FALSE), FALSE), 'Misc. Data &amp; Mechanisms'!$A$599:$C$659, 2, FALSE), FALSE)), ""))</f>
        <v/>
      </c>
      <c r="U67" s="72">
        <f t="shared" ca="1" si="11"/>
        <v>6.5084616700334941</v>
      </c>
      <c r="V67" s="72">
        <f t="shared" ca="1" si="12"/>
        <v>15.48357</v>
      </c>
      <c r="W67" s="70" t="str">
        <f t="shared" si="13"/>
        <v/>
      </c>
      <c r="X67" s="78">
        <f>IFERROR(IF(VLOOKUP($A67,'Misc. Data &amp; Mechanisms'!$A$63:$DY$152,HLOOKUP('Personalized Bill Menu'!$B$21&amp;"_"&amp;'Personalized Bill Menu'!$B$22&amp;"_Elec_Y_1",'Misc. Data &amp; Mechanisms'!$A$55:$DY$62,8,FALSE), FALSE)="", "", VLOOKUP($A67,'Misc. Data &amp; Mechanisms'!$A$63:$DY$152,HLOOKUP('Personalized Bill Menu'!$B$21&amp;"_"&amp;'Personalized Bill Menu'!$B$22&amp;"_Elec_Y_1",'Misc. Data &amp; Mechanisms'!$A$55:$DY$62,8,FALSE), FALSE)), "")</f>
        <v>0.1111</v>
      </c>
      <c r="Y67" s="78" t="str">
        <f>IFERROR(IF(VLOOKUP($A67,'Misc. Data &amp; Mechanisms'!$A$63:$DY$152,HLOOKUP('Personalized Bill Menu'!$B$21&amp;"_"&amp;'Personalized Bill Menu'!$B$22&amp;"_Elec_Y_2",'Misc. Data &amp; Mechanisms'!$A$55:$DY$62,8,FALSE), FALSE)="", "", VLOOKUP($A67,'Misc. Data &amp; Mechanisms'!$A$63:$DY$152,HLOOKUP('Personalized Bill Menu'!$B$21&amp;"_"&amp;'Personalized Bill Menu'!$B$22&amp;"_Elec_Y_2",'Misc. Data &amp; Mechanisms'!$A$55:$DY$62,8,FALSE), FALSE)), "")</f>
        <v/>
      </c>
      <c r="Z67" s="72">
        <f ca="1">IF($A67="", "",IFERROR(IF(OR('Personalized Bill Menu'!$B$22="FORTIS", 'Personalized Bill Menu'!$B$22="ATCO"), $X67*($H67+$I67), IF('Personalized Bill Menu'!$B$22="ENMAX",$X67*($H67+$I67+$K67),($X67/100)*$C67)), 0))</f>
        <v>3.9276409075563525</v>
      </c>
      <c r="AA67" s="72">
        <f>IF($A67="", "", IFERROR(IF(OR('Personalized Bill Menu'!$B$22="FORTIS", 'Personalized Bill Menu'!$B$22="ATCO"), $Y67*($H67+$I67), IF('Personalized Bill Menu'!$B$22="ENMAX",$X67*$G67,"")), 0))</f>
        <v>3.1626105198142649</v>
      </c>
      <c r="AB67" s="89">
        <f ca="1">IF($A67="", "",IFERROR(IF(VLOOKUP($A67, INDIRECT("'" &amp; 'Personalized Bill Menu'!$B$22 &amp; "'!" &amp;"$A$4:$CA$100"), VLOOKUP(VLOOKUP("RIDER RATE 1",'Misc. Data &amp; Mechanisms'!$E$601:$I$631,HLOOKUP('Personalized Bill Menu'!$B$22, 'Misc. Data &amp; Mechanisms'!$E$599:$I$600, 2, FALSE), FALSE), 'Misc. Data &amp; Mechanisms'!$A$599:$C$659, 2, FALSE), FALSE) = "", "", VLOOKUP($A67, INDIRECT("'" &amp; 'Personalized Bill Menu'!$B$22 &amp; "'!" &amp;"$A$4:$CA$100"), VLOOKUP(VLOOKUP("RIDER RATE 1",'Misc. Data &amp; Mechanisms'!$E$601:$I$631,HLOOKUP('Personalized Bill Menu'!$B$22, 'Misc. Data &amp; Mechanisms'!$E$599:$I$600, 2, FALSE), FALSE), 'Misc. Data &amp; Mechanisms'!$A$599:$C$659, 2, FALSE), FALSE)), ""))</f>
        <v>0.1129</v>
      </c>
      <c r="AC67" s="69">
        <f ca="1">IF($A67="", "",IFERROR(IF(VLOOKUP($A67, INDIRECT("'" &amp; 'Personalized Bill Menu'!$B$22 &amp; "'!" &amp;"$A$4:$CA$100"), VLOOKUP(VLOOKUP("RIDER RATE 2",'Misc. Data &amp; Mechanisms'!$E$601:$I$631,HLOOKUP('Personalized Bill Menu'!$B$22, 'Misc. Data &amp; Mechanisms'!$E$599:$I$600, 2, FALSE), FALSE), 'Misc. Data &amp; Mechanisms'!$A$599:$C$659, 2, FALSE), FALSE) = "", "", VLOOKUP($A67, INDIRECT("'" &amp; 'Personalized Bill Menu'!$B$22 &amp; "'!" &amp;"$A$4:$CA$100"), VLOOKUP(VLOOKUP("RIDER RATE 2",'Misc. Data &amp; Mechanisms'!$E$601:$I$631,HLOOKUP('Personalized Bill Menu'!$B$22, 'Misc. Data &amp; Mechanisms'!$E$599:$I$600, 2, FALSE), FALSE), 'Misc. Data &amp; Mechanisms'!$A$599:$C$659, 2, FALSE), FALSE)), ""))</f>
        <v>0.49609999999999999</v>
      </c>
      <c r="AD67" s="69" t="str">
        <f ca="1">IF($A67="", "",IFERROR(IF(VLOOKUP($A67, INDIRECT("'" &amp; 'Personalized Bill Menu'!$B$22 &amp; "'!" &amp;"$A$4:$CA$100"), VLOOKUP(VLOOKUP("RIDER RATE 3",'Misc. Data &amp; Mechanisms'!$E$601:$I$631,HLOOKUP('Personalized Bill Menu'!$B$22, 'Misc. Data &amp; Mechanisms'!$E$599:$I$600, 2, FALSE), FALSE), 'Misc. Data &amp; Mechanisms'!$A$599:$C$659, 2, FALSE), FALSE) = "", "", VLOOKUP($A67, INDIRECT("'" &amp; 'Personalized Bill Menu'!$B$22 &amp; "'!" &amp;"$A$4:$CA$100"), VLOOKUP(VLOOKUP("RIDER RATE 3",'Misc. Data &amp; Mechanisms'!$E$601:$I$631,HLOOKUP('Personalized Bill Menu'!$B$22, 'Misc. Data &amp; Mechanisms'!$E$599:$I$600, 2, FALSE), FALSE), 'Misc. Data &amp; Mechanisms'!$A$599:$C$659, 2, FALSE), FALSE)), ""))</f>
        <v/>
      </c>
      <c r="AE67" s="69">
        <f ca="1">IF($A67="", "",IFERROR(IF(VLOOKUP($A67, INDIRECT("'" &amp; 'Personalized Bill Menu'!$B$22 &amp; "'!" &amp;"$A$4:$CA$100"), VLOOKUP(VLOOKUP("RIDER RATE 4",'Misc. Data &amp; Mechanisms'!$E$601:$I$631,HLOOKUP('Personalized Bill Menu'!$B$22, 'Misc. Data &amp; Mechanisms'!$E$599:$I$600, 2, FALSE), FALSE), 'Misc. Data &amp; Mechanisms'!$A$599:$C$659, 2, FALSE), FALSE) = "", "", VLOOKUP($A67, INDIRECT("'" &amp; 'Personalized Bill Menu'!$B$22 &amp; "'!" &amp;"$A$4:$CA$100"), VLOOKUP(VLOOKUP("RIDER RATE 4",'Misc. Data &amp; Mechanisms'!$E$601:$I$631,HLOOKUP('Personalized Bill Menu'!$B$22, 'Misc. Data &amp; Mechanisms'!$E$599:$I$600, 2, FALSE), FALSE), 'Misc. Data &amp; Mechanisms'!$A$599:$C$659, 2, FALSE), FALSE)), ""))</f>
        <v>-0.10299999999999999</v>
      </c>
      <c r="AF67" s="90" t="str">
        <f ca="1">IF($A67="", "",IFERROR(IF(VLOOKUP($A67, INDIRECT("'" &amp; 'Personalized Bill Menu'!$B$22 &amp; "'!" &amp;"$A$4:$CA$100"), VLOOKUP(VLOOKUP("RIDER RATE 5",'Misc. Data &amp; Mechanisms'!$E$601:$I$631,HLOOKUP('Personalized Bill Menu'!$B$22, 'Misc. Data &amp; Mechanisms'!$E$599:$I$600, 2, FALSE), FALSE), 'Misc. Data &amp; Mechanisms'!$A$599:$C$659, 2, FALSE), FALSE) = "", "", VLOOKUP($A67, INDIRECT("'" &amp; 'Personalized Bill Menu'!$B$22 &amp; "'!" &amp;"$A$4:$CA$100"), VLOOKUP(VLOOKUP("RIDER RATE 5",'Misc. Data &amp; Mechanisms'!$E$601:$I$631,HLOOKUP('Personalized Bill Menu'!$B$22, 'Misc. Data &amp; Mechanisms'!$E$599:$I$600, 2, FALSE), FALSE), 'Misc. Data &amp; Mechanisms'!$A$599:$C$659, 2, FALSE), FALSE)), ""))</f>
        <v/>
      </c>
      <c r="AG67" s="90" t="str">
        <f ca="1">IF($A67="", "",IFERROR(IF(VLOOKUP($A67, INDIRECT("'" &amp; 'Personalized Bill Menu'!$B$22 &amp; "'!" &amp;"$A$4:$CA$100"), VLOOKUP(VLOOKUP("RIDER RATE 6",'Misc. Data &amp; Mechanisms'!$E$601:$I$631,HLOOKUP('Personalized Bill Menu'!$B$22, 'Misc. Data &amp; Mechanisms'!$E$599:$I$600, 2, FALSE), FALSE), 'Misc. Data &amp; Mechanisms'!$A$599:$C$659, 2, FALSE), FALSE) = "", "", VLOOKUP($A67, INDIRECT("'" &amp; 'Personalized Bill Menu'!$B$22 &amp; "'!" &amp;"$A$4:$CA$100"), VLOOKUP(VLOOKUP("RIDER RATE 6",'Misc. Data &amp; Mechanisms'!$E$601:$I$631,HLOOKUP('Personalized Bill Menu'!$B$22, 'Misc. Data &amp; Mechanisms'!$E$599:$I$600, 2, FALSE), FALSE), 'Misc. Data &amp; Mechanisms'!$A$599:$C$659, 2, FALSE), FALSE)), ""))</f>
        <v/>
      </c>
      <c r="AH67" s="90" t="str">
        <f ca="1">IF($A67="", "",IFERROR(IF(VLOOKUP($A67, INDIRECT("'" &amp; 'Personalized Bill Menu'!$B$22 &amp; "'!" &amp;"$A$4:$CA$100"), VLOOKUP(VLOOKUP("RIDER RATE 7",'Misc. Data &amp; Mechanisms'!$E$601:$I$631,HLOOKUP('Personalized Bill Menu'!$B$22, 'Misc. Data &amp; Mechanisms'!$E$599:$I$600, 2, FALSE), FALSE), 'Misc. Data &amp; Mechanisms'!$A$599:$C$659, 2, FALSE), FALSE) = "", "", VLOOKUP($A67, INDIRECT("'" &amp; 'Personalized Bill Menu'!$B$22 &amp; "'!" &amp;"$A$4:$CA$100"), VLOOKUP(VLOOKUP("RIDER RATE 7",'Misc. Data &amp; Mechanisms'!$E$601:$I$631,HLOOKUP('Personalized Bill Menu'!$B$22, 'Misc. Data &amp; Mechanisms'!$E$599:$I$600, 2, FALSE), FALSE), 'Misc. Data &amp; Mechanisms'!$A$599:$C$659, 2, FALSE), FALSE)), ""))</f>
        <v/>
      </c>
      <c r="AI67" s="72">
        <f t="shared" ca="1" si="14"/>
        <v>0.73136789344757791</v>
      </c>
      <c r="AJ67" s="72">
        <f t="shared" ca="1" si="15"/>
        <v>3.2137432412696496</v>
      </c>
      <c r="AK67" s="72">
        <f ca="1">IF($A67="", "", IFERROR(IF($AD$6="%",IF('Personalized Bill Menu'!$B$22="ENMAX", $AD67*$I67, IF(AND($AD67="", 'Personalized Bill Menu'!$B$22="FORTIS"),($AE67/100)*$C67,$AD67*$H67)),($AD67/100)*$C67), 0))</f>
        <v>0</v>
      </c>
      <c r="AL67" s="72">
        <f ca="1">IF($A67="", "", IFERROR(IF('Personalized Bill Menu'!$B$22="ENMAX",$AE67*$B67,IF($AE$6="%",$AE67*($H67+$I67+$J67), IF('Personalized Bill Menu'!$B$22="FORTIS",$AF67*$I67,($AE67/100)*$C67))), 0))</f>
        <v>-3.1929999999999996</v>
      </c>
      <c r="AM67" s="72" t="str">
        <f>IF($A67="", "", IFERROR(IF('Personalized Bill Menu'!$B$22="EPCOR",($AF67/100)*$C67, IF('Personalized Bill Menu'!$B$22="ATCO",$AF67*1,"")), 0))</f>
        <v/>
      </c>
      <c r="AN67" s="72" t="str">
        <f>IF($A67="", "", IFERROR(IF('Personalized Bill Menu'!$B$22="ATCO",$AG67*$B67,""), 0))</f>
        <v/>
      </c>
      <c r="AO67" s="70" t="str">
        <f>IF($A67="", "", IFERROR(IF('Personalized Bill Menu'!$B$22="ATCO",$AH67*$B67,""), 0))</f>
        <v/>
      </c>
      <c r="AP67" s="81">
        <f>IF('Personalized Bill Menu'!$B$34&lt;&gt;"Natural Gas", 'Personalized Bill Menu'!$K64, "")</f>
        <v>0.2064</v>
      </c>
      <c r="AQ67" s="72">
        <f t="shared" si="16"/>
        <v>6.3983999999999996</v>
      </c>
      <c r="AR67" s="91">
        <f ca="1">IF($A67="", "",IF(VLOOKUP($A67, INDIRECT("'" &amp; 'Personalized Bill Menu'!$B$22 &amp; "'!" &amp;"$A$4:$CA$100"), VLOOKUP(VLOOKUP(AR$5,'Misc. Data &amp; Mechanisms'!$E$601:$I$631,HLOOKUP('Personalized Bill Menu'!$B$22, 'Misc. Data &amp; Mechanisms'!$E$599:$I$600, 2, FALSE), FALSE), 'Misc. Data &amp; Mechanisms'!$A$599:$C$659, 2, FALSE), FALSE) = "", "", VLOOKUP($A67, INDIRECT("'" &amp; 'Personalized Bill Menu'!$B$22 &amp; "'!" &amp;"$A$4:$CA$100"), VLOOKUP(VLOOKUP(AR$5,'Misc. Data &amp; Mechanisms'!$E$601:$I$631,HLOOKUP('Personalized Bill Menu'!$B$22, 'Misc. Data &amp; Mechanisms'!$E$599:$I$600, 2, FALSE), FALSE), 'Misc. Data &amp; Mechanisms'!$A$599:$C$659, 2, FALSE), FALSE)))</f>
        <v>0.05</v>
      </c>
    </row>
    <row r="68" spans="1:44" x14ac:dyDescent="0.35">
      <c r="A68" s="83">
        <f>'Personalized Bill Menu'!$H65</f>
        <v>42767</v>
      </c>
      <c r="B68" s="84">
        <f t="shared" si="0"/>
        <v>28</v>
      </c>
      <c r="C68" s="85">
        <f>IF('Personalized Bill Menu'!$B$34&lt;&gt;"Natural Gas", 'Personalized Bill Menu'!$I65, "")</f>
        <v>568.43198073192229</v>
      </c>
      <c r="D68" s="66">
        <f t="shared" ca="1" si="17"/>
        <v>12.077417733163212</v>
      </c>
      <c r="E68" s="66">
        <f ca="1">IFERROR((1+$AR68)*(IF('Personalized Bill Menu'!$B$22="ENMAX", ((1+IFERROR($X68, 0))*($N68+$P68+$R68+$AB68+$AC68))+((1+IF($X68="", 0,$X68))*(IF($AD68="", 0,$AD68)*$R68)), IF('Personalized Bill Menu'!$B$22="EPCOR", ($N68+$P68+$R68+$X68+SUM($AB68:$AE68)), IF('Personalized Bill Menu'!$B$22="ATCO",($N68+((1+IF($AE68="", 0,$AE68))*(1+$X68+$Y68)*($P68+$R68))+SUM($AB68:$AD68)),IF($AD68="",$N68+((1+$X68+$Y68)*($P68+$R68))+$AB68+$AE68+(IF($AC68="", 0, $AC68)*$P68)+($R68*IF($AF68="", 0, $AF68)),$N68+((1+$X68+$Y68)*($P68+$R68))+$AB68+($AD68*$P68)+(IF($AC68="", 0, $AC68)*$P68)+($R68*IF($AF68="", 0, $AF68))))))), "")</f>
        <v>8.7314793509999991</v>
      </c>
      <c r="F68" s="1469">
        <f t="shared" ca="1" si="1"/>
        <v>68.651904841888083</v>
      </c>
      <c r="G68" s="66">
        <f t="shared" si="2"/>
        <v>22.306407787882094</v>
      </c>
      <c r="H68" s="66">
        <f t="shared" ca="1" si="3"/>
        <v>11.063391640985403</v>
      </c>
      <c r="I68" s="66">
        <f t="shared" ca="1" si="4"/>
        <v>19.696196110413624</v>
      </c>
      <c r="J68" s="66">
        <f t="shared" ca="1" si="5"/>
        <v>5.9598202141453704</v>
      </c>
      <c r="K68" s="66">
        <f t="shared" ca="1" si="6"/>
        <v>0.57775076265740699</v>
      </c>
      <c r="L68" s="66">
        <f t="shared" si="7"/>
        <v>5.7792000000000003</v>
      </c>
      <c r="M68" s="68">
        <f t="shared" ca="1" si="8"/>
        <v>3.2691383258041946</v>
      </c>
      <c r="N68" s="69">
        <f>IF('Personalized Bill Menu'!$B$34&lt;&gt;"Natural Gas", 'Personalized Bill Menu'!$J65, "")</f>
        <v>3.9241999999999999</v>
      </c>
      <c r="O68" s="70">
        <f t="shared" si="9"/>
        <v>22.306407787882094</v>
      </c>
      <c r="P68" s="71">
        <f ca="1">IF($A68="", "",IFERROR(IF(VLOOKUP($A68, INDIRECT("'" &amp; 'Personalized Bill Menu'!$B$22 &amp; "'!" &amp;"$A$4:$CA$100"), VLOOKUP(VLOOKUP(P$5,'Misc. Data &amp; Mechanisms'!$E$601:$I$631,HLOOKUP('Personalized Bill Menu'!$B$22, 'Misc. Data &amp; Mechanisms'!$E$599:$I$600, 2, FALSE), FALSE), 'Misc. Data &amp; Mechanisms'!$A$599:$C$659, 2, FALSE), FALSE) = "", "", VLOOKUP($A68, INDIRECT("'" &amp; 'Personalized Bill Menu'!$B$22 &amp; "'!" &amp;"$A$4:$CA$100"), VLOOKUP(VLOOKUP(P$5,'Misc. Data &amp; Mechanisms'!$E$601:$I$631,HLOOKUP('Personalized Bill Menu'!$B$22, 'Misc. Data &amp; Mechanisms'!$E$599:$I$600, 2, FALSE), FALSE), 'Misc. Data &amp; Mechanisms'!$A$599:$C$659, 2, FALSE), FALSE)), ""))</f>
        <v>1.9462999999999999</v>
      </c>
      <c r="Q68" s="72">
        <f t="shared" ca="1" si="10"/>
        <v>11.063391640985403</v>
      </c>
      <c r="R68" s="87">
        <f ca="1">IF($A68="", "",IFERROR(IF(VLOOKUP($A68, INDIRECT("'" &amp; 'Personalized Bill Menu'!$B$22 &amp; "'!" &amp;"$A$4:$CA$100"), VLOOKUP(VLOOKUP(R$5,'Misc. Data &amp; Mechanisms'!$E$601:$I$631,HLOOKUP('Personalized Bill Menu'!$B$22, 'Misc. Data &amp; Mechanisms'!$E$599:$I$600, 2, FALSE), FALSE), 'Misc. Data &amp; Mechanisms'!$A$599:$C$659, 2, FALSE), FALSE) = "", "", VLOOKUP($A68, INDIRECT("'" &amp; 'Personalized Bill Menu'!$B$22 &amp; "'!" &amp;"$A$4:$CA$100"), VLOOKUP(VLOOKUP(R$5,'Misc. Data &amp; Mechanisms'!$E$601:$I$631,HLOOKUP('Personalized Bill Menu'!$B$22, 'Misc. Data &amp; Mechanisms'!$E$599:$I$600, 2, FALSE), FALSE), 'Misc. Data &amp; Mechanisms'!$A$599:$C$659, 2, FALSE), FALSE)), ""))</f>
        <v>1.0046999999999999</v>
      </c>
      <c r="S68" s="88">
        <f ca="1">IF($A68="", "",IFERROR(IF(VLOOKUP($A68, INDIRECT("'" &amp; 'Personalized Bill Menu'!$B$22 &amp; "'!" &amp;"$A$4:$CA$100"), VLOOKUP(VLOOKUP(S$5,'Misc. Data &amp; Mechanisms'!$E$601:$I$631,HLOOKUP('Personalized Bill Menu'!$B$22, 'Misc. Data &amp; Mechanisms'!$E$599:$I$600, 2, FALSE), FALSE), 'Misc. Data &amp; Mechanisms'!$A$599:$C$659, 2, FALSE), FALSE) = "", "", VLOOKUP($A68, INDIRECT("'" &amp; 'Personalized Bill Menu'!$B$22 &amp; "'!" &amp;"$A$4:$CA$100"), VLOOKUP(VLOOKUP(S$5,'Misc. Data &amp; Mechanisms'!$E$601:$I$631,HLOOKUP('Personalized Bill Menu'!$B$22, 'Misc. Data &amp; Mechanisms'!$E$599:$I$600, 2, FALSE), FALSE), 'Misc. Data &amp; Mechanisms'!$A$599:$C$659, 2, FALSE), FALSE)), ""))</f>
        <v>0.49947000000000003</v>
      </c>
      <c r="T68" s="81" t="str">
        <f ca="1">IF($A68="", "",IFERROR(IF(VLOOKUP($A68, INDIRECT("'" &amp; 'Personalized Bill Menu'!$B$22 &amp; "'!" &amp;"$A$4:$CA$100"), VLOOKUP(VLOOKUP(T$5,'Misc. Data &amp; Mechanisms'!$E$601:$I$631,HLOOKUP('Personalized Bill Menu'!$B$22, 'Misc. Data &amp; Mechanisms'!$E$599:$I$600, 2, FALSE), FALSE), 'Misc. Data &amp; Mechanisms'!$A$599:$C$659, 2, FALSE), FALSE) = "", "", VLOOKUP($A68, INDIRECT("'" &amp; 'Personalized Bill Menu'!$B$22 &amp; "'!" &amp;"$A$4:$CA$100"), VLOOKUP(VLOOKUP(T$5,'Misc. Data &amp; Mechanisms'!$E$601:$I$631,HLOOKUP('Personalized Bill Menu'!$B$22, 'Misc. Data &amp; Mechanisms'!$E$599:$I$600, 2, FALSE), FALSE), 'Misc. Data &amp; Mechanisms'!$A$599:$C$659, 2, FALSE), FALSE)), ""))</f>
        <v/>
      </c>
      <c r="U68" s="72">
        <f t="shared" ca="1" si="11"/>
        <v>5.7110361104136222</v>
      </c>
      <c r="V68" s="72">
        <f t="shared" ca="1" si="12"/>
        <v>13.98516</v>
      </c>
      <c r="W68" s="70" t="str">
        <f t="shared" si="13"/>
        <v/>
      </c>
      <c r="X68" s="78">
        <f>IFERROR(IF(VLOOKUP($A68,'Misc. Data &amp; Mechanisms'!$A$63:$DY$152,HLOOKUP('Personalized Bill Menu'!$B$21&amp;"_"&amp;'Personalized Bill Menu'!$B$22&amp;"_Elec_Y_1",'Misc. Data &amp; Mechanisms'!$A$55:$DY$62,8,FALSE), FALSE)="", "", VLOOKUP($A68,'Misc. Data &amp; Mechanisms'!$A$63:$DY$152,HLOOKUP('Personalized Bill Menu'!$B$21&amp;"_"&amp;'Personalized Bill Menu'!$B$22&amp;"_Elec_Y_1",'Misc. Data &amp; Mechanisms'!$A$55:$DY$62,8,FALSE), FALSE)), "")</f>
        <v>0.1111</v>
      </c>
      <c r="Y68" s="78" t="str">
        <f>IFERROR(IF(VLOOKUP($A68,'Misc. Data &amp; Mechanisms'!$A$63:$DY$152,HLOOKUP('Personalized Bill Menu'!$B$21&amp;"_"&amp;'Personalized Bill Menu'!$B$22&amp;"_Elec_Y_2",'Misc. Data &amp; Mechanisms'!$A$55:$DY$62,8,FALSE), FALSE)="", "", VLOOKUP($A68,'Misc. Data &amp; Mechanisms'!$A$63:$DY$152,HLOOKUP('Personalized Bill Menu'!$B$21&amp;"_"&amp;'Personalized Bill Menu'!$B$22&amp;"_Elec_Y_2",'Misc. Data &amp; Mechanisms'!$A$55:$DY$62,8,FALSE), FALSE)), "")</f>
        <v/>
      </c>
      <c r="Z68" s="72">
        <f ca="1">IF($A68="", "",IFERROR(IF(OR('Personalized Bill Menu'!$B$22="FORTIS", 'Personalized Bill Menu'!$B$22="ATCO"), $X68*($H68+$I68), IF('Personalized Bill Menu'!$B$22="ENMAX",$X68*($H68+$I68+$K68),($X68/100)*$C68)), 0))</f>
        <v>3.4815783089116694</v>
      </c>
      <c r="AA68" s="72">
        <f>IF($A68="", "", IFERROR(IF(OR('Personalized Bill Menu'!$B$22="FORTIS", 'Personalized Bill Menu'!$B$22="ATCO"), $Y68*($H68+$I68), IF('Personalized Bill Menu'!$B$22="ENMAX",$X68*$G68,"")), 0))</f>
        <v>2.4782419052337006</v>
      </c>
      <c r="AB68" s="89">
        <f ca="1">IF($A68="", "",IFERROR(IF(VLOOKUP($A68, INDIRECT("'" &amp; 'Personalized Bill Menu'!$B$22 &amp; "'!" &amp;"$A$4:$CA$100"), VLOOKUP(VLOOKUP("RIDER RATE 1",'Misc. Data &amp; Mechanisms'!$E$601:$I$631,HLOOKUP('Personalized Bill Menu'!$B$22, 'Misc. Data &amp; Mechanisms'!$E$599:$I$600, 2, FALSE), FALSE), 'Misc. Data &amp; Mechanisms'!$A$599:$C$659, 2, FALSE), FALSE) = "", "", VLOOKUP($A68, INDIRECT("'" &amp; 'Personalized Bill Menu'!$B$22 &amp; "'!" &amp;"$A$4:$CA$100"), VLOOKUP(VLOOKUP("RIDER RATE 1",'Misc. Data &amp; Mechanisms'!$E$601:$I$631,HLOOKUP('Personalized Bill Menu'!$B$22, 'Misc. Data &amp; Mechanisms'!$E$599:$I$600, 2, FALSE), FALSE), 'Misc. Data &amp; Mechanisms'!$A$599:$C$659, 2, FALSE), FALSE)), ""))</f>
        <v>0.1129</v>
      </c>
      <c r="AC68" s="69">
        <f ca="1">IF($A68="", "",IFERROR(IF(VLOOKUP($A68, INDIRECT("'" &amp; 'Personalized Bill Menu'!$B$22 &amp; "'!" &amp;"$A$4:$CA$100"), VLOOKUP(VLOOKUP("RIDER RATE 2",'Misc. Data &amp; Mechanisms'!$E$601:$I$631,HLOOKUP('Personalized Bill Menu'!$B$22, 'Misc. Data &amp; Mechanisms'!$E$599:$I$600, 2, FALSE), FALSE), 'Misc. Data &amp; Mechanisms'!$A$599:$C$659, 2, FALSE), FALSE) = "", "", VLOOKUP($A68, INDIRECT("'" &amp; 'Personalized Bill Menu'!$B$22 &amp; "'!" &amp;"$A$4:$CA$100"), VLOOKUP(VLOOKUP("RIDER RATE 2",'Misc. Data &amp; Mechanisms'!$E$601:$I$631,HLOOKUP('Personalized Bill Menu'!$B$22, 'Misc. Data &amp; Mechanisms'!$E$599:$I$600, 2, FALSE), FALSE), 'Misc. Data &amp; Mechanisms'!$A$599:$C$659, 2, FALSE), FALSE)), ""))</f>
        <v>0.49609999999999999</v>
      </c>
      <c r="AD68" s="69" t="str">
        <f ca="1">IF($A68="", "",IFERROR(IF(VLOOKUP($A68, INDIRECT("'" &amp; 'Personalized Bill Menu'!$B$22 &amp; "'!" &amp;"$A$4:$CA$100"), VLOOKUP(VLOOKUP("RIDER RATE 3",'Misc. Data &amp; Mechanisms'!$E$601:$I$631,HLOOKUP('Personalized Bill Menu'!$B$22, 'Misc. Data &amp; Mechanisms'!$E$599:$I$600, 2, FALSE), FALSE), 'Misc. Data &amp; Mechanisms'!$A$599:$C$659, 2, FALSE), FALSE) = "", "", VLOOKUP($A68, INDIRECT("'" &amp; 'Personalized Bill Menu'!$B$22 &amp; "'!" &amp;"$A$4:$CA$100"), VLOOKUP(VLOOKUP("RIDER RATE 3",'Misc. Data &amp; Mechanisms'!$E$601:$I$631,HLOOKUP('Personalized Bill Menu'!$B$22, 'Misc. Data &amp; Mechanisms'!$E$599:$I$600, 2, FALSE), FALSE), 'Misc. Data &amp; Mechanisms'!$A$599:$C$659, 2, FALSE), FALSE)), ""))</f>
        <v/>
      </c>
      <c r="AE68" s="69">
        <f ca="1">IF($A68="", "",IFERROR(IF(VLOOKUP($A68, INDIRECT("'" &amp; 'Personalized Bill Menu'!$B$22 &amp; "'!" &amp;"$A$4:$CA$100"), VLOOKUP(VLOOKUP("RIDER RATE 4",'Misc. Data &amp; Mechanisms'!$E$601:$I$631,HLOOKUP('Personalized Bill Menu'!$B$22, 'Misc. Data &amp; Mechanisms'!$E$599:$I$600, 2, FALSE), FALSE), 'Misc. Data &amp; Mechanisms'!$A$599:$C$659, 2, FALSE), FALSE) = "", "", VLOOKUP($A68, INDIRECT("'" &amp; 'Personalized Bill Menu'!$B$22 &amp; "'!" &amp;"$A$4:$CA$100"), VLOOKUP(VLOOKUP("RIDER RATE 4",'Misc. Data &amp; Mechanisms'!$E$601:$I$631,HLOOKUP('Personalized Bill Menu'!$B$22, 'Misc. Data &amp; Mechanisms'!$E$599:$I$600, 2, FALSE), FALSE), 'Misc. Data &amp; Mechanisms'!$A$599:$C$659, 2, FALSE), FALSE)), ""))</f>
        <v>-0.10299999999999999</v>
      </c>
      <c r="AF68" s="90" t="str">
        <f ca="1">IF($A68="", "",IFERROR(IF(VLOOKUP($A68, INDIRECT("'" &amp; 'Personalized Bill Menu'!$B$22 &amp; "'!" &amp;"$A$4:$CA$100"), VLOOKUP(VLOOKUP("RIDER RATE 5",'Misc. Data &amp; Mechanisms'!$E$601:$I$631,HLOOKUP('Personalized Bill Menu'!$B$22, 'Misc. Data &amp; Mechanisms'!$E$599:$I$600, 2, FALSE), FALSE), 'Misc. Data &amp; Mechanisms'!$A$599:$C$659, 2, FALSE), FALSE) = "", "", VLOOKUP($A68, INDIRECT("'" &amp; 'Personalized Bill Menu'!$B$22 &amp; "'!" &amp;"$A$4:$CA$100"), VLOOKUP(VLOOKUP("RIDER RATE 5",'Misc. Data &amp; Mechanisms'!$E$601:$I$631,HLOOKUP('Personalized Bill Menu'!$B$22, 'Misc. Data &amp; Mechanisms'!$E$599:$I$600, 2, FALSE), FALSE), 'Misc. Data &amp; Mechanisms'!$A$599:$C$659, 2, FALSE), FALSE)), ""))</f>
        <v/>
      </c>
      <c r="AG68" s="90" t="str">
        <f ca="1">IF($A68="", "",IFERROR(IF(VLOOKUP($A68, INDIRECT("'" &amp; 'Personalized Bill Menu'!$B$22 &amp; "'!" &amp;"$A$4:$CA$100"), VLOOKUP(VLOOKUP("RIDER RATE 6",'Misc. Data &amp; Mechanisms'!$E$601:$I$631,HLOOKUP('Personalized Bill Menu'!$B$22, 'Misc. Data &amp; Mechanisms'!$E$599:$I$600, 2, FALSE), FALSE), 'Misc. Data &amp; Mechanisms'!$A$599:$C$659, 2, FALSE), FALSE) = "", "", VLOOKUP($A68, INDIRECT("'" &amp; 'Personalized Bill Menu'!$B$22 &amp; "'!" &amp;"$A$4:$CA$100"), VLOOKUP(VLOOKUP("RIDER RATE 6",'Misc. Data &amp; Mechanisms'!$E$601:$I$631,HLOOKUP('Personalized Bill Menu'!$B$22, 'Misc. Data &amp; Mechanisms'!$E$599:$I$600, 2, FALSE), FALSE), 'Misc. Data &amp; Mechanisms'!$A$599:$C$659, 2, FALSE), FALSE)), ""))</f>
        <v/>
      </c>
      <c r="AH68" s="90" t="str">
        <f ca="1">IF($A68="", "",IFERROR(IF(VLOOKUP($A68, INDIRECT("'" &amp; 'Personalized Bill Menu'!$B$22 &amp; "'!" &amp;"$A$4:$CA$100"), VLOOKUP(VLOOKUP("RIDER RATE 7",'Misc. Data &amp; Mechanisms'!$E$601:$I$631,HLOOKUP('Personalized Bill Menu'!$B$22, 'Misc. Data &amp; Mechanisms'!$E$599:$I$600, 2, FALSE), FALSE), 'Misc. Data &amp; Mechanisms'!$A$599:$C$659, 2, FALSE), FALSE) = "", "", VLOOKUP($A68, INDIRECT("'" &amp; 'Personalized Bill Menu'!$B$22 &amp; "'!" &amp;"$A$4:$CA$100"), VLOOKUP(VLOOKUP("RIDER RATE 7",'Misc. Data &amp; Mechanisms'!$E$601:$I$631,HLOOKUP('Personalized Bill Menu'!$B$22, 'Misc. Data &amp; Mechanisms'!$E$599:$I$600, 2, FALSE), FALSE), 'Misc. Data &amp; Mechanisms'!$A$599:$C$659, 2, FALSE), FALSE)), ""))</f>
        <v/>
      </c>
      <c r="AI68" s="72">
        <f t="shared" ca="1" si="14"/>
        <v>0.64175970624634027</v>
      </c>
      <c r="AJ68" s="72">
        <f t="shared" ca="1" si="15"/>
        <v>2.8199910564110664</v>
      </c>
      <c r="AK68" s="72">
        <f ca="1">IF($A68="", "", IFERROR(IF($AD$6="%",IF('Personalized Bill Menu'!$B$22="ENMAX", $AD68*$I68, IF(AND($AD68="", 'Personalized Bill Menu'!$B$22="FORTIS"),($AE68/100)*$C68,$AD68*$H68)),($AD68/100)*$C68), 0))</f>
        <v>0</v>
      </c>
      <c r="AL68" s="72">
        <f ca="1">IF($A68="", "", IFERROR(IF('Personalized Bill Menu'!$B$22="ENMAX",$AE68*$B68,IF($AE$6="%",$AE68*($H68+$I68+$J68), IF('Personalized Bill Menu'!$B$22="FORTIS",$AF68*$I68,($AE68/100)*$C68))), 0))</f>
        <v>-2.8839999999999999</v>
      </c>
      <c r="AM68" s="72" t="str">
        <f>IF($A68="", "", IFERROR(IF('Personalized Bill Menu'!$B$22="EPCOR",($AF68/100)*$C68, IF('Personalized Bill Menu'!$B$22="ATCO",$AF68*1,"")), 0))</f>
        <v/>
      </c>
      <c r="AN68" s="72" t="str">
        <f>IF($A68="", "", IFERROR(IF('Personalized Bill Menu'!$B$22="ATCO",$AG68*$B68,""), 0))</f>
        <v/>
      </c>
      <c r="AO68" s="70" t="str">
        <f>IF($A68="", "", IFERROR(IF('Personalized Bill Menu'!$B$22="ATCO",$AH68*$B68,""), 0))</f>
        <v/>
      </c>
      <c r="AP68" s="81">
        <f>IF('Personalized Bill Menu'!$B$34&lt;&gt;"Natural Gas", 'Personalized Bill Menu'!$K65, "")</f>
        <v>0.2064</v>
      </c>
      <c r="AQ68" s="72">
        <f t="shared" si="16"/>
        <v>5.7792000000000003</v>
      </c>
      <c r="AR68" s="91">
        <f ca="1">IF($A68="", "",IF(VLOOKUP($A68, INDIRECT("'" &amp; 'Personalized Bill Menu'!$B$22 &amp; "'!" &amp;"$A$4:$CA$100"), VLOOKUP(VLOOKUP(AR$5,'Misc. Data &amp; Mechanisms'!$E$601:$I$631,HLOOKUP('Personalized Bill Menu'!$B$22, 'Misc. Data &amp; Mechanisms'!$E$599:$I$600, 2, FALSE), FALSE), 'Misc. Data &amp; Mechanisms'!$A$599:$C$659, 2, FALSE), FALSE) = "", "", VLOOKUP($A68, INDIRECT("'" &amp; 'Personalized Bill Menu'!$B$22 &amp; "'!" &amp;"$A$4:$CA$100"), VLOOKUP(VLOOKUP(AR$5,'Misc. Data &amp; Mechanisms'!$E$601:$I$631,HLOOKUP('Personalized Bill Menu'!$B$22, 'Misc. Data &amp; Mechanisms'!$E$599:$I$600, 2, FALSE), FALSE), 'Misc. Data &amp; Mechanisms'!$A$599:$C$659, 2, FALSE), FALSE)))</f>
        <v>0.05</v>
      </c>
    </row>
    <row r="69" spans="1:44" x14ac:dyDescent="0.35">
      <c r="A69" s="83">
        <f>'Personalized Bill Menu'!$H66</f>
        <v>42795</v>
      </c>
      <c r="B69" s="84">
        <f t="shared" si="0"/>
        <v>31</v>
      </c>
      <c r="C69" s="85">
        <f>IF('Personalized Bill Menu'!$B$34&lt;&gt;"Natural Gas", 'Personalized Bill Menu'!$I66, "")</f>
        <v>590.90640142097993</v>
      </c>
      <c r="D69" s="66">
        <f t="shared" ca="1" si="17"/>
        <v>11.728956477725054</v>
      </c>
      <c r="E69" s="66">
        <f ca="1">IFERROR((1+$AR69)*(IF('Personalized Bill Menu'!$B$22="ENMAX", ((1+IFERROR($X69, 0))*($N69+$P69+$R69+$AB69+$AC69))+((1+IF($X69="", 0,$X69))*(IF($AD69="", 0,$AD69)*$R69)), IF('Personalized Bill Menu'!$B$22="EPCOR", ($N69+$P69+$R69+$X69+SUM($AB69:$AE69)), IF('Personalized Bill Menu'!$B$22="ATCO",($N69+((1+IF($AE69="", 0,$AE69))*(1+$X69+$Y69)*($P69+$R69))+SUM($AB69:$AD69)),IF($AD69="",$N69+((1+$X69+$Y69)*($P69+$R69))+$AB69+$AE69+(IF($AC69="", 0, $AC69)*$P69)+($R69*IF($AF69="", 0, $AF69)),$N69+((1+$X69+$Y69)*($P69+$R69))+$AB69+($AD69*$P69)+(IF($AC69="", 0, $AC69)*$P69)+($R69*IF($AF69="", 0, $AF69))))))), "")</f>
        <v>8.1654183449999991</v>
      </c>
      <c r="F69" s="1469">
        <f t="shared" ca="1" si="1"/>
        <v>69.307154646758036</v>
      </c>
      <c r="G69" s="66">
        <f t="shared" si="2"/>
        <v>20.321271144867502</v>
      </c>
      <c r="H69" s="66">
        <f t="shared" ca="1" si="3"/>
        <v>11.500811290856531</v>
      </c>
      <c r="I69" s="66">
        <f t="shared" ca="1" si="4"/>
        <v>21.420406615076587</v>
      </c>
      <c r="J69" s="66">
        <f t="shared" ca="1" si="5"/>
        <v>5.960304913838983</v>
      </c>
      <c r="K69" s="66">
        <f t="shared" ca="1" si="6"/>
        <v>0.40561998465376803</v>
      </c>
      <c r="L69" s="66">
        <f t="shared" si="7"/>
        <v>6.3983999999999996</v>
      </c>
      <c r="M69" s="68">
        <f t="shared" ca="1" si="8"/>
        <v>3.300340697464669</v>
      </c>
      <c r="N69" s="69">
        <f>IF('Personalized Bill Menu'!$B$34&lt;&gt;"Natural Gas", 'Personalized Bill Menu'!$J66, "")</f>
        <v>3.4390000000000001</v>
      </c>
      <c r="O69" s="70">
        <f t="shared" si="9"/>
        <v>20.321271144867502</v>
      </c>
      <c r="P69" s="71">
        <f ca="1">IF($A69="", "",IFERROR(IF(VLOOKUP($A69, INDIRECT("'" &amp; 'Personalized Bill Menu'!$B$22 &amp; "'!" &amp;"$A$4:$CA$100"), VLOOKUP(VLOOKUP(P$5,'Misc. Data &amp; Mechanisms'!$E$601:$I$631,HLOOKUP('Personalized Bill Menu'!$B$22, 'Misc. Data &amp; Mechanisms'!$E$599:$I$600, 2, FALSE), FALSE), 'Misc. Data &amp; Mechanisms'!$A$599:$C$659, 2, FALSE), FALSE) = "", "", VLOOKUP($A69, INDIRECT("'" &amp; 'Personalized Bill Menu'!$B$22 &amp; "'!" &amp;"$A$4:$CA$100"), VLOOKUP(VLOOKUP(P$5,'Misc. Data &amp; Mechanisms'!$E$601:$I$631,HLOOKUP('Personalized Bill Menu'!$B$22, 'Misc. Data &amp; Mechanisms'!$E$599:$I$600, 2, FALSE), FALSE), 'Misc. Data &amp; Mechanisms'!$A$599:$C$659, 2, FALSE), FALSE)), ""))</f>
        <v>1.9462999999999999</v>
      </c>
      <c r="Q69" s="72">
        <f t="shared" ca="1" si="10"/>
        <v>11.500811290856531</v>
      </c>
      <c r="R69" s="87">
        <f ca="1">IF($A69="", "",IFERROR(IF(VLOOKUP($A69, INDIRECT("'" &amp; 'Personalized Bill Menu'!$B$22 &amp; "'!" &amp;"$A$4:$CA$100"), VLOOKUP(VLOOKUP(R$5,'Misc. Data &amp; Mechanisms'!$E$601:$I$631,HLOOKUP('Personalized Bill Menu'!$B$22, 'Misc. Data &amp; Mechanisms'!$E$599:$I$600, 2, FALSE), FALSE), 'Misc. Data &amp; Mechanisms'!$A$599:$C$659, 2, FALSE), FALSE) = "", "", VLOOKUP($A69, INDIRECT("'" &amp; 'Personalized Bill Menu'!$B$22 &amp; "'!" &amp;"$A$4:$CA$100"), VLOOKUP(VLOOKUP(R$5,'Misc. Data &amp; Mechanisms'!$E$601:$I$631,HLOOKUP('Personalized Bill Menu'!$B$22, 'Misc. Data &amp; Mechanisms'!$E$599:$I$600, 2, FALSE), FALSE), 'Misc. Data &amp; Mechanisms'!$A$599:$C$659, 2, FALSE), FALSE)), ""))</f>
        <v>1.0046999999999999</v>
      </c>
      <c r="S69" s="88">
        <f ca="1">IF($A69="", "",IFERROR(IF(VLOOKUP($A69, INDIRECT("'" &amp; 'Personalized Bill Menu'!$B$22 &amp; "'!" &amp;"$A$4:$CA$100"), VLOOKUP(VLOOKUP(S$5,'Misc. Data &amp; Mechanisms'!$E$601:$I$631,HLOOKUP('Personalized Bill Menu'!$B$22, 'Misc. Data &amp; Mechanisms'!$E$599:$I$600, 2, FALSE), FALSE), 'Misc. Data &amp; Mechanisms'!$A$599:$C$659, 2, FALSE), FALSE) = "", "", VLOOKUP($A69, INDIRECT("'" &amp; 'Personalized Bill Menu'!$B$22 &amp; "'!" &amp;"$A$4:$CA$100"), VLOOKUP(VLOOKUP(S$5,'Misc. Data &amp; Mechanisms'!$E$601:$I$631,HLOOKUP('Personalized Bill Menu'!$B$22, 'Misc. Data &amp; Mechanisms'!$E$599:$I$600, 2, FALSE), FALSE), 'Misc. Data &amp; Mechanisms'!$A$599:$C$659, 2, FALSE), FALSE)), ""))</f>
        <v>0.49947000000000003</v>
      </c>
      <c r="T69" s="81" t="str">
        <f ca="1">IF($A69="", "",IFERROR(IF(VLOOKUP($A69, INDIRECT("'" &amp; 'Personalized Bill Menu'!$B$22 &amp; "'!" &amp;"$A$4:$CA$100"), VLOOKUP(VLOOKUP(T$5,'Misc. Data &amp; Mechanisms'!$E$601:$I$631,HLOOKUP('Personalized Bill Menu'!$B$22, 'Misc. Data &amp; Mechanisms'!$E$599:$I$600, 2, FALSE), FALSE), 'Misc. Data &amp; Mechanisms'!$A$599:$C$659, 2, FALSE), FALSE) = "", "", VLOOKUP($A69, INDIRECT("'" &amp; 'Personalized Bill Menu'!$B$22 &amp; "'!" &amp;"$A$4:$CA$100"), VLOOKUP(VLOOKUP(T$5,'Misc. Data &amp; Mechanisms'!$E$601:$I$631,HLOOKUP('Personalized Bill Menu'!$B$22, 'Misc. Data &amp; Mechanisms'!$E$599:$I$600, 2, FALSE), FALSE), 'Misc. Data &amp; Mechanisms'!$A$599:$C$659, 2, FALSE), FALSE)), ""))</f>
        <v/>
      </c>
      <c r="U69" s="72">
        <f t="shared" ca="1" si="11"/>
        <v>5.9368366150765848</v>
      </c>
      <c r="V69" s="72">
        <f t="shared" ca="1" si="12"/>
        <v>15.48357</v>
      </c>
      <c r="W69" s="70" t="str">
        <f t="shared" si="13"/>
        <v/>
      </c>
      <c r="X69" s="78">
        <f>IFERROR(IF(VLOOKUP($A69,'Misc. Data &amp; Mechanisms'!$A$63:$DY$152,HLOOKUP('Personalized Bill Menu'!$B$21&amp;"_"&amp;'Personalized Bill Menu'!$B$22&amp;"_Elec_Y_1",'Misc. Data &amp; Mechanisms'!$A$55:$DY$62,8,FALSE), FALSE)="", "", VLOOKUP($A69,'Misc. Data &amp; Mechanisms'!$A$63:$DY$152,HLOOKUP('Personalized Bill Menu'!$B$21&amp;"_"&amp;'Personalized Bill Menu'!$B$22&amp;"_Elec_Y_1",'Misc. Data &amp; Mechanisms'!$A$55:$DY$62,8,FALSE), FALSE)), "")</f>
        <v>0.1111</v>
      </c>
      <c r="Y69" s="78" t="str">
        <f>IFERROR(IF(VLOOKUP($A69,'Misc. Data &amp; Mechanisms'!$A$63:$DY$152,HLOOKUP('Personalized Bill Menu'!$B$21&amp;"_"&amp;'Personalized Bill Menu'!$B$22&amp;"_Elec_Y_2",'Misc. Data &amp; Mechanisms'!$A$55:$DY$62,8,FALSE), FALSE)="", "", VLOOKUP($A69,'Misc. Data &amp; Mechanisms'!$A$63:$DY$152,HLOOKUP('Personalized Bill Menu'!$B$21&amp;"_"&amp;'Personalized Bill Menu'!$B$22&amp;"_Elec_Y_2",'Misc. Data &amp; Mechanisms'!$A$55:$DY$62,8,FALSE), FALSE)), "")</f>
        <v/>
      </c>
      <c r="Z69" s="72">
        <f ca="1">IF($A69="", "",IFERROR(IF(OR('Personalized Bill Menu'!$B$22="FORTIS", 'Personalized Bill Menu'!$B$22="ATCO"), $X69*($H69+$I69), IF('Personalized Bill Menu'!$B$22="ENMAX",$X69*($H69+$I69+$K69),($X69/100)*$C69)), 0))</f>
        <v>3.7026116896442032</v>
      </c>
      <c r="AA69" s="72">
        <f>IF($A69="", "", IFERROR(IF(OR('Personalized Bill Menu'!$B$22="FORTIS", 'Personalized Bill Menu'!$B$22="ATCO"), $Y69*($H69+$I69), IF('Personalized Bill Menu'!$B$22="ENMAX",$X69*$G69,"")), 0))</f>
        <v>2.2576932241947798</v>
      </c>
      <c r="AB69" s="89">
        <f ca="1">IF($A69="", "",IFERROR(IF(VLOOKUP($A69, INDIRECT("'" &amp; 'Personalized Bill Menu'!$B$22 &amp; "'!" &amp;"$A$4:$CA$100"), VLOOKUP(VLOOKUP("RIDER RATE 1",'Misc. Data &amp; Mechanisms'!$E$601:$I$631,HLOOKUP('Personalized Bill Menu'!$B$22, 'Misc. Data &amp; Mechanisms'!$E$599:$I$600, 2, FALSE), FALSE), 'Misc. Data &amp; Mechanisms'!$A$599:$C$659, 2, FALSE), FALSE) = "", "", VLOOKUP($A69, INDIRECT("'" &amp; 'Personalized Bill Menu'!$B$22 &amp; "'!" &amp;"$A$4:$CA$100"), VLOOKUP(VLOOKUP("RIDER RATE 1",'Misc. Data &amp; Mechanisms'!$E$601:$I$631,HLOOKUP('Personalized Bill Menu'!$B$22, 'Misc. Data &amp; Mechanisms'!$E$599:$I$600, 2, FALSE), FALSE), 'Misc. Data &amp; Mechanisms'!$A$599:$C$659, 2, FALSE), FALSE)), ""))</f>
        <v>0.1129</v>
      </c>
      <c r="AC69" s="69">
        <f ca="1">IF($A69="", "",IFERROR(IF(VLOOKUP($A69, INDIRECT("'" &amp; 'Personalized Bill Menu'!$B$22 &amp; "'!" &amp;"$A$4:$CA$100"), VLOOKUP(VLOOKUP("RIDER RATE 2",'Misc. Data &amp; Mechanisms'!$E$601:$I$631,HLOOKUP('Personalized Bill Menu'!$B$22, 'Misc. Data &amp; Mechanisms'!$E$599:$I$600, 2, FALSE), FALSE), 'Misc. Data &amp; Mechanisms'!$A$599:$C$659, 2, FALSE), FALSE) = "", "", VLOOKUP($A69, INDIRECT("'" &amp; 'Personalized Bill Menu'!$B$22 &amp; "'!" &amp;"$A$4:$CA$100"), VLOOKUP(VLOOKUP("RIDER RATE 2",'Misc. Data &amp; Mechanisms'!$E$601:$I$631,HLOOKUP('Personalized Bill Menu'!$B$22, 'Misc. Data &amp; Mechanisms'!$E$599:$I$600, 2, FALSE), FALSE), 'Misc. Data &amp; Mechanisms'!$A$599:$C$659, 2, FALSE), FALSE)), ""))</f>
        <v>0.49609999999999999</v>
      </c>
      <c r="AD69" s="69" t="str">
        <f ca="1">IF($A69="", "",IFERROR(IF(VLOOKUP($A69, INDIRECT("'" &amp; 'Personalized Bill Menu'!$B$22 &amp; "'!" &amp;"$A$4:$CA$100"), VLOOKUP(VLOOKUP("RIDER RATE 3",'Misc. Data &amp; Mechanisms'!$E$601:$I$631,HLOOKUP('Personalized Bill Menu'!$B$22, 'Misc. Data &amp; Mechanisms'!$E$599:$I$600, 2, FALSE), FALSE), 'Misc. Data &amp; Mechanisms'!$A$599:$C$659, 2, FALSE), FALSE) = "", "", VLOOKUP($A69, INDIRECT("'" &amp; 'Personalized Bill Menu'!$B$22 &amp; "'!" &amp;"$A$4:$CA$100"), VLOOKUP(VLOOKUP("RIDER RATE 3",'Misc. Data &amp; Mechanisms'!$E$601:$I$631,HLOOKUP('Personalized Bill Menu'!$B$22, 'Misc. Data &amp; Mechanisms'!$E$599:$I$600, 2, FALSE), FALSE), 'Misc. Data &amp; Mechanisms'!$A$599:$C$659, 2, FALSE), FALSE)), ""))</f>
        <v/>
      </c>
      <c r="AE69" s="69">
        <f ca="1">IF($A69="", "",IFERROR(IF(VLOOKUP($A69, INDIRECT("'" &amp; 'Personalized Bill Menu'!$B$22 &amp; "'!" &amp;"$A$4:$CA$100"), VLOOKUP(VLOOKUP("RIDER RATE 4",'Misc. Data &amp; Mechanisms'!$E$601:$I$631,HLOOKUP('Personalized Bill Menu'!$B$22, 'Misc. Data &amp; Mechanisms'!$E$599:$I$600, 2, FALSE), FALSE), 'Misc. Data &amp; Mechanisms'!$A$599:$C$659, 2, FALSE), FALSE) = "", "", VLOOKUP($A69, INDIRECT("'" &amp; 'Personalized Bill Menu'!$B$22 &amp; "'!" &amp;"$A$4:$CA$100"), VLOOKUP(VLOOKUP("RIDER RATE 4",'Misc. Data &amp; Mechanisms'!$E$601:$I$631,HLOOKUP('Personalized Bill Menu'!$B$22, 'Misc. Data &amp; Mechanisms'!$E$599:$I$600, 2, FALSE), FALSE), 'Misc. Data &amp; Mechanisms'!$A$599:$C$659, 2, FALSE), FALSE)), ""))</f>
        <v>-0.10299999999999999</v>
      </c>
      <c r="AF69" s="90" t="str">
        <f ca="1">IF($A69="", "",IFERROR(IF(VLOOKUP($A69, INDIRECT("'" &amp; 'Personalized Bill Menu'!$B$22 &amp; "'!" &amp;"$A$4:$CA$100"), VLOOKUP(VLOOKUP("RIDER RATE 5",'Misc. Data &amp; Mechanisms'!$E$601:$I$631,HLOOKUP('Personalized Bill Menu'!$B$22, 'Misc. Data &amp; Mechanisms'!$E$599:$I$600, 2, FALSE), FALSE), 'Misc. Data &amp; Mechanisms'!$A$599:$C$659, 2, FALSE), FALSE) = "", "", VLOOKUP($A69, INDIRECT("'" &amp; 'Personalized Bill Menu'!$B$22 &amp; "'!" &amp;"$A$4:$CA$100"), VLOOKUP(VLOOKUP("RIDER RATE 5",'Misc. Data &amp; Mechanisms'!$E$601:$I$631,HLOOKUP('Personalized Bill Menu'!$B$22, 'Misc. Data &amp; Mechanisms'!$E$599:$I$600, 2, FALSE), FALSE), 'Misc. Data &amp; Mechanisms'!$A$599:$C$659, 2, FALSE), FALSE)), ""))</f>
        <v/>
      </c>
      <c r="AG69" s="90" t="str">
        <f ca="1">IF($A69="", "",IFERROR(IF(VLOOKUP($A69, INDIRECT("'" &amp; 'Personalized Bill Menu'!$B$22 &amp; "'!" &amp;"$A$4:$CA$100"), VLOOKUP(VLOOKUP("RIDER RATE 6",'Misc. Data &amp; Mechanisms'!$E$601:$I$631,HLOOKUP('Personalized Bill Menu'!$B$22, 'Misc. Data &amp; Mechanisms'!$E$599:$I$600, 2, FALSE), FALSE), 'Misc. Data &amp; Mechanisms'!$A$599:$C$659, 2, FALSE), FALSE) = "", "", VLOOKUP($A69, INDIRECT("'" &amp; 'Personalized Bill Menu'!$B$22 &amp; "'!" &amp;"$A$4:$CA$100"), VLOOKUP(VLOOKUP("RIDER RATE 6",'Misc. Data &amp; Mechanisms'!$E$601:$I$631,HLOOKUP('Personalized Bill Menu'!$B$22, 'Misc. Data &amp; Mechanisms'!$E$599:$I$600, 2, FALSE), FALSE), 'Misc. Data &amp; Mechanisms'!$A$599:$C$659, 2, FALSE), FALSE)), ""))</f>
        <v/>
      </c>
      <c r="AH69" s="90" t="str">
        <f ca="1">IF($A69="", "",IFERROR(IF(VLOOKUP($A69, INDIRECT("'" &amp; 'Personalized Bill Menu'!$B$22 &amp; "'!" &amp;"$A$4:$CA$100"), VLOOKUP(VLOOKUP("RIDER RATE 7",'Misc. Data &amp; Mechanisms'!$E$601:$I$631,HLOOKUP('Personalized Bill Menu'!$B$22, 'Misc. Data &amp; Mechanisms'!$E$599:$I$600, 2, FALSE), FALSE), 'Misc. Data &amp; Mechanisms'!$A$599:$C$659, 2, FALSE), FALSE) = "", "", VLOOKUP($A69, INDIRECT("'" &amp; 'Personalized Bill Menu'!$B$22 &amp; "'!" &amp;"$A$4:$CA$100"), VLOOKUP(VLOOKUP("RIDER RATE 7",'Misc. Data &amp; Mechanisms'!$E$601:$I$631,HLOOKUP('Personalized Bill Menu'!$B$22, 'Misc. Data &amp; Mechanisms'!$E$599:$I$600, 2, FALSE), FALSE), 'Misc. Data &amp; Mechanisms'!$A$599:$C$659, 2, FALSE), FALSE)), ""))</f>
        <v/>
      </c>
      <c r="AI69" s="72">
        <f t="shared" ca="1" si="14"/>
        <v>0.66713332720428631</v>
      </c>
      <c r="AJ69" s="72">
        <f t="shared" ca="1" si="15"/>
        <v>2.9314866574494816</v>
      </c>
      <c r="AK69" s="72">
        <f ca="1">IF($A69="", "", IFERROR(IF($AD$6="%",IF('Personalized Bill Menu'!$B$22="ENMAX", $AD69*$I69, IF(AND($AD69="", 'Personalized Bill Menu'!$B$22="FORTIS"),($AE69/100)*$C69,$AD69*$H69)),($AD69/100)*$C69), 0))</f>
        <v>0</v>
      </c>
      <c r="AL69" s="72">
        <f ca="1">IF($A69="", "", IFERROR(IF('Personalized Bill Menu'!$B$22="ENMAX",$AE69*$B69,IF($AE$6="%",$AE69*($H69+$I69+$J69), IF('Personalized Bill Menu'!$B$22="FORTIS",$AF69*$I69,($AE69/100)*$C69))), 0))</f>
        <v>-3.1929999999999996</v>
      </c>
      <c r="AM69" s="72" t="str">
        <f>IF($A69="", "", IFERROR(IF('Personalized Bill Menu'!$B$22="EPCOR",($AF69/100)*$C69, IF('Personalized Bill Menu'!$B$22="ATCO",$AF69*1,"")), 0))</f>
        <v/>
      </c>
      <c r="AN69" s="72" t="str">
        <f>IF($A69="", "", IFERROR(IF('Personalized Bill Menu'!$B$22="ATCO",$AG69*$B69,""), 0))</f>
        <v/>
      </c>
      <c r="AO69" s="70" t="str">
        <f>IF($A69="", "", IFERROR(IF('Personalized Bill Menu'!$B$22="ATCO",$AH69*$B69,""), 0))</f>
        <v/>
      </c>
      <c r="AP69" s="81">
        <f>IF('Personalized Bill Menu'!$B$34&lt;&gt;"Natural Gas", 'Personalized Bill Menu'!$K66, "")</f>
        <v>0.2064</v>
      </c>
      <c r="AQ69" s="72">
        <f t="shared" si="16"/>
        <v>6.3983999999999996</v>
      </c>
      <c r="AR69" s="91">
        <f ca="1">IF($A69="", "",IF(VLOOKUP($A69, INDIRECT("'" &amp; 'Personalized Bill Menu'!$B$22 &amp; "'!" &amp;"$A$4:$CA$100"), VLOOKUP(VLOOKUP(AR$5,'Misc. Data &amp; Mechanisms'!$E$601:$I$631,HLOOKUP('Personalized Bill Menu'!$B$22, 'Misc. Data &amp; Mechanisms'!$E$599:$I$600, 2, FALSE), FALSE), 'Misc. Data &amp; Mechanisms'!$A$599:$C$659, 2, FALSE), FALSE) = "", "", VLOOKUP($A69, INDIRECT("'" &amp; 'Personalized Bill Menu'!$B$22 &amp; "'!" &amp;"$A$4:$CA$100"), VLOOKUP(VLOOKUP(AR$5,'Misc. Data &amp; Mechanisms'!$E$601:$I$631,HLOOKUP('Personalized Bill Menu'!$B$22, 'Misc. Data &amp; Mechanisms'!$E$599:$I$600, 2, FALSE), FALSE), 'Misc. Data &amp; Mechanisms'!$A$599:$C$659, 2, FALSE), FALSE)))</f>
        <v>0.05</v>
      </c>
    </row>
    <row r="70" spans="1:44" x14ac:dyDescent="0.35">
      <c r="A70" s="83">
        <f>'Personalized Bill Menu'!$H67</f>
        <v>42826</v>
      </c>
      <c r="B70" s="84">
        <f t="shared" si="0"/>
        <v>30</v>
      </c>
      <c r="C70" s="85">
        <f>IF('Personalized Bill Menu'!$B$34&lt;&gt;"Natural Gas", 'Personalized Bill Menu'!$I67, "")</f>
        <v>521.96284196970953</v>
      </c>
      <c r="D70" s="66">
        <f t="shared" ca="1" si="17"/>
        <v>12.777203589706412</v>
      </c>
      <c r="E70" s="66">
        <f ca="1">IFERROR((1+$AR70)*(IF('Personalized Bill Menu'!$B$22="ENMAX", ((1+IFERROR($X70, 0))*($N70+$P70+$R70+$AB70+$AC70))+((1+IF($X70="", 0,$X70))*(IF($AD70="", 0,$AD70)*$R70)), IF('Personalized Bill Menu'!$B$22="EPCOR", ($N70+$P70+$R70+$X70+SUM($AB70:$AE70)), IF('Personalized Bill Menu'!$B$22="ATCO",($N70+((1+IF($AE70="", 0,$AE70))*(1+$X70+$Y70)*($P70+$R70))+SUM($AB70:$AD70)),IF($AD70="",$N70+((1+$X70+$Y70)*($P70+$R70))+$AB70+$AE70+(IF($AC70="", 0, $AC70)*$P70)+($R70*IF($AF70="", 0, $AF70)),$N70+((1+$X70+$Y70)*($P70+$R70))+$AB70+($AD70*$P70)+(IF($AC70="", 0, $AC70)*$P70)+($R70*IF($AF70="", 0, $AF70))))))), "")</f>
        <v>8.8731112680000006</v>
      </c>
      <c r="F70" s="1469">
        <f t="shared" ca="1" si="1"/>
        <v>66.692254981087331</v>
      </c>
      <c r="G70" s="66">
        <f t="shared" si="2"/>
        <v>15.954838190488111</v>
      </c>
      <c r="H70" s="66">
        <f t="shared" ca="1" si="3"/>
        <v>10.158962793256455</v>
      </c>
      <c r="I70" s="66">
        <f t="shared" ca="1" si="4"/>
        <v>20.228260673269673</v>
      </c>
      <c r="J70" s="66">
        <f t="shared" ca="1" si="5"/>
        <v>5.731927406473039</v>
      </c>
      <c r="K70" s="66">
        <f t="shared" ca="1" si="6"/>
        <v>5.25044425183399</v>
      </c>
      <c r="L70" s="66">
        <f t="shared" si="7"/>
        <v>6.1920000000000002</v>
      </c>
      <c r="M70" s="68">
        <f t="shared" ca="1" si="8"/>
        <v>3.1758216657660636</v>
      </c>
      <c r="N70" s="69">
        <f>IF('Personalized Bill Menu'!$B$34&lt;&gt;"Natural Gas", 'Personalized Bill Menu'!$J67, "")</f>
        <v>3.0567000000000002</v>
      </c>
      <c r="O70" s="70">
        <f t="shared" si="9"/>
        <v>15.954838190488111</v>
      </c>
      <c r="P70" s="71">
        <f ca="1">IF($A70="", "",IFERROR(IF(VLOOKUP($A70, INDIRECT("'" &amp; 'Personalized Bill Menu'!$B$22 &amp; "'!" &amp;"$A$4:$CA$100"), VLOOKUP(VLOOKUP(P$5,'Misc. Data &amp; Mechanisms'!$E$601:$I$631,HLOOKUP('Personalized Bill Menu'!$B$22, 'Misc. Data &amp; Mechanisms'!$E$599:$I$600, 2, FALSE), FALSE), 'Misc. Data &amp; Mechanisms'!$A$599:$C$659, 2, FALSE), FALSE) = "", "", VLOOKUP($A70, INDIRECT("'" &amp; 'Personalized Bill Menu'!$B$22 &amp; "'!" &amp;"$A$4:$CA$100"), VLOOKUP(VLOOKUP(P$5,'Misc. Data &amp; Mechanisms'!$E$601:$I$631,HLOOKUP('Personalized Bill Menu'!$B$22, 'Misc. Data &amp; Mechanisms'!$E$599:$I$600, 2, FALSE), FALSE), 'Misc. Data &amp; Mechanisms'!$A$599:$C$659, 2, FALSE), FALSE)), ""))</f>
        <v>1.9462999999999999</v>
      </c>
      <c r="Q70" s="72">
        <f t="shared" ca="1" si="10"/>
        <v>10.158962793256455</v>
      </c>
      <c r="R70" s="87">
        <f ca="1">IF($A70="", "",IFERROR(IF(VLOOKUP($A70, INDIRECT("'" &amp; 'Personalized Bill Menu'!$B$22 &amp; "'!" &amp;"$A$4:$CA$100"), VLOOKUP(VLOOKUP(R$5,'Misc. Data &amp; Mechanisms'!$E$601:$I$631,HLOOKUP('Personalized Bill Menu'!$B$22, 'Misc. Data &amp; Mechanisms'!$E$599:$I$600, 2, FALSE), FALSE), 'Misc. Data &amp; Mechanisms'!$A$599:$C$659, 2, FALSE), FALSE) = "", "", VLOOKUP($A70, INDIRECT("'" &amp; 'Personalized Bill Menu'!$B$22 &amp; "'!" &amp;"$A$4:$CA$100"), VLOOKUP(VLOOKUP(R$5,'Misc. Data &amp; Mechanisms'!$E$601:$I$631,HLOOKUP('Personalized Bill Menu'!$B$22, 'Misc. Data &amp; Mechanisms'!$E$599:$I$600, 2, FALSE), FALSE), 'Misc. Data &amp; Mechanisms'!$A$599:$C$659, 2, FALSE), FALSE)), ""))</f>
        <v>1.0046999999999999</v>
      </c>
      <c r="S70" s="88">
        <f ca="1">IF($A70="", "",IFERROR(IF(VLOOKUP($A70, INDIRECT("'" &amp; 'Personalized Bill Menu'!$B$22 &amp; "'!" &amp;"$A$4:$CA$100"), VLOOKUP(VLOOKUP(S$5,'Misc. Data &amp; Mechanisms'!$E$601:$I$631,HLOOKUP('Personalized Bill Menu'!$B$22, 'Misc. Data &amp; Mechanisms'!$E$599:$I$600, 2, FALSE), FALSE), 'Misc. Data &amp; Mechanisms'!$A$599:$C$659, 2, FALSE), FALSE) = "", "", VLOOKUP($A70, INDIRECT("'" &amp; 'Personalized Bill Menu'!$B$22 &amp; "'!" &amp;"$A$4:$CA$100"), VLOOKUP(VLOOKUP(S$5,'Misc. Data &amp; Mechanisms'!$E$601:$I$631,HLOOKUP('Personalized Bill Menu'!$B$22, 'Misc. Data &amp; Mechanisms'!$E$599:$I$600, 2, FALSE), FALSE), 'Misc. Data &amp; Mechanisms'!$A$599:$C$659, 2, FALSE), FALSE)), ""))</f>
        <v>0.49947000000000003</v>
      </c>
      <c r="T70" s="81" t="str">
        <f ca="1">IF($A70="", "",IFERROR(IF(VLOOKUP($A70, INDIRECT("'" &amp; 'Personalized Bill Menu'!$B$22 &amp; "'!" &amp;"$A$4:$CA$100"), VLOOKUP(VLOOKUP(T$5,'Misc. Data &amp; Mechanisms'!$E$601:$I$631,HLOOKUP('Personalized Bill Menu'!$B$22, 'Misc. Data &amp; Mechanisms'!$E$599:$I$600, 2, FALSE), FALSE), 'Misc. Data &amp; Mechanisms'!$A$599:$C$659, 2, FALSE), FALSE) = "", "", VLOOKUP($A70, INDIRECT("'" &amp; 'Personalized Bill Menu'!$B$22 &amp; "'!" &amp;"$A$4:$CA$100"), VLOOKUP(VLOOKUP(T$5,'Misc. Data &amp; Mechanisms'!$E$601:$I$631,HLOOKUP('Personalized Bill Menu'!$B$22, 'Misc. Data &amp; Mechanisms'!$E$599:$I$600, 2, FALSE), FALSE), 'Misc. Data &amp; Mechanisms'!$A$599:$C$659, 2, FALSE), FALSE)), ""))</f>
        <v/>
      </c>
      <c r="U70" s="72">
        <f t="shared" ca="1" si="11"/>
        <v>5.2441606732696711</v>
      </c>
      <c r="V70" s="72">
        <f t="shared" ca="1" si="12"/>
        <v>14.984100000000002</v>
      </c>
      <c r="W70" s="70" t="str">
        <f t="shared" si="13"/>
        <v/>
      </c>
      <c r="X70" s="78">
        <f>IFERROR(IF(VLOOKUP($A70,'Misc. Data &amp; Mechanisms'!$A$63:$DY$152,HLOOKUP('Personalized Bill Menu'!$B$21&amp;"_"&amp;'Personalized Bill Menu'!$B$22&amp;"_Elec_Y_1",'Misc. Data &amp; Mechanisms'!$A$55:$DY$62,8,FALSE), FALSE)="", "", VLOOKUP($A70,'Misc. Data &amp; Mechanisms'!$A$63:$DY$152,HLOOKUP('Personalized Bill Menu'!$B$21&amp;"_"&amp;'Personalized Bill Menu'!$B$22&amp;"_Elec_Y_1",'Misc. Data &amp; Mechanisms'!$A$55:$DY$62,8,FALSE), FALSE)), "")</f>
        <v>0.1111</v>
      </c>
      <c r="Y70" s="78" t="str">
        <f>IFERROR(IF(VLOOKUP($A70,'Misc. Data &amp; Mechanisms'!$A$63:$DY$152,HLOOKUP('Personalized Bill Menu'!$B$21&amp;"_"&amp;'Personalized Bill Menu'!$B$22&amp;"_Elec_Y_2",'Misc. Data &amp; Mechanisms'!$A$55:$DY$62,8,FALSE), FALSE)="", "", VLOOKUP($A70,'Misc. Data &amp; Mechanisms'!$A$63:$DY$152,HLOOKUP('Personalized Bill Menu'!$B$21&amp;"_"&amp;'Personalized Bill Menu'!$B$22&amp;"_Elec_Y_2",'Misc. Data &amp; Mechanisms'!$A$55:$DY$62,8,FALSE), FALSE)), "")</f>
        <v/>
      </c>
      <c r="Z70" s="72">
        <f ca="1">IF($A70="", "",IFERROR(IF(OR('Personalized Bill Menu'!$B$22="FORTIS", 'Personalized Bill Menu'!$B$22="ATCO"), $X70*($H70+$I70), IF('Personalized Bill Menu'!$B$22="ENMAX",$X70*($H70+$I70+$K70),($X70/100)*$C70)), 0))</f>
        <v>3.9593448835098095</v>
      </c>
      <c r="AA70" s="72">
        <f>IF($A70="", "", IFERROR(IF(OR('Personalized Bill Menu'!$B$22="FORTIS", 'Personalized Bill Menu'!$B$22="ATCO"), $Y70*($H70+$I70), IF('Personalized Bill Menu'!$B$22="ENMAX",$X70*$G70,"")), 0))</f>
        <v>1.7725825229632293</v>
      </c>
      <c r="AB70" s="89">
        <f ca="1">IF($A70="", "",IFERROR(IF(VLOOKUP($A70, INDIRECT("'" &amp; 'Personalized Bill Menu'!$B$22 &amp; "'!" &amp;"$A$4:$CA$100"), VLOOKUP(VLOOKUP("RIDER RATE 1",'Misc. Data &amp; Mechanisms'!$E$601:$I$631,HLOOKUP('Personalized Bill Menu'!$B$22, 'Misc. Data &amp; Mechanisms'!$E$599:$I$600, 2, FALSE), FALSE), 'Misc. Data &amp; Mechanisms'!$A$599:$C$659, 2, FALSE), FALSE) = "", "", VLOOKUP($A70, INDIRECT("'" &amp; 'Personalized Bill Menu'!$B$22 &amp; "'!" &amp;"$A$4:$CA$100"), VLOOKUP(VLOOKUP("RIDER RATE 1",'Misc. Data &amp; Mechanisms'!$E$601:$I$631,HLOOKUP('Personalized Bill Menu'!$B$22, 'Misc. Data &amp; Mechanisms'!$E$599:$I$600, 2, FALSE), FALSE), 'Misc. Data &amp; Mechanisms'!$A$599:$C$659, 2, FALSE), FALSE)), ""))</f>
        <v>0.1129</v>
      </c>
      <c r="AC70" s="69">
        <f ca="1">IF($A70="", "",IFERROR(IF(VLOOKUP($A70, INDIRECT("'" &amp; 'Personalized Bill Menu'!$B$22 &amp; "'!" &amp;"$A$4:$CA$100"), VLOOKUP(VLOOKUP("RIDER RATE 2",'Misc. Data &amp; Mechanisms'!$E$601:$I$631,HLOOKUP('Personalized Bill Menu'!$B$22, 'Misc. Data &amp; Mechanisms'!$E$599:$I$600, 2, FALSE), FALSE), 'Misc. Data &amp; Mechanisms'!$A$599:$C$659, 2, FALSE), FALSE) = "", "", VLOOKUP($A70, INDIRECT("'" &amp; 'Personalized Bill Menu'!$B$22 &amp; "'!" &amp;"$A$4:$CA$100"), VLOOKUP(VLOOKUP("RIDER RATE 2",'Misc. Data &amp; Mechanisms'!$E$601:$I$631,HLOOKUP('Personalized Bill Menu'!$B$22, 'Misc. Data &amp; Mechanisms'!$E$599:$I$600, 2, FALSE), FALSE), 'Misc. Data &amp; Mechanisms'!$A$599:$C$659, 2, FALSE), FALSE)), ""))</f>
        <v>1.4850000000000001</v>
      </c>
      <c r="AD70" s="69" t="str">
        <f ca="1">IF($A70="", "",IFERROR(IF(VLOOKUP($A70, INDIRECT("'" &amp; 'Personalized Bill Menu'!$B$22 &amp; "'!" &amp;"$A$4:$CA$100"), VLOOKUP(VLOOKUP("RIDER RATE 3",'Misc. Data &amp; Mechanisms'!$E$601:$I$631,HLOOKUP('Personalized Bill Menu'!$B$22, 'Misc. Data &amp; Mechanisms'!$E$599:$I$600, 2, FALSE), FALSE), 'Misc. Data &amp; Mechanisms'!$A$599:$C$659, 2, FALSE), FALSE) = "", "", VLOOKUP($A70, INDIRECT("'" &amp; 'Personalized Bill Menu'!$B$22 &amp; "'!" &amp;"$A$4:$CA$100"), VLOOKUP(VLOOKUP("RIDER RATE 3",'Misc. Data &amp; Mechanisms'!$E$601:$I$631,HLOOKUP('Personalized Bill Menu'!$B$22, 'Misc. Data &amp; Mechanisms'!$E$599:$I$600, 2, FALSE), FALSE), 'Misc. Data &amp; Mechanisms'!$A$599:$C$659, 2, FALSE), FALSE)), ""))</f>
        <v/>
      </c>
      <c r="AE70" s="69">
        <f ca="1">IF($A70="", "",IFERROR(IF(VLOOKUP($A70, INDIRECT("'" &amp; 'Personalized Bill Menu'!$B$22 &amp; "'!" &amp;"$A$4:$CA$100"), VLOOKUP(VLOOKUP("RIDER RATE 4",'Misc. Data &amp; Mechanisms'!$E$601:$I$631,HLOOKUP('Personalized Bill Menu'!$B$22, 'Misc. Data &amp; Mechanisms'!$E$599:$I$600, 2, FALSE), FALSE), 'Misc. Data &amp; Mechanisms'!$A$599:$C$659, 2, FALSE), FALSE) = "", "", VLOOKUP($A70, INDIRECT("'" &amp; 'Personalized Bill Menu'!$B$22 &amp; "'!" &amp;"$A$4:$CA$100"), VLOOKUP(VLOOKUP("RIDER RATE 4",'Misc. Data &amp; Mechanisms'!$E$601:$I$631,HLOOKUP('Personalized Bill Menu'!$B$22, 'Misc. Data &amp; Mechanisms'!$E$599:$I$600, 2, FALSE), FALSE), 'Misc. Data &amp; Mechanisms'!$A$599:$C$659, 2, FALSE), FALSE)), ""))</f>
        <v>-0.10299999999999999</v>
      </c>
      <c r="AF70" s="90" t="str">
        <f ca="1">IF($A70="", "",IFERROR(IF(VLOOKUP($A70, INDIRECT("'" &amp; 'Personalized Bill Menu'!$B$22 &amp; "'!" &amp;"$A$4:$CA$100"), VLOOKUP(VLOOKUP("RIDER RATE 5",'Misc. Data &amp; Mechanisms'!$E$601:$I$631,HLOOKUP('Personalized Bill Menu'!$B$22, 'Misc. Data &amp; Mechanisms'!$E$599:$I$600, 2, FALSE), FALSE), 'Misc. Data &amp; Mechanisms'!$A$599:$C$659, 2, FALSE), FALSE) = "", "", VLOOKUP($A70, INDIRECT("'" &amp; 'Personalized Bill Menu'!$B$22 &amp; "'!" &amp;"$A$4:$CA$100"), VLOOKUP(VLOOKUP("RIDER RATE 5",'Misc. Data &amp; Mechanisms'!$E$601:$I$631,HLOOKUP('Personalized Bill Menu'!$B$22, 'Misc. Data &amp; Mechanisms'!$E$599:$I$600, 2, FALSE), FALSE), 'Misc. Data &amp; Mechanisms'!$A$599:$C$659, 2, FALSE), FALSE)), ""))</f>
        <v/>
      </c>
      <c r="AG70" s="90" t="str">
        <f ca="1">IF($A70="", "",IFERROR(IF(VLOOKUP($A70, INDIRECT("'" &amp; 'Personalized Bill Menu'!$B$22 &amp; "'!" &amp;"$A$4:$CA$100"), VLOOKUP(VLOOKUP("RIDER RATE 6",'Misc. Data &amp; Mechanisms'!$E$601:$I$631,HLOOKUP('Personalized Bill Menu'!$B$22, 'Misc. Data &amp; Mechanisms'!$E$599:$I$600, 2, FALSE), FALSE), 'Misc. Data &amp; Mechanisms'!$A$599:$C$659, 2, FALSE), FALSE) = "", "", VLOOKUP($A70, INDIRECT("'" &amp; 'Personalized Bill Menu'!$B$22 &amp; "'!" &amp;"$A$4:$CA$100"), VLOOKUP(VLOOKUP("RIDER RATE 6",'Misc. Data &amp; Mechanisms'!$E$601:$I$631,HLOOKUP('Personalized Bill Menu'!$B$22, 'Misc. Data &amp; Mechanisms'!$E$599:$I$600, 2, FALSE), FALSE), 'Misc. Data &amp; Mechanisms'!$A$599:$C$659, 2, FALSE), FALSE)), ""))</f>
        <v/>
      </c>
      <c r="AH70" s="90" t="str">
        <f ca="1">IF($A70="", "",IFERROR(IF(VLOOKUP($A70, INDIRECT("'" &amp; 'Personalized Bill Menu'!$B$22 &amp; "'!" &amp;"$A$4:$CA$100"), VLOOKUP(VLOOKUP("RIDER RATE 7",'Misc. Data &amp; Mechanisms'!$E$601:$I$631,HLOOKUP('Personalized Bill Menu'!$B$22, 'Misc. Data &amp; Mechanisms'!$E$599:$I$600, 2, FALSE), FALSE), 'Misc. Data &amp; Mechanisms'!$A$599:$C$659, 2, FALSE), FALSE) = "", "", VLOOKUP($A70, INDIRECT("'" &amp; 'Personalized Bill Menu'!$B$22 &amp; "'!" &amp;"$A$4:$CA$100"), VLOOKUP(VLOOKUP("RIDER RATE 7",'Misc. Data &amp; Mechanisms'!$E$601:$I$631,HLOOKUP('Personalized Bill Menu'!$B$22, 'Misc. Data &amp; Mechanisms'!$E$599:$I$600, 2, FALSE), FALSE), 'Misc. Data &amp; Mechanisms'!$A$599:$C$659, 2, FALSE), FALSE)), ""))</f>
        <v/>
      </c>
      <c r="AI70" s="72">
        <f t="shared" ca="1" si="14"/>
        <v>0.58929604858380202</v>
      </c>
      <c r="AJ70" s="72">
        <f t="shared" ca="1" si="15"/>
        <v>7.7511482032501871</v>
      </c>
      <c r="AK70" s="72">
        <f ca="1">IF($A70="", "", IFERROR(IF($AD$6="%",IF('Personalized Bill Menu'!$B$22="ENMAX", $AD70*$I70, IF(AND($AD70="", 'Personalized Bill Menu'!$B$22="FORTIS"),($AE70/100)*$C70,$AD70*$H70)),($AD70/100)*$C70), 0))</f>
        <v>0</v>
      </c>
      <c r="AL70" s="72">
        <f ca="1">IF($A70="", "", IFERROR(IF('Personalized Bill Menu'!$B$22="ENMAX",$AE70*$B70,IF($AE$6="%",$AE70*($H70+$I70+$J70), IF('Personalized Bill Menu'!$B$22="FORTIS",$AF70*$I70,($AE70/100)*$C70))), 0))</f>
        <v>-3.09</v>
      </c>
      <c r="AM70" s="72" t="str">
        <f>IF($A70="", "", IFERROR(IF('Personalized Bill Menu'!$B$22="EPCOR",($AF70/100)*$C70, IF('Personalized Bill Menu'!$B$22="ATCO",$AF70*1,"")), 0))</f>
        <v/>
      </c>
      <c r="AN70" s="72" t="str">
        <f>IF($A70="", "", IFERROR(IF('Personalized Bill Menu'!$B$22="ATCO",$AG70*$B70,""), 0))</f>
        <v/>
      </c>
      <c r="AO70" s="70" t="str">
        <f>IF($A70="", "", IFERROR(IF('Personalized Bill Menu'!$B$22="ATCO",$AH70*$B70,""), 0))</f>
        <v/>
      </c>
      <c r="AP70" s="81">
        <f>IF('Personalized Bill Menu'!$B$34&lt;&gt;"Natural Gas", 'Personalized Bill Menu'!$K67, "")</f>
        <v>0.2064</v>
      </c>
      <c r="AQ70" s="72">
        <f t="shared" si="16"/>
        <v>6.1920000000000002</v>
      </c>
      <c r="AR70" s="91">
        <f ca="1">IF($A70="", "",IF(VLOOKUP($A70, INDIRECT("'" &amp; 'Personalized Bill Menu'!$B$22 &amp; "'!" &amp;"$A$4:$CA$100"), VLOOKUP(VLOOKUP(AR$5,'Misc. Data &amp; Mechanisms'!$E$601:$I$631,HLOOKUP('Personalized Bill Menu'!$B$22, 'Misc. Data &amp; Mechanisms'!$E$599:$I$600, 2, FALSE), FALSE), 'Misc. Data &amp; Mechanisms'!$A$599:$C$659, 2, FALSE), FALSE) = "", "", VLOOKUP($A70, INDIRECT("'" &amp; 'Personalized Bill Menu'!$B$22 &amp; "'!" &amp;"$A$4:$CA$100"), VLOOKUP(VLOOKUP(AR$5,'Misc. Data &amp; Mechanisms'!$E$601:$I$631,HLOOKUP('Personalized Bill Menu'!$B$22, 'Misc. Data &amp; Mechanisms'!$E$599:$I$600, 2, FALSE), FALSE), 'Misc. Data &amp; Mechanisms'!$A$599:$C$659, 2, FALSE), FALSE)))</f>
        <v>0.05</v>
      </c>
    </row>
    <row r="71" spans="1:44" x14ac:dyDescent="0.35">
      <c r="A71" s="83">
        <f>'Personalized Bill Menu'!$H68</f>
        <v>42856</v>
      </c>
      <c r="B71" s="84">
        <f t="shared" si="0"/>
        <v>31</v>
      </c>
      <c r="C71" s="85">
        <f>IF('Personalized Bill Menu'!$B$34&lt;&gt;"Natural Gas", 'Personalized Bill Menu'!$I68, "")</f>
        <v>499.78475479463549</v>
      </c>
      <c r="D71" s="66">
        <f t="shared" ca="1" si="17"/>
        <v>13.74630762148321</v>
      </c>
      <c r="E71" s="66">
        <f ca="1">IFERROR((1+$AR71)*(IF('Personalized Bill Menu'!$B$22="ENMAX", ((1+IFERROR($X71, 0))*($N71+$P71+$R71+$AB71+$AC71))+((1+IF($X71="", 0,$X71))*(IF($AD71="", 0,$AD71)*$R71)), IF('Personalized Bill Menu'!$B$22="EPCOR", ($N71+$P71+$R71+$X71+SUM($AB71:$AE71)), IF('Personalized Bill Menu'!$B$22="ATCO",($N71+((1+IF($AE71="", 0,$AE71))*(1+$X71+$Y71)*($P71+$R71))+SUM($AB71:$AD71)),IF($AD71="",$N71+((1+$X71+$Y71)*($P71+$R71))+$AB71+$AE71+(IF($AC71="", 0, $AC71)*$P71)+($R71*IF($AF71="", 0, $AF71)),$N71+((1+$X71+$Y71)*($P71+$R71))+$AB71+($AD71*$P71)+(IF($AC71="", 0, $AC71)*$P71)+($R71*IF($AF71="", 0, $AF71))))))), "")</f>
        <v>8.7877121220000003</v>
      </c>
      <c r="F71" s="1469">
        <f t="shared" ca="1" si="1"/>
        <v>68.701949839346156</v>
      </c>
      <c r="G71" s="66">
        <f t="shared" ref="G71:G96" si="18">IF($A71="", "", IFERROR(SUM($O71), ""))</f>
        <v>14.911078159297949</v>
      </c>
      <c r="H71" s="66">
        <f t="shared" ca="1" si="3"/>
        <v>9.7273106825679889</v>
      </c>
      <c r="I71" s="66">
        <f t="shared" ca="1" si="4"/>
        <v>20.504907431421703</v>
      </c>
      <c r="J71" s="66">
        <f t="shared" ca="1" si="5"/>
        <v>5.9026715482737888</v>
      </c>
      <c r="K71" s="66">
        <f t="shared" ca="1" si="6"/>
        <v>7.9860605968634806</v>
      </c>
      <c r="L71" s="66">
        <f t="shared" si="7"/>
        <v>6.3983999999999996</v>
      </c>
      <c r="M71" s="68">
        <f t="shared" ca="1" si="8"/>
        <v>3.2715214209212458</v>
      </c>
      <c r="N71" s="69">
        <f>IF('Personalized Bill Menu'!$B$34&lt;&gt;"Natural Gas", 'Personalized Bill Menu'!$J68, "")</f>
        <v>2.9834999999999998</v>
      </c>
      <c r="O71" s="70">
        <f t="shared" si="9"/>
        <v>14.911078159297949</v>
      </c>
      <c r="P71" s="71">
        <f ca="1">IF($A71="", "",IFERROR(IF(VLOOKUP($A71, INDIRECT("'" &amp; 'Personalized Bill Menu'!$B$22 &amp; "'!" &amp;"$A$4:$CA$100"), VLOOKUP(VLOOKUP(P$5,'Misc. Data &amp; Mechanisms'!$E$601:$I$631,HLOOKUP('Personalized Bill Menu'!$B$22, 'Misc. Data &amp; Mechanisms'!$E$599:$I$600, 2, FALSE), FALSE), 'Misc. Data &amp; Mechanisms'!$A$599:$C$659, 2, FALSE), FALSE) = "", "", VLOOKUP($A71, INDIRECT("'" &amp; 'Personalized Bill Menu'!$B$22 &amp; "'!" &amp;"$A$4:$CA$100"), VLOOKUP(VLOOKUP(P$5,'Misc. Data &amp; Mechanisms'!$E$601:$I$631,HLOOKUP('Personalized Bill Menu'!$B$22, 'Misc. Data &amp; Mechanisms'!$E$599:$I$600, 2, FALSE), FALSE), 'Misc. Data &amp; Mechanisms'!$A$599:$C$659, 2, FALSE), FALSE)), ""))</f>
        <v>1.9462999999999999</v>
      </c>
      <c r="Q71" s="72">
        <f t="shared" ca="1" si="10"/>
        <v>9.7273106825679889</v>
      </c>
      <c r="R71" s="87">
        <f ca="1">IF($A71="", "",IFERROR(IF(VLOOKUP($A71, INDIRECT("'" &amp; 'Personalized Bill Menu'!$B$22 &amp; "'!" &amp;"$A$4:$CA$100"), VLOOKUP(VLOOKUP(R$5,'Misc. Data &amp; Mechanisms'!$E$601:$I$631,HLOOKUP('Personalized Bill Menu'!$B$22, 'Misc. Data &amp; Mechanisms'!$E$599:$I$600, 2, FALSE), FALSE), 'Misc. Data &amp; Mechanisms'!$A$599:$C$659, 2, FALSE), FALSE) = "", "", VLOOKUP($A71, INDIRECT("'" &amp; 'Personalized Bill Menu'!$B$22 &amp; "'!" &amp;"$A$4:$CA$100"), VLOOKUP(VLOOKUP(R$5,'Misc. Data &amp; Mechanisms'!$E$601:$I$631,HLOOKUP('Personalized Bill Menu'!$B$22, 'Misc. Data &amp; Mechanisms'!$E$599:$I$600, 2, FALSE), FALSE), 'Misc. Data &amp; Mechanisms'!$A$599:$C$659, 2, FALSE), FALSE)), ""))</f>
        <v>1.0046999999999999</v>
      </c>
      <c r="S71" s="88">
        <f ca="1">IF($A71="", "",IFERROR(IF(VLOOKUP($A71, INDIRECT("'" &amp; 'Personalized Bill Menu'!$B$22 &amp; "'!" &amp;"$A$4:$CA$100"), VLOOKUP(VLOOKUP(S$5,'Misc. Data &amp; Mechanisms'!$E$601:$I$631,HLOOKUP('Personalized Bill Menu'!$B$22, 'Misc. Data &amp; Mechanisms'!$E$599:$I$600, 2, FALSE), FALSE), 'Misc. Data &amp; Mechanisms'!$A$599:$C$659, 2, FALSE), FALSE) = "", "", VLOOKUP($A71, INDIRECT("'" &amp; 'Personalized Bill Menu'!$B$22 &amp; "'!" &amp;"$A$4:$CA$100"), VLOOKUP(VLOOKUP(S$5,'Misc. Data &amp; Mechanisms'!$E$601:$I$631,HLOOKUP('Personalized Bill Menu'!$B$22, 'Misc. Data &amp; Mechanisms'!$E$599:$I$600, 2, FALSE), FALSE), 'Misc. Data &amp; Mechanisms'!$A$599:$C$659, 2, FALSE), FALSE)), ""))</f>
        <v>0.49947000000000003</v>
      </c>
      <c r="T71" s="81" t="str">
        <f ca="1">IF($A71="", "",IFERROR(IF(VLOOKUP($A71, INDIRECT("'" &amp; 'Personalized Bill Menu'!$B$22 &amp; "'!" &amp;"$A$4:$CA$100"), VLOOKUP(VLOOKUP(T$5,'Misc. Data &amp; Mechanisms'!$E$601:$I$631,HLOOKUP('Personalized Bill Menu'!$B$22, 'Misc. Data &amp; Mechanisms'!$E$599:$I$600, 2, FALSE), FALSE), 'Misc. Data &amp; Mechanisms'!$A$599:$C$659, 2, FALSE), FALSE) = "", "", VLOOKUP($A71, INDIRECT("'" &amp; 'Personalized Bill Menu'!$B$22 &amp; "'!" &amp;"$A$4:$CA$100"), VLOOKUP(VLOOKUP(T$5,'Misc. Data &amp; Mechanisms'!$E$601:$I$631,HLOOKUP('Personalized Bill Menu'!$B$22, 'Misc. Data &amp; Mechanisms'!$E$599:$I$600, 2, FALSE), FALSE), 'Misc. Data &amp; Mechanisms'!$A$599:$C$659, 2, FALSE), FALSE)), ""))</f>
        <v/>
      </c>
      <c r="U71" s="72">
        <f t="shared" ca="1" si="11"/>
        <v>5.0213374314217019</v>
      </c>
      <c r="V71" s="72">
        <f t="shared" ca="1" si="12"/>
        <v>15.48357</v>
      </c>
      <c r="W71" s="70" t="str">
        <f t="shared" si="13"/>
        <v/>
      </c>
      <c r="X71" s="78">
        <f>IFERROR(IF(VLOOKUP($A71,'Misc. Data &amp; Mechanisms'!$A$63:$DY$152,HLOOKUP('Personalized Bill Menu'!$B$21&amp;"_"&amp;'Personalized Bill Menu'!$B$22&amp;"_Elec_Y_1",'Misc. Data &amp; Mechanisms'!$A$55:$DY$62,8,FALSE), FALSE)="", "", VLOOKUP($A71,'Misc. Data &amp; Mechanisms'!$A$63:$DY$152,HLOOKUP('Personalized Bill Menu'!$B$21&amp;"_"&amp;'Personalized Bill Menu'!$B$22&amp;"_Elec_Y_1",'Misc. Data &amp; Mechanisms'!$A$55:$DY$62,8,FALSE), FALSE)), "")</f>
        <v>0.1111</v>
      </c>
      <c r="Y71" s="78" t="str">
        <f>IFERROR(IF(VLOOKUP($A71,'Misc. Data &amp; Mechanisms'!$A$63:$DY$152,HLOOKUP('Personalized Bill Menu'!$B$21&amp;"_"&amp;'Personalized Bill Menu'!$B$22&amp;"_Elec_Y_2",'Misc. Data &amp; Mechanisms'!$A$55:$DY$62,8,FALSE), FALSE)="", "", VLOOKUP($A71,'Misc. Data &amp; Mechanisms'!$A$63:$DY$152,HLOOKUP('Personalized Bill Menu'!$B$21&amp;"_"&amp;'Personalized Bill Menu'!$B$22&amp;"_Elec_Y_2",'Misc. Data &amp; Mechanisms'!$A$55:$DY$62,8,FALSE), FALSE)), "")</f>
        <v/>
      </c>
      <c r="Z71" s="72">
        <f ca="1">IF($A71="", "",IFERROR(IF(OR('Personalized Bill Menu'!$B$22="FORTIS", 'Personalized Bill Menu'!$B$22="ATCO"), $X71*($H71+$I71), IF('Personalized Bill Menu'!$B$22="ENMAX",$X71*($H71+$I71+$K71),($X71/100)*$C71)), 0))</f>
        <v>4.246050764775787</v>
      </c>
      <c r="AA71" s="72">
        <f>IF($A71="", "", IFERROR(IF(OR('Personalized Bill Menu'!$B$22="FORTIS", 'Personalized Bill Menu'!$B$22="ATCO"), $Y71*($H71+$I71), IF('Personalized Bill Menu'!$B$22="ENMAX",$X71*$G71,"")), 0))</f>
        <v>1.6566207834980022</v>
      </c>
      <c r="AB71" s="89">
        <f ca="1">IF($A71="", "",IFERROR(IF(VLOOKUP($A71, INDIRECT("'" &amp; 'Personalized Bill Menu'!$B$22 &amp; "'!" &amp;"$A$4:$CA$100"), VLOOKUP(VLOOKUP("RIDER RATE 1",'Misc. Data &amp; Mechanisms'!$E$601:$I$631,HLOOKUP('Personalized Bill Menu'!$B$22, 'Misc. Data &amp; Mechanisms'!$E$599:$I$600, 2, FALSE), FALSE), 'Misc. Data &amp; Mechanisms'!$A$599:$C$659, 2, FALSE), FALSE) = "", "", VLOOKUP($A71, INDIRECT("'" &amp; 'Personalized Bill Menu'!$B$22 &amp; "'!" &amp;"$A$4:$CA$100"), VLOOKUP(VLOOKUP("RIDER RATE 1",'Misc. Data &amp; Mechanisms'!$E$601:$I$631,HLOOKUP('Personalized Bill Menu'!$B$22, 'Misc. Data &amp; Mechanisms'!$E$599:$I$600, 2, FALSE), FALSE), 'Misc. Data &amp; Mechanisms'!$A$599:$C$659, 2, FALSE), FALSE)), ""))</f>
        <v>0.1129</v>
      </c>
      <c r="AC71" s="69">
        <f ca="1">IF($A71="", "",IFERROR(IF(VLOOKUP($A71, INDIRECT("'" &amp; 'Personalized Bill Menu'!$B$22 &amp; "'!" &amp;"$A$4:$CA$100"), VLOOKUP(VLOOKUP("RIDER RATE 2",'Misc. Data &amp; Mechanisms'!$E$601:$I$631,HLOOKUP('Personalized Bill Menu'!$B$22, 'Misc. Data &amp; Mechanisms'!$E$599:$I$600, 2, FALSE), FALSE), 'Misc. Data &amp; Mechanisms'!$A$599:$C$659, 2, FALSE), FALSE) = "", "", VLOOKUP($A71, INDIRECT("'" &amp; 'Personalized Bill Menu'!$B$22 &amp; "'!" &amp;"$A$4:$CA$100"), VLOOKUP(VLOOKUP("RIDER RATE 2",'Misc. Data &amp; Mechanisms'!$E$601:$I$631,HLOOKUP('Personalized Bill Menu'!$B$22, 'Misc. Data &amp; Mechanisms'!$E$599:$I$600, 2, FALSE), FALSE), 'Misc. Data &amp; Mechanisms'!$A$599:$C$659, 2, FALSE), FALSE)), ""))</f>
        <v>1.4850000000000001</v>
      </c>
      <c r="AD71" s="69" t="str">
        <f ca="1">IF($A71="", "",IFERROR(IF(VLOOKUP($A71, INDIRECT("'" &amp; 'Personalized Bill Menu'!$B$22 &amp; "'!" &amp;"$A$4:$CA$100"), VLOOKUP(VLOOKUP("RIDER RATE 3",'Misc. Data &amp; Mechanisms'!$E$601:$I$631,HLOOKUP('Personalized Bill Menu'!$B$22, 'Misc. Data &amp; Mechanisms'!$E$599:$I$600, 2, FALSE), FALSE), 'Misc. Data &amp; Mechanisms'!$A$599:$C$659, 2, FALSE), FALSE) = "", "", VLOOKUP($A71, INDIRECT("'" &amp; 'Personalized Bill Menu'!$B$22 &amp; "'!" &amp;"$A$4:$CA$100"), VLOOKUP(VLOOKUP("RIDER RATE 3",'Misc. Data &amp; Mechanisms'!$E$601:$I$631,HLOOKUP('Personalized Bill Menu'!$B$22, 'Misc. Data &amp; Mechanisms'!$E$599:$I$600, 2, FALSE), FALSE), 'Misc. Data &amp; Mechanisms'!$A$599:$C$659, 2, FALSE), FALSE)), ""))</f>
        <v/>
      </c>
      <c r="AE71" s="69" t="str">
        <f ca="1">IF($A71="", "",IFERROR(IF(VLOOKUP($A71, INDIRECT("'" &amp; 'Personalized Bill Menu'!$B$22 &amp; "'!" &amp;"$A$4:$CA$100"), VLOOKUP(VLOOKUP("RIDER RATE 4",'Misc. Data &amp; Mechanisms'!$E$601:$I$631,HLOOKUP('Personalized Bill Menu'!$B$22, 'Misc. Data &amp; Mechanisms'!$E$599:$I$600, 2, FALSE), FALSE), 'Misc. Data &amp; Mechanisms'!$A$599:$C$659, 2, FALSE), FALSE) = "", "", VLOOKUP($A71, INDIRECT("'" &amp; 'Personalized Bill Menu'!$B$22 &amp; "'!" &amp;"$A$4:$CA$100"), VLOOKUP(VLOOKUP("RIDER RATE 4",'Misc. Data &amp; Mechanisms'!$E$601:$I$631,HLOOKUP('Personalized Bill Menu'!$B$22, 'Misc. Data &amp; Mechanisms'!$E$599:$I$600, 2, FALSE), FALSE), 'Misc. Data &amp; Mechanisms'!$A$599:$C$659, 2, FALSE), FALSE)), ""))</f>
        <v/>
      </c>
      <c r="AF71" s="90" t="str">
        <f ca="1">IF($A71="", "",IFERROR(IF(VLOOKUP($A71, INDIRECT("'" &amp; 'Personalized Bill Menu'!$B$22 &amp; "'!" &amp;"$A$4:$CA$100"), VLOOKUP(VLOOKUP("RIDER RATE 5",'Misc. Data &amp; Mechanisms'!$E$601:$I$631,HLOOKUP('Personalized Bill Menu'!$B$22, 'Misc. Data &amp; Mechanisms'!$E$599:$I$600, 2, FALSE), FALSE), 'Misc. Data &amp; Mechanisms'!$A$599:$C$659, 2, FALSE), FALSE) = "", "", VLOOKUP($A71, INDIRECT("'" &amp; 'Personalized Bill Menu'!$B$22 &amp; "'!" &amp;"$A$4:$CA$100"), VLOOKUP(VLOOKUP("RIDER RATE 5",'Misc. Data &amp; Mechanisms'!$E$601:$I$631,HLOOKUP('Personalized Bill Menu'!$B$22, 'Misc. Data &amp; Mechanisms'!$E$599:$I$600, 2, FALSE), FALSE), 'Misc. Data &amp; Mechanisms'!$A$599:$C$659, 2, FALSE), FALSE)), ""))</f>
        <v/>
      </c>
      <c r="AG71" s="90" t="str">
        <f ca="1">IF($A71="", "",IFERROR(IF(VLOOKUP($A71, INDIRECT("'" &amp; 'Personalized Bill Menu'!$B$22 &amp; "'!" &amp;"$A$4:$CA$100"), VLOOKUP(VLOOKUP("RIDER RATE 6",'Misc. Data &amp; Mechanisms'!$E$601:$I$631,HLOOKUP('Personalized Bill Menu'!$B$22, 'Misc. Data &amp; Mechanisms'!$E$599:$I$600, 2, FALSE), FALSE), 'Misc. Data &amp; Mechanisms'!$A$599:$C$659, 2, FALSE), FALSE) = "", "", VLOOKUP($A71, INDIRECT("'" &amp; 'Personalized Bill Menu'!$B$22 &amp; "'!" &amp;"$A$4:$CA$100"), VLOOKUP(VLOOKUP("RIDER RATE 6",'Misc. Data &amp; Mechanisms'!$E$601:$I$631,HLOOKUP('Personalized Bill Menu'!$B$22, 'Misc. Data &amp; Mechanisms'!$E$599:$I$600, 2, FALSE), FALSE), 'Misc. Data &amp; Mechanisms'!$A$599:$C$659, 2, FALSE), FALSE)), ""))</f>
        <v/>
      </c>
      <c r="AH71" s="90" t="str">
        <f ca="1">IF($A71="", "",IFERROR(IF(VLOOKUP($A71, INDIRECT("'" &amp; 'Personalized Bill Menu'!$B$22 &amp; "'!" &amp;"$A$4:$CA$100"), VLOOKUP(VLOOKUP("RIDER RATE 7",'Misc. Data &amp; Mechanisms'!$E$601:$I$631,HLOOKUP('Personalized Bill Menu'!$B$22, 'Misc. Data &amp; Mechanisms'!$E$599:$I$600, 2, FALSE), FALSE), 'Misc. Data &amp; Mechanisms'!$A$599:$C$659, 2, FALSE), FALSE) = "", "", VLOOKUP($A71, INDIRECT("'" &amp; 'Personalized Bill Menu'!$B$22 &amp; "'!" &amp;"$A$4:$CA$100"), VLOOKUP(VLOOKUP("RIDER RATE 7",'Misc. Data &amp; Mechanisms'!$E$601:$I$631,HLOOKUP('Personalized Bill Menu'!$B$22, 'Misc. Data &amp; Mechanisms'!$E$599:$I$600, 2, FALSE), FALSE), 'Misc. Data &amp; Mechanisms'!$A$599:$C$659, 2, FALSE), FALSE)), ""))</f>
        <v/>
      </c>
      <c r="AI71" s="72">
        <f t="shared" ca="1" si="14"/>
        <v>0.56425698816314351</v>
      </c>
      <c r="AJ71" s="72">
        <f t="shared" ca="1" si="15"/>
        <v>7.421803608700337</v>
      </c>
      <c r="AK71" s="72">
        <f ca="1">IF($A71="", "", IFERROR(IF($AD$6="%",IF('Personalized Bill Menu'!$B$22="ENMAX", $AD71*$I71, IF(AND($AD71="", 'Personalized Bill Menu'!$B$22="FORTIS"),($AE71/100)*$C71,$AD71*$H71)),($AD71/100)*$C71), 0))</f>
        <v>0</v>
      </c>
      <c r="AL71" s="72">
        <f ca="1">IF($A71="", "", IFERROR(IF('Personalized Bill Menu'!$B$22="ENMAX",$AE71*$B71,IF($AE$6="%",$AE71*($H71+$I71+$J71), IF('Personalized Bill Menu'!$B$22="FORTIS",$AF71*$I71,($AE71/100)*$C71))), 0))</f>
        <v>0</v>
      </c>
      <c r="AM71" s="72" t="str">
        <f>IF($A71="", "", IFERROR(IF('Personalized Bill Menu'!$B$22="EPCOR",($AF71/100)*$C71, IF('Personalized Bill Menu'!$B$22="ATCO",$AF71*1,"")), 0))</f>
        <v/>
      </c>
      <c r="AN71" s="72" t="str">
        <f>IF($A71="", "", IFERROR(IF('Personalized Bill Menu'!$B$22="ATCO",$AG71*$B71,""), 0))</f>
        <v/>
      </c>
      <c r="AO71" s="70" t="str">
        <f>IF($A71="", "", IFERROR(IF('Personalized Bill Menu'!$B$22="ATCO",$AH71*$B71,""), 0))</f>
        <v/>
      </c>
      <c r="AP71" s="81">
        <f>IF('Personalized Bill Menu'!$B$34&lt;&gt;"Natural Gas", 'Personalized Bill Menu'!$K68, "")</f>
        <v>0.2064</v>
      </c>
      <c r="AQ71" s="72">
        <f t="shared" si="16"/>
        <v>6.3983999999999996</v>
      </c>
      <c r="AR71" s="91">
        <f ca="1">IF($A71="", "",IF(VLOOKUP($A71, INDIRECT("'" &amp; 'Personalized Bill Menu'!$B$22 &amp; "'!" &amp;"$A$4:$CA$100"), VLOOKUP(VLOOKUP(AR$5,'Misc. Data &amp; Mechanisms'!$E$601:$I$631,HLOOKUP('Personalized Bill Menu'!$B$22, 'Misc. Data &amp; Mechanisms'!$E$599:$I$600, 2, FALSE), FALSE), 'Misc. Data &amp; Mechanisms'!$A$599:$C$659, 2, FALSE), FALSE) = "", "", VLOOKUP($A71, INDIRECT("'" &amp; 'Personalized Bill Menu'!$B$22 &amp; "'!" &amp;"$A$4:$CA$100"), VLOOKUP(VLOOKUP(AR$5,'Misc. Data &amp; Mechanisms'!$E$601:$I$631,HLOOKUP('Personalized Bill Menu'!$B$22, 'Misc. Data &amp; Mechanisms'!$E$599:$I$600, 2, FALSE), FALSE), 'Misc. Data &amp; Mechanisms'!$A$599:$C$659, 2, FALSE), FALSE)))</f>
        <v>0.05</v>
      </c>
    </row>
    <row r="72" spans="1:44" x14ac:dyDescent="0.35">
      <c r="A72" s="83">
        <f>'Personalized Bill Menu'!$H69</f>
        <v>42887</v>
      </c>
      <c r="B72" s="84">
        <f t="shared" ref="B72:B96" si="19">IFERROR(DAY(DATE(YEAR($A72),MONTH($A72)+1,1)-1), "")</f>
        <v>30</v>
      </c>
      <c r="C72" s="85">
        <f>IF('Personalized Bill Menu'!$B$34&lt;&gt;"Natural Gas", 'Personalized Bill Menu'!$I69, "")</f>
        <v>476.9507488479735</v>
      </c>
      <c r="D72" s="66">
        <f t="shared" ca="1" si="17"/>
        <v>14.295816280310733</v>
      </c>
      <c r="E72" s="66">
        <f ca="1">IFERROR((1+$AR72)*(IF('Personalized Bill Menu'!$B$22="ENMAX", ((1+IFERROR($X72, 0))*($N72+$P72+$R72+$AB72+$AC72))+((1+IF($X72="", 0,$X72))*(IF($AD72="", 0,$AD72)*$R72)), IF('Personalized Bill Menu'!$B$22="EPCOR", ($N72+$P72+$R72+$X72+SUM($AB72:$AE72)), IF('Personalized Bill Menu'!$B$22="ATCO",($N72+((1+IF($AE72="", 0,$AE72))*(1+$X72+$Y72)*($P72+$R72))+SUM($AB72:$AD72)),IF($AD72="",$N72+((1+$X72+$Y72)*($P72+$R72))+$AB72+$AE72+(IF($AC72="", 0, $AC72)*$P72)+($R72*IF($AF72="", 0, $AF72)),$N72+((1+$X72+$Y72)*($P72+$R72))+$AB72+($AD72*$P72)+(IF($AC72="", 0, $AC72)*$P72)+($R72*IF($AF72="", 0, $AF72))))))), "")</f>
        <v>9.2674406579999982</v>
      </c>
      <c r="F72" s="1469">
        <f t="shared" ref="F72:F96" ca="1" si="20">IF($A72="", "", IFERROR(SUM($G72:$M72), ""))</f>
        <v>68.184002802872556</v>
      </c>
      <c r="G72" s="66">
        <f t="shared" si="18"/>
        <v>16.191047071142155</v>
      </c>
      <c r="H72" s="66">
        <f t="shared" ref="H72:H96" ca="1" si="21">IF($A72="", "", IFERROR(SUM($Q72), ""))</f>
        <v>9.2828924248281073</v>
      </c>
      <c r="I72" s="66">
        <f t="shared" ref="I72:I96" ca="1" si="22">IF($A72="", "",IFERROR(SUM($U72:$W72), ""))</f>
        <v>19.776024173675591</v>
      </c>
      <c r="J72" s="66">
        <f t="shared" ref="J72:J96" ca="1" si="23">IF($A72="", "", IFERROR(SUM($Z72:$AA72), ""))</f>
        <v>5.8739858410576753</v>
      </c>
      <c r="K72" s="66">
        <f t="shared" ref="K72:K90" ca="1" si="24">IF($A72="", "", IFERROR(SUM($AI72:$AO72), ""))</f>
        <v>7.6211960158417691</v>
      </c>
      <c r="L72" s="66">
        <f t="shared" ref="L72:L96" si="25">IF($A72="", "", IFERROR(SUM($AQ72), ""))</f>
        <v>6.1920000000000002</v>
      </c>
      <c r="M72" s="68">
        <f t="shared" ref="M72:M96" ca="1" si="26">IF($A72="", "", IFERROR(SUM($AR72)*SUM($G72:$L72), ""))</f>
        <v>3.246857276327265</v>
      </c>
      <c r="N72" s="69">
        <f>IF('Personalized Bill Menu'!$B$34&lt;&gt;"Natural Gas", 'Personalized Bill Menu'!$J69, "")</f>
        <v>3.3946999999999998</v>
      </c>
      <c r="O72" s="70">
        <f t="shared" ref="O72:O96" si="27">IF($A72="", "", IFERROR(($N72/100)*$C72, 0))</f>
        <v>16.191047071142155</v>
      </c>
      <c r="P72" s="71">
        <f ca="1">IF($A72="", "",IFERROR(IF(VLOOKUP($A72, INDIRECT("'" &amp; 'Personalized Bill Menu'!$B$22 &amp; "'!" &amp;"$A$4:$CA$100"), VLOOKUP(VLOOKUP(P$5,'Misc. Data &amp; Mechanisms'!$E$601:$I$631,HLOOKUP('Personalized Bill Menu'!$B$22, 'Misc. Data &amp; Mechanisms'!$E$599:$I$600, 2, FALSE), FALSE), 'Misc. Data &amp; Mechanisms'!$A$599:$C$659, 2, FALSE), FALSE) = "", "", VLOOKUP($A72, INDIRECT("'" &amp; 'Personalized Bill Menu'!$B$22 &amp; "'!" &amp;"$A$4:$CA$100"), VLOOKUP(VLOOKUP(P$5,'Misc. Data &amp; Mechanisms'!$E$601:$I$631,HLOOKUP('Personalized Bill Menu'!$B$22, 'Misc. Data &amp; Mechanisms'!$E$599:$I$600, 2, FALSE), FALSE), 'Misc. Data &amp; Mechanisms'!$A$599:$C$659, 2, FALSE), FALSE)), ""))</f>
        <v>1.9462999999999999</v>
      </c>
      <c r="Q72" s="72">
        <f t="shared" ref="Q72:Q96" ca="1" si="28">IF($A72="", "", IFERROR(($P72/100)*$C72, 0))</f>
        <v>9.2828924248281073</v>
      </c>
      <c r="R72" s="87">
        <f ca="1">IF($A72="", "",IFERROR(IF(VLOOKUP($A72, INDIRECT("'" &amp; 'Personalized Bill Menu'!$B$22 &amp; "'!" &amp;"$A$4:$CA$100"), VLOOKUP(VLOOKUP(R$5,'Misc. Data &amp; Mechanisms'!$E$601:$I$631,HLOOKUP('Personalized Bill Menu'!$B$22, 'Misc. Data &amp; Mechanisms'!$E$599:$I$600, 2, FALSE), FALSE), 'Misc. Data &amp; Mechanisms'!$A$599:$C$659, 2, FALSE), FALSE) = "", "", VLOOKUP($A72, INDIRECT("'" &amp; 'Personalized Bill Menu'!$B$22 &amp; "'!" &amp;"$A$4:$CA$100"), VLOOKUP(VLOOKUP(R$5,'Misc. Data &amp; Mechanisms'!$E$601:$I$631,HLOOKUP('Personalized Bill Menu'!$B$22, 'Misc. Data &amp; Mechanisms'!$E$599:$I$600, 2, FALSE), FALSE), 'Misc. Data &amp; Mechanisms'!$A$599:$C$659, 2, FALSE), FALSE)), ""))</f>
        <v>1.0046999999999999</v>
      </c>
      <c r="S72" s="88">
        <f ca="1">IF($A72="", "",IFERROR(IF(VLOOKUP($A72, INDIRECT("'" &amp; 'Personalized Bill Menu'!$B$22 &amp; "'!" &amp;"$A$4:$CA$100"), VLOOKUP(VLOOKUP(S$5,'Misc. Data &amp; Mechanisms'!$E$601:$I$631,HLOOKUP('Personalized Bill Menu'!$B$22, 'Misc. Data &amp; Mechanisms'!$E$599:$I$600, 2, FALSE), FALSE), 'Misc. Data &amp; Mechanisms'!$A$599:$C$659, 2, FALSE), FALSE) = "", "", VLOOKUP($A72, INDIRECT("'" &amp; 'Personalized Bill Menu'!$B$22 &amp; "'!" &amp;"$A$4:$CA$100"), VLOOKUP(VLOOKUP(S$5,'Misc. Data &amp; Mechanisms'!$E$601:$I$631,HLOOKUP('Personalized Bill Menu'!$B$22, 'Misc. Data &amp; Mechanisms'!$E$599:$I$600, 2, FALSE), FALSE), 'Misc. Data &amp; Mechanisms'!$A$599:$C$659, 2, FALSE), FALSE)), ""))</f>
        <v>0.49947000000000003</v>
      </c>
      <c r="T72" s="81" t="str">
        <f ca="1">IF($A72="", "",IFERROR(IF(VLOOKUP($A72, INDIRECT("'" &amp; 'Personalized Bill Menu'!$B$22 &amp; "'!" &amp;"$A$4:$CA$100"), VLOOKUP(VLOOKUP(T$5,'Misc. Data &amp; Mechanisms'!$E$601:$I$631,HLOOKUP('Personalized Bill Menu'!$B$22, 'Misc. Data &amp; Mechanisms'!$E$599:$I$600, 2, FALSE), FALSE), 'Misc. Data &amp; Mechanisms'!$A$599:$C$659, 2, FALSE), FALSE) = "", "", VLOOKUP($A72, INDIRECT("'" &amp; 'Personalized Bill Menu'!$B$22 &amp; "'!" &amp;"$A$4:$CA$100"), VLOOKUP(VLOOKUP(T$5,'Misc. Data &amp; Mechanisms'!$E$601:$I$631,HLOOKUP('Personalized Bill Menu'!$B$22, 'Misc. Data &amp; Mechanisms'!$E$599:$I$600, 2, FALSE), FALSE), 'Misc. Data &amp; Mechanisms'!$A$599:$C$659, 2, FALSE), FALSE)), ""))</f>
        <v/>
      </c>
      <c r="U72" s="72">
        <f t="shared" ref="U72:U96" ca="1" si="29">IF($A72="", "", IFERROR(($R72/100)*$C72, 0))</f>
        <v>4.7919241736755893</v>
      </c>
      <c r="V72" s="72">
        <f t="shared" ref="V72:V96" ca="1" si="30">IF($A72="", "", IFERROR(IF($S$6="$/day", $S72*$B72, ($S72/100)*$B72),0))</f>
        <v>14.984100000000002</v>
      </c>
      <c r="W72" s="70" t="str">
        <f t="shared" ref="W72:W96" si="31">IF($A72="", "", IFERROR(IF($T$6="", "", ($T72/100)*$B72),0))</f>
        <v/>
      </c>
      <c r="X72" s="78">
        <f>IFERROR(IF(VLOOKUP($A72,'Misc. Data &amp; Mechanisms'!$A$63:$DY$152,HLOOKUP('Personalized Bill Menu'!$B$21&amp;"_"&amp;'Personalized Bill Menu'!$B$22&amp;"_Elec_Y_1",'Misc. Data &amp; Mechanisms'!$A$55:$DY$62,8,FALSE), FALSE)="", "", VLOOKUP($A72,'Misc. Data &amp; Mechanisms'!$A$63:$DY$152,HLOOKUP('Personalized Bill Menu'!$B$21&amp;"_"&amp;'Personalized Bill Menu'!$B$22&amp;"_Elec_Y_1",'Misc. Data &amp; Mechanisms'!$A$55:$DY$62,8,FALSE), FALSE)), "")</f>
        <v>0.1111</v>
      </c>
      <c r="Y72" s="78" t="str">
        <f>IFERROR(IF(VLOOKUP($A72,'Misc. Data &amp; Mechanisms'!$A$63:$DY$152,HLOOKUP('Personalized Bill Menu'!$B$21&amp;"_"&amp;'Personalized Bill Menu'!$B$22&amp;"_Elec_Y_2",'Misc. Data &amp; Mechanisms'!$A$55:$DY$62,8,FALSE), FALSE)="", "", VLOOKUP($A72,'Misc. Data &amp; Mechanisms'!$A$63:$DY$152,HLOOKUP('Personalized Bill Menu'!$B$21&amp;"_"&amp;'Personalized Bill Menu'!$B$22&amp;"_Elec_Y_2",'Misc. Data &amp; Mechanisms'!$A$55:$DY$62,8,FALSE), FALSE)), "")</f>
        <v/>
      </c>
      <c r="Z72" s="72">
        <f ca="1">IF($A72="", "",IFERROR(IF(OR('Personalized Bill Menu'!$B$22="FORTIS", 'Personalized Bill Menu'!$B$22="ATCO"), $X72*($H72+$I72), IF('Personalized Bill Menu'!$B$22="ENMAX",$X72*($H72+$I72+$K72),($X72/100)*$C72)), 0))</f>
        <v>4.0751605114537819</v>
      </c>
      <c r="AA72" s="72">
        <f>IF($A72="", "", IFERROR(IF(OR('Personalized Bill Menu'!$B$22="FORTIS", 'Personalized Bill Menu'!$B$22="ATCO"), $Y72*($H72+$I72), IF('Personalized Bill Menu'!$B$22="ENMAX",$X72*$G72,"")), 0))</f>
        <v>1.7988253296038934</v>
      </c>
      <c r="AB72" s="89">
        <f ca="1">IF($A72="", "",IFERROR(IF(VLOOKUP($A72, INDIRECT("'" &amp; 'Personalized Bill Menu'!$B$22 &amp; "'!" &amp;"$A$4:$CA$100"), VLOOKUP(VLOOKUP("RIDER RATE 1",'Misc. Data &amp; Mechanisms'!$E$601:$I$631,HLOOKUP('Personalized Bill Menu'!$B$22, 'Misc. Data &amp; Mechanisms'!$E$599:$I$600, 2, FALSE), FALSE), 'Misc. Data &amp; Mechanisms'!$A$599:$C$659, 2, FALSE), FALSE) = "", "", VLOOKUP($A72, INDIRECT("'" &amp; 'Personalized Bill Menu'!$B$22 &amp; "'!" &amp;"$A$4:$CA$100"), VLOOKUP(VLOOKUP("RIDER RATE 1",'Misc. Data &amp; Mechanisms'!$E$601:$I$631,HLOOKUP('Personalized Bill Menu'!$B$22, 'Misc. Data &amp; Mechanisms'!$E$599:$I$600, 2, FALSE), FALSE), 'Misc. Data &amp; Mechanisms'!$A$599:$C$659, 2, FALSE), FALSE)), ""))</f>
        <v>0.1129</v>
      </c>
      <c r="AC72" s="69">
        <f ca="1">IF($A72="", "",IFERROR(IF(VLOOKUP($A72, INDIRECT("'" &amp; 'Personalized Bill Menu'!$B$22 &amp; "'!" &amp;"$A$4:$CA$100"), VLOOKUP(VLOOKUP("RIDER RATE 2",'Misc. Data &amp; Mechanisms'!$E$601:$I$631,HLOOKUP('Personalized Bill Menu'!$B$22, 'Misc. Data &amp; Mechanisms'!$E$599:$I$600, 2, FALSE), FALSE), 'Misc. Data &amp; Mechanisms'!$A$599:$C$659, 2, FALSE), FALSE) = "", "", VLOOKUP($A72, INDIRECT("'" &amp; 'Personalized Bill Menu'!$B$22 &amp; "'!" &amp;"$A$4:$CA$100"), VLOOKUP(VLOOKUP("RIDER RATE 2",'Misc. Data &amp; Mechanisms'!$E$601:$I$631,HLOOKUP('Personalized Bill Menu'!$B$22, 'Misc. Data &amp; Mechanisms'!$E$599:$I$600, 2, FALSE), FALSE), 'Misc. Data &amp; Mechanisms'!$A$599:$C$659, 2, FALSE), FALSE)), ""))</f>
        <v>1.4850000000000001</v>
      </c>
      <c r="AD72" s="69" t="str">
        <f ca="1">IF($A72="", "",IFERROR(IF(VLOOKUP($A72, INDIRECT("'" &amp; 'Personalized Bill Menu'!$B$22 &amp; "'!" &amp;"$A$4:$CA$100"), VLOOKUP(VLOOKUP("RIDER RATE 3",'Misc. Data &amp; Mechanisms'!$E$601:$I$631,HLOOKUP('Personalized Bill Menu'!$B$22, 'Misc. Data &amp; Mechanisms'!$E$599:$I$600, 2, FALSE), FALSE), 'Misc. Data &amp; Mechanisms'!$A$599:$C$659, 2, FALSE), FALSE) = "", "", VLOOKUP($A72, INDIRECT("'" &amp; 'Personalized Bill Menu'!$B$22 &amp; "'!" &amp;"$A$4:$CA$100"), VLOOKUP(VLOOKUP("RIDER RATE 3",'Misc. Data &amp; Mechanisms'!$E$601:$I$631,HLOOKUP('Personalized Bill Menu'!$B$22, 'Misc. Data &amp; Mechanisms'!$E$599:$I$600, 2, FALSE), FALSE), 'Misc. Data &amp; Mechanisms'!$A$599:$C$659, 2, FALSE), FALSE)), ""))</f>
        <v/>
      </c>
      <c r="AE72" s="69" t="str">
        <f ca="1">IF($A72="", "",IFERROR(IF(VLOOKUP($A72, INDIRECT("'" &amp; 'Personalized Bill Menu'!$B$22 &amp; "'!" &amp;"$A$4:$CA$100"), VLOOKUP(VLOOKUP("RIDER RATE 4",'Misc. Data &amp; Mechanisms'!$E$601:$I$631,HLOOKUP('Personalized Bill Menu'!$B$22, 'Misc. Data &amp; Mechanisms'!$E$599:$I$600, 2, FALSE), FALSE), 'Misc. Data &amp; Mechanisms'!$A$599:$C$659, 2, FALSE), FALSE) = "", "", VLOOKUP($A72, INDIRECT("'" &amp; 'Personalized Bill Menu'!$B$22 &amp; "'!" &amp;"$A$4:$CA$100"), VLOOKUP(VLOOKUP("RIDER RATE 4",'Misc. Data &amp; Mechanisms'!$E$601:$I$631,HLOOKUP('Personalized Bill Menu'!$B$22, 'Misc. Data &amp; Mechanisms'!$E$599:$I$600, 2, FALSE), FALSE), 'Misc. Data &amp; Mechanisms'!$A$599:$C$659, 2, FALSE), FALSE)), ""))</f>
        <v/>
      </c>
      <c r="AF72" s="90" t="str">
        <f ca="1">IF($A72="", "",IFERROR(IF(VLOOKUP($A72, INDIRECT("'" &amp; 'Personalized Bill Menu'!$B$22 &amp; "'!" &amp;"$A$4:$CA$100"), VLOOKUP(VLOOKUP("RIDER RATE 5",'Misc. Data &amp; Mechanisms'!$E$601:$I$631,HLOOKUP('Personalized Bill Menu'!$B$22, 'Misc. Data &amp; Mechanisms'!$E$599:$I$600, 2, FALSE), FALSE), 'Misc. Data &amp; Mechanisms'!$A$599:$C$659, 2, FALSE), FALSE) = "", "", VLOOKUP($A72, INDIRECT("'" &amp; 'Personalized Bill Menu'!$B$22 &amp; "'!" &amp;"$A$4:$CA$100"), VLOOKUP(VLOOKUP("RIDER RATE 5",'Misc. Data &amp; Mechanisms'!$E$601:$I$631,HLOOKUP('Personalized Bill Menu'!$B$22, 'Misc. Data &amp; Mechanisms'!$E$599:$I$600, 2, FALSE), FALSE), 'Misc. Data &amp; Mechanisms'!$A$599:$C$659, 2, FALSE), FALSE)), ""))</f>
        <v/>
      </c>
      <c r="AG72" s="90" t="str">
        <f ca="1">IF($A72="", "",IFERROR(IF(VLOOKUP($A72, INDIRECT("'" &amp; 'Personalized Bill Menu'!$B$22 &amp; "'!" &amp;"$A$4:$CA$100"), VLOOKUP(VLOOKUP("RIDER RATE 6",'Misc. Data &amp; Mechanisms'!$E$601:$I$631,HLOOKUP('Personalized Bill Menu'!$B$22, 'Misc. Data &amp; Mechanisms'!$E$599:$I$600, 2, FALSE), FALSE), 'Misc. Data &amp; Mechanisms'!$A$599:$C$659, 2, FALSE), FALSE) = "", "", VLOOKUP($A72, INDIRECT("'" &amp; 'Personalized Bill Menu'!$B$22 &amp; "'!" &amp;"$A$4:$CA$100"), VLOOKUP(VLOOKUP("RIDER RATE 6",'Misc. Data &amp; Mechanisms'!$E$601:$I$631,HLOOKUP('Personalized Bill Menu'!$B$22, 'Misc. Data &amp; Mechanisms'!$E$599:$I$600, 2, FALSE), FALSE), 'Misc. Data &amp; Mechanisms'!$A$599:$C$659, 2, FALSE), FALSE)), ""))</f>
        <v/>
      </c>
      <c r="AH72" s="90" t="str">
        <f ca="1">IF($A72="", "",IFERROR(IF(VLOOKUP($A72, INDIRECT("'" &amp; 'Personalized Bill Menu'!$B$22 &amp; "'!" &amp;"$A$4:$CA$100"), VLOOKUP(VLOOKUP("RIDER RATE 7",'Misc. Data &amp; Mechanisms'!$E$601:$I$631,HLOOKUP('Personalized Bill Menu'!$B$22, 'Misc. Data &amp; Mechanisms'!$E$599:$I$600, 2, FALSE), FALSE), 'Misc. Data &amp; Mechanisms'!$A$599:$C$659, 2, FALSE), FALSE) = "", "", VLOOKUP($A72, INDIRECT("'" &amp; 'Personalized Bill Menu'!$B$22 &amp; "'!" &amp;"$A$4:$CA$100"), VLOOKUP(VLOOKUP("RIDER RATE 7",'Misc. Data &amp; Mechanisms'!$E$601:$I$631,HLOOKUP('Personalized Bill Menu'!$B$22, 'Misc. Data &amp; Mechanisms'!$E$599:$I$600, 2, FALSE), FALSE), 'Misc. Data &amp; Mechanisms'!$A$599:$C$659, 2, FALSE), FALSE)), ""))</f>
        <v/>
      </c>
      <c r="AI72" s="72">
        <f t="shared" ref="AI72:AI96" ca="1" si="32">IF($A72="", "", IFERROR(($AB72/100)*$C72, 0))</f>
        <v>0.53847739544936213</v>
      </c>
      <c r="AJ72" s="72">
        <f t="shared" ref="AJ72:AJ96" ca="1" si="33">IF($A72="", "", IFERROR(IF($AC$6="%",$AC72*$H72,($AC72/100)*$C72), 0))</f>
        <v>7.0827186203924066</v>
      </c>
      <c r="AK72" s="72">
        <f ca="1">IF($A72="", "", IFERROR(IF($AD$6="%",IF('Personalized Bill Menu'!$B$22="ENMAX", $AD72*$I72, IF(AND($AD72="", 'Personalized Bill Menu'!$B$22="FORTIS"),($AE72/100)*$C72,$AD72*$H72)),($AD72/100)*$C72), 0))</f>
        <v>0</v>
      </c>
      <c r="AL72" s="72">
        <f ca="1">IF($A72="", "", IFERROR(IF('Personalized Bill Menu'!$B$22="ENMAX",$AE72*$B72,IF($AE$6="%",$AE72*($H72+$I72+$J72), IF('Personalized Bill Menu'!$B$22="FORTIS",$AF72*$I72,($AE72/100)*$C72))), 0))</f>
        <v>0</v>
      </c>
      <c r="AM72" s="72" t="str">
        <f>IF($A72="", "", IFERROR(IF('Personalized Bill Menu'!$B$22="EPCOR",($AF72/100)*$C72, IF('Personalized Bill Menu'!$B$22="ATCO",$AF72*1,"")), 0))</f>
        <v/>
      </c>
      <c r="AN72" s="72" t="str">
        <f>IF($A72="", "", IFERROR(IF('Personalized Bill Menu'!$B$22="ATCO",$AG72*$B72,""), 0))</f>
        <v/>
      </c>
      <c r="AO72" s="70" t="str">
        <f>IF($A72="", "", IFERROR(IF('Personalized Bill Menu'!$B$22="ATCO",$AH72*$B72,""), 0))</f>
        <v/>
      </c>
      <c r="AP72" s="81">
        <f>IF('Personalized Bill Menu'!$B$34&lt;&gt;"Natural Gas", 'Personalized Bill Menu'!$K69, "")</f>
        <v>0.2064</v>
      </c>
      <c r="AQ72" s="72">
        <f t="shared" ref="AQ72:AQ96" si="34">IF($A72="", "", IFERROR(IF($AP$6="$/day", $AP72*$B72, $AP72),0))</f>
        <v>6.1920000000000002</v>
      </c>
      <c r="AR72" s="91">
        <f ca="1">IF($A72="", "",IF(VLOOKUP($A72, INDIRECT("'" &amp; 'Personalized Bill Menu'!$B$22 &amp; "'!" &amp;"$A$4:$CA$100"), VLOOKUP(VLOOKUP(AR$5,'Misc. Data &amp; Mechanisms'!$E$601:$I$631,HLOOKUP('Personalized Bill Menu'!$B$22, 'Misc. Data &amp; Mechanisms'!$E$599:$I$600, 2, FALSE), FALSE), 'Misc. Data &amp; Mechanisms'!$A$599:$C$659, 2, FALSE), FALSE) = "", "", VLOOKUP($A72, INDIRECT("'" &amp; 'Personalized Bill Menu'!$B$22 &amp; "'!" &amp;"$A$4:$CA$100"), VLOOKUP(VLOOKUP(AR$5,'Misc. Data &amp; Mechanisms'!$E$601:$I$631,HLOOKUP('Personalized Bill Menu'!$B$22, 'Misc. Data &amp; Mechanisms'!$E$599:$I$600, 2, FALSE), FALSE), 'Misc. Data &amp; Mechanisms'!$A$599:$C$659, 2, FALSE), FALSE)))</f>
        <v>0.05</v>
      </c>
    </row>
    <row r="73" spans="1:44" x14ac:dyDescent="0.35">
      <c r="A73" s="83">
        <f>'Personalized Bill Menu'!$H70</f>
        <v>42917</v>
      </c>
      <c r="B73" s="84">
        <f t="shared" si="19"/>
        <v>31</v>
      </c>
      <c r="C73" s="85">
        <f>IF('Personalized Bill Menu'!$B$34&lt;&gt;"Natural Gas", 'Personalized Bill Menu'!$I70, "")</f>
        <v>553.28116548516766</v>
      </c>
      <c r="D73" s="66">
        <f t="shared" ref="D73:D96" ca="1" si="35">IFERROR(($F73*100)/$C73, "")</f>
        <v>14.696833149878589</v>
      </c>
      <c r="E73" s="66">
        <f ca="1">IFERROR((1+$AR73)*(IF('Personalized Bill Menu'!$B$22="ENMAX", ((1+IFERROR($X73, 0))*($N73+$P73+$R73+$AB73+$AC73))+((1+IF($X73="", 0,$X73))*(IF($AD73="", 0,$AD73)*$R73)), IF('Personalized Bill Menu'!$B$22="EPCOR", ($N73+$P73+$R73+$X73+SUM($AB73:$AE73)), IF('Personalized Bill Menu'!$B$22="ATCO",($N73+((1+IF($AE73="", 0,$AE73))*(1+$X73+$Y73)*($P73+$R73))+SUM($AB73:$AD73)),IF($AD73="",$N73+((1+$X73+$Y73)*($P73+$R73))+$AB73+$AE73+(IF($AC73="", 0, $AC73)*$P73)+($R73*IF($AF73="", 0, $AF73)),$N73+((1+$X73+$Y73)*($P73+$R73))+$AB73+($AD73*$P73)+(IF($AC73="", 0, $AC73)*$P73)+($R73*IF($AF73="", 0, $AF73))))))), "")</f>
        <v>10.217681155499999</v>
      </c>
      <c r="F73" s="1469">
        <f t="shared" ca="1" si="20"/>
        <v>81.314809741058738</v>
      </c>
      <c r="G73" s="66">
        <f t="shared" si="18"/>
        <v>23.308628939559142</v>
      </c>
      <c r="H73" s="66">
        <f t="shared" ca="1" si="21"/>
        <v>10.768511323837817</v>
      </c>
      <c r="I73" s="66">
        <f t="shared" ca="1" si="22"/>
        <v>21.042385869629477</v>
      </c>
      <c r="J73" s="66">
        <f t="shared" ca="1" si="23"/>
        <v>7.1037881895090038</v>
      </c>
      <c r="K73" s="66">
        <f t="shared" ca="1" si="24"/>
        <v>8.8209616213300279</v>
      </c>
      <c r="L73" s="66">
        <f t="shared" si="25"/>
        <v>6.3983999999999996</v>
      </c>
      <c r="M73" s="68">
        <f t="shared" ca="1" si="26"/>
        <v>3.8721337971932734</v>
      </c>
      <c r="N73" s="69">
        <f>IF('Personalized Bill Menu'!$B$34&lt;&gt;"Natural Gas", 'Personalized Bill Menu'!$J70, "")</f>
        <v>4.2127999999999997</v>
      </c>
      <c r="O73" s="70">
        <f t="shared" si="27"/>
        <v>23.308628939559142</v>
      </c>
      <c r="P73" s="71">
        <f ca="1">IF($A73="", "",IFERROR(IF(VLOOKUP($A73, INDIRECT("'" &amp; 'Personalized Bill Menu'!$B$22 &amp; "'!" &amp;"$A$4:$CA$100"), VLOOKUP(VLOOKUP(P$5,'Misc. Data &amp; Mechanisms'!$E$601:$I$631,HLOOKUP('Personalized Bill Menu'!$B$22, 'Misc. Data &amp; Mechanisms'!$E$599:$I$600, 2, FALSE), FALSE), 'Misc. Data &amp; Mechanisms'!$A$599:$C$659, 2, FALSE), FALSE) = "", "", VLOOKUP($A73, INDIRECT("'" &amp; 'Personalized Bill Menu'!$B$22 &amp; "'!" &amp;"$A$4:$CA$100"), VLOOKUP(VLOOKUP(P$5,'Misc. Data &amp; Mechanisms'!$E$601:$I$631,HLOOKUP('Personalized Bill Menu'!$B$22, 'Misc. Data &amp; Mechanisms'!$E$599:$I$600, 2, FALSE), FALSE), 'Misc. Data &amp; Mechanisms'!$A$599:$C$659, 2, FALSE), FALSE)), ""))</f>
        <v>1.9462999999999999</v>
      </c>
      <c r="Q73" s="72">
        <f t="shared" ca="1" si="28"/>
        <v>10.768511323837817</v>
      </c>
      <c r="R73" s="87">
        <f ca="1">IF($A73="", "",IFERROR(IF(VLOOKUP($A73, INDIRECT("'" &amp; 'Personalized Bill Menu'!$B$22 &amp; "'!" &amp;"$A$4:$CA$100"), VLOOKUP(VLOOKUP(R$5,'Misc. Data &amp; Mechanisms'!$E$601:$I$631,HLOOKUP('Personalized Bill Menu'!$B$22, 'Misc. Data &amp; Mechanisms'!$E$599:$I$600, 2, FALSE), FALSE), 'Misc. Data &amp; Mechanisms'!$A$599:$C$659, 2, FALSE), FALSE) = "", "", VLOOKUP($A73, INDIRECT("'" &amp; 'Personalized Bill Menu'!$B$22 &amp; "'!" &amp;"$A$4:$CA$100"), VLOOKUP(VLOOKUP(R$5,'Misc. Data &amp; Mechanisms'!$E$601:$I$631,HLOOKUP('Personalized Bill Menu'!$B$22, 'Misc. Data &amp; Mechanisms'!$E$599:$I$600, 2, FALSE), FALSE), 'Misc. Data &amp; Mechanisms'!$A$599:$C$659, 2, FALSE), FALSE)), ""))</f>
        <v>1.0046999999999999</v>
      </c>
      <c r="S73" s="88">
        <f ca="1">IF($A73="", "",IFERROR(IF(VLOOKUP($A73, INDIRECT("'" &amp; 'Personalized Bill Menu'!$B$22 &amp; "'!" &amp;"$A$4:$CA$100"), VLOOKUP(VLOOKUP(S$5,'Misc. Data &amp; Mechanisms'!$E$601:$I$631,HLOOKUP('Personalized Bill Menu'!$B$22, 'Misc. Data &amp; Mechanisms'!$E$599:$I$600, 2, FALSE), FALSE), 'Misc. Data &amp; Mechanisms'!$A$599:$C$659, 2, FALSE), FALSE) = "", "", VLOOKUP($A73, INDIRECT("'" &amp; 'Personalized Bill Menu'!$B$22 &amp; "'!" &amp;"$A$4:$CA$100"), VLOOKUP(VLOOKUP(S$5,'Misc. Data &amp; Mechanisms'!$E$601:$I$631,HLOOKUP('Personalized Bill Menu'!$B$22, 'Misc. Data &amp; Mechanisms'!$E$599:$I$600, 2, FALSE), FALSE), 'Misc. Data &amp; Mechanisms'!$A$599:$C$659, 2, FALSE), FALSE)), ""))</f>
        <v>0.49947000000000003</v>
      </c>
      <c r="T73" s="81" t="str">
        <f ca="1">IF($A73="", "",IFERROR(IF(VLOOKUP($A73, INDIRECT("'" &amp; 'Personalized Bill Menu'!$B$22 &amp; "'!" &amp;"$A$4:$CA$100"), VLOOKUP(VLOOKUP(T$5,'Misc. Data &amp; Mechanisms'!$E$601:$I$631,HLOOKUP('Personalized Bill Menu'!$B$22, 'Misc. Data &amp; Mechanisms'!$E$599:$I$600, 2, FALSE), FALSE), 'Misc. Data &amp; Mechanisms'!$A$599:$C$659, 2, FALSE), FALSE) = "", "", VLOOKUP($A73, INDIRECT("'" &amp; 'Personalized Bill Menu'!$B$22 &amp; "'!" &amp;"$A$4:$CA$100"), VLOOKUP(VLOOKUP(T$5,'Misc. Data &amp; Mechanisms'!$E$601:$I$631,HLOOKUP('Personalized Bill Menu'!$B$22, 'Misc. Data &amp; Mechanisms'!$E$599:$I$600, 2, FALSE), FALSE), 'Misc. Data &amp; Mechanisms'!$A$599:$C$659, 2, FALSE), FALSE)), ""))</f>
        <v/>
      </c>
      <c r="U73" s="72">
        <f t="shared" ca="1" si="29"/>
        <v>5.5588158696294787</v>
      </c>
      <c r="V73" s="72">
        <f t="shared" ca="1" si="30"/>
        <v>15.48357</v>
      </c>
      <c r="W73" s="70" t="str">
        <f t="shared" si="31"/>
        <v/>
      </c>
      <c r="X73" s="78">
        <f>IFERROR(IF(VLOOKUP($A73,'Misc. Data &amp; Mechanisms'!$A$63:$DY$152,HLOOKUP('Personalized Bill Menu'!$B$21&amp;"_"&amp;'Personalized Bill Menu'!$B$22&amp;"_Elec_Y_1",'Misc. Data &amp; Mechanisms'!$A$55:$DY$62,8,FALSE), FALSE)="", "", VLOOKUP($A73,'Misc. Data &amp; Mechanisms'!$A$63:$DY$152,HLOOKUP('Personalized Bill Menu'!$B$21&amp;"_"&amp;'Personalized Bill Menu'!$B$22&amp;"_Elec_Y_1",'Misc. Data &amp; Mechanisms'!$A$55:$DY$62,8,FALSE), FALSE)), "")</f>
        <v>0.1111</v>
      </c>
      <c r="Y73" s="78" t="str">
        <f>IFERROR(IF(VLOOKUP($A73,'Misc. Data &amp; Mechanisms'!$A$63:$DY$152,HLOOKUP('Personalized Bill Menu'!$B$21&amp;"_"&amp;'Personalized Bill Menu'!$B$22&amp;"_Elec_Y_2",'Misc. Data &amp; Mechanisms'!$A$55:$DY$62,8,FALSE), FALSE)="", "", VLOOKUP($A73,'Misc. Data &amp; Mechanisms'!$A$63:$DY$152,HLOOKUP('Personalized Bill Menu'!$B$21&amp;"_"&amp;'Personalized Bill Menu'!$B$22&amp;"_Elec_Y_2",'Misc. Data &amp; Mechanisms'!$A$55:$DY$62,8,FALSE), FALSE)), "")</f>
        <v/>
      </c>
      <c r="Z73" s="72">
        <f ca="1">IF($A73="", "",IFERROR(IF(OR('Personalized Bill Menu'!$B$22="FORTIS", 'Personalized Bill Menu'!$B$22="ATCO"), $X73*($H73+$I73), IF('Personalized Bill Menu'!$B$22="ENMAX",$X73*($H73+$I73+$K73),($X73/100)*$C73)), 0))</f>
        <v>4.514199514323983</v>
      </c>
      <c r="AA73" s="72">
        <f>IF($A73="", "", IFERROR(IF(OR('Personalized Bill Menu'!$B$22="FORTIS", 'Personalized Bill Menu'!$B$22="ATCO"), $Y73*($H73+$I73), IF('Personalized Bill Menu'!$B$22="ENMAX",$X73*$G73,"")), 0))</f>
        <v>2.5895886751850208</v>
      </c>
      <c r="AB73" s="89">
        <f ca="1">IF($A73="", "",IFERROR(IF(VLOOKUP($A73, INDIRECT("'" &amp; 'Personalized Bill Menu'!$B$22 &amp; "'!" &amp;"$A$4:$CA$100"), VLOOKUP(VLOOKUP("RIDER RATE 1",'Misc. Data &amp; Mechanisms'!$E$601:$I$631,HLOOKUP('Personalized Bill Menu'!$B$22, 'Misc. Data &amp; Mechanisms'!$E$599:$I$600, 2, FALSE), FALSE), 'Misc. Data &amp; Mechanisms'!$A$599:$C$659, 2, FALSE), FALSE) = "", "", VLOOKUP($A73, INDIRECT("'" &amp; 'Personalized Bill Menu'!$B$22 &amp; "'!" &amp;"$A$4:$CA$100"), VLOOKUP(VLOOKUP("RIDER RATE 1",'Misc. Data &amp; Mechanisms'!$E$601:$I$631,HLOOKUP('Personalized Bill Menu'!$B$22, 'Misc. Data &amp; Mechanisms'!$E$599:$I$600, 2, FALSE), FALSE), 'Misc. Data &amp; Mechanisms'!$A$599:$C$659, 2, FALSE), FALSE)), ""))</f>
        <v>0.1129</v>
      </c>
      <c r="AC73" s="69">
        <f ca="1">IF($A73="", "",IFERROR(IF(VLOOKUP($A73, INDIRECT("'" &amp; 'Personalized Bill Menu'!$B$22 &amp; "'!" &amp;"$A$4:$CA$100"), VLOOKUP(VLOOKUP("RIDER RATE 2",'Misc. Data &amp; Mechanisms'!$E$601:$I$631,HLOOKUP('Personalized Bill Menu'!$B$22, 'Misc. Data &amp; Mechanisms'!$E$599:$I$600, 2, FALSE), FALSE), 'Misc. Data &amp; Mechanisms'!$A$599:$C$659, 2, FALSE), FALSE) = "", "", VLOOKUP($A73, INDIRECT("'" &amp; 'Personalized Bill Menu'!$B$22 &amp; "'!" &amp;"$A$4:$CA$100"), VLOOKUP(VLOOKUP("RIDER RATE 2",'Misc. Data &amp; Mechanisms'!$E$601:$I$631,HLOOKUP('Personalized Bill Menu'!$B$22, 'Misc. Data &amp; Mechanisms'!$E$599:$I$600, 2, FALSE), FALSE), 'Misc. Data &amp; Mechanisms'!$A$599:$C$659, 2, FALSE), FALSE)), ""))</f>
        <v>1.4814000000000001</v>
      </c>
      <c r="AD73" s="69" t="str">
        <f ca="1">IF($A73="", "",IFERROR(IF(VLOOKUP($A73, INDIRECT("'" &amp; 'Personalized Bill Menu'!$B$22 &amp; "'!" &amp;"$A$4:$CA$100"), VLOOKUP(VLOOKUP("RIDER RATE 3",'Misc. Data &amp; Mechanisms'!$E$601:$I$631,HLOOKUP('Personalized Bill Menu'!$B$22, 'Misc. Data &amp; Mechanisms'!$E$599:$I$600, 2, FALSE), FALSE), 'Misc. Data &amp; Mechanisms'!$A$599:$C$659, 2, FALSE), FALSE) = "", "", VLOOKUP($A73, INDIRECT("'" &amp; 'Personalized Bill Menu'!$B$22 &amp; "'!" &amp;"$A$4:$CA$100"), VLOOKUP(VLOOKUP("RIDER RATE 3",'Misc. Data &amp; Mechanisms'!$E$601:$I$631,HLOOKUP('Personalized Bill Menu'!$B$22, 'Misc. Data &amp; Mechanisms'!$E$599:$I$600, 2, FALSE), FALSE), 'Misc. Data &amp; Mechanisms'!$A$599:$C$659, 2, FALSE), FALSE)), ""))</f>
        <v/>
      </c>
      <c r="AE73" s="69" t="str">
        <f ca="1">IF($A73="", "",IFERROR(IF(VLOOKUP($A73, INDIRECT("'" &amp; 'Personalized Bill Menu'!$B$22 &amp; "'!" &amp;"$A$4:$CA$100"), VLOOKUP(VLOOKUP("RIDER RATE 4",'Misc. Data &amp; Mechanisms'!$E$601:$I$631,HLOOKUP('Personalized Bill Menu'!$B$22, 'Misc. Data &amp; Mechanisms'!$E$599:$I$600, 2, FALSE), FALSE), 'Misc. Data &amp; Mechanisms'!$A$599:$C$659, 2, FALSE), FALSE) = "", "", VLOOKUP($A73, INDIRECT("'" &amp; 'Personalized Bill Menu'!$B$22 &amp; "'!" &amp;"$A$4:$CA$100"), VLOOKUP(VLOOKUP("RIDER RATE 4",'Misc. Data &amp; Mechanisms'!$E$601:$I$631,HLOOKUP('Personalized Bill Menu'!$B$22, 'Misc. Data &amp; Mechanisms'!$E$599:$I$600, 2, FALSE), FALSE), 'Misc. Data &amp; Mechanisms'!$A$599:$C$659, 2, FALSE), FALSE)), ""))</f>
        <v/>
      </c>
      <c r="AF73" s="90" t="str">
        <f ca="1">IF($A73="", "",IFERROR(IF(VLOOKUP($A73, INDIRECT("'" &amp; 'Personalized Bill Menu'!$B$22 &amp; "'!" &amp;"$A$4:$CA$100"), VLOOKUP(VLOOKUP("RIDER RATE 5",'Misc. Data &amp; Mechanisms'!$E$601:$I$631,HLOOKUP('Personalized Bill Menu'!$B$22, 'Misc. Data &amp; Mechanisms'!$E$599:$I$600, 2, FALSE), FALSE), 'Misc. Data &amp; Mechanisms'!$A$599:$C$659, 2, FALSE), FALSE) = "", "", VLOOKUP($A73, INDIRECT("'" &amp; 'Personalized Bill Menu'!$B$22 &amp; "'!" &amp;"$A$4:$CA$100"), VLOOKUP(VLOOKUP("RIDER RATE 5",'Misc. Data &amp; Mechanisms'!$E$601:$I$631,HLOOKUP('Personalized Bill Menu'!$B$22, 'Misc. Data &amp; Mechanisms'!$E$599:$I$600, 2, FALSE), FALSE), 'Misc. Data &amp; Mechanisms'!$A$599:$C$659, 2, FALSE), FALSE)), ""))</f>
        <v/>
      </c>
      <c r="AG73" s="90" t="str">
        <f ca="1">IF($A73="", "",IFERROR(IF(VLOOKUP($A73, INDIRECT("'" &amp; 'Personalized Bill Menu'!$B$22 &amp; "'!" &amp;"$A$4:$CA$100"), VLOOKUP(VLOOKUP("RIDER RATE 6",'Misc. Data &amp; Mechanisms'!$E$601:$I$631,HLOOKUP('Personalized Bill Menu'!$B$22, 'Misc. Data &amp; Mechanisms'!$E$599:$I$600, 2, FALSE), FALSE), 'Misc. Data &amp; Mechanisms'!$A$599:$C$659, 2, FALSE), FALSE) = "", "", VLOOKUP($A73, INDIRECT("'" &amp; 'Personalized Bill Menu'!$B$22 &amp; "'!" &amp;"$A$4:$CA$100"), VLOOKUP(VLOOKUP("RIDER RATE 6",'Misc. Data &amp; Mechanisms'!$E$601:$I$631,HLOOKUP('Personalized Bill Menu'!$B$22, 'Misc. Data &amp; Mechanisms'!$E$599:$I$600, 2, FALSE), FALSE), 'Misc. Data &amp; Mechanisms'!$A$599:$C$659, 2, FALSE), FALSE)), ""))</f>
        <v/>
      </c>
      <c r="AH73" s="90" t="str">
        <f ca="1">IF($A73="", "",IFERROR(IF(VLOOKUP($A73, INDIRECT("'" &amp; 'Personalized Bill Menu'!$B$22 &amp; "'!" &amp;"$A$4:$CA$100"), VLOOKUP(VLOOKUP("RIDER RATE 7",'Misc. Data &amp; Mechanisms'!$E$601:$I$631,HLOOKUP('Personalized Bill Menu'!$B$22, 'Misc. Data &amp; Mechanisms'!$E$599:$I$600, 2, FALSE), FALSE), 'Misc. Data &amp; Mechanisms'!$A$599:$C$659, 2, FALSE), FALSE) = "", "", VLOOKUP($A73, INDIRECT("'" &amp; 'Personalized Bill Menu'!$B$22 &amp; "'!" &amp;"$A$4:$CA$100"), VLOOKUP(VLOOKUP("RIDER RATE 7",'Misc. Data &amp; Mechanisms'!$E$601:$I$631,HLOOKUP('Personalized Bill Menu'!$B$22, 'Misc. Data &amp; Mechanisms'!$E$599:$I$600, 2, FALSE), FALSE), 'Misc. Data &amp; Mechanisms'!$A$599:$C$659, 2, FALSE), FALSE)), ""))</f>
        <v/>
      </c>
      <c r="AI73" s="72">
        <f t="shared" ca="1" si="32"/>
        <v>0.62465443583275426</v>
      </c>
      <c r="AJ73" s="72">
        <f t="shared" ca="1" si="33"/>
        <v>8.1963071854972736</v>
      </c>
      <c r="AK73" s="72">
        <f ca="1">IF($A73="", "", IFERROR(IF($AD$6="%",IF('Personalized Bill Menu'!$B$22="ENMAX", $AD73*$I73, IF(AND($AD73="", 'Personalized Bill Menu'!$B$22="FORTIS"),($AE73/100)*$C73,$AD73*$H73)),($AD73/100)*$C73), 0))</f>
        <v>0</v>
      </c>
      <c r="AL73" s="72">
        <f ca="1">IF($A73="", "", IFERROR(IF('Personalized Bill Menu'!$B$22="ENMAX",$AE73*$B73,IF($AE$6="%",$AE73*($H73+$I73+$J73), IF('Personalized Bill Menu'!$B$22="FORTIS",$AF73*$I73,($AE73/100)*$C73))), 0))</f>
        <v>0</v>
      </c>
      <c r="AM73" s="72" t="str">
        <f>IF($A73="", "", IFERROR(IF('Personalized Bill Menu'!$B$22="EPCOR",($AF73/100)*$C73, IF('Personalized Bill Menu'!$B$22="ATCO",$AF73*1,"")), 0))</f>
        <v/>
      </c>
      <c r="AN73" s="72" t="str">
        <f>IF($A73="", "", IFERROR(IF('Personalized Bill Menu'!$B$22="ATCO",$AG73*$B73,""), 0))</f>
        <v/>
      </c>
      <c r="AO73" s="70" t="str">
        <f>IF($A73="", "", IFERROR(IF('Personalized Bill Menu'!$B$22="ATCO",$AH73*$B73,""), 0))</f>
        <v/>
      </c>
      <c r="AP73" s="81">
        <f>IF('Personalized Bill Menu'!$B$34&lt;&gt;"Natural Gas", 'Personalized Bill Menu'!$K70, "")</f>
        <v>0.2064</v>
      </c>
      <c r="AQ73" s="72">
        <f t="shared" si="34"/>
        <v>6.3983999999999996</v>
      </c>
      <c r="AR73" s="91">
        <f ca="1">IF($A73="", "",IF(VLOOKUP($A73, INDIRECT("'" &amp; 'Personalized Bill Menu'!$B$22 &amp; "'!" &amp;"$A$4:$CA$100"), VLOOKUP(VLOOKUP(AR$5,'Misc. Data &amp; Mechanisms'!$E$601:$I$631,HLOOKUP('Personalized Bill Menu'!$B$22, 'Misc. Data &amp; Mechanisms'!$E$599:$I$600, 2, FALSE), FALSE), 'Misc. Data &amp; Mechanisms'!$A$599:$C$659, 2, FALSE), FALSE) = "", "", VLOOKUP($A73, INDIRECT("'" &amp; 'Personalized Bill Menu'!$B$22 &amp; "'!" &amp;"$A$4:$CA$100"), VLOOKUP(VLOOKUP(AR$5,'Misc. Data &amp; Mechanisms'!$E$601:$I$631,HLOOKUP('Personalized Bill Menu'!$B$22, 'Misc. Data &amp; Mechanisms'!$E$599:$I$600, 2, FALSE), FALSE), 'Misc. Data &amp; Mechanisms'!$A$599:$C$659, 2, FALSE), FALSE)))</f>
        <v>0.05</v>
      </c>
    </row>
    <row r="74" spans="1:44" x14ac:dyDescent="0.35">
      <c r="A74" s="83">
        <f>'Personalized Bill Menu'!$H71</f>
        <v>42948</v>
      </c>
      <c r="B74" s="84">
        <f t="shared" si="19"/>
        <v>31</v>
      </c>
      <c r="C74" s="85">
        <f>IF('Personalized Bill Menu'!$B$34&lt;&gt;"Natural Gas", 'Personalized Bill Menu'!$I71, "")</f>
        <v>510.2761997497081</v>
      </c>
      <c r="D74" s="66">
        <f t="shared" ca="1" si="35"/>
        <v>14.948560906612462</v>
      </c>
      <c r="E74" s="66">
        <f ca="1">IFERROR((1+$AR74)*(IF('Personalized Bill Menu'!$B$22="ENMAX", ((1+IFERROR($X74, 0))*($N74+$P74+$R74+$AB74+$AC74))+((1+IF($X74="", 0,$X74))*(IF($AD74="", 0,$AD74)*$R74)), IF('Personalized Bill Menu'!$B$22="EPCOR", ($N74+$P74+$R74+$X74+SUM($AB74:$AE74)), IF('Personalized Bill Menu'!$B$22="ATCO",($N74+((1+IF($AE74="", 0,$AE74))*(1+$X74+$Y74)*($P74+$R74))+SUM($AB74:$AD74)),IF($AD74="",$N74+((1+$X74+$Y74)*($P74+$R74))+$AB74+$AE74+(IF($AC74="", 0, $AC74)*$P74)+($R74*IF($AF74="", 0, $AF74)),$N74+((1+$X74+$Y74)*($P74+$R74))+$AB74+($AD74*$P74)+(IF($AC74="", 0, $AC74)*$P74)+($R74*IF($AF74="", 0, $AF74))))))), "")</f>
        <v>10.0919157465</v>
      </c>
      <c r="F74" s="1469">
        <f t="shared" ca="1" si="20"/>
        <v>76.278948511532576</v>
      </c>
      <c r="G74" s="66">
        <f t="shared" si="18"/>
        <v>20.946837999725521</v>
      </c>
      <c r="H74" s="66">
        <f t="shared" ca="1" si="21"/>
        <v>9.9315056757285678</v>
      </c>
      <c r="I74" s="66">
        <f t="shared" ca="1" si="22"/>
        <v>20.610314978885317</v>
      </c>
      <c r="J74" s="66">
        <f t="shared" ca="1" si="23"/>
        <v>6.6242255230820355</v>
      </c>
      <c r="K74" s="66">
        <f t="shared" ca="1" si="24"/>
        <v>8.1353334526095971</v>
      </c>
      <c r="L74" s="66">
        <f t="shared" si="25"/>
        <v>6.3983999999999996</v>
      </c>
      <c r="M74" s="68">
        <f t="shared" ca="1" si="26"/>
        <v>3.6323308815015518</v>
      </c>
      <c r="N74" s="69">
        <f>IF('Personalized Bill Menu'!$B$34&lt;&gt;"Natural Gas", 'Personalized Bill Menu'!$J71, "")</f>
        <v>4.1050000000000004</v>
      </c>
      <c r="O74" s="70">
        <f t="shared" si="27"/>
        <v>20.946837999725521</v>
      </c>
      <c r="P74" s="71">
        <f ca="1">IF($A74="", "",IFERROR(IF(VLOOKUP($A74, INDIRECT("'" &amp; 'Personalized Bill Menu'!$B$22 &amp; "'!" &amp;"$A$4:$CA$100"), VLOOKUP(VLOOKUP(P$5,'Misc. Data &amp; Mechanisms'!$E$601:$I$631,HLOOKUP('Personalized Bill Menu'!$B$22, 'Misc. Data &amp; Mechanisms'!$E$599:$I$600, 2, FALSE), FALSE), 'Misc. Data &amp; Mechanisms'!$A$599:$C$659, 2, FALSE), FALSE) = "", "", VLOOKUP($A74, INDIRECT("'" &amp; 'Personalized Bill Menu'!$B$22 &amp; "'!" &amp;"$A$4:$CA$100"), VLOOKUP(VLOOKUP(P$5,'Misc. Data &amp; Mechanisms'!$E$601:$I$631,HLOOKUP('Personalized Bill Menu'!$B$22, 'Misc. Data &amp; Mechanisms'!$E$599:$I$600, 2, FALSE), FALSE), 'Misc. Data &amp; Mechanisms'!$A$599:$C$659, 2, FALSE), FALSE)), ""))</f>
        <v>1.9462999999999999</v>
      </c>
      <c r="Q74" s="72">
        <f t="shared" ca="1" si="28"/>
        <v>9.9315056757285678</v>
      </c>
      <c r="R74" s="87">
        <f ca="1">IF($A74="", "",IFERROR(IF(VLOOKUP($A74, INDIRECT("'" &amp; 'Personalized Bill Menu'!$B$22 &amp; "'!" &amp;"$A$4:$CA$100"), VLOOKUP(VLOOKUP(R$5,'Misc. Data &amp; Mechanisms'!$E$601:$I$631,HLOOKUP('Personalized Bill Menu'!$B$22, 'Misc. Data &amp; Mechanisms'!$E$599:$I$600, 2, FALSE), FALSE), 'Misc. Data &amp; Mechanisms'!$A$599:$C$659, 2, FALSE), FALSE) = "", "", VLOOKUP($A74, INDIRECT("'" &amp; 'Personalized Bill Menu'!$B$22 &amp; "'!" &amp;"$A$4:$CA$100"), VLOOKUP(VLOOKUP(R$5,'Misc. Data &amp; Mechanisms'!$E$601:$I$631,HLOOKUP('Personalized Bill Menu'!$B$22, 'Misc. Data &amp; Mechanisms'!$E$599:$I$600, 2, FALSE), FALSE), 'Misc. Data &amp; Mechanisms'!$A$599:$C$659, 2, FALSE), FALSE)), ""))</f>
        <v>1.0046999999999999</v>
      </c>
      <c r="S74" s="88">
        <f ca="1">IF($A74="", "",IFERROR(IF(VLOOKUP($A74, INDIRECT("'" &amp; 'Personalized Bill Menu'!$B$22 &amp; "'!" &amp;"$A$4:$CA$100"), VLOOKUP(VLOOKUP(S$5,'Misc. Data &amp; Mechanisms'!$E$601:$I$631,HLOOKUP('Personalized Bill Menu'!$B$22, 'Misc. Data &amp; Mechanisms'!$E$599:$I$600, 2, FALSE), FALSE), 'Misc. Data &amp; Mechanisms'!$A$599:$C$659, 2, FALSE), FALSE) = "", "", VLOOKUP($A74, INDIRECT("'" &amp; 'Personalized Bill Menu'!$B$22 &amp; "'!" &amp;"$A$4:$CA$100"), VLOOKUP(VLOOKUP(S$5,'Misc. Data &amp; Mechanisms'!$E$601:$I$631,HLOOKUP('Personalized Bill Menu'!$B$22, 'Misc. Data &amp; Mechanisms'!$E$599:$I$600, 2, FALSE), FALSE), 'Misc. Data &amp; Mechanisms'!$A$599:$C$659, 2, FALSE), FALSE)), ""))</f>
        <v>0.49947000000000003</v>
      </c>
      <c r="T74" s="81" t="str">
        <f ca="1">IF($A74="", "",IFERROR(IF(VLOOKUP($A74, INDIRECT("'" &amp; 'Personalized Bill Menu'!$B$22 &amp; "'!" &amp;"$A$4:$CA$100"), VLOOKUP(VLOOKUP(T$5,'Misc. Data &amp; Mechanisms'!$E$601:$I$631,HLOOKUP('Personalized Bill Menu'!$B$22, 'Misc. Data &amp; Mechanisms'!$E$599:$I$600, 2, FALSE), FALSE), 'Misc. Data &amp; Mechanisms'!$A$599:$C$659, 2, FALSE), FALSE) = "", "", VLOOKUP($A74, INDIRECT("'" &amp; 'Personalized Bill Menu'!$B$22 &amp; "'!" &amp;"$A$4:$CA$100"), VLOOKUP(VLOOKUP(T$5,'Misc. Data &amp; Mechanisms'!$E$601:$I$631,HLOOKUP('Personalized Bill Menu'!$B$22, 'Misc. Data &amp; Mechanisms'!$E$599:$I$600, 2, FALSE), FALSE), 'Misc. Data &amp; Mechanisms'!$A$599:$C$659, 2, FALSE), FALSE)), ""))</f>
        <v/>
      </c>
      <c r="U74" s="72">
        <f t="shared" ca="1" si="29"/>
        <v>5.1267449788853163</v>
      </c>
      <c r="V74" s="72">
        <f t="shared" ca="1" si="30"/>
        <v>15.48357</v>
      </c>
      <c r="W74" s="70" t="str">
        <f t="shared" si="31"/>
        <v/>
      </c>
      <c r="X74" s="78">
        <f>IFERROR(IF(VLOOKUP($A74,'Misc. Data &amp; Mechanisms'!$A$63:$DY$152,HLOOKUP('Personalized Bill Menu'!$B$21&amp;"_"&amp;'Personalized Bill Menu'!$B$22&amp;"_Elec_Y_1",'Misc. Data &amp; Mechanisms'!$A$55:$DY$62,8,FALSE), FALSE)="", "", VLOOKUP($A74,'Misc. Data &amp; Mechanisms'!$A$63:$DY$152,HLOOKUP('Personalized Bill Menu'!$B$21&amp;"_"&amp;'Personalized Bill Menu'!$B$22&amp;"_Elec_Y_1",'Misc. Data &amp; Mechanisms'!$A$55:$DY$62,8,FALSE), FALSE)), "")</f>
        <v>0.1111</v>
      </c>
      <c r="Y74" s="78" t="str">
        <f>IFERROR(IF(VLOOKUP($A74,'Misc. Data &amp; Mechanisms'!$A$63:$DY$152,HLOOKUP('Personalized Bill Menu'!$B$21&amp;"_"&amp;'Personalized Bill Menu'!$B$22&amp;"_Elec_Y_2",'Misc. Data &amp; Mechanisms'!$A$55:$DY$62,8,FALSE), FALSE)="", "", VLOOKUP($A74,'Misc. Data &amp; Mechanisms'!$A$63:$DY$152,HLOOKUP('Personalized Bill Menu'!$B$21&amp;"_"&amp;'Personalized Bill Menu'!$B$22&amp;"_Elec_Y_2",'Misc. Data &amp; Mechanisms'!$A$55:$DY$62,8,FALSE), FALSE)), "")</f>
        <v/>
      </c>
      <c r="Z74" s="72">
        <f ca="1">IF($A74="", "",IFERROR(IF(OR('Personalized Bill Menu'!$B$22="FORTIS", 'Personalized Bill Menu'!$B$22="ATCO"), $X74*($H74+$I74), IF('Personalized Bill Menu'!$B$22="ENMAX",$X74*($H74+$I74+$K74),($X74/100)*$C74)), 0))</f>
        <v>4.2970318213125296</v>
      </c>
      <c r="AA74" s="72">
        <f>IF($A74="", "", IFERROR(IF(OR('Personalized Bill Menu'!$B$22="FORTIS", 'Personalized Bill Menu'!$B$22="ATCO"), $Y74*($H74+$I74), IF('Personalized Bill Menu'!$B$22="ENMAX",$X74*$G74,"")), 0))</f>
        <v>2.3271937017695055</v>
      </c>
      <c r="AB74" s="89">
        <f ca="1">IF($A74="", "",IFERROR(IF(VLOOKUP($A74, INDIRECT("'" &amp; 'Personalized Bill Menu'!$B$22 &amp; "'!" &amp;"$A$4:$CA$100"), VLOOKUP(VLOOKUP("RIDER RATE 1",'Misc. Data &amp; Mechanisms'!$E$601:$I$631,HLOOKUP('Personalized Bill Menu'!$B$22, 'Misc. Data &amp; Mechanisms'!$E$599:$I$600, 2, FALSE), FALSE), 'Misc. Data &amp; Mechanisms'!$A$599:$C$659, 2, FALSE), FALSE) = "", "", VLOOKUP($A74, INDIRECT("'" &amp; 'Personalized Bill Menu'!$B$22 &amp; "'!" &amp;"$A$4:$CA$100"), VLOOKUP(VLOOKUP("RIDER RATE 1",'Misc. Data &amp; Mechanisms'!$E$601:$I$631,HLOOKUP('Personalized Bill Menu'!$B$22, 'Misc. Data &amp; Mechanisms'!$E$599:$I$600, 2, FALSE), FALSE), 'Misc. Data &amp; Mechanisms'!$A$599:$C$659, 2, FALSE), FALSE)), ""))</f>
        <v>0.1129</v>
      </c>
      <c r="AC74" s="69">
        <f ca="1">IF($A74="", "",IFERROR(IF(VLOOKUP($A74, INDIRECT("'" &amp; 'Personalized Bill Menu'!$B$22 &amp; "'!" &amp;"$A$4:$CA$100"), VLOOKUP(VLOOKUP("RIDER RATE 2",'Misc. Data &amp; Mechanisms'!$E$601:$I$631,HLOOKUP('Personalized Bill Menu'!$B$22, 'Misc. Data &amp; Mechanisms'!$E$599:$I$600, 2, FALSE), FALSE), 'Misc. Data &amp; Mechanisms'!$A$599:$C$659, 2, FALSE), FALSE) = "", "", VLOOKUP($A74, INDIRECT("'" &amp; 'Personalized Bill Menu'!$B$22 &amp; "'!" &amp;"$A$4:$CA$100"), VLOOKUP(VLOOKUP("RIDER RATE 2",'Misc. Data &amp; Mechanisms'!$E$601:$I$631,HLOOKUP('Personalized Bill Menu'!$B$22, 'Misc. Data &amp; Mechanisms'!$E$599:$I$600, 2, FALSE), FALSE), 'Misc. Data &amp; Mechanisms'!$A$599:$C$659, 2, FALSE), FALSE)), ""))</f>
        <v>1.4814000000000001</v>
      </c>
      <c r="AD74" s="69" t="str">
        <f ca="1">IF($A74="", "",IFERROR(IF(VLOOKUP($A74, INDIRECT("'" &amp; 'Personalized Bill Menu'!$B$22 &amp; "'!" &amp;"$A$4:$CA$100"), VLOOKUP(VLOOKUP("RIDER RATE 3",'Misc. Data &amp; Mechanisms'!$E$601:$I$631,HLOOKUP('Personalized Bill Menu'!$B$22, 'Misc. Data &amp; Mechanisms'!$E$599:$I$600, 2, FALSE), FALSE), 'Misc. Data &amp; Mechanisms'!$A$599:$C$659, 2, FALSE), FALSE) = "", "", VLOOKUP($A74, INDIRECT("'" &amp; 'Personalized Bill Menu'!$B$22 &amp; "'!" &amp;"$A$4:$CA$100"), VLOOKUP(VLOOKUP("RIDER RATE 3",'Misc. Data &amp; Mechanisms'!$E$601:$I$631,HLOOKUP('Personalized Bill Menu'!$B$22, 'Misc. Data &amp; Mechanisms'!$E$599:$I$600, 2, FALSE), FALSE), 'Misc. Data &amp; Mechanisms'!$A$599:$C$659, 2, FALSE), FALSE)), ""))</f>
        <v/>
      </c>
      <c r="AE74" s="69" t="str">
        <f ca="1">IF($A74="", "",IFERROR(IF(VLOOKUP($A74, INDIRECT("'" &amp; 'Personalized Bill Menu'!$B$22 &amp; "'!" &amp;"$A$4:$CA$100"), VLOOKUP(VLOOKUP("RIDER RATE 4",'Misc. Data &amp; Mechanisms'!$E$601:$I$631,HLOOKUP('Personalized Bill Menu'!$B$22, 'Misc. Data &amp; Mechanisms'!$E$599:$I$600, 2, FALSE), FALSE), 'Misc. Data &amp; Mechanisms'!$A$599:$C$659, 2, FALSE), FALSE) = "", "", VLOOKUP($A74, INDIRECT("'" &amp; 'Personalized Bill Menu'!$B$22 &amp; "'!" &amp;"$A$4:$CA$100"), VLOOKUP(VLOOKUP("RIDER RATE 4",'Misc. Data &amp; Mechanisms'!$E$601:$I$631,HLOOKUP('Personalized Bill Menu'!$B$22, 'Misc. Data &amp; Mechanisms'!$E$599:$I$600, 2, FALSE), FALSE), 'Misc. Data &amp; Mechanisms'!$A$599:$C$659, 2, FALSE), FALSE)), ""))</f>
        <v/>
      </c>
      <c r="AF74" s="90" t="str">
        <f ca="1">IF($A74="", "",IFERROR(IF(VLOOKUP($A74, INDIRECT("'" &amp; 'Personalized Bill Menu'!$B$22 &amp; "'!" &amp;"$A$4:$CA$100"), VLOOKUP(VLOOKUP("RIDER RATE 5",'Misc. Data &amp; Mechanisms'!$E$601:$I$631,HLOOKUP('Personalized Bill Menu'!$B$22, 'Misc. Data &amp; Mechanisms'!$E$599:$I$600, 2, FALSE), FALSE), 'Misc. Data &amp; Mechanisms'!$A$599:$C$659, 2, FALSE), FALSE) = "", "", VLOOKUP($A74, INDIRECT("'" &amp; 'Personalized Bill Menu'!$B$22 &amp; "'!" &amp;"$A$4:$CA$100"), VLOOKUP(VLOOKUP("RIDER RATE 5",'Misc. Data &amp; Mechanisms'!$E$601:$I$631,HLOOKUP('Personalized Bill Menu'!$B$22, 'Misc. Data &amp; Mechanisms'!$E$599:$I$600, 2, FALSE), FALSE), 'Misc. Data &amp; Mechanisms'!$A$599:$C$659, 2, FALSE), FALSE)), ""))</f>
        <v/>
      </c>
      <c r="AG74" s="90" t="str">
        <f ca="1">IF($A74="", "",IFERROR(IF(VLOOKUP($A74, INDIRECT("'" &amp; 'Personalized Bill Menu'!$B$22 &amp; "'!" &amp;"$A$4:$CA$100"), VLOOKUP(VLOOKUP("RIDER RATE 6",'Misc. Data &amp; Mechanisms'!$E$601:$I$631,HLOOKUP('Personalized Bill Menu'!$B$22, 'Misc. Data &amp; Mechanisms'!$E$599:$I$600, 2, FALSE), FALSE), 'Misc. Data &amp; Mechanisms'!$A$599:$C$659, 2, FALSE), FALSE) = "", "", VLOOKUP($A74, INDIRECT("'" &amp; 'Personalized Bill Menu'!$B$22 &amp; "'!" &amp;"$A$4:$CA$100"), VLOOKUP(VLOOKUP("RIDER RATE 6",'Misc. Data &amp; Mechanisms'!$E$601:$I$631,HLOOKUP('Personalized Bill Menu'!$B$22, 'Misc. Data &amp; Mechanisms'!$E$599:$I$600, 2, FALSE), FALSE), 'Misc. Data &amp; Mechanisms'!$A$599:$C$659, 2, FALSE), FALSE)), ""))</f>
        <v/>
      </c>
      <c r="AH74" s="90" t="str">
        <f ca="1">IF($A74="", "",IFERROR(IF(VLOOKUP($A74, INDIRECT("'" &amp; 'Personalized Bill Menu'!$B$22 &amp; "'!" &amp;"$A$4:$CA$100"), VLOOKUP(VLOOKUP("RIDER RATE 7",'Misc. Data &amp; Mechanisms'!$E$601:$I$631,HLOOKUP('Personalized Bill Menu'!$B$22, 'Misc. Data &amp; Mechanisms'!$E$599:$I$600, 2, FALSE), FALSE), 'Misc. Data &amp; Mechanisms'!$A$599:$C$659, 2, FALSE), FALSE) = "", "", VLOOKUP($A74, INDIRECT("'" &amp; 'Personalized Bill Menu'!$B$22 &amp; "'!" &amp;"$A$4:$CA$100"), VLOOKUP(VLOOKUP("RIDER RATE 7",'Misc. Data &amp; Mechanisms'!$E$601:$I$631,HLOOKUP('Personalized Bill Menu'!$B$22, 'Misc. Data &amp; Mechanisms'!$E$599:$I$600, 2, FALSE), FALSE), 'Misc. Data &amp; Mechanisms'!$A$599:$C$659, 2, FALSE), FALSE)), ""))</f>
        <v/>
      </c>
      <c r="AI74" s="72">
        <f t="shared" ca="1" si="32"/>
        <v>0.57610182951742039</v>
      </c>
      <c r="AJ74" s="72">
        <f t="shared" ca="1" si="33"/>
        <v>7.5592316230921766</v>
      </c>
      <c r="AK74" s="72">
        <f ca="1">IF($A74="", "", IFERROR(IF($AD$6="%",IF('Personalized Bill Menu'!$B$22="ENMAX", $AD74*$I74, IF(AND($AD74="", 'Personalized Bill Menu'!$B$22="FORTIS"),($AE74/100)*$C74,$AD74*$H74)),($AD74/100)*$C74), 0))</f>
        <v>0</v>
      </c>
      <c r="AL74" s="72">
        <f ca="1">IF($A74="", "", IFERROR(IF('Personalized Bill Menu'!$B$22="ENMAX",$AE74*$B74,IF($AE$6="%",$AE74*($H74+$I74+$J74), IF('Personalized Bill Menu'!$B$22="FORTIS",$AF74*$I74,($AE74/100)*$C74))), 0))</f>
        <v>0</v>
      </c>
      <c r="AM74" s="72" t="str">
        <f>IF($A74="", "", IFERROR(IF('Personalized Bill Menu'!$B$22="EPCOR",($AF74/100)*$C74, IF('Personalized Bill Menu'!$B$22="ATCO",$AF74*1,"")), 0))</f>
        <v/>
      </c>
      <c r="AN74" s="72" t="str">
        <f>IF($A74="", "", IFERROR(IF('Personalized Bill Menu'!$B$22="ATCO",$AG74*$B74,""), 0))</f>
        <v/>
      </c>
      <c r="AO74" s="70" t="str">
        <f>IF($A74="", "", IFERROR(IF('Personalized Bill Menu'!$B$22="ATCO",$AH74*$B74,""), 0))</f>
        <v/>
      </c>
      <c r="AP74" s="81">
        <f>IF('Personalized Bill Menu'!$B$34&lt;&gt;"Natural Gas", 'Personalized Bill Menu'!$K71, "")</f>
        <v>0.2064</v>
      </c>
      <c r="AQ74" s="72">
        <f t="shared" si="34"/>
        <v>6.3983999999999996</v>
      </c>
      <c r="AR74" s="91">
        <f ca="1">IF($A74="", "",IF(VLOOKUP($A74, INDIRECT("'" &amp; 'Personalized Bill Menu'!$B$22 &amp; "'!" &amp;"$A$4:$CA$100"), VLOOKUP(VLOOKUP(AR$5,'Misc. Data &amp; Mechanisms'!$E$601:$I$631,HLOOKUP('Personalized Bill Menu'!$B$22, 'Misc. Data &amp; Mechanisms'!$E$599:$I$600, 2, FALSE), FALSE), 'Misc. Data &amp; Mechanisms'!$A$599:$C$659, 2, FALSE), FALSE) = "", "", VLOOKUP($A74, INDIRECT("'" &amp; 'Personalized Bill Menu'!$B$22 &amp; "'!" &amp;"$A$4:$CA$100"), VLOOKUP(VLOOKUP(AR$5,'Misc. Data &amp; Mechanisms'!$E$601:$I$631,HLOOKUP('Personalized Bill Menu'!$B$22, 'Misc. Data &amp; Mechanisms'!$E$599:$I$600, 2, FALSE), FALSE), 'Misc. Data &amp; Mechanisms'!$A$599:$C$659, 2, FALSE), FALSE)))</f>
        <v>0.05</v>
      </c>
    </row>
    <row r="75" spans="1:44" x14ac:dyDescent="0.35">
      <c r="A75" s="83">
        <f>'Personalized Bill Menu'!$H72</f>
        <v>42979</v>
      </c>
      <c r="B75" s="84">
        <f t="shared" si="19"/>
        <v>30</v>
      </c>
      <c r="C75" s="85">
        <f>IF('Personalized Bill Menu'!$B$34&lt;&gt;"Natural Gas", 'Personalized Bill Menu'!$I72, "")</f>
        <v>509.90285276586809</v>
      </c>
      <c r="D75" s="66">
        <f t="shared" ca="1" si="35"/>
        <v>14.399840177657293</v>
      </c>
      <c r="E75" s="66">
        <f ca="1">IFERROR((1+$AR75)*(IF('Personalized Bill Menu'!$B$22="ENMAX", ((1+IFERROR($X75, 0))*($N75+$P75+$R75+$AB75+$AC75))+((1+IF($X75="", 0,$X75))*(IF($AD75="", 0,$AD75)*$R75)), IF('Personalized Bill Menu'!$B$22="EPCOR", ($N75+$P75+$R75+$X75+SUM($AB75:$AE75)), IF('Personalized Bill Menu'!$B$22="ATCO",($N75+((1+IF($AE75="", 0,$AE75))*(1+$X75+$Y75)*($P75+$R75))+SUM($AB75:$AD75)),IF($AD75="",$N75+((1+$X75+$Y75)*($P75+$R75))+$AB75+$AE75+(IF($AC75="", 0, $AC75)*$P75)+($R75*IF($AF75="", 0, $AF75)),$N75+((1+$X75+$Y75)*($P75+$R75))+$AB75+($AD75*$P75)+(IF($AC75="", 0, $AC75)*$P75)+($R75*IF($AF75="", 0, $AF75))))))), "")</f>
        <v>9.6964197015</v>
      </c>
      <c r="F75" s="1469">
        <f t="shared" ca="1" si="20"/>
        <v>73.42519585960018</v>
      </c>
      <c r="G75" s="66">
        <f t="shared" si="18"/>
        <v>19.202941435162593</v>
      </c>
      <c r="H75" s="66">
        <f t="shared" ca="1" si="21"/>
        <v>9.9242392233820897</v>
      </c>
      <c r="I75" s="66">
        <f t="shared" ca="1" si="22"/>
        <v>20.107093961738677</v>
      </c>
      <c r="J75" s="66">
        <f t="shared" ca="1" si="23"/>
        <v>6.373102159594378</v>
      </c>
      <c r="K75" s="66">
        <f t="shared" ca="1" si="24"/>
        <v>8.1293811816462345</v>
      </c>
      <c r="L75" s="66">
        <f t="shared" si="25"/>
        <v>6.1920000000000002</v>
      </c>
      <c r="M75" s="68">
        <f t="shared" ca="1" si="26"/>
        <v>3.4964378980761994</v>
      </c>
      <c r="N75" s="69">
        <f>IF('Personalized Bill Menu'!$B$34&lt;&gt;"Natural Gas", 'Personalized Bill Menu'!$J72, "")</f>
        <v>3.766</v>
      </c>
      <c r="O75" s="70">
        <f t="shared" si="27"/>
        <v>19.202941435162593</v>
      </c>
      <c r="P75" s="71">
        <f ca="1">IF($A75="", "",IFERROR(IF(VLOOKUP($A75, INDIRECT("'" &amp; 'Personalized Bill Menu'!$B$22 &amp; "'!" &amp;"$A$4:$CA$100"), VLOOKUP(VLOOKUP(P$5,'Misc. Data &amp; Mechanisms'!$E$601:$I$631,HLOOKUP('Personalized Bill Menu'!$B$22, 'Misc. Data &amp; Mechanisms'!$E$599:$I$600, 2, FALSE), FALSE), 'Misc. Data &amp; Mechanisms'!$A$599:$C$659, 2, FALSE), FALSE) = "", "", VLOOKUP($A75, INDIRECT("'" &amp; 'Personalized Bill Menu'!$B$22 &amp; "'!" &amp;"$A$4:$CA$100"), VLOOKUP(VLOOKUP(P$5,'Misc. Data &amp; Mechanisms'!$E$601:$I$631,HLOOKUP('Personalized Bill Menu'!$B$22, 'Misc. Data &amp; Mechanisms'!$E$599:$I$600, 2, FALSE), FALSE), 'Misc. Data &amp; Mechanisms'!$A$599:$C$659, 2, FALSE), FALSE)), ""))</f>
        <v>1.9462999999999999</v>
      </c>
      <c r="Q75" s="72">
        <f t="shared" ca="1" si="28"/>
        <v>9.9242392233820897</v>
      </c>
      <c r="R75" s="87">
        <f ca="1">IF($A75="", "",IFERROR(IF(VLOOKUP($A75, INDIRECT("'" &amp; 'Personalized Bill Menu'!$B$22 &amp; "'!" &amp;"$A$4:$CA$100"), VLOOKUP(VLOOKUP(R$5,'Misc. Data &amp; Mechanisms'!$E$601:$I$631,HLOOKUP('Personalized Bill Menu'!$B$22, 'Misc. Data &amp; Mechanisms'!$E$599:$I$600, 2, FALSE), FALSE), 'Misc. Data &amp; Mechanisms'!$A$599:$C$659, 2, FALSE), FALSE) = "", "", VLOOKUP($A75, INDIRECT("'" &amp; 'Personalized Bill Menu'!$B$22 &amp; "'!" &amp;"$A$4:$CA$100"), VLOOKUP(VLOOKUP(R$5,'Misc. Data &amp; Mechanisms'!$E$601:$I$631,HLOOKUP('Personalized Bill Menu'!$B$22, 'Misc. Data &amp; Mechanisms'!$E$599:$I$600, 2, FALSE), FALSE), 'Misc. Data &amp; Mechanisms'!$A$599:$C$659, 2, FALSE), FALSE)), ""))</f>
        <v>1.0046999999999999</v>
      </c>
      <c r="S75" s="88">
        <f ca="1">IF($A75="", "",IFERROR(IF(VLOOKUP($A75, INDIRECT("'" &amp; 'Personalized Bill Menu'!$B$22 &amp; "'!" &amp;"$A$4:$CA$100"), VLOOKUP(VLOOKUP(S$5,'Misc. Data &amp; Mechanisms'!$E$601:$I$631,HLOOKUP('Personalized Bill Menu'!$B$22, 'Misc. Data &amp; Mechanisms'!$E$599:$I$600, 2, FALSE), FALSE), 'Misc. Data &amp; Mechanisms'!$A$599:$C$659, 2, FALSE), FALSE) = "", "", VLOOKUP($A75, INDIRECT("'" &amp; 'Personalized Bill Menu'!$B$22 &amp; "'!" &amp;"$A$4:$CA$100"), VLOOKUP(VLOOKUP(S$5,'Misc. Data &amp; Mechanisms'!$E$601:$I$631,HLOOKUP('Personalized Bill Menu'!$B$22, 'Misc. Data &amp; Mechanisms'!$E$599:$I$600, 2, FALSE), FALSE), 'Misc. Data &amp; Mechanisms'!$A$599:$C$659, 2, FALSE), FALSE)), ""))</f>
        <v>0.49947000000000003</v>
      </c>
      <c r="T75" s="81" t="str">
        <f ca="1">IF($A75="", "",IFERROR(IF(VLOOKUP($A75, INDIRECT("'" &amp; 'Personalized Bill Menu'!$B$22 &amp; "'!" &amp;"$A$4:$CA$100"), VLOOKUP(VLOOKUP(T$5,'Misc. Data &amp; Mechanisms'!$E$601:$I$631,HLOOKUP('Personalized Bill Menu'!$B$22, 'Misc. Data &amp; Mechanisms'!$E$599:$I$600, 2, FALSE), FALSE), 'Misc. Data &amp; Mechanisms'!$A$599:$C$659, 2, FALSE), FALSE) = "", "", VLOOKUP($A75, INDIRECT("'" &amp; 'Personalized Bill Menu'!$B$22 &amp; "'!" &amp;"$A$4:$CA$100"), VLOOKUP(VLOOKUP(T$5,'Misc. Data &amp; Mechanisms'!$E$601:$I$631,HLOOKUP('Personalized Bill Menu'!$B$22, 'Misc. Data &amp; Mechanisms'!$E$599:$I$600, 2, FALSE), FALSE), 'Misc. Data &amp; Mechanisms'!$A$599:$C$659, 2, FALSE), FALSE)), ""))</f>
        <v/>
      </c>
      <c r="U75" s="72">
        <f t="shared" ca="1" si="29"/>
        <v>5.1229939617386764</v>
      </c>
      <c r="V75" s="72">
        <f t="shared" ca="1" si="30"/>
        <v>14.984100000000002</v>
      </c>
      <c r="W75" s="70" t="str">
        <f t="shared" si="31"/>
        <v/>
      </c>
      <c r="X75" s="78">
        <f>IFERROR(IF(VLOOKUP($A75,'Misc. Data &amp; Mechanisms'!$A$63:$DY$152,HLOOKUP('Personalized Bill Menu'!$B$21&amp;"_"&amp;'Personalized Bill Menu'!$B$22&amp;"_Elec_Y_1",'Misc. Data &amp; Mechanisms'!$A$55:$DY$62,8,FALSE), FALSE)="", "", VLOOKUP($A75,'Misc. Data &amp; Mechanisms'!$A$63:$DY$152,HLOOKUP('Personalized Bill Menu'!$B$21&amp;"_"&amp;'Personalized Bill Menu'!$B$22&amp;"_Elec_Y_1",'Misc. Data &amp; Mechanisms'!$A$55:$DY$62,8,FALSE), FALSE)), "")</f>
        <v>0.1111</v>
      </c>
      <c r="Y75" s="78" t="str">
        <f>IFERROR(IF(VLOOKUP($A75,'Misc. Data &amp; Mechanisms'!$A$63:$DY$152,HLOOKUP('Personalized Bill Menu'!$B$21&amp;"_"&amp;'Personalized Bill Menu'!$B$22&amp;"_Elec_Y_2",'Misc. Data &amp; Mechanisms'!$A$55:$DY$62,8,FALSE), FALSE)="", "", VLOOKUP($A75,'Misc. Data &amp; Mechanisms'!$A$63:$DY$152,HLOOKUP('Personalized Bill Menu'!$B$21&amp;"_"&amp;'Personalized Bill Menu'!$B$22&amp;"_Elec_Y_2",'Misc. Data &amp; Mechanisms'!$A$55:$DY$62,8,FALSE), FALSE)), "")</f>
        <v/>
      </c>
      <c r="Z75" s="72">
        <f ca="1">IF($A75="", "",IFERROR(IF(OR('Personalized Bill Menu'!$B$22="FORTIS", 'Personalized Bill Menu'!$B$22="ATCO"), $X75*($H75+$I75), IF('Personalized Bill Menu'!$B$22="ENMAX",$X75*($H75+$I75+$K75),($X75/100)*$C75)), 0))</f>
        <v>4.2396553661478134</v>
      </c>
      <c r="AA75" s="72">
        <f>IF($A75="", "", IFERROR(IF(OR('Personalized Bill Menu'!$B$22="FORTIS", 'Personalized Bill Menu'!$B$22="ATCO"), $Y75*($H75+$I75), IF('Personalized Bill Menu'!$B$22="ENMAX",$X75*$G75,"")), 0))</f>
        <v>2.1334467934465642</v>
      </c>
      <c r="AB75" s="89">
        <f ca="1">IF($A75="", "",IFERROR(IF(VLOOKUP($A75, INDIRECT("'" &amp; 'Personalized Bill Menu'!$B$22 &amp; "'!" &amp;"$A$4:$CA$100"), VLOOKUP(VLOOKUP("RIDER RATE 1",'Misc. Data &amp; Mechanisms'!$E$601:$I$631,HLOOKUP('Personalized Bill Menu'!$B$22, 'Misc. Data &amp; Mechanisms'!$E$599:$I$600, 2, FALSE), FALSE), 'Misc. Data &amp; Mechanisms'!$A$599:$C$659, 2, FALSE), FALSE) = "", "", VLOOKUP($A75, INDIRECT("'" &amp; 'Personalized Bill Menu'!$B$22 &amp; "'!" &amp;"$A$4:$CA$100"), VLOOKUP(VLOOKUP("RIDER RATE 1",'Misc. Data &amp; Mechanisms'!$E$601:$I$631,HLOOKUP('Personalized Bill Menu'!$B$22, 'Misc. Data &amp; Mechanisms'!$E$599:$I$600, 2, FALSE), FALSE), 'Misc. Data &amp; Mechanisms'!$A$599:$C$659, 2, FALSE), FALSE)), ""))</f>
        <v>0.1129</v>
      </c>
      <c r="AC75" s="69">
        <f ca="1">IF($A75="", "",IFERROR(IF(VLOOKUP($A75, INDIRECT("'" &amp; 'Personalized Bill Menu'!$B$22 &amp; "'!" &amp;"$A$4:$CA$100"), VLOOKUP(VLOOKUP("RIDER RATE 2",'Misc. Data &amp; Mechanisms'!$E$601:$I$631,HLOOKUP('Personalized Bill Menu'!$B$22, 'Misc. Data &amp; Mechanisms'!$E$599:$I$600, 2, FALSE), FALSE), 'Misc. Data &amp; Mechanisms'!$A$599:$C$659, 2, FALSE), FALSE) = "", "", VLOOKUP($A75, INDIRECT("'" &amp; 'Personalized Bill Menu'!$B$22 &amp; "'!" &amp;"$A$4:$CA$100"), VLOOKUP(VLOOKUP("RIDER RATE 2",'Misc. Data &amp; Mechanisms'!$E$601:$I$631,HLOOKUP('Personalized Bill Menu'!$B$22, 'Misc. Data &amp; Mechanisms'!$E$599:$I$600, 2, FALSE), FALSE), 'Misc. Data &amp; Mechanisms'!$A$599:$C$659, 2, FALSE), FALSE)), ""))</f>
        <v>1.4814000000000001</v>
      </c>
      <c r="AD75" s="69" t="str">
        <f ca="1">IF($A75="", "",IFERROR(IF(VLOOKUP($A75, INDIRECT("'" &amp; 'Personalized Bill Menu'!$B$22 &amp; "'!" &amp;"$A$4:$CA$100"), VLOOKUP(VLOOKUP("RIDER RATE 3",'Misc. Data &amp; Mechanisms'!$E$601:$I$631,HLOOKUP('Personalized Bill Menu'!$B$22, 'Misc. Data &amp; Mechanisms'!$E$599:$I$600, 2, FALSE), FALSE), 'Misc. Data &amp; Mechanisms'!$A$599:$C$659, 2, FALSE), FALSE) = "", "", VLOOKUP($A75, INDIRECT("'" &amp; 'Personalized Bill Menu'!$B$22 &amp; "'!" &amp;"$A$4:$CA$100"), VLOOKUP(VLOOKUP("RIDER RATE 3",'Misc. Data &amp; Mechanisms'!$E$601:$I$631,HLOOKUP('Personalized Bill Menu'!$B$22, 'Misc. Data &amp; Mechanisms'!$E$599:$I$600, 2, FALSE), FALSE), 'Misc. Data &amp; Mechanisms'!$A$599:$C$659, 2, FALSE), FALSE)), ""))</f>
        <v/>
      </c>
      <c r="AE75" s="69" t="str">
        <f ca="1">IF($A75="", "",IFERROR(IF(VLOOKUP($A75, INDIRECT("'" &amp; 'Personalized Bill Menu'!$B$22 &amp; "'!" &amp;"$A$4:$CA$100"), VLOOKUP(VLOOKUP("RIDER RATE 4",'Misc. Data &amp; Mechanisms'!$E$601:$I$631,HLOOKUP('Personalized Bill Menu'!$B$22, 'Misc. Data &amp; Mechanisms'!$E$599:$I$600, 2, FALSE), FALSE), 'Misc. Data &amp; Mechanisms'!$A$599:$C$659, 2, FALSE), FALSE) = "", "", VLOOKUP($A75, INDIRECT("'" &amp; 'Personalized Bill Menu'!$B$22 &amp; "'!" &amp;"$A$4:$CA$100"), VLOOKUP(VLOOKUP("RIDER RATE 4",'Misc. Data &amp; Mechanisms'!$E$601:$I$631,HLOOKUP('Personalized Bill Menu'!$B$22, 'Misc. Data &amp; Mechanisms'!$E$599:$I$600, 2, FALSE), FALSE), 'Misc. Data &amp; Mechanisms'!$A$599:$C$659, 2, FALSE), FALSE)), ""))</f>
        <v/>
      </c>
      <c r="AF75" s="90" t="str">
        <f ca="1">IF($A75="", "",IFERROR(IF(VLOOKUP($A75, INDIRECT("'" &amp; 'Personalized Bill Menu'!$B$22 &amp; "'!" &amp;"$A$4:$CA$100"), VLOOKUP(VLOOKUP("RIDER RATE 5",'Misc. Data &amp; Mechanisms'!$E$601:$I$631,HLOOKUP('Personalized Bill Menu'!$B$22, 'Misc. Data &amp; Mechanisms'!$E$599:$I$600, 2, FALSE), FALSE), 'Misc. Data &amp; Mechanisms'!$A$599:$C$659, 2, FALSE), FALSE) = "", "", VLOOKUP($A75, INDIRECT("'" &amp; 'Personalized Bill Menu'!$B$22 &amp; "'!" &amp;"$A$4:$CA$100"), VLOOKUP(VLOOKUP("RIDER RATE 5",'Misc. Data &amp; Mechanisms'!$E$601:$I$631,HLOOKUP('Personalized Bill Menu'!$B$22, 'Misc. Data &amp; Mechanisms'!$E$599:$I$600, 2, FALSE), FALSE), 'Misc. Data &amp; Mechanisms'!$A$599:$C$659, 2, FALSE), FALSE)), ""))</f>
        <v/>
      </c>
      <c r="AG75" s="90" t="str">
        <f ca="1">IF($A75="", "",IFERROR(IF(VLOOKUP($A75, INDIRECT("'" &amp; 'Personalized Bill Menu'!$B$22 &amp; "'!" &amp;"$A$4:$CA$100"), VLOOKUP(VLOOKUP("RIDER RATE 6",'Misc. Data &amp; Mechanisms'!$E$601:$I$631,HLOOKUP('Personalized Bill Menu'!$B$22, 'Misc. Data &amp; Mechanisms'!$E$599:$I$600, 2, FALSE), FALSE), 'Misc. Data &amp; Mechanisms'!$A$599:$C$659, 2, FALSE), FALSE) = "", "", VLOOKUP($A75, INDIRECT("'" &amp; 'Personalized Bill Menu'!$B$22 &amp; "'!" &amp;"$A$4:$CA$100"), VLOOKUP(VLOOKUP("RIDER RATE 6",'Misc. Data &amp; Mechanisms'!$E$601:$I$631,HLOOKUP('Personalized Bill Menu'!$B$22, 'Misc. Data &amp; Mechanisms'!$E$599:$I$600, 2, FALSE), FALSE), 'Misc. Data &amp; Mechanisms'!$A$599:$C$659, 2, FALSE), FALSE)), ""))</f>
        <v/>
      </c>
      <c r="AH75" s="90" t="str">
        <f ca="1">IF($A75="", "",IFERROR(IF(VLOOKUP($A75, INDIRECT("'" &amp; 'Personalized Bill Menu'!$B$22 &amp; "'!" &amp;"$A$4:$CA$100"), VLOOKUP(VLOOKUP("RIDER RATE 7",'Misc. Data &amp; Mechanisms'!$E$601:$I$631,HLOOKUP('Personalized Bill Menu'!$B$22, 'Misc. Data &amp; Mechanisms'!$E$599:$I$600, 2, FALSE), FALSE), 'Misc. Data &amp; Mechanisms'!$A$599:$C$659, 2, FALSE), FALSE) = "", "", VLOOKUP($A75, INDIRECT("'" &amp; 'Personalized Bill Menu'!$B$22 &amp; "'!" &amp;"$A$4:$CA$100"), VLOOKUP(VLOOKUP("RIDER RATE 7",'Misc. Data &amp; Mechanisms'!$E$601:$I$631,HLOOKUP('Personalized Bill Menu'!$B$22, 'Misc. Data &amp; Mechanisms'!$E$599:$I$600, 2, FALSE), FALSE), 'Misc. Data &amp; Mechanisms'!$A$599:$C$659, 2, FALSE), FALSE)), ""))</f>
        <v/>
      </c>
      <c r="AI75" s="72">
        <f t="shared" ca="1" si="32"/>
        <v>0.57568032077266507</v>
      </c>
      <c r="AJ75" s="72">
        <f t="shared" ca="1" si="33"/>
        <v>7.5537008608735698</v>
      </c>
      <c r="AK75" s="72">
        <f ca="1">IF($A75="", "", IFERROR(IF($AD$6="%",IF('Personalized Bill Menu'!$B$22="ENMAX", $AD75*$I75, IF(AND($AD75="", 'Personalized Bill Menu'!$B$22="FORTIS"),($AE75/100)*$C75,$AD75*$H75)),($AD75/100)*$C75), 0))</f>
        <v>0</v>
      </c>
      <c r="AL75" s="72">
        <f ca="1">IF($A75="", "", IFERROR(IF('Personalized Bill Menu'!$B$22="ENMAX",$AE75*$B75,IF($AE$6="%",$AE75*($H75+$I75+$J75), IF('Personalized Bill Menu'!$B$22="FORTIS",$AF75*$I75,($AE75/100)*$C75))), 0))</f>
        <v>0</v>
      </c>
      <c r="AM75" s="72" t="str">
        <f>IF($A75="", "", IFERROR(IF('Personalized Bill Menu'!$B$22="EPCOR",($AF75/100)*$C75, IF('Personalized Bill Menu'!$B$22="ATCO",$AF75*1,"")), 0))</f>
        <v/>
      </c>
      <c r="AN75" s="72" t="str">
        <f>IF($A75="", "", IFERROR(IF('Personalized Bill Menu'!$B$22="ATCO",$AG75*$B75,""), 0))</f>
        <v/>
      </c>
      <c r="AO75" s="70" t="str">
        <f>IF($A75="", "", IFERROR(IF('Personalized Bill Menu'!$B$22="ATCO",$AH75*$B75,""), 0))</f>
        <v/>
      </c>
      <c r="AP75" s="81">
        <f>IF('Personalized Bill Menu'!$B$34&lt;&gt;"Natural Gas", 'Personalized Bill Menu'!$K72, "")</f>
        <v>0.2064</v>
      </c>
      <c r="AQ75" s="72">
        <f t="shared" si="34"/>
        <v>6.1920000000000002</v>
      </c>
      <c r="AR75" s="91">
        <f ca="1">IF($A75="", "",IF(VLOOKUP($A75, INDIRECT("'" &amp; 'Personalized Bill Menu'!$B$22 &amp; "'!" &amp;"$A$4:$CA$100"), VLOOKUP(VLOOKUP(AR$5,'Misc. Data &amp; Mechanisms'!$E$601:$I$631,HLOOKUP('Personalized Bill Menu'!$B$22, 'Misc. Data &amp; Mechanisms'!$E$599:$I$600, 2, FALSE), FALSE), 'Misc. Data &amp; Mechanisms'!$A$599:$C$659, 2, FALSE), FALSE) = "", "", VLOOKUP($A75, INDIRECT("'" &amp; 'Personalized Bill Menu'!$B$22 &amp; "'!" &amp;"$A$4:$CA$100"), VLOOKUP(VLOOKUP(AR$5,'Misc. Data &amp; Mechanisms'!$E$601:$I$631,HLOOKUP('Personalized Bill Menu'!$B$22, 'Misc. Data &amp; Mechanisms'!$E$599:$I$600, 2, FALSE), FALSE), 'Misc. Data &amp; Mechanisms'!$A$599:$C$659, 2, FALSE), FALSE)))</f>
        <v>0.05</v>
      </c>
    </row>
    <row r="76" spans="1:44" x14ac:dyDescent="0.35">
      <c r="A76" s="83">
        <f>'Personalized Bill Menu'!$H73</f>
        <v>43009</v>
      </c>
      <c r="B76" s="84">
        <f t="shared" si="19"/>
        <v>31</v>
      </c>
      <c r="C76" s="85">
        <f>IF('Personalized Bill Menu'!$B$34&lt;&gt;"Natural Gas", 'Personalized Bill Menu'!$I73, "")</f>
        <v>551.15949519938317</v>
      </c>
      <c r="D76" s="66">
        <f t="shared" ca="1" si="35"/>
        <v>14.26736329814681</v>
      </c>
      <c r="E76" s="66">
        <f ca="1">IFERROR((1+$AR76)*(IF('Personalized Bill Menu'!$B$22="ENMAX", ((1+IFERROR($X76, 0))*($N76+$P76+$R76+$AB76+$AC76))+((1+IF($X76="", 0,$X76))*(IF($AD76="", 0,$AD76)*$R76)), IF('Personalized Bill Menu'!$B$22="EPCOR", ($N76+$P76+$R76+$X76+SUM($AB76:$AE76)), IF('Personalized Bill Menu'!$B$22="ATCO",($N76+((1+IF($AE76="", 0,$AE76))*(1+$X76+$Y76)*($P76+$R76))+SUM($AB76:$AD76)),IF($AD76="",$N76+((1+$X76+$Y76)*($P76+$R76))+$AB76+$AE76+(IF($AC76="", 0, $AC76)*$P76)+($R76*IF($AF76="", 0, $AF76)),$N76+((1+$X76+$Y76)*($P76+$R76))+$AB76+($AD76*$P76)+(IF($AC76="", 0, $AC76)*$P76)+($R76*IF($AF76="", 0, $AF76))))))), "")</f>
        <v>9.770968955999999</v>
      </c>
      <c r="F76" s="1469">
        <f t="shared" ca="1" si="20"/>
        <v>78.635927532328026</v>
      </c>
      <c r="G76" s="66">
        <f t="shared" si="18"/>
        <v>21.23066375508024</v>
      </c>
      <c r="H76" s="66">
        <f t="shared" ca="1" si="21"/>
        <v>10.727217255065593</v>
      </c>
      <c r="I76" s="66">
        <f t="shared" ca="1" si="22"/>
        <v>21.0210694482682</v>
      </c>
      <c r="J76" s="66">
        <f t="shared" ca="1" si="23"/>
        <v>6.8486795126593938</v>
      </c>
      <c r="K76" s="66">
        <f t="shared" ca="1" si="24"/>
        <v>8.6653295835247022</v>
      </c>
      <c r="L76" s="66">
        <f t="shared" si="25"/>
        <v>6.3983999999999996</v>
      </c>
      <c r="M76" s="68">
        <f t="shared" ca="1" si="26"/>
        <v>3.7445679777299063</v>
      </c>
      <c r="N76" s="69">
        <f>IF('Personalized Bill Menu'!$B$34&lt;&gt;"Natural Gas", 'Personalized Bill Menu'!$J73, "")</f>
        <v>3.8519999999999999</v>
      </c>
      <c r="O76" s="70">
        <f t="shared" si="27"/>
        <v>21.23066375508024</v>
      </c>
      <c r="P76" s="71">
        <f ca="1">IF($A76="", "",IFERROR(IF(VLOOKUP($A76, INDIRECT("'" &amp; 'Personalized Bill Menu'!$B$22 &amp; "'!" &amp;"$A$4:$CA$100"), VLOOKUP(VLOOKUP(P$5,'Misc. Data &amp; Mechanisms'!$E$601:$I$631,HLOOKUP('Personalized Bill Menu'!$B$22, 'Misc. Data &amp; Mechanisms'!$E$599:$I$600, 2, FALSE), FALSE), 'Misc. Data &amp; Mechanisms'!$A$599:$C$659, 2, FALSE), FALSE) = "", "", VLOOKUP($A76, INDIRECT("'" &amp; 'Personalized Bill Menu'!$B$22 &amp; "'!" &amp;"$A$4:$CA$100"), VLOOKUP(VLOOKUP(P$5,'Misc. Data &amp; Mechanisms'!$E$601:$I$631,HLOOKUP('Personalized Bill Menu'!$B$22, 'Misc. Data &amp; Mechanisms'!$E$599:$I$600, 2, FALSE), FALSE), 'Misc. Data &amp; Mechanisms'!$A$599:$C$659, 2, FALSE), FALSE)), ""))</f>
        <v>1.9462999999999999</v>
      </c>
      <c r="Q76" s="72">
        <f t="shared" ca="1" si="28"/>
        <v>10.727217255065593</v>
      </c>
      <c r="R76" s="87">
        <f ca="1">IF($A76="", "",IFERROR(IF(VLOOKUP($A76, INDIRECT("'" &amp; 'Personalized Bill Menu'!$B$22 &amp; "'!" &amp;"$A$4:$CA$100"), VLOOKUP(VLOOKUP(R$5,'Misc. Data &amp; Mechanisms'!$E$601:$I$631,HLOOKUP('Personalized Bill Menu'!$B$22, 'Misc. Data &amp; Mechanisms'!$E$599:$I$600, 2, FALSE), FALSE), 'Misc. Data &amp; Mechanisms'!$A$599:$C$659, 2, FALSE), FALSE) = "", "", VLOOKUP($A76, INDIRECT("'" &amp; 'Personalized Bill Menu'!$B$22 &amp; "'!" &amp;"$A$4:$CA$100"), VLOOKUP(VLOOKUP(R$5,'Misc. Data &amp; Mechanisms'!$E$601:$I$631,HLOOKUP('Personalized Bill Menu'!$B$22, 'Misc. Data &amp; Mechanisms'!$E$599:$I$600, 2, FALSE), FALSE), 'Misc. Data &amp; Mechanisms'!$A$599:$C$659, 2, FALSE), FALSE)), ""))</f>
        <v>1.0046999999999999</v>
      </c>
      <c r="S76" s="88">
        <f ca="1">IF($A76="", "",IFERROR(IF(VLOOKUP($A76, INDIRECT("'" &amp; 'Personalized Bill Menu'!$B$22 &amp; "'!" &amp;"$A$4:$CA$100"), VLOOKUP(VLOOKUP(S$5,'Misc. Data &amp; Mechanisms'!$E$601:$I$631,HLOOKUP('Personalized Bill Menu'!$B$22, 'Misc. Data &amp; Mechanisms'!$E$599:$I$600, 2, FALSE), FALSE), 'Misc. Data &amp; Mechanisms'!$A$599:$C$659, 2, FALSE), FALSE) = "", "", VLOOKUP($A76, INDIRECT("'" &amp; 'Personalized Bill Menu'!$B$22 &amp; "'!" &amp;"$A$4:$CA$100"), VLOOKUP(VLOOKUP(S$5,'Misc. Data &amp; Mechanisms'!$E$601:$I$631,HLOOKUP('Personalized Bill Menu'!$B$22, 'Misc. Data &amp; Mechanisms'!$E$599:$I$600, 2, FALSE), FALSE), 'Misc. Data &amp; Mechanisms'!$A$599:$C$659, 2, FALSE), FALSE)), ""))</f>
        <v>0.49947000000000003</v>
      </c>
      <c r="T76" s="81" t="str">
        <f ca="1">IF($A76="", "",IFERROR(IF(VLOOKUP($A76, INDIRECT("'" &amp; 'Personalized Bill Menu'!$B$22 &amp; "'!" &amp;"$A$4:$CA$100"), VLOOKUP(VLOOKUP(T$5,'Misc. Data &amp; Mechanisms'!$E$601:$I$631,HLOOKUP('Personalized Bill Menu'!$B$22, 'Misc. Data &amp; Mechanisms'!$E$599:$I$600, 2, FALSE), FALSE), 'Misc. Data &amp; Mechanisms'!$A$599:$C$659, 2, FALSE), FALSE) = "", "", VLOOKUP($A76, INDIRECT("'" &amp; 'Personalized Bill Menu'!$B$22 &amp; "'!" &amp;"$A$4:$CA$100"), VLOOKUP(VLOOKUP(T$5,'Misc. Data &amp; Mechanisms'!$E$601:$I$631,HLOOKUP('Personalized Bill Menu'!$B$22, 'Misc. Data &amp; Mechanisms'!$E$599:$I$600, 2, FALSE), FALSE), 'Misc. Data &amp; Mechanisms'!$A$599:$C$659, 2, FALSE), FALSE)), ""))</f>
        <v/>
      </c>
      <c r="U76" s="72">
        <f t="shared" ca="1" si="29"/>
        <v>5.5374994482682016</v>
      </c>
      <c r="V76" s="72">
        <f t="shared" ca="1" si="30"/>
        <v>15.48357</v>
      </c>
      <c r="W76" s="70" t="str">
        <f t="shared" si="31"/>
        <v/>
      </c>
      <c r="X76" s="78">
        <f>IFERROR(IF(VLOOKUP($A76,'Misc. Data &amp; Mechanisms'!$A$63:$DY$152,HLOOKUP('Personalized Bill Menu'!$B$21&amp;"_"&amp;'Personalized Bill Menu'!$B$22&amp;"_Elec_Y_1",'Misc. Data &amp; Mechanisms'!$A$55:$DY$62,8,FALSE), FALSE)="", "", VLOOKUP($A76,'Misc. Data &amp; Mechanisms'!$A$63:$DY$152,HLOOKUP('Personalized Bill Menu'!$B$21&amp;"_"&amp;'Personalized Bill Menu'!$B$22&amp;"_Elec_Y_1",'Misc. Data &amp; Mechanisms'!$A$55:$DY$62,8,FALSE), FALSE)), "")</f>
        <v>0.1111</v>
      </c>
      <c r="Y76" s="78" t="str">
        <f>IFERROR(IF(VLOOKUP($A76,'Misc. Data &amp; Mechanisms'!$A$63:$DY$152,HLOOKUP('Personalized Bill Menu'!$B$21&amp;"_"&amp;'Personalized Bill Menu'!$B$22&amp;"_Elec_Y_2",'Misc. Data &amp; Mechanisms'!$A$55:$DY$62,8,FALSE), FALSE)="", "", VLOOKUP($A76,'Misc. Data &amp; Mechanisms'!$A$63:$DY$152,HLOOKUP('Personalized Bill Menu'!$B$21&amp;"_"&amp;'Personalized Bill Menu'!$B$22&amp;"_Elec_Y_2",'Misc. Data &amp; Mechanisms'!$A$55:$DY$62,8,FALSE), FALSE)), "")</f>
        <v/>
      </c>
      <c r="Z76" s="72">
        <f ca="1">IF($A76="", "",IFERROR(IF(OR('Personalized Bill Menu'!$B$22="FORTIS", 'Personalized Bill Menu'!$B$22="ATCO"), $X76*($H76+$I76), IF('Personalized Bill Menu'!$B$22="ENMAX",$X76*($H76+$I76+$K76),($X76/100)*$C76)), 0))</f>
        <v>4.489952769469979</v>
      </c>
      <c r="AA76" s="72">
        <f>IF($A76="", "", IFERROR(IF(OR('Personalized Bill Menu'!$B$22="FORTIS", 'Personalized Bill Menu'!$B$22="ATCO"), $Y76*($H76+$I76), IF('Personalized Bill Menu'!$B$22="ENMAX",$X76*$G76,"")), 0))</f>
        <v>2.3587267431894148</v>
      </c>
      <c r="AB76" s="89">
        <f ca="1">IF($A76="", "",IFERROR(IF(VLOOKUP($A76, INDIRECT("'" &amp; 'Personalized Bill Menu'!$B$22 &amp; "'!" &amp;"$A$4:$CA$100"), VLOOKUP(VLOOKUP("RIDER RATE 1",'Misc. Data &amp; Mechanisms'!$E$601:$I$631,HLOOKUP('Personalized Bill Menu'!$B$22, 'Misc. Data &amp; Mechanisms'!$E$599:$I$600, 2, FALSE), FALSE), 'Misc. Data &amp; Mechanisms'!$A$599:$C$659, 2, FALSE), FALSE) = "", "", VLOOKUP($A76, INDIRECT("'" &amp; 'Personalized Bill Menu'!$B$22 &amp; "'!" &amp;"$A$4:$CA$100"), VLOOKUP(VLOOKUP("RIDER RATE 1",'Misc. Data &amp; Mechanisms'!$E$601:$I$631,HLOOKUP('Personalized Bill Menu'!$B$22, 'Misc. Data &amp; Mechanisms'!$E$599:$I$600, 2, FALSE), FALSE), 'Misc. Data &amp; Mechanisms'!$A$599:$C$659, 2, FALSE), FALSE)), ""))</f>
        <v>0.1129</v>
      </c>
      <c r="AC76" s="69">
        <f ca="1">IF($A76="", "",IFERROR(IF(VLOOKUP($A76, INDIRECT("'" &amp; 'Personalized Bill Menu'!$B$22 &amp; "'!" &amp;"$A$4:$CA$100"), VLOOKUP(VLOOKUP("RIDER RATE 2",'Misc. Data &amp; Mechanisms'!$E$601:$I$631,HLOOKUP('Personalized Bill Menu'!$B$22, 'Misc. Data &amp; Mechanisms'!$E$599:$I$600, 2, FALSE), FALSE), 'Misc. Data &amp; Mechanisms'!$A$599:$C$659, 2, FALSE), FALSE) = "", "", VLOOKUP($A76, INDIRECT("'" &amp; 'Personalized Bill Menu'!$B$22 &amp; "'!" &amp;"$A$4:$CA$100"), VLOOKUP(VLOOKUP("RIDER RATE 2",'Misc. Data &amp; Mechanisms'!$E$601:$I$631,HLOOKUP('Personalized Bill Menu'!$B$22, 'Misc. Data &amp; Mechanisms'!$E$599:$I$600, 2, FALSE), FALSE), 'Misc. Data &amp; Mechanisms'!$A$599:$C$659, 2, FALSE), FALSE)), ""))</f>
        <v>1.4593</v>
      </c>
      <c r="AD76" s="69" t="str">
        <f ca="1">IF($A76="", "",IFERROR(IF(VLOOKUP($A76, INDIRECT("'" &amp; 'Personalized Bill Menu'!$B$22 &amp; "'!" &amp;"$A$4:$CA$100"), VLOOKUP(VLOOKUP("RIDER RATE 3",'Misc. Data &amp; Mechanisms'!$E$601:$I$631,HLOOKUP('Personalized Bill Menu'!$B$22, 'Misc. Data &amp; Mechanisms'!$E$599:$I$600, 2, FALSE), FALSE), 'Misc. Data &amp; Mechanisms'!$A$599:$C$659, 2, FALSE), FALSE) = "", "", VLOOKUP($A76, INDIRECT("'" &amp; 'Personalized Bill Menu'!$B$22 &amp; "'!" &amp;"$A$4:$CA$100"), VLOOKUP(VLOOKUP("RIDER RATE 3",'Misc. Data &amp; Mechanisms'!$E$601:$I$631,HLOOKUP('Personalized Bill Menu'!$B$22, 'Misc. Data &amp; Mechanisms'!$E$599:$I$600, 2, FALSE), FALSE), 'Misc. Data &amp; Mechanisms'!$A$599:$C$659, 2, FALSE), FALSE)), ""))</f>
        <v/>
      </c>
      <c r="AE76" s="69" t="str">
        <f ca="1">IF($A76="", "",IFERROR(IF(VLOOKUP($A76, INDIRECT("'" &amp; 'Personalized Bill Menu'!$B$22 &amp; "'!" &amp;"$A$4:$CA$100"), VLOOKUP(VLOOKUP("RIDER RATE 4",'Misc. Data &amp; Mechanisms'!$E$601:$I$631,HLOOKUP('Personalized Bill Menu'!$B$22, 'Misc. Data &amp; Mechanisms'!$E$599:$I$600, 2, FALSE), FALSE), 'Misc. Data &amp; Mechanisms'!$A$599:$C$659, 2, FALSE), FALSE) = "", "", VLOOKUP($A76, INDIRECT("'" &amp; 'Personalized Bill Menu'!$B$22 &amp; "'!" &amp;"$A$4:$CA$100"), VLOOKUP(VLOOKUP("RIDER RATE 4",'Misc. Data &amp; Mechanisms'!$E$601:$I$631,HLOOKUP('Personalized Bill Menu'!$B$22, 'Misc. Data &amp; Mechanisms'!$E$599:$I$600, 2, FALSE), FALSE), 'Misc. Data &amp; Mechanisms'!$A$599:$C$659, 2, FALSE), FALSE)), ""))</f>
        <v/>
      </c>
      <c r="AF76" s="90" t="str">
        <f ca="1">IF($A76="", "",IFERROR(IF(VLOOKUP($A76, INDIRECT("'" &amp; 'Personalized Bill Menu'!$B$22 &amp; "'!" &amp;"$A$4:$CA$100"), VLOOKUP(VLOOKUP("RIDER RATE 5",'Misc. Data &amp; Mechanisms'!$E$601:$I$631,HLOOKUP('Personalized Bill Menu'!$B$22, 'Misc. Data &amp; Mechanisms'!$E$599:$I$600, 2, FALSE), FALSE), 'Misc. Data &amp; Mechanisms'!$A$599:$C$659, 2, FALSE), FALSE) = "", "", VLOOKUP($A76, INDIRECT("'" &amp; 'Personalized Bill Menu'!$B$22 &amp; "'!" &amp;"$A$4:$CA$100"), VLOOKUP(VLOOKUP("RIDER RATE 5",'Misc. Data &amp; Mechanisms'!$E$601:$I$631,HLOOKUP('Personalized Bill Menu'!$B$22, 'Misc. Data &amp; Mechanisms'!$E$599:$I$600, 2, FALSE), FALSE), 'Misc. Data &amp; Mechanisms'!$A$599:$C$659, 2, FALSE), FALSE)), ""))</f>
        <v/>
      </c>
      <c r="AG76" s="90" t="str">
        <f ca="1">IF($A76="", "",IFERROR(IF(VLOOKUP($A76, INDIRECT("'" &amp; 'Personalized Bill Menu'!$B$22 &amp; "'!" &amp;"$A$4:$CA$100"), VLOOKUP(VLOOKUP("RIDER RATE 6",'Misc. Data &amp; Mechanisms'!$E$601:$I$631,HLOOKUP('Personalized Bill Menu'!$B$22, 'Misc. Data &amp; Mechanisms'!$E$599:$I$600, 2, FALSE), FALSE), 'Misc. Data &amp; Mechanisms'!$A$599:$C$659, 2, FALSE), FALSE) = "", "", VLOOKUP($A76, INDIRECT("'" &amp; 'Personalized Bill Menu'!$B$22 &amp; "'!" &amp;"$A$4:$CA$100"), VLOOKUP(VLOOKUP("RIDER RATE 6",'Misc. Data &amp; Mechanisms'!$E$601:$I$631,HLOOKUP('Personalized Bill Menu'!$B$22, 'Misc. Data &amp; Mechanisms'!$E$599:$I$600, 2, FALSE), FALSE), 'Misc. Data &amp; Mechanisms'!$A$599:$C$659, 2, FALSE), FALSE)), ""))</f>
        <v/>
      </c>
      <c r="AH76" s="90" t="str">
        <f ca="1">IF($A76="", "",IFERROR(IF(VLOOKUP($A76, INDIRECT("'" &amp; 'Personalized Bill Menu'!$B$22 &amp; "'!" &amp;"$A$4:$CA$100"), VLOOKUP(VLOOKUP("RIDER RATE 7",'Misc. Data &amp; Mechanisms'!$E$601:$I$631,HLOOKUP('Personalized Bill Menu'!$B$22, 'Misc. Data &amp; Mechanisms'!$E$599:$I$600, 2, FALSE), FALSE), 'Misc. Data &amp; Mechanisms'!$A$599:$C$659, 2, FALSE), FALSE) = "", "", VLOOKUP($A76, INDIRECT("'" &amp; 'Personalized Bill Menu'!$B$22 &amp; "'!" &amp;"$A$4:$CA$100"), VLOOKUP(VLOOKUP("RIDER RATE 7",'Misc. Data &amp; Mechanisms'!$E$601:$I$631,HLOOKUP('Personalized Bill Menu'!$B$22, 'Misc. Data &amp; Mechanisms'!$E$599:$I$600, 2, FALSE), FALSE), 'Misc. Data &amp; Mechanisms'!$A$599:$C$659, 2, FALSE), FALSE)), ""))</f>
        <v/>
      </c>
      <c r="AI76" s="72">
        <f t="shared" ca="1" si="32"/>
        <v>0.62225907008010362</v>
      </c>
      <c r="AJ76" s="72">
        <f t="shared" ca="1" si="33"/>
        <v>8.043070513444599</v>
      </c>
      <c r="AK76" s="72">
        <f ca="1">IF($A76="", "", IFERROR(IF($AD$6="%",IF('Personalized Bill Menu'!$B$22="ENMAX", $AD76*$I76, IF(AND($AD76="", 'Personalized Bill Menu'!$B$22="FORTIS"),($AE76/100)*$C76,$AD76*$H76)),($AD76/100)*$C76), 0))</f>
        <v>0</v>
      </c>
      <c r="AL76" s="72">
        <f ca="1">IF($A76="", "", IFERROR(IF('Personalized Bill Menu'!$B$22="ENMAX",$AE76*$B76,IF($AE$6="%",$AE76*($H76+$I76+$J76), IF('Personalized Bill Menu'!$B$22="FORTIS",$AF76*$I76,($AE76/100)*$C76))), 0))</f>
        <v>0</v>
      </c>
      <c r="AM76" s="72" t="str">
        <f>IF($A76="", "", IFERROR(IF('Personalized Bill Menu'!$B$22="EPCOR",($AF76/100)*$C76, IF('Personalized Bill Menu'!$B$22="ATCO",$AF76*1,"")), 0))</f>
        <v/>
      </c>
      <c r="AN76" s="72" t="str">
        <f>IF($A76="", "", IFERROR(IF('Personalized Bill Menu'!$B$22="ATCO",$AG76*$B76,""), 0))</f>
        <v/>
      </c>
      <c r="AO76" s="70" t="str">
        <f>IF($A76="", "", IFERROR(IF('Personalized Bill Menu'!$B$22="ATCO",$AH76*$B76,""), 0))</f>
        <v/>
      </c>
      <c r="AP76" s="81">
        <f>IF('Personalized Bill Menu'!$B$34&lt;&gt;"Natural Gas", 'Personalized Bill Menu'!$K73, "")</f>
        <v>0.2064</v>
      </c>
      <c r="AQ76" s="72">
        <f t="shared" si="34"/>
        <v>6.3983999999999996</v>
      </c>
      <c r="AR76" s="91">
        <f ca="1">IF($A76="", "",IF(VLOOKUP($A76, INDIRECT("'" &amp; 'Personalized Bill Menu'!$B$22 &amp; "'!" &amp;"$A$4:$CA$100"), VLOOKUP(VLOOKUP(AR$5,'Misc. Data &amp; Mechanisms'!$E$601:$I$631,HLOOKUP('Personalized Bill Menu'!$B$22, 'Misc. Data &amp; Mechanisms'!$E$599:$I$600, 2, FALSE), FALSE), 'Misc. Data &amp; Mechanisms'!$A$599:$C$659, 2, FALSE), FALSE) = "", "", VLOOKUP($A76, INDIRECT("'" &amp; 'Personalized Bill Menu'!$B$22 &amp; "'!" &amp;"$A$4:$CA$100"), VLOOKUP(VLOOKUP(AR$5,'Misc. Data &amp; Mechanisms'!$E$601:$I$631,HLOOKUP('Personalized Bill Menu'!$B$22, 'Misc. Data &amp; Mechanisms'!$E$599:$I$600, 2, FALSE), FALSE), 'Misc. Data &amp; Mechanisms'!$A$599:$C$659, 2, FALSE), FALSE)))</f>
        <v>0.05</v>
      </c>
    </row>
    <row r="77" spans="1:44" x14ac:dyDescent="0.35">
      <c r="A77" s="83">
        <f>'Personalized Bill Menu'!$H74</f>
        <v>43040</v>
      </c>
      <c r="B77" s="84">
        <f t="shared" si="19"/>
        <v>30</v>
      </c>
      <c r="C77" s="85">
        <f>IF('Personalized Bill Menu'!$B$34&lt;&gt;"Natural Gas", 'Personalized Bill Menu'!$I74, "")</f>
        <v>603.38881925349096</v>
      </c>
      <c r="D77" s="66">
        <f t="shared" ca="1" si="35"/>
        <v>13.513501261026008</v>
      </c>
      <c r="E77" s="66">
        <f ca="1">IFERROR((1+$AR77)*(IF('Personalized Bill Menu'!$B$22="ENMAX", ((1+IFERROR($X77, 0))*($N77+$P77+$R77+$AB77+$AC77))+((1+IF($X77="", 0,$X77))*(IF($AD77="", 0,$AD77)*$R77)), IF('Personalized Bill Menu'!$B$22="EPCOR", ($N77+$P77+$R77+$X77+SUM($AB77:$AE77)), IF('Personalized Bill Menu'!$B$22="ATCO",($N77+((1+IF($AE77="", 0,$AE77))*(1+$X77+$Y77)*($P77+$R77))+SUM($AB77:$AD77)),IF($AD77="",$N77+((1+$X77+$Y77)*($P77+$R77))+$AB77+$AE77+(IF($AC77="", 0, $AC77)*$P77)+($R77*IF($AF77="", 0, $AF77)),$N77+((1+$X77+$Y77)*($P77+$R77))+$AB77+($AD77*$P77)+(IF($AC77="", 0, $AC77)*$P77)+($R77*IF($AF77="", 0, $AF77))))))), "")</f>
        <v>9.5388046109999998</v>
      </c>
      <c r="F77" s="1469">
        <f t="shared" ca="1" si="20"/>
        <v>81.538955698710438</v>
      </c>
      <c r="G77" s="66">
        <f t="shared" si="18"/>
        <v>22.041793567330025</v>
      </c>
      <c r="H77" s="66">
        <f t="shared" ca="1" si="21"/>
        <v>11.743756589130694</v>
      </c>
      <c r="I77" s="66">
        <f t="shared" ca="1" si="22"/>
        <v>21.046347467039823</v>
      </c>
      <c r="J77" s="66">
        <f t="shared" ca="1" si="23"/>
        <v>7.1457716446822168</v>
      </c>
      <c r="K77" s="66">
        <f t="shared" ca="1" si="24"/>
        <v>9.4864790163033863</v>
      </c>
      <c r="L77" s="66">
        <f t="shared" si="25"/>
        <v>6.1920000000000002</v>
      </c>
      <c r="M77" s="68">
        <f t="shared" ca="1" si="26"/>
        <v>3.882807414224307</v>
      </c>
      <c r="N77" s="69">
        <f>IF('Personalized Bill Menu'!$B$34&lt;&gt;"Natural Gas", 'Personalized Bill Menu'!$J74, "")</f>
        <v>3.653</v>
      </c>
      <c r="O77" s="70">
        <f t="shared" si="27"/>
        <v>22.041793567330025</v>
      </c>
      <c r="P77" s="71">
        <f ca="1">IF($A77="", "",IFERROR(IF(VLOOKUP($A77, INDIRECT("'" &amp; 'Personalized Bill Menu'!$B$22 &amp; "'!" &amp;"$A$4:$CA$100"), VLOOKUP(VLOOKUP(P$5,'Misc. Data &amp; Mechanisms'!$E$601:$I$631,HLOOKUP('Personalized Bill Menu'!$B$22, 'Misc. Data &amp; Mechanisms'!$E$599:$I$600, 2, FALSE), FALSE), 'Misc. Data &amp; Mechanisms'!$A$599:$C$659, 2, FALSE), FALSE) = "", "", VLOOKUP($A77, INDIRECT("'" &amp; 'Personalized Bill Menu'!$B$22 &amp; "'!" &amp;"$A$4:$CA$100"), VLOOKUP(VLOOKUP(P$5,'Misc. Data &amp; Mechanisms'!$E$601:$I$631,HLOOKUP('Personalized Bill Menu'!$B$22, 'Misc. Data &amp; Mechanisms'!$E$599:$I$600, 2, FALSE), FALSE), 'Misc. Data &amp; Mechanisms'!$A$599:$C$659, 2, FALSE), FALSE)), ""))</f>
        <v>1.9462999999999999</v>
      </c>
      <c r="Q77" s="72">
        <f t="shared" ca="1" si="28"/>
        <v>11.743756589130694</v>
      </c>
      <c r="R77" s="87">
        <f ca="1">IF($A77="", "",IFERROR(IF(VLOOKUP($A77, INDIRECT("'" &amp; 'Personalized Bill Menu'!$B$22 &amp; "'!" &amp;"$A$4:$CA$100"), VLOOKUP(VLOOKUP(R$5,'Misc. Data &amp; Mechanisms'!$E$601:$I$631,HLOOKUP('Personalized Bill Menu'!$B$22, 'Misc. Data &amp; Mechanisms'!$E$599:$I$600, 2, FALSE), FALSE), 'Misc. Data &amp; Mechanisms'!$A$599:$C$659, 2, FALSE), FALSE) = "", "", VLOOKUP($A77, INDIRECT("'" &amp; 'Personalized Bill Menu'!$B$22 &amp; "'!" &amp;"$A$4:$CA$100"), VLOOKUP(VLOOKUP(R$5,'Misc. Data &amp; Mechanisms'!$E$601:$I$631,HLOOKUP('Personalized Bill Menu'!$B$22, 'Misc. Data &amp; Mechanisms'!$E$599:$I$600, 2, FALSE), FALSE), 'Misc. Data &amp; Mechanisms'!$A$599:$C$659, 2, FALSE), FALSE)), ""))</f>
        <v>1.0046999999999999</v>
      </c>
      <c r="S77" s="88">
        <f ca="1">IF($A77="", "",IFERROR(IF(VLOOKUP($A77, INDIRECT("'" &amp; 'Personalized Bill Menu'!$B$22 &amp; "'!" &amp;"$A$4:$CA$100"), VLOOKUP(VLOOKUP(S$5,'Misc. Data &amp; Mechanisms'!$E$601:$I$631,HLOOKUP('Personalized Bill Menu'!$B$22, 'Misc. Data &amp; Mechanisms'!$E$599:$I$600, 2, FALSE), FALSE), 'Misc. Data &amp; Mechanisms'!$A$599:$C$659, 2, FALSE), FALSE) = "", "", VLOOKUP($A77, INDIRECT("'" &amp; 'Personalized Bill Menu'!$B$22 &amp; "'!" &amp;"$A$4:$CA$100"), VLOOKUP(VLOOKUP(S$5,'Misc. Data &amp; Mechanisms'!$E$601:$I$631,HLOOKUP('Personalized Bill Menu'!$B$22, 'Misc. Data &amp; Mechanisms'!$E$599:$I$600, 2, FALSE), FALSE), 'Misc. Data &amp; Mechanisms'!$A$599:$C$659, 2, FALSE), FALSE)), ""))</f>
        <v>0.49947000000000003</v>
      </c>
      <c r="T77" s="81" t="str">
        <f ca="1">IF($A77="", "",IFERROR(IF(VLOOKUP($A77, INDIRECT("'" &amp; 'Personalized Bill Menu'!$B$22 &amp; "'!" &amp;"$A$4:$CA$100"), VLOOKUP(VLOOKUP(T$5,'Misc. Data &amp; Mechanisms'!$E$601:$I$631,HLOOKUP('Personalized Bill Menu'!$B$22, 'Misc. Data &amp; Mechanisms'!$E$599:$I$600, 2, FALSE), FALSE), 'Misc. Data &amp; Mechanisms'!$A$599:$C$659, 2, FALSE), FALSE) = "", "", VLOOKUP($A77, INDIRECT("'" &amp; 'Personalized Bill Menu'!$B$22 &amp; "'!" &amp;"$A$4:$CA$100"), VLOOKUP(VLOOKUP(T$5,'Misc. Data &amp; Mechanisms'!$E$601:$I$631,HLOOKUP('Personalized Bill Menu'!$B$22, 'Misc. Data &amp; Mechanisms'!$E$599:$I$600, 2, FALSE), FALSE), 'Misc. Data &amp; Mechanisms'!$A$599:$C$659, 2, FALSE), FALSE)), ""))</f>
        <v/>
      </c>
      <c r="U77" s="72">
        <f t="shared" ca="1" si="29"/>
        <v>6.062247467039823</v>
      </c>
      <c r="V77" s="72">
        <f t="shared" ca="1" si="30"/>
        <v>14.984100000000002</v>
      </c>
      <c r="W77" s="70" t="str">
        <f t="shared" si="31"/>
        <v/>
      </c>
      <c r="X77" s="78">
        <f>IFERROR(IF(VLOOKUP($A77,'Misc. Data &amp; Mechanisms'!$A$63:$DY$152,HLOOKUP('Personalized Bill Menu'!$B$21&amp;"_"&amp;'Personalized Bill Menu'!$B$22&amp;"_Elec_Y_1",'Misc. Data &amp; Mechanisms'!$A$55:$DY$62,8,FALSE), FALSE)="", "", VLOOKUP($A77,'Misc. Data &amp; Mechanisms'!$A$63:$DY$152,HLOOKUP('Personalized Bill Menu'!$B$21&amp;"_"&amp;'Personalized Bill Menu'!$B$22&amp;"_Elec_Y_1",'Misc. Data &amp; Mechanisms'!$A$55:$DY$62,8,FALSE), FALSE)), "")</f>
        <v>0.1111</v>
      </c>
      <c r="Y77" s="78" t="str">
        <f>IFERROR(IF(VLOOKUP($A77,'Misc. Data &amp; Mechanisms'!$A$63:$DY$152,HLOOKUP('Personalized Bill Menu'!$B$21&amp;"_"&amp;'Personalized Bill Menu'!$B$22&amp;"_Elec_Y_2",'Misc. Data &amp; Mechanisms'!$A$55:$DY$62,8,FALSE), FALSE)="", "", VLOOKUP($A77,'Misc. Data &amp; Mechanisms'!$A$63:$DY$152,HLOOKUP('Personalized Bill Menu'!$B$21&amp;"_"&amp;'Personalized Bill Menu'!$B$22&amp;"_Elec_Y_2",'Misc. Data &amp; Mechanisms'!$A$55:$DY$62,8,FALSE), FALSE)), "")</f>
        <v/>
      </c>
      <c r="Z77" s="72">
        <f ca="1">IF($A77="", "",IFERROR(IF(OR('Personalized Bill Menu'!$B$22="FORTIS", 'Personalized Bill Menu'!$B$22="ATCO"), $X77*($H77+$I77), IF('Personalized Bill Menu'!$B$22="ENMAX",$X77*($H77+$I77+$K77),($X77/100)*$C77)), 0))</f>
        <v>4.696928379351851</v>
      </c>
      <c r="AA77" s="72">
        <f>IF($A77="", "", IFERROR(IF(OR('Personalized Bill Menu'!$B$22="FORTIS", 'Personalized Bill Menu'!$B$22="ATCO"), $Y77*($H77+$I77), IF('Personalized Bill Menu'!$B$22="ENMAX",$X77*$G77,"")), 0))</f>
        <v>2.4488432653303658</v>
      </c>
      <c r="AB77" s="89">
        <f ca="1">IF($A77="", "",IFERROR(IF(VLOOKUP($A77, INDIRECT("'" &amp; 'Personalized Bill Menu'!$B$22 &amp; "'!" &amp;"$A$4:$CA$100"), VLOOKUP(VLOOKUP("RIDER RATE 1",'Misc. Data &amp; Mechanisms'!$E$601:$I$631,HLOOKUP('Personalized Bill Menu'!$B$22, 'Misc. Data &amp; Mechanisms'!$E$599:$I$600, 2, FALSE), FALSE), 'Misc. Data &amp; Mechanisms'!$A$599:$C$659, 2, FALSE), FALSE) = "", "", VLOOKUP($A77, INDIRECT("'" &amp; 'Personalized Bill Menu'!$B$22 &amp; "'!" &amp;"$A$4:$CA$100"), VLOOKUP(VLOOKUP("RIDER RATE 1",'Misc. Data &amp; Mechanisms'!$E$601:$I$631,HLOOKUP('Personalized Bill Menu'!$B$22, 'Misc. Data &amp; Mechanisms'!$E$599:$I$600, 2, FALSE), FALSE), 'Misc. Data &amp; Mechanisms'!$A$599:$C$659, 2, FALSE), FALSE)), ""))</f>
        <v>0.1129</v>
      </c>
      <c r="AC77" s="69">
        <f ca="1">IF($A77="", "",IFERROR(IF(VLOOKUP($A77, INDIRECT("'" &amp; 'Personalized Bill Menu'!$B$22 &amp; "'!" &amp;"$A$4:$CA$100"), VLOOKUP(VLOOKUP("RIDER RATE 2",'Misc. Data &amp; Mechanisms'!$E$601:$I$631,HLOOKUP('Personalized Bill Menu'!$B$22, 'Misc. Data &amp; Mechanisms'!$E$599:$I$600, 2, FALSE), FALSE), 'Misc. Data &amp; Mechanisms'!$A$599:$C$659, 2, FALSE), FALSE) = "", "", VLOOKUP($A77, INDIRECT("'" &amp; 'Personalized Bill Menu'!$B$22 &amp; "'!" &amp;"$A$4:$CA$100"), VLOOKUP(VLOOKUP("RIDER RATE 2",'Misc. Data &amp; Mechanisms'!$E$601:$I$631,HLOOKUP('Personalized Bill Menu'!$B$22, 'Misc. Data &amp; Mechanisms'!$E$599:$I$600, 2, FALSE), FALSE), 'Misc. Data &amp; Mechanisms'!$A$599:$C$659, 2, FALSE), FALSE)), ""))</f>
        <v>1.4593</v>
      </c>
      <c r="AD77" s="69" t="str">
        <f ca="1">IF($A77="", "",IFERROR(IF(VLOOKUP($A77, INDIRECT("'" &amp; 'Personalized Bill Menu'!$B$22 &amp; "'!" &amp;"$A$4:$CA$100"), VLOOKUP(VLOOKUP("RIDER RATE 3",'Misc. Data &amp; Mechanisms'!$E$601:$I$631,HLOOKUP('Personalized Bill Menu'!$B$22, 'Misc. Data &amp; Mechanisms'!$E$599:$I$600, 2, FALSE), FALSE), 'Misc. Data &amp; Mechanisms'!$A$599:$C$659, 2, FALSE), FALSE) = "", "", VLOOKUP($A77, INDIRECT("'" &amp; 'Personalized Bill Menu'!$B$22 &amp; "'!" &amp;"$A$4:$CA$100"), VLOOKUP(VLOOKUP("RIDER RATE 3",'Misc. Data &amp; Mechanisms'!$E$601:$I$631,HLOOKUP('Personalized Bill Menu'!$B$22, 'Misc. Data &amp; Mechanisms'!$E$599:$I$600, 2, FALSE), FALSE), 'Misc. Data &amp; Mechanisms'!$A$599:$C$659, 2, FALSE), FALSE)), ""))</f>
        <v/>
      </c>
      <c r="AE77" s="69" t="str">
        <f ca="1">IF($A77="", "",IFERROR(IF(VLOOKUP($A77, INDIRECT("'" &amp; 'Personalized Bill Menu'!$B$22 &amp; "'!" &amp;"$A$4:$CA$100"), VLOOKUP(VLOOKUP("RIDER RATE 4",'Misc. Data &amp; Mechanisms'!$E$601:$I$631,HLOOKUP('Personalized Bill Menu'!$B$22, 'Misc. Data &amp; Mechanisms'!$E$599:$I$600, 2, FALSE), FALSE), 'Misc. Data &amp; Mechanisms'!$A$599:$C$659, 2, FALSE), FALSE) = "", "", VLOOKUP($A77, INDIRECT("'" &amp; 'Personalized Bill Menu'!$B$22 &amp; "'!" &amp;"$A$4:$CA$100"), VLOOKUP(VLOOKUP("RIDER RATE 4",'Misc. Data &amp; Mechanisms'!$E$601:$I$631,HLOOKUP('Personalized Bill Menu'!$B$22, 'Misc. Data &amp; Mechanisms'!$E$599:$I$600, 2, FALSE), FALSE), 'Misc. Data &amp; Mechanisms'!$A$599:$C$659, 2, FALSE), FALSE)), ""))</f>
        <v/>
      </c>
      <c r="AF77" s="90" t="str">
        <f ca="1">IF($A77="", "",IFERROR(IF(VLOOKUP($A77, INDIRECT("'" &amp; 'Personalized Bill Menu'!$B$22 &amp; "'!" &amp;"$A$4:$CA$100"), VLOOKUP(VLOOKUP("RIDER RATE 5",'Misc. Data &amp; Mechanisms'!$E$601:$I$631,HLOOKUP('Personalized Bill Menu'!$B$22, 'Misc. Data &amp; Mechanisms'!$E$599:$I$600, 2, FALSE), FALSE), 'Misc. Data &amp; Mechanisms'!$A$599:$C$659, 2, FALSE), FALSE) = "", "", VLOOKUP($A77, INDIRECT("'" &amp; 'Personalized Bill Menu'!$B$22 &amp; "'!" &amp;"$A$4:$CA$100"), VLOOKUP(VLOOKUP("RIDER RATE 5",'Misc. Data &amp; Mechanisms'!$E$601:$I$631,HLOOKUP('Personalized Bill Menu'!$B$22, 'Misc. Data &amp; Mechanisms'!$E$599:$I$600, 2, FALSE), FALSE), 'Misc. Data &amp; Mechanisms'!$A$599:$C$659, 2, FALSE), FALSE)), ""))</f>
        <v/>
      </c>
      <c r="AG77" s="90" t="str">
        <f ca="1">IF($A77="", "",IFERROR(IF(VLOOKUP($A77, INDIRECT("'" &amp; 'Personalized Bill Menu'!$B$22 &amp; "'!" &amp;"$A$4:$CA$100"), VLOOKUP(VLOOKUP("RIDER RATE 6",'Misc. Data &amp; Mechanisms'!$E$601:$I$631,HLOOKUP('Personalized Bill Menu'!$B$22, 'Misc. Data &amp; Mechanisms'!$E$599:$I$600, 2, FALSE), FALSE), 'Misc. Data &amp; Mechanisms'!$A$599:$C$659, 2, FALSE), FALSE) = "", "", VLOOKUP($A77, INDIRECT("'" &amp; 'Personalized Bill Menu'!$B$22 &amp; "'!" &amp;"$A$4:$CA$100"), VLOOKUP(VLOOKUP("RIDER RATE 6",'Misc. Data &amp; Mechanisms'!$E$601:$I$631,HLOOKUP('Personalized Bill Menu'!$B$22, 'Misc. Data &amp; Mechanisms'!$E$599:$I$600, 2, FALSE), FALSE), 'Misc. Data &amp; Mechanisms'!$A$599:$C$659, 2, FALSE), FALSE)), ""))</f>
        <v/>
      </c>
      <c r="AH77" s="90" t="str">
        <f ca="1">IF($A77="", "",IFERROR(IF(VLOOKUP($A77, INDIRECT("'" &amp; 'Personalized Bill Menu'!$B$22 &amp; "'!" &amp;"$A$4:$CA$100"), VLOOKUP(VLOOKUP("RIDER RATE 7",'Misc. Data &amp; Mechanisms'!$E$601:$I$631,HLOOKUP('Personalized Bill Menu'!$B$22, 'Misc. Data &amp; Mechanisms'!$E$599:$I$600, 2, FALSE), FALSE), 'Misc. Data &amp; Mechanisms'!$A$599:$C$659, 2, FALSE), FALSE) = "", "", VLOOKUP($A77, INDIRECT("'" &amp; 'Personalized Bill Menu'!$B$22 &amp; "'!" &amp;"$A$4:$CA$100"), VLOOKUP(VLOOKUP("RIDER RATE 7",'Misc. Data &amp; Mechanisms'!$E$601:$I$631,HLOOKUP('Personalized Bill Menu'!$B$22, 'Misc. Data &amp; Mechanisms'!$E$599:$I$600, 2, FALSE), FALSE), 'Misc. Data &amp; Mechanisms'!$A$599:$C$659, 2, FALSE), FALSE)), ""))</f>
        <v/>
      </c>
      <c r="AI77" s="72">
        <f t="shared" ca="1" si="32"/>
        <v>0.68122597693719134</v>
      </c>
      <c r="AJ77" s="72">
        <f t="shared" ca="1" si="33"/>
        <v>8.8052530393661943</v>
      </c>
      <c r="AK77" s="72">
        <f ca="1">IF($A77="", "", IFERROR(IF($AD$6="%",IF('Personalized Bill Menu'!$B$22="ENMAX", $AD77*$I77, IF(AND($AD77="", 'Personalized Bill Menu'!$B$22="FORTIS"),($AE77/100)*$C77,$AD77*$H77)),($AD77/100)*$C77), 0))</f>
        <v>0</v>
      </c>
      <c r="AL77" s="72">
        <f ca="1">IF($A77="", "", IFERROR(IF('Personalized Bill Menu'!$B$22="ENMAX",$AE77*$B77,IF($AE$6="%",$AE77*($H77+$I77+$J77), IF('Personalized Bill Menu'!$B$22="FORTIS",$AF77*$I77,($AE77/100)*$C77))), 0))</f>
        <v>0</v>
      </c>
      <c r="AM77" s="72" t="str">
        <f>IF($A77="", "", IFERROR(IF('Personalized Bill Menu'!$B$22="EPCOR",($AF77/100)*$C77, IF('Personalized Bill Menu'!$B$22="ATCO",$AF77*1,"")), 0))</f>
        <v/>
      </c>
      <c r="AN77" s="72" t="str">
        <f>IF($A77="", "", IFERROR(IF('Personalized Bill Menu'!$B$22="ATCO",$AG77*$B77,""), 0))</f>
        <v/>
      </c>
      <c r="AO77" s="70" t="str">
        <f>IF($A77="", "", IFERROR(IF('Personalized Bill Menu'!$B$22="ATCO",$AH77*$B77,""), 0))</f>
        <v/>
      </c>
      <c r="AP77" s="81">
        <f>IF('Personalized Bill Menu'!$B$34&lt;&gt;"Natural Gas", 'Personalized Bill Menu'!$K74, "")</f>
        <v>0.2064</v>
      </c>
      <c r="AQ77" s="72">
        <f t="shared" si="34"/>
        <v>6.1920000000000002</v>
      </c>
      <c r="AR77" s="91">
        <f ca="1">IF($A77="", "",IF(VLOOKUP($A77, INDIRECT("'" &amp; 'Personalized Bill Menu'!$B$22 &amp; "'!" &amp;"$A$4:$CA$100"), VLOOKUP(VLOOKUP(AR$5,'Misc. Data &amp; Mechanisms'!$E$601:$I$631,HLOOKUP('Personalized Bill Menu'!$B$22, 'Misc. Data &amp; Mechanisms'!$E$599:$I$600, 2, FALSE), FALSE), 'Misc. Data &amp; Mechanisms'!$A$599:$C$659, 2, FALSE), FALSE) = "", "", VLOOKUP($A77, INDIRECT("'" &amp; 'Personalized Bill Menu'!$B$22 &amp; "'!" &amp;"$A$4:$CA$100"), VLOOKUP(VLOOKUP(AR$5,'Misc. Data &amp; Mechanisms'!$E$601:$I$631,HLOOKUP('Personalized Bill Menu'!$B$22, 'Misc. Data &amp; Mechanisms'!$E$599:$I$600, 2, FALSE), FALSE), 'Misc. Data &amp; Mechanisms'!$A$599:$C$659, 2, FALSE), FALSE)))</f>
        <v>0.05</v>
      </c>
    </row>
    <row r="78" spans="1:44" x14ac:dyDescent="0.35">
      <c r="A78" s="83">
        <f>'Personalized Bill Menu'!$H75</f>
        <v>43070</v>
      </c>
      <c r="B78" s="84">
        <f t="shared" si="19"/>
        <v>31</v>
      </c>
      <c r="C78" s="85">
        <f>IF('Personalized Bill Menu'!$B$34&lt;&gt;"Natural Gas", 'Personalized Bill Menu'!$I75, "")</f>
        <v>678.71552709613513</v>
      </c>
      <c r="D78" s="66">
        <f t="shared" ca="1" si="35"/>
        <v>13.590320953494368</v>
      </c>
      <c r="E78" s="66">
        <f ca="1">IFERROR((1+$AR78)*(IF('Personalized Bill Menu'!$B$22="ENMAX", ((1+IFERROR($X78, 0))*($N78+$P78+$R78+$AB78+$AC78))+((1+IF($X78="", 0,$X78))*(IF($AD78="", 0,$AD78)*$R78)), IF('Personalized Bill Menu'!$B$22="EPCOR", ($N78+$P78+$R78+$X78+SUM($AB78:$AE78)), IF('Personalized Bill Menu'!$B$22="ATCO",($N78+((1+IF($AE78="", 0,$AE78))*(1+$X78+$Y78)*($P78+$R78))+SUM($AB78:$AD78)),IF($AD78="",$N78+((1+$X78+$Y78)*($P78+$R78))+$AB78+$AE78+(IF($AC78="", 0, $AC78)*$P78)+($R78*IF($AF78="", 0, $AF78)),$N78+((1+$X78+$Y78)*($P78+$R78))+$AB78+($AD78*$P78)+(IF($AC78="", 0, $AC78)*$P78)+($R78*IF($AF78="", 0, $AF78))))))), "")</f>
        <v>9.9389672759999996</v>
      </c>
      <c r="F78" s="1469">
        <f t="shared" ca="1" si="20"/>
        <v>92.239618493565786</v>
      </c>
      <c r="G78" s="66">
        <f t="shared" si="18"/>
        <v>27.121472462761563</v>
      </c>
      <c r="H78" s="66">
        <f t="shared" ca="1" si="21"/>
        <v>13.209840303872076</v>
      </c>
      <c r="I78" s="66">
        <f t="shared" ca="1" si="22"/>
        <v>22.30262490073487</v>
      </c>
      <c r="J78" s="66">
        <f t="shared" ca="1" si="23"/>
        <v>8.1441525237839461</v>
      </c>
      <c r="K78" s="66">
        <f t="shared" ca="1" si="24"/>
        <v>10.670765517005437</v>
      </c>
      <c r="L78" s="66">
        <f t="shared" si="25"/>
        <v>6.3983999999999996</v>
      </c>
      <c r="M78" s="68">
        <f t="shared" ca="1" si="26"/>
        <v>4.3923627854078946</v>
      </c>
      <c r="N78" s="69">
        <f>IF('Personalized Bill Menu'!$B$34&lt;&gt;"Natural Gas", 'Personalized Bill Menu'!$J75, "")</f>
        <v>3.996</v>
      </c>
      <c r="O78" s="70">
        <f t="shared" si="27"/>
        <v>27.121472462761563</v>
      </c>
      <c r="P78" s="71">
        <f ca="1">IF($A78="", "",IFERROR(IF(VLOOKUP($A78, INDIRECT("'" &amp; 'Personalized Bill Menu'!$B$22 &amp; "'!" &amp;"$A$4:$CA$100"), VLOOKUP(VLOOKUP(P$5,'Misc. Data &amp; Mechanisms'!$E$601:$I$631,HLOOKUP('Personalized Bill Menu'!$B$22, 'Misc. Data &amp; Mechanisms'!$E$599:$I$600, 2, FALSE), FALSE), 'Misc. Data &amp; Mechanisms'!$A$599:$C$659, 2, FALSE), FALSE) = "", "", VLOOKUP($A78, INDIRECT("'" &amp; 'Personalized Bill Menu'!$B$22 &amp; "'!" &amp;"$A$4:$CA$100"), VLOOKUP(VLOOKUP(P$5,'Misc. Data &amp; Mechanisms'!$E$601:$I$631,HLOOKUP('Personalized Bill Menu'!$B$22, 'Misc. Data &amp; Mechanisms'!$E$599:$I$600, 2, FALSE), FALSE), 'Misc. Data &amp; Mechanisms'!$A$599:$C$659, 2, FALSE), FALSE)), ""))</f>
        <v>1.9462999999999999</v>
      </c>
      <c r="Q78" s="72">
        <f t="shared" ca="1" si="28"/>
        <v>13.209840303872076</v>
      </c>
      <c r="R78" s="87">
        <f ca="1">IF($A78="", "",IFERROR(IF(VLOOKUP($A78, INDIRECT("'" &amp; 'Personalized Bill Menu'!$B$22 &amp; "'!" &amp;"$A$4:$CA$100"), VLOOKUP(VLOOKUP(R$5,'Misc. Data &amp; Mechanisms'!$E$601:$I$631,HLOOKUP('Personalized Bill Menu'!$B$22, 'Misc. Data &amp; Mechanisms'!$E$599:$I$600, 2, FALSE), FALSE), 'Misc. Data &amp; Mechanisms'!$A$599:$C$659, 2, FALSE), FALSE) = "", "", VLOOKUP($A78, INDIRECT("'" &amp; 'Personalized Bill Menu'!$B$22 &amp; "'!" &amp;"$A$4:$CA$100"), VLOOKUP(VLOOKUP(R$5,'Misc. Data &amp; Mechanisms'!$E$601:$I$631,HLOOKUP('Personalized Bill Menu'!$B$22, 'Misc. Data &amp; Mechanisms'!$E$599:$I$600, 2, FALSE), FALSE), 'Misc. Data &amp; Mechanisms'!$A$599:$C$659, 2, FALSE), FALSE)), ""))</f>
        <v>1.0046999999999999</v>
      </c>
      <c r="S78" s="88">
        <f ca="1">IF($A78="", "",IFERROR(IF(VLOOKUP($A78, INDIRECT("'" &amp; 'Personalized Bill Menu'!$B$22 &amp; "'!" &amp;"$A$4:$CA$100"), VLOOKUP(VLOOKUP(S$5,'Misc. Data &amp; Mechanisms'!$E$601:$I$631,HLOOKUP('Personalized Bill Menu'!$B$22, 'Misc. Data &amp; Mechanisms'!$E$599:$I$600, 2, FALSE), FALSE), 'Misc. Data &amp; Mechanisms'!$A$599:$C$659, 2, FALSE), FALSE) = "", "", VLOOKUP($A78, INDIRECT("'" &amp; 'Personalized Bill Menu'!$B$22 &amp; "'!" &amp;"$A$4:$CA$100"), VLOOKUP(VLOOKUP(S$5,'Misc. Data &amp; Mechanisms'!$E$601:$I$631,HLOOKUP('Personalized Bill Menu'!$B$22, 'Misc. Data &amp; Mechanisms'!$E$599:$I$600, 2, FALSE), FALSE), 'Misc. Data &amp; Mechanisms'!$A$599:$C$659, 2, FALSE), FALSE)), ""))</f>
        <v>0.49947000000000003</v>
      </c>
      <c r="T78" s="81" t="str">
        <f ca="1">IF($A78="", "",IFERROR(IF(VLOOKUP($A78, INDIRECT("'" &amp; 'Personalized Bill Menu'!$B$22 &amp; "'!" &amp;"$A$4:$CA$100"), VLOOKUP(VLOOKUP(T$5,'Misc. Data &amp; Mechanisms'!$E$601:$I$631,HLOOKUP('Personalized Bill Menu'!$B$22, 'Misc. Data &amp; Mechanisms'!$E$599:$I$600, 2, FALSE), FALSE), 'Misc. Data &amp; Mechanisms'!$A$599:$C$659, 2, FALSE), FALSE) = "", "", VLOOKUP($A78, INDIRECT("'" &amp; 'Personalized Bill Menu'!$B$22 &amp; "'!" &amp;"$A$4:$CA$100"), VLOOKUP(VLOOKUP(T$5,'Misc. Data &amp; Mechanisms'!$E$601:$I$631,HLOOKUP('Personalized Bill Menu'!$B$22, 'Misc. Data &amp; Mechanisms'!$E$599:$I$600, 2, FALSE), FALSE), 'Misc. Data &amp; Mechanisms'!$A$599:$C$659, 2, FALSE), FALSE)), ""))</f>
        <v/>
      </c>
      <c r="U78" s="72">
        <f t="shared" ca="1" si="29"/>
        <v>6.8190549007348684</v>
      </c>
      <c r="V78" s="72">
        <f t="shared" ca="1" si="30"/>
        <v>15.48357</v>
      </c>
      <c r="W78" s="70" t="str">
        <f t="shared" si="31"/>
        <v/>
      </c>
      <c r="X78" s="78">
        <f>IFERROR(IF(VLOOKUP($A78,'Misc. Data &amp; Mechanisms'!$A$63:$DY$152,HLOOKUP('Personalized Bill Menu'!$B$21&amp;"_"&amp;'Personalized Bill Menu'!$B$22&amp;"_Elec_Y_1",'Misc. Data &amp; Mechanisms'!$A$55:$DY$62,8,FALSE), FALSE)="", "", VLOOKUP($A78,'Misc. Data &amp; Mechanisms'!$A$63:$DY$152,HLOOKUP('Personalized Bill Menu'!$B$21&amp;"_"&amp;'Personalized Bill Menu'!$B$22&amp;"_Elec_Y_1",'Misc. Data &amp; Mechanisms'!$A$55:$DY$62,8,FALSE), FALSE)), "")</f>
        <v>0.1111</v>
      </c>
      <c r="Y78" s="78" t="str">
        <f>IFERROR(IF(VLOOKUP($A78,'Misc. Data &amp; Mechanisms'!$A$63:$DY$152,HLOOKUP('Personalized Bill Menu'!$B$21&amp;"_"&amp;'Personalized Bill Menu'!$B$22&amp;"_Elec_Y_2",'Misc. Data &amp; Mechanisms'!$A$55:$DY$62,8,FALSE), FALSE)="", "", VLOOKUP($A78,'Misc. Data &amp; Mechanisms'!$A$63:$DY$152,HLOOKUP('Personalized Bill Menu'!$B$21&amp;"_"&amp;'Personalized Bill Menu'!$B$22&amp;"_Elec_Y_2",'Misc. Data &amp; Mechanisms'!$A$55:$DY$62,8,FALSE), FALSE)), "")</f>
        <v/>
      </c>
      <c r="Z78" s="72">
        <f ca="1">IF($A78="", "",IFERROR(IF(OR('Personalized Bill Menu'!$B$22="FORTIS", 'Personalized Bill Menu'!$B$22="ATCO"), $X78*($H78+$I78), IF('Personalized Bill Menu'!$B$22="ENMAX",$X78*($H78+$I78+$K78),($X78/100)*$C78)), 0))</f>
        <v>5.1309569331711362</v>
      </c>
      <c r="AA78" s="72">
        <f>IF($A78="", "", IFERROR(IF(OR('Personalized Bill Menu'!$B$22="FORTIS", 'Personalized Bill Menu'!$B$22="ATCO"), $Y78*($H78+$I78), IF('Personalized Bill Menu'!$B$22="ENMAX",$X78*$G78,"")), 0))</f>
        <v>3.0131955906128098</v>
      </c>
      <c r="AB78" s="89">
        <f ca="1">IF($A78="", "",IFERROR(IF(VLOOKUP($A78, INDIRECT("'" &amp; 'Personalized Bill Menu'!$B$22 &amp; "'!" &amp;"$A$4:$CA$100"), VLOOKUP(VLOOKUP("RIDER RATE 1",'Misc. Data &amp; Mechanisms'!$E$601:$I$631,HLOOKUP('Personalized Bill Menu'!$B$22, 'Misc. Data &amp; Mechanisms'!$E$599:$I$600, 2, FALSE), FALSE), 'Misc. Data &amp; Mechanisms'!$A$599:$C$659, 2, FALSE), FALSE) = "", "", VLOOKUP($A78, INDIRECT("'" &amp; 'Personalized Bill Menu'!$B$22 &amp; "'!" &amp;"$A$4:$CA$100"), VLOOKUP(VLOOKUP("RIDER RATE 1",'Misc. Data &amp; Mechanisms'!$E$601:$I$631,HLOOKUP('Personalized Bill Menu'!$B$22, 'Misc. Data &amp; Mechanisms'!$E$599:$I$600, 2, FALSE), FALSE), 'Misc. Data &amp; Mechanisms'!$A$599:$C$659, 2, FALSE), FALSE)), ""))</f>
        <v>0.1129</v>
      </c>
      <c r="AC78" s="69">
        <f ca="1">IF($A78="", "",IFERROR(IF(VLOOKUP($A78, INDIRECT("'" &amp; 'Personalized Bill Menu'!$B$22 &amp; "'!" &amp;"$A$4:$CA$100"), VLOOKUP(VLOOKUP("RIDER RATE 2",'Misc. Data &amp; Mechanisms'!$E$601:$I$631,HLOOKUP('Personalized Bill Menu'!$B$22, 'Misc. Data &amp; Mechanisms'!$E$599:$I$600, 2, FALSE), FALSE), 'Misc. Data &amp; Mechanisms'!$A$599:$C$659, 2, FALSE), FALSE) = "", "", VLOOKUP($A78, INDIRECT("'" &amp; 'Personalized Bill Menu'!$B$22 &amp; "'!" &amp;"$A$4:$CA$100"), VLOOKUP(VLOOKUP("RIDER RATE 2",'Misc. Data &amp; Mechanisms'!$E$601:$I$631,HLOOKUP('Personalized Bill Menu'!$B$22, 'Misc. Data &amp; Mechanisms'!$E$599:$I$600, 2, FALSE), FALSE), 'Misc. Data &amp; Mechanisms'!$A$599:$C$659, 2, FALSE), FALSE)), ""))</f>
        <v>1.4593</v>
      </c>
      <c r="AD78" s="69" t="str">
        <f ca="1">IF($A78="", "",IFERROR(IF(VLOOKUP($A78, INDIRECT("'" &amp; 'Personalized Bill Menu'!$B$22 &amp; "'!" &amp;"$A$4:$CA$100"), VLOOKUP(VLOOKUP("RIDER RATE 3",'Misc. Data &amp; Mechanisms'!$E$601:$I$631,HLOOKUP('Personalized Bill Menu'!$B$22, 'Misc. Data &amp; Mechanisms'!$E$599:$I$600, 2, FALSE), FALSE), 'Misc. Data &amp; Mechanisms'!$A$599:$C$659, 2, FALSE), FALSE) = "", "", VLOOKUP($A78, INDIRECT("'" &amp; 'Personalized Bill Menu'!$B$22 &amp; "'!" &amp;"$A$4:$CA$100"), VLOOKUP(VLOOKUP("RIDER RATE 3",'Misc. Data &amp; Mechanisms'!$E$601:$I$631,HLOOKUP('Personalized Bill Menu'!$B$22, 'Misc. Data &amp; Mechanisms'!$E$599:$I$600, 2, FALSE), FALSE), 'Misc. Data &amp; Mechanisms'!$A$599:$C$659, 2, FALSE), FALSE)), ""))</f>
        <v/>
      </c>
      <c r="AE78" s="69" t="str">
        <f ca="1">IF($A78="", "",IFERROR(IF(VLOOKUP($A78, INDIRECT("'" &amp; 'Personalized Bill Menu'!$B$22 &amp; "'!" &amp;"$A$4:$CA$100"), VLOOKUP(VLOOKUP("RIDER RATE 4",'Misc. Data &amp; Mechanisms'!$E$601:$I$631,HLOOKUP('Personalized Bill Menu'!$B$22, 'Misc. Data &amp; Mechanisms'!$E$599:$I$600, 2, FALSE), FALSE), 'Misc. Data &amp; Mechanisms'!$A$599:$C$659, 2, FALSE), FALSE) = "", "", VLOOKUP($A78, INDIRECT("'" &amp; 'Personalized Bill Menu'!$B$22 &amp; "'!" &amp;"$A$4:$CA$100"), VLOOKUP(VLOOKUP("RIDER RATE 4",'Misc. Data &amp; Mechanisms'!$E$601:$I$631,HLOOKUP('Personalized Bill Menu'!$B$22, 'Misc. Data &amp; Mechanisms'!$E$599:$I$600, 2, FALSE), FALSE), 'Misc. Data &amp; Mechanisms'!$A$599:$C$659, 2, FALSE), FALSE)), ""))</f>
        <v/>
      </c>
      <c r="AF78" s="90" t="str">
        <f ca="1">IF($A78="", "",IFERROR(IF(VLOOKUP($A78, INDIRECT("'" &amp; 'Personalized Bill Menu'!$B$22 &amp; "'!" &amp;"$A$4:$CA$100"), VLOOKUP(VLOOKUP("RIDER RATE 5",'Misc. Data &amp; Mechanisms'!$E$601:$I$631,HLOOKUP('Personalized Bill Menu'!$B$22, 'Misc. Data &amp; Mechanisms'!$E$599:$I$600, 2, FALSE), FALSE), 'Misc. Data &amp; Mechanisms'!$A$599:$C$659, 2, FALSE), FALSE) = "", "", VLOOKUP($A78, INDIRECT("'" &amp; 'Personalized Bill Menu'!$B$22 &amp; "'!" &amp;"$A$4:$CA$100"), VLOOKUP(VLOOKUP("RIDER RATE 5",'Misc. Data &amp; Mechanisms'!$E$601:$I$631,HLOOKUP('Personalized Bill Menu'!$B$22, 'Misc. Data &amp; Mechanisms'!$E$599:$I$600, 2, FALSE), FALSE), 'Misc. Data &amp; Mechanisms'!$A$599:$C$659, 2, FALSE), FALSE)), ""))</f>
        <v/>
      </c>
      <c r="AG78" s="90" t="str">
        <f ca="1">IF($A78="", "",IFERROR(IF(VLOOKUP($A78, INDIRECT("'" &amp; 'Personalized Bill Menu'!$B$22 &amp; "'!" &amp;"$A$4:$CA$100"), VLOOKUP(VLOOKUP("RIDER RATE 6",'Misc. Data &amp; Mechanisms'!$E$601:$I$631,HLOOKUP('Personalized Bill Menu'!$B$22, 'Misc. Data &amp; Mechanisms'!$E$599:$I$600, 2, FALSE), FALSE), 'Misc. Data &amp; Mechanisms'!$A$599:$C$659, 2, FALSE), FALSE) = "", "", VLOOKUP($A78, INDIRECT("'" &amp; 'Personalized Bill Menu'!$B$22 &amp; "'!" &amp;"$A$4:$CA$100"), VLOOKUP(VLOOKUP("RIDER RATE 6",'Misc. Data &amp; Mechanisms'!$E$601:$I$631,HLOOKUP('Personalized Bill Menu'!$B$22, 'Misc. Data &amp; Mechanisms'!$E$599:$I$600, 2, FALSE), FALSE), 'Misc. Data &amp; Mechanisms'!$A$599:$C$659, 2, FALSE), FALSE)), ""))</f>
        <v/>
      </c>
      <c r="AH78" s="90" t="str">
        <f ca="1">IF($A78="", "",IFERROR(IF(VLOOKUP($A78, INDIRECT("'" &amp; 'Personalized Bill Menu'!$B$22 &amp; "'!" &amp;"$A$4:$CA$100"), VLOOKUP(VLOOKUP("RIDER RATE 7",'Misc. Data &amp; Mechanisms'!$E$601:$I$631,HLOOKUP('Personalized Bill Menu'!$B$22, 'Misc. Data &amp; Mechanisms'!$E$599:$I$600, 2, FALSE), FALSE), 'Misc. Data &amp; Mechanisms'!$A$599:$C$659, 2, FALSE), FALSE) = "", "", VLOOKUP($A78, INDIRECT("'" &amp; 'Personalized Bill Menu'!$B$22 &amp; "'!" &amp;"$A$4:$CA$100"), VLOOKUP(VLOOKUP("RIDER RATE 7",'Misc. Data &amp; Mechanisms'!$E$601:$I$631,HLOOKUP('Personalized Bill Menu'!$B$22, 'Misc. Data &amp; Mechanisms'!$E$599:$I$600, 2, FALSE), FALSE), 'Misc. Data &amp; Mechanisms'!$A$599:$C$659, 2, FALSE), FALSE)), ""))</f>
        <v/>
      </c>
      <c r="AI78" s="72">
        <f t="shared" ca="1" si="32"/>
        <v>0.7662698300915366</v>
      </c>
      <c r="AJ78" s="72">
        <f t="shared" ca="1" si="33"/>
        <v>9.9044956869139007</v>
      </c>
      <c r="AK78" s="72">
        <f ca="1">IF($A78="", "", IFERROR(IF($AD$6="%",IF('Personalized Bill Menu'!$B$22="ENMAX", $AD78*$I78, IF(AND($AD78="", 'Personalized Bill Menu'!$B$22="FORTIS"),($AE78/100)*$C78,$AD78*$H78)),($AD78/100)*$C78), 0))</f>
        <v>0</v>
      </c>
      <c r="AL78" s="72">
        <f ca="1">IF($A78="", "", IFERROR(IF('Personalized Bill Menu'!$B$22="ENMAX",$AE78*$B78,IF($AE$6="%",$AE78*($H78+$I78+$J78), IF('Personalized Bill Menu'!$B$22="FORTIS",$AF78*$I78,($AE78/100)*$C78))), 0))</f>
        <v>0</v>
      </c>
      <c r="AM78" s="72" t="str">
        <f>IF($A78="", "", IFERROR(IF('Personalized Bill Menu'!$B$22="EPCOR",($AF78/100)*$C78, IF('Personalized Bill Menu'!$B$22="ATCO",$AF78*1,"")), 0))</f>
        <v/>
      </c>
      <c r="AN78" s="72" t="str">
        <f>IF($A78="", "", IFERROR(IF('Personalized Bill Menu'!$B$22="ATCO",$AG78*$B78,""), 0))</f>
        <v/>
      </c>
      <c r="AO78" s="70" t="str">
        <f>IF($A78="", "", IFERROR(IF('Personalized Bill Menu'!$B$22="ATCO",$AH78*$B78,""), 0))</f>
        <v/>
      </c>
      <c r="AP78" s="81">
        <f>IF('Personalized Bill Menu'!$B$34&lt;&gt;"Natural Gas", 'Personalized Bill Menu'!$K75, "")</f>
        <v>0.2064</v>
      </c>
      <c r="AQ78" s="72">
        <f t="shared" si="34"/>
        <v>6.3983999999999996</v>
      </c>
      <c r="AR78" s="91">
        <f ca="1">IF($A78="", "",IF(VLOOKUP($A78, INDIRECT("'" &amp; 'Personalized Bill Menu'!$B$22 &amp; "'!" &amp;"$A$4:$CA$100"), VLOOKUP(VLOOKUP(AR$5,'Misc. Data &amp; Mechanisms'!$E$601:$I$631,HLOOKUP('Personalized Bill Menu'!$B$22, 'Misc. Data &amp; Mechanisms'!$E$599:$I$600, 2, FALSE), FALSE), 'Misc. Data &amp; Mechanisms'!$A$599:$C$659, 2, FALSE), FALSE) = "", "", VLOOKUP($A78, INDIRECT("'" &amp; 'Personalized Bill Menu'!$B$22 &amp; "'!" &amp;"$A$4:$CA$100"), VLOOKUP(VLOOKUP(AR$5,'Misc. Data &amp; Mechanisms'!$E$601:$I$631,HLOOKUP('Personalized Bill Menu'!$B$22, 'Misc. Data &amp; Mechanisms'!$E$599:$I$600, 2, FALSE), FALSE), 'Misc. Data &amp; Mechanisms'!$A$599:$C$659, 2, FALSE), FALSE)))</f>
        <v>0.05</v>
      </c>
    </row>
    <row r="79" spans="1:44" x14ac:dyDescent="0.35">
      <c r="A79" s="83">
        <f>'Personalized Bill Menu'!$H76</f>
        <v>43101</v>
      </c>
      <c r="B79" s="84">
        <f t="shared" si="19"/>
        <v>31</v>
      </c>
      <c r="C79" s="85">
        <f>IF('Personalized Bill Menu'!$B$34&lt;&gt;"Natural Gas", 'Personalized Bill Menu'!$I76, "")</f>
        <v>635.97821266527023</v>
      </c>
      <c r="D79" s="66">
        <f t="shared" ca="1" si="35"/>
        <v>15.259591928384371</v>
      </c>
      <c r="E79" s="66">
        <f ca="1">IFERROR((1+$AR79)*(IF('Personalized Bill Menu'!$B$22="ENMAX", ((1+IFERROR($X79, 0))*($N79+$P79+$R79+$AB79+$AC79))+((1+IF($X79="", 0,$X79))*(IF($AD79="", 0,$AD79)*$R79)), IF('Personalized Bill Menu'!$B$22="EPCOR", ($N79+$P79+$R79+$X79+SUM($AB79:$AE79)), IF('Personalized Bill Menu'!$B$22="ATCO",($N79+((1+IF($AE79="", 0,$AE79))*(1+$X79+$Y79)*($P79+$R79))+SUM($AB79:$AD79)),IF($AD79="",$N79+((1+$X79+$Y79)*($P79+$R79))+$AB79+$AE79+(IF($AC79="", 0, $AC79)*$P79)+($R79*IF($AF79="", 0, $AF79)),$N79+((1+$X79+$Y79)*($P79+$R79))+$AB79+($AD79*$P79)+(IF($AC79="", 0, $AC79)*$P79)+($R79*IF($AF79="", 0, $AF79))))))), "")</f>
        <v>11.362869703499999</v>
      </c>
      <c r="F79" s="1469">
        <f t="shared" ca="1" si="20"/>
        <v>97.04768000615276</v>
      </c>
      <c r="G79" s="66">
        <f t="shared" si="18"/>
        <v>32.511206231448611</v>
      </c>
      <c r="H79" s="66">
        <f t="shared" ca="1" si="21"/>
        <v>12.378043953104154</v>
      </c>
      <c r="I79" s="66">
        <f t="shared" ca="1" si="22"/>
        <v>21.873243102647969</v>
      </c>
      <c r="J79" s="66">
        <f t="shared" ca="1" si="23"/>
        <v>8.6020219316623816</v>
      </c>
      <c r="K79" s="66">
        <f t="shared" ca="1" si="24"/>
        <v>10.663446691758585</v>
      </c>
      <c r="L79" s="66">
        <f t="shared" si="25"/>
        <v>6.3983999999999996</v>
      </c>
      <c r="M79" s="68">
        <f t="shared" ca="1" si="26"/>
        <v>4.621318095531084</v>
      </c>
      <c r="N79" s="69">
        <f>IF('Personalized Bill Menu'!$B$34&lt;&gt;"Natural Gas", 'Personalized Bill Menu'!$J76, "")</f>
        <v>5.1120000000000001</v>
      </c>
      <c r="O79" s="70">
        <f t="shared" si="27"/>
        <v>32.511206231448611</v>
      </c>
      <c r="P79" s="71">
        <f ca="1">IF($A79="", "",IFERROR(IF(VLOOKUP($A79, INDIRECT("'" &amp; 'Personalized Bill Menu'!$B$22 &amp; "'!" &amp;"$A$4:$CA$100"), VLOOKUP(VLOOKUP(P$5,'Misc. Data &amp; Mechanisms'!$E$601:$I$631,HLOOKUP('Personalized Bill Menu'!$B$22, 'Misc. Data &amp; Mechanisms'!$E$599:$I$600, 2, FALSE), FALSE), 'Misc. Data &amp; Mechanisms'!$A$599:$C$659, 2, FALSE), FALSE) = "", "", VLOOKUP($A79, INDIRECT("'" &amp; 'Personalized Bill Menu'!$B$22 &amp; "'!" &amp;"$A$4:$CA$100"), VLOOKUP(VLOOKUP(P$5,'Misc. Data &amp; Mechanisms'!$E$601:$I$631,HLOOKUP('Personalized Bill Menu'!$B$22, 'Misc. Data &amp; Mechanisms'!$E$599:$I$600, 2, FALSE), FALSE), 'Misc. Data &amp; Mechanisms'!$A$599:$C$659, 2, FALSE), FALSE)), ""))</f>
        <v>1.9462999999999999</v>
      </c>
      <c r="Q79" s="72">
        <f t="shared" ca="1" si="28"/>
        <v>12.378043953104154</v>
      </c>
      <c r="R79" s="87">
        <f ca="1">IF($A79="", "",IFERROR(IF(VLOOKUP($A79, INDIRECT("'" &amp; 'Personalized Bill Menu'!$B$22 &amp; "'!" &amp;"$A$4:$CA$100"), VLOOKUP(VLOOKUP(R$5,'Misc. Data &amp; Mechanisms'!$E$601:$I$631,HLOOKUP('Personalized Bill Menu'!$B$22, 'Misc. Data &amp; Mechanisms'!$E$599:$I$600, 2, FALSE), FALSE), 'Misc. Data &amp; Mechanisms'!$A$599:$C$659, 2, FALSE), FALSE) = "", "", VLOOKUP($A79, INDIRECT("'" &amp; 'Personalized Bill Menu'!$B$22 &amp; "'!" &amp;"$A$4:$CA$100"), VLOOKUP(VLOOKUP(R$5,'Misc. Data &amp; Mechanisms'!$E$601:$I$631,HLOOKUP('Personalized Bill Menu'!$B$22, 'Misc. Data &amp; Mechanisms'!$E$599:$I$600, 2, FALSE), FALSE), 'Misc. Data &amp; Mechanisms'!$A$599:$C$659, 2, FALSE), FALSE)), ""))</f>
        <v>1.0046999999999999</v>
      </c>
      <c r="S79" s="88">
        <f ca="1">IF($A79="", "",IFERROR(IF(VLOOKUP($A79, INDIRECT("'" &amp; 'Personalized Bill Menu'!$B$22 &amp; "'!" &amp;"$A$4:$CA$100"), VLOOKUP(VLOOKUP(S$5,'Misc. Data &amp; Mechanisms'!$E$601:$I$631,HLOOKUP('Personalized Bill Menu'!$B$22, 'Misc. Data &amp; Mechanisms'!$E$599:$I$600, 2, FALSE), FALSE), 'Misc. Data &amp; Mechanisms'!$A$599:$C$659, 2, FALSE), FALSE) = "", "", VLOOKUP($A79, INDIRECT("'" &amp; 'Personalized Bill Menu'!$B$22 &amp; "'!" &amp;"$A$4:$CA$100"), VLOOKUP(VLOOKUP(S$5,'Misc. Data &amp; Mechanisms'!$E$601:$I$631,HLOOKUP('Personalized Bill Menu'!$B$22, 'Misc. Data &amp; Mechanisms'!$E$599:$I$600, 2, FALSE), FALSE), 'Misc. Data &amp; Mechanisms'!$A$599:$C$659, 2, FALSE), FALSE)), ""))</f>
        <v>0.49947000000000003</v>
      </c>
      <c r="T79" s="81" t="str">
        <f ca="1">IF($A79="", "",IFERROR(IF(VLOOKUP($A79, INDIRECT("'" &amp; 'Personalized Bill Menu'!$B$22 &amp; "'!" &amp;"$A$4:$CA$100"), VLOOKUP(VLOOKUP(T$5,'Misc. Data &amp; Mechanisms'!$E$601:$I$631,HLOOKUP('Personalized Bill Menu'!$B$22, 'Misc. Data &amp; Mechanisms'!$E$599:$I$600, 2, FALSE), FALSE), 'Misc. Data &amp; Mechanisms'!$A$599:$C$659, 2, FALSE), FALSE) = "", "", VLOOKUP($A79, INDIRECT("'" &amp; 'Personalized Bill Menu'!$B$22 &amp; "'!" &amp;"$A$4:$CA$100"), VLOOKUP(VLOOKUP(T$5,'Misc. Data &amp; Mechanisms'!$E$601:$I$631,HLOOKUP('Personalized Bill Menu'!$B$22, 'Misc. Data &amp; Mechanisms'!$E$599:$I$600, 2, FALSE), FALSE), 'Misc. Data &amp; Mechanisms'!$A$599:$C$659, 2, FALSE), FALSE)), ""))</f>
        <v/>
      </c>
      <c r="U79" s="72">
        <f t="shared" ca="1" si="29"/>
        <v>6.3896731026479694</v>
      </c>
      <c r="V79" s="72">
        <f t="shared" ca="1" si="30"/>
        <v>15.48357</v>
      </c>
      <c r="W79" s="70" t="str">
        <f t="shared" si="31"/>
        <v/>
      </c>
      <c r="X79" s="78">
        <f>IFERROR(IF(VLOOKUP($A79,'Misc. Data &amp; Mechanisms'!$A$63:$DY$152,HLOOKUP('Personalized Bill Menu'!$B$21&amp;"_"&amp;'Personalized Bill Menu'!$B$22&amp;"_Elec_Y_1",'Misc. Data &amp; Mechanisms'!$A$55:$DY$62,8,FALSE), FALSE)="", "", VLOOKUP($A79,'Misc. Data &amp; Mechanisms'!$A$63:$DY$152,HLOOKUP('Personalized Bill Menu'!$B$21&amp;"_"&amp;'Personalized Bill Menu'!$B$22&amp;"_Elec_Y_1",'Misc. Data &amp; Mechanisms'!$A$55:$DY$62,8,FALSE), FALSE)), "")</f>
        <v>0.1111</v>
      </c>
      <c r="Y79" s="78" t="str">
        <f>IFERROR(IF(VLOOKUP($A79,'Misc. Data &amp; Mechanisms'!$A$63:$DY$152,HLOOKUP('Personalized Bill Menu'!$B$21&amp;"_"&amp;'Personalized Bill Menu'!$B$22&amp;"_Elec_Y_2",'Misc. Data &amp; Mechanisms'!$A$55:$DY$62,8,FALSE), FALSE)="", "", VLOOKUP($A79,'Misc. Data &amp; Mechanisms'!$A$63:$DY$152,HLOOKUP('Personalized Bill Menu'!$B$21&amp;"_"&amp;'Personalized Bill Menu'!$B$22&amp;"_Elec_Y_2",'Misc. Data &amp; Mechanisms'!$A$55:$DY$62,8,FALSE), FALSE)), "")</f>
        <v/>
      </c>
      <c r="Z79" s="72">
        <f ca="1">IF($A79="", "",IFERROR(IF(OR('Personalized Bill Menu'!$B$22="FORTIS", 'Personalized Bill Menu'!$B$22="ATCO"), $X79*($H79+$I79), IF('Personalized Bill Menu'!$B$22="ENMAX",$X79*($H79+$I79+$K79),($X79/100)*$C79)), 0))</f>
        <v>4.9900269193484403</v>
      </c>
      <c r="AA79" s="72">
        <f>IF($A79="", "", IFERROR(IF(OR('Personalized Bill Menu'!$B$22="FORTIS", 'Personalized Bill Menu'!$B$22="ATCO"), $Y79*($H79+$I79), IF('Personalized Bill Menu'!$B$22="ENMAX",$X79*$G79,"")), 0))</f>
        <v>3.6119950123139408</v>
      </c>
      <c r="AB79" s="89">
        <f ca="1">IF($A79="", "",IFERROR(IF(VLOOKUP($A79, INDIRECT("'" &amp; 'Personalized Bill Menu'!$B$22 &amp; "'!" &amp;"$A$4:$CA$100"), VLOOKUP(VLOOKUP("RIDER RATE 1",'Misc. Data &amp; Mechanisms'!$E$601:$I$631,HLOOKUP('Personalized Bill Menu'!$B$22, 'Misc. Data &amp; Mechanisms'!$E$599:$I$600, 2, FALSE), FALSE), 'Misc. Data &amp; Mechanisms'!$A$599:$C$659, 2, FALSE), FALSE) = "", "", VLOOKUP($A79, INDIRECT("'" &amp; 'Personalized Bill Menu'!$B$22 &amp; "'!" &amp;"$A$4:$CA$100"), VLOOKUP(VLOOKUP("RIDER RATE 1",'Misc. Data &amp; Mechanisms'!$E$601:$I$631,HLOOKUP('Personalized Bill Menu'!$B$22, 'Misc. Data &amp; Mechanisms'!$E$599:$I$600, 2, FALSE), FALSE), 'Misc. Data &amp; Mechanisms'!$A$599:$C$659, 2, FALSE), FALSE)), ""))</f>
        <v>0.31819999999999998</v>
      </c>
      <c r="AC79" s="69">
        <f ca="1">IF($A79="", "",IFERROR(IF(VLOOKUP($A79, INDIRECT("'" &amp; 'Personalized Bill Menu'!$B$22 &amp; "'!" &amp;"$A$4:$CA$100"), VLOOKUP(VLOOKUP("RIDER RATE 2",'Misc. Data &amp; Mechanisms'!$E$601:$I$631,HLOOKUP('Personalized Bill Menu'!$B$22, 'Misc. Data &amp; Mechanisms'!$E$599:$I$600, 2, FALSE), FALSE), 'Misc. Data &amp; Mechanisms'!$A$599:$C$659, 2, FALSE), FALSE) = "", "", VLOOKUP($A79, INDIRECT("'" &amp; 'Personalized Bill Menu'!$B$22 &amp; "'!" &amp;"$A$4:$CA$100"), VLOOKUP(VLOOKUP("RIDER RATE 2",'Misc. Data &amp; Mechanisms'!$E$601:$I$631,HLOOKUP('Personalized Bill Menu'!$B$22, 'Misc. Data &amp; Mechanisms'!$E$599:$I$600, 2, FALSE), FALSE), 'Misc. Data &amp; Mechanisms'!$A$599:$C$659, 2, FALSE), FALSE)), ""))</f>
        <v>1.3585</v>
      </c>
      <c r="AD79" s="69" t="str">
        <f ca="1">IF($A79="", "",IFERROR(IF(VLOOKUP($A79, INDIRECT("'" &amp; 'Personalized Bill Menu'!$B$22 &amp; "'!" &amp;"$A$4:$CA$100"), VLOOKUP(VLOOKUP("RIDER RATE 3",'Misc. Data &amp; Mechanisms'!$E$601:$I$631,HLOOKUP('Personalized Bill Menu'!$B$22, 'Misc. Data &amp; Mechanisms'!$E$599:$I$600, 2, FALSE), FALSE), 'Misc. Data &amp; Mechanisms'!$A$599:$C$659, 2, FALSE), FALSE) = "", "", VLOOKUP($A79, INDIRECT("'" &amp; 'Personalized Bill Menu'!$B$22 &amp; "'!" &amp;"$A$4:$CA$100"), VLOOKUP(VLOOKUP("RIDER RATE 3",'Misc. Data &amp; Mechanisms'!$E$601:$I$631,HLOOKUP('Personalized Bill Menu'!$B$22, 'Misc. Data &amp; Mechanisms'!$E$599:$I$600, 2, FALSE), FALSE), 'Misc. Data &amp; Mechanisms'!$A$599:$C$659, 2, FALSE), FALSE)), ""))</f>
        <v/>
      </c>
      <c r="AE79" s="69" t="str">
        <f ca="1">IF($A79="", "",IFERROR(IF(VLOOKUP($A79, INDIRECT("'" &amp; 'Personalized Bill Menu'!$B$22 &amp; "'!" &amp;"$A$4:$CA$100"), VLOOKUP(VLOOKUP("RIDER RATE 4",'Misc. Data &amp; Mechanisms'!$E$601:$I$631,HLOOKUP('Personalized Bill Menu'!$B$22, 'Misc. Data &amp; Mechanisms'!$E$599:$I$600, 2, FALSE), FALSE), 'Misc. Data &amp; Mechanisms'!$A$599:$C$659, 2, FALSE), FALSE) = "", "", VLOOKUP($A79, INDIRECT("'" &amp; 'Personalized Bill Menu'!$B$22 &amp; "'!" &amp;"$A$4:$CA$100"), VLOOKUP(VLOOKUP("RIDER RATE 4",'Misc. Data &amp; Mechanisms'!$E$601:$I$631,HLOOKUP('Personalized Bill Menu'!$B$22, 'Misc. Data &amp; Mechanisms'!$E$599:$I$600, 2, FALSE), FALSE), 'Misc. Data &amp; Mechanisms'!$A$599:$C$659, 2, FALSE), FALSE)), ""))</f>
        <v/>
      </c>
      <c r="AF79" s="90" t="str">
        <f ca="1">IF($A79="", "",IFERROR(IF(VLOOKUP($A79, INDIRECT("'" &amp; 'Personalized Bill Menu'!$B$22 &amp; "'!" &amp;"$A$4:$CA$100"), VLOOKUP(VLOOKUP("RIDER RATE 5",'Misc. Data &amp; Mechanisms'!$E$601:$I$631,HLOOKUP('Personalized Bill Menu'!$B$22, 'Misc. Data &amp; Mechanisms'!$E$599:$I$600, 2, FALSE), FALSE), 'Misc. Data &amp; Mechanisms'!$A$599:$C$659, 2, FALSE), FALSE) = "", "", VLOOKUP($A79, INDIRECT("'" &amp; 'Personalized Bill Menu'!$B$22 &amp; "'!" &amp;"$A$4:$CA$100"), VLOOKUP(VLOOKUP("RIDER RATE 5",'Misc. Data &amp; Mechanisms'!$E$601:$I$631,HLOOKUP('Personalized Bill Menu'!$B$22, 'Misc. Data &amp; Mechanisms'!$E$599:$I$600, 2, FALSE), FALSE), 'Misc. Data &amp; Mechanisms'!$A$599:$C$659, 2, FALSE), FALSE)), ""))</f>
        <v/>
      </c>
      <c r="AG79" s="90" t="str">
        <f ca="1">IF($A79="", "",IFERROR(IF(VLOOKUP($A79, INDIRECT("'" &amp; 'Personalized Bill Menu'!$B$22 &amp; "'!" &amp;"$A$4:$CA$100"), VLOOKUP(VLOOKUP("RIDER RATE 6",'Misc. Data &amp; Mechanisms'!$E$601:$I$631,HLOOKUP('Personalized Bill Menu'!$B$22, 'Misc. Data &amp; Mechanisms'!$E$599:$I$600, 2, FALSE), FALSE), 'Misc. Data &amp; Mechanisms'!$A$599:$C$659, 2, FALSE), FALSE) = "", "", VLOOKUP($A79, INDIRECT("'" &amp; 'Personalized Bill Menu'!$B$22 &amp; "'!" &amp;"$A$4:$CA$100"), VLOOKUP(VLOOKUP("RIDER RATE 6",'Misc. Data &amp; Mechanisms'!$E$601:$I$631,HLOOKUP('Personalized Bill Menu'!$B$22, 'Misc. Data &amp; Mechanisms'!$E$599:$I$600, 2, FALSE), FALSE), 'Misc. Data &amp; Mechanisms'!$A$599:$C$659, 2, FALSE), FALSE)), ""))</f>
        <v/>
      </c>
      <c r="AH79" s="90" t="str">
        <f ca="1">IF($A79="", "",IFERROR(IF(VLOOKUP($A79, INDIRECT("'" &amp; 'Personalized Bill Menu'!$B$22 &amp; "'!" &amp;"$A$4:$CA$100"), VLOOKUP(VLOOKUP("RIDER RATE 7",'Misc. Data &amp; Mechanisms'!$E$601:$I$631,HLOOKUP('Personalized Bill Menu'!$B$22, 'Misc. Data &amp; Mechanisms'!$E$599:$I$600, 2, FALSE), FALSE), 'Misc. Data &amp; Mechanisms'!$A$599:$C$659, 2, FALSE), FALSE) = "", "", VLOOKUP($A79, INDIRECT("'" &amp; 'Personalized Bill Menu'!$B$22 &amp; "'!" &amp;"$A$4:$CA$100"), VLOOKUP(VLOOKUP("RIDER RATE 7",'Misc. Data &amp; Mechanisms'!$E$601:$I$631,HLOOKUP('Personalized Bill Menu'!$B$22, 'Misc. Data &amp; Mechanisms'!$E$599:$I$600, 2, FALSE), FALSE), 'Misc. Data &amp; Mechanisms'!$A$599:$C$659, 2, FALSE), FALSE)), ""))</f>
        <v/>
      </c>
      <c r="AI79" s="72">
        <f t="shared" ca="1" si="32"/>
        <v>2.0236826727008896</v>
      </c>
      <c r="AJ79" s="72">
        <f t="shared" ca="1" si="33"/>
        <v>8.6397640190576954</v>
      </c>
      <c r="AK79" s="72">
        <f ca="1">IF($A79="", "", IFERROR(IF($AD$6="%",IF('Personalized Bill Menu'!$B$22="ENMAX", $AD79*$I79, IF(AND($AD79="", 'Personalized Bill Menu'!$B$22="FORTIS"),($AE79/100)*$C79,$AD79*$H79)),($AD79/100)*$C79), 0))</f>
        <v>0</v>
      </c>
      <c r="AL79" s="72">
        <f ca="1">IF($A79="", "", IFERROR(IF('Personalized Bill Menu'!$B$22="ENMAX",$AE79*$B79,IF($AE$6="%",$AE79*($H79+$I79+$J79), IF('Personalized Bill Menu'!$B$22="FORTIS",$AF79*$I79,($AE79/100)*$C79))), 0))</f>
        <v>0</v>
      </c>
      <c r="AM79" s="72" t="str">
        <f>IF($A79="", "", IFERROR(IF('Personalized Bill Menu'!$B$22="EPCOR",($AF79/100)*$C79, IF('Personalized Bill Menu'!$B$22="ATCO",$AF79*1,"")), 0))</f>
        <v/>
      </c>
      <c r="AN79" s="72" t="str">
        <f>IF($A79="", "", IFERROR(IF('Personalized Bill Menu'!$B$22="ATCO",$AG79*$B79,""), 0))</f>
        <v/>
      </c>
      <c r="AO79" s="70" t="str">
        <f>IF($A79="", "", IFERROR(IF('Personalized Bill Menu'!$B$22="ATCO",$AH79*$B79,""), 0))</f>
        <v/>
      </c>
      <c r="AP79" s="81">
        <f>IF('Personalized Bill Menu'!$B$34&lt;&gt;"Natural Gas", 'Personalized Bill Menu'!$K76, "")</f>
        <v>0.2064</v>
      </c>
      <c r="AQ79" s="72">
        <f t="shared" si="34"/>
        <v>6.3983999999999996</v>
      </c>
      <c r="AR79" s="91">
        <f ca="1">IF($A79="", "",IF(VLOOKUP($A79, INDIRECT("'" &amp; 'Personalized Bill Menu'!$B$22 &amp; "'!" &amp;"$A$4:$CA$100"), VLOOKUP(VLOOKUP(AR$5,'Misc. Data &amp; Mechanisms'!$E$601:$I$631,HLOOKUP('Personalized Bill Menu'!$B$22, 'Misc. Data &amp; Mechanisms'!$E$599:$I$600, 2, FALSE), FALSE), 'Misc. Data &amp; Mechanisms'!$A$599:$C$659, 2, FALSE), FALSE) = "", "", VLOOKUP($A79, INDIRECT("'" &amp; 'Personalized Bill Menu'!$B$22 &amp; "'!" &amp;"$A$4:$CA$100"), VLOOKUP(VLOOKUP(AR$5,'Misc. Data &amp; Mechanisms'!$E$601:$I$631,HLOOKUP('Personalized Bill Menu'!$B$22, 'Misc. Data &amp; Mechanisms'!$E$599:$I$600, 2, FALSE), FALSE), 'Misc. Data &amp; Mechanisms'!$A$599:$C$659, 2, FALSE), FALSE)))</f>
        <v>0.05</v>
      </c>
    </row>
    <row r="80" spans="1:44" x14ac:dyDescent="0.35">
      <c r="A80" s="83">
        <f>'Personalized Bill Menu'!$H77</f>
        <v>43132</v>
      </c>
      <c r="B80" s="84">
        <f t="shared" si="19"/>
        <v>28</v>
      </c>
      <c r="C80" s="85">
        <f>IF('Personalized Bill Menu'!$B$34&lt;&gt;"Natural Gas", 'Personalized Bill Menu'!$I77, "")</f>
        <v>594.37508025101431</v>
      </c>
      <c r="D80" s="66">
        <f t="shared" ca="1" si="35"/>
        <v>15.211677193579604</v>
      </c>
      <c r="E80" s="66">
        <f ca="1">IFERROR((1+$AR80)*(IF('Personalized Bill Menu'!$B$22="ENMAX", ((1+IFERROR($X80, 0))*($N80+$P80+$R80+$AB80+$AC80))+((1+IF($X80="", 0,$X80))*(IF($AD80="", 0,$AD80)*$R80)), IF('Personalized Bill Menu'!$B$22="EPCOR", ($N80+$P80+$R80+$X80+SUM($AB80:$AE80)), IF('Personalized Bill Menu'!$B$22="ATCO",($N80+((1+IF($AE80="", 0,$AE80))*(1+$X80+$Y80)*($P80+$R80))+SUM($AB80:$AD80)),IF($AD80="",$N80+((1+$X80+$Y80)*($P80+$R80))+$AB80+$AE80+(IF($AC80="", 0, $AC80)*$P80)+($R80*IF($AF80="", 0, $AF80)),$N80+((1+$X80+$Y80)*($P80+$R80))+$AB80+($AD80*$P80)+(IF($AC80="", 0, $AC80)*$P80)+($R80*IF($AF80="", 0, $AF80))))))), "")</f>
        <v>11.4457022085</v>
      </c>
      <c r="F80" s="1469">
        <f t="shared" ca="1" si="20"/>
        <v>90.414418526864011</v>
      </c>
      <c r="G80" s="66">
        <f t="shared" si="18"/>
        <v>30.806460409410072</v>
      </c>
      <c r="H80" s="66">
        <f t="shared" ca="1" si="21"/>
        <v>11.56832218692549</v>
      </c>
      <c r="I80" s="66">
        <f t="shared" ca="1" si="22"/>
        <v>19.956846431281939</v>
      </c>
      <c r="J80" s="66">
        <f t="shared" ca="1" si="23"/>
        <v>8.0322540273984941</v>
      </c>
      <c r="K80" s="66">
        <f t="shared" ca="1" si="24"/>
        <v>9.9658869705687572</v>
      </c>
      <c r="L80" s="66">
        <f t="shared" si="25"/>
        <v>5.7792000000000003</v>
      </c>
      <c r="M80" s="68">
        <f t="shared" ca="1" si="26"/>
        <v>4.3054485012792387</v>
      </c>
      <c r="N80" s="69">
        <f>IF('Personalized Bill Menu'!$B$34&lt;&gt;"Natural Gas", 'Personalized Bill Menu'!$J77, "")</f>
        <v>5.1829999999999998</v>
      </c>
      <c r="O80" s="70">
        <f t="shared" si="27"/>
        <v>30.806460409410072</v>
      </c>
      <c r="P80" s="71">
        <f ca="1">IF($A80="", "",IFERROR(IF(VLOOKUP($A80, INDIRECT("'" &amp; 'Personalized Bill Menu'!$B$22 &amp; "'!" &amp;"$A$4:$CA$100"), VLOOKUP(VLOOKUP(P$5,'Misc. Data &amp; Mechanisms'!$E$601:$I$631,HLOOKUP('Personalized Bill Menu'!$B$22, 'Misc. Data &amp; Mechanisms'!$E$599:$I$600, 2, FALSE), FALSE), 'Misc. Data &amp; Mechanisms'!$A$599:$C$659, 2, FALSE), FALSE) = "", "", VLOOKUP($A80, INDIRECT("'" &amp; 'Personalized Bill Menu'!$B$22 &amp; "'!" &amp;"$A$4:$CA$100"), VLOOKUP(VLOOKUP(P$5,'Misc. Data &amp; Mechanisms'!$E$601:$I$631,HLOOKUP('Personalized Bill Menu'!$B$22, 'Misc. Data &amp; Mechanisms'!$E$599:$I$600, 2, FALSE), FALSE), 'Misc. Data &amp; Mechanisms'!$A$599:$C$659, 2, FALSE), FALSE)), ""))</f>
        <v>1.9462999999999999</v>
      </c>
      <c r="Q80" s="72">
        <f t="shared" ca="1" si="28"/>
        <v>11.56832218692549</v>
      </c>
      <c r="R80" s="87">
        <f ca="1">IF($A80="", "",IFERROR(IF(VLOOKUP($A80, INDIRECT("'" &amp; 'Personalized Bill Menu'!$B$22 &amp; "'!" &amp;"$A$4:$CA$100"), VLOOKUP(VLOOKUP(R$5,'Misc. Data &amp; Mechanisms'!$E$601:$I$631,HLOOKUP('Personalized Bill Menu'!$B$22, 'Misc. Data &amp; Mechanisms'!$E$599:$I$600, 2, FALSE), FALSE), 'Misc. Data &amp; Mechanisms'!$A$599:$C$659, 2, FALSE), FALSE) = "", "", VLOOKUP($A80, INDIRECT("'" &amp; 'Personalized Bill Menu'!$B$22 &amp; "'!" &amp;"$A$4:$CA$100"), VLOOKUP(VLOOKUP(R$5,'Misc. Data &amp; Mechanisms'!$E$601:$I$631,HLOOKUP('Personalized Bill Menu'!$B$22, 'Misc. Data &amp; Mechanisms'!$E$599:$I$600, 2, FALSE), FALSE), 'Misc. Data &amp; Mechanisms'!$A$599:$C$659, 2, FALSE), FALSE)), ""))</f>
        <v>1.0046999999999999</v>
      </c>
      <c r="S80" s="88">
        <f ca="1">IF($A80="", "",IFERROR(IF(VLOOKUP($A80, INDIRECT("'" &amp; 'Personalized Bill Menu'!$B$22 &amp; "'!" &amp;"$A$4:$CA$100"), VLOOKUP(VLOOKUP(S$5,'Misc. Data &amp; Mechanisms'!$E$601:$I$631,HLOOKUP('Personalized Bill Menu'!$B$22, 'Misc. Data &amp; Mechanisms'!$E$599:$I$600, 2, FALSE), FALSE), 'Misc. Data &amp; Mechanisms'!$A$599:$C$659, 2, FALSE), FALSE) = "", "", VLOOKUP($A80, INDIRECT("'" &amp; 'Personalized Bill Menu'!$B$22 &amp; "'!" &amp;"$A$4:$CA$100"), VLOOKUP(VLOOKUP(S$5,'Misc. Data &amp; Mechanisms'!$E$601:$I$631,HLOOKUP('Personalized Bill Menu'!$B$22, 'Misc. Data &amp; Mechanisms'!$E$599:$I$600, 2, FALSE), FALSE), 'Misc. Data &amp; Mechanisms'!$A$599:$C$659, 2, FALSE), FALSE)), ""))</f>
        <v>0.49947000000000003</v>
      </c>
      <c r="T80" s="81" t="str">
        <f ca="1">IF($A80="", "",IFERROR(IF(VLOOKUP($A80, INDIRECT("'" &amp; 'Personalized Bill Menu'!$B$22 &amp; "'!" &amp;"$A$4:$CA$100"), VLOOKUP(VLOOKUP(T$5,'Misc. Data &amp; Mechanisms'!$E$601:$I$631,HLOOKUP('Personalized Bill Menu'!$B$22, 'Misc. Data &amp; Mechanisms'!$E$599:$I$600, 2, FALSE), FALSE), 'Misc. Data &amp; Mechanisms'!$A$599:$C$659, 2, FALSE), FALSE) = "", "", VLOOKUP($A80, INDIRECT("'" &amp; 'Personalized Bill Menu'!$B$22 &amp; "'!" &amp;"$A$4:$CA$100"), VLOOKUP(VLOOKUP(T$5,'Misc. Data &amp; Mechanisms'!$E$601:$I$631,HLOOKUP('Personalized Bill Menu'!$B$22, 'Misc. Data &amp; Mechanisms'!$E$599:$I$600, 2, FALSE), FALSE), 'Misc. Data &amp; Mechanisms'!$A$599:$C$659, 2, FALSE), FALSE)), ""))</f>
        <v/>
      </c>
      <c r="U80" s="72">
        <f t="shared" ca="1" si="29"/>
        <v>5.97168643128194</v>
      </c>
      <c r="V80" s="72">
        <f t="shared" ca="1" si="30"/>
        <v>13.98516</v>
      </c>
      <c r="W80" s="70" t="str">
        <f t="shared" si="31"/>
        <v/>
      </c>
      <c r="X80" s="78">
        <f>IFERROR(IF(VLOOKUP($A80,'Misc. Data &amp; Mechanisms'!$A$63:$DY$152,HLOOKUP('Personalized Bill Menu'!$B$21&amp;"_"&amp;'Personalized Bill Menu'!$B$22&amp;"_Elec_Y_1",'Misc. Data &amp; Mechanisms'!$A$55:$DY$62,8,FALSE), FALSE)="", "", VLOOKUP($A80,'Misc. Data &amp; Mechanisms'!$A$63:$DY$152,HLOOKUP('Personalized Bill Menu'!$B$21&amp;"_"&amp;'Personalized Bill Menu'!$B$22&amp;"_Elec_Y_1",'Misc. Data &amp; Mechanisms'!$A$55:$DY$62,8,FALSE), FALSE)), "")</f>
        <v>0.1111</v>
      </c>
      <c r="Y80" s="78" t="str">
        <f>IFERROR(IF(VLOOKUP($A80,'Misc. Data &amp; Mechanisms'!$A$63:$DY$152,HLOOKUP('Personalized Bill Menu'!$B$21&amp;"_"&amp;'Personalized Bill Menu'!$B$22&amp;"_Elec_Y_2",'Misc. Data &amp; Mechanisms'!$A$55:$DY$62,8,FALSE), FALSE)="", "", VLOOKUP($A80,'Misc. Data &amp; Mechanisms'!$A$63:$DY$152,HLOOKUP('Personalized Bill Menu'!$B$21&amp;"_"&amp;'Personalized Bill Menu'!$B$22&amp;"_Elec_Y_2",'Misc. Data &amp; Mechanisms'!$A$55:$DY$62,8,FALSE), FALSE)), "")</f>
        <v/>
      </c>
      <c r="Z80" s="72">
        <f ca="1">IF($A80="", "",IFERROR(IF(OR('Personalized Bill Menu'!$B$22="FORTIS", 'Personalized Bill Menu'!$B$22="ATCO"), $X80*($H80+$I80), IF('Personalized Bill Menu'!$B$22="ENMAX",$X80*($H80+$I80+$K80),($X80/100)*$C80)), 0))</f>
        <v>4.6096562759130348</v>
      </c>
      <c r="AA80" s="72">
        <f>IF($A80="", "", IFERROR(IF(OR('Personalized Bill Menu'!$B$22="FORTIS", 'Personalized Bill Menu'!$B$22="ATCO"), $Y80*($H80+$I80), IF('Personalized Bill Menu'!$B$22="ENMAX",$X80*$G80,"")), 0))</f>
        <v>3.4225977514854593</v>
      </c>
      <c r="AB80" s="89">
        <f ca="1">IF($A80="", "",IFERROR(IF(VLOOKUP($A80, INDIRECT("'" &amp; 'Personalized Bill Menu'!$B$22 &amp; "'!" &amp;"$A$4:$CA$100"), VLOOKUP(VLOOKUP("RIDER RATE 1",'Misc. Data &amp; Mechanisms'!$E$601:$I$631,HLOOKUP('Personalized Bill Menu'!$B$22, 'Misc. Data &amp; Mechanisms'!$E$599:$I$600, 2, FALSE), FALSE), 'Misc. Data &amp; Mechanisms'!$A$599:$C$659, 2, FALSE), FALSE) = "", "", VLOOKUP($A80, INDIRECT("'" &amp; 'Personalized Bill Menu'!$B$22 &amp; "'!" &amp;"$A$4:$CA$100"), VLOOKUP(VLOOKUP("RIDER RATE 1",'Misc. Data &amp; Mechanisms'!$E$601:$I$631,HLOOKUP('Personalized Bill Menu'!$B$22, 'Misc. Data &amp; Mechanisms'!$E$599:$I$600, 2, FALSE), FALSE), 'Misc. Data &amp; Mechanisms'!$A$599:$C$659, 2, FALSE), FALSE)), ""))</f>
        <v>0.31819999999999998</v>
      </c>
      <c r="AC80" s="69">
        <f ca="1">IF($A80="", "",IFERROR(IF(VLOOKUP($A80, INDIRECT("'" &amp; 'Personalized Bill Menu'!$B$22 &amp; "'!" &amp;"$A$4:$CA$100"), VLOOKUP(VLOOKUP("RIDER RATE 2",'Misc. Data &amp; Mechanisms'!$E$601:$I$631,HLOOKUP('Personalized Bill Menu'!$B$22, 'Misc. Data &amp; Mechanisms'!$E$599:$I$600, 2, FALSE), FALSE), 'Misc. Data &amp; Mechanisms'!$A$599:$C$659, 2, FALSE), FALSE) = "", "", VLOOKUP($A80, INDIRECT("'" &amp; 'Personalized Bill Menu'!$B$22 &amp; "'!" &amp;"$A$4:$CA$100"), VLOOKUP(VLOOKUP("RIDER RATE 2",'Misc. Data &amp; Mechanisms'!$E$601:$I$631,HLOOKUP('Personalized Bill Menu'!$B$22, 'Misc. Data &amp; Mechanisms'!$E$599:$I$600, 2, FALSE), FALSE), 'Misc. Data &amp; Mechanisms'!$A$599:$C$659, 2, FALSE), FALSE)), ""))</f>
        <v>1.3585</v>
      </c>
      <c r="AD80" s="69" t="str">
        <f ca="1">IF($A80="", "",IFERROR(IF(VLOOKUP($A80, INDIRECT("'" &amp; 'Personalized Bill Menu'!$B$22 &amp; "'!" &amp;"$A$4:$CA$100"), VLOOKUP(VLOOKUP("RIDER RATE 3",'Misc. Data &amp; Mechanisms'!$E$601:$I$631,HLOOKUP('Personalized Bill Menu'!$B$22, 'Misc. Data &amp; Mechanisms'!$E$599:$I$600, 2, FALSE), FALSE), 'Misc. Data &amp; Mechanisms'!$A$599:$C$659, 2, FALSE), FALSE) = "", "", VLOOKUP($A80, INDIRECT("'" &amp; 'Personalized Bill Menu'!$B$22 &amp; "'!" &amp;"$A$4:$CA$100"), VLOOKUP(VLOOKUP("RIDER RATE 3",'Misc. Data &amp; Mechanisms'!$E$601:$I$631,HLOOKUP('Personalized Bill Menu'!$B$22, 'Misc. Data &amp; Mechanisms'!$E$599:$I$600, 2, FALSE), FALSE), 'Misc. Data &amp; Mechanisms'!$A$599:$C$659, 2, FALSE), FALSE)), ""))</f>
        <v/>
      </c>
      <c r="AE80" s="69" t="str">
        <f ca="1">IF($A80="", "",IFERROR(IF(VLOOKUP($A80, INDIRECT("'" &amp; 'Personalized Bill Menu'!$B$22 &amp; "'!" &amp;"$A$4:$CA$100"), VLOOKUP(VLOOKUP("RIDER RATE 4",'Misc. Data &amp; Mechanisms'!$E$601:$I$631,HLOOKUP('Personalized Bill Menu'!$B$22, 'Misc. Data &amp; Mechanisms'!$E$599:$I$600, 2, FALSE), FALSE), 'Misc. Data &amp; Mechanisms'!$A$599:$C$659, 2, FALSE), FALSE) = "", "", VLOOKUP($A80, INDIRECT("'" &amp; 'Personalized Bill Menu'!$B$22 &amp; "'!" &amp;"$A$4:$CA$100"), VLOOKUP(VLOOKUP("RIDER RATE 4",'Misc. Data &amp; Mechanisms'!$E$601:$I$631,HLOOKUP('Personalized Bill Menu'!$B$22, 'Misc. Data &amp; Mechanisms'!$E$599:$I$600, 2, FALSE), FALSE), 'Misc. Data &amp; Mechanisms'!$A$599:$C$659, 2, FALSE), FALSE)), ""))</f>
        <v/>
      </c>
      <c r="AF80" s="90" t="str">
        <f ca="1">IF($A80="", "",IFERROR(IF(VLOOKUP($A80, INDIRECT("'" &amp; 'Personalized Bill Menu'!$B$22 &amp; "'!" &amp;"$A$4:$CA$100"), VLOOKUP(VLOOKUP("RIDER RATE 5",'Misc. Data &amp; Mechanisms'!$E$601:$I$631,HLOOKUP('Personalized Bill Menu'!$B$22, 'Misc. Data &amp; Mechanisms'!$E$599:$I$600, 2, FALSE), FALSE), 'Misc. Data &amp; Mechanisms'!$A$599:$C$659, 2, FALSE), FALSE) = "", "", VLOOKUP($A80, INDIRECT("'" &amp; 'Personalized Bill Menu'!$B$22 &amp; "'!" &amp;"$A$4:$CA$100"), VLOOKUP(VLOOKUP("RIDER RATE 5",'Misc. Data &amp; Mechanisms'!$E$601:$I$631,HLOOKUP('Personalized Bill Menu'!$B$22, 'Misc. Data &amp; Mechanisms'!$E$599:$I$600, 2, FALSE), FALSE), 'Misc. Data &amp; Mechanisms'!$A$599:$C$659, 2, FALSE), FALSE)), ""))</f>
        <v/>
      </c>
      <c r="AG80" s="90" t="str">
        <f ca="1">IF($A80="", "",IFERROR(IF(VLOOKUP($A80, INDIRECT("'" &amp; 'Personalized Bill Menu'!$B$22 &amp; "'!" &amp;"$A$4:$CA$100"), VLOOKUP(VLOOKUP("RIDER RATE 6",'Misc. Data &amp; Mechanisms'!$E$601:$I$631,HLOOKUP('Personalized Bill Menu'!$B$22, 'Misc. Data &amp; Mechanisms'!$E$599:$I$600, 2, FALSE), FALSE), 'Misc. Data &amp; Mechanisms'!$A$599:$C$659, 2, FALSE), FALSE) = "", "", VLOOKUP($A80, INDIRECT("'" &amp; 'Personalized Bill Menu'!$B$22 &amp; "'!" &amp;"$A$4:$CA$100"), VLOOKUP(VLOOKUP("RIDER RATE 6",'Misc. Data &amp; Mechanisms'!$E$601:$I$631,HLOOKUP('Personalized Bill Menu'!$B$22, 'Misc. Data &amp; Mechanisms'!$E$599:$I$600, 2, FALSE), FALSE), 'Misc. Data &amp; Mechanisms'!$A$599:$C$659, 2, FALSE), FALSE)), ""))</f>
        <v/>
      </c>
      <c r="AH80" s="90" t="str">
        <f ca="1">IF($A80="", "",IFERROR(IF(VLOOKUP($A80, INDIRECT("'" &amp; 'Personalized Bill Menu'!$B$22 &amp; "'!" &amp;"$A$4:$CA$100"), VLOOKUP(VLOOKUP("RIDER RATE 7",'Misc. Data &amp; Mechanisms'!$E$601:$I$631,HLOOKUP('Personalized Bill Menu'!$B$22, 'Misc. Data &amp; Mechanisms'!$E$599:$I$600, 2, FALSE), FALSE), 'Misc. Data &amp; Mechanisms'!$A$599:$C$659, 2, FALSE), FALSE) = "", "", VLOOKUP($A80, INDIRECT("'" &amp; 'Personalized Bill Menu'!$B$22 &amp; "'!" &amp;"$A$4:$CA$100"), VLOOKUP(VLOOKUP("RIDER RATE 7",'Misc. Data &amp; Mechanisms'!$E$601:$I$631,HLOOKUP('Personalized Bill Menu'!$B$22, 'Misc. Data &amp; Mechanisms'!$E$599:$I$600, 2, FALSE), FALSE), 'Misc. Data &amp; Mechanisms'!$A$599:$C$659, 2, FALSE), FALSE)), ""))</f>
        <v/>
      </c>
      <c r="AI80" s="72">
        <f t="shared" ca="1" si="32"/>
        <v>1.8913015053587274</v>
      </c>
      <c r="AJ80" s="72">
        <f t="shared" ca="1" si="33"/>
        <v>8.0745854652100295</v>
      </c>
      <c r="AK80" s="72">
        <f ca="1">IF($A80="", "", IFERROR(IF($AD$6="%",IF('Personalized Bill Menu'!$B$22="ENMAX", $AD80*$I80, IF(AND($AD80="", 'Personalized Bill Menu'!$B$22="FORTIS"),($AE80/100)*$C80,$AD80*$H80)),($AD80/100)*$C80), 0))</f>
        <v>0</v>
      </c>
      <c r="AL80" s="72">
        <f ca="1">IF($A80="", "", IFERROR(IF('Personalized Bill Menu'!$B$22="ENMAX",$AE80*$B80,IF($AE$6="%",$AE80*($H80+$I80+$J80), IF('Personalized Bill Menu'!$B$22="FORTIS",$AF80*$I80,($AE80/100)*$C80))), 0))</f>
        <v>0</v>
      </c>
      <c r="AM80" s="72" t="str">
        <f>IF($A80="", "", IFERROR(IF('Personalized Bill Menu'!$B$22="EPCOR",($AF80/100)*$C80, IF('Personalized Bill Menu'!$B$22="ATCO",$AF80*1,"")), 0))</f>
        <v/>
      </c>
      <c r="AN80" s="72" t="str">
        <f>IF($A80="", "", IFERROR(IF('Personalized Bill Menu'!$B$22="ATCO",$AG80*$B80,""), 0))</f>
        <v/>
      </c>
      <c r="AO80" s="70" t="str">
        <f>IF($A80="", "", IFERROR(IF('Personalized Bill Menu'!$B$22="ATCO",$AH80*$B80,""), 0))</f>
        <v/>
      </c>
      <c r="AP80" s="81">
        <f>IF('Personalized Bill Menu'!$B$34&lt;&gt;"Natural Gas", 'Personalized Bill Menu'!$K77, "")</f>
        <v>0.2064</v>
      </c>
      <c r="AQ80" s="72">
        <f t="shared" si="34"/>
        <v>5.7792000000000003</v>
      </c>
      <c r="AR80" s="91">
        <f ca="1">IF($A80="", "",IF(VLOOKUP($A80, INDIRECT("'" &amp; 'Personalized Bill Menu'!$B$22 &amp; "'!" &amp;"$A$4:$CA$100"), VLOOKUP(VLOOKUP(AR$5,'Misc. Data &amp; Mechanisms'!$E$601:$I$631,HLOOKUP('Personalized Bill Menu'!$B$22, 'Misc. Data &amp; Mechanisms'!$E$599:$I$600, 2, FALSE), FALSE), 'Misc. Data &amp; Mechanisms'!$A$599:$C$659, 2, FALSE), FALSE) = "", "", VLOOKUP($A80, INDIRECT("'" &amp; 'Personalized Bill Menu'!$B$22 &amp; "'!" &amp;"$A$4:$CA$100"), VLOOKUP(VLOOKUP(AR$5,'Misc. Data &amp; Mechanisms'!$E$601:$I$631,HLOOKUP('Personalized Bill Menu'!$B$22, 'Misc. Data &amp; Mechanisms'!$E$599:$I$600, 2, FALSE), FALSE), 'Misc. Data &amp; Mechanisms'!$A$599:$C$659, 2, FALSE), FALSE)))</f>
        <v>0.05</v>
      </c>
    </row>
    <row r="81" spans="1:44" x14ac:dyDescent="0.35">
      <c r="A81" s="83">
        <f>'Personalized Bill Menu'!$H78</f>
        <v>43160</v>
      </c>
      <c r="B81" s="84">
        <f t="shared" si="19"/>
        <v>31</v>
      </c>
      <c r="C81" s="85">
        <f>IF('Personalized Bill Menu'!$B$34&lt;&gt;"Natural Gas", 'Personalized Bill Menu'!$I78, "")</f>
        <v>588.93374180774288</v>
      </c>
      <c r="D81" s="66">
        <f t="shared" ca="1" si="35"/>
        <v>15.56853172456734</v>
      </c>
      <c r="E81" s="66">
        <f ca="1">IFERROR((1+$AR81)*(IF('Personalized Bill Menu'!$B$22="ENMAX", ((1+IFERROR($X81, 0))*($N81+$P81+$R81+$AB81+$AC81))+((1+IF($X81="", 0,$X81))*(IF($AD81="", 0,$AD81)*$R81)), IF('Personalized Bill Menu'!$B$22="EPCOR", ($N81+$P81+$R81+$X81+SUM($AB81:$AE81)), IF('Personalized Bill Menu'!$B$22="ATCO",($N81+((1+IF($AE81="", 0,$AE81))*(1+$X81+$Y81)*($P81+$R81))+SUM($AB81:$AD81)),IF($AD81="",$N81+((1+$X81+$Y81)*($P81+$R81))+$AB81+$AE81+(IF($AC81="", 0, $AC81)*$P81)+($R81*IF($AF81="", 0, $AF81)),$N81+((1+$X81+$Y81)*($P81+$R81))+$AB81+($AD81*$P81)+(IF($AC81="", 0, $AC81)*$P81)+($R81*IF($AF81="", 0, $AF81))))))), "")</f>
        <v>11.360536393499999</v>
      </c>
      <c r="F81" s="1469">
        <f t="shared" ca="1" si="20"/>
        <v>91.688336430019945</v>
      </c>
      <c r="G81" s="66">
        <f t="shared" si="18"/>
        <v>30.094514206375663</v>
      </c>
      <c r="H81" s="66">
        <f t="shared" ca="1" si="21"/>
        <v>11.462417416804099</v>
      </c>
      <c r="I81" s="66">
        <f t="shared" ca="1" si="22"/>
        <v>21.400587303942391</v>
      </c>
      <c r="J81" s="66">
        <f t="shared" ca="1" si="23"/>
        <v>8.0916541954349981</v>
      </c>
      <c r="K81" s="66">
        <f t="shared" ca="1" si="24"/>
        <v>9.8746520488904252</v>
      </c>
      <c r="L81" s="66">
        <f t="shared" si="25"/>
        <v>6.3983999999999996</v>
      </c>
      <c r="M81" s="68">
        <f t="shared" ca="1" si="26"/>
        <v>4.3661112585723787</v>
      </c>
      <c r="N81" s="1290">
        <f>IF('Personalized Bill Menu'!$B$34&lt;&gt;"Natural Gas", 'Personalized Bill Menu'!$J78, "")</f>
        <v>5.1100000000000003</v>
      </c>
      <c r="O81" s="70">
        <f t="shared" si="27"/>
        <v>30.094514206375663</v>
      </c>
      <c r="P81" s="71">
        <f ca="1">IF($A81="", "",IFERROR(IF(VLOOKUP($A81, INDIRECT("'" &amp; 'Personalized Bill Menu'!$B$22 &amp; "'!" &amp;"$A$4:$CA$100"), VLOOKUP(VLOOKUP(P$5,'Misc. Data &amp; Mechanisms'!$E$601:$I$631,HLOOKUP('Personalized Bill Menu'!$B$22, 'Misc. Data &amp; Mechanisms'!$E$599:$I$600, 2, FALSE), FALSE), 'Misc. Data &amp; Mechanisms'!$A$599:$C$659, 2, FALSE), FALSE) = "", "", VLOOKUP($A81, INDIRECT("'" &amp; 'Personalized Bill Menu'!$B$22 &amp; "'!" &amp;"$A$4:$CA$100"), VLOOKUP(VLOOKUP(P$5,'Misc. Data &amp; Mechanisms'!$E$601:$I$631,HLOOKUP('Personalized Bill Menu'!$B$22, 'Misc. Data &amp; Mechanisms'!$E$599:$I$600, 2, FALSE), FALSE), 'Misc. Data &amp; Mechanisms'!$A$599:$C$659, 2, FALSE), FALSE)), ""))</f>
        <v>1.9462999999999999</v>
      </c>
      <c r="Q81" s="70">
        <f t="shared" ca="1" si="28"/>
        <v>11.462417416804099</v>
      </c>
      <c r="R81" s="87">
        <f ca="1">IF($A81="", "",IFERROR(IF(VLOOKUP($A81, INDIRECT("'" &amp; 'Personalized Bill Menu'!$B$22 &amp; "'!" &amp;"$A$4:$CA$100"), VLOOKUP(VLOOKUP(R$5,'Misc. Data &amp; Mechanisms'!$E$601:$I$631,HLOOKUP('Personalized Bill Menu'!$B$22, 'Misc. Data &amp; Mechanisms'!$E$599:$I$600, 2, FALSE), FALSE), 'Misc. Data &amp; Mechanisms'!$A$599:$C$659, 2, FALSE), FALSE) = "", "", VLOOKUP($A81, INDIRECT("'" &amp; 'Personalized Bill Menu'!$B$22 &amp; "'!" &amp;"$A$4:$CA$100"), VLOOKUP(VLOOKUP(R$5,'Misc. Data &amp; Mechanisms'!$E$601:$I$631,HLOOKUP('Personalized Bill Menu'!$B$22, 'Misc. Data &amp; Mechanisms'!$E$599:$I$600, 2, FALSE), FALSE), 'Misc. Data &amp; Mechanisms'!$A$599:$C$659, 2, FALSE), FALSE)), ""))</f>
        <v>1.0046999999999999</v>
      </c>
      <c r="S81" s="88">
        <f ca="1">IF($A81="", "",IFERROR(IF(VLOOKUP($A81, INDIRECT("'" &amp; 'Personalized Bill Menu'!$B$22 &amp; "'!" &amp;"$A$4:$CA$100"), VLOOKUP(VLOOKUP(S$5,'Misc. Data &amp; Mechanisms'!$E$601:$I$631,HLOOKUP('Personalized Bill Menu'!$B$22, 'Misc. Data &amp; Mechanisms'!$E$599:$I$600, 2, FALSE), FALSE), 'Misc. Data &amp; Mechanisms'!$A$599:$C$659, 2, FALSE), FALSE) = "", "", VLOOKUP($A81, INDIRECT("'" &amp; 'Personalized Bill Menu'!$B$22 &amp; "'!" &amp;"$A$4:$CA$100"), VLOOKUP(VLOOKUP(S$5,'Misc. Data &amp; Mechanisms'!$E$601:$I$631,HLOOKUP('Personalized Bill Menu'!$B$22, 'Misc. Data &amp; Mechanisms'!$E$599:$I$600, 2, FALSE), FALSE), 'Misc. Data &amp; Mechanisms'!$A$599:$C$659, 2, FALSE), FALSE)), ""))</f>
        <v>0.49947000000000003</v>
      </c>
      <c r="T81" s="81" t="str">
        <f ca="1">IF($A81="", "",IFERROR(IF(VLOOKUP($A81, INDIRECT("'" &amp; 'Personalized Bill Menu'!$B$22 &amp; "'!" &amp;"$A$4:$CA$100"), VLOOKUP(VLOOKUP(T$5,'Misc. Data &amp; Mechanisms'!$E$601:$I$631,HLOOKUP('Personalized Bill Menu'!$B$22, 'Misc. Data &amp; Mechanisms'!$E$599:$I$600, 2, FALSE), FALSE), 'Misc. Data &amp; Mechanisms'!$A$599:$C$659, 2, FALSE), FALSE) = "", "", VLOOKUP($A81, INDIRECT("'" &amp; 'Personalized Bill Menu'!$B$22 &amp; "'!" &amp;"$A$4:$CA$100"), VLOOKUP(VLOOKUP(T$5,'Misc. Data &amp; Mechanisms'!$E$601:$I$631,HLOOKUP('Personalized Bill Menu'!$B$22, 'Misc. Data &amp; Mechanisms'!$E$599:$I$600, 2, FALSE), FALSE), 'Misc. Data &amp; Mechanisms'!$A$599:$C$659, 2, FALSE), FALSE)), ""))</f>
        <v/>
      </c>
      <c r="U81" s="72">
        <f t="shared" ca="1" si="29"/>
        <v>5.9170173039423917</v>
      </c>
      <c r="V81" s="72">
        <f t="shared" ca="1" si="30"/>
        <v>15.48357</v>
      </c>
      <c r="W81" s="70" t="str">
        <f t="shared" si="31"/>
        <v/>
      </c>
      <c r="X81" s="78">
        <f>IFERROR(IF(VLOOKUP($A81,'Misc. Data &amp; Mechanisms'!$A$63:$DY$152,HLOOKUP('Personalized Bill Menu'!$B$21&amp;"_"&amp;'Personalized Bill Menu'!$B$22&amp;"_Elec_Y_1",'Misc. Data &amp; Mechanisms'!$A$55:$DY$62,8,FALSE), FALSE)="", "", VLOOKUP($A81,'Misc. Data &amp; Mechanisms'!$A$63:$DY$152,HLOOKUP('Personalized Bill Menu'!$B$21&amp;"_"&amp;'Personalized Bill Menu'!$B$22&amp;"_Elec_Y_1",'Misc. Data &amp; Mechanisms'!$A$55:$DY$62,8,FALSE), FALSE)), "")</f>
        <v>0.1111</v>
      </c>
      <c r="Y81" s="78" t="str">
        <f>IFERROR(IF(VLOOKUP($A81,'Misc. Data &amp; Mechanisms'!$A$63:$DY$152,HLOOKUP('Personalized Bill Menu'!$B$21&amp;"_"&amp;'Personalized Bill Menu'!$B$22&amp;"_Elec_Y_2",'Misc. Data &amp; Mechanisms'!$A$55:$DY$62,8,FALSE), FALSE)="", "", VLOOKUP($A81,'Misc. Data &amp; Mechanisms'!$A$63:$DY$152,HLOOKUP('Personalized Bill Menu'!$B$21&amp;"_"&amp;'Personalized Bill Menu'!$B$22&amp;"_Elec_Y_2",'Misc. Data &amp; Mechanisms'!$A$55:$DY$62,8,FALSE), FALSE)), "")</f>
        <v/>
      </c>
      <c r="Z81" s="72">
        <f ca="1">IF($A81="", "",IFERROR(IF(OR('Personalized Bill Menu'!$B$22="FORTIS", 'Personalized Bill Menu'!$B$22="ATCO"), $X81*($H81+$I81), IF('Personalized Bill Menu'!$B$22="ENMAX",$X81*($H81+$I81+$K81),($X81/100)*$C81)), 0))</f>
        <v>4.7481536671066609</v>
      </c>
      <c r="AA81" s="70">
        <f>IF($A81="", "", IFERROR(IF(OR('Personalized Bill Menu'!$B$22="FORTIS", 'Personalized Bill Menu'!$B$22="ATCO"), $Y81*($H81+$I81), IF('Personalized Bill Menu'!$B$22="ENMAX",$X81*$G81,"")), 0))</f>
        <v>3.3435005283283363</v>
      </c>
      <c r="AB81" s="89">
        <f ca="1">IF($A81="", "",IFERROR(IF(VLOOKUP($A81, INDIRECT("'" &amp; 'Personalized Bill Menu'!$B$22 &amp; "'!" &amp;"$A$4:$CA$100"), VLOOKUP(VLOOKUP("RIDER RATE 1",'Misc. Data &amp; Mechanisms'!$E$601:$I$631,HLOOKUP('Personalized Bill Menu'!$B$22, 'Misc. Data &amp; Mechanisms'!$E$599:$I$600, 2, FALSE), FALSE), 'Misc. Data &amp; Mechanisms'!$A$599:$C$659, 2, FALSE), FALSE) = "", "", VLOOKUP($A81, INDIRECT("'" &amp; 'Personalized Bill Menu'!$B$22 &amp; "'!" &amp;"$A$4:$CA$100"), VLOOKUP(VLOOKUP("RIDER RATE 1",'Misc. Data &amp; Mechanisms'!$E$601:$I$631,HLOOKUP('Personalized Bill Menu'!$B$22, 'Misc. Data &amp; Mechanisms'!$E$599:$I$600, 2, FALSE), FALSE), 'Misc. Data &amp; Mechanisms'!$A$599:$C$659, 2, FALSE), FALSE)), ""))</f>
        <v>0.31819999999999998</v>
      </c>
      <c r="AC81" s="69">
        <f ca="1">IF($A81="", "",IFERROR(IF(VLOOKUP($A81, INDIRECT("'" &amp; 'Personalized Bill Menu'!$B$22 &amp; "'!" &amp;"$A$4:$CA$100"), VLOOKUP(VLOOKUP("RIDER RATE 2",'Misc. Data &amp; Mechanisms'!$E$601:$I$631,HLOOKUP('Personalized Bill Menu'!$B$22, 'Misc. Data &amp; Mechanisms'!$E$599:$I$600, 2, FALSE), FALSE), 'Misc. Data &amp; Mechanisms'!$A$599:$C$659, 2, FALSE), FALSE) = "", "", VLOOKUP($A81, INDIRECT("'" &amp; 'Personalized Bill Menu'!$B$22 &amp; "'!" &amp;"$A$4:$CA$100"), VLOOKUP(VLOOKUP("RIDER RATE 2",'Misc. Data &amp; Mechanisms'!$E$601:$I$631,HLOOKUP('Personalized Bill Menu'!$B$22, 'Misc. Data &amp; Mechanisms'!$E$599:$I$600, 2, FALSE), FALSE), 'Misc. Data &amp; Mechanisms'!$A$599:$C$659, 2, FALSE), FALSE)), ""))</f>
        <v>1.3585</v>
      </c>
      <c r="AD81" s="69" t="str">
        <f ca="1">IF($A81="", "",IFERROR(IF(VLOOKUP($A81, INDIRECT("'" &amp; 'Personalized Bill Menu'!$B$22 &amp; "'!" &amp;"$A$4:$CA$100"), VLOOKUP(VLOOKUP("RIDER RATE 3",'Misc. Data &amp; Mechanisms'!$E$601:$I$631,HLOOKUP('Personalized Bill Menu'!$B$22, 'Misc. Data &amp; Mechanisms'!$E$599:$I$600, 2, FALSE), FALSE), 'Misc. Data &amp; Mechanisms'!$A$599:$C$659, 2, FALSE), FALSE) = "", "", VLOOKUP($A81, INDIRECT("'" &amp; 'Personalized Bill Menu'!$B$22 &amp; "'!" &amp;"$A$4:$CA$100"), VLOOKUP(VLOOKUP("RIDER RATE 3",'Misc. Data &amp; Mechanisms'!$E$601:$I$631,HLOOKUP('Personalized Bill Menu'!$B$22, 'Misc. Data &amp; Mechanisms'!$E$599:$I$600, 2, FALSE), FALSE), 'Misc. Data &amp; Mechanisms'!$A$599:$C$659, 2, FALSE), FALSE)), ""))</f>
        <v/>
      </c>
      <c r="AE81" s="69" t="str">
        <f ca="1">IF($A81="", "",IFERROR(IF(VLOOKUP($A81, INDIRECT("'" &amp; 'Personalized Bill Menu'!$B$22 &amp; "'!" &amp;"$A$4:$CA$100"), VLOOKUP(VLOOKUP("RIDER RATE 4",'Misc. Data &amp; Mechanisms'!$E$601:$I$631,HLOOKUP('Personalized Bill Menu'!$B$22, 'Misc. Data &amp; Mechanisms'!$E$599:$I$600, 2, FALSE), FALSE), 'Misc. Data &amp; Mechanisms'!$A$599:$C$659, 2, FALSE), FALSE) = "", "", VLOOKUP($A81, INDIRECT("'" &amp; 'Personalized Bill Menu'!$B$22 &amp; "'!" &amp;"$A$4:$CA$100"), VLOOKUP(VLOOKUP("RIDER RATE 4",'Misc. Data &amp; Mechanisms'!$E$601:$I$631,HLOOKUP('Personalized Bill Menu'!$B$22, 'Misc. Data &amp; Mechanisms'!$E$599:$I$600, 2, FALSE), FALSE), 'Misc. Data &amp; Mechanisms'!$A$599:$C$659, 2, FALSE), FALSE)), ""))</f>
        <v/>
      </c>
      <c r="AF81" s="90" t="str">
        <f ca="1">IF($A81="", "",IFERROR(IF(VLOOKUP($A81, INDIRECT("'" &amp; 'Personalized Bill Menu'!$B$22 &amp; "'!" &amp;"$A$4:$CA$100"), VLOOKUP(VLOOKUP("RIDER RATE 5",'Misc. Data &amp; Mechanisms'!$E$601:$I$631,HLOOKUP('Personalized Bill Menu'!$B$22, 'Misc. Data &amp; Mechanisms'!$E$599:$I$600, 2, FALSE), FALSE), 'Misc. Data &amp; Mechanisms'!$A$599:$C$659, 2, FALSE), FALSE) = "", "", VLOOKUP($A81, INDIRECT("'" &amp; 'Personalized Bill Menu'!$B$22 &amp; "'!" &amp;"$A$4:$CA$100"), VLOOKUP(VLOOKUP("RIDER RATE 5",'Misc. Data &amp; Mechanisms'!$E$601:$I$631,HLOOKUP('Personalized Bill Menu'!$B$22, 'Misc. Data &amp; Mechanisms'!$E$599:$I$600, 2, FALSE), FALSE), 'Misc. Data &amp; Mechanisms'!$A$599:$C$659, 2, FALSE), FALSE)), ""))</f>
        <v/>
      </c>
      <c r="AG81" s="90" t="str">
        <f ca="1">IF($A81="", "",IFERROR(IF(VLOOKUP($A81, INDIRECT("'" &amp; 'Personalized Bill Menu'!$B$22 &amp; "'!" &amp;"$A$4:$CA$100"), VLOOKUP(VLOOKUP("RIDER RATE 6",'Misc. Data &amp; Mechanisms'!$E$601:$I$631,HLOOKUP('Personalized Bill Menu'!$B$22, 'Misc. Data &amp; Mechanisms'!$E$599:$I$600, 2, FALSE), FALSE), 'Misc. Data &amp; Mechanisms'!$A$599:$C$659, 2, FALSE), FALSE) = "", "", VLOOKUP($A81, INDIRECT("'" &amp; 'Personalized Bill Menu'!$B$22 &amp; "'!" &amp;"$A$4:$CA$100"), VLOOKUP(VLOOKUP("RIDER RATE 6",'Misc. Data &amp; Mechanisms'!$E$601:$I$631,HLOOKUP('Personalized Bill Menu'!$B$22, 'Misc. Data &amp; Mechanisms'!$E$599:$I$600, 2, FALSE), FALSE), 'Misc. Data &amp; Mechanisms'!$A$599:$C$659, 2, FALSE), FALSE)), ""))</f>
        <v/>
      </c>
      <c r="AH81" s="90" t="str">
        <f ca="1">IF($A81="", "",IFERROR(IF(VLOOKUP($A81, INDIRECT("'" &amp; 'Personalized Bill Menu'!$B$22 &amp; "'!" &amp;"$A$4:$CA$100"), VLOOKUP(VLOOKUP("RIDER RATE 7",'Misc. Data &amp; Mechanisms'!$E$601:$I$631,HLOOKUP('Personalized Bill Menu'!$B$22, 'Misc. Data &amp; Mechanisms'!$E$599:$I$600, 2, FALSE), FALSE), 'Misc. Data &amp; Mechanisms'!$A$599:$C$659, 2, FALSE), FALSE) = "", "", VLOOKUP($A81, INDIRECT("'" &amp; 'Personalized Bill Menu'!$B$22 &amp; "'!" &amp;"$A$4:$CA$100"), VLOOKUP(VLOOKUP("RIDER RATE 7",'Misc. Data &amp; Mechanisms'!$E$601:$I$631,HLOOKUP('Personalized Bill Menu'!$B$22, 'Misc. Data &amp; Mechanisms'!$E$599:$I$600, 2, FALSE), FALSE), 'Misc. Data &amp; Mechanisms'!$A$599:$C$659, 2, FALSE), FALSE)), ""))</f>
        <v/>
      </c>
      <c r="AI81" s="72">
        <f t="shared" ca="1" si="32"/>
        <v>1.8739871664322378</v>
      </c>
      <c r="AJ81" s="72">
        <f t="shared" ca="1" si="33"/>
        <v>8.000664882458187</v>
      </c>
      <c r="AK81" s="72">
        <f ca="1">IF($A81="", "", IFERROR(IF($AD$6="%",IF('Personalized Bill Menu'!$B$22="ENMAX", $AD81*$I81, IF(AND($AD81="", 'Personalized Bill Menu'!$B$22="FORTIS"),($AE81/100)*$C81,$AD81*$H81)),($AD81/100)*$C81), 0))</f>
        <v>0</v>
      </c>
      <c r="AL81" s="72">
        <f ca="1">IF($A81="", "", IFERROR(IF('Personalized Bill Menu'!$B$22="ENMAX",$AE81*$B81,IF($AE$6="%",$AE81*($H81+$I81+$J81), IF('Personalized Bill Menu'!$B$22="FORTIS",$AF81*$I81,($AE81/100)*$C81))), 0))</f>
        <v>0</v>
      </c>
      <c r="AM81" s="72" t="str">
        <f>IF($A81="", "", IFERROR(IF('Personalized Bill Menu'!$B$22="EPCOR",($AF81/100)*$C81, IF('Personalized Bill Menu'!$B$22="ATCO",$AF81*1,"")), 0))</f>
        <v/>
      </c>
      <c r="AN81" s="72" t="str">
        <f>IF($A81="", "", IFERROR(IF('Personalized Bill Menu'!$B$22="ATCO",$AG81*$B81,""), 0))</f>
        <v/>
      </c>
      <c r="AO81" s="70" t="str">
        <f>IF($A81="", "", IFERROR(IF('Personalized Bill Menu'!$B$22="ATCO",$AH81*$B81,""), 0))</f>
        <v/>
      </c>
      <c r="AP81" s="81">
        <f>IF('Personalized Bill Menu'!$B$34&lt;&gt;"Natural Gas", 'Personalized Bill Menu'!$K78, "")</f>
        <v>0.2064</v>
      </c>
      <c r="AQ81" s="70">
        <f t="shared" si="34"/>
        <v>6.3983999999999996</v>
      </c>
      <c r="AR81" s="91">
        <f ca="1">IF($A81="", "",IF(VLOOKUP($A81, INDIRECT("'" &amp; 'Personalized Bill Menu'!$B$22 &amp; "'!" &amp;"$A$4:$CA$100"), VLOOKUP(VLOOKUP(AR$5,'Misc. Data &amp; Mechanisms'!$E$601:$I$631,HLOOKUP('Personalized Bill Menu'!$B$22, 'Misc. Data &amp; Mechanisms'!$E$599:$I$600, 2, FALSE), FALSE), 'Misc. Data &amp; Mechanisms'!$A$599:$C$659, 2, FALSE), FALSE) = "", "", VLOOKUP($A81, INDIRECT("'" &amp; 'Personalized Bill Menu'!$B$22 &amp; "'!" &amp;"$A$4:$CA$100"), VLOOKUP(VLOOKUP(AR$5,'Misc. Data &amp; Mechanisms'!$E$601:$I$631,HLOOKUP('Personalized Bill Menu'!$B$22, 'Misc. Data &amp; Mechanisms'!$E$599:$I$600, 2, FALSE), FALSE), 'Misc. Data &amp; Mechanisms'!$A$599:$C$659, 2, FALSE), FALSE)))</f>
        <v>0.05</v>
      </c>
    </row>
    <row r="82" spans="1:44" x14ac:dyDescent="0.35">
      <c r="A82" s="83">
        <f>'Personalized Bill Menu'!$H79</f>
        <v>43191</v>
      </c>
      <c r="B82" s="84">
        <f t="shared" si="19"/>
        <v>30</v>
      </c>
      <c r="C82" s="85">
        <f>IF('Personalized Bill Menu'!$B$34&lt;&gt;"Natural Gas", 'Personalized Bill Menu'!$I79, "")</f>
        <v>528.01162456374163</v>
      </c>
      <c r="D82" s="66">
        <f t="shared" ca="1" si="35"/>
        <v>18.587448246030824</v>
      </c>
      <c r="E82" s="66">
        <f ca="1">IFERROR((1+$AR82)*(IF('Personalized Bill Menu'!$B$22="ENMAX", ((1+IFERROR($X82, 0))*($N82+$P82+$R82+$AB82+$AC82))+((1+IF($X82="", 0,$X82))*(IF($AD82="", 0,$AD82)*$R82)), IF('Personalized Bill Menu'!$B$22="EPCOR", ($N82+$P82+$R82+$X82+SUM($AB82:$AE82)), IF('Personalized Bill Menu'!$B$22="ATCO",($N82+((1+IF($AE82="", 0,$AE82))*(1+$X82+$Y82)*($P82+$R82))+SUM($AB82:$AD82)),IF($AD82="",$N82+((1+$X82+$Y82)*($P82+$R82))+$AB82+$AE82+(IF($AC82="", 0, $AC82)*$P82)+($R82*IF($AF82="", 0, $AF82)),$N82+((1+$X82+$Y82)*($P82+$R82))+$AB82+($AD82*$P82)+(IF($AC82="", 0, $AC82)*$P82)+($R82*IF($AF82="", 0, $AF82))))))), "")</f>
        <v>13.637199926636999</v>
      </c>
      <c r="F82" s="1469">
        <f t="shared" ca="1" si="20"/>
        <v>98.143887448812052</v>
      </c>
      <c r="G82" s="66">
        <f t="shared" si="18"/>
        <v>35.904790470334433</v>
      </c>
      <c r="H82" s="66">
        <f t="shared" ca="1" si="21"/>
        <v>10.276690248884103</v>
      </c>
      <c r="I82" s="66">
        <f t="shared" ca="1" si="22"/>
        <v>20.718124266586397</v>
      </c>
      <c r="J82" s="66">
        <f t="shared" ca="1" si="23"/>
        <v>8.7270513867107411</v>
      </c>
      <c r="K82" s="66">
        <f t="shared" ca="1" si="24"/>
        <v>11.651712626352943</v>
      </c>
      <c r="L82" s="66">
        <f t="shared" si="25"/>
        <v>6.1920000000000002</v>
      </c>
      <c r="M82" s="68">
        <f t="shared" ca="1" si="26"/>
        <v>4.6735184499434315</v>
      </c>
      <c r="N82" s="1290">
        <f>IF('Personalized Bill Menu'!$B$34&lt;&gt;"Natural Gas", 'Personalized Bill Menu'!$J79, "")</f>
        <v>6.8</v>
      </c>
      <c r="O82" s="70">
        <f t="shared" si="27"/>
        <v>35.904790470334433</v>
      </c>
      <c r="P82" s="71">
        <f ca="1">IF($A82="", "",IFERROR(IF(VLOOKUP($A82, INDIRECT("'" &amp; 'Personalized Bill Menu'!$B$22 &amp; "'!" &amp;"$A$4:$CA$100"), VLOOKUP(VLOOKUP(P$5,'Misc. Data &amp; Mechanisms'!$E$601:$I$631,HLOOKUP('Personalized Bill Menu'!$B$22, 'Misc. Data &amp; Mechanisms'!$E$599:$I$600, 2, FALSE), FALSE), 'Misc. Data &amp; Mechanisms'!$A$599:$C$659, 2, FALSE), FALSE) = "", "", VLOOKUP($A82, INDIRECT("'" &amp; 'Personalized Bill Menu'!$B$22 &amp; "'!" &amp;"$A$4:$CA$100"), VLOOKUP(VLOOKUP(P$5,'Misc. Data &amp; Mechanisms'!$E$601:$I$631,HLOOKUP('Personalized Bill Menu'!$B$22, 'Misc. Data &amp; Mechanisms'!$E$599:$I$600, 2, FALSE), FALSE), 'Misc. Data &amp; Mechanisms'!$A$599:$C$659, 2, FALSE), FALSE)), ""))</f>
        <v>1.9462999999999999</v>
      </c>
      <c r="Q82" s="70">
        <f t="shared" ca="1" si="28"/>
        <v>10.276690248884103</v>
      </c>
      <c r="R82" s="87">
        <f ca="1">IF($A82="", "",IFERROR(IF(VLOOKUP($A82, INDIRECT("'" &amp; 'Personalized Bill Menu'!$B$22 &amp; "'!" &amp;"$A$4:$CA$100"), VLOOKUP(VLOOKUP(R$5,'Misc. Data &amp; Mechanisms'!$E$601:$I$631,HLOOKUP('Personalized Bill Menu'!$B$22, 'Misc. Data &amp; Mechanisms'!$E$599:$I$600, 2, FALSE), FALSE), 'Misc. Data &amp; Mechanisms'!$A$599:$C$659, 2, FALSE), FALSE) = "", "", VLOOKUP($A82, INDIRECT("'" &amp; 'Personalized Bill Menu'!$B$22 &amp; "'!" &amp;"$A$4:$CA$100"), VLOOKUP(VLOOKUP(R$5,'Misc. Data &amp; Mechanisms'!$E$601:$I$631,HLOOKUP('Personalized Bill Menu'!$B$22, 'Misc. Data &amp; Mechanisms'!$E$599:$I$600, 2, FALSE), FALSE), 'Misc. Data &amp; Mechanisms'!$A$599:$C$659, 2, FALSE), FALSE)), ""))</f>
        <v>1.069</v>
      </c>
      <c r="S82" s="88">
        <f ca="1">IF($A82="", "",IFERROR(IF(VLOOKUP($A82, INDIRECT("'" &amp; 'Personalized Bill Menu'!$B$22 &amp; "'!" &amp;"$A$4:$CA$100"), VLOOKUP(VLOOKUP(S$5,'Misc. Data &amp; Mechanisms'!$E$601:$I$631,HLOOKUP('Personalized Bill Menu'!$B$22, 'Misc. Data &amp; Mechanisms'!$E$599:$I$600, 2, FALSE), FALSE), 'Misc. Data &amp; Mechanisms'!$A$599:$C$659, 2, FALSE), FALSE) = "", "", VLOOKUP($A82, INDIRECT("'" &amp; 'Personalized Bill Menu'!$B$22 &amp; "'!" &amp;"$A$4:$CA$100"), VLOOKUP(VLOOKUP(S$5,'Misc. Data &amp; Mechanisms'!$E$601:$I$631,HLOOKUP('Personalized Bill Menu'!$B$22, 'Misc. Data &amp; Mechanisms'!$E$599:$I$600, 2, FALSE), FALSE), 'Misc. Data &amp; Mechanisms'!$A$599:$C$659, 2, FALSE), FALSE)), ""))</f>
        <v>0.50245600000000001</v>
      </c>
      <c r="T82" s="81" t="str">
        <f ca="1">IF($A82="", "",IFERROR(IF(VLOOKUP($A82, INDIRECT("'" &amp; 'Personalized Bill Menu'!$B$22 &amp; "'!" &amp;"$A$4:$CA$100"), VLOOKUP(VLOOKUP(T$5,'Misc. Data &amp; Mechanisms'!$E$601:$I$631,HLOOKUP('Personalized Bill Menu'!$B$22, 'Misc. Data &amp; Mechanisms'!$E$599:$I$600, 2, FALSE), FALSE), 'Misc. Data &amp; Mechanisms'!$A$599:$C$659, 2, FALSE), FALSE) = "", "", VLOOKUP($A82, INDIRECT("'" &amp; 'Personalized Bill Menu'!$B$22 &amp; "'!" &amp;"$A$4:$CA$100"), VLOOKUP(VLOOKUP(T$5,'Misc. Data &amp; Mechanisms'!$E$601:$I$631,HLOOKUP('Personalized Bill Menu'!$B$22, 'Misc. Data &amp; Mechanisms'!$E$599:$I$600, 2, FALSE), FALSE), 'Misc. Data &amp; Mechanisms'!$A$599:$C$659, 2, FALSE), FALSE)), ""))</f>
        <v/>
      </c>
      <c r="U82" s="72">
        <f t="shared" ca="1" si="29"/>
        <v>5.6444442665863983</v>
      </c>
      <c r="V82" s="72">
        <f t="shared" ca="1" si="30"/>
        <v>15.07368</v>
      </c>
      <c r="W82" s="70" t="str">
        <f t="shared" si="31"/>
        <v/>
      </c>
      <c r="X82" s="78">
        <f>IFERROR(IF(VLOOKUP($A82,'Misc. Data &amp; Mechanisms'!$A$63:$DY$152,HLOOKUP('Personalized Bill Menu'!$B$21&amp;"_"&amp;'Personalized Bill Menu'!$B$22&amp;"_Elec_Y_1",'Misc. Data &amp; Mechanisms'!$A$55:$DY$62,8,FALSE), FALSE)="", "", VLOOKUP($A82,'Misc. Data &amp; Mechanisms'!$A$63:$DY$152,HLOOKUP('Personalized Bill Menu'!$B$21&amp;"_"&amp;'Personalized Bill Menu'!$B$22&amp;"_Elec_Y_1",'Misc. Data &amp; Mechanisms'!$A$55:$DY$62,8,FALSE), FALSE)), "")</f>
        <v>0.1111</v>
      </c>
      <c r="Y82" s="78" t="str">
        <f>IFERROR(IF(VLOOKUP($A82,'Misc. Data &amp; Mechanisms'!$A$63:$DY$152,HLOOKUP('Personalized Bill Menu'!$B$21&amp;"_"&amp;'Personalized Bill Menu'!$B$22&amp;"_Elec_Y_2",'Misc. Data &amp; Mechanisms'!$A$55:$DY$62,8,FALSE), FALSE)="", "", VLOOKUP($A82,'Misc. Data &amp; Mechanisms'!$A$63:$DY$152,HLOOKUP('Personalized Bill Menu'!$B$21&amp;"_"&amp;'Personalized Bill Menu'!$B$22&amp;"_Elec_Y_2",'Misc. Data &amp; Mechanisms'!$A$55:$DY$62,8,FALSE), FALSE)), "")</f>
        <v/>
      </c>
      <c r="Z82" s="72">
        <f ca="1">IF($A82="", "",IFERROR(IF(OR('Personalized Bill Menu'!$B$22="FORTIS", 'Personalized Bill Menu'!$B$22="ATCO"), $X82*($H82+$I82), IF('Personalized Bill Menu'!$B$22="ENMAX",$X82*($H82+$I82+$K82),($X82/100)*$C82)), 0))</f>
        <v>4.7380291654565845</v>
      </c>
      <c r="AA82" s="70">
        <f>IF($A82="", "", IFERROR(IF(OR('Personalized Bill Menu'!$B$22="FORTIS", 'Personalized Bill Menu'!$B$22="ATCO"), $Y82*($H82+$I82), IF('Personalized Bill Menu'!$B$22="ENMAX",$X82*$G82,"")), 0))</f>
        <v>3.9890222212541557</v>
      </c>
      <c r="AB82" s="89">
        <f ca="1">IF($A82="", "",IFERROR(IF(VLOOKUP($A82, INDIRECT("'" &amp; 'Personalized Bill Menu'!$B$22 &amp; "'!" &amp;"$A$4:$CA$100"), VLOOKUP(VLOOKUP("RIDER RATE 1",'Misc. Data &amp; Mechanisms'!$E$601:$I$631,HLOOKUP('Personalized Bill Menu'!$B$22, 'Misc. Data &amp; Mechanisms'!$E$599:$I$600, 2, FALSE), FALSE), 'Misc. Data &amp; Mechanisms'!$A$599:$C$659, 2, FALSE), FALSE) = "", "", VLOOKUP($A82, INDIRECT("'" &amp; 'Personalized Bill Menu'!$B$22 &amp; "'!" &amp;"$A$4:$CA$100"), VLOOKUP(VLOOKUP("RIDER RATE 1",'Misc. Data &amp; Mechanisms'!$E$601:$I$631,HLOOKUP('Personalized Bill Menu'!$B$22, 'Misc. Data &amp; Mechanisms'!$E$599:$I$600, 2, FALSE), FALSE), 'Misc. Data &amp; Mechanisms'!$A$599:$C$659, 2, FALSE), FALSE)), ""))</f>
        <v>0.31819999999999998</v>
      </c>
      <c r="AC82" s="69">
        <f ca="1">IF($A82="", "",IFERROR(IF(VLOOKUP($A82, INDIRECT("'" &amp; 'Personalized Bill Menu'!$B$22 &amp; "'!" &amp;"$A$4:$CA$100"), VLOOKUP(VLOOKUP("RIDER RATE 2",'Misc. Data &amp; Mechanisms'!$E$601:$I$631,HLOOKUP('Personalized Bill Menu'!$B$22, 'Misc. Data &amp; Mechanisms'!$E$599:$I$600, 2, FALSE), FALSE), 'Misc. Data &amp; Mechanisms'!$A$599:$C$659, 2, FALSE), FALSE) = "", "", VLOOKUP($A82, INDIRECT("'" &amp; 'Personalized Bill Menu'!$B$22 &amp; "'!" &amp;"$A$4:$CA$100"), VLOOKUP(VLOOKUP("RIDER RATE 2",'Misc. Data &amp; Mechanisms'!$E$601:$I$631,HLOOKUP('Personalized Bill Menu'!$B$22, 'Misc. Data &amp; Mechanisms'!$E$599:$I$600, 2, FALSE), FALSE), 'Misc. Data &amp; Mechanisms'!$A$599:$C$659, 2, FALSE), FALSE)), ""))</f>
        <v>1.431</v>
      </c>
      <c r="AD82" s="69">
        <f ca="1">IF($A82="", "",IFERROR(IF(VLOOKUP($A82, INDIRECT("'" &amp; 'Personalized Bill Menu'!$B$22 &amp; "'!" &amp;"$A$4:$CA$100"), VLOOKUP(VLOOKUP("RIDER RATE 3",'Misc. Data &amp; Mechanisms'!$E$601:$I$631,HLOOKUP('Personalized Bill Menu'!$B$22, 'Misc. Data &amp; Mechanisms'!$E$599:$I$600, 2, FALSE), FALSE), 'Misc. Data &amp; Mechanisms'!$A$599:$C$659, 2, FALSE), FALSE) = "", "", VLOOKUP($A82, INDIRECT("'" &amp; 'Personalized Bill Menu'!$B$22 &amp; "'!" &amp;"$A$4:$CA$100"), VLOOKUP(VLOOKUP("RIDER RATE 3",'Misc. Data &amp; Mechanisms'!$E$601:$I$631,HLOOKUP('Personalized Bill Menu'!$B$22, 'Misc. Data &amp; Mechanisms'!$E$599:$I$600, 2, FALSE), FALSE), 'Misc. Data &amp; Mechanisms'!$A$599:$C$659, 2, FALSE), FALSE)), ""))</f>
        <v>0.1166</v>
      </c>
      <c r="AE82" s="69" t="str">
        <f ca="1">IF($A82="", "",IFERROR(IF(VLOOKUP($A82, INDIRECT("'" &amp; 'Personalized Bill Menu'!$B$22 &amp; "'!" &amp;"$A$4:$CA$100"), VLOOKUP(VLOOKUP("RIDER RATE 4",'Misc. Data &amp; Mechanisms'!$E$601:$I$631,HLOOKUP('Personalized Bill Menu'!$B$22, 'Misc. Data &amp; Mechanisms'!$E$599:$I$600, 2, FALSE), FALSE), 'Misc. Data &amp; Mechanisms'!$A$599:$C$659, 2, FALSE), FALSE) = "", "", VLOOKUP($A82, INDIRECT("'" &amp; 'Personalized Bill Menu'!$B$22 &amp; "'!" &amp;"$A$4:$CA$100"), VLOOKUP(VLOOKUP("RIDER RATE 4",'Misc. Data &amp; Mechanisms'!$E$601:$I$631,HLOOKUP('Personalized Bill Menu'!$B$22, 'Misc. Data &amp; Mechanisms'!$E$599:$I$600, 2, FALSE), FALSE), 'Misc. Data &amp; Mechanisms'!$A$599:$C$659, 2, FALSE), FALSE)), ""))</f>
        <v/>
      </c>
      <c r="AF82" s="90" t="str">
        <f ca="1">IF($A82="", "",IFERROR(IF(VLOOKUP($A82, INDIRECT("'" &amp; 'Personalized Bill Menu'!$B$22 &amp; "'!" &amp;"$A$4:$CA$100"), VLOOKUP(VLOOKUP("RIDER RATE 5",'Misc. Data &amp; Mechanisms'!$E$601:$I$631,HLOOKUP('Personalized Bill Menu'!$B$22, 'Misc. Data &amp; Mechanisms'!$E$599:$I$600, 2, FALSE), FALSE), 'Misc. Data &amp; Mechanisms'!$A$599:$C$659, 2, FALSE), FALSE) = "", "", VLOOKUP($A82, INDIRECT("'" &amp; 'Personalized Bill Menu'!$B$22 &amp; "'!" &amp;"$A$4:$CA$100"), VLOOKUP(VLOOKUP("RIDER RATE 5",'Misc. Data &amp; Mechanisms'!$E$601:$I$631,HLOOKUP('Personalized Bill Menu'!$B$22, 'Misc. Data &amp; Mechanisms'!$E$599:$I$600, 2, FALSE), FALSE), 'Misc. Data &amp; Mechanisms'!$A$599:$C$659, 2, FALSE), FALSE)), ""))</f>
        <v/>
      </c>
      <c r="AG82" s="90" t="str">
        <f ca="1">IF($A82="", "",IFERROR(IF(VLOOKUP($A82, INDIRECT("'" &amp; 'Personalized Bill Menu'!$B$22 &amp; "'!" &amp;"$A$4:$CA$100"), VLOOKUP(VLOOKUP("RIDER RATE 6",'Misc. Data &amp; Mechanisms'!$E$601:$I$631,HLOOKUP('Personalized Bill Menu'!$B$22, 'Misc. Data &amp; Mechanisms'!$E$599:$I$600, 2, FALSE), FALSE), 'Misc. Data &amp; Mechanisms'!$A$599:$C$659, 2, FALSE), FALSE) = "", "", VLOOKUP($A82, INDIRECT("'" &amp; 'Personalized Bill Menu'!$B$22 &amp; "'!" &amp;"$A$4:$CA$100"), VLOOKUP(VLOOKUP("RIDER RATE 6",'Misc. Data &amp; Mechanisms'!$E$601:$I$631,HLOOKUP('Personalized Bill Menu'!$B$22, 'Misc. Data &amp; Mechanisms'!$E$599:$I$600, 2, FALSE), FALSE), 'Misc. Data &amp; Mechanisms'!$A$599:$C$659, 2, FALSE), FALSE)), ""))</f>
        <v/>
      </c>
      <c r="AH82" s="90" t="str">
        <f ca="1">IF($A82="", "",IFERROR(IF(VLOOKUP($A82, INDIRECT("'" &amp; 'Personalized Bill Menu'!$B$22 &amp; "'!" &amp;"$A$4:$CA$100"), VLOOKUP(VLOOKUP("RIDER RATE 7",'Misc. Data &amp; Mechanisms'!$E$601:$I$631,HLOOKUP('Personalized Bill Menu'!$B$22, 'Misc. Data &amp; Mechanisms'!$E$599:$I$600, 2, FALSE), FALSE), 'Misc. Data &amp; Mechanisms'!$A$599:$C$659, 2, FALSE), FALSE) = "", "", VLOOKUP($A82, INDIRECT("'" &amp; 'Personalized Bill Menu'!$B$22 &amp; "'!" &amp;"$A$4:$CA$100"), VLOOKUP(VLOOKUP("RIDER RATE 7",'Misc. Data &amp; Mechanisms'!$E$601:$I$631,HLOOKUP('Personalized Bill Menu'!$B$22, 'Misc. Data &amp; Mechanisms'!$E$599:$I$600, 2, FALSE), FALSE), 'Misc. Data &amp; Mechanisms'!$A$599:$C$659, 2, FALSE), FALSE)), ""))</f>
        <v/>
      </c>
      <c r="AI82" s="72">
        <f t="shared" ca="1" si="32"/>
        <v>1.6801329893618258</v>
      </c>
      <c r="AJ82" s="72">
        <f t="shared" ca="1" si="33"/>
        <v>7.5558463475071429</v>
      </c>
      <c r="AK82" s="72">
        <f ca="1">IF($A82="", "", IFERROR(IF($AD$6="%",IF('Personalized Bill Menu'!$B$22="ENMAX", $AD82*$I82, IF(AND($AD82="", 'Personalized Bill Menu'!$B$22="FORTIS"),($AE82/100)*$C82,$AD82*$H82)),($AD82/100)*$C82), 0))</f>
        <v>2.4157332894839736</v>
      </c>
      <c r="AL82" s="72">
        <f ca="1">IF($A82="", "", IFERROR(IF('Personalized Bill Menu'!$B$22="ENMAX",$AE82*$B82,IF($AE$6="%",$AE82*($H82+$I82+$J82), IF('Personalized Bill Menu'!$B$22="FORTIS",$AF82*$I82,($AE82/100)*$C82))), 0))</f>
        <v>0</v>
      </c>
      <c r="AM82" s="72" t="str">
        <f>IF($A82="", "", IFERROR(IF('Personalized Bill Menu'!$B$22="EPCOR",($AF82/100)*$C82, IF('Personalized Bill Menu'!$B$22="ATCO",$AF82*1,"")), 0))</f>
        <v/>
      </c>
      <c r="AN82" s="72" t="str">
        <f>IF($A82="", "", IFERROR(IF('Personalized Bill Menu'!$B$22="ATCO",$AG82*$B82,""), 0))</f>
        <v/>
      </c>
      <c r="AO82" s="70" t="str">
        <f>IF($A82="", "", IFERROR(IF('Personalized Bill Menu'!$B$22="ATCO",$AH82*$B82,""), 0))</f>
        <v/>
      </c>
      <c r="AP82" s="81">
        <f>IF('Personalized Bill Menu'!$B$34&lt;&gt;"Natural Gas", 'Personalized Bill Menu'!$K79, "")</f>
        <v>0.2064</v>
      </c>
      <c r="AQ82" s="70">
        <f t="shared" si="34"/>
        <v>6.1920000000000002</v>
      </c>
      <c r="AR82" s="91">
        <f ca="1">IF($A82="", "",IF(VLOOKUP($A82, INDIRECT("'" &amp; 'Personalized Bill Menu'!$B$22 &amp; "'!" &amp;"$A$4:$CA$100"), VLOOKUP(VLOOKUP(AR$5,'Misc. Data &amp; Mechanisms'!$E$601:$I$631,HLOOKUP('Personalized Bill Menu'!$B$22, 'Misc. Data &amp; Mechanisms'!$E$599:$I$600, 2, FALSE), FALSE), 'Misc. Data &amp; Mechanisms'!$A$599:$C$659, 2, FALSE), FALSE) = "", "", VLOOKUP($A82, INDIRECT("'" &amp; 'Personalized Bill Menu'!$B$22 &amp; "'!" &amp;"$A$4:$CA$100"), VLOOKUP(VLOOKUP(AR$5,'Misc. Data &amp; Mechanisms'!$E$601:$I$631,HLOOKUP('Personalized Bill Menu'!$B$22, 'Misc. Data &amp; Mechanisms'!$E$599:$I$600, 2, FALSE), FALSE), 'Misc. Data &amp; Mechanisms'!$A$599:$C$659, 2, FALSE), FALSE)))</f>
        <v>0.05</v>
      </c>
    </row>
    <row r="83" spans="1:44" x14ac:dyDescent="0.35">
      <c r="A83" s="83">
        <f>'Personalized Bill Menu'!$H80</f>
        <v>43221</v>
      </c>
      <c r="B83" s="84">
        <f t="shared" si="19"/>
        <v>31</v>
      </c>
      <c r="C83" s="85">
        <f>IF('Personalized Bill Menu'!$B$34&lt;&gt;"Natural Gas", 'Personalized Bill Menu'!$I80, "")</f>
        <v>494.83267205155215</v>
      </c>
      <c r="D83" s="66">
        <f t="shared" ca="1" si="35"/>
        <v>17.655786568974317</v>
      </c>
      <c r="E83" s="66">
        <f ca="1">IFERROR((1+$AR83)*(IF('Personalized Bill Menu'!$B$22="ENMAX", ((1+IFERROR($X83, 0))*($N83+$P83+$R83+$AB83+$AC83))+((1+IF($X83="", 0,$X83))*(IF($AD83="", 0,$AD83)*$R83)), IF('Personalized Bill Menu'!$B$22="EPCOR", ($N83+$P83+$R83+$X83+SUM($AB83:$AE83)), IF('Personalized Bill Menu'!$B$22="ATCO",($N83+((1+IF($AE83="", 0,$AE83))*(1+$X83+$Y83)*($P83+$R83))+SUM($AB83:$AD83)),IF($AD83="",$N83+((1+$X83+$Y83)*($P83+$R83))+$AB83+$AE83+(IF($AC83="", 0, $AC83)*$P83)+($R83*IF($AF83="", 0, $AF83)),$N83+((1+$X83+$Y83)*($P83+$R83))+$AB83+($AD83*$P83)+(IF($AC83="", 0, $AC83)*$P83)+($R83*IF($AF83="", 0, $AF83))))))), "")</f>
        <v>12.197547656636996</v>
      </c>
      <c r="F83" s="1469">
        <f t="shared" ca="1" si="20"/>
        <v>87.366600450974673</v>
      </c>
      <c r="G83" s="66">
        <f t="shared" si="18"/>
        <v>27.542386526389393</v>
      </c>
      <c r="H83" s="66">
        <f t="shared" ca="1" si="21"/>
        <v>9.6309282961393592</v>
      </c>
      <c r="I83" s="66">
        <f t="shared" ca="1" si="22"/>
        <v>20.865897264231094</v>
      </c>
      <c r="J83" s="66">
        <f t="shared" ca="1" si="23"/>
        <v>7.6800973364904674</v>
      </c>
      <c r="K83" s="66">
        <f t="shared" ca="1" si="24"/>
        <v>11.088576720535096</v>
      </c>
      <c r="L83" s="66">
        <f t="shared" si="25"/>
        <v>6.3983999999999996</v>
      </c>
      <c r="M83" s="68">
        <f t="shared" ca="1" si="26"/>
        <v>4.1603143071892701</v>
      </c>
      <c r="N83" s="1290">
        <f>IF('Personalized Bill Menu'!$B$34&lt;&gt;"Natural Gas", 'Personalized Bill Menu'!$J80, "")</f>
        <v>5.5659999999999998</v>
      </c>
      <c r="O83" s="70">
        <f t="shared" si="27"/>
        <v>27.542386526389393</v>
      </c>
      <c r="P83" s="71">
        <f ca="1">IF($A83="", "",IFERROR(IF(VLOOKUP($A83, INDIRECT("'" &amp; 'Personalized Bill Menu'!$B$22 &amp; "'!" &amp;"$A$4:$CA$100"), VLOOKUP(VLOOKUP(P$5,'Misc. Data &amp; Mechanisms'!$E$601:$I$631,HLOOKUP('Personalized Bill Menu'!$B$22, 'Misc. Data &amp; Mechanisms'!$E$599:$I$600, 2, FALSE), FALSE), 'Misc. Data &amp; Mechanisms'!$A$599:$C$659, 2, FALSE), FALSE) = "", "", VLOOKUP($A83, INDIRECT("'" &amp; 'Personalized Bill Menu'!$B$22 &amp; "'!" &amp;"$A$4:$CA$100"), VLOOKUP(VLOOKUP(P$5,'Misc. Data &amp; Mechanisms'!$E$601:$I$631,HLOOKUP('Personalized Bill Menu'!$B$22, 'Misc. Data &amp; Mechanisms'!$E$599:$I$600, 2, FALSE), FALSE), 'Misc. Data &amp; Mechanisms'!$A$599:$C$659, 2, FALSE), FALSE)), ""))</f>
        <v>1.9462999999999999</v>
      </c>
      <c r="Q83" s="70">
        <f t="shared" ca="1" si="28"/>
        <v>9.6309282961393592</v>
      </c>
      <c r="R83" s="87">
        <f ca="1">IF($A83="", "",IFERROR(IF(VLOOKUP($A83, INDIRECT("'" &amp; 'Personalized Bill Menu'!$B$22 &amp; "'!" &amp;"$A$4:$CA$100"), VLOOKUP(VLOOKUP(R$5,'Misc. Data &amp; Mechanisms'!$E$601:$I$631,HLOOKUP('Personalized Bill Menu'!$B$22, 'Misc. Data &amp; Mechanisms'!$E$599:$I$600, 2, FALSE), FALSE), 'Misc. Data &amp; Mechanisms'!$A$599:$C$659, 2, FALSE), FALSE) = "", "", VLOOKUP($A83, INDIRECT("'" &amp; 'Personalized Bill Menu'!$B$22 &amp; "'!" &amp;"$A$4:$CA$100"), VLOOKUP(VLOOKUP(R$5,'Misc. Data &amp; Mechanisms'!$E$601:$I$631,HLOOKUP('Personalized Bill Menu'!$B$22, 'Misc. Data &amp; Mechanisms'!$E$599:$I$600, 2, FALSE), FALSE), 'Misc. Data &amp; Mechanisms'!$A$599:$C$659, 2, FALSE), FALSE)), ""))</f>
        <v>1.069</v>
      </c>
      <c r="S83" s="88">
        <f ca="1">IF($A83="", "",IFERROR(IF(VLOOKUP($A83, INDIRECT("'" &amp; 'Personalized Bill Menu'!$B$22 &amp; "'!" &amp;"$A$4:$CA$100"), VLOOKUP(VLOOKUP(S$5,'Misc. Data &amp; Mechanisms'!$E$601:$I$631,HLOOKUP('Personalized Bill Menu'!$B$22, 'Misc. Data &amp; Mechanisms'!$E$599:$I$600, 2, FALSE), FALSE), 'Misc. Data &amp; Mechanisms'!$A$599:$C$659, 2, FALSE), FALSE) = "", "", VLOOKUP($A83, INDIRECT("'" &amp; 'Personalized Bill Menu'!$B$22 &amp; "'!" &amp;"$A$4:$CA$100"), VLOOKUP(VLOOKUP(S$5,'Misc. Data &amp; Mechanisms'!$E$601:$I$631,HLOOKUP('Personalized Bill Menu'!$B$22, 'Misc. Data &amp; Mechanisms'!$E$599:$I$600, 2, FALSE), FALSE), 'Misc. Data &amp; Mechanisms'!$A$599:$C$659, 2, FALSE), FALSE)), ""))</f>
        <v>0.50245600000000001</v>
      </c>
      <c r="T83" s="81" t="str">
        <f ca="1">IF($A83="", "",IFERROR(IF(VLOOKUP($A83, INDIRECT("'" &amp; 'Personalized Bill Menu'!$B$22 &amp; "'!" &amp;"$A$4:$CA$100"), VLOOKUP(VLOOKUP(T$5,'Misc. Data &amp; Mechanisms'!$E$601:$I$631,HLOOKUP('Personalized Bill Menu'!$B$22, 'Misc. Data &amp; Mechanisms'!$E$599:$I$600, 2, FALSE), FALSE), 'Misc. Data &amp; Mechanisms'!$A$599:$C$659, 2, FALSE), FALSE) = "", "", VLOOKUP($A83, INDIRECT("'" &amp; 'Personalized Bill Menu'!$B$22 &amp; "'!" &amp;"$A$4:$CA$100"), VLOOKUP(VLOOKUP(T$5,'Misc. Data &amp; Mechanisms'!$E$601:$I$631,HLOOKUP('Personalized Bill Menu'!$B$22, 'Misc. Data &amp; Mechanisms'!$E$599:$I$600, 2, FALSE), FALSE), 'Misc. Data &amp; Mechanisms'!$A$599:$C$659, 2, FALSE), FALSE)), ""))</f>
        <v/>
      </c>
      <c r="U83" s="72">
        <f t="shared" ca="1" si="29"/>
        <v>5.2897612642310925</v>
      </c>
      <c r="V83" s="72">
        <f t="shared" ca="1" si="30"/>
        <v>15.576136</v>
      </c>
      <c r="W83" s="70" t="str">
        <f t="shared" si="31"/>
        <v/>
      </c>
      <c r="X83" s="78">
        <f>IFERROR(IF(VLOOKUP($A83,'Misc. Data &amp; Mechanisms'!$A$63:$DY$152,HLOOKUP('Personalized Bill Menu'!$B$21&amp;"_"&amp;'Personalized Bill Menu'!$B$22&amp;"_Elec_Y_1",'Misc. Data &amp; Mechanisms'!$A$55:$DY$62,8,FALSE), FALSE)="", "", VLOOKUP($A83,'Misc. Data &amp; Mechanisms'!$A$63:$DY$152,HLOOKUP('Personalized Bill Menu'!$B$21&amp;"_"&amp;'Personalized Bill Menu'!$B$22&amp;"_Elec_Y_1",'Misc. Data &amp; Mechanisms'!$A$55:$DY$62,8,FALSE), FALSE)), "")</f>
        <v>0.1111</v>
      </c>
      <c r="Y83" s="78" t="str">
        <f>IFERROR(IF(VLOOKUP($A83,'Misc. Data &amp; Mechanisms'!$A$63:$DY$152,HLOOKUP('Personalized Bill Menu'!$B$21&amp;"_"&amp;'Personalized Bill Menu'!$B$22&amp;"_Elec_Y_2",'Misc. Data &amp; Mechanisms'!$A$55:$DY$62,8,FALSE), FALSE)="", "", VLOOKUP($A83,'Misc. Data &amp; Mechanisms'!$A$63:$DY$152,HLOOKUP('Personalized Bill Menu'!$B$21&amp;"_"&amp;'Personalized Bill Menu'!$B$22&amp;"_Elec_Y_2",'Misc. Data &amp; Mechanisms'!$A$55:$DY$62,8,FALSE), FALSE)), "")</f>
        <v/>
      </c>
      <c r="Z83" s="72">
        <f ca="1">IF($A83="", "",IFERROR(IF(OR('Personalized Bill Menu'!$B$22="FORTIS", 'Personalized Bill Menu'!$B$22="ATCO"), $X83*($H83+$I83), IF('Personalized Bill Menu'!$B$22="ENMAX",$X83*($H83+$I83+$K83),($X83/100)*$C83)), 0))</f>
        <v>4.6201381934086063</v>
      </c>
      <c r="AA83" s="70">
        <f>IF($A83="", "", IFERROR(IF(OR('Personalized Bill Menu'!$B$22="FORTIS", 'Personalized Bill Menu'!$B$22="ATCO"), $Y83*($H83+$I83), IF('Personalized Bill Menu'!$B$22="ENMAX",$X83*$G83,"")), 0))</f>
        <v>3.0599591430818616</v>
      </c>
      <c r="AB83" s="89">
        <f ca="1">IF($A83="", "",IFERROR(IF(VLOOKUP($A83, INDIRECT("'" &amp; 'Personalized Bill Menu'!$B$22 &amp; "'!" &amp;"$A$4:$CA$100"), VLOOKUP(VLOOKUP("RIDER RATE 1",'Misc. Data &amp; Mechanisms'!$E$601:$I$631,HLOOKUP('Personalized Bill Menu'!$B$22, 'Misc. Data &amp; Mechanisms'!$E$599:$I$600, 2, FALSE), FALSE), 'Misc. Data &amp; Mechanisms'!$A$599:$C$659, 2, FALSE), FALSE) = "", "", VLOOKUP($A83, INDIRECT("'" &amp; 'Personalized Bill Menu'!$B$22 &amp; "'!" &amp;"$A$4:$CA$100"), VLOOKUP(VLOOKUP("RIDER RATE 1",'Misc. Data &amp; Mechanisms'!$E$601:$I$631,HLOOKUP('Personalized Bill Menu'!$B$22, 'Misc. Data &amp; Mechanisms'!$E$599:$I$600, 2, FALSE), FALSE), 'Misc. Data &amp; Mechanisms'!$A$599:$C$659, 2, FALSE), FALSE)), ""))</f>
        <v>0.31819999999999998</v>
      </c>
      <c r="AC83" s="69">
        <f ca="1">IF($A83="", "",IFERROR(IF(VLOOKUP($A83, INDIRECT("'" &amp; 'Personalized Bill Menu'!$B$22 &amp; "'!" &amp;"$A$4:$CA$100"), VLOOKUP(VLOOKUP("RIDER RATE 2",'Misc. Data &amp; Mechanisms'!$E$601:$I$631,HLOOKUP('Personalized Bill Menu'!$B$22, 'Misc. Data &amp; Mechanisms'!$E$599:$I$600, 2, FALSE), FALSE), 'Misc. Data &amp; Mechanisms'!$A$599:$C$659, 2, FALSE), FALSE) = "", "", VLOOKUP($A83, INDIRECT("'" &amp; 'Personalized Bill Menu'!$B$22 &amp; "'!" &amp;"$A$4:$CA$100"), VLOOKUP(VLOOKUP("RIDER RATE 2",'Misc. Data &amp; Mechanisms'!$E$601:$I$631,HLOOKUP('Personalized Bill Menu'!$B$22, 'Misc. Data &amp; Mechanisms'!$E$599:$I$600, 2, FALSE), FALSE), 'Misc. Data &amp; Mechanisms'!$A$599:$C$659, 2, FALSE), FALSE)), ""))</f>
        <v>1.431</v>
      </c>
      <c r="AD83" s="69">
        <f ca="1">IF($A83="", "",IFERROR(IF(VLOOKUP($A83, INDIRECT("'" &amp; 'Personalized Bill Menu'!$B$22 &amp; "'!" &amp;"$A$4:$CA$100"), VLOOKUP(VLOOKUP("RIDER RATE 3",'Misc. Data &amp; Mechanisms'!$E$601:$I$631,HLOOKUP('Personalized Bill Menu'!$B$22, 'Misc. Data &amp; Mechanisms'!$E$599:$I$600, 2, FALSE), FALSE), 'Misc. Data &amp; Mechanisms'!$A$599:$C$659, 2, FALSE), FALSE) = "", "", VLOOKUP($A83, INDIRECT("'" &amp; 'Personalized Bill Menu'!$B$22 &amp; "'!" &amp;"$A$4:$CA$100"), VLOOKUP(VLOOKUP("RIDER RATE 3",'Misc. Data &amp; Mechanisms'!$E$601:$I$631,HLOOKUP('Personalized Bill Menu'!$B$22, 'Misc. Data &amp; Mechanisms'!$E$599:$I$600, 2, FALSE), FALSE), 'Misc. Data &amp; Mechanisms'!$A$599:$C$659, 2, FALSE), FALSE)), ""))</f>
        <v>0.1166</v>
      </c>
      <c r="AE83" s="69" t="str">
        <f ca="1">IF($A83="", "",IFERROR(IF(VLOOKUP($A83, INDIRECT("'" &amp; 'Personalized Bill Menu'!$B$22 &amp; "'!" &amp;"$A$4:$CA$100"), VLOOKUP(VLOOKUP("RIDER RATE 4",'Misc. Data &amp; Mechanisms'!$E$601:$I$631,HLOOKUP('Personalized Bill Menu'!$B$22, 'Misc. Data &amp; Mechanisms'!$E$599:$I$600, 2, FALSE), FALSE), 'Misc. Data &amp; Mechanisms'!$A$599:$C$659, 2, FALSE), FALSE) = "", "", VLOOKUP($A83, INDIRECT("'" &amp; 'Personalized Bill Menu'!$B$22 &amp; "'!" &amp;"$A$4:$CA$100"), VLOOKUP(VLOOKUP("RIDER RATE 4",'Misc. Data &amp; Mechanisms'!$E$601:$I$631,HLOOKUP('Personalized Bill Menu'!$B$22, 'Misc. Data &amp; Mechanisms'!$E$599:$I$600, 2, FALSE), FALSE), 'Misc. Data &amp; Mechanisms'!$A$599:$C$659, 2, FALSE), FALSE)), ""))</f>
        <v/>
      </c>
      <c r="AF83" s="90" t="str">
        <f ca="1">IF($A83="", "",IFERROR(IF(VLOOKUP($A83, INDIRECT("'" &amp; 'Personalized Bill Menu'!$B$22 &amp; "'!" &amp;"$A$4:$CA$100"), VLOOKUP(VLOOKUP("RIDER RATE 5",'Misc. Data &amp; Mechanisms'!$E$601:$I$631,HLOOKUP('Personalized Bill Menu'!$B$22, 'Misc. Data &amp; Mechanisms'!$E$599:$I$600, 2, FALSE), FALSE), 'Misc. Data &amp; Mechanisms'!$A$599:$C$659, 2, FALSE), FALSE) = "", "", VLOOKUP($A83, INDIRECT("'" &amp; 'Personalized Bill Menu'!$B$22 &amp; "'!" &amp;"$A$4:$CA$100"), VLOOKUP(VLOOKUP("RIDER RATE 5",'Misc. Data &amp; Mechanisms'!$E$601:$I$631,HLOOKUP('Personalized Bill Menu'!$B$22, 'Misc. Data &amp; Mechanisms'!$E$599:$I$600, 2, FALSE), FALSE), 'Misc. Data &amp; Mechanisms'!$A$599:$C$659, 2, FALSE), FALSE)), ""))</f>
        <v/>
      </c>
      <c r="AG83" s="90" t="str">
        <f ca="1">IF($A83="", "",IFERROR(IF(VLOOKUP($A83, INDIRECT("'" &amp; 'Personalized Bill Menu'!$B$22 &amp; "'!" &amp;"$A$4:$CA$100"), VLOOKUP(VLOOKUP("RIDER RATE 6",'Misc. Data &amp; Mechanisms'!$E$601:$I$631,HLOOKUP('Personalized Bill Menu'!$B$22, 'Misc. Data &amp; Mechanisms'!$E$599:$I$600, 2, FALSE), FALSE), 'Misc. Data &amp; Mechanisms'!$A$599:$C$659, 2, FALSE), FALSE) = "", "", VLOOKUP($A83, INDIRECT("'" &amp; 'Personalized Bill Menu'!$B$22 &amp; "'!" &amp;"$A$4:$CA$100"), VLOOKUP(VLOOKUP("RIDER RATE 6",'Misc. Data &amp; Mechanisms'!$E$601:$I$631,HLOOKUP('Personalized Bill Menu'!$B$22, 'Misc. Data &amp; Mechanisms'!$E$599:$I$600, 2, FALSE), FALSE), 'Misc. Data &amp; Mechanisms'!$A$599:$C$659, 2, FALSE), FALSE)), ""))</f>
        <v/>
      </c>
      <c r="AH83" s="90" t="str">
        <f ca="1">IF($A83="", "",IFERROR(IF(VLOOKUP($A83, INDIRECT("'" &amp; 'Personalized Bill Menu'!$B$22 &amp; "'!" &amp;"$A$4:$CA$100"), VLOOKUP(VLOOKUP("RIDER RATE 7",'Misc. Data &amp; Mechanisms'!$E$601:$I$631,HLOOKUP('Personalized Bill Menu'!$B$22, 'Misc. Data &amp; Mechanisms'!$E$599:$I$600, 2, FALSE), FALSE), 'Misc. Data &amp; Mechanisms'!$A$599:$C$659, 2, FALSE), FALSE) = "", "", VLOOKUP($A83, INDIRECT("'" &amp; 'Personalized Bill Menu'!$B$22 &amp; "'!" &amp;"$A$4:$CA$100"), VLOOKUP(VLOOKUP("RIDER RATE 7",'Misc. Data &amp; Mechanisms'!$E$601:$I$631,HLOOKUP('Personalized Bill Menu'!$B$22, 'Misc. Data &amp; Mechanisms'!$E$599:$I$600, 2, FALSE), FALSE), 'Misc. Data &amp; Mechanisms'!$A$599:$C$659, 2, FALSE), FALSE)), ""))</f>
        <v/>
      </c>
      <c r="AI83" s="72">
        <f t="shared" ca="1" si="32"/>
        <v>1.574557562468039</v>
      </c>
      <c r="AJ83" s="72">
        <f t="shared" ca="1" si="33"/>
        <v>7.0810555370577113</v>
      </c>
      <c r="AK83" s="72">
        <f ca="1">IF($A83="", "", IFERROR(IF($AD$6="%",IF('Personalized Bill Menu'!$B$22="ENMAX", $AD83*$I83, IF(AND($AD83="", 'Personalized Bill Menu'!$B$22="FORTIS"),($AE83/100)*$C83,$AD83*$H83)),($AD83/100)*$C83), 0))</f>
        <v>2.4329636210093457</v>
      </c>
      <c r="AL83" s="72">
        <f ca="1">IF($A83="", "", IFERROR(IF('Personalized Bill Menu'!$B$22="ENMAX",$AE83*$B83,IF($AE$6="%",$AE83*($H83+$I83+$J83), IF('Personalized Bill Menu'!$B$22="FORTIS",$AF83*$I83,($AE83/100)*$C83))), 0))</f>
        <v>0</v>
      </c>
      <c r="AM83" s="72" t="str">
        <f>IF($A83="", "", IFERROR(IF('Personalized Bill Menu'!$B$22="EPCOR",($AF83/100)*$C83, IF('Personalized Bill Menu'!$B$22="ATCO",$AF83*1,"")), 0))</f>
        <v/>
      </c>
      <c r="AN83" s="72" t="str">
        <f>IF($A83="", "", IFERROR(IF('Personalized Bill Menu'!$B$22="ATCO",$AG83*$B83,""), 0))</f>
        <v/>
      </c>
      <c r="AO83" s="70" t="str">
        <f>IF($A83="", "", IFERROR(IF('Personalized Bill Menu'!$B$22="ATCO",$AH83*$B83,""), 0))</f>
        <v/>
      </c>
      <c r="AP83" s="81">
        <f>IF('Personalized Bill Menu'!$B$34&lt;&gt;"Natural Gas", 'Personalized Bill Menu'!$K80, "")</f>
        <v>0.2064</v>
      </c>
      <c r="AQ83" s="70">
        <f t="shared" si="34"/>
        <v>6.3983999999999996</v>
      </c>
      <c r="AR83" s="91">
        <f ca="1">IF($A83="", "",IF(VLOOKUP($A83, INDIRECT("'" &amp; 'Personalized Bill Menu'!$B$22 &amp; "'!" &amp;"$A$4:$CA$100"), VLOOKUP(VLOOKUP(AR$5,'Misc. Data &amp; Mechanisms'!$E$601:$I$631,HLOOKUP('Personalized Bill Menu'!$B$22, 'Misc. Data &amp; Mechanisms'!$E$599:$I$600, 2, FALSE), FALSE), 'Misc. Data &amp; Mechanisms'!$A$599:$C$659, 2, FALSE), FALSE) = "", "", VLOOKUP($A83, INDIRECT("'" &amp; 'Personalized Bill Menu'!$B$22 &amp; "'!" &amp;"$A$4:$CA$100"), VLOOKUP(VLOOKUP(AR$5,'Misc. Data &amp; Mechanisms'!$E$601:$I$631,HLOOKUP('Personalized Bill Menu'!$B$22, 'Misc. Data &amp; Mechanisms'!$E$599:$I$600, 2, FALSE), FALSE), 'Misc. Data &amp; Mechanisms'!$A$599:$C$659, 2, FALSE), FALSE)))</f>
        <v>0.05</v>
      </c>
    </row>
    <row r="84" spans="1:44" x14ac:dyDescent="0.35">
      <c r="A84" s="83">
        <f>'Personalized Bill Menu'!$H81</f>
        <v>43252</v>
      </c>
      <c r="B84" s="84">
        <f t="shared" si="19"/>
        <v>30</v>
      </c>
      <c r="C84" s="85">
        <f>IF('Personalized Bill Menu'!$B$34&lt;&gt;"Natural Gas", 'Personalized Bill Menu'!$I81, "")</f>
        <v>481.31960825480462</v>
      </c>
      <c r="D84" s="66">
        <f t="shared" ca="1" si="35"/>
        <v>17.040017229139131</v>
      </c>
      <c r="E84" s="66">
        <f ca="1">IFERROR((1+$AR84)*(IF('Personalized Bill Menu'!$B$22="ENMAX", ((1+IFERROR($X84, 0))*($N84+$P84+$R84+$AB84+$AC84))+((1+IF($X84="", 0,$X84))*(IF($AD84="", 0,$AD84)*$R84)), IF('Personalized Bill Menu'!$B$22="EPCOR", ($N84+$P84+$R84+$X84+SUM($AB84:$AE84)), IF('Personalized Bill Menu'!$B$22="ATCO",($N84+((1+IF($AE84="", 0,$AE84))*(1+$X84+$Y84)*($P84+$R84))+SUM($AB84:$AD84)),IF($AD84="",$N84+((1+$X84+$Y84)*($P84+$R84))+$AB84+$AE84+(IF($AC84="", 0, $AC84)*$P84)+($R84*IF($AF84="", 0, $AF84)),$N84+((1+$X84+$Y84)*($P84+$R84))+$AB84+($AD84*$P84)+(IF($AC84="", 0, $AC84)*$P84)+($R84*IF($AF84="", 0, $AF84))))))), "")</f>
        <v>11.609553536636998</v>
      </c>
      <c r="F84" s="1469">
        <f t="shared" ca="1" si="20"/>
        <v>82.016944173843683</v>
      </c>
      <c r="G84" s="66">
        <f t="shared" si="18"/>
        <v>24.364398569858214</v>
      </c>
      <c r="H84" s="66">
        <f t="shared" ca="1" si="21"/>
        <v>9.3679235354632606</v>
      </c>
      <c r="I84" s="66">
        <f t="shared" ca="1" si="22"/>
        <v>20.21898661224386</v>
      </c>
      <c r="J84" s="66">
        <f t="shared" ca="1" si="23"/>
        <v>7.1912902595146218</v>
      </c>
      <c r="K84" s="66">
        <f t="shared" ca="1" si="24"/>
        <v>10.776776426580678</v>
      </c>
      <c r="L84" s="66">
        <f t="shared" si="25"/>
        <v>6.1920000000000002</v>
      </c>
      <c r="M84" s="68">
        <f t="shared" ca="1" si="26"/>
        <v>3.9055687701830326</v>
      </c>
      <c r="N84" s="1290">
        <f>IF('Personalized Bill Menu'!$B$34&lt;&gt;"Natural Gas", 'Personalized Bill Menu'!$J81, "")</f>
        <v>5.0620000000000003</v>
      </c>
      <c r="O84" s="70">
        <f t="shared" si="27"/>
        <v>24.364398569858214</v>
      </c>
      <c r="P84" s="71">
        <f ca="1">IF($A84="", "",IFERROR(IF(VLOOKUP($A84, INDIRECT("'" &amp; 'Personalized Bill Menu'!$B$22 &amp; "'!" &amp;"$A$4:$CA$100"), VLOOKUP(VLOOKUP(P$5,'Misc. Data &amp; Mechanisms'!$E$601:$I$631,HLOOKUP('Personalized Bill Menu'!$B$22, 'Misc. Data &amp; Mechanisms'!$E$599:$I$600, 2, FALSE), FALSE), 'Misc. Data &amp; Mechanisms'!$A$599:$C$659, 2, FALSE), FALSE) = "", "", VLOOKUP($A84, INDIRECT("'" &amp; 'Personalized Bill Menu'!$B$22 &amp; "'!" &amp;"$A$4:$CA$100"), VLOOKUP(VLOOKUP(P$5,'Misc. Data &amp; Mechanisms'!$E$601:$I$631,HLOOKUP('Personalized Bill Menu'!$B$22, 'Misc. Data &amp; Mechanisms'!$E$599:$I$600, 2, FALSE), FALSE), 'Misc. Data &amp; Mechanisms'!$A$599:$C$659, 2, FALSE), FALSE)), ""))</f>
        <v>1.9462999999999999</v>
      </c>
      <c r="Q84" s="70">
        <f t="shared" ca="1" si="28"/>
        <v>9.3679235354632606</v>
      </c>
      <c r="R84" s="87">
        <f ca="1">IF($A84="", "",IFERROR(IF(VLOOKUP($A84, INDIRECT("'" &amp; 'Personalized Bill Menu'!$B$22 &amp; "'!" &amp;"$A$4:$CA$100"), VLOOKUP(VLOOKUP(R$5,'Misc. Data &amp; Mechanisms'!$E$601:$I$631,HLOOKUP('Personalized Bill Menu'!$B$22, 'Misc. Data &amp; Mechanisms'!$E$599:$I$600, 2, FALSE), FALSE), 'Misc. Data &amp; Mechanisms'!$A$599:$C$659, 2, FALSE), FALSE) = "", "", VLOOKUP($A84, INDIRECT("'" &amp; 'Personalized Bill Menu'!$B$22 &amp; "'!" &amp;"$A$4:$CA$100"), VLOOKUP(VLOOKUP(R$5,'Misc. Data &amp; Mechanisms'!$E$601:$I$631,HLOOKUP('Personalized Bill Menu'!$B$22, 'Misc. Data &amp; Mechanisms'!$E$599:$I$600, 2, FALSE), FALSE), 'Misc. Data &amp; Mechanisms'!$A$599:$C$659, 2, FALSE), FALSE)), ""))</f>
        <v>1.069</v>
      </c>
      <c r="S84" s="88">
        <f ca="1">IF($A84="", "",IFERROR(IF(VLOOKUP($A84, INDIRECT("'" &amp; 'Personalized Bill Menu'!$B$22 &amp; "'!" &amp;"$A$4:$CA$100"), VLOOKUP(VLOOKUP(S$5,'Misc. Data &amp; Mechanisms'!$E$601:$I$631,HLOOKUP('Personalized Bill Menu'!$B$22, 'Misc. Data &amp; Mechanisms'!$E$599:$I$600, 2, FALSE), FALSE), 'Misc. Data &amp; Mechanisms'!$A$599:$C$659, 2, FALSE), FALSE) = "", "", VLOOKUP($A84, INDIRECT("'" &amp; 'Personalized Bill Menu'!$B$22 &amp; "'!" &amp;"$A$4:$CA$100"), VLOOKUP(VLOOKUP(S$5,'Misc. Data &amp; Mechanisms'!$E$601:$I$631,HLOOKUP('Personalized Bill Menu'!$B$22, 'Misc. Data &amp; Mechanisms'!$E$599:$I$600, 2, FALSE), FALSE), 'Misc. Data &amp; Mechanisms'!$A$599:$C$659, 2, FALSE), FALSE)), ""))</f>
        <v>0.50245600000000001</v>
      </c>
      <c r="T84" s="81" t="str">
        <f ca="1">IF($A84="", "",IFERROR(IF(VLOOKUP($A84, INDIRECT("'" &amp; 'Personalized Bill Menu'!$B$22 &amp; "'!" &amp;"$A$4:$CA$100"), VLOOKUP(VLOOKUP(T$5,'Misc. Data &amp; Mechanisms'!$E$601:$I$631,HLOOKUP('Personalized Bill Menu'!$B$22, 'Misc. Data &amp; Mechanisms'!$E$599:$I$600, 2, FALSE), FALSE), 'Misc. Data &amp; Mechanisms'!$A$599:$C$659, 2, FALSE), FALSE) = "", "", VLOOKUP($A84, INDIRECT("'" &amp; 'Personalized Bill Menu'!$B$22 &amp; "'!" &amp;"$A$4:$CA$100"), VLOOKUP(VLOOKUP(T$5,'Misc. Data &amp; Mechanisms'!$E$601:$I$631,HLOOKUP('Personalized Bill Menu'!$B$22, 'Misc. Data &amp; Mechanisms'!$E$599:$I$600, 2, FALSE), FALSE), 'Misc. Data &amp; Mechanisms'!$A$599:$C$659, 2, FALSE), FALSE)), ""))</f>
        <v/>
      </c>
      <c r="U84" s="72">
        <f t="shared" ca="1" si="29"/>
        <v>5.1453066122438615</v>
      </c>
      <c r="V84" s="72">
        <f t="shared" ca="1" si="30"/>
        <v>15.07368</v>
      </c>
      <c r="W84" s="70" t="str">
        <f t="shared" si="31"/>
        <v/>
      </c>
      <c r="X84" s="78">
        <f>IFERROR(IF(VLOOKUP($A84,'Misc. Data &amp; Mechanisms'!$A$63:$DY$152,HLOOKUP('Personalized Bill Menu'!$B$21&amp;"_"&amp;'Personalized Bill Menu'!$B$22&amp;"_Elec_Y_1",'Misc. Data &amp; Mechanisms'!$A$55:$DY$62,8,FALSE), FALSE)="", "", VLOOKUP($A84,'Misc. Data &amp; Mechanisms'!$A$63:$DY$152,HLOOKUP('Personalized Bill Menu'!$B$21&amp;"_"&amp;'Personalized Bill Menu'!$B$22&amp;"_Elec_Y_1",'Misc. Data &amp; Mechanisms'!$A$55:$DY$62,8,FALSE), FALSE)), "")</f>
        <v>0.1111</v>
      </c>
      <c r="Y84" s="78" t="str">
        <f>IFERROR(IF(VLOOKUP($A84,'Misc. Data &amp; Mechanisms'!$A$63:$DY$152,HLOOKUP('Personalized Bill Menu'!$B$21&amp;"_"&amp;'Personalized Bill Menu'!$B$22&amp;"_Elec_Y_2",'Misc. Data &amp; Mechanisms'!$A$55:$DY$62,8,FALSE), FALSE)="", "", VLOOKUP($A84,'Misc. Data &amp; Mechanisms'!$A$63:$DY$152,HLOOKUP('Personalized Bill Menu'!$B$21&amp;"_"&amp;'Personalized Bill Menu'!$B$22&amp;"_Elec_Y_2",'Misc. Data &amp; Mechanisms'!$A$55:$DY$62,8,FALSE), FALSE)), "")</f>
        <v/>
      </c>
      <c r="Z84" s="72">
        <f ca="1">IF($A84="", "",IFERROR(IF(OR('Personalized Bill Menu'!$B$22="FORTIS", 'Personalized Bill Menu'!$B$22="ATCO"), $X84*($H84+$I84), IF('Personalized Bill Menu'!$B$22="ENMAX",$X84*($H84+$I84+$K84),($X84/100)*$C84)), 0))</f>
        <v>4.4844055784033747</v>
      </c>
      <c r="AA84" s="70">
        <f>IF($A84="", "", IFERROR(IF(OR('Personalized Bill Menu'!$B$22="FORTIS", 'Personalized Bill Menu'!$B$22="ATCO"), $Y84*($H84+$I84), IF('Personalized Bill Menu'!$B$22="ENMAX",$X84*$G84,"")), 0))</f>
        <v>2.7068846811112475</v>
      </c>
      <c r="AB84" s="89">
        <f ca="1">IF($A84="", "",IFERROR(IF(VLOOKUP($A84, INDIRECT("'" &amp; 'Personalized Bill Menu'!$B$22 &amp; "'!" &amp;"$A$4:$CA$100"), VLOOKUP(VLOOKUP("RIDER RATE 1",'Misc. Data &amp; Mechanisms'!$E$601:$I$631,HLOOKUP('Personalized Bill Menu'!$B$22, 'Misc. Data &amp; Mechanisms'!$E$599:$I$600, 2, FALSE), FALSE), 'Misc. Data &amp; Mechanisms'!$A$599:$C$659, 2, FALSE), FALSE) = "", "", VLOOKUP($A84, INDIRECT("'" &amp; 'Personalized Bill Menu'!$B$22 &amp; "'!" &amp;"$A$4:$CA$100"), VLOOKUP(VLOOKUP("RIDER RATE 1",'Misc. Data &amp; Mechanisms'!$E$601:$I$631,HLOOKUP('Personalized Bill Menu'!$B$22, 'Misc. Data &amp; Mechanisms'!$E$599:$I$600, 2, FALSE), FALSE), 'Misc. Data &amp; Mechanisms'!$A$599:$C$659, 2, FALSE), FALSE)), ""))</f>
        <v>0.31819999999999998</v>
      </c>
      <c r="AC84" s="69">
        <f ca="1">IF($A84="", "",IFERROR(IF(VLOOKUP($A84, INDIRECT("'" &amp; 'Personalized Bill Menu'!$B$22 &amp; "'!" &amp;"$A$4:$CA$100"), VLOOKUP(VLOOKUP("RIDER RATE 2",'Misc. Data &amp; Mechanisms'!$E$601:$I$631,HLOOKUP('Personalized Bill Menu'!$B$22, 'Misc. Data &amp; Mechanisms'!$E$599:$I$600, 2, FALSE), FALSE), 'Misc. Data &amp; Mechanisms'!$A$599:$C$659, 2, FALSE), FALSE) = "", "", VLOOKUP($A84, INDIRECT("'" &amp; 'Personalized Bill Menu'!$B$22 &amp; "'!" &amp;"$A$4:$CA$100"), VLOOKUP(VLOOKUP("RIDER RATE 2",'Misc. Data &amp; Mechanisms'!$E$601:$I$631,HLOOKUP('Personalized Bill Menu'!$B$22, 'Misc. Data &amp; Mechanisms'!$E$599:$I$600, 2, FALSE), FALSE), 'Misc. Data &amp; Mechanisms'!$A$599:$C$659, 2, FALSE), FALSE)), ""))</f>
        <v>1.431</v>
      </c>
      <c r="AD84" s="69">
        <f ca="1">IF($A84="", "",IFERROR(IF(VLOOKUP($A84, INDIRECT("'" &amp; 'Personalized Bill Menu'!$B$22 &amp; "'!" &amp;"$A$4:$CA$100"), VLOOKUP(VLOOKUP("RIDER RATE 3",'Misc. Data &amp; Mechanisms'!$E$601:$I$631,HLOOKUP('Personalized Bill Menu'!$B$22, 'Misc. Data &amp; Mechanisms'!$E$599:$I$600, 2, FALSE), FALSE), 'Misc. Data &amp; Mechanisms'!$A$599:$C$659, 2, FALSE), FALSE) = "", "", VLOOKUP($A84, INDIRECT("'" &amp; 'Personalized Bill Menu'!$B$22 &amp; "'!" &amp;"$A$4:$CA$100"), VLOOKUP(VLOOKUP("RIDER RATE 3",'Misc. Data &amp; Mechanisms'!$E$601:$I$631,HLOOKUP('Personalized Bill Menu'!$B$22, 'Misc. Data &amp; Mechanisms'!$E$599:$I$600, 2, FALSE), FALSE), 'Misc. Data &amp; Mechanisms'!$A$599:$C$659, 2, FALSE), FALSE)), ""))</f>
        <v>0.1166</v>
      </c>
      <c r="AE84" s="69" t="str">
        <f ca="1">IF($A84="", "",IFERROR(IF(VLOOKUP($A84, INDIRECT("'" &amp; 'Personalized Bill Menu'!$B$22 &amp; "'!" &amp;"$A$4:$CA$100"), VLOOKUP(VLOOKUP("RIDER RATE 4",'Misc. Data &amp; Mechanisms'!$E$601:$I$631,HLOOKUP('Personalized Bill Menu'!$B$22, 'Misc. Data &amp; Mechanisms'!$E$599:$I$600, 2, FALSE), FALSE), 'Misc. Data &amp; Mechanisms'!$A$599:$C$659, 2, FALSE), FALSE) = "", "", VLOOKUP($A84, INDIRECT("'" &amp; 'Personalized Bill Menu'!$B$22 &amp; "'!" &amp;"$A$4:$CA$100"), VLOOKUP(VLOOKUP("RIDER RATE 4",'Misc. Data &amp; Mechanisms'!$E$601:$I$631,HLOOKUP('Personalized Bill Menu'!$B$22, 'Misc. Data &amp; Mechanisms'!$E$599:$I$600, 2, FALSE), FALSE), 'Misc. Data &amp; Mechanisms'!$A$599:$C$659, 2, FALSE), FALSE)), ""))</f>
        <v/>
      </c>
      <c r="AF84" s="90" t="str">
        <f ca="1">IF($A84="", "",IFERROR(IF(VLOOKUP($A84, INDIRECT("'" &amp; 'Personalized Bill Menu'!$B$22 &amp; "'!" &amp;"$A$4:$CA$100"), VLOOKUP(VLOOKUP("RIDER RATE 5",'Misc. Data &amp; Mechanisms'!$E$601:$I$631,HLOOKUP('Personalized Bill Menu'!$B$22, 'Misc. Data &amp; Mechanisms'!$E$599:$I$600, 2, FALSE), FALSE), 'Misc. Data &amp; Mechanisms'!$A$599:$C$659, 2, FALSE), FALSE) = "", "", VLOOKUP($A84, INDIRECT("'" &amp; 'Personalized Bill Menu'!$B$22 &amp; "'!" &amp;"$A$4:$CA$100"), VLOOKUP(VLOOKUP("RIDER RATE 5",'Misc. Data &amp; Mechanisms'!$E$601:$I$631,HLOOKUP('Personalized Bill Menu'!$B$22, 'Misc. Data &amp; Mechanisms'!$E$599:$I$600, 2, FALSE), FALSE), 'Misc. Data &amp; Mechanisms'!$A$599:$C$659, 2, FALSE), FALSE)), ""))</f>
        <v/>
      </c>
      <c r="AG84" s="90" t="str">
        <f ca="1">IF($A84="", "",IFERROR(IF(VLOOKUP($A84, INDIRECT("'" &amp; 'Personalized Bill Menu'!$B$22 &amp; "'!" &amp;"$A$4:$CA$100"), VLOOKUP(VLOOKUP("RIDER RATE 6",'Misc. Data &amp; Mechanisms'!$E$601:$I$631,HLOOKUP('Personalized Bill Menu'!$B$22, 'Misc. Data &amp; Mechanisms'!$E$599:$I$600, 2, FALSE), FALSE), 'Misc. Data &amp; Mechanisms'!$A$599:$C$659, 2, FALSE), FALSE) = "", "", VLOOKUP($A84, INDIRECT("'" &amp; 'Personalized Bill Menu'!$B$22 &amp; "'!" &amp;"$A$4:$CA$100"), VLOOKUP(VLOOKUP("RIDER RATE 6",'Misc. Data &amp; Mechanisms'!$E$601:$I$631,HLOOKUP('Personalized Bill Menu'!$B$22, 'Misc. Data &amp; Mechanisms'!$E$599:$I$600, 2, FALSE), FALSE), 'Misc. Data &amp; Mechanisms'!$A$599:$C$659, 2, FALSE), FALSE)), ""))</f>
        <v/>
      </c>
      <c r="AH84" s="90" t="str">
        <f ca="1">IF($A84="", "",IFERROR(IF(VLOOKUP($A84, INDIRECT("'" &amp; 'Personalized Bill Menu'!$B$22 &amp; "'!" &amp;"$A$4:$CA$100"), VLOOKUP(VLOOKUP("RIDER RATE 7",'Misc. Data &amp; Mechanisms'!$E$601:$I$631,HLOOKUP('Personalized Bill Menu'!$B$22, 'Misc. Data &amp; Mechanisms'!$E$599:$I$600, 2, FALSE), FALSE), 'Misc. Data &amp; Mechanisms'!$A$599:$C$659, 2, FALSE), FALSE) = "", "", VLOOKUP($A84, INDIRECT("'" &amp; 'Personalized Bill Menu'!$B$22 &amp; "'!" &amp;"$A$4:$CA$100"), VLOOKUP(VLOOKUP("RIDER RATE 7",'Misc. Data &amp; Mechanisms'!$E$601:$I$631,HLOOKUP('Personalized Bill Menu'!$B$22, 'Misc. Data &amp; Mechanisms'!$E$599:$I$600, 2, FALSE), FALSE), 'Misc. Data &amp; Mechanisms'!$A$599:$C$659, 2, FALSE), FALSE)), ""))</f>
        <v/>
      </c>
      <c r="AI84" s="72">
        <f t="shared" ca="1" si="32"/>
        <v>1.5315589934667884</v>
      </c>
      <c r="AJ84" s="72">
        <f t="shared" ca="1" si="33"/>
        <v>6.887683594126254</v>
      </c>
      <c r="AK84" s="72">
        <f ca="1">IF($A84="", "", IFERROR(IF($AD$6="%",IF('Personalized Bill Menu'!$B$22="ENMAX", $AD84*$I84, IF(AND($AD84="", 'Personalized Bill Menu'!$B$22="FORTIS"),($AE84/100)*$C84,$AD84*$H84)),($AD84/100)*$C84), 0))</f>
        <v>2.3575338389876341</v>
      </c>
      <c r="AL84" s="72">
        <f ca="1">IF($A84="", "", IFERROR(IF('Personalized Bill Menu'!$B$22="ENMAX",$AE84*$B84,IF($AE$6="%",$AE84*($H84+$I84+$J84), IF('Personalized Bill Menu'!$B$22="FORTIS",$AF84*$I84,($AE84/100)*$C84))), 0))</f>
        <v>0</v>
      </c>
      <c r="AM84" s="72" t="str">
        <f>IF($A84="", "", IFERROR(IF('Personalized Bill Menu'!$B$22="EPCOR",($AF84/100)*$C84, IF('Personalized Bill Menu'!$B$22="ATCO",$AF84*1,"")), 0))</f>
        <v/>
      </c>
      <c r="AN84" s="72" t="str">
        <f>IF($A84="", "", IFERROR(IF('Personalized Bill Menu'!$B$22="ATCO",$AG84*$B84,""), 0))</f>
        <v/>
      </c>
      <c r="AO84" s="70" t="str">
        <f>IF($A84="", "", IFERROR(IF('Personalized Bill Menu'!$B$22="ATCO",$AH84*$B84,""), 0))</f>
        <v/>
      </c>
      <c r="AP84" s="81">
        <f>IF('Personalized Bill Menu'!$B$34&lt;&gt;"Natural Gas", 'Personalized Bill Menu'!$K81, "")</f>
        <v>0.2064</v>
      </c>
      <c r="AQ84" s="70">
        <f t="shared" si="34"/>
        <v>6.1920000000000002</v>
      </c>
      <c r="AR84" s="91">
        <f ca="1">IF($A84="", "",IF(VLOOKUP($A84, INDIRECT("'" &amp; 'Personalized Bill Menu'!$B$22 &amp; "'!" &amp;"$A$4:$CA$100"), VLOOKUP(VLOOKUP(AR$5,'Misc. Data &amp; Mechanisms'!$E$601:$I$631,HLOOKUP('Personalized Bill Menu'!$B$22, 'Misc. Data &amp; Mechanisms'!$E$599:$I$600, 2, FALSE), FALSE), 'Misc. Data &amp; Mechanisms'!$A$599:$C$659, 2, FALSE), FALSE) = "", "", VLOOKUP($A84, INDIRECT("'" &amp; 'Personalized Bill Menu'!$B$22 &amp; "'!" &amp;"$A$4:$CA$100"), VLOOKUP(VLOOKUP(AR$5,'Misc. Data &amp; Mechanisms'!$E$601:$I$631,HLOOKUP('Personalized Bill Menu'!$B$22, 'Misc. Data &amp; Mechanisms'!$E$599:$I$600, 2, FALSE), FALSE), 'Misc. Data &amp; Mechanisms'!$A$599:$C$659, 2, FALSE), FALSE)))</f>
        <v>0.05</v>
      </c>
    </row>
    <row r="85" spans="1:44" x14ac:dyDescent="0.35">
      <c r="A85" s="83">
        <f>'Personalized Bill Menu'!$H82</f>
        <v>43282</v>
      </c>
      <c r="B85" s="84">
        <f t="shared" si="19"/>
        <v>31</v>
      </c>
      <c r="C85" s="85">
        <f>IF('Personalized Bill Menu'!$B$34&lt;&gt;"Natural Gas", 'Personalized Bill Menu'!$I82, "")</f>
        <v>515.53500390451472</v>
      </c>
      <c r="D85" s="66">
        <f t="shared" ca="1" si="35"/>
        <v>18.577309149679092</v>
      </c>
      <c r="E85" s="66">
        <f ca="1">IFERROR((1+$AR85)*(IF('Personalized Bill Menu'!$B$22="ENMAX", ((1+IFERROR($X85, 0))*($N85+$P85+$R85+$AB85+$AC85))+((1+IF($X85="", 0,$X85))*(IF($AD85="", 0,$AD85)*$R85)), IF('Personalized Bill Menu'!$B$22="EPCOR", ($N85+$P85+$R85+$X85+SUM($AB85:$AE85)), IF('Personalized Bill Menu'!$B$22="ATCO",($N85+((1+IF($AE85="", 0,$AE85))*(1+$X85+$Y85)*($P85+$R85))+SUM($AB85:$AD85)),IF($AD85="",$N85+((1+$X85+$Y85)*($P85+$R85))+$AB85+$AE85+(IF($AC85="", 0, $AC85)*$P85)+($R85*IF($AF85="", 0, $AF85)),$N85+((1+$X85+$Y85)*($P85+$R85))+$AB85+($AD85*$P85)+(IF($AC85="", 0, $AC85)*$P85)+($R85*IF($AF85="", 0, $AF85))))))), "")</f>
        <v>13.663602845938501</v>
      </c>
      <c r="F85" s="1469">
        <f t="shared" ca="1" si="20"/>
        <v>95.772531450151874</v>
      </c>
      <c r="G85" s="66">
        <f t="shared" si="18"/>
        <v>35.056380265507002</v>
      </c>
      <c r="H85" s="66">
        <f t="shared" ca="1" si="21"/>
        <v>10.03385778099357</v>
      </c>
      <c r="I85" s="66">
        <f t="shared" ca="1" si="22"/>
        <v>21.087205191739262</v>
      </c>
      <c r="J85" s="66">
        <f t="shared" ca="1" si="23"/>
        <v>8.4805901419973111</v>
      </c>
      <c r="K85" s="66">
        <f t="shared" ca="1" si="24"/>
        <v>10.155501334193213</v>
      </c>
      <c r="L85" s="66">
        <f t="shared" si="25"/>
        <v>6.3983999999999996</v>
      </c>
      <c r="M85" s="68">
        <f t="shared" ca="1" si="26"/>
        <v>4.5605967357215178</v>
      </c>
      <c r="N85" s="1290">
        <f>IF('Personalized Bill Menu'!$B$34&lt;&gt;"Natural Gas", 'Personalized Bill Menu'!$J82, "")</f>
        <v>6.8</v>
      </c>
      <c r="O85" s="70">
        <f t="shared" si="27"/>
        <v>35.056380265507002</v>
      </c>
      <c r="P85" s="71">
        <f ca="1">IF($A85="", "",IFERROR(IF(VLOOKUP($A85, INDIRECT("'" &amp; 'Personalized Bill Menu'!$B$22 &amp; "'!" &amp;"$A$4:$CA$100"), VLOOKUP(VLOOKUP(P$5,'Misc. Data &amp; Mechanisms'!$E$601:$I$631,HLOOKUP('Personalized Bill Menu'!$B$22, 'Misc. Data &amp; Mechanisms'!$E$599:$I$600, 2, FALSE), FALSE), 'Misc. Data &amp; Mechanisms'!$A$599:$C$659, 2, FALSE), FALSE) = "", "", VLOOKUP($A85, INDIRECT("'" &amp; 'Personalized Bill Menu'!$B$22 &amp; "'!" &amp;"$A$4:$CA$100"), VLOOKUP(VLOOKUP(P$5,'Misc. Data &amp; Mechanisms'!$E$601:$I$631,HLOOKUP('Personalized Bill Menu'!$B$22, 'Misc. Data &amp; Mechanisms'!$E$599:$I$600, 2, FALSE), FALSE), 'Misc. Data &amp; Mechanisms'!$A$599:$C$659, 2, FALSE), FALSE)), ""))</f>
        <v>1.9462999999999999</v>
      </c>
      <c r="Q85" s="70">
        <f t="shared" ca="1" si="28"/>
        <v>10.03385778099357</v>
      </c>
      <c r="R85" s="87">
        <f ca="1">IF($A85="", "",IFERROR(IF(VLOOKUP($A85, INDIRECT("'" &amp; 'Personalized Bill Menu'!$B$22 &amp; "'!" &amp;"$A$4:$CA$100"), VLOOKUP(VLOOKUP(R$5,'Misc. Data &amp; Mechanisms'!$E$601:$I$631,HLOOKUP('Personalized Bill Menu'!$B$22, 'Misc. Data &amp; Mechanisms'!$E$599:$I$600, 2, FALSE), FALSE), 'Misc. Data &amp; Mechanisms'!$A$599:$C$659, 2, FALSE), FALSE) = "", "", VLOOKUP($A85, INDIRECT("'" &amp; 'Personalized Bill Menu'!$B$22 &amp; "'!" &amp;"$A$4:$CA$100"), VLOOKUP(VLOOKUP(R$5,'Misc. Data &amp; Mechanisms'!$E$601:$I$631,HLOOKUP('Personalized Bill Menu'!$B$22, 'Misc. Data &amp; Mechanisms'!$E$599:$I$600, 2, FALSE), FALSE), 'Misc. Data &amp; Mechanisms'!$A$599:$C$659, 2, FALSE), FALSE)), ""))</f>
        <v>1.069</v>
      </c>
      <c r="S85" s="88">
        <f ca="1">IF($A85="", "",IFERROR(IF(VLOOKUP($A85, INDIRECT("'" &amp; 'Personalized Bill Menu'!$B$22 &amp; "'!" &amp;"$A$4:$CA$100"), VLOOKUP(VLOOKUP(S$5,'Misc. Data &amp; Mechanisms'!$E$601:$I$631,HLOOKUP('Personalized Bill Menu'!$B$22, 'Misc. Data &amp; Mechanisms'!$E$599:$I$600, 2, FALSE), FALSE), 'Misc. Data &amp; Mechanisms'!$A$599:$C$659, 2, FALSE), FALSE) = "", "", VLOOKUP($A85, INDIRECT("'" &amp; 'Personalized Bill Menu'!$B$22 &amp; "'!" &amp;"$A$4:$CA$100"), VLOOKUP(VLOOKUP(S$5,'Misc. Data &amp; Mechanisms'!$E$601:$I$631,HLOOKUP('Personalized Bill Menu'!$B$22, 'Misc. Data &amp; Mechanisms'!$E$599:$I$600, 2, FALSE), FALSE), 'Misc. Data &amp; Mechanisms'!$A$599:$C$659, 2, FALSE), FALSE)), ""))</f>
        <v>0.50245600000000001</v>
      </c>
      <c r="T85" s="81" t="str">
        <f ca="1">IF($A85="", "",IFERROR(IF(VLOOKUP($A85, INDIRECT("'" &amp; 'Personalized Bill Menu'!$B$22 &amp; "'!" &amp;"$A$4:$CA$100"), VLOOKUP(VLOOKUP(T$5,'Misc. Data &amp; Mechanisms'!$E$601:$I$631,HLOOKUP('Personalized Bill Menu'!$B$22, 'Misc. Data &amp; Mechanisms'!$E$599:$I$600, 2, FALSE), FALSE), 'Misc. Data &amp; Mechanisms'!$A$599:$C$659, 2, FALSE), FALSE) = "", "", VLOOKUP($A85, INDIRECT("'" &amp; 'Personalized Bill Menu'!$B$22 &amp; "'!" &amp;"$A$4:$CA$100"), VLOOKUP(VLOOKUP(T$5,'Misc. Data &amp; Mechanisms'!$E$601:$I$631,HLOOKUP('Personalized Bill Menu'!$B$22, 'Misc. Data &amp; Mechanisms'!$E$599:$I$600, 2, FALSE), FALSE), 'Misc. Data &amp; Mechanisms'!$A$599:$C$659, 2, FALSE), FALSE)), ""))</f>
        <v/>
      </c>
      <c r="U85" s="72">
        <f t="shared" ca="1" si="29"/>
        <v>5.5110691917392627</v>
      </c>
      <c r="V85" s="72">
        <f t="shared" ca="1" si="30"/>
        <v>15.576136</v>
      </c>
      <c r="W85" s="70" t="str">
        <f t="shared" si="31"/>
        <v/>
      </c>
      <c r="X85" s="78">
        <f>IFERROR(IF(VLOOKUP($A85,'Misc. Data &amp; Mechanisms'!$A$63:$DY$152,HLOOKUP('Personalized Bill Menu'!$B$21&amp;"_"&amp;'Personalized Bill Menu'!$B$22&amp;"_Elec_Y_1",'Misc. Data &amp; Mechanisms'!$A$55:$DY$62,8,FALSE), FALSE)="", "", VLOOKUP($A85,'Misc. Data &amp; Mechanisms'!$A$63:$DY$152,HLOOKUP('Personalized Bill Menu'!$B$21&amp;"_"&amp;'Personalized Bill Menu'!$B$22&amp;"_Elec_Y_1",'Misc. Data &amp; Mechanisms'!$A$55:$DY$62,8,FALSE), FALSE)), "")</f>
        <v>0.1111</v>
      </c>
      <c r="Y85" s="78" t="str">
        <f>IFERROR(IF(VLOOKUP($A85,'Misc. Data &amp; Mechanisms'!$A$63:$DY$152,HLOOKUP('Personalized Bill Menu'!$B$21&amp;"_"&amp;'Personalized Bill Menu'!$B$22&amp;"_Elec_Y_2",'Misc. Data &amp; Mechanisms'!$A$55:$DY$62,8,FALSE), FALSE)="", "", VLOOKUP($A85,'Misc. Data &amp; Mechanisms'!$A$63:$DY$152,HLOOKUP('Personalized Bill Menu'!$B$21&amp;"_"&amp;'Personalized Bill Menu'!$B$22&amp;"_Elec_Y_2",'Misc. Data &amp; Mechanisms'!$A$55:$DY$62,8,FALSE), FALSE)), "")</f>
        <v/>
      </c>
      <c r="Z85" s="72">
        <f ca="1">IF($A85="", "",IFERROR(IF(OR('Personalized Bill Menu'!$B$22="FORTIS", 'Personalized Bill Menu'!$B$22="ATCO"), $X85*($H85+$I85), IF('Personalized Bill Menu'!$B$22="ENMAX",$X85*($H85+$I85+$K85),($X85/100)*$C85)), 0))</f>
        <v>4.5858262944994834</v>
      </c>
      <c r="AA85" s="70">
        <f>IF($A85="", "", IFERROR(IF(OR('Personalized Bill Menu'!$B$22="FORTIS", 'Personalized Bill Menu'!$B$22="ATCO"), $Y85*($H85+$I85), IF('Personalized Bill Menu'!$B$22="ENMAX",$X85*$G85,"")), 0))</f>
        <v>3.8947638474978281</v>
      </c>
      <c r="AB85" s="89">
        <f ca="1">IF($A85="", "",IFERROR(IF(VLOOKUP($A85, INDIRECT("'" &amp; 'Personalized Bill Menu'!$B$22 &amp; "'!" &amp;"$A$4:$CA$100"), VLOOKUP(VLOOKUP("RIDER RATE 1",'Misc. Data &amp; Mechanisms'!$E$601:$I$631,HLOOKUP('Personalized Bill Menu'!$B$22, 'Misc. Data &amp; Mechanisms'!$E$599:$I$600, 2, FALSE), FALSE), 'Misc. Data &amp; Mechanisms'!$A$599:$C$659, 2, FALSE), FALSE) = "", "", VLOOKUP($A85, INDIRECT("'" &amp; 'Personalized Bill Menu'!$B$22 &amp; "'!" &amp;"$A$4:$CA$100"), VLOOKUP(VLOOKUP("RIDER RATE 1",'Misc. Data &amp; Mechanisms'!$E$601:$I$631,HLOOKUP('Personalized Bill Menu'!$B$22, 'Misc. Data &amp; Mechanisms'!$E$599:$I$600, 2, FALSE), FALSE), 'Misc. Data &amp; Mechanisms'!$A$599:$C$659, 2, FALSE), FALSE)), ""))</f>
        <v>0.31819999999999998</v>
      </c>
      <c r="AC85" s="69">
        <f ca="1">IF($A85="", "",IFERROR(IF(VLOOKUP($A85, INDIRECT("'" &amp; 'Personalized Bill Menu'!$B$22 &amp; "'!" &amp;"$A$4:$CA$100"), VLOOKUP(VLOOKUP("RIDER RATE 2",'Misc. Data &amp; Mechanisms'!$E$601:$I$631,HLOOKUP('Personalized Bill Menu'!$B$22, 'Misc. Data &amp; Mechanisms'!$E$599:$I$600, 2, FALSE), FALSE), 'Misc. Data &amp; Mechanisms'!$A$599:$C$659, 2, FALSE), FALSE) = "", "", VLOOKUP($A85, INDIRECT("'" &amp; 'Personalized Bill Menu'!$B$22 &amp; "'!" &amp;"$A$4:$CA$100"), VLOOKUP(VLOOKUP("RIDER RATE 2",'Misc. Data &amp; Mechanisms'!$E$601:$I$631,HLOOKUP('Personalized Bill Menu'!$B$22, 'Misc. Data &amp; Mechanisms'!$E$599:$I$600, 2, FALSE), FALSE), 'Misc. Data &amp; Mechanisms'!$A$599:$C$659, 2, FALSE), FALSE)), ""))</f>
        <v>1.5523</v>
      </c>
      <c r="AD85" s="69">
        <f ca="1">IF($A85="", "",IFERROR(IF(VLOOKUP($A85, INDIRECT("'" &amp; 'Personalized Bill Menu'!$B$22 &amp; "'!" &amp;"$A$4:$CA$100"), VLOOKUP(VLOOKUP("RIDER RATE 3",'Misc. Data &amp; Mechanisms'!$E$601:$I$631,HLOOKUP('Personalized Bill Menu'!$B$22, 'Misc. Data &amp; Mechanisms'!$E$599:$I$600, 2, FALSE), FALSE), 'Misc. Data &amp; Mechanisms'!$A$599:$C$659, 2, FALSE), FALSE) = "", "", VLOOKUP($A85, INDIRECT("'" &amp; 'Personalized Bill Menu'!$B$22 &amp; "'!" &amp;"$A$4:$CA$100"), VLOOKUP(VLOOKUP("RIDER RATE 3",'Misc. Data &amp; Mechanisms'!$E$601:$I$631,HLOOKUP('Personalized Bill Menu'!$B$22, 'Misc. Data &amp; Mechanisms'!$E$599:$I$600, 2, FALSE), FALSE), 'Misc. Data &amp; Mechanisms'!$A$599:$C$659, 2, FALSE), FALSE)), ""))</f>
        <v>2.4299999999999999E-2</v>
      </c>
      <c r="AE85" s="69" t="str">
        <f ca="1">IF($A85="", "",IFERROR(IF(VLOOKUP($A85, INDIRECT("'" &amp; 'Personalized Bill Menu'!$B$22 &amp; "'!" &amp;"$A$4:$CA$100"), VLOOKUP(VLOOKUP("RIDER RATE 4",'Misc. Data &amp; Mechanisms'!$E$601:$I$631,HLOOKUP('Personalized Bill Menu'!$B$22, 'Misc. Data &amp; Mechanisms'!$E$599:$I$600, 2, FALSE), FALSE), 'Misc. Data &amp; Mechanisms'!$A$599:$C$659, 2, FALSE), FALSE) = "", "", VLOOKUP($A85, INDIRECT("'" &amp; 'Personalized Bill Menu'!$B$22 &amp; "'!" &amp;"$A$4:$CA$100"), VLOOKUP(VLOOKUP("RIDER RATE 4",'Misc. Data &amp; Mechanisms'!$E$601:$I$631,HLOOKUP('Personalized Bill Menu'!$B$22, 'Misc. Data &amp; Mechanisms'!$E$599:$I$600, 2, FALSE), FALSE), 'Misc. Data &amp; Mechanisms'!$A$599:$C$659, 2, FALSE), FALSE)), ""))</f>
        <v/>
      </c>
      <c r="AF85" s="90" t="str">
        <f ca="1">IF($A85="", "",IFERROR(IF(VLOOKUP($A85, INDIRECT("'" &amp; 'Personalized Bill Menu'!$B$22 &amp; "'!" &amp;"$A$4:$CA$100"), VLOOKUP(VLOOKUP("RIDER RATE 5",'Misc. Data &amp; Mechanisms'!$E$601:$I$631,HLOOKUP('Personalized Bill Menu'!$B$22, 'Misc. Data &amp; Mechanisms'!$E$599:$I$600, 2, FALSE), FALSE), 'Misc. Data &amp; Mechanisms'!$A$599:$C$659, 2, FALSE), FALSE) = "", "", VLOOKUP($A85, INDIRECT("'" &amp; 'Personalized Bill Menu'!$B$22 &amp; "'!" &amp;"$A$4:$CA$100"), VLOOKUP(VLOOKUP("RIDER RATE 5",'Misc. Data &amp; Mechanisms'!$E$601:$I$631,HLOOKUP('Personalized Bill Menu'!$B$22, 'Misc. Data &amp; Mechanisms'!$E$599:$I$600, 2, FALSE), FALSE), 'Misc. Data &amp; Mechanisms'!$A$599:$C$659, 2, FALSE), FALSE)), ""))</f>
        <v/>
      </c>
      <c r="AG85" s="90" t="str">
        <f ca="1">IF($A85="", "",IFERROR(IF(VLOOKUP($A85, INDIRECT("'" &amp; 'Personalized Bill Menu'!$B$22 &amp; "'!" &amp;"$A$4:$CA$100"), VLOOKUP(VLOOKUP("RIDER RATE 6",'Misc. Data &amp; Mechanisms'!$E$601:$I$631,HLOOKUP('Personalized Bill Menu'!$B$22, 'Misc. Data &amp; Mechanisms'!$E$599:$I$600, 2, FALSE), FALSE), 'Misc. Data &amp; Mechanisms'!$A$599:$C$659, 2, FALSE), FALSE) = "", "", VLOOKUP($A85, INDIRECT("'" &amp; 'Personalized Bill Menu'!$B$22 &amp; "'!" &amp;"$A$4:$CA$100"), VLOOKUP(VLOOKUP("RIDER RATE 6",'Misc. Data &amp; Mechanisms'!$E$601:$I$631,HLOOKUP('Personalized Bill Menu'!$B$22, 'Misc. Data &amp; Mechanisms'!$E$599:$I$600, 2, FALSE), FALSE), 'Misc. Data &amp; Mechanisms'!$A$599:$C$659, 2, FALSE), FALSE)), ""))</f>
        <v/>
      </c>
      <c r="AH85" s="90" t="str">
        <f ca="1">IF($A85="", "",IFERROR(IF(VLOOKUP($A85, INDIRECT("'" &amp; 'Personalized Bill Menu'!$B$22 &amp; "'!" &amp;"$A$4:$CA$100"), VLOOKUP(VLOOKUP("RIDER RATE 7",'Misc. Data &amp; Mechanisms'!$E$601:$I$631,HLOOKUP('Personalized Bill Menu'!$B$22, 'Misc. Data &amp; Mechanisms'!$E$599:$I$600, 2, FALSE), FALSE), 'Misc. Data &amp; Mechanisms'!$A$599:$C$659, 2, FALSE), FALSE) = "", "", VLOOKUP($A85, INDIRECT("'" &amp; 'Personalized Bill Menu'!$B$22 &amp; "'!" &amp;"$A$4:$CA$100"), VLOOKUP(VLOOKUP("RIDER RATE 7",'Misc. Data &amp; Mechanisms'!$E$601:$I$631,HLOOKUP('Personalized Bill Menu'!$B$22, 'Misc. Data &amp; Mechanisms'!$E$599:$I$600, 2, FALSE), FALSE), 'Misc. Data &amp; Mechanisms'!$A$599:$C$659, 2, FALSE), FALSE)), ""))</f>
        <v/>
      </c>
      <c r="AI85" s="72">
        <f t="shared" ca="1" si="32"/>
        <v>1.6404323824241658</v>
      </c>
      <c r="AJ85" s="72">
        <f t="shared" ca="1" si="33"/>
        <v>8.0026498656097829</v>
      </c>
      <c r="AK85" s="72">
        <f ca="1">IF($A85="", "", IFERROR(IF($AD$6="%",IF('Personalized Bill Menu'!$B$22="ENMAX", $AD85*$I85, IF(AND($AD85="", 'Personalized Bill Menu'!$B$22="FORTIS"),($AE85/100)*$C85,$AD85*$H85)),($AD85/100)*$C85), 0))</f>
        <v>0.51241908615926401</v>
      </c>
      <c r="AL85" s="72">
        <f ca="1">IF($A85="", "", IFERROR(IF('Personalized Bill Menu'!$B$22="ENMAX",$AE85*$B85,IF($AE$6="%",$AE85*($H85+$I85+$J85), IF('Personalized Bill Menu'!$B$22="FORTIS",$AF85*$I85,($AE85/100)*$C85))), 0))</f>
        <v>0</v>
      </c>
      <c r="AM85" s="72" t="str">
        <f>IF($A85="", "", IFERROR(IF('Personalized Bill Menu'!$B$22="EPCOR",($AF85/100)*$C85, IF('Personalized Bill Menu'!$B$22="ATCO",$AF85*1,"")), 0))</f>
        <v/>
      </c>
      <c r="AN85" s="72" t="str">
        <f>IF($A85="", "", IFERROR(IF('Personalized Bill Menu'!$B$22="ATCO",$AG85*$B85,""), 0))</f>
        <v/>
      </c>
      <c r="AO85" s="70" t="str">
        <f>IF($A85="", "", IFERROR(IF('Personalized Bill Menu'!$B$22="ATCO",$AH85*$B85,""), 0))</f>
        <v/>
      </c>
      <c r="AP85" s="81">
        <f>IF('Personalized Bill Menu'!$B$34&lt;&gt;"Natural Gas", 'Personalized Bill Menu'!$K82, "")</f>
        <v>0.2064</v>
      </c>
      <c r="AQ85" s="70">
        <f t="shared" si="34"/>
        <v>6.3983999999999996</v>
      </c>
      <c r="AR85" s="91">
        <f ca="1">IF($A85="", "",IF(VLOOKUP($A85, INDIRECT("'" &amp; 'Personalized Bill Menu'!$B$22 &amp; "'!" &amp;"$A$4:$CA$100"), VLOOKUP(VLOOKUP(AR$5,'Misc. Data &amp; Mechanisms'!$E$601:$I$631,HLOOKUP('Personalized Bill Menu'!$B$22, 'Misc. Data &amp; Mechanisms'!$E$599:$I$600, 2, FALSE), FALSE), 'Misc. Data &amp; Mechanisms'!$A$599:$C$659, 2, FALSE), FALSE) = "", "", VLOOKUP($A85, INDIRECT("'" &amp; 'Personalized Bill Menu'!$B$22 &amp; "'!" &amp;"$A$4:$CA$100"), VLOOKUP(VLOOKUP(AR$5,'Misc. Data &amp; Mechanisms'!$E$601:$I$631,HLOOKUP('Personalized Bill Menu'!$B$22, 'Misc. Data &amp; Mechanisms'!$E$599:$I$600, 2, FALSE), FALSE), 'Misc. Data &amp; Mechanisms'!$A$599:$C$659, 2, FALSE), FALSE)))</f>
        <v>0.05</v>
      </c>
    </row>
    <row r="86" spans="1:44" x14ac:dyDescent="0.35">
      <c r="A86" s="83">
        <f>'Personalized Bill Menu'!$H83</f>
        <v>43313</v>
      </c>
      <c r="B86" s="84">
        <f t="shared" si="19"/>
        <v>31</v>
      </c>
      <c r="C86" s="85">
        <f>IF('Personalized Bill Menu'!$B$34&lt;&gt;"Natural Gas", 'Personalized Bill Menu'!$I83, "")</f>
        <v>529.47012813338006</v>
      </c>
      <c r="D86" s="66">
        <f t="shared" ca="1" si="35"/>
        <v>18.447985314152842</v>
      </c>
      <c r="E86" s="66">
        <f ca="1">IFERROR((1+$AR86)*(IF('Personalized Bill Menu'!$B$22="ENMAX", ((1+IFERROR($X86, 0))*($N86+$P86+$R86+$AB86+$AC86))+((1+IF($X86="", 0,$X86))*(IF($AD86="", 0,$AD86)*$R86)), IF('Personalized Bill Menu'!$B$22="EPCOR", ($N86+$P86+$R86+$X86+SUM($AB86:$AE86)), IF('Personalized Bill Menu'!$B$22="ATCO",($N86+((1+IF($AE86="", 0,$AE86))*(1+$X86+$Y86)*($P86+$R86))+SUM($AB86:$AD86)),IF($AD86="",$N86+((1+$X86+$Y86)*($P86+$R86))+$AB86+$AE86+(IF($AC86="", 0, $AC86)*$P86)+($R86*IF($AF86="", 0, $AF86)),$N86+((1+$X86+$Y86)*($P86+$R86))+$AB86+($AD86*$P86)+(IF($AC86="", 0, $AC86)*$P86)+($R86*IF($AF86="", 0, $AF86))))))), "")</f>
        <v>13.663602845938501</v>
      </c>
      <c r="F86" s="1469">
        <f t="shared" ca="1" si="20"/>
        <v>97.676571480872184</v>
      </c>
      <c r="G86" s="66">
        <f t="shared" si="18"/>
        <v>36.003968713069845</v>
      </c>
      <c r="H86" s="66">
        <f t="shared" ca="1" si="21"/>
        <v>10.305077103859976</v>
      </c>
      <c r="I86" s="66">
        <f t="shared" ca="1" si="22"/>
        <v>21.236171669745833</v>
      </c>
      <c r="J86" s="66">
        <f t="shared" ca="1" si="23"/>
        <v>8.6619109672738723</v>
      </c>
      <c r="K86" s="66">
        <f t="shared" ca="1" si="24"/>
        <v>10.4197777183097</v>
      </c>
      <c r="L86" s="66">
        <f t="shared" si="25"/>
        <v>6.3983999999999996</v>
      </c>
      <c r="M86" s="68">
        <f t="shared" ca="1" si="26"/>
        <v>4.6512653086129614</v>
      </c>
      <c r="N86" s="1290">
        <f>IF('Personalized Bill Menu'!$B$34&lt;&gt;"Natural Gas", 'Personalized Bill Menu'!$J83, "")</f>
        <v>6.8</v>
      </c>
      <c r="O86" s="70">
        <f t="shared" si="27"/>
        <v>36.003968713069845</v>
      </c>
      <c r="P86" s="71">
        <f ca="1">IF($A86="", "",IFERROR(IF(VLOOKUP($A86, INDIRECT("'" &amp; 'Personalized Bill Menu'!$B$22 &amp; "'!" &amp;"$A$4:$CA$100"), VLOOKUP(VLOOKUP(P$5,'Misc. Data &amp; Mechanisms'!$E$601:$I$631,HLOOKUP('Personalized Bill Menu'!$B$22, 'Misc. Data &amp; Mechanisms'!$E$599:$I$600, 2, FALSE), FALSE), 'Misc. Data &amp; Mechanisms'!$A$599:$C$659, 2, FALSE), FALSE) = "", "", VLOOKUP($A86, INDIRECT("'" &amp; 'Personalized Bill Menu'!$B$22 &amp; "'!" &amp;"$A$4:$CA$100"), VLOOKUP(VLOOKUP(P$5,'Misc. Data &amp; Mechanisms'!$E$601:$I$631,HLOOKUP('Personalized Bill Menu'!$B$22, 'Misc. Data &amp; Mechanisms'!$E$599:$I$600, 2, FALSE), FALSE), 'Misc. Data &amp; Mechanisms'!$A$599:$C$659, 2, FALSE), FALSE)), ""))</f>
        <v>1.9462999999999999</v>
      </c>
      <c r="Q86" s="70">
        <f t="shared" ca="1" si="28"/>
        <v>10.305077103859976</v>
      </c>
      <c r="R86" s="87">
        <f ca="1">IF($A86="", "",IFERROR(IF(VLOOKUP($A86, INDIRECT("'" &amp; 'Personalized Bill Menu'!$B$22 &amp; "'!" &amp;"$A$4:$CA$100"), VLOOKUP(VLOOKUP(R$5,'Misc. Data &amp; Mechanisms'!$E$601:$I$631,HLOOKUP('Personalized Bill Menu'!$B$22, 'Misc. Data &amp; Mechanisms'!$E$599:$I$600, 2, FALSE), FALSE), 'Misc. Data &amp; Mechanisms'!$A$599:$C$659, 2, FALSE), FALSE) = "", "", VLOOKUP($A86, INDIRECT("'" &amp; 'Personalized Bill Menu'!$B$22 &amp; "'!" &amp;"$A$4:$CA$100"), VLOOKUP(VLOOKUP(R$5,'Misc. Data &amp; Mechanisms'!$E$601:$I$631,HLOOKUP('Personalized Bill Menu'!$B$22, 'Misc. Data &amp; Mechanisms'!$E$599:$I$600, 2, FALSE), FALSE), 'Misc. Data &amp; Mechanisms'!$A$599:$C$659, 2, FALSE), FALSE)), ""))</f>
        <v>1.069</v>
      </c>
      <c r="S86" s="88">
        <f ca="1">IF($A86="", "",IFERROR(IF(VLOOKUP($A86, INDIRECT("'" &amp; 'Personalized Bill Menu'!$B$22 &amp; "'!" &amp;"$A$4:$CA$100"), VLOOKUP(VLOOKUP(S$5,'Misc. Data &amp; Mechanisms'!$E$601:$I$631,HLOOKUP('Personalized Bill Menu'!$B$22, 'Misc. Data &amp; Mechanisms'!$E$599:$I$600, 2, FALSE), FALSE), 'Misc. Data &amp; Mechanisms'!$A$599:$C$659, 2, FALSE), FALSE) = "", "", VLOOKUP($A86, INDIRECT("'" &amp; 'Personalized Bill Menu'!$B$22 &amp; "'!" &amp;"$A$4:$CA$100"), VLOOKUP(VLOOKUP(S$5,'Misc. Data &amp; Mechanisms'!$E$601:$I$631,HLOOKUP('Personalized Bill Menu'!$B$22, 'Misc. Data &amp; Mechanisms'!$E$599:$I$600, 2, FALSE), FALSE), 'Misc. Data &amp; Mechanisms'!$A$599:$C$659, 2, FALSE), FALSE)), ""))</f>
        <v>0.50245600000000001</v>
      </c>
      <c r="T86" s="81" t="str">
        <f ca="1">IF($A86="", "",IFERROR(IF(VLOOKUP($A86, INDIRECT("'" &amp; 'Personalized Bill Menu'!$B$22 &amp; "'!" &amp;"$A$4:$CA$100"), VLOOKUP(VLOOKUP(T$5,'Misc. Data &amp; Mechanisms'!$E$601:$I$631,HLOOKUP('Personalized Bill Menu'!$B$22, 'Misc. Data &amp; Mechanisms'!$E$599:$I$600, 2, FALSE), FALSE), 'Misc. Data &amp; Mechanisms'!$A$599:$C$659, 2, FALSE), FALSE) = "", "", VLOOKUP($A86, INDIRECT("'" &amp; 'Personalized Bill Menu'!$B$22 &amp; "'!" &amp;"$A$4:$CA$100"), VLOOKUP(VLOOKUP(T$5,'Misc. Data &amp; Mechanisms'!$E$601:$I$631,HLOOKUP('Personalized Bill Menu'!$B$22, 'Misc. Data &amp; Mechanisms'!$E$599:$I$600, 2, FALSE), FALSE), 'Misc. Data &amp; Mechanisms'!$A$599:$C$659, 2, FALSE), FALSE)), ""))</f>
        <v/>
      </c>
      <c r="U86" s="72">
        <f t="shared" ca="1" si="29"/>
        <v>5.6600356697458327</v>
      </c>
      <c r="V86" s="72">
        <f t="shared" ca="1" si="30"/>
        <v>15.576136</v>
      </c>
      <c r="W86" s="70" t="str">
        <f t="shared" si="31"/>
        <v/>
      </c>
      <c r="X86" s="78">
        <f>IFERROR(IF(VLOOKUP($A86,'Misc. Data &amp; Mechanisms'!$A$63:$DY$152,HLOOKUP('Personalized Bill Menu'!$B$21&amp;"_"&amp;'Personalized Bill Menu'!$B$22&amp;"_Elec_Y_1",'Misc. Data &amp; Mechanisms'!$A$55:$DY$62,8,FALSE), FALSE)="", "", VLOOKUP($A86,'Misc. Data &amp; Mechanisms'!$A$63:$DY$152,HLOOKUP('Personalized Bill Menu'!$B$21&amp;"_"&amp;'Personalized Bill Menu'!$B$22&amp;"_Elec_Y_1",'Misc. Data &amp; Mechanisms'!$A$55:$DY$62,8,FALSE), FALSE)), "")</f>
        <v>0.1111</v>
      </c>
      <c r="Y86" s="78" t="str">
        <f>IFERROR(IF(VLOOKUP($A86,'Misc. Data &amp; Mechanisms'!$A$63:$DY$152,HLOOKUP('Personalized Bill Menu'!$B$21&amp;"_"&amp;'Personalized Bill Menu'!$B$22&amp;"_Elec_Y_2",'Misc. Data &amp; Mechanisms'!$A$55:$DY$62,8,FALSE), FALSE)="", "", VLOOKUP($A86,'Misc. Data &amp; Mechanisms'!$A$63:$DY$152,HLOOKUP('Personalized Bill Menu'!$B$21&amp;"_"&amp;'Personalized Bill Menu'!$B$22&amp;"_Elec_Y_2",'Misc. Data &amp; Mechanisms'!$A$55:$DY$62,8,FALSE), FALSE)), "")</f>
        <v/>
      </c>
      <c r="Z86" s="72">
        <f ca="1">IF($A86="", "",IFERROR(IF(OR('Personalized Bill Menu'!$B$22="FORTIS", 'Personalized Bill Menu'!$B$22="ATCO"), $X86*($H86+$I86), IF('Personalized Bill Menu'!$B$22="ENMAX",$X86*($H86+$I86+$K86),($X86/100)*$C86)), 0))</f>
        <v>4.6618700432518123</v>
      </c>
      <c r="AA86" s="70">
        <f>IF($A86="", "", IFERROR(IF(OR('Personalized Bill Menu'!$B$22="FORTIS", 'Personalized Bill Menu'!$B$22="ATCO"), $Y86*($H86+$I86), IF('Personalized Bill Menu'!$B$22="ENMAX",$X86*$G86,"")), 0))</f>
        <v>4.00004092402206</v>
      </c>
      <c r="AB86" s="89">
        <f ca="1">IF($A86="", "",IFERROR(IF(VLOOKUP($A86, INDIRECT("'" &amp; 'Personalized Bill Menu'!$B$22 &amp; "'!" &amp;"$A$4:$CA$100"), VLOOKUP(VLOOKUP("RIDER RATE 1",'Misc. Data &amp; Mechanisms'!$E$601:$I$631,HLOOKUP('Personalized Bill Menu'!$B$22, 'Misc. Data &amp; Mechanisms'!$E$599:$I$600, 2, FALSE), FALSE), 'Misc. Data &amp; Mechanisms'!$A$599:$C$659, 2, FALSE), FALSE) = "", "", VLOOKUP($A86, INDIRECT("'" &amp; 'Personalized Bill Menu'!$B$22 &amp; "'!" &amp;"$A$4:$CA$100"), VLOOKUP(VLOOKUP("RIDER RATE 1",'Misc. Data &amp; Mechanisms'!$E$601:$I$631,HLOOKUP('Personalized Bill Menu'!$B$22, 'Misc. Data &amp; Mechanisms'!$E$599:$I$600, 2, FALSE), FALSE), 'Misc. Data &amp; Mechanisms'!$A$599:$C$659, 2, FALSE), FALSE)), ""))</f>
        <v>0.31819999999999998</v>
      </c>
      <c r="AC86" s="69">
        <f ca="1">IF($A86="", "",IFERROR(IF(VLOOKUP($A86, INDIRECT("'" &amp; 'Personalized Bill Menu'!$B$22 &amp; "'!" &amp;"$A$4:$CA$100"), VLOOKUP(VLOOKUP("RIDER RATE 2",'Misc. Data &amp; Mechanisms'!$E$601:$I$631,HLOOKUP('Personalized Bill Menu'!$B$22, 'Misc. Data &amp; Mechanisms'!$E$599:$I$600, 2, FALSE), FALSE), 'Misc. Data &amp; Mechanisms'!$A$599:$C$659, 2, FALSE), FALSE) = "", "", VLOOKUP($A86, INDIRECT("'" &amp; 'Personalized Bill Menu'!$B$22 &amp; "'!" &amp;"$A$4:$CA$100"), VLOOKUP(VLOOKUP("RIDER RATE 2",'Misc. Data &amp; Mechanisms'!$E$601:$I$631,HLOOKUP('Personalized Bill Menu'!$B$22, 'Misc. Data &amp; Mechanisms'!$E$599:$I$600, 2, FALSE), FALSE), 'Misc. Data &amp; Mechanisms'!$A$599:$C$659, 2, FALSE), FALSE)), ""))</f>
        <v>1.5523</v>
      </c>
      <c r="AD86" s="69">
        <f ca="1">IF($A86="", "",IFERROR(IF(VLOOKUP($A86, INDIRECT("'" &amp; 'Personalized Bill Menu'!$B$22 &amp; "'!" &amp;"$A$4:$CA$100"), VLOOKUP(VLOOKUP("RIDER RATE 3",'Misc. Data &amp; Mechanisms'!$E$601:$I$631,HLOOKUP('Personalized Bill Menu'!$B$22, 'Misc. Data &amp; Mechanisms'!$E$599:$I$600, 2, FALSE), FALSE), 'Misc. Data &amp; Mechanisms'!$A$599:$C$659, 2, FALSE), FALSE) = "", "", VLOOKUP($A86, INDIRECT("'" &amp; 'Personalized Bill Menu'!$B$22 &amp; "'!" &amp;"$A$4:$CA$100"), VLOOKUP(VLOOKUP("RIDER RATE 3",'Misc. Data &amp; Mechanisms'!$E$601:$I$631,HLOOKUP('Personalized Bill Menu'!$B$22, 'Misc. Data &amp; Mechanisms'!$E$599:$I$600, 2, FALSE), FALSE), 'Misc. Data &amp; Mechanisms'!$A$599:$C$659, 2, FALSE), FALSE)), ""))</f>
        <v>2.4299999999999999E-2</v>
      </c>
      <c r="AE86" s="69" t="str">
        <f ca="1">IF($A86="", "",IFERROR(IF(VLOOKUP($A86, INDIRECT("'" &amp; 'Personalized Bill Menu'!$B$22 &amp; "'!" &amp;"$A$4:$CA$100"), VLOOKUP(VLOOKUP("RIDER RATE 4",'Misc. Data &amp; Mechanisms'!$E$601:$I$631,HLOOKUP('Personalized Bill Menu'!$B$22, 'Misc. Data &amp; Mechanisms'!$E$599:$I$600, 2, FALSE), FALSE), 'Misc. Data &amp; Mechanisms'!$A$599:$C$659, 2, FALSE), FALSE) = "", "", VLOOKUP($A86, INDIRECT("'" &amp; 'Personalized Bill Menu'!$B$22 &amp; "'!" &amp;"$A$4:$CA$100"), VLOOKUP(VLOOKUP("RIDER RATE 4",'Misc. Data &amp; Mechanisms'!$E$601:$I$631,HLOOKUP('Personalized Bill Menu'!$B$22, 'Misc. Data &amp; Mechanisms'!$E$599:$I$600, 2, FALSE), FALSE), 'Misc. Data &amp; Mechanisms'!$A$599:$C$659, 2, FALSE), FALSE)), ""))</f>
        <v/>
      </c>
      <c r="AF86" s="90" t="str">
        <f ca="1">IF($A86="", "",IFERROR(IF(VLOOKUP($A86, INDIRECT("'" &amp; 'Personalized Bill Menu'!$B$22 &amp; "'!" &amp;"$A$4:$CA$100"), VLOOKUP(VLOOKUP("RIDER RATE 5",'Misc. Data &amp; Mechanisms'!$E$601:$I$631,HLOOKUP('Personalized Bill Menu'!$B$22, 'Misc. Data &amp; Mechanisms'!$E$599:$I$600, 2, FALSE), FALSE), 'Misc. Data &amp; Mechanisms'!$A$599:$C$659, 2, FALSE), FALSE) = "", "", VLOOKUP($A86, INDIRECT("'" &amp; 'Personalized Bill Menu'!$B$22 &amp; "'!" &amp;"$A$4:$CA$100"), VLOOKUP(VLOOKUP("RIDER RATE 5",'Misc. Data &amp; Mechanisms'!$E$601:$I$631,HLOOKUP('Personalized Bill Menu'!$B$22, 'Misc. Data &amp; Mechanisms'!$E$599:$I$600, 2, FALSE), FALSE), 'Misc. Data &amp; Mechanisms'!$A$599:$C$659, 2, FALSE), FALSE)), ""))</f>
        <v/>
      </c>
      <c r="AG86" s="90" t="str">
        <f ca="1">IF($A86="", "",IFERROR(IF(VLOOKUP($A86, INDIRECT("'" &amp; 'Personalized Bill Menu'!$B$22 &amp; "'!" &amp;"$A$4:$CA$100"), VLOOKUP(VLOOKUP("RIDER RATE 6",'Misc. Data &amp; Mechanisms'!$E$601:$I$631,HLOOKUP('Personalized Bill Menu'!$B$22, 'Misc. Data &amp; Mechanisms'!$E$599:$I$600, 2, FALSE), FALSE), 'Misc. Data &amp; Mechanisms'!$A$599:$C$659, 2, FALSE), FALSE) = "", "", VLOOKUP($A86, INDIRECT("'" &amp; 'Personalized Bill Menu'!$B$22 &amp; "'!" &amp;"$A$4:$CA$100"), VLOOKUP(VLOOKUP("RIDER RATE 6",'Misc. Data &amp; Mechanisms'!$E$601:$I$631,HLOOKUP('Personalized Bill Menu'!$B$22, 'Misc. Data &amp; Mechanisms'!$E$599:$I$600, 2, FALSE), FALSE), 'Misc. Data &amp; Mechanisms'!$A$599:$C$659, 2, FALSE), FALSE)), ""))</f>
        <v/>
      </c>
      <c r="AH86" s="90" t="str">
        <f ca="1">IF($A86="", "",IFERROR(IF(VLOOKUP($A86, INDIRECT("'" &amp; 'Personalized Bill Menu'!$B$22 &amp; "'!" &amp;"$A$4:$CA$100"), VLOOKUP(VLOOKUP("RIDER RATE 7",'Misc. Data &amp; Mechanisms'!$E$601:$I$631,HLOOKUP('Personalized Bill Menu'!$B$22, 'Misc. Data &amp; Mechanisms'!$E$599:$I$600, 2, FALSE), FALSE), 'Misc. Data &amp; Mechanisms'!$A$599:$C$659, 2, FALSE), FALSE) = "", "", VLOOKUP($A86, INDIRECT("'" &amp; 'Personalized Bill Menu'!$B$22 &amp; "'!" &amp;"$A$4:$CA$100"), VLOOKUP(VLOOKUP("RIDER RATE 7",'Misc. Data &amp; Mechanisms'!$E$601:$I$631,HLOOKUP('Personalized Bill Menu'!$B$22, 'Misc. Data &amp; Mechanisms'!$E$599:$I$600, 2, FALSE), FALSE), 'Misc. Data &amp; Mechanisms'!$A$599:$C$659, 2, FALSE), FALSE)), ""))</f>
        <v/>
      </c>
      <c r="AI86" s="72">
        <f t="shared" ca="1" si="32"/>
        <v>1.6847739477204153</v>
      </c>
      <c r="AJ86" s="72">
        <f t="shared" ca="1" si="33"/>
        <v>8.2189647990144596</v>
      </c>
      <c r="AK86" s="72">
        <f ca="1">IF($A86="", "", IFERROR(IF($AD$6="%",IF('Personalized Bill Menu'!$B$22="ENMAX", $AD86*$I86, IF(AND($AD86="", 'Personalized Bill Menu'!$B$22="FORTIS"),($AE86/100)*$C86,$AD86*$H86)),($AD86/100)*$C86), 0))</f>
        <v>0.5160389715748237</v>
      </c>
      <c r="AL86" s="72">
        <f ca="1">IF($A86="", "", IFERROR(IF('Personalized Bill Menu'!$B$22="ENMAX",$AE86*$B86,IF($AE$6="%",$AE86*($H86+$I86+$J86), IF('Personalized Bill Menu'!$B$22="FORTIS",$AF86*$I86,($AE86/100)*$C86))), 0))</f>
        <v>0</v>
      </c>
      <c r="AM86" s="72" t="str">
        <f>IF($A86="", "", IFERROR(IF('Personalized Bill Menu'!$B$22="EPCOR",($AF86/100)*$C86, IF('Personalized Bill Menu'!$B$22="ATCO",$AF86*1,"")), 0))</f>
        <v/>
      </c>
      <c r="AN86" s="72" t="str">
        <f>IF($A86="", "", IFERROR(IF('Personalized Bill Menu'!$B$22="ATCO",$AG86*$B86,""), 0))</f>
        <v/>
      </c>
      <c r="AO86" s="70" t="str">
        <f>IF($A86="", "", IFERROR(IF('Personalized Bill Menu'!$B$22="ATCO",$AH86*$B86,""), 0))</f>
        <v/>
      </c>
      <c r="AP86" s="81">
        <f>IF('Personalized Bill Menu'!$B$34&lt;&gt;"Natural Gas", 'Personalized Bill Menu'!$K83, "")</f>
        <v>0.2064</v>
      </c>
      <c r="AQ86" s="70">
        <f t="shared" si="34"/>
        <v>6.3983999999999996</v>
      </c>
      <c r="AR86" s="91">
        <f ca="1">IF($A86="", "",IF(VLOOKUP($A86, INDIRECT("'" &amp; 'Personalized Bill Menu'!$B$22 &amp; "'!" &amp;"$A$4:$CA$100"), VLOOKUP(VLOOKUP(AR$5,'Misc. Data &amp; Mechanisms'!$E$601:$I$631,HLOOKUP('Personalized Bill Menu'!$B$22, 'Misc. Data &amp; Mechanisms'!$E$599:$I$600, 2, FALSE), FALSE), 'Misc. Data &amp; Mechanisms'!$A$599:$C$659, 2, FALSE), FALSE) = "", "", VLOOKUP($A86, INDIRECT("'" &amp; 'Personalized Bill Menu'!$B$22 &amp; "'!" &amp;"$A$4:$CA$100"), VLOOKUP(VLOOKUP(AR$5,'Misc. Data &amp; Mechanisms'!$E$601:$I$631,HLOOKUP('Personalized Bill Menu'!$B$22, 'Misc. Data &amp; Mechanisms'!$E$599:$I$600, 2, FALSE), FALSE), 'Misc. Data &amp; Mechanisms'!$A$599:$C$659, 2, FALSE), FALSE)))</f>
        <v>0.05</v>
      </c>
    </row>
    <row r="87" spans="1:44" x14ac:dyDescent="0.35">
      <c r="A87" s="83">
        <f>'Personalized Bill Menu'!$H84</f>
        <v>43344</v>
      </c>
      <c r="B87" s="84">
        <f t="shared" si="19"/>
        <v>30</v>
      </c>
      <c r="C87" s="85">
        <f>IF('Personalized Bill Menu'!$B$34&lt;&gt;"Natural Gas", 'Personalized Bill Menu'!$I84, "")</f>
        <v>511.67498853221838</v>
      </c>
      <c r="D87" s="66">
        <f t="shared" ca="1" si="35"/>
        <v>18.454675156378023</v>
      </c>
      <c r="E87" s="66">
        <f ca="1">IFERROR((1+$AR87)*(IF('Personalized Bill Menu'!$B$22="ENMAX", ((1+IFERROR($X87, 0))*($N87+$P87+$R87+$AB87+$AC87))+((1+IF($X87="", 0,$X87))*(IF($AD87="", 0,$AD87)*$R87)), IF('Personalized Bill Menu'!$B$22="EPCOR", ($N87+$P87+$R87+$X87+SUM($AB87:$AE87)), IF('Personalized Bill Menu'!$B$22="ATCO",($N87+((1+IF($AE87="", 0,$AE87))*(1+$X87+$Y87)*($P87+$R87))+SUM($AB87:$AD87)),IF($AD87="",$N87+((1+$X87+$Y87)*($P87+$R87))+$AB87+$AE87+(IF($AC87="", 0, $AC87)*$P87)+($R87*IF($AF87="", 0, $AF87)),$N87+((1+$X87+$Y87)*($P87+$R87))+$AB87+($AD87*$P87)+(IF($AC87="", 0, $AC87)*$P87)+($R87*IF($AF87="", 0, $AF87))))))), "")</f>
        <v>13.663602845938501</v>
      </c>
      <c r="F87" s="1469">
        <f t="shared" ca="1" si="20"/>
        <v>94.427956990055407</v>
      </c>
      <c r="G87" s="66">
        <f t="shared" si="18"/>
        <v>34.793899220190852</v>
      </c>
      <c r="H87" s="66">
        <f t="shared" ca="1" si="21"/>
        <v>9.9587303018025644</v>
      </c>
      <c r="I87" s="66">
        <f t="shared" ca="1" si="22"/>
        <v>20.543485627409414</v>
      </c>
      <c r="J87" s="66">
        <f t="shared" ca="1" si="23"/>
        <v>8.3731850989325523</v>
      </c>
      <c r="K87" s="66">
        <f t="shared" ca="1" si="24"/>
        <v>10.070087361241194</v>
      </c>
      <c r="L87" s="66">
        <f t="shared" si="25"/>
        <v>6.1920000000000002</v>
      </c>
      <c r="M87" s="68">
        <f t="shared" ca="1" si="26"/>
        <v>4.4965693804788289</v>
      </c>
      <c r="N87" s="1290">
        <f>IF('Personalized Bill Menu'!$B$34&lt;&gt;"Natural Gas", 'Personalized Bill Menu'!$J84, "")</f>
        <v>6.8</v>
      </c>
      <c r="O87" s="70">
        <f t="shared" si="27"/>
        <v>34.793899220190852</v>
      </c>
      <c r="P87" s="71">
        <f ca="1">IF($A87="", "",IFERROR(IF(VLOOKUP($A87, INDIRECT("'" &amp; 'Personalized Bill Menu'!$B$22 &amp; "'!" &amp;"$A$4:$CA$100"), VLOOKUP(VLOOKUP(P$5,'Misc. Data &amp; Mechanisms'!$E$601:$I$631,HLOOKUP('Personalized Bill Menu'!$B$22, 'Misc. Data &amp; Mechanisms'!$E$599:$I$600, 2, FALSE), FALSE), 'Misc. Data &amp; Mechanisms'!$A$599:$C$659, 2, FALSE), FALSE) = "", "", VLOOKUP($A87, INDIRECT("'" &amp; 'Personalized Bill Menu'!$B$22 &amp; "'!" &amp;"$A$4:$CA$100"), VLOOKUP(VLOOKUP(P$5,'Misc. Data &amp; Mechanisms'!$E$601:$I$631,HLOOKUP('Personalized Bill Menu'!$B$22, 'Misc. Data &amp; Mechanisms'!$E$599:$I$600, 2, FALSE), FALSE), 'Misc. Data &amp; Mechanisms'!$A$599:$C$659, 2, FALSE), FALSE)), ""))</f>
        <v>1.9462999999999999</v>
      </c>
      <c r="Q87" s="70">
        <f t="shared" ca="1" si="28"/>
        <v>9.9587303018025644</v>
      </c>
      <c r="R87" s="87">
        <f ca="1">IF($A87="", "",IFERROR(IF(VLOOKUP($A87, INDIRECT("'" &amp; 'Personalized Bill Menu'!$B$22 &amp; "'!" &amp;"$A$4:$CA$100"), VLOOKUP(VLOOKUP(R$5,'Misc. Data &amp; Mechanisms'!$E$601:$I$631,HLOOKUP('Personalized Bill Menu'!$B$22, 'Misc. Data &amp; Mechanisms'!$E$599:$I$600, 2, FALSE), FALSE), 'Misc. Data &amp; Mechanisms'!$A$599:$C$659, 2, FALSE), FALSE) = "", "", VLOOKUP($A87, INDIRECT("'" &amp; 'Personalized Bill Menu'!$B$22 &amp; "'!" &amp;"$A$4:$CA$100"), VLOOKUP(VLOOKUP(R$5,'Misc. Data &amp; Mechanisms'!$E$601:$I$631,HLOOKUP('Personalized Bill Menu'!$B$22, 'Misc. Data &amp; Mechanisms'!$E$599:$I$600, 2, FALSE), FALSE), 'Misc. Data &amp; Mechanisms'!$A$599:$C$659, 2, FALSE), FALSE)), ""))</f>
        <v>1.069</v>
      </c>
      <c r="S87" s="88">
        <f ca="1">IF($A87="", "",IFERROR(IF(VLOOKUP($A87, INDIRECT("'" &amp; 'Personalized Bill Menu'!$B$22 &amp; "'!" &amp;"$A$4:$CA$100"), VLOOKUP(VLOOKUP(S$5,'Misc. Data &amp; Mechanisms'!$E$601:$I$631,HLOOKUP('Personalized Bill Menu'!$B$22, 'Misc. Data &amp; Mechanisms'!$E$599:$I$600, 2, FALSE), FALSE), 'Misc. Data &amp; Mechanisms'!$A$599:$C$659, 2, FALSE), FALSE) = "", "", VLOOKUP($A87, INDIRECT("'" &amp; 'Personalized Bill Menu'!$B$22 &amp; "'!" &amp;"$A$4:$CA$100"), VLOOKUP(VLOOKUP(S$5,'Misc. Data &amp; Mechanisms'!$E$601:$I$631,HLOOKUP('Personalized Bill Menu'!$B$22, 'Misc. Data &amp; Mechanisms'!$E$599:$I$600, 2, FALSE), FALSE), 'Misc. Data &amp; Mechanisms'!$A$599:$C$659, 2, FALSE), FALSE)), ""))</f>
        <v>0.50245600000000001</v>
      </c>
      <c r="T87" s="81" t="str">
        <f ca="1">IF($A87="", "",IFERROR(IF(VLOOKUP($A87, INDIRECT("'" &amp; 'Personalized Bill Menu'!$B$22 &amp; "'!" &amp;"$A$4:$CA$100"), VLOOKUP(VLOOKUP(T$5,'Misc. Data &amp; Mechanisms'!$E$601:$I$631,HLOOKUP('Personalized Bill Menu'!$B$22, 'Misc. Data &amp; Mechanisms'!$E$599:$I$600, 2, FALSE), FALSE), 'Misc. Data &amp; Mechanisms'!$A$599:$C$659, 2, FALSE), FALSE) = "", "", VLOOKUP($A87, INDIRECT("'" &amp; 'Personalized Bill Menu'!$B$22 &amp; "'!" &amp;"$A$4:$CA$100"), VLOOKUP(VLOOKUP(T$5,'Misc. Data &amp; Mechanisms'!$E$601:$I$631,HLOOKUP('Personalized Bill Menu'!$B$22, 'Misc. Data &amp; Mechanisms'!$E$599:$I$600, 2, FALSE), FALSE), 'Misc. Data &amp; Mechanisms'!$A$599:$C$659, 2, FALSE), FALSE)), ""))</f>
        <v/>
      </c>
      <c r="U87" s="72">
        <f t="shared" ca="1" si="29"/>
        <v>5.4698056274094142</v>
      </c>
      <c r="V87" s="72">
        <f t="shared" ca="1" si="30"/>
        <v>15.07368</v>
      </c>
      <c r="W87" s="70" t="str">
        <f t="shared" si="31"/>
        <v/>
      </c>
      <c r="X87" s="78">
        <f>IFERROR(IF(VLOOKUP($A87,'Misc. Data &amp; Mechanisms'!$A$63:$DY$152,HLOOKUP('Personalized Bill Menu'!$B$21&amp;"_"&amp;'Personalized Bill Menu'!$B$22&amp;"_Elec_Y_1",'Misc. Data &amp; Mechanisms'!$A$55:$DY$62,8,FALSE), FALSE)="", "", VLOOKUP($A87,'Misc. Data &amp; Mechanisms'!$A$63:$DY$152,HLOOKUP('Personalized Bill Menu'!$B$21&amp;"_"&amp;'Personalized Bill Menu'!$B$22&amp;"_Elec_Y_1",'Misc. Data &amp; Mechanisms'!$A$55:$DY$62,8,FALSE), FALSE)), "")</f>
        <v>0.1111</v>
      </c>
      <c r="Y87" s="78" t="str">
        <f>IFERROR(IF(VLOOKUP($A87,'Misc. Data &amp; Mechanisms'!$A$63:$DY$152,HLOOKUP('Personalized Bill Menu'!$B$21&amp;"_"&amp;'Personalized Bill Menu'!$B$22&amp;"_Elec_Y_2",'Misc. Data &amp; Mechanisms'!$A$55:$DY$62,8,FALSE), FALSE)="", "", VLOOKUP($A87,'Misc. Data &amp; Mechanisms'!$A$63:$DY$152,HLOOKUP('Personalized Bill Menu'!$B$21&amp;"_"&amp;'Personalized Bill Menu'!$B$22&amp;"_Elec_Y_2",'Misc. Data &amp; Mechanisms'!$A$55:$DY$62,8,FALSE), FALSE)), "")</f>
        <v/>
      </c>
      <c r="Z87" s="72">
        <f ca="1">IF($A87="", "",IFERROR(IF(OR('Personalized Bill Menu'!$B$22="FORTIS", 'Personalized Bill Menu'!$B$22="ATCO"), $X87*($H87+$I87), IF('Personalized Bill Menu'!$B$22="ENMAX",$X87*($H87+$I87+$K87),($X87/100)*$C87)), 0))</f>
        <v>4.5075828955693478</v>
      </c>
      <c r="AA87" s="70">
        <f>IF($A87="", "", IFERROR(IF(OR('Personalized Bill Menu'!$B$22="FORTIS", 'Personalized Bill Menu'!$B$22="ATCO"), $Y87*($H87+$I87), IF('Personalized Bill Menu'!$B$22="ENMAX",$X87*$G87,"")), 0))</f>
        <v>3.8656022033632036</v>
      </c>
      <c r="AB87" s="89">
        <f ca="1">IF($A87="", "",IFERROR(IF(VLOOKUP($A87, INDIRECT("'" &amp; 'Personalized Bill Menu'!$B$22 &amp; "'!" &amp;"$A$4:$CA$100"), VLOOKUP(VLOOKUP("RIDER RATE 1",'Misc. Data &amp; Mechanisms'!$E$601:$I$631,HLOOKUP('Personalized Bill Menu'!$B$22, 'Misc. Data &amp; Mechanisms'!$E$599:$I$600, 2, FALSE), FALSE), 'Misc. Data &amp; Mechanisms'!$A$599:$C$659, 2, FALSE), FALSE) = "", "", VLOOKUP($A87, INDIRECT("'" &amp; 'Personalized Bill Menu'!$B$22 &amp; "'!" &amp;"$A$4:$CA$100"), VLOOKUP(VLOOKUP("RIDER RATE 1",'Misc. Data &amp; Mechanisms'!$E$601:$I$631,HLOOKUP('Personalized Bill Menu'!$B$22, 'Misc. Data &amp; Mechanisms'!$E$599:$I$600, 2, FALSE), FALSE), 'Misc. Data &amp; Mechanisms'!$A$599:$C$659, 2, FALSE), FALSE)), ""))</f>
        <v>0.31819999999999998</v>
      </c>
      <c r="AC87" s="69">
        <f ca="1">IF($A87="", "",IFERROR(IF(VLOOKUP($A87, INDIRECT("'" &amp; 'Personalized Bill Menu'!$B$22 &amp; "'!" &amp;"$A$4:$CA$100"), VLOOKUP(VLOOKUP("RIDER RATE 2",'Misc. Data &amp; Mechanisms'!$E$601:$I$631,HLOOKUP('Personalized Bill Menu'!$B$22, 'Misc. Data &amp; Mechanisms'!$E$599:$I$600, 2, FALSE), FALSE), 'Misc. Data &amp; Mechanisms'!$A$599:$C$659, 2, FALSE), FALSE) = "", "", VLOOKUP($A87, INDIRECT("'" &amp; 'Personalized Bill Menu'!$B$22 &amp; "'!" &amp;"$A$4:$CA$100"), VLOOKUP(VLOOKUP("RIDER RATE 2",'Misc. Data &amp; Mechanisms'!$E$601:$I$631,HLOOKUP('Personalized Bill Menu'!$B$22, 'Misc. Data &amp; Mechanisms'!$E$599:$I$600, 2, FALSE), FALSE), 'Misc. Data &amp; Mechanisms'!$A$599:$C$659, 2, FALSE), FALSE)), ""))</f>
        <v>1.5523</v>
      </c>
      <c r="AD87" s="69">
        <f ca="1">IF($A87="", "",IFERROR(IF(VLOOKUP($A87, INDIRECT("'" &amp; 'Personalized Bill Menu'!$B$22 &amp; "'!" &amp;"$A$4:$CA$100"), VLOOKUP(VLOOKUP("RIDER RATE 3",'Misc. Data &amp; Mechanisms'!$E$601:$I$631,HLOOKUP('Personalized Bill Menu'!$B$22, 'Misc. Data &amp; Mechanisms'!$E$599:$I$600, 2, FALSE), FALSE), 'Misc. Data &amp; Mechanisms'!$A$599:$C$659, 2, FALSE), FALSE) = "", "", VLOOKUP($A87, INDIRECT("'" &amp; 'Personalized Bill Menu'!$B$22 &amp; "'!" &amp;"$A$4:$CA$100"), VLOOKUP(VLOOKUP("RIDER RATE 3",'Misc. Data &amp; Mechanisms'!$E$601:$I$631,HLOOKUP('Personalized Bill Menu'!$B$22, 'Misc. Data &amp; Mechanisms'!$E$599:$I$600, 2, FALSE), FALSE), 'Misc. Data &amp; Mechanisms'!$A$599:$C$659, 2, FALSE), FALSE)), ""))</f>
        <v>2.4299999999999999E-2</v>
      </c>
      <c r="AE87" s="69" t="str">
        <f ca="1">IF($A87="", "",IFERROR(IF(VLOOKUP($A87, INDIRECT("'" &amp; 'Personalized Bill Menu'!$B$22 &amp; "'!" &amp;"$A$4:$CA$100"), VLOOKUP(VLOOKUP("RIDER RATE 4",'Misc. Data &amp; Mechanisms'!$E$601:$I$631,HLOOKUP('Personalized Bill Menu'!$B$22, 'Misc. Data &amp; Mechanisms'!$E$599:$I$600, 2, FALSE), FALSE), 'Misc. Data &amp; Mechanisms'!$A$599:$C$659, 2, FALSE), FALSE) = "", "", VLOOKUP($A87, INDIRECT("'" &amp; 'Personalized Bill Menu'!$B$22 &amp; "'!" &amp;"$A$4:$CA$100"), VLOOKUP(VLOOKUP("RIDER RATE 4",'Misc. Data &amp; Mechanisms'!$E$601:$I$631,HLOOKUP('Personalized Bill Menu'!$B$22, 'Misc. Data &amp; Mechanisms'!$E$599:$I$600, 2, FALSE), FALSE), 'Misc. Data &amp; Mechanisms'!$A$599:$C$659, 2, FALSE), FALSE)), ""))</f>
        <v/>
      </c>
      <c r="AF87" s="90" t="str">
        <f ca="1">IF($A87="", "",IFERROR(IF(VLOOKUP($A87, INDIRECT("'" &amp; 'Personalized Bill Menu'!$B$22 &amp; "'!" &amp;"$A$4:$CA$100"), VLOOKUP(VLOOKUP("RIDER RATE 5",'Misc. Data &amp; Mechanisms'!$E$601:$I$631,HLOOKUP('Personalized Bill Menu'!$B$22, 'Misc. Data &amp; Mechanisms'!$E$599:$I$600, 2, FALSE), FALSE), 'Misc. Data &amp; Mechanisms'!$A$599:$C$659, 2, FALSE), FALSE) = "", "", VLOOKUP($A87, INDIRECT("'" &amp; 'Personalized Bill Menu'!$B$22 &amp; "'!" &amp;"$A$4:$CA$100"), VLOOKUP(VLOOKUP("RIDER RATE 5",'Misc. Data &amp; Mechanisms'!$E$601:$I$631,HLOOKUP('Personalized Bill Menu'!$B$22, 'Misc. Data &amp; Mechanisms'!$E$599:$I$600, 2, FALSE), FALSE), 'Misc. Data &amp; Mechanisms'!$A$599:$C$659, 2, FALSE), FALSE)), ""))</f>
        <v/>
      </c>
      <c r="AG87" s="90" t="str">
        <f ca="1">IF($A87="", "",IFERROR(IF(VLOOKUP($A87, INDIRECT("'" &amp; 'Personalized Bill Menu'!$B$22 &amp; "'!" &amp;"$A$4:$CA$100"), VLOOKUP(VLOOKUP("RIDER RATE 6",'Misc. Data &amp; Mechanisms'!$E$601:$I$631,HLOOKUP('Personalized Bill Menu'!$B$22, 'Misc. Data &amp; Mechanisms'!$E$599:$I$600, 2, FALSE), FALSE), 'Misc. Data &amp; Mechanisms'!$A$599:$C$659, 2, FALSE), FALSE) = "", "", VLOOKUP($A87, INDIRECT("'" &amp; 'Personalized Bill Menu'!$B$22 &amp; "'!" &amp;"$A$4:$CA$100"), VLOOKUP(VLOOKUP("RIDER RATE 6",'Misc. Data &amp; Mechanisms'!$E$601:$I$631,HLOOKUP('Personalized Bill Menu'!$B$22, 'Misc. Data &amp; Mechanisms'!$E$599:$I$600, 2, FALSE), FALSE), 'Misc. Data &amp; Mechanisms'!$A$599:$C$659, 2, FALSE), FALSE)), ""))</f>
        <v/>
      </c>
      <c r="AH87" s="90" t="str">
        <f ca="1">IF($A87="", "",IFERROR(IF(VLOOKUP($A87, INDIRECT("'" &amp; 'Personalized Bill Menu'!$B$22 &amp; "'!" &amp;"$A$4:$CA$100"), VLOOKUP(VLOOKUP("RIDER RATE 7",'Misc. Data &amp; Mechanisms'!$E$601:$I$631,HLOOKUP('Personalized Bill Menu'!$B$22, 'Misc. Data &amp; Mechanisms'!$E$599:$I$600, 2, FALSE), FALSE), 'Misc. Data &amp; Mechanisms'!$A$599:$C$659, 2, FALSE), FALSE) = "", "", VLOOKUP($A87, INDIRECT("'" &amp; 'Personalized Bill Menu'!$B$22 &amp; "'!" &amp;"$A$4:$CA$100"), VLOOKUP(VLOOKUP("RIDER RATE 7",'Misc. Data &amp; Mechanisms'!$E$601:$I$631,HLOOKUP('Personalized Bill Menu'!$B$22, 'Misc. Data &amp; Mechanisms'!$E$599:$I$600, 2, FALSE), FALSE), 'Misc. Data &amp; Mechanisms'!$A$599:$C$659, 2, FALSE), FALSE)), ""))</f>
        <v/>
      </c>
      <c r="AI87" s="72">
        <f t="shared" ca="1" si="32"/>
        <v>1.6281498135095189</v>
      </c>
      <c r="AJ87" s="72">
        <f t="shared" ca="1" si="33"/>
        <v>7.9427308469856257</v>
      </c>
      <c r="AK87" s="72">
        <f ca="1">IF($A87="", "", IFERROR(IF($AD$6="%",IF('Personalized Bill Menu'!$B$22="ENMAX", $AD87*$I87, IF(AND($AD87="", 'Personalized Bill Menu'!$B$22="FORTIS"),($AE87/100)*$C87,$AD87*$H87)),($AD87/100)*$C87), 0))</f>
        <v>0.49920670074604873</v>
      </c>
      <c r="AL87" s="72">
        <f ca="1">IF($A87="", "", IFERROR(IF('Personalized Bill Menu'!$B$22="ENMAX",$AE87*$B87,IF($AE$6="%",$AE87*($H87+$I87+$J87), IF('Personalized Bill Menu'!$B$22="FORTIS",$AF87*$I87,($AE87/100)*$C87))), 0))</f>
        <v>0</v>
      </c>
      <c r="AM87" s="72" t="str">
        <f>IF($A87="", "", IFERROR(IF('Personalized Bill Menu'!$B$22="EPCOR",($AF87/100)*$C87, IF('Personalized Bill Menu'!$B$22="ATCO",$AF87*1,"")), 0))</f>
        <v/>
      </c>
      <c r="AN87" s="72" t="str">
        <f>IF($A87="", "", IFERROR(IF('Personalized Bill Menu'!$B$22="ATCO",$AG87*$B87,""), 0))</f>
        <v/>
      </c>
      <c r="AO87" s="70" t="str">
        <f>IF($A87="", "", IFERROR(IF('Personalized Bill Menu'!$B$22="ATCO",$AH87*$B87,""), 0))</f>
        <v/>
      </c>
      <c r="AP87" s="81">
        <f>IF('Personalized Bill Menu'!$B$34&lt;&gt;"Natural Gas", 'Personalized Bill Menu'!$K84, "")</f>
        <v>0.2064</v>
      </c>
      <c r="AQ87" s="70">
        <f t="shared" si="34"/>
        <v>6.1920000000000002</v>
      </c>
      <c r="AR87" s="91">
        <f ca="1">IF($A87="", "",IF(VLOOKUP($A87, INDIRECT("'" &amp; 'Personalized Bill Menu'!$B$22 &amp; "'!" &amp;"$A$4:$CA$100"), VLOOKUP(VLOOKUP(AR$5,'Misc. Data &amp; Mechanisms'!$E$601:$I$631,HLOOKUP('Personalized Bill Menu'!$B$22, 'Misc. Data &amp; Mechanisms'!$E$599:$I$600, 2, FALSE), FALSE), 'Misc. Data &amp; Mechanisms'!$A$599:$C$659, 2, FALSE), FALSE) = "", "", VLOOKUP($A87, INDIRECT("'" &amp; 'Personalized Bill Menu'!$B$22 &amp; "'!" &amp;"$A$4:$CA$100"), VLOOKUP(VLOOKUP(AR$5,'Misc. Data &amp; Mechanisms'!$E$601:$I$631,HLOOKUP('Personalized Bill Menu'!$B$22, 'Misc. Data &amp; Mechanisms'!$E$599:$I$600, 2, FALSE), FALSE), 'Misc. Data &amp; Mechanisms'!$A$599:$C$659, 2, FALSE), FALSE)))</f>
        <v>0.05</v>
      </c>
    </row>
    <row r="88" spans="1:44" x14ac:dyDescent="0.35">
      <c r="A88" s="83">
        <f>'Personalized Bill Menu'!$H85</f>
        <v>43374</v>
      </c>
      <c r="B88" s="84">
        <f t="shared" si="19"/>
        <v>31</v>
      </c>
      <c r="C88" s="85">
        <f>IF('Personalized Bill Menu'!$B$34&lt;&gt;"Natural Gas", 'Personalized Bill Menu'!$I85, "")</f>
        <v>545.14156168933403</v>
      </c>
      <c r="D88" s="66">
        <f t="shared" ca="1" si="35"/>
        <v>18.308686905963228</v>
      </c>
      <c r="E88" s="66">
        <f ca="1">IFERROR((1+$AR88)*(IF('Personalized Bill Menu'!$B$22="ENMAX", ((1+IFERROR($X88, 0))*($N88+$P88+$R88+$AB88+$AC88))+((1+IF($X88="", 0,$X88))*(IF($AD88="", 0,$AD88)*$R88)), IF('Personalized Bill Menu'!$B$22="EPCOR", ($N88+$P88+$R88+$X88+SUM($AB88:$AE88)), IF('Personalized Bill Menu'!$B$22="ATCO",($N88+((1+IF($AE88="", 0,$AE88))*(1+$X88+$Y88)*($P88+$R88))+SUM($AB88:$AD88)),IF($AD88="",$N88+((1+$X88+$Y88)*($P88+$R88))+$AB88+$AE88+(IF($AC88="", 0, $AC88)*$P88)+($R88*IF($AF88="", 0, $AF88)),$N88+((1+$X88+$Y88)*($P88+$R88))+$AB88+($AD88*$P88)+(IF($AC88="", 0, $AC88)*$P88)+($R88*IF($AF88="", 0, $AF88))))))), "")</f>
        <v>13.742845903499997</v>
      </c>
      <c r="F88" s="1469">
        <f t="shared" ca="1" si="20"/>
        <v>99.808261723978561</v>
      </c>
      <c r="G88" s="66">
        <f t="shared" si="18"/>
        <v>34.965379766753884</v>
      </c>
      <c r="H88" s="66">
        <f t="shared" ca="1" si="21"/>
        <v>10.610090215159508</v>
      </c>
      <c r="I88" s="66">
        <f t="shared" ca="1" si="22"/>
        <v>21.403699294458981</v>
      </c>
      <c r="J88" s="66">
        <f t="shared" ca="1" si="23"/>
        <v>8.8649108138515835</v>
      </c>
      <c r="K88" s="66">
        <f t="shared" ca="1" si="24"/>
        <v>12.813007265946107</v>
      </c>
      <c r="L88" s="66">
        <f t="shared" si="25"/>
        <v>6.3983999999999996</v>
      </c>
      <c r="M88" s="68">
        <f t="shared" ca="1" si="26"/>
        <v>4.7527743678085033</v>
      </c>
      <c r="N88" s="1290">
        <f>IF('Personalized Bill Menu'!$B$34&lt;&gt;"Natural Gas", 'Personalized Bill Menu'!$J85, "")</f>
        <v>6.4139999999999997</v>
      </c>
      <c r="O88" s="70">
        <f t="shared" si="27"/>
        <v>34.965379766753884</v>
      </c>
      <c r="P88" s="71">
        <f ca="1">IF($A88="", "",IFERROR(IF(VLOOKUP($A88, INDIRECT("'" &amp; 'Personalized Bill Menu'!$B$22 &amp; "'!" &amp;"$A$4:$CA$100"), VLOOKUP(VLOOKUP(P$5,'Misc. Data &amp; Mechanisms'!$E$601:$I$631,HLOOKUP('Personalized Bill Menu'!$B$22, 'Misc. Data &amp; Mechanisms'!$E$599:$I$600, 2, FALSE), FALSE), 'Misc. Data &amp; Mechanisms'!$A$599:$C$659, 2, FALSE), FALSE) = "", "", VLOOKUP($A88, INDIRECT("'" &amp; 'Personalized Bill Menu'!$B$22 &amp; "'!" &amp;"$A$4:$CA$100"), VLOOKUP(VLOOKUP(P$5,'Misc. Data &amp; Mechanisms'!$E$601:$I$631,HLOOKUP('Personalized Bill Menu'!$B$22, 'Misc. Data &amp; Mechanisms'!$E$599:$I$600, 2, FALSE), FALSE), 'Misc. Data &amp; Mechanisms'!$A$599:$C$659, 2, FALSE), FALSE)), ""))</f>
        <v>1.9462999999999999</v>
      </c>
      <c r="Q88" s="70">
        <f t="shared" ca="1" si="28"/>
        <v>10.610090215159508</v>
      </c>
      <c r="R88" s="87">
        <f ca="1">IF($A88="", "",IFERROR(IF(VLOOKUP($A88, INDIRECT("'" &amp; 'Personalized Bill Menu'!$B$22 &amp; "'!" &amp;"$A$4:$CA$100"), VLOOKUP(VLOOKUP(R$5,'Misc. Data &amp; Mechanisms'!$E$601:$I$631,HLOOKUP('Personalized Bill Menu'!$B$22, 'Misc. Data &amp; Mechanisms'!$E$599:$I$600, 2, FALSE), FALSE), 'Misc. Data &amp; Mechanisms'!$A$599:$C$659, 2, FALSE), FALSE) = "", "", VLOOKUP($A88, INDIRECT("'" &amp; 'Personalized Bill Menu'!$B$22 &amp; "'!" &amp;"$A$4:$CA$100"), VLOOKUP(VLOOKUP(R$5,'Misc. Data &amp; Mechanisms'!$E$601:$I$631,HLOOKUP('Personalized Bill Menu'!$B$22, 'Misc. Data &amp; Mechanisms'!$E$599:$I$600, 2, FALSE), FALSE), 'Misc. Data &amp; Mechanisms'!$A$599:$C$659, 2, FALSE), FALSE)), ""))</f>
        <v>1.069</v>
      </c>
      <c r="S88" s="88">
        <f ca="1">IF($A88="", "",IFERROR(IF(VLOOKUP($A88, INDIRECT("'" &amp; 'Personalized Bill Menu'!$B$22 &amp; "'!" &amp;"$A$4:$CA$100"), VLOOKUP(VLOOKUP(S$5,'Misc. Data &amp; Mechanisms'!$E$601:$I$631,HLOOKUP('Personalized Bill Menu'!$B$22, 'Misc. Data &amp; Mechanisms'!$E$599:$I$600, 2, FALSE), FALSE), 'Misc. Data &amp; Mechanisms'!$A$599:$C$659, 2, FALSE), FALSE) = "", "", VLOOKUP($A88, INDIRECT("'" &amp; 'Personalized Bill Menu'!$B$22 &amp; "'!" &amp;"$A$4:$CA$100"), VLOOKUP(VLOOKUP(S$5,'Misc. Data &amp; Mechanisms'!$E$601:$I$631,HLOOKUP('Personalized Bill Menu'!$B$22, 'Misc. Data &amp; Mechanisms'!$E$599:$I$600, 2, FALSE), FALSE), 'Misc. Data &amp; Mechanisms'!$A$599:$C$659, 2, FALSE), FALSE)), ""))</f>
        <v>0.50245600000000001</v>
      </c>
      <c r="T88" s="81" t="str">
        <f ca="1">IF($A88="", "",IFERROR(IF(VLOOKUP($A88, INDIRECT("'" &amp; 'Personalized Bill Menu'!$B$22 &amp; "'!" &amp;"$A$4:$CA$100"), VLOOKUP(VLOOKUP(T$5,'Misc. Data &amp; Mechanisms'!$E$601:$I$631,HLOOKUP('Personalized Bill Menu'!$B$22, 'Misc. Data &amp; Mechanisms'!$E$599:$I$600, 2, FALSE), FALSE), 'Misc. Data &amp; Mechanisms'!$A$599:$C$659, 2, FALSE), FALSE) = "", "", VLOOKUP($A88, INDIRECT("'" &amp; 'Personalized Bill Menu'!$B$22 &amp; "'!" &amp;"$A$4:$CA$100"), VLOOKUP(VLOOKUP(T$5,'Misc. Data &amp; Mechanisms'!$E$601:$I$631,HLOOKUP('Personalized Bill Menu'!$B$22, 'Misc. Data &amp; Mechanisms'!$E$599:$I$600, 2, FALSE), FALSE), 'Misc. Data &amp; Mechanisms'!$A$599:$C$659, 2, FALSE), FALSE)), ""))</f>
        <v/>
      </c>
      <c r="U88" s="72">
        <f t="shared" ca="1" si="29"/>
        <v>5.8275632944589804</v>
      </c>
      <c r="V88" s="72">
        <f t="shared" ca="1" si="30"/>
        <v>15.576136</v>
      </c>
      <c r="W88" s="70" t="str">
        <f t="shared" si="31"/>
        <v/>
      </c>
      <c r="X88" s="78">
        <f>IFERROR(IF(VLOOKUP($A88,'Misc. Data &amp; Mechanisms'!$A$63:$DY$152,HLOOKUP('Personalized Bill Menu'!$B$21&amp;"_"&amp;'Personalized Bill Menu'!$B$22&amp;"_Elec_Y_1",'Misc. Data &amp; Mechanisms'!$A$55:$DY$62,8,FALSE), FALSE)="", "", VLOOKUP($A88,'Misc. Data &amp; Mechanisms'!$A$63:$DY$152,HLOOKUP('Personalized Bill Menu'!$B$21&amp;"_"&amp;'Personalized Bill Menu'!$B$22&amp;"_Elec_Y_1",'Misc. Data &amp; Mechanisms'!$A$55:$DY$62,8,FALSE), FALSE)), "")</f>
        <v>0.1111</v>
      </c>
      <c r="Y88" s="78" t="str">
        <f>IFERROR(IF(VLOOKUP($A88,'Misc. Data &amp; Mechanisms'!$A$63:$DY$152,HLOOKUP('Personalized Bill Menu'!$B$21&amp;"_"&amp;'Personalized Bill Menu'!$B$22&amp;"_Elec_Y_2",'Misc. Data &amp; Mechanisms'!$A$55:$DY$62,8,FALSE), FALSE)="", "", VLOOKUP($A88,'Misc. Data &amp; Mechanisms'!$A$63:$DY$152,HLOOKUP('Personalized Bill Menu'!$B$21&amp;"_"&amp;'Personalized Bill Menu'!$B$22&amp;"_Elec_Y_2",'Misc. Data &amp; Mechanisms'!$A$55:$DY$62,8,FALSE), FALSE)), "")</f>
        <v/>
      </c>
      <c r="Z88" s="72">
        <f ca="1">IF($A88="", "",IFERROR(IF(OR('Personalized Bill Menu'!$B$22="FORTIS", 'Personalized Bill Menu'!$B$22="ATCO"), $X88*($H88+$I88), IF('Personalized Bill Menu'!$B$22="ENMAX",$X88*($H88+$I88+$K88),($X88/100)*$C88)), 0))</f>
        <v>4.9802571217652272</v>
      </c>
      <c r="AA88" s="70">
        <f>IF($A88="", "", IFERROR(IF(OR('Personalized Bill Menu'!$B$22="FORTIS", 'Personalized Bill Menu'!$B$22="ATCO"), $Y88*($H88+$I88), IF('Personalized Bill Menu'!$B$22="ENMAX",$X88*$G88,"")), 0))</f>
        <v>3.8846536920863568</v>
      </c>
      <c r="AB88" s="89">
        <f ca="1">IF($A88="", "",IFERROR(IF(VLOOKUP($A88, INDIRECT("'" &amp; 'Personalized Bill Menu'!$B$22 &amp; "'!" &amp;"$A$4:$CA$100"), VLOOKUP(VLOOKUP("RIDER RATE 1",'Misc. Data &amp; Mechanisms'!$E$601:$I$631,HLOOKUP('Personalized Bill Menu'!$B$22, 'Misc. Data &amp; Mechanisms'!$E$599:$I$600, 2, FALSE), FALSE), 'Misc. Data &amp; Mechanisms'!$A$599:$C$659, 2, FALSE), FALSE) = "", "", VLOOKUP($A88, INDIRECT("'" &amp; 'Personalized Bill Menu'!$B$22 &amp; "'!" &amp;"$A$4:$CA$100"), VLOOKUP(VLOOKUP("RIDER RATE 1",'Misc. Data &amp; Mechanisms'!$E$601:$I$631,HLOOKUP('Personalized Bill Menu'!$B$22, 'Misc. Data &amp; Mechanisms'!$E$599:$I$600, 2, FALSE), FALSE), 'Misc. Data &amp; Mechanisms'!$A$599:$C$659, 2, FALSE), FALSE)), ""))</f>
        <v>0.31819999999999998</v>
      </c>
      <c r="AC88" s="69">
        <f ca="1">IF($A88="", "",IFERROR(IF(VLOOKUP($A88, INDIRECT("'" &amp; 'Personalized Bill Menu'!$B$22 &amp; "'!" &amp;"$A$4:$CA$100"), VLOOKUP(VLOOKUP("RIDER RATE 2",'Misc. Data &amp; Mechanisms'!$E$601:$I$631,HLOOKUP('Personalized Bill Menu'!$B$22, 'Misc. Data &amp; Mechanisms'!$E$599:$I$600, 2, FALSE), FALSE), 'Misc. Data &amp; Mechanisms'!$A$599:$C$659, 2, FALSE), FALSE) = "", "", VLOOKUP($A88, INDIRECT("'" &amp; 'Personalized Bill Menu'!$B$22 &amp; "'!" &amp;"$A$4:$CA$100"), VLOOKUP(VLOOKUP("RIDER RATE 2",'Misc. Data &amp; Mechanisms'!$E$601:$I$631,HLOOKUP('Personalized Bill Menu'!$B$22, 'Misc. Data &amp; Mechanisms'!$E$599:$I$600, 2, FALSE), FALSE), 'Misc. Data &amp; Mechanisms'!$A$599:$C$659, 2, FALSE), FALSE)), ""))</f>
        <v>2.0322</v>
      </c>
      <c r="AD88" s="69" t="str">
        <f ca="1">IF($A88="", "",IFERROR(IF(VLOOKUP($A88, INDIRECT("'" &amp; 'Personalized Bill Menu'!$B$22 &amp; "'!" &amp;"$A$4:$CA$100"), VLOOKUP(VLOOKUP("RIDER RATE 3",'Misc. Data &amp; Mechanisms'!$E$601:$I$631,HLOOKUP('Personalized Bill Menu'!$B$22, 'Misc. Data &amp; Mechanisms'!$E$599:$I$600, 2, FALSE), FALSE), 'Misc. Data &amp; Mechanisms'!$A$599:$C$659, 2, FALSE), FALSE) = "", "", VLOOKUP($A88, INDIRECT("'" &amp; 'Personalized Bill Menu'!$B$22 &amp; "'!" &amp;"$A$4:$CA$100"), VLOOKUP(VLOOKUP("RIDER RATE 3",'Misc. Data &amp; Mechanisms'!$E$601:$I$631,HLOOKUP('Personalized Bill Menu'!$B$22, 'Misc. Data &amp; Mechanisms'!$E$599:$I$600, 2, FALSE), FALSE), 'Misc. Data &amp; Mechanisms'!$A$599:$C$659, 2, FALSE), FALSE)), ""))</f>
        <v/>
      </c>
      <c r="AE88" s="69" t="str">
        <f ca="1">IF($A88="", "",IFERROR(IF(VLOOKUP($A88, INDIRECT("'" &amp; 'Personalized Bill Menu'!$B$22 &amp; "'!" &amp;"$A$4:$CA$100"), VLOOKUP(VLOOKUP("RIDER RATE 4",'Misc. Data &amp; Mechanisms'!$E$601:$I$631,HLOOKUP('Personalized Bill Menu'!$B$22, 'Misc. Data &amp; Mechanisms'!$E$599:$I$600, 2, FALSE), FALSE), 'Misc. Data &amp; Mechanisms'!$A$599:$C$659, 2, FALSE), FALSE) = "", "", VLOOKUP($A88, INDIRECT("'" &amp; 'Personalized Bill Menu'!$B$22 &amp; "'!" &amp;"$A$4:$CA$100"), VLOOKUP(VLOOKUP("RIDER RATE 4",'Misc. Data &amp; Mechanisms'!$E$601:$I$631,HLOOKUP('Personalized Bill Menu'!$B$22, 'Misc. Data &amp; Mechanisms'!$E$599:$I$600, 2, FALSE), FALSE), 'Misc. Data &amp; Mechanisms'!$A$599:$C$659, 2, FALSE), FALSE)), ""))</f>
        <v/>
      </c>
      <c r="AF88" s="90" t="str">
        <f ca="1">IF($A88="", "",IFERROR(IF(VLOOKUP($A88, INDIRECT("'" &amp; 'Personalized Bill Menu'!$B$22 &amp; "'!" &amp;"$A$4:$CA$100"), VLOOKUP(VLOOKUP("RIDER RATE 5",'Misc. Data &amp; Mechanisms'!$E$601:$I$631,HLOOKUP('Personalized Bill Menu'!$B$22, 'Misc. Data &amp; Mechanisms'!$E$599:$I$600, 2, FALSE), FALSE), 'Misc. Data &amp; Mechanisms'!$A$599:$C$659, 2, FALSE), FALSE) = "", "", VLOOKUP($A88, INDIRECT("'" &amp; 'Personalized Bill Menu'!$B$22 &amp; "'!" &amp;"$A$4:$CA$100"), VLOOKUP(VLOOKUP("RIDER RATE 5",'Misc. Data &amp; Mechanisms'!$E$601:$I$631,HLOOKUP('Personalized Bill Menu'!$B$22, 'Misc. Data &amp; Mechanisms'!$E$599:$I$600, 2, FALSE), FALSE), 'Misc. Data &amp; Mechanisms'!$A$599:$C$659, 2, FALSE), FALSE)), ""))</f>
        <v/>
      </c>
      <c r="AG88" s="90" t="str">
        <f ca="1">IF($A88="", "",IFERROR(IF(VLOOKUP($A88, INDIRECT("'" &amp; 'Personalized Bill Menu'!$B$22 &amp; "'!" &amp;"$A$4:$CA$100"), VLOOKUP(VLOOKUP("RIDER RATE 6",'Misc. Data &amp; Mechanisms'!$E$601:$I$631,HLOOKUP('Personalized Bill Menu'!$B$22, 'Misc. Data &amp; Mechanisms'!$E$599:$I$600, 2, FALSE), FALSE), 'Misc. Data &amp; Mechanisms'!$A$599:$C$659, 2, FALSE), FALSE) = "", "", VLOOKUP($A88, INDIRECT("'" &amp; 'Personalized Bill Menu'!$B$22 &amp; "'!" &amp;"$A$4:$CA$100"), VLOOKUP(VLOOKUP("RIDER RATE 6",'Misc. Data &amp; Mechanisms'!$E$601:$I$631,HLOOKUP('Personalized Bill Menu'!$B$22, 'Misc. Data &amp; Mechanisms'!$E$599:$I$600, 2, FALSE), FALSE), 'Misc. Data &amp; Mechanisms'!$A$599:$C$659, 2, FALSE), FALSE)), ""))</f>
        <v/>
      </c>
      <c r="AH88" s="90" t="str">
        <f ca="1">IF($A88="", "",IFERROR(IF(VLOOKUP($A88, INDIRECT("'" &amp; 'Personalized Bill Menu'!$B$22 &amp; "'!" &amp;"$A$4:$CA$100"), VLOOKUP(VLOOKUP("RIDER RATE 7",'Misc. Data &amp; Mechanisms'!$E$601:$I$631,HLOOKUP('Personalized Bill Menu'!$B$22, 'Misc. Data &amp; Mechanisms'!$E$599:$I$600, 2, FALSE), FALSE), 'Misc. Data &amp; Mechanisms'!$A$599:$C$659, 2, FALSE), FALSE) = "", "", VLOOKUP($A88, INDIRECT("'" &amp; 'Personalized Bill Menu'!$B$22 &amp; "'!" &amp;"$A$4:$CA$100"), VLOOKUP(VLOOKUP("RIDER RATE 7",'Misc. Data &amp; Mechanisms'!$E$601:$I$631,HLOOKUP('Personalized Bill Menu'!$B$22, 'Misc. Data &amp; Mechanisms'!$E$599:$I$600, 2, FALSE), FALSE), 'Misc. Data &amp; Mechanisms'!$A$599:$C$659, 2, FALSE), FALSE)), ""))</f>
        <v/>
      </c>
      <c r="AI88" s="72">
        <f t="shared" ca="1" si="32"/>
        <v>1.7346404492954608</v>
      </c>
      <c r="AJ88" s="72">
        <f t="shared" ca="1" si="33"/>
        <v>11.078366816650647</v>
      </c>
      <c r="AK88" s="72">
        <f ca="1">IF($A88="", "", IFERROR(IF($AD$6="%",IF('Personalized Bill Menu'!$B$22="ENMAX", $AD88*$I88, IF(AND($AD88="", 'Personalized Bill Menu'!$B$22="FORTIS"),($AE88/100)*$C88,$AD88*$H88)),($AD88/100)*$C88), 0))</f>
        <v>0</v>
      </c>
      <c r="AL88" s="72">
        <f ca="1">IF($A88="", "", IFERROR(IF('Personalized Bill Menu'!$B$22="ENMAX",$AE88*$B88,IF($AE$6="%",$AE88*($H88+$I88+$J88), IF('Personalized Bill Menu'!$B$22="FORTIS",$AF88*$I88,($AE88/100)*$C88))), 0))</f>
        <v>0</v>
      </c>
      <c r="AM88" s="72" t="str">
        <f>IF($A88="", "", IFERROR(IF('Personalized Bill Menu'!$B$22="EPCOR",($AF88/100)*$C88, IF('Personalized Bill Menu'!$B$22="ATCO",$AF88*1,"")), 0))</f>
        <v/>
      </c>
      <c r="AN88" s="72" t="str">
        <f>IF($A88="", "", IFERROR(IF('Personalized Bill Menu'!$B$22="ATCO",$AG88*$B88,""), 0))</f>
        <v/>
      </c>
      <c r="AO88" s="70" t="str">
        <f>IF($A88="", "", IFERROR(IF('Personalized Bill Menu'!$B$22="ATCO",$AH88*$B88,""), 0))</f>
        <v/>
      </c>
      <c r="AP88" s="81">
        <f>IF('Personalized Bill Menu'!$B$34&lt;&gt;"Natural Gas", 'Personalized Bill Menu'!$K85, "")</f>
        <v>0.2064</v>
      </c>
      <c r="AQ88" s="70">
        <f t="shared" si="34"/>
        <v>6.3983999999999996</v>
      </c>
      <c r="AR88" s="91">
        <f ca="1">IF($A88="", "",IF(VLOOKUP($A88, INDIRECT("'" &amp; 'Personalized Bill Menu'!$B$22 &amp; "'!" &amp;"$A$4:$CA$100"), VLOOKUP(VLOOKUP(AR$5,'Misc. Data &amp; Mechanisms'!$E$601:$I$631,HLOOKUP('Personalized Bill Menu'!$B$22, 'Misc. Data &amp; Mechanisms'!$E$599:$I$600, 2, FALSE), FALSE), 'Misc. Data &amp; Mechanisms'!$A$599:$C$659, 2, FALSE), FALSE) = "", "", VLOOKUP($A88, INDIRECT("'" &amp; 'Personalized Bill Menu'!$B$22 &amp; "'!" &amp;"$A$4:$CA$100"), VLOOKUP(VLOOKUP(AR$5,'Misc. Data &amp; Mechanisms'!$E$601:$I$631,HLOOKUP('Personalized Bill Menu'!$B$22, 'Misc. Data &amp; Mechanisms'!$E$599:$I$600, 2, FALSE), FALSE), 'Misc. Data &amp; Mechanisms'!$A$599:$C$659, 2, FALSE), FALSE)))</f>
        <v>0.05</v>
      </c>
    </row>
    <row r="89" spans="1:44" x14ac:dyDescent="0.35">
      <c r="A89" s="83">
        <f>'Personalized Bill Menu'!$H86</f>
        <v>43405</v>
      </c>
      <c r="B89" s="84">
        <f t="shared" si="19"/>
        <v>30</v>
      </c>
      <c r="C89" s="85">
        <f>IF('Personalized Bill Menu'!$B$34&lt;&gt;"Natural Gas", 'Personalized Bill Menu'!$I86, "")</f>
        <v>584.09010167112854</v>
      </c>
      <c r="D89" s="66">
        <f t="shared" ca="1" si="35"/>
        <v>17.740762989411799</v>
      </c>
      <c r="E89" s="66">
        <f ca="1">IFERROR((1+$AR89)*(IF('Personalized Bill Menu'!$B$22="ENMAX", ((1+IFERROR($X89, 0))*($N89+$P89+$R89+$AB89+$AC89))+((1+IF($X89="", 0,$X89))*(IF($AD89="", 0,$AD89)*$R89)), IF('Personalized Bill Menu'!$B$22="EPCOR", ($N89+$P89+$R89+$X89+SUM($AB89:$AE89)), IF('Personalized Bill Menu'!$B$22="ATCO",($N89+((1+IF($AE89="", 0,$AE89))*(1+$X89+$Y89)*($P89+$R89))+SUM($AB89:$AD89)),IF($AD89="",$N89+((1+$X89+$Y89)*($P89+$R89))+$AB89+$AE89+(IF($AC89="", 0, $AC89)*$P89)+($R89*IF($AF89="", 0, $AF89)),$N89+((1+$X89+$Y89)*($P89+$R89))+$AB89+($AD89*$P89)+(IF($AC89="", 0, $AC89)*$P89)+($R89*IF($AF89="", 0, $AF89))))))), "")</f>
        <v>13.616847163499999</v>
      </c>
      <c r="F89" s="1469">
        <f t="shared" ca="1" si="20"/>
        <v>103.62204058208933</v>
      </c>
      <c r="G89" s="66">
        <f t="shared" si="18"/>
        <v>36.832721811381369</v>
      </c>
      <c r="H89" s="66">
        <f t="shared" ca="1" si="21"/>
        <v>11.368145648825173</v>
      </c>
      <c r="I89" s="66">
        <f t="shared" ca="1" si="22"/>
        <v>21.317603186864364</v>
      </c>
      <c r="J89" s="66">
        <f t="shared" ca="1" si="23"/>
        <v>9.2487333004788272</v>
      </c>
      <c r="K89" s="66">
        <f t="shared" ca="1" si="24"/>
        <v>13.728453749678206</v>
      </c>
      <c r="L89" s="66">
        <f t="shared" si="25"/>
        <v>6.1920000000000002</v>
      </c>
      <c r="M89" s="68">
        <f t="shared" ca="1" si="26"/>
        <v>4.9343828848613969</v>
      </c>
      <c r="N89" s="1290">
        <f>IF('Personalized Bill Menu'!$B$34&lt;&gt;"Natural Gas", 'Personalized Bill Menu'!$J86, "")</f>
        <v>6.306</v>
      </c>
      <c r="O89" s="70">
        <f t="shared" si="27"/>
        <v>36.832721811381369</v>
      </c>
      <c r="P89" s="71">
        <f ca="1">IF($A89="", "",IFERROR(IF(VLOOKUP($A89, INDIRECT("'" &amp; 'Personalized Bill Menu'!$B$22 &amp; "'!" &amp;"$A$4:$CA$100"), VLOOKUP(VLOOKUP(P$5,'Misc. Data &amp; Mechanisms'!$E$601:$I$631,HLOOKUP('Personalized Bill Menu'!$B$22, 'Misc. Data &amp; Mechanisms'!$E$599:$I$600, 2, FALSE), FALSE), 'Misc. Data &amp; Mechanisms'!$A$599:$C$659, 2, FALSE), FALSE) = "", "", VLOOKUP($A89, INDIRECT("'" &amp; 'Personalized Bill Menu'!$B$22 &amp; "'!" &amp;"$A$4:$CA$100"), VLOOKUP(VLOOKUP(P$5,'Misc. Data &amp; Mechanisms'!$E$601:$I$631,HLOOKUP('Personalized Bill Menu'!$B$22, 'Misc. Data &amp; Mechanisms'!$E$599:$I$600, 2, FALSE), FALSE), 'Misc. Data &amp; Mechanisms'!$A$599:$C$659, 2, FALSE), FALSE)), ""))</f>
        <v>1.9462999999999999</v>
      </c>
      <c r="Q89" s="70">
        <f t="shared" ca="1" si="28"/>
        <v>11.368145648825173</v>
      </c>
      <c r="R89" s="87">
        <f ca="1">IF($A89="", "",IFERROR(IF(VLOOKUP($A89, INDIRECT("'" &amp; 'Personalized Bill Menu'!$B$22 &amp; "'!" &amp;"$A$4:$CA$100"), VLOOKUP(VLOOKUP(R$5,'Misc. Data &amp; Mechanisms'!$E$601:$I$631,HLOOKUP('Personalized Bill Menu'!$B$22, 'Misc. Data &amp; Mechanisms'!$E$599:$I$600, 2, FALSE), FALSE), 'Misc. Data &amp; Mechanisms'!$A$599:$C$659, 2, FALSE), FALSE) = "", "", VLOOKUP($A89, INDIRECT("'" &amp; 'Personalized Bill Menu'!$B$22 &amp; "'!" &amp;"$A$4:$CA$100"), VLOOKUP(VLOOKUP(R$5,'Misc. Data &amp; Mechanisms'!$E$601:$I$631,HLOOKUP('Personalized Bill Menu'!$B$22, 'Misc. Data &amp; Mechanisms'!$E$599:$I$600, 2, FALSE), FALSE), 'Misc. Data &amp; Mechanisms'!$A$599:$C$659, 2, FALSE), FALSE)), ""))</f>
        <v>1.069</v>
      </c>
      <c r="S89" s="88">
        <f ca="1">IF($A89="", "",IFERROR(IF(VLOOKUP($A89, INDIRECT("'" &amp; 'Personalized Bill Menu'!$B$22 &amp; "'!" &amp;"$A$4:$CA$100"), VLOOKUP(VLOOKUP(S$5,'Misc. Data &amp; Mechanisms'!$E$601:$I$631,HLOOKUP('Personalized Bill Menu'!$B$22, 'Misc. Data &amp; Mechanisms'!$E$599:$I$600, 2, FALSE), FALSE), 'Misc. Data &amp; Mechanisms'!$A$599:$C$659, 2, FALSE), FALSE) = "", "", VLOOKUP($A89, INDIRECT("'" &amp; 'Personalized Bill Menu'!$B$22 &amp; "'!" &amp;"$A$4:$CA$100"), VLOOKUP(VLOOKUP(S$5,'Misc. Data &amp; Mechanisms'!$E$601:$I$631,HLOOKUP('Personalized Bill Menu'!$B$22, 'Misc. Data &amp; Mechanisms'!$E$599:$I$600, 2, FALSE), FALSE), 'Misc. Data &amp; Mechanisms'!$A$599:$C$659, 2, FALSE), FALSE)), ""))</f>
        <v>0.50245600000000001</v>
      </c>
      <c r="T89" s="81" t="str">
        <f ca="1">IF($A89="", "",IFERROR(IF(VLOOKUP($A89, INDIRECT("'" &amp; 'Personalized Bill Menu'!$B$22 &amp; "'!" &amp;"$A$4:$CA$100"), VLOOKUP(VLOOKUP(T$5,'Misc. Data &amp; Mechanisms'!$E$601:$I$631,HLOOKUP('Personalized Bill Menu'!$B$22, 'Misc. Data &amp; Mechanisms'!$E$599:$I$600, 2, FALSE), FALSE), 'Misc. Data &amp; Mechanisms'!$A$599:$C$659, 2, FALSE), FALSE) = "", "", VLOOKUP($A89, INDIRECT("'" &amp; 'Personalized Bill Menu'!$B$22 &amp; "'!" &amp;"$A$4:$CA$100"), VLOOKUP(VLOOKUP(T$5,'Misc. Data &amp; Mechanisms'!$E$601:$I$631,HLOOKUP('Personalized Bill Menu'!$B$22, 'Misc. Data &amp; Mechanisms'!$E$599:$I$600, 2, FALSE), FALSE), 'Misc. Data &amp; Mechanisms'!$A$599:$C$659, 2, FALSE), FALSE)), ""))</f>
        <v/>
      </c>
      <c r="U89" s="72">
        <f t="shared" ca="1" si="29"/>
        <v>6.2439231868643637</v>
      </c>
      <c r="V89" s="72">
        <f t="shared" ca="1" si="30"/>
        <v>15.07368</v>
      </c>
      <c r="W89" s="70" t="str">
        <f t="shared" si="31"/>
        <v/>
      </c>
      <c r="X89" s="78">
        <f>IFERROR(IF(VLOOKUP($A89,'Misc. Data &amp; Mechanisms'!$A$63:$DY$152,HLOOKUP('Personalized Bill Menu'!$B$21&amp;"_"&amp;'Personalized Bill Menu'!$B$22&amp;"_Elec_Y_1",'Misc. Data &amp; Mechanisms'!$A$55:$DY$62,8,FALSE), FALSE)="", "", VLOOKUP($A89,'Misc. Data &amp; Mechanisms'!$A$63:$DY$152,HLOOKUP('Personalized Bill Menu'!$B$21&amp;"_"&amp;'Personalized Bill Menu'!$B$22&amp;"_Elec_Y_1",'Misc. Data &amp; Mechanisms'!$A$55:$DY$62,8,FALSE), FALSE)), "")</f>
        <v>0.1111</v>
      </c>
      <c r="Y89" s="78" t="str">
        <f>IFERROR(IF(VLOOKUP($A89,'Misc. Data &amp; Mechanisms'!$A$63:$DY$152,HLOOKUP('Personalized Bill Menu'!$B$21&amp;"_"&amp;'Personalized Bill Menu'!$B$22&amp;"_Elec_Y_2",'Misc. Data &amp; Mechanisms'!$A$55:$DY$62,8,FALSE), FALSE)="", "", VLOOKUP($A89,'Misc. Data &amp; Mechanisms'!$A$63:$DY$152,HLOOKUP('Personalized Bill Menu'!$B$21&amp;"_"&amp;'Personalized Bill Menu'!$B$22&amp;"_Elec_Y_2",'Misc. Data &amp; Mechanisms'!$A$55:$DY$62,8,FALSE), FALSE)), "")</f>
        <v/>
      </c>
      <c r="Z89" s="72">
        <f ca="1">IF($A89="", "",IFERROR(IF(OR('Personalized Bill Menu'!$B$22="FORTIS", 'Personalized Bill Menu'!$B$22="ATCO"), $X89*($H89+$I89), IF('Personalized Bill Menu'!$B$22="ENMAX",$X89*($H89+$I89+$K89),($X89/100)*$C89)), 0))</f>
        <v>5.1566179072343568</v>
      </c>
      <c r="AA89" s="70">
        <f>IF($A89="", "", IFERROR(IF(OR('Personalized Bill Menu'!$B$22="FORTIS", 'Personalized Bill Menu'!$B$22="ATCO"), $Y89*($H89+$I89), IF('Personalized Bill Menu'!$B$22="ENMAX",$X89*$G89,"")), 0))</f>
        <v>4.0921153932444705</v>
      </c>
      <c r="AB89" s="89">
        <f ca="1">IF($A89="", "",IFERROR(IF(VLOOKUP($A89, INDIRECT("'" &amp; 'Personalized Bill Menu'!$B$22 &amp; "'!" &amp;"$A$4:$CA$100"), VLOOKUP(VLOOKUP("RIDER RATE 1",'Misc. Data &amp; Mechanisms'!$E$601:$I$631,HLOOKUP('Personalized Bill Menu'!$B$22, 'Misc. Data &amp; Mechanisms'!$E$599:$I$600, 2, FALSE), FALSE), 'Misc. Data &amp; Mechanisms'!$A$599:$C$659, 2, FALSE), FALSE) = "", "", VLOOKUP($A89, INDIRECT("'" &amp; 'Personalized Bill Menu'!$B$22 &amp; "'!" &amp;"$A$4:$CA$100"), VLOOKUP(VLOOKUP("RIDER RATE 1",'Misc. Data &amp; Mechanisms'!$E$601:$I$631,HLOOKUP('Personalized Bill Menu'!$B$22, 'Misc. Data &amp; Mechanisms'!$E$599:$I$600, 2, FALSE), FALSE), 'Misc. Data &amp; Mechanisms'!$A$599:$C$659, 2, FALSE), FALSE)), ""))</f>
        <v>0.31819999999999998</v>
      </c>
      <c r="AC89" s="69">
        <f ca="1">IF($A89="", "",IFERROR(IF(VLOOKUP($A89, INDIRECT("'" &amp; 'Personalized Bill Menu'!$B$22 &amp; "'!" &amp;"$A$4:$CA$100"), VLOOKUP(VLOOKUP("RIDER RATE 2",'Misc. Data &amp; Mechanisms'!$E$601:$I$631,HLOOKUP('Personalized Bill Menu'!$B$22, 'Misc. Data &amp; Mechanisms'!$E$599:$I$600, 2, FALSE), FALSE), 'Misc. Data &amp; Mechanisms'!$A$599:$C$659, 2, FALSE), FALSE) = "", "", VLOOKUP($A89, INDIRECT("'" &amp; 'Personalized Bill Menu'!$B$22 &amp; "'!" &amp;"$A$4:$CA$100"), VLOOKUP(VLOOKUP("RIDER RATE 2",'Misc. Data &amp; Mechanisms'!$E$601:$I$631,HLOOKUP('Personalized Bill Menu'!$B$22, 'Misc. Data &amp; Mechanisms'!$E$599:$I$600, 2, FALSE), FALSE), 'Misc. Data &amp; Mechanisms'!$A$599:$C$659, 2, FALSE), FALSE)), ""))</f>
        <v>2.0322</v>
      </c>
      <c r="AD89" s="69" t="str">
        <f ca="1">IF($A89="", "",IFERROR(IF(VLOOKUP($A89, INDIRECT("'" &amp; 'Personalized Bill Menu'!$B$22 &amp; "'!" &amp;"$A$4:$CA$100"), VLOOKUP(VLOOKUP("RIDER RATE 3",'Misc. Data &amp; Mechanisms'!$E$601:$I$631,HLOOKUP('Personalized Bill Menu'!$B$22, 'Misc. Data &amp; Mechanisms'!$E$599:$I$600, 2, FALSE), FALSE), 'Misc. Data &amp; Mechanisms'!$A$599:$C$659, 2, FALSE), FALSE) = "", "", VLOOKUP($A89, INDIRECT("'" &amp; 'Personalized Bill Menu'!$B$22 &amp; "'!" &amp;"$A$4:$CA$100"), VLOOKUP(VLOOKUP("RIDER RATE 3",'Misc. Data &amp; Mechanisms'!$E$601:$I$631,HLOOKUP('Personalized Bill Menu'!$B$22, 'Misc. Data &amp; Mechanisms'!$E$599:$I$600, 2, FALSE), FALSE), 'Misc. Data &amp; Mechanisms'!$A$599:$C$659, 2, FALSE), FALSE)), ""))</f>
        <v/>
      </c>
      <c r="AE89" s="69" t="str">
        <f ca="1">IF($A89="", "",IFERROR(IF(VLOOKUP($A89, INDIRECT("'" &amp; 'Personalized Bill Menu'!$B$22 &amp; "'!" &amp;"$A$4:$CA$100"), VLOOKUP(VLOOKUP("RIDER RATE 4",'Misc. Data &amp; Mechanisms'!$E$601:$I$631,HLOOKUP('Personalized Bill Menu'!$B$22, 'Misc. Data &amp; Mechanisms'!$E$599:$I$600, 2, FALSE), FALSE), 'Misc. Data &amp; Mechanisms'!$A$599:$C$659, 2, FALSE), FALSE) = "", "", VLOOKUP($A89, INDIRECT("'" &amp; 'Personalized Bill Menu'!$B$22 &amp; "'!" &amp;"$A$4:$CA$100"), VLOOKUP(VLOOKUP("RIDER RATE 4",'Misc. Data &amp; Mechanisms'!$E$601:$I$631,HLOOKUP('Personalized Bill Menu'!$B$22, 'Misc. Data &amp; Mechanisms'!$E$599:$I$600, 2, FALSE), FALSE), 'Misc. Data &amp; Mechanisms'!$A$599:$C$659, 2, FALSE), FALSE)), ""))</f>
        <v/>
      </c>
      <c r="AF89" s="90" t="str">
        <f ca="1">IF($A89="", "",IFERROR(IF(VLOOKUP($A89, INDIRECT("'" &amp; 'Personalized Bill Menu'!$B$22 &amp; "'!" &amp;"$A$4:$CA$100"), VLOOKUP(VLOOKUP("RIDER RATE 5",'Misc. Data &amp; Mechanisms'!$E$601:$I$631,HLOOKUP('Personalized Bill Menu'!$B$22, 'Misc. Data &amp; Mechanisms'!$E$599:$I$600, 2, FALSE), FALSE), 'Misc. Data &amp; Mechanisms'!$A$599:$C$659, 2, FALSE), FALSE) = "", "", VLOOKUP($A89, INDIRECT("'" &amp; 'Personalized Bill Menu'!$B$22 &amp; "'!" &amp;"$A$4:$CA$100"), VLOOKUP(VLOOKUP("RIDER RATE 5",'Misc. Data &amp; Mechanisms'!$E$601:$I$631,HLOOKUP('Personalized Bill Menu'!$B$22, 'Misc. Data &amp; Mechanisms'!$E$599:$I$600, 2, FALSE), FALSE), 'Misc. Data &amp; Mechanisms'!$A$599:$C$659, 2, FALSE), FALSE)), ""))</f>
        <v/>
      </c>
      <c r="AG89" s="90" t="str">
        <f ca="1">IF($A89="", "",IFERROR(IF(VLOOKUP($A89, INDIRECT("'" &amp; 'Personalized Bill Menu'!$B$22 &amp; "'!" &amp;"$A$4:$CA$100"), VLOOKUP(VLOOKUP("RIDER RATE 6",'Misc. Data &amp; Mechanisms'!$E$601:$I$631,HLOOKUP('Personalized Bill Menu'!$B$22, 'Misc. Data &amp; Mechanisms'!$E$599:$I$600, 2, FALSE), FALSE), 'Misc. Data &amp; Mechanisms'!$A$599:$C$659, 2, FALSE), FALSE) = "", "", VLOOKUP($A89, INDIRECT("'" &amp; 'Personalized Bill Menu'!$B$22 &amp; "'!" &amp;"$A$4:$CA$100"), VLOOKUP(VLOOKUP("RIDER RATE 6",'Misc. Data &amp; Mechanisms'!$E$601:$I$631,HLOOKUP('Personalized Bill Menu'!$B$22, 'Misc. Data &amp; Mechanisms'!$E$599:$I$600, 2, FALSE), FALSE), 'Misc. Data &amp; Mechanisms'!$A$599:$C$659, 2, FALSE), FALSE)), ""))</f>
        <v/>
      </c>
      <c r="AH89" s="90" t="str">
        <f ca="1">IF($A89="", "",IFERROR(IF(VLOOKUP($A89, INDIRECT("'" &amp; 'Personalized Bill Menu'!$B$22 &amp; "'!" &amp;"$A$4:$CA$100"), VLOOKUP(VLOOKUP("RIDER RATE 7",'Misc. Data &amp; Mechanisms'!$E$601:$I$631,HLOOKUP('Personalized Bill Menu'!$B$22, 'Misc. Data &amp; Mechanisms'!$E$599:$I$600, 2, FALSE), FALSE), 'Misc. Data &amp; Mechanisms'!$A$599:$C$659, 2, FALSE), FALSE) = "", "", VLOOKUP($A89, INDIRECT("'" &amp; 'Personalized Bill Menu'!$B$22 &amp; "'!" &amp;"$A$4:$CA$100"), VLOOKUP(VLOOKUP("RIDER RATE 7",'Misc. Data &amp; Mechanisms'!$E$601:$I$631,HLOOKUP('Personalized Bill Menu'!$B$22, 'Misc. Data &amp; Mechanisms'!$E$599:$I$600, 2, FALSE), FALSE), 'Misc. Data &amp; Mechanisms'!$A$599:$C$659, 2, FALSE), FALSE)), ""))</f>
        <v/>
      </c>
      <c r="AI89" s="72">
        <f t="shared" ca="1" si="32"/>
        <v>1.8585747035175311</v>
      </c>
      <c r="AJ89" s="72">
        <f t="shared" ca="1" si="33"/>
        <v>11.869879046160674</v>
      </c>
      <c r="AK89" s="72">
        <f ca="1">IF($A89="", "", IFERROR(IF($AD$6="%",IF('Personalized Bill Menu'!$B$22="ENMAX", $AD89*$I89, IF(AND($AD89="", 'Personalized Bill Menu'!$B$22="FORTIS"),($AE89/100)*$C89,$AD89*$H89)),($AD89/100)*$C89), 0))</f>
        <v>0</v>
      </c>
      <c r="AL89" s="72">
        <f ca="1">IF($A89="", "", IFERROR(IF('Personalized Bill Menu'!$B$22="ENMAX",$AE89*$B89,IF($AE$6="%",$AE89*($H89+$I89+$J89), IF('Personalized Bill Menu'!$B$22="FORTIS",$AF89*$I89,($AE89/100)*$C89))), 0))</f>
        <v>0</v>
      </c>
      <c r="AM89" s="72" t="str">
        <f>IF($A89="", "", IFERROR(IF('Personalized Bill Menu'!$B$22="EPCOR",($AF89/100)*$C89, IF('Personalized Bill Menu'!$B$22="ATCO",$AF89*1,"")), 0))</f>
        <v/>
      </c>
      <c r="AN89" s="72" t="str">
        <f>IF($A89="", "", IFERROR(IF('Personalized Bill Menu'!$B$22="ATCO",$AG89*$B89,""), 0))</f>
        <v/>
      </c>
      <c r="AO89" s="70" t="str">
        <f>IF($A89="", "", IFERROR(IF('Personalized Bill Menu'!$B$22="ATCO",$AH89*$B89,""), 0))</f>
        <v/>
      </c>
      <c r="AP89" s="81">
        <f>IF('Personalized Bill Menu'!$B$34&lt;&gt;"Natural Gas", 'Personalized Bill Menu'!$K86, "")</f>
        <v>0.2064</v>
      </c>
      <c r="AQ89" s="70">
        <f t="shared" si="34"/>
        <v>6.1920000000000002</v>
      </c>
      <c r="AR89" s="91">
        <f ca="1">IF($A89="", "",IF(VLOOKUP($A89, INDIRECT("'" &amp; 'Personalized Bill Menu'!$B$22 &amp; "'!" &amp;"$A$4:$CA$100"), VLOOKUP(VLOOKUP(AR$5,'Misc. Data &amp; Mechanisms'!$E$601:$I$631,HLOOKUP('Personalized Bill Menu'!$B$22, 'Misc. Data &amp; Mechanisms'!$E$599:$I$600, 2, FALSE), FALSE), 'Misc. Data &amp; Mechanisms'!$A$599:$C$659, 2, FALSE), FALSE) = "", "", VLOOKUP($A89, INDIRECT("'" &amp; 'Personalized Bill Menu'!$B$22 &amp; "'!" &amp;"$A$4:$CA$100"), VLOOKUP(VLOOKUP(AR$5,'Misc. Data &amp; Mechanisms'!$E$601:$I$631,HLOOKUP('Personalized Bill Menu'!$B$22, 'Misc. Data &amp; Mechanisms'!$E$599:$I$600, 2, FALSE), FALSE), 'Misc. Data &amp; Mechanisms'!$A$599:$C$659, 2, FALSE), FALSE)))</f>
        <v>0.05</v>
      </c>
    </row>
    <row r="90" spans="1:44" x14ac:dyDescent="0.35">
      <c r="A90" s="83">
        <f>'Personalized Bill Menu'!$H87</f>
        <v>43435</v>
      </c>
      <c r="B90" s="84">
        <f t="shared" si="19"/>
        <v>31</v>
      </c>
      <c r="C90" s="85">
        <f>IF('Personalized Bill Menu'!$B$34&lt;&gt;"Natural Gas", 'Personalized Bill Menu'!$I87, "")</f>
        <v>627.91108023765605</v>
      </c>
      <c r="D90" s="66">
        <f t="shared" ca="1" si="35"/>
        <v>18.157159082312472</v>
      </c>
      <c r="E90" s="66">
        <f ca="1">IFERROR((1+$AR90)*(IF('Personalized Bill Menu'!$B$22="ENMAX", ((1+IFERROR($X90, 0))*($N90+$P90+$R90+$AB90+$AC90))+((1+IF($X90="", 0,$X90))*(IF($AD90="", 0,$AD90)*$R90)), IF('Personalized Bill Menu'!$B$22="EPCOR", ($N90+$P90+$R90+$X90+SUM($AB90:$AE90)), IF('Personalized Bill Menu'!$B$22="ATCO",($N90+((1+IF($AE90="", 0,$AE90))*(1+$X90+$Y90)*($P90+$R90))+SUM($AB90:$AD90)),IF($AD90="",$N90+((1+$X90+$Y90)*($P90+$R90))+$AB90+$AE90+(IF($AC90="", 0, $AC90)*$P90)+($R90*IF($AF90="", 0, $AF90)),$N90+((1+$X90+$Y90)*($P90+$R90))+$AB90+($AD90*$P90)+(IF($AC90="", 0, $AC90)*$P90)+($R90*IF($AF90="", 0, $AF90))))))), "")</f>
        <v>14.193174733499999</v>
      </c>
      <c r="F90" s="1469">
        <f t="shared" ca="1" si="20"/>
        <v>114.01081373421792</v>
      </c>
      <c r="G90" s="66">
        <f t="shared" si="18"/>
        <v>42.697953456160612</v>
      </c>
      <c r="H90" s="66">
        <f t="shared" ca="1" si="21"/>
        <v>12.221033354665499</v>
      </c>
      <c r="I90" s="66">
        <f t="shared" ca="1" si="22"/>
        <v>22.288505447740544</v>
      </c>
      <c r="J90" s="66">
        <f t="shared" ca="1" si="23"/>
        <v>10.217413077449297</v>
      </c>
      <c r="K90" s="66">
        <f t="shared" ca="1" si="24"/>
        <v>14.758422029905867</v>
      </c>
      <c r="L90" s="66">
        <f t="shared" si="25"/>
        <v>6.3983999999999996</v>
      </c>
      <c r="M90" s="68">
        <f t="shared" ca="1" si="26"/>
        <v>5.4290863682960913</v>
      </c>
      <c r="N90" s="1290">
        <f>IF('Personalized Bill Menu'!$B$34&lt;&gt;"Natural Gas", 'Personalized Bill Menu'!$J87, "")</f>
        <v>6.8</v>
      </c>
      <c r="O90" s="70">
        <f t="shared" si="27"/>
        <v>42.697953456160612</v>
      </c>
      <c r="P90" s="71">
        <f ca="1">IF($A90="", "",IFERROR(IF(VLOOKUP($A90, INDIRECT("'" &amp; 'Personalized Bill Menu'!$B$22 &amp; "'!" &amp;"$A$4:$CA$100"), VLOOKUP(VLOOKUP(P$5,'Misc. Data &amp; Mechanisms'!$E$601:$I$631,HLOOKUP('Personalized Bill Menu'!$B$22, 'Misc. Data &amp; Mechanisms'!$E$599:$I$600, 2, FALSE), FALSE), 'Misc. Data &amp; Mechanisms'!$A$599:$C$659, 2, FALSE), FALSE) = "", "", VLOOKUP($A90, INDIRECT("'" &amp; 'Personalized Bill Menu'!$B$22 &amp; "'!" &amp;"$A$4:$CA$100"), VLOOKUP(VLOOKUP(P$5,'Misc. Data &amp; Mechanisms'!$E$601:$I$631,HLOOKUP('Personalized Bill Menu'!$B$22, 'Misc. Data &amp; Mechanisms'!$E$599:$I$600, 2, FALSE), FALSE), 'Misc. Data &amp; Mechanisms'!$A$599:$C$659, 2, FALSE), FALSE)), ""))</f>
        <v>1.9462999999999999</v>
      </c>
      <c r="Q90" s="70">
        <f t="shared" ca="1" si="28"/>
        <v>12.221033354665499</v>
      </c>
      <c r="R90" s="87">
        <f ca="1">IF($A90="", "",IFERROR(IF(VLOOKUP($A90, INDIRECT("'" &amp; 'Personalized Bill Menu'!$B$22 &amp; "'!" &amp;"$A$4:$CA$100"), VLOOKUP(VLOOKUP(R$5,'Misc. Data &amp; Mechanisms'!$E$601:$I$631,HLOOKUP('Personalized Bill Menu'!$B$22, 'Misc. Data &amp; Mechanisms'!$E$599:$I$600, 2, FALSE), FALSE), 'Misc. Data &amp; Mechanisms'!$A$599:$C$659, 2, FALSE), FALSE) = "", "", VLOOKUP($A90, INDIRECT("'" &amp; 'Personalized Bill Menu'!$B$22 &amp; "'!" &amp;"$A$4:$CA$100"), VLOOKUP(VLOOKUP(R$5,'Misc. Data &amp; Mechanisms'!$E$601:$I$631,HLOOKUP('Personalized Bill Menu'!$B$22, 'Misc. Data &amp; Mechanisms'!$E$599:$I$600, 2, FALSE), FALSE), 'Misc. Data &amp; Mechanisms'!$A$599:$C$659, 2, FALSE), FALSE)), ""))</f>
        <v>1.069</v>
      </c>
      <c r="S90" s="88">
        <f ca="1">IF($A90="", "",IFERROR(IF(VLOOKUP($A90, INDIRECT("'" &amp; 'Personalized Bill Menu'!$B$22 &amp; "'!" &amp;"$A$4:$CA$100"), VLOOKUP(VLOOKUP(S$5,'Misc. Data &amp; Mechanisms'!$E$601:$I$631,HLOOKUP('Personalized Bill Menu'!$B$22, 'Misc. Data &amp; Mechanisms'!$E$599:$I$600, 2, FALSE), FALSE), 'Misc. Data &amp; Mechanisms'!$A$599:$C$659, 2, FALSE), FALSE) = "", "", VLOOKUP($A90, INDIRECT("'" &amp; 'Personalized Bill Menu'!$B$22 &amp; "'!" &amp;"$A$4:$CA$100"), VLOOKUP(VLOOKUP(S$5,'Misc. Data &amp; Mechanisms'!$E$601:$I$631,HLOOKUP('Personalized Bill Menu'!$B$22, 'Misc. Data &amp; Mechanisms'!$E$599:$I$600, 2, FALSE), FALSE), 'Misc. Data &amp; Mechanisms'!$A$599:$C$659, 2, FALSE), FALSE)), ""))</f>
        <v>0.50245600000000001</v>
      </c>
      <c r="T90" s="81" t="str">
        <f ca="1">IF($A90="", "",IFERROR(IF(VLOOKUP($A90, INDIRECT("'" &amp; 'Personalized Bill Menu'!$B$22 &amp; "'!" &amp;"$A$4:$CA$100"), VLOOKUP(VLOOKUP(T$5,'Misc. Data &amp; Mechanisms'!$E$601:$I$631,HLOOKUP('Personalized Bill Menu'!$B$22, 'Misc. Data &amp; Mechanisms'!$E$599:$I$600, 2, FALSE), FALSE), 'Misc. Data &amp; Mechanisms'!$A$599:$C$659, 2, FALSE), FALSE) = "", "", VLOOKUP($A90, INDIRECT("'" &amp; 'Personalized Bill Menu'!$B$22 &amp; "'!" &amp;"$A$4:$CA$100"), VLOOKUP(VLOOKUP(T$5,'Misc. Data &amp; Mechanisms'!$E$601:$I$631,HLOOKUP('Personalized Bill Menu'!$B$22, 'Misc. Data &amp; Mechanisms'!$E$599:$I$600, 2, FALSE), FALSE), 'Misc. Data &amp; Mechanisms'!$A$599:$C$659, 2, FALSE), FALSE)), ""))</f>
        <v/>
      </c>
      <c r="U90" s="72">
        <f t="shared" ca="1" si="29"/>
        <v>6.7123694477405431</v>
      </c>
      <c r="V90" s="72">
        <f t="shared" ca="1" si="30"/>
        <v>15.576136</v>
      </c>
      <c r="W90" s="70" t="str">
        <f t="shared" si="31"/>
        <v/>
      </c>
      <c r="X90" s="78">
        <f>IFERROR(IF(VLOOKUP($A90,'Misc. Data &amp; Mechanisms'!$A$63:$DY$152,HLOOKUP('Personalized Bill Menu'!$B$21&amp;"_"&amp;'Personalized Bill Menu'!$B$22&amp;"_Elec_Y_1",'Misc. Data &amp; Mechanisms'!$A$55:$DY$62,8,FALSE), FALSE)="", "", VLOOKUP($A90,'Misc. Data &amp; Mechanisms'!$A$63:$DY$152,HLOOKUP('Personalized Bill Menu'!$B$21&amp;"_"&amp;'Personalized Bill Menu'!$B$22&amp;"_Elec_Y_1",'Misc. Data &amp; Mechanisms'!$A$55:$DY$62,8,FALSE), FALSE)), "")</f>
        <v>0.1111</v>
      </c>
      <c r="Y90" s="78" t="str">
        <f>IFERROR(IF(VLOOKUP($A90,'Misc. Data &amp; Mechanisms'!$A$63:$DY$152,HLOOKUP('Personalized Bill Menu'!$B$21&amp;"_"&amp;'Personalized Bill Menu'!$B$22&amp;"_Elec_Y_2",'Misc. Data &amp; Mechanisms'!$A$55:$DY$62,8,FALSE), FALSE)="", "", VLOOKUP($A90,'Misc. Data &amp; Mechanisms'!$A$63:$DY$152,HLOOKUP('Personalized Bill Menu'!$B$21&amp;"_"&amp;'Personalized Bill Menu'!$B$22&amp;"_Elec_Y_2",'Misc. Data &amp; Mechanisms'!$A$55:$DY$62,8,FALSE), FALSE)), "")</f>
        <v/>
      </c>
      <c r="Z90" s="72">
        <f ca="1">IF($A90="", "",IFERROR(IF(OR('Personalized Bill Menu'!$B$22="FORTIS", 'Personalized Bill Menu'!$B$22="ATCO"), $X90*($H90+$I90), IF('Personalized Bill Menu'!$B$22="ENMAX",$X90*($H90+$I90+$K90),($X90/100)*$C90)), 0))</f>
        <v>5.4736704484698535</v>
      </c>
      <c r="AA90" s="70">
        <f>IF($A90="", "", IFERROR(IF(OR('Personalized Bill Menu'!$B$22="FORTIS", 'Personalized Bill Menu'!$B$22="ATCO"), $Y90*($H90+$I90), IF('Personalized Bill Menu'!$B$22="ENMAX",$X90*$G90,"")), 0))</f>
        <v>4.7437426289794438</v>
      </c>
      <c r="AB90" s="89">
        <f ca="1">IF($A90="", "",IFERROR(IF(VLOOKUP($A90, INDIRECT("'" &amp; 'Personalized Bill Menu'!$B$22 &amp; "'!" &amp;"$A$4:$CA$100"), VLOOKUP(VLOOKUP("RIDER RATE 1",'Misc. Data &amp; Mechanisms'!$E$601:$I$631,HLOOKUP('Personalized Bill Menu'!$B$22, 'Misc. Data &amp; Mechanisms'!$E$599:$I$600, 2, FALSE), FALSE), 'Misc. Data &amp; Mechanisms'!$A$599:$C$659, 2, FALSE), FALSE) = "", "", VLOOKUP($A90, INDIRECT("'" &amp; 'Personalized Bill Menu'!$B$22 &amp; "'!" &amp;"$A$4:$CA$100"), VLOOKUP(VLOOKUP("RIDER RATE 1",'Misc. Data &amp; Mechanisms'!$E$601:$I$631,HLOOKUP('Personalized Bill Menu'!$B$22, 'Misc. Data &amp; Mechanisms'!$E$599:$I$600, 2, FALSE), FALSE), 'Misc. Data &amp; Mechanisms'!$A$599:$C$659, 2, FALSE), FALSE)), ""))</f>
        <v>0.31819999999999998</v>
      </c>
      <c r="AC90" s="69">
        <f ca="1">IF($A90="", "",IFERROR(IF(VLOOKUP($A90, INDIRECT("'" &amp; 'Personalized Bill Menu'!$B$22 &amp; "'!" &amp;"$A$4:$CA$100"), VLOOKUP(VLOOKUP("RIDER RATE 2",'Misc. Data &amp; Mechanisms'!$E$601:$I$631,HLOOKUP('Personalized Bill Menu'!$B$22, 'Misc. Data &amp; Mechanisms'!$E$599:$I$600, 2, FALSE), FALSE), 'Misc. Data &amp; Mechanisms'!$A$599:$C$659, 2, FALSE), FALSE) = "", "", VLOOKUP($A90, INDIRECT("'" &amp; 'Personalized Bill Menu'!$B$22 &amp; "'!" &amp;"$A$4:$CA$100"), VLOOKUP(VLOOKUP("RIDER RATE 2",'Misc. Data &amp; Mechanisms'!$E$601:$I$631,HLOOKUP('Personalized Bill Menu'!$B$22, 'Misc. Data &amp; Mechanisms'!$E$599:$I$600, 2, FALSE), FALSE), 'Misc. Data &amp; Mechanisms'!$A$599:$C$659, 2, FALSE), FALSE)), ""))</f>
        <v>2.0322</v>
      </c>
      <c r="AD90" s="69" t="str">
        <f ca="1">IF($A90="", "",IFERROR(IF(VLOOKUP($A90, INDIRECT("'" &amp; 'Personalized Bill Menu'!$B$22 &amp; "'!" &amp;"$A$4:$CA$100"), VLOOKUP(VLOOKUP("RIDER RATE 3",'Misc. Data &amp; Mechanisms'!$E$601:$I$631,HLOOKUP('Personalized Bill Menu'!$B$22, 'Misc. Data &amp; Mechanisms'!$E$599:$I$600, 2, FALSE), FALSE), 'Misc. Data &amp; Mechanisms'!$A$599:$C$659, 2, FALSE), FALSE) = "", "", VLOOKUP($A90, INDIRECT("'" &amp; 'Personalized Bill Menu'!$B$22 &amp; "'!" &amp;"$A$4:$CA$100"), VLOOKUP(VLOOKUP("RIDER RATE 3",'Misc. Data &amp; Mechanisms'!$E$601:$I$631,HLOOKUP('Personalized Bill Menu'!$B$22, 'Misc. Data &amp; Mechanisms'!$E$599:$I$600, 2, FALSE), FALSE), 'Misc. Data &amp; Mechanisms'!$A$599:$C$659, 2, FALSE), FALSE)), ""))</f>
        <v/>
      </c>
      <c r="AE90" s="69" t="str">
        <f ca="1">IF($A90="", "",IFERROR(IF(VLOOKUP($A90, INDIRECT("'" &amp; 'Personalized Bill Menu'!$B$22 &amp; "'!" &amp;"$A$4:$CA$100"), VLOOKUP(VLOOKUP("RIDER RATE 4",'Misc. Data &amp; Mechanisms'!$E$601:$I$631,HLOOKUP('Personalized Bill Menu'!$B$22, 'Misc. Data &amp; Mechanisms'!$E$599:$I$600, 2, FALSE), FALSE), 'Misc. Data &amp; Mechanisms'!$A$599:$C$659, 2, FALSE), FALSE) = "", "", VLOOKUP($A90, INDIRECT("'" &amp; 'Personalized Bill Menu'!$B$22 &amp; "'!" &amp;"$A$4:$CA$100"), VLOOKUP(VLOOKUP("RIDER RATE 4",'Misc. Data &amp; Mechanisms'!$E$601:$I$631,HLOOKUP('Personalized Bill Menu'!$B$22, 'Misc. Data &amp; Mechanisms'!$E$599:$I$600, 2, FALSE), FALSE), 'Misc. Data &amp; Mechanisms'!$A$599:$C$659, 2, FALSE), FALSE)), ""))</f>
        <v/>
      </c>
      <c r="AF90" s="90" t="str">
        <f ca="1">IF($A90="", "",IFERROR(IF(VLOOKUP($A90, INDIRECT("'" &amp; 'Personalized Bill Menu'!$B$22 &amp; "'!" &amp;"$A$4:$CA$100"), VLOOKUP(VLOOKUP("RIDER RATE 5",'Misc. Data &amp; Mechanisms'!$E$601:$I$631,HLOOKUP('Personalized Bill Menu'!$B$22, 'Misc. Data &amp; Mechanisms'!$E$599:$I$600, 2, FALSE), FALSE), 'Misc. Data &amp; Mechanisms'!$A$599:$C$659, 2, FALSE), FALSE) = "", "", VLOOKUP($A90, INDIRECT("'" &amp; 'Personalized Bill Menu'!$B$22 &amp; "'!" &amp;"$A$4:$CA$100"), VLOOKUP(VLOOKUP("RIDER RATE 5",'Misc. Data &amp; Mechanisms'!$E$601:$I$631,HLOOKUP('Personalized Bill Menu'!$B$22, 'Misc. Data &amp; Mechanisms'!$E$599:$I$600, 2, FALSE), FALSE), 'Misc. Data &amp; Mechanisms'!$A$599:$C$659, 2, FALSE), FALSE)), ""))</f>
        <v/>
      </c>
      <c r="AG90" s="90" t="str">
        <f ca="1">IF($A90="", "",IFERROR(IF(VLOOKUP($A90, INDIRECT("'" &amp; 'Personalized Bill Menu'!$B$22 &amp; "'!" &amp;"$A$4:$CA$100"), VLOOKUP(VLOOKUP("RIDER RATE 6",'Misc. Data &amp; Mechanisms'!$E$601:$I$631,HLOOKUP('Personalized Bill Menu'!$B$22, 'Misc. Data &amp; Mechanisms'!$E$599:$I$600, 2, FALSE), FALSE), 'Misc. Data &amp; Mechanisms'!$A$599:$C$659, 2, FALSE), FALSE) = "", "", VLOOKUP($A90, INDIRECT("'" &amp; 'Personalized Bill Menu'!$B$22 &amp; "'!" &amp;"$A$4:$CA$100"), VLOOKUP(VLOOKUP("RIDER RATE 6",'Misc. Data &amp; Mechanisms'!$E$601:$I$631,HLOOKUP('Personalized Bill Menu'!$B$22, 'Misc. Data &amp; Mechanisms'!$E$599:$I$600, 2, FALSE), FALSE), 'Misc. Data &amp; Mechanisms'!$A$599:$C$659, 2, FALSE), FALSE)), ""))</f>
        <v/>
      </c>
      <c r="AH90" s="90" t="str">
        <f ca="1">IF($A90="", "",IFERROR(IF(VLOOKUP($A90, INDIRECT("'" &amp; 'Personalized Bill Menu'!$B$22 &amp; "'!" &amp;"$A$4:$CA$100"), VLOOKUP(VLOOKUP("RIDER RATE 7",'Misc. Data &amp; Mechanisms'!$E$601:$I$631,HLOOKUP('Personalized Bill Menu'!$B$22, 'Misc. Data &amp; Mechanisms'!$E$599:$I$600, 2, FALSE), FALSE), 'Misc. Data &amp; Mechanisms'!$A$599:$C$659, 2, FALSE), FALSE) = "", "", VLOOKUP($A90, INDIRECT("'" &amp; 'Personalized Bill Menu'!$B$22 &amp; "'!" &amp;"$A$4:$CA$100"), VLOOKUP(VLOOKUP("RIDER RATE 7",'Misc. Data &amp; Mechanisms'!$E$601:$I$631,HLOOKUP('Personalized Bill Menu'!$B$22, 'Misc. Data &amp; Mechanisms'!$E$599:$I$600, 2, FALSE), FALSE), 'Misc. Data &amp; Mechanisms'!$A$599:$C$659, 2, FALSE), FALSE)), ""))</f>
        <v/>
      </c>
      <c r="AI90" s="72">
        <f t="shared" ca="1" si="32"/>
        <v>1.9980130573162216</v>
      </c>
      <c r="AJ90" s="72">
        <f t="shared" ca="1" si="33"/>
        <v>12.760408972589646</v>
      </c>
      <c r="AK90" s="72">
        <f ca="1">IF($A90="", "", IFERROR(IF($AD$6="%",IF('Personalized Bill Menu'!$B$22="ENMAX", $AD90*$I90, IF(AND($AD90="", 'Personalized Bill Menu'!$B$22="FORTIS"),($AE90/100)*$C90,$AD90*$H90)),($AD90/100)*$C90), 0))</f>
        <v>0</v>
      </c>
      <c r="AL90" s="72">
        <f ca="1">IF($A90="", "", IFERROR(IF('Personalized Bill Menu'!$B$22="ENMAX",$AE90*$B90,IF($AE$6="%",$AE90*($H90+$I90+$J90), IF('Personalized Bill Menu'!$B$22="FORTIS",$AF90*$I90,($AE90/100)*$C90))), 0))</f>
        <v>0</v>
      </c>
      <c r="AM90" s="72" t="str">
        <f>IF($A90="", "", IFERROR(IF('Personalized Bill Menu'!$B$22="EPCOR",($AF90/100)*$C90, IF('Personalized Bill Menu'!$B$22="ATCO",$AF90*1,"")), 0))</f>
        <v/>
      </c>
      <c r="AN90" s="72" t="str">
        <f>IF($A90="", "", IFERROR(IF('Personalized Bill Menu'!$B$22="ATCO",$AG90*$B90,""), 0))</f>
        <v/>
      </c>
      <c r="AO90" s="70" t="str">
        <f>IF($A90="", "", IFERROR(IF('Personalized Bill Menu'!$B$22="ATCO",$AH90*$B90,""), 0))</f>
        <v/>
      </c>
      <c r="AP90" s="81">
        <f>IF('Personalized Bill Menu'!$B$34&lt;&gt;"Natural Gas", 'Personalized Bill Menu'!$K87, "")</f>
        <v>0.2064</v>
      </c>
      <c r="AQ90" s="70">
        <f t="shared" si="34"/>
        <v>6.3983999999999996</v>
      </c>
      <c r="AR90" s="91">
        <f ca="1">IF($A90="", "",IF(VLOOKUP($A90, INDIRECT("'" &amp; 'Personalized Bill Menu'!$B$22 &amp; "'!" &amp;"$A$4:$CA$100"), VLOOKUP(VLOOKUP(AR$5,'Misc. Data &amp; Mechanisms'!$E$601:$I$631,HLOOKUP('Personalized Bill Menu'!$B$22, 'Misc. Data &amp; Mechanisms'!$E$599:$I$600, 2, FALSE), FALSE), 'Misc. Data &amp; Mechanisms'!$A$599:$C$659, 2, FALSE), FALSE) = "", "", VLOOKUP($A90, INDIRECT("'" &amp; 'Personalized Bill Menu'!$B$22 &amp; "'!" &amp;"$A$4:$CA$100"), VLOOKUP(VLOOKUP(AR$5,'Misc. Data &amp; Mechanisms'!$E$601:$I$631,HLOOKUP('Personalized Bill Menu'!$B$22, 'Misc. Data &amp; Mechanisms'!$E$599:$I$600, 2, FALSE), FALSE), 'Misc. Data &amp; Mechanisms'!$A$599:$C$659, 2, FALSE), FALSE)))</f>
        <v>0.05</v>
      </c>
    </row>
    <row r="91" spans="1:44" x14ac:dyDescent="0.35">
      <c r="A91" s="83">
        <f>'Personalized Bill Menu'!$H88</f>
        <v>43466</v>
      </c>
      <c r="B91" s="84">
        <f t="shared" si="19"/>
        <v>31</v>
      </c>
      <c r="C91" s="85">
        <f>IF('Personalized Bill Menu'!$B$34&lt;&gt;"Natural Gas", 'Personalized Bill Menu'!$I88, "")</f>
        <v>604.05865639280523</v>
      </c>
      <c r="D91" s="66">
        <f t="shared" ca="1" si="35"/>
        <v>19.021986093833895</v>
      </c>
      <c r="E91" s="66">
        <f ca="1">IFERROR((1+$AR91)*(IF('Personalized Bill Menu'!$B$22="ENMAX", ((1+IFERROR($X91, 0))*($N91+$P91+$R91+$AB91+$AC91))+((1+IF($X91="", 0,$X91))*(IF($AD91="", 0,$AD91)*$R91)), IF('Personalized Bill Menu'!$B$22="EPCOR", ($N91+$P91+$R91+$X91+SUM($AB91:$AE91)), IF('Personalized Bill Menu'!$B$22="ATCO",($N91+((1+IF($AE91="", 0,$AE91))*(1+$X91+$Y91)*($P91+$R91))+SUM($AB91:$AD91)),IF($AD91="",$N91+((1+$X91+$Y91)*($P91+$R91))+$AB91+$AE91+(IF($AC91="", 0, $AC91)*$P91)+($R91*IF($AF91="", 0, $AF91)),$N91+((1+$X91+$Y91)*($P91+$R91))+$AB91+($AD91*$P91)+(IF($AC91="", 0, $AC91)*$P91)+($R91*IF($AF91="", 0, $AF91))))))), "")</f>
        <v>14.726905396140001</v>
      </c>
      <c r="F91" s="1469">
        <f t="shared" ca="1" si="20"/>
        <v>114.90395361763929</v>
      </c>
      <c r="G91" s="66">
        <f t="shared" si="18"/>
        <v>41.075988634710761</v>
      </c>
      <c r="H91" s="66">
        <f t="shared" ca="1" si="21"/>
        <v>11.756793629373167</v>
      </c>
      <c r="I91" s="66">
        <f t="shared" ca="1" si="22"/>
        <v>22.471725425714638</v>
      </c>
      <c r="J91" s="66">
        <f t="shared" ca="1" si="23"/>
        <v>10.302466363166253</v>
      </c>
      <c r="K91" s="66">
        <f ca="1">IF($A91="", "", IFERROR(SUM($AI91:$AO91), ""))</f>
        <v>17.426962725739266</v>
      </c>
      <c r="L91" s="66">
        <f t="shared" si="25"/>
        <v>6.3983999999999996</v>
      </c>
      <c r="M91" s="68">
        <f t="shared" ca="1" si="26"/>
        <v>5.4716168389352049</v>
      </c>
      <c r="N91" s="1290">
        <f>IF('Personalized Bill Menu'!$B$34&lt;&gt;"Natural Gas", 'Personalized Bill Menu'!$J88, "")</f>
        <v>6.8</v>
      </c>
      <c r="O91" s="70">
        <f t="shared" si="27"/>
        <v>41.075988634710761</v>
      </c>
      <c r="P91" s="71">
        <f ca="1">IF($A91="", "",IFERROR(IF(VLOOKUP($A91, INDIRECT("'" &amp; 'Personalized Bill Menu'!$B$22 &amp; "'!" &amp;"$A$4:$CA$100"), VLOOKUP(VLOOKUP(P$5,'Misc. Data &amp; Mechanisms'!$E$601:$I$631,HLOOKUP('Personalized Bill Menu'!$B$22, 'Misc. Data &amp; Mechanisms'!$E$599:$I$600, 2, FALSE), FALSE), 'Misc. Data &amp; Mechanisms'!$A$599:$C$659, 2, FALSE), FALSE) = "", "", VLOOKUP($A91, INDIRECT("'" &amp; 'Personalized Bill Menu'!$B$22 &amp; "'!" &amp;"$A$4:$CA$100"), VLOOKUP(VLOOKUP(P$5,'Misc. Data &amp; Mechanisms'!$E$601:$I$631,HLOOKUP('Personalized Bill Menu'!$B$22, 'Misc. Data &amp; Mechanisms'!$E$599:$I$600, 2, FALSE), FALSE), 'Misc. Data &amp; Mechanisms'!$A$599:$C$659, 2, FALSE), FALSE)), ""))</f>
        <v>1.9462999999999999</v>
      </c>
      <c r="Q91" s="70">
        <f t="shared" ca="1" si="28"/>
        <v>11.756793629373167</v>
      </c>
      <c r="R91" s="87">
        <f ca="1">IF($A91="", "",IFERROR(IF(VLOOKUP($A91, INDIRECT("'" &amp; 'Personalized Bill Menu'!$B$22 &amp; "'!" &amp;"$A$4:$CA$100"), VLOOKUP(VLOOKUP(R$5,'Misc. Data &amp; Mechanisms'!$E$601:$I$631,HLOOKUP('Personalized Bill Menu'!$B$22, 'Misc. Data &amp; Mechanisms'!$E$599:$I$600, 2, FALSE), FALSE), 'Misc. Data &amp; Mechanisms'!$A$599:$C$659, 2, FALSE), FALSE) = "", "", VLOOKUP($A91, INDIRECT("'" &amp; 'Personalized Bill Menu'!$B$22 &amp; "'!" &amp;"$A$4:$CA$100"), VLOOKUP(VLOOKUP(R$5,'Misc. Data &amp; Mechanisms'!$E$601:$I$631,HLOOKUP('Personalized Bill Menu'!$B$22, 'Misc. Data &amp; Mechanisms'!$E$599:$I$600, 2, FALSE), FALSE), 'Misc. Data &amp; Mechanisms'!$A$599:$C$659, 2, FALSE), FALSE)), ""))</f>
        <v>1.0475000000000001</v>
      </c>
      <c r="S91" s="88">
        <f ca="1">IF($A91="", "",IFERROR(IF(VLOOKUP($A91, INDIRECT("'" &amp; 'Personalized Bill Menu'!$B$22 &amp; "'!" &amp;"$A$4:$CA$100"), VLOOKUP(VLOOKUP(S$5,'Misc. Data &amp; Mechanisms'!$E$601:$I$631,HLOOKUP('Personalized Bill Menu'!$B$22, 'Misc. Data &amp; Mechanisms'!$E$599:$I$600, 2, FALSE), FALSE), 'Misc. Data &amp; Mechanisms'!$A$599:$C$659, 2, FALSE), FALSE) = "", "", VLOOKUP($A91, INDIRECT("'" &amp; 'Personalized Bill Menu'!$B$22 &amp; "'!" &amp;"$A$4:$CA$100"), VLOOKUP(VLOOKUP(S$5,'Misc. Data &amp; Mechanisms'!$E$601:$I$631,HLOOKUP('Personalized Bill Menu'!$B$22, 'Misc. Data &amp; Mechanisms'!$E$599:$I$600, 2, FALSE), FALSE), 'Misc. Data &amp; Mechanisms'!$A$599:$C$659, 2, FALSE), FALSE)), ""))</f>
        <v>0.52078100000000005</v>
      </c>
      <c r="T91" s="81" t="str">
        <f ca="1">IF($A91="", "",IFERROR(IF(VLOOKUP($A91, INDIRECT("'" &amp; 'Personalized Bill Menu'!$B$22 &amp; "'!" &amp;"$A$4:$CA$100"), VLOOKUP(VLOOKUP(T$5,'Misc. Data &amp; Mechanisms'!$E$601:$I$631,HLOOKUP('Personalized Bill Menu'!$B$22, 'Misc. Data &amp; Mechanisms'!$E$599:$I$600, 2, FALSE), FALSE), 'Misc. Data &amp; Mechanisms'!$A$599:$C$659, 2, FALSE), FALSE) = "", "", VLOOKUP($A91, INDIRECT("'" &amp; 'Personalized Bill Menu'!$B$22 &amp; "'!" &amp;"$A$4:$CA$100"), VLOOKUP(VLOOKUP(T$5,'Misc. Data &amp; Mechanisms'!$E$601:$I$631,HLOOKUP('Personalized Bill Menu'!$B$22, 'Misc. Data &amp; Mechanisms'!$E$599:$I$600, 2, FALSE), FALSE), 'Misc. Data &amp; Mechanisms'!$A$599:$C$659, 2, FALSE), FALSE)), ""))</f>
        <v/>
      </c>
      <c r="U91" s="72">
        <f t="shared" ca="1" si="29"/>
        <v>6.3275144257146358</v>
      </c>
      <c r="V91" s="72">
        <f t="shared" ca="1" si="30"/>
        <v>16.144211000000002</v>
      </c>
      <c r="W91" s="70" t="str">
        <f t="shared" si="31"/>
        <v/>
      </c>
      <c r="X91" s="78">
        <f>IFERROR(IF(VLOOKUP($A91,'Misc. Data &amp; Mechanisms'!$A$63:$DY$152,HLOOKUP('Personalized Bill Menu'!$B$21&amp;"_"&amp;'Personalized Bill Menu'!$B$22&amp;"_Elec_Y_1",'Misc. Data &amp; Mechanisms'!$A$55:$DY$62,8,FALSE), FALSE)="", "", VLOOKUP($A91,'Misc. Data &amp; Mechanisms'!$A$63:$DY$152,HLOOKUP('Personalized Bill Menu'!$B$21&amp;"_"&amp;'Personalized Bill Menu'!$B$22&amp;"_Elec_Y_1",'Misc. Data &amp; Mechanisms'!$A$55:$DY$62,8,FALSE), FALSE)), "")</f>
        <v>0.1111</v>
      </c>
      <c r="Y91" s="78" t="str">
        <f>IFERROR(IF(VLOOKUP($A91,'Misc. Data &amp; Mechanisms'!$A$63:$DY$152,HLOOKUP('Personalized Bill Menu'!$B$21&amp;"_"&amp;'Personalized Bill Menu'!$B$22&amp;"_Elec_Y_2",'Misc. Data &amp; Mechanisms'!$A$55:$DY$62,8,FALSE), FALSE)="", "", VLOOKUP($A91,'Misc. Data &amp; Mechanisms'!$A$63:$DY$152,HLOOKUP('Personalized Bill Menu'!$B$21&amp;"_"&amp;'Personalized Bill Menu'!$B$22&amp;"_Elec_Y_2",'Misc. Data &amp; Mechanisms'!$A$55:$DY$62,8,FALSE), FALSE)), "")</f>
        <v/>
      </c>
      <c r="Z91" s="72">
        <f ca="1">IF($A91="", "",IFERROR(IF(OR('Personalized Bill Menu'!$B$22="FORTIS", 'Personalized Bill Menu'!$B$22="ATCO"), $X91*($H91+$I91), IF('Personalized Bill Menu'!$B$22="ENMAX",$X91*($H91+$I91+$K91),($X91/100)*$C91)), 0))</f>
        <v>5.7389240258498875</v>
      </c>
      <c r="AA91" s="70">
        <f>IF($A91="", "", IFERROR(IF(OR('Personalized Bill Menu'!$B$22="FORTIS", 'Personalized Bill Menu'!$B$22="ATCO"), $Y91*($H91+$I91), IF('Personalized Bill Menu'!$B$22="ENMAX",$X91*$G91,"")), 0))</f>
        <v>4.5635423373163659</v>
      </c>
      <c r="AB91" s="89">
        <f ca="1">IF($A91="", "",IFERROR(IF(VLOOKUP($A91, INDIRECT("'" &amp; 'Personalized Bill Menu'!$B$22 &amp; "'!" &amp;"$A$4:$CA$100"), VLOOKUP(VLOOKUP("RIDER RATE 1",'Misc. Data &amp; Mechanisms'!$E$601:$I$631,HLOOKUP('Personalized Bill Menu'!$B$22, 'Misc. Data &amp; Mechanisms'!$E$599:$I$600, 2, FALSE), FALSE), 'Misc. Data &amp; Mechanisms'!$A$599:$C$659, 2, FALSE), FALSE) = "", "", VLOOKUP($A91, INDIRECT("'" &amp; 'Personalized Bill Menu'!$B$22 &amp; "'!" &amp;"$A$4:$CA$100"), VLOOKUP(VLOOKUP("RIDER RATE 1",'Misc. Data &amp; Mechanisms'!$E$601:$I$631,HLOOKUP('Personalized Bill Menu'!$B$22, 'Misc. Data &amp; Mechanisms'!$E$599:$I$600, 2, FALSE), FALSE), 'Misc. Data &amp; Mechanisms'!$A$599:$C$659, 2, FALSE), FALSE)), ""))</f>
        <v>0.2969</v>
      </c>
      <c r="AC91" s="69">
        <f ca="1">IF($A91="", "",IFERROR(IF(VLOOKUP($A91, INDIRECT("'" &amp; 'Personalized Bill Menu'!$B$22 &amp; "'!" &amp;"$A$4:$CA$100"), VLOOKUP(VLOOKUP("RIDER RATE 2",'Misc. Data &amp; Mechanisms'!$E$601:$I$631,HLOOKUP('Personalized Bill Menu'!$B$22, 'Misc. Data &amp; Mechanisms'!$E$599:$I$600, 2, FALSE), FALSE), 'Misc. Data &amp; Mechanisms'!$A$599:$C$659, 2, FALSE), FALSE) = "", "", VLOOKUP($A91, INDIRECT("'" &amp; 'Personalized Bill Menu'!$B$22 &amp; "'!" &amp;"$A$4:$CA$100"), VLOOKUP(VLOOKUP("RIDER RATE 2",'Misc. Data &amp; Mechanisms'!$E$601:$I$631,HLOOKUP('Personalized Bill Menu'!$B$22, 'Misc. Data &amp; Mechanisms'!$E$599:$I$600, 2, FALSE), FALSE), 'Misc. Data &amp; Mechanisms'!$A$599:$C$659, 2, FALSE), FALSE)), ""))</f>
        <v>2.5106999999999999</v>
      </c>
      <c r="AD91" s="69">
        <f ca="1">IF($A91="", "",IFERROR(IF(VLOOKUP($A91, INDIRECT("'" &amp; 'Personalized Bill Menu'!$B$22 &amp; "'!" &amp;"$A$4:$CA$100"), VLOOKUP(VLOOKUP("RIDER RATE 3",'Misc. Data &amp; Mechanisms'!$E$601:$I$631,HLOOKUP('Personalized Bill Menu'!$B$22, 'Misc. Data &amp; Mechanisms'!$E$599:$I$600, 2, FALSE), FALSE), 'Misc. Data &amp; Mechanisms'!$A$599:$C$659, 2, FALSE), FALSE) = "", "", VLOOKUP($A91, INDIRECT("'" &amp; 'Personalized Bill Menu'!$B$22 &amp; "'!" &amp;"$A$4:$CA$100"), VLOOKUP(VLOOKUP("RIDER RATE 3",'Misc. Data &amp; Mechanisms'!$E$601:$I$631,HLOOKUP('Personalized Bill Menu'!$B$22, 'Misc. Data &amp; Mechanisms'!$E$599:$I$600, 2, FALSE), FALSE), 'Misc. Data &amp; Mechanisms'!$A$599:$C$659, 2, FALSE), FALSE)), ""))</f>
        <v>2.0799999999999999E-2</v>
      </c>
      <c r="AE91" s="69" t="str">
        <f ca="1">IF($A91="", "",IFERROR(IF(VLOOKUP($A91, INDIRECT("'" &amp; 'Personalized Bill Menu'!$B$22 &amp; "'!" &amp;"$A$4:$CA$100"), VLOOKUP(VLOOKUP("RIDER RATE 4",'Misc. Data &amp; Mechanisms'!$E$601:$I$631,HLOOKUP('Personalized Bill Menu'!$B$22, 'Misc. Data &amp; Mechanisms'!$E$599:$I$600, 2, FALSE), FALSE), 'Misc. Data &amp; Mechanisms'!$A$599:$C$659, 2, FALSE), FALSE) = "", "", VLOOKUP($A91, INDIRECT("'" &amp; 'Personalized Bill Menu'!$B$22 &amp; "'!" &amp;"$A$4:$CA$100"), VLOOKUP(VLOOKUP("RIDER RATE 4",'Misc. Data &amp; Mechanisms'!$E$601:$I$631,HLOOKUP('Personalized Bill Menu'!$B$22, 'Misc. Data &amp; Mechanisms'!$E$599:$I$600, 2, FALSE), FALSE), 'Misc. Data &amp; Mechanisms'!$A$599:$C$659, 2, FALSE), FALSE)), ""))</f>
        <v/>
      </c>
      <c r="AF91" s="90" t="str">
        <f ca="1">IF($A91="", "",IFERROR(IF(VLOOKUP($A91, INDIRECT("'" &amp; 'Personalized Bill Menu'!$B$22 &amp; "'!" &amp;"$A$4:$CA$100"), VLOOKUP(VLOOKUP("RIDER RATE 5",'Misc. Data &amp; Mechanisms'!$E$601:$I$631,HLOOKUP('Personalized Bill Menu'!$B$22, 'Misc. Data &amp; Mechanisms'!$E$599:$I$600, 2, FALSE), FALSE), 'Misc. Data &amp; Mechanisms'!$A$599:$C$659, 2, FALSE), FALSE) = "", "", VLOOKUP($A91, INDIRECT("'" &amp; 'Personalized Bill Menu'!$B$22 &amp; "'!" &amp;"$A$4:$CA$100"), VLOOKUP(VLOOKUP("RIDER RATE 5",'Misc. Data &amp; Mechanisms'!$E$601:$I$631,HLOOKUP('Personalized Bill Menu'!$B$22, 'Misc. Data &amp; Mechanisms'!$E$599:$I$600, 2, FALSE), FALSE), 'Misc. Data &amp; Mechanisms'!$A$599:$C$659, 2, FALSE), FALSE)), ""))</f>
        <v/>
      </c>
      <c r="AG91" s="90" t="str">
        <f ca="1">IF($A91="", "",IFERROR(IF(VLOOKUP($A91, INDIRECT("'" &amp; 'Personalized Bill Menu'!$B$22 &amp; "'!" &amp;"$A$4:$CA$100"), VLOOKUP(VLOOKUP("RIDER RATE 6",'Misc. Data &amp; Mechanisms'!$E$601:$I$631,HLOOKUP('Personalized Bill Menu'!$B$22, 'Misc. Data &amp; Mechanisms'!$E$599:$I$600, 2, FALSE), FALSE), 'Misc. Data &amp; Mechanisms'!$A$599:$C$659, 2, FALSE), FALSE) = "", "", VLOOKUP($A91, INDIRECT("'" &amp; 'Personalized Bill Menu'!$B$22 &amp; "'!" &amp;"$A$4:$CA$100"), VLOOKUP(VLOOKUP("RIDER RATE 6",'Misc. Data &amp; Mechanisms'!$E$601:$I$631,HLOOKUP('Personalized Bill Menu'!$B$22, 'Misc. Data &amp; Mechanisms'!$E$599:$I$600, 2, FALSE), FALSE), 'Misc. Data &amp; Mechanisms'!$A$599:$C$659, 2, FALSE), FALSE)), ""))</f>
        <v/>
      </c>
      <c r="AH91" s="90" t="str">
        <f ca="1">IF($A91="", "",IFERROR(IF(VLOOKUP($A91, INDIRECT("'" &amp; 'Personalized Bill Menu'!$B$22 &amp; "'!" &amp;"$A$4:$CA$100"), VLOOKUP(VLOOKUP("RIDER RATE 7",'Misc. Data &amp; Mechanisms'!$E$601:$I$631,HLOOKUP('Personalized Bill Menu'!$B$22, 'Misc. Data &amp; Mechanisms'!$E$599:$I$600, 2, FALSE), FALSE), 'Misc. Data &amp; Mechanisms'!$A$599:$C$659, 2, FALSE), FALSE) = "", "", VLOOKUP($A91, INDIRECT("'" &amp; 'Personalized Bill Menu'!$B$22 &amp; "'!" &amp;"$A$4:$CA$100"), VLOOKUP(VLOOKUP("RIDER RATE 7",'Misc. Data &amp; Mechanisms'!$E$601:$I$631,HLOOKUP('Personalized Bill Menu'!$B$22, 'Misc. Data &amp; Mechanisms'!$E$599:$I$600, 2, FALSE), FALSE), 'Misc. Data &amp; Mechanisms'!$A$599:$C$659, 2, FALSE), FALSE)), ""))</f>
        <v/>
      </c>
      <c r="AI91" s="72">
        <f t="shared" ca="1" si="32"/>
        <v>1.7934501508302387</v>
      </c>
      <c r="AJ91" s="72">
        <f t="shared" ca="1" si="33"/>
        <v>15.166100686054161</v>
      </c>
      <c r="AK91" s="72">
        <f ca="1">IF($A91="", "", IFERROR(IF($AD$6="%",IF('Personalized Bill Menu'!$B$22="ENMAX", $AD91*$I91, IF(AND($AD91="", 'Personalized Bill Menu'!$B$22="FORTIS"),($AE91/100)*$C91,$AD91*$H91)),($AD91/100)*$C91), 0))</f>
        <v>0.46741188885486445</v>
      </c>
      <c r="AL91" s="72">
        <f ca="1">IF($A91="", "", IFERROR(IF('Personalized Bill Menu'!$B$22="ENMAX",$AE91*$B91,IF($AE$6="%",$AE91*($H91+$I91+$J91), IF('Personalized Bill Menu'!$B$22="FORTIS",$AF91*$I91,($AE91/100)*$C91))), 0))</f>
        <v>0</v>
      </c>
      <c r="AM91" s="72" t="str">
        <f>IF($A91="", "", IFERROR(IF('Personalized Bill Menu'!$B$22="EPCOR",($AF91/100)*$C91, IF('Personalized Bill Menu'!$B$22="ATCO",$AF91*1,"")), 0))</f>
        <v/>
      </c>
      <c r="AN91" s="72" t="str">
        <f>IF($A91="", "", IFERROR(IF('Personalized Bill Menu'!$B$22="ATCO",$AG91*$B91,""), 0))</f>
        <v/>
      </c>
      <c r="AO91" s="70" t="str">
        <f>IF($A91="", "", IFERROR(IF('Personalized Bill Menu'!$B$22="ATCO",$AH91*$B91,""), 0))</f>
        <v/>
      </c>
      <c r="AP91" s="81">
        <f>IF('Personalized Bill Menu'!$B$34&lt;&gt;"Natural Gas", 'Personalized Bill Menu'!$K88, "")</f>
        <v>0.2064</v>
      </c>
      <c r="AQ91" s="70">
        <f t="shared" si="34"/>
        <v>6.3983999999999996</v>
      </c>
      <c r="AR91" s="91">
        <f ca="1">IF($A91="", "",IF(VLOOKUP($A91, INDIRECT("'" &amp; 'Personalized Bill Menu'!$B$22 &amp; "'!" &amp;"$A$4:$CA$100"), VLOOKUP(VLOOKUP(AR$5,'Misc. Data &amp; Mechanisms'!$E$601:$I$631,HLOOKUP('Personalized Bill Menu'!$B$22, 'Misc. Data &amp; Mechanisms'!$E$599:$I$600, 2, FALSE), FALSE), 'Misc. Data &amp; Mechanisms'!$A$599:$C$659, 2, FALSE), FALSE) = "", "", VLOOKUP($A91, INDIRECT("'" &amp; 'Personalized Bill Menu'!$B$22 &amp; "'!" &amp;"$A$4:$CA$100"), VLOOKUP(VLOOKUP(AR$5,'Misc. Data &amp; Mechanisms'!$E$601:$I$631,HLOOKUP('Personalized Bill Menu'!$B$22, 'Misc. Data &amp; Mechanisms'!$E$599:$I$600, 2, FALSE), FALSE), 'Misc. Data &amp; Mechanisms'!$A$599:$C$659, 2, FALSE), FALSE)))</f>
        <v>0.05</v>
      </c>
    </row>
    <row r="92" spans="1:44" x14ac:dyDescent="0.35">
      <c r="A92" s="83">
        <f>'Personalized Bill Menu'!$H89</f>
        <v>43497</v>
      </c>
      <c r="B92" s="84">
        <f t="shared" si="19"/>
        <v>28</v>
      </c>
      <c r="C92" s="85">
        <f>IF('Personalized Bill Menu'!$B$34&lt;&gt;"Natural Gas", 'Personalized Bill Menu'!$I89, "")</f>
        <v>631.39549774534771</v>
      </c>
      <c r="D92" s="66">
        <f t="shared" ca="1" si="35"/>
        <v>18.438369777311657</v>
      </c>
      <c r="E92" s="66">
        <f ca="1">IFERROR((1+$AR92)*(IF('Personalized Bill Menu'!$B$22="ENMAX", ((1+IFERROR($X92, 0))*($N92+$P92+$R92+$AB92+$AC92))+((1+IF($X92="", 0,$X92))*(IF($AD92="", 0,$AD92)*$R92)), IF('Personalized Bill Menu'!$B$22="EPCOR", ($N92+$P92+$R92+$X92+SUM($AB92:$AE92)), IF('Personalized Bill Menu'!$B$22="ATCO",($N92+((1+IF($AE92="", 0,$AE92))*(1+$X92+$Y92)*($P92+$R92))+SUM($AB92:$AD92)),IF($AD92="",$N92+((1+$X92+$Y92)*($P92+$R92))+$AB92+$AE92+(IF($AC92="", 0, $AC92)*$P92)+($R92*IF($AF92="", 0, $AF92)),$N92+((1+$X92+$Y92)*($P92+$R92))+$AB92+($AD92*$P92)+(IF($AC92="", 0, $AC92)*$P92)+($R92*IF($AF92="", 0, $AF92))))))), "")</f>
        <v>14.726905396140001</v>
      </c>
      <c r="F92" s="1469">
        <f t="shared" ca="1" si="20"/>
        <v>116.41903663158469</v>
      </c>
      <c r="G92" s="66">
        <f t="shared" si="18"/>
        <v>42.93489384668365</v>
      </c>
      <c r="H92" s="66">
        <f t="shared" ca="1" si="21"/>
        <v>12.288850572617701</v>
      </c>
      <c r="I92" s="66">
        <f t="shared" ca="1" si="22"/>
        <v>21.19573583888252</v>
      </c>
      <c r="J92" s="66">
        <f t="shared" ca="1" si="23"/>
        <v>10.508661424130576</v>
      </c>
      <c r="K92" s="66">
        <f t="shared" ref="K92:K96" ca="1" si="36">IF($A92="", "", IFERROR(SUM($AI92:$AO92), ""))</f>
        <v>18.167931300147139</v>
      </c>
      <c r="L92" s="66">
        <f t="shared" si="25"/>
        <v>5.7792000000000003</v>
      </c>
      <c r="M92" s="68">
        <f t="shared" ca="1" si="26"/>
        <v>5.5437636491230808</v>
      </c>
      <c r="N92" s="1290">
        <f>IF('Personalized Bill Menu'!$B$34&lt;&gt;"Natural Gas", 'Personalized Bill Menu'!$J89, "")</f>
        <v>6.8</v>
      </c>
      <c r="O92" s="70">
        <f t="shared" si="27"/>
        <v>42.93489384668365</v>
      </c>
      <c r="P92" s="71">
        <f ca="1">IF($A92="", "",IFERROR(IF(VLOOKUP($A92, INDIRECT("'" &amp; 'Personalized Bill Menu'!$B$22 &amp; "'!" &amp;"$A$4:$CA$100"), VLOOKUP(VLOOKUP(P$5,'Misc. Data &amp; Mechanisms'!$E$601:$I$631,HLOOKUP('Personalized Bill Menu'!$B$22, 'Misc. Data &amp; Mechanisms'!$E$599:$I$600, 2, FALSE), FALSE), 'Misc. Data &amp; Mechanisms'!$A$599:$C$659, 2, FALSE), FALSE) = "", "", VLOOKUP($A92, INDIRECT("'" &amp; 'Personalized Bill Menu'!$B$22 &amp; "'!" &amp;"$A$4:$CA$100"), VLOOKUP(VLOOKUP(P$5,'Misc. Data &amp; Mechanisms'!$E$601:$I$631,HLOOKUP('Personalized Bill Menu'!$B$22, 'Misc. Data &amp; Mechanisms'!$E$599:$I$600, 2, FALSE), FALSE), 'Misc. Data &amp; Mechanisms'!$A$599:$C$659, 2, FALSE), FALSE)), ""))</f>
        <v>1.9462999999999999</v>
      </c>
      <c r="Q92" s="70">
        <f t="shared" ca="1" si="28"/>
        <v>12.288850572617701</v>
      </c>
      <c r="R92" s="87">
        <f ca="1">IF($A92="", "",IFERROR(IF(VLOOKUP($A92, INDIRECT("'" &amp; 'Personalized Bill Menu'!$B$22 &amp; "'!" &amp;"$A$4:$CA$100"), VLOOKUP(VLOOKUP(R$5,'Misc. Data &amp; Mechanisms'!$E$601:$I$631,HLOOKUP('Personalized Bill Menu'!$B$22, 'Misc. Data &amp; Mechanisms'!$E$599:$I$600, 2, FALSE), FALSE), 'Misc. Data &amp; Mechanisms'!$A$599:$C$659, 2, FALSE), FALSE) = "", "", VLOOKUP($A92, INDIRECT("'" &amp; 'Personalized Bill Menu'!$B$22 &amp; "'!" &amp;"$A$4:$CA$100"), VLOOKUP(VLOOKUP(R$5,'Misc. Data &amp; Mechanisms'!$E$601:$I$631,HLOOKUP('Personalized Bill Menu'!$B$22, 'Misc. Data &amp; Mechanisms'!$E$599:$I$600, 2, FALSE), FALSE), 'Misc. Data &amp; Mechanisms'!$A$599:$C$659, 2, FALSE), FALSE)), ""))</f>
        <v>1.0475000000000001</v>
      </c>
      <c r="S92" s="88">
        <f ca="1">IF($A92="", "",IFERROR(IF(VLOOKUP($A92, INDIRECT("'" &amp; 'Personalized Bill Menu'!$B$22 &amp; "'!" &amp;"$A$4:$CA$100"), VLOOKUP(VLOOKUP(S$5,'Misc. Data &amp; Mechanisms'!$E$601:$I$631,HLOOKUP('Personalized Bill Menu'!$B$22, 'Misc. Data &amp; Mechanisms'!$E$599:$I$600, 2, FALSE), FALSE), 'Misc. Data &amp; Mechanisms'!$A$599:$C$659, 2, FALSE), FALSE) = "", "", VLOOKUP($A92, INDIRECT("'" &amp; 'Personalized Bill Menu'!$B$22 &amp; "'!" &amp;"$A$4:$CA$100"), VLOOKUP(VLOOKUP(S$5,'Misc. Data &amp; Mechanisms'!$E$601:$I$631,HLOOKUP('Personalized Bill Menu'!$B$22, 'Misc. Data &amp; Mechanisms'!$E$599:$I$600, 2, FALSE), FALSE), 'Misc. Data &amp; Mechanisms'!$A$599:$C$659, 2, FALSE), FALSE)), ""))</f>
        <v>0.52078100000000005</v>
      </c>
      <c r="T92" s="81" t="str">
        <f ca="1">IF($A92="", "",IFERROR(IF(VLOOKUP($A92, INDIRECT("'" &amp; 'Personalized Bill Menu'!$B$22 &amp; "'!" &amp;"$A$4:$CA$100"), VLOOKUP(VLOOKUP(T$5,'Misc. Data &amp; Mechanisms'!$E$601:$I$631,HLOOKUP('Personalized Bill Menu'!$B$22, 'Misc. Data &amp; Mechanisms'!$E$599:$I$600, 2, FALSE), FALSE), 'Misc. Data &amp; Mechanisms'!$A$599:$C$659, 2, FALSE), FALSE) = "", "", VLOOKUP($A92, INDIRECT("'" &amp; 'Personalized Bill Menu'!$B$22 &amp; "'!" &amp;"$A$4:$CA$100"), VLOOKUP(VLOOKUP(T$5,'Misc. Data &amp; Mechanisms'!$E$601:$I$631,HLOOKUP('Personalized Bill Menu'!$B$22, 'Misc. Data &amp; Mechanisms'!$E$599:$I$600, 2, FALSE), FALSE), 'Misc. Data &amp; Mechanisms'!$A$599:$C$659, 2, FALSE), FALSE)), ""))</f>
        <v/>
      </c>
      <c r="U92" s="72">
        <f t="shared" ca="1" si="29"/>
        <v>6.6138678388825181</v>
      </c>
      <c r="V92" s="72">
        <f t="shared" ca="1" si="30"/>
        <v>14.581868000000002</v>
      </c>
      <c r="W92" s="70" t="str">
        <f t="shared" si="31"/>
        <v/>
      </c>
      <c r="X92" s="78">
        <f>IFERROR(IF(VLOOKUP($A92,'Misc. Data &amp; Mechanisms'!$A$63:$DY$152,HLOOKUP('Personalized Bill Menu'!$B$21&amp;"_"&amp;'Personalized Bill Menu'!$B$22&amp;"_Elec_Y_1",'Misc. Data &amp; Mechanisms'!$A$55:$DY$62,8,FALSE), FALSE)="", "", VLOOKUP($A92,'Misc. Data &amp; Mechanisms'!$A$63:$DY$152,HLOOKUP('Personalized Bill Menu'!$B$21&amp;"_"&amp;'Personalized Bill Menu'!$B$22&amp;"_Elec_Y_1",'Misc. Data &amp; Mechanisms'!$A$55:$DY$62,8,FALSE), FALSE)), "")</f>
        <v>0.1111</v>
      </c>
      <c r="Y92" s="78" t="str">
        <f>IFERROR(IF(VLOOKUP($A92,'Misc. Data &amp; Mechanisms'!$A$63:$DY$152,HLOOKUP('Personalized Bill Menu'!$B$21&amp;"_"&amp;'Personalized Bill Menu'!$B$22&amp;"_Elec_Y_2",'Misc. Data &amp; Mechanisms'!$A$55:$DY$62,8,FALSE), FALSE)="", "", VLOOKUP($A92,'Misc. Data &amp; Mechanisms'!$A$63:$DY$152,HLOOKUP('Personalized Bill Menu'!$B$21&amp;"_"&amp;'Personalized Bill Menu'!$B$22&amp;"_Elec_Y_2",'Misc. Data &amp; Mechanisms'!$A$55:$DY$62,8,FALSE), FALSE)), "")</f>
        <v/>
      </c>
      <c r="Z92" s="72">
        <f ca="1">IF($A92="", "",IFERROR(IF(OR('Personalized Bill Menu'!$B$22="FORTIS", 'Personalized Bill Menu'!$B$22="ATCO"), $X92*($H92+$I92), IF('Personalized Bill Menu'!$B$22="ENMAX",$X92*($H92+$I92+$K92),($X92/100)*$C92)), 0))</f>
        <v>5.7385947177640215</v>
      </c>
      <c r="AA92" s="70">
        <f>IF($A92="", "", IFERROR(IF(OR('Personalized Bill Menu'!$B$22="FORTIS", 'Personalized Bill Menu'!$B$22="ATCO"), $Y92*($H92+$I92), IF('Personalized Bill Menu'!$B$22="ENMAX",$X92*$G92,"")), 0))</f>
        <v>4.7700667063665536</v>
      </c>
      <c r="AB92" s="89">
        <f ca="1">IF($A92="", "",IFERROR(IF(VLOOKUP($A92, INDIRECT("'" &amp; 'Personalized Bill Menu'!$B$22 &amp; "'!" &amp;"$A$4:$CA$100"), VLOOKUP(VLOOKUP("RIDER RATE 1",'Misc. Data &amp; Mechanisms'!$E$601:$I$631,HLOOKUP('Personalized Bill Menu'!$B$22, 'Misc. Data &amp; Mechanisms'!$E$599:$I$600, 2, FALSE), FALSE), 'Misc. Data &amp; Mechanisms'!$A$599:$C$659, 2, FALSE), FALSE) = "", "", VLOOKUP($A92, INDIRECT("'" &amp; 'Personalized Bill Menu'!$B$22 &amp; "'!" &amp;"$A$4:$CA$100"), VLOOKUP(VLOOKUP("RIDER RATE 1",'Misc. Data &amp; Mechanisms'!$E$601:$I$631,HLOOKUP('Personalized Bill Menu'!$B$22, 'Misc. Data &amp; Mechanisms'!$E$599:$I$600, 2, FALSE), FALSE), 'Misc. Data &amp; Mechanisms'!$A$599:$C$659, 2, FALSE), FALSE)), ""))</f>
        <v>0.2969</v>
      </c>
      <c r="AC92" s="69">
        <f ca="1">IF($A92="", "",IFERROR(IF(VLOOKUP($A92, INDIRECT("'" &amp; 'Personalized Bill Menu'!$B$22 &amp; "'!" &amp;"$A$4:$CA$100"), VLOOKUP(VLOOKUP("RIDER RATE 2",'Misc. Data &amp; Mechanisms'!$E$601:$I$631,HLOOKUP('Personalized Bill Menu'!$B$22, 'Misc. Data &amp; Mechanisms'!$E$599:$I$600, 2, FALSE), FALSE), 'Misc. Data &amp; Mechanisms'!$A$599:$C$659, 2, FALSE), FALSE) = "", "", VLOOKUP($A92, INDIRECT("'" &amp; 'Personalized Bill Menu'!$B$22 &amp; "'!" &amp;"$A$4:$CA$100"), VLOOKUP(VLOOKUP("RIDER RATE 2",'Misc. Data &amp; Mechanisms'!$E$601:$I$631,HLOOKUP('Personalized Bill Menu'!$B$22, 'Misc. Data &amp; Mechanisms'!$E$599:$I$600, 2, FALSE), FALSE), 'Misc. Data &amp; Mechanisms'!$A$599:$C$659, 2, FALSE), FALSE)), ""))</f>
        <v>2.5106999999999999</v>
      </c>
      <c r="AD92" s="69">
        <f ca="1">IF($A92="", "",IFERROR(IF(VLOOKUP($A92, INDIRECT("'" &amp; 'Personalized Bill Menu'!$B$22 &amp; "'!" &amp;"$A$4:$CA$100"), VLOOKUP(VLOOKUP("RIDER RATE 3",'Misc. Data &amp; Mechanisms'!$E$601:$I$631,HLOOKUP('Personalized Bill Menu'!$B$22, 'Misc. Data &amp; Mechanisms'!$E$599:$I$600, 2, FALSE), FALSE), 'Misc. Data &amp; Mechanisms'!$A$599:$C$659, 2, FALSE), FALSE) = "", "", VLOOKUP($A92, INDIRECT("'" &amp; 'Personalized Bill Menu'!$B$22 &amp; "'!" &amp;"$A$4:$CA$100"), VLOOKUP(VLOOKUP("RIDER RATE 3",'Misc. Data &amp; Mechanisms'!$E$601:$I$631,HLOOKUP('Personalized Bill Menu'!$B$22, 'Misc. Data &amp; Mechanisms'!$E$599:$I$600, 2, FALSE), FALSE), 'Misc. Data &amp; Mechanisms'!$A$599:$C$659, 2, FALSE), FALSE)), ""))</f>
        <v>2.0799999999999999E-2</v>
      </c>
      <c r="AE92" s="69" t="str">
        <f ca="1">IF($A92="", "",IFERROR(IF(VLOOKUP($A92, INDIRECT("'" &amp; 'Personalized Bill Menu'!$B$22 &amp; "'!" &amp;"$A$4:$CA$100"), VLOOKUP(VLOOKUP("RIDER RATE 4",'Misc. Data &amp; Mechanisms'!$E$601:$I$631,HLOOKUP('Personalized Bill Menu'!$B$22, 'Misc. Data &amp; Mechanisms'!$E$599:$I$600, 2, FALSE), FALSE), 'Misc. Data &amp; Mechanisms'!$A$599:$C$659, 2, FALSE), FALSE) = "", "", VLOOKUP($A92, INDIRECT("'" &amp; 'Personalized Bill Menu'!$B$22 &amp; "'!" &amp;"$A$4:$CA$100"), VLOOKUP(VLOOKUP("RIDER RATE 4",'Misc. Data &amp; Mechanisms'!$E$601:$I$631,HLOOKUP('Personalized Bill Menu'!$B$22, 'Misc. Data &amp; Mechanisms'!$E$599:$I$600, 2, FALSE), FALSE), 'Misc. Data &amp; Mechanisms'!$A$599:$C$659, 2, FALSE), FALSE)), ""))</f>
        <v/>
      </c>
      <c r="AF92" s="90" t="str">
        <f ca="1">IF($A92="", "",IFERROR(IF(VLOOKUP($A92, INDIRECT("'" &amp; 'Personalized Bill Menu'!$B$22 &amp; "'!" &amp;"$A$4:$CA$100"), VLOOKUP(VLOOKUP("RIDER RATE 5",'Misc. Data &amp; Mechanisms'!$E$601:$I$631,HLOOKUP('Personalized Bill Menu'!$B$22, 'Misc. Data &amp; Mechanisms'!$E$599:$I$600, 2, FALSE), FALSE), 'Misc. Data &amp; Mechanisms'!$A$599:$C$659, 2, FALSE), FALSE) = "", "", VLOOKUP($A92, INDIRECT("'" &amp; 'Personalized Bill Menu'!$B$22 &amp; "'!" &amp;"$A$4:$CA$100"), VLOOKUP(VLOOKUP("RIDER RATE 5",'Misc. Data &amp; Mechanisms'!$E$601:$I$631,HLOOKUP('Personalized Bill Menu'!$B$22, 'Misc. Data &amp; Mechanisms'!$E$599:$I$600, 2, FALSE), FALSE), 'Misc. Data &amp; Mechanisms'!$A$599:$C$659, 2, FALSE), FALSE)), ""))</f>
        <v/>
      </c>
      <c r="AG92" s="90" t="str">
        <f ca="1">IF($A92="", "",IFERROR(IF(VLOOKUP($A92, INDIRECT("'" &amp; 'Personalized Bill Menu'!$B$22 &amp; "'!" &amp;"$A$4:$CA$100"), VLOOKUP(VLOOKUP("RIDER RATE 6",'Misc. Data &amp; Mechanisms'!$E$601:$I$631,HLOOKUP('Personalized Bill Menu'!$B$22, 'Misc. Data &amp; Mechanisms'!$E$599:$I$600, 2, FALSE), FALSE), 'Misc. Data &amp; Mechanisms'!$A$599:$C$659, 2, FALSE), FALSE) = "", "", VLOOKUP($A92, INDIRECT("'" &amp; 'Personalized Bill Menu'!$B$22 &amp; "'!" &amp;"$A$4:$CA$100"), VLOOKUP(VLOOKUP("RIDER RATE 6",'Misc. Data &amp; Mechanisms'!$E$601:$I$631,HLOOKUP('Personalized Bill Menu'!$B$22, 'Misc. Data &amp; Mechanisms'!$E$599:$I$600, 2, FALSE), FALSE), 'Misc. Data &amp; Mechanisms'!$A$599:$C$659, 2, FALSE), FALSE)), ""))</f>
        <v/>
      </c>
      <c r="AH92" s="90" t="str">
        <f ca="1">IF($A92="", "",IFERROR(IF(VLOOKUP($A92, INDIRECT("'" &amp; 'Personalized Bill Menu'!$B$22 &amp; "'!" &amp;"$A$4:$CA$100"), VLOOKUP(VLOOKUP("RIDER RATE 7",'Misc. Data &amp; Mechanisms'!$E$601:$I$631,HLOOKUP('Personalized Bill Menu'!$B$22, 'Misc. Data &amp; Mechanisms'!$E$599:$I$600, 2, FALSE), FALSE), 'Misc. Data &amp; Mechanisms'!$A$599:$C$659, 2, FALSE), FALSE) = "", "", VLOOKUP($A92, INDIRECT("'" &amp; 'Personalized Bill Menu'!$B$22 &amp; "'!" &amp;"$A$4:$CA$100"), VLOOKUP(VLOOKUP("RIDER RATE 7",'Misc. Data &amp; Mechanisms'!$E$601:$I$631,HLOOKUP('Personalized Bill Menu'!$B$22, 'Misc. Data &amp; Mechanisms'!$E$599:$I$600, 2, FALSE), FALSE), 'Misc. Data &amp; Mechanisms'!$A$599:$C$659, 2, FALSE), FALSE)), ""))</f>
        <v/>
      </c>
      <c r="AI92" s="72">
        <f t="shared" ca="1" si="32"/>
        <v>1.8746132328059373</v>
      </c>
      <c r="AJ92" s="72">
        <f t="shared" ca="1" si="33"/>
        <v>15.852446761892445</v>
      </c>
      <c r="AK92" s="72">
        <f ca="1">IF($A92="", "", IFERROR(IF($AD$6="%",IF('Personalized Bill Menu'!$B$22="ENMAX", $AD92*$I92, IF(AND($AD92="", 'Personalized Bill Menu'!$B$22="FORTIS"),($AE92/100)*$C92,$AD92*$H92)),($AD92/100)*$C92), 0))</f>
        <v>0.44087130544875641</v>
      </c>
      <c r="AL92" s="72">
        <f ca="1">IF($A92="", "", IFERROR(IF('Personalized Bill Menu'!$B$22="ENMAX",$AE92*$B92,IF($AE$6="%",$AE92*($H92+$I92+$J92), IF('Personalized Bill Menu'!$B$22="FORTIS",$AF92*$I92,($AE92/100)*$C92))), 0))</f>
        <v>0</v>
      </c>
      <c r="AM92" s="72" t="str">
        <f>IF($A92="", "", IFERROR(IF('Personalized Bill Menu'!$B$22="EPCOR",($AF92/100)*$C92, IF('Personalized Bill Menu'!$B$22="ATCO",$AF92*1,"")), 0))</f>
        <v/>
      </c>
      <c r="AN92" s="72" t="str">
        <f>IF($A92="", "", IFERROR(IF('Personalized Bill Menu'!$B$22="ATCO",$AG92*$B92,""), 0))</f>
        <v/>
      </c>
      <c r="AO92" s="70" t="str">
        <f>IF($A92="", "", IFERROR(IF('Personalized Bill Menu'!$B$22="ATCO",$AH92*$B92,""), 0))</f>
        <v/>
      </c>
      <c r="AP92" s="81">
        <f>IF('Personalized Bill Menu'!$B$34&lt;&gt;"Natural Gas", 'Personalized Bill Menu'!$K89, "")</f>
        <v>0.2064</v>
      </c>
      <c r="AQ92" s="70">
        <f t="shared" si="34"/>
        <v>5.7792000000000003</v>
      </c>
      <c r="AR92" s="91">
        <f ca="1">IF($A92="", "",IF(VLOOKUP($A92, INDIRECT("'" &amp; 'Personalized Bill Menu'!$B$22 &amp; "'!" &amp;"$A$4:$CA$100"), VLOOKUP(VLOOKUP(AR$5,'Misc. Data &amp; Mechanisms'!$E$601:$I$631,HLOOKUP('Personalized Bill Menu'!$B$22, 'Misc. Data &amp; Mechanisms'!$E$599:$I$600, 2, FALSE), FALSE), 'Misc. Data &amp; Mechanisms'!$A$599:$C$659, 2, FALSE), FALSE) = "", "", VLOOKUP($A92, INDIRECT("'" &amp; 'Personalized Bill Menu'!$B$22 &amp; "'!" &amp;"$A$4:$CA$100"), VLOOKUP(VLOOKUP(AR$5,'Misc. Data &amp; Mechanisms'!$E$601:$I$631,HLOOKUP('Personalized Bill Menu'!$B$22, 'Misc. Data &amp; Mechanisms'!$E$599:$I$600, 2, FALSE), FALSE), 'Misc. Data &amp; Mechanisms'!$A$599:$C$659, 2, FALSE), FALSE)))</f>
        <v>0.05</v>
      </c>
    </row>
    <row r="93" spans="1:44" x14ac:dyDescent="0.35">
      <c r="A93" s="83">
        <f>'Personalized Bill Menu'!$H90</f>
        <v>43525</v>
      </c>
      <c r="B93" s="84">
        <f t="shared" si="19"/>
        <v>31</v>
      </c>
      <c r="C93" s="85">
        <f>IF('Personalized Bill Menu'!$B$34&lt;&gt;"Natural Gas", 'Personalized Bill Menu'!$I90, "")</f>
        <v>578.27899102446463</v>
      </c>
      <c r="D93" s="66">
        <f t="shared" ca="1" si="35"/>
        <v>18.179804371826151</v>
      </c>
      <c r="E93" s="66">
        <f ca="1">IFERROR((1+$AR93)*(IF('Personalized Bill Menu'!$B$22="ENMAX", ((1+IFERROR($X93, 0))*($N93+$P93+$R93+$AB93+$AC93))+((1+IF($X93="", 0,$X93))*(IF($AD93="", 0,$AD93)*$R93)), IF('Personalized Bill Menu'!$B$22="EPCOR", ($N93+$P93+$R93+$X93+SUM($AB93:$AE93)), IF('Personalized Bill Menu'!$B$22="ATCO",($N93+((1+IF($AE93="", 0,$AE93))*(1+$X93+$Y93)*($P93+$R93))+SUM($AB93:$AD93)),IF($AD93="",$N93+((1+$X93+$Y93)*($P93+$R93))+$AB93+$AE93+(IF($AC93="", 0, $AC93)*$P93)+($R93*IF($AF93="", 0, $AF93)),$N93+((1+$X93+$Y93)*($P93+$R93))+$AB93+($AD93*$P93)+(IF($AC93="", 0, $AC93)*$P93)+($R93*IF($AF93="", 0, $AF93))))))), "")</f>
        <v>13.69324906614</v>
      </c>
      <c r="F93" s="1469">
        <f t="shared" ca="1" si="20"/>
        <v>105.12998929161778</v>
      </c>
      <c r="G93" s="66">
        <f t="shared" si="18"/>
        <v>34.199419529186834</v>
      </c>
      <c r="H93" s="66">
        <f t="shared" ca="1" si="21"/>
        <v>11.255044002309154</v>
      </c>
      <c r="I93" s="66">
        <f t="shared" ca="1" si="22"/>
        <v>22.201683430981269</v>
      </c>
      <c r="J93" s="66">
        <f t="shared" ca="1" si="23"/>
        <v>9.3716963955057278</v>
      </c>
      <c r="K93" s="66">
        <f t="shared" ca="1" si="36"/>
        <v>16.697555967367279</v>
      </c>
      <c r="L93" s="66">
        <f t="shared" si="25"/>
        <v>6.3983999999999996</v>
      </c>
      <c r="M93" s="68">
        <f t="shared" ca="1" si="26"/>
        <v>5.0061899662675131</v>
      </c>
      <c r="N93" s="1290">
        <f>IF('Personalized Bill Menu'!$B$34&lt;&gt;"Natural Gas", 'Personalized Bill Menu'!$J90, "")</f>
        <v>5.9139999999999997</v>
      </c>
      <c r="O93" s="70">
        <f t="shared" si="27"/>
        <v>34.199419529186834</v>
      </c>
      <c r="P93" s="71">
        <f ca="1">IF($A93="", "",IFERROR(IF(VLOOKUP($A93, INDIRECT("'" &amp; 'Personalized Bill Menu'!$B$22 &amp; "'!" &amp;"$A$4:$CA$100"), VLOOKUP(VLOOKUP(P$5,'Misc. Data &amp; Mechanisms'!$E$601:$I$631,HLOOKUP('Personalized Bill Menu'!$B$22, 'Misc. Data &amp; Mechanisms'!$E$599:$I$600, 2, FALSE), FALSE), 'Misc. Data &amp; Mechanisms'!$A$599:$C$659, 2, FALSE), FALSE) = "", "", VLOOKUP($A93, INDIRECT("'" &amp; 'Personalized Bill Menu'!$B$22 &amp; "'!" &amp;"$A$4:$CA$100"), VLOOKUP(VLOOKUP(P$5,'Misc. Data &amp; Mechanisms'!$E$601:$I$631,HLOOKUP('Personalized Bill Menu'!$B$22, 'Misc. Data &amp; Mechanisms'!$E$599:$I$600, 2, FALSE), FALSE), 'Misc. Data &amp; Mechanisms'!$A$599:$C$659, 2, FALSE), FALSE)), ""))</f>
        <v>1.9462999999999999</v>
      </c>
      <c r="Q93" s="70">
        <f t="shared" ca="1" si="28"/>
        <v>11.255044002309154</v>
      </c>
      <c r="R93" s="87">
        <f ca="1">IF($A93="", "",IFERROR(IF(VLOOKUP($A93, INDIRECT("'" &amp; 'Personalized Bill Menu'!$B$22 &amp; "'!" &amp;"$A$4:$CA$100"), VLOOKUP(VLOOKUP(R$5,'Misc. Data &amp; Mechanisms'!$E$601:$I$631,HLOOKUP('Personalized Bill Menu'!$B$22, 'Misc. Data &amp; Mechanisms'!$E$599:$I$600, 2, FALSE), FALSE), 'Misc. Data &amp; Mechanisms'!$A$599:$C$659, 2, FALSE), FALSE) = "", "", VLOOKUP($A93, INDIRECT("'" &amp; 'Personalized Bill Menu'!$B$22 &amp; "'!" &amp;"$A$4:$CA$100"), VLOOKUP(VLOOKUP(R$5,'Misc. Data &amp; Mechanisms'!$E$601:$I$631,HLOOKUP('Personalized Bill Menu'!$B$22, 'Misc. Data &amp; Mechanisms'!$E$599:$I$600, 2, FALSE), FALSE), 'Misc. Data &amp; Mechanisms'!$A$599:$C$659, 2, FALSE), FALSE)), ""))</f>
        <v>1.0475000000000001</v>
      </c>
      <c r="S93" s="88">
        <f ca="1">IF($A93="", "",IFERROR(IF(VLOOKUP($A93, INDIRECT("'" &amp; 'Personalized Bill Menu'!$B$22 &amp; "'!" &amp;"$A$4:$CA$100"), VLOOKUP(VLOOKUP(S$5,'Misc. Data &amp; Mechanisms'!$E$601:$I$631,HLOOKUP('Personalized Bill Menu'!$B$22, 'Misc. Data &amp; Mechanisms'!$E$599:$I$600, 2, FALSE), FALSE), 'Misc. Data &amp; Mechanisms'!$A$599:$C$659, 2, FALSE), FALSE) = "", "", VLOOKUP($A93, INDIRECT("'" &amp; 'Personalized Bill Menu'!$B$22 &amp; "'!" &amp;"$A$4:$CA$100"), VLOOKUP(VLOOKUP(S$5,'Misc. Data &amp; Mechanisms'!$E$601:$I$631,HLOOKUP('Personalized Bill Menu'!$B$22, 'Misc. Data &amp; Mechanisms'!$E$599:$I$600, 2, FALSE), FALSE), 'Misc. Data &amp; Mechanisms'!$A$599:$C$659, 2, FALSE), FALSE)), ""))</f>
        <v>0.52078100000000005</v>
      </c>
      <c r="T93" s="81" t="str">
        <f ca="1">IF($A93="", "",IFERROR(IF(VLOOKUP($A93, INDIRECT("'" &amp; 'Personalized Bill Menu'!$B$22 &amp; "'!" &amp;"$A$4:$CA$100"), VLOOKUP(VLOOKUP(T$5,'Misc. Data &amp; Mechanisms'!$E$601:$I$631,HLOOKUP('Personalized Bill Menu'!$B$22, 'Misc. Data &amp; Mechanisms'!$E$599:$I$600, 2, FALSE), FALSE), 'Misc. Data &amp; Mechanisms'!$A$599:$C$659, 2, FALSE), FALSE) = "", "", VLOOKUP($A93, INDIRECT("'" &amp; 'Personalized Bill Menu'!$B$22 &amp; "'!" &amp;"$A$4:$CA$100"), VLOOKUP(VLOOKUP(T$5,'Misc. Data &amp; Mechanisms'!$E$601:$I$631,HLOOKUP('Personalized Bill Menu'!$B$22, 'Misc. Data &amp; Mechanisms'!$E$599:$I$600, 2, FALSE), FALSE), 'Misc. Data &amp; Mechanisms'!$A$599:$C$659, 2, FALSE), FALSE)), ""))</f>
        <v/>
      </c>
      <c r="U93" s="72">
        <f t="shared" ca="1" si="29"/>
        <v>6.0574724309812682</v>
      </c>
      <c r="V93" s="72">
        <f t="shared" ca="1" si="30"/>
        <v>16.144211000000002</v>
      </c>
      <c r="W93" s="70" t="str">
        <f t="shared" si="31"/>
        <v/>
      </c>
      <c r="X93" s="78">
        <f>IFERROR(IF(VLOOKUP($A93,'Misc. Data &amp; Mechanisms'!$A$63:$DY$152,HLOOKUP('Personalized Bill Menu'!$B$21&amp;"_"&amp;'Personalized Bill Menu'!$B$22&amp;"_Elec_Y_1",'Misc. Data &amp; Mechanisms'!$A$55:$DY$62,8,FALSE), FALSE)="", "", VLOOKUP($A93,'Misc. Data &amp; Mechanisms'!$A$63:$DY$152,HLOOKUP('Personalized Bill Menu'!$B$21&amp;"_"&amp;'Personalized Bill Menu'!$B$22&amp;"_Elec_Y_1",'Misc. Data &amp; Mechanisms'!$A$55:$DY$62,8,FALSE), FALSE)), "")</f>
        <v>0.1111</v>
      </c>
      <c r="Y93" s="78" t="str">
        <f>IFERROR(IF(VLOOKUP($A93,'Misc. Data &amp; Mechanisms'!$A$63:$DY$152,HLOOKUP('Personalized Bill Menu'!$B$21&amp;"_"&amp;'Personalized Bill Menu'!$B$22&amp;"_Elec_Y_2",'Misc. Data &amp; Mechanisms'!$A$55:$DY$62,8,FALSE), FALSE)="", "", VLOOKUP($A93,'Misc. Data &amp; Mechanisms'!$A$63:$DY$152,HLOOKUP('Personalized Bill Menu'!$B$21&amp;"_"&amp;'Personalized Bill Menu'!$B$22&amp;"_Elec_Y_2",'Misc. Data &amp; Mechanisms'!$A$55:$DY$62,8,FALSE), FALSE)), "")</f>
        <v/>
      </c>
      <c r="Z93" s="72">
        <f ca="1">IF($A93="", "",IFERROR(IF(OR('Personalized Bill Menu'!$B$22="FORTIS", 'Personalized Bill Menu'!$B$22="ATCO"), $X93*($H93+$I93), IF('Personalized Bill Menu'!$B$22="ENMAX",$X93*($H93+$I93+$K93),($X93/100)*$C93)), 0))</f>
        <v>5.572140885813071</v>
      </c>
      <c r="AA93" s="70">
        <f>IF($A93="", "", IFERROR(IF(OR('Personalized Bill Menu'!$B$22="FORTIS", 'Personalized Bill Menu'!$B$22="ATCO"), $Y93*($H93+$I93), IF('Personalized Bill Menu'!$B$22="ENMAX",$X93*$G93,"")), 0))</f>
        <v>3.7995555096926572</v>
      </c>
      <c r="AB93" s="89">
        <f ca="1">IF($A93="", "",IFERROR(IF(VLOOKUP($A93, INDIRECT("'" &amp; 'Personalized Bill Menu'!$B$22 &amp; "'!" &amp;"$A$4:$CA$100"), VLOOKUP(VLOOKUP("RIDER RATE 1",'Misc. Data &amp; Mechanisms'!$E$601:$I$631,HLOOKUP('Personalized Bill Menu'!$B$22, 'Misc. Data &amp; Mechanisms'!$E$599:$I$600, 2, FALSE), FALSE), 'Misc. Data &amp; Mechanisms'!$A$599:$C$659, 2, FALSE), FALSE) = "", "", VLOOKUP($A93, INDIRECT("'" &amp; 'Personalized Bill Menu'!$B$22 &amp; "'!" &amp;"$A$4:$CA$100"), VLOOKUP(VLOOKUP("RIDER RATE 1",'Misc. Data &amp; Mechanisms'!$E$601:$I$631,HLOOKUP('Personalized Bill Menu'!$B$22, 'Misc. Data &amp; Mechanisms'!$E$599:$I$600, 2, FALSE), FALSE), 'Misc. Data &amp; Mechanisms'!$A$599:$C$659, 2, FALSE), FALSE)), ""))</f>
        <v>0.2969</v>
      </c>
      <c r="AC93" s="69">
        <f ca="1">IF($A93="", "",IFERROR(IF(VLOOKUP($A93, INDIRECT("'" &amp; 'Personalized Bill Menu'!$B$22 &amp; "'!" &amp;"$A$4:$CA$100"), VLOOKUP(VLOOKUP("RIDER RATE 2",'Misc. Data &amp; Mechanisms'!$E$601:$I$631,HLOOKUP('Personalized Bill Menu'!$B$22, 'Misc. Data &amp; Mechanisms'!$E$599:$I$600, 2, FALSE), FALSE), 'Misc. Data &amp; Mechanisms'!$A$599:$C$659, 2, FALSE), FALSE) = "", "", VLOOKUP($A93, INDIRECT("'" &amp; 'Personalized Bill Menu'!$B$22 &amp; "'!" &amp;"$A$4:$CA$100"), VLOOKUP(VLOOKUP("RIDER RATE 2",'Misc. Data &amp; Mechanisms'!$E$601:$I$631,HLOOKUP('Personalized Bill Menu'!$B$22, 'Misc. Data &amp; Mechanisms'!$E$599:$I$600, 2, FALSE), FALSE), 'Misc. Data &amp; Mechanisms'!$A$599:$C$659, 2, FALSE), FALSE)), ""))</f>
        <v>2.5106999999999999</v>
      </c>
      <c r="AD93" s="69">
        <f ca="1">IF($A93="", "",IFERROR(IF(VLOOKUP($A93, INDIRECT("'" &amp; 'Personalized Bill Menu'!$B$22 &amp; "'!" &amp;"$A$4:$CA$100"), VLOOKUP(VLOOKUP("RIDER RATE 3",'Misc. Data &amp; Mechanisms'!$E$601:$I$631,HLOOKUP('Personalized Bill Menu'!$B$22, 'Misc. Data &amp; Mechanisms'!$E$599:$I$600, 2, FALSE), FALSE), 'Misc. Data &amp; Mechanisms'!$A$599:$C$659, 2, FALSE), FALSE) = "", "", VLOOKUP($A93, INDIRECT("'" &amp; 'Personalized Bill Menu'!$B$22 &amp; "'!" &amp;"$A$4:$CA$100"), VLOOKUP(VLOOKUP("RIDER RATE 3",'Misc. Data &amp; Mechanisms'!$E$601:$I$631,HLOOKUP('Personalized Bill Menu'!$B$22, 'Misc. Data &amp; Mechanisms'!$E$599:$I$600, 2, FALSE), FALSE), 'Misc. Data &amp; Mechanisms'!$A$599:$C$659, 2, FALSE), FALSE)), ""))</f>
        <v>2.0799999999999999E-2</v>
      </c>
      <c r="AE93" s="69" t="str">
        <f ca="1">IF($A93="", "",IFERROR(IF(VLOOKUP($A93, INDIRECT("'" &amp; 'Personalized Bill Menu'!$B$22 &amp; "'!" &amp;"$A$4:$CA$100"), VLOOKUP(VLOOKUP("RIDER RATE 4",'Misc. Data &amp; Mechanisms'!$E$601:$I$631,HLOOKUP('Personalized Bill Menu'!$B$22, 'Misc. Data &amp; Mechanisms'!$E$599:$I$600, 2, FALSE), FALSE), 'Misc. Data &amp; Mechanisms'!$A$599:$C$659, 2, FALSE), FALSE) = "", "", VLOOKUP($A93, INDIRECT("'" &amp; 'Personalized Bill Menu'!$B$22 &amp; "'!" &amp;"$A$4:$CA$100"), VLOOKUP(VLOOKUP("RIDER RATE 4",'Misc. Data &amp; Mechanisms'!$E$601:$I$631,HLOOKUP('Personalized Bill Menu'!$B$22, 'Misc. Data &amp; Mechanisms'!$E$599:$I$600, 2, FALSE), FALSE), 'Misc. Data &amp; Mechanisms'!$A$599:$C$659, 2, FALSE), FALSE)), ""))</f>
        <v/>
      </c>
      <c r="AF93" s="90" t="str">
        <f ca="1">IF($A93="", "",IFERROR(IF(VLOOKUP($A93, INDIRECT("'" &amp; 'Personalized Bill Menu'!$B$22 &amp; "'!" &amp;"$A$4:$CA$100"), VLOOKUP(VLOOKUP("RIDER RATE 5",'Misc. Data &amp; Mechanisms'!$E$601:$I$631,HLOOKUP('Personalized Bill Menu'!$B$22, 'Misc. Data &amp; Mechanisms'!$E$599:$I$600, 2, FALSE), FALSE), 'Misc. Data &amp; Mechanisms'!$A$599:$C$659, 2, FALSE), FALSE) = "", "", VLOOKUP($A93, INDIRECT("'" &amp; 'Personalized Bill Menu'!$B$22 &amp; "'!" &amp;"$A$4:$CA$100"), VLOOKUP(VLOOKUP("RIDER RATE 5",'Misc. Data &amp; Mechanisms'!$E$601:$I$631,HLOOKUP('Personalized Bill Menu'!$B$22, 'Misc. Data &amp; Mechanisms'!$E$599:$I$600, 2, FALSE), FALSE), 'Misc. Data &amp; Mechanisms'!$A$599:$C$659, 2, FALSE), FALSE)), ""))</f>
        <v/>
      </c>
      <c r="AG93" s="90" t="str">
        <f ca="1">IF($A93="", "",IFERROR(IF(VLOOKUP($A93, INDIRECT("'" &amp; 'Personalized Bill Menu'!$B$22 &amp; "'!" &amp;"$A$4:$CA$100"), VLOOKUP(VLOOKUP("RIDER RATE 6",'Misc. Data &amp; Mechanisms'!$E$601:$I$631,HLOOKUP('Personalized Bill Menu'!$B$22, 'Misc. Data &amp; Mechanisms'!$E$599:$I$600, 2, FALSE), FALSE), 'Misc. Data &amp; Mechanisms'!$A$599:$C$659, 2, FALSE), FALSE) = "", "", VLOOKUP($A93, INDIRECT("'" &amp; 'Personalized Bill Menu'!$B$22 &amp; "'!" &amp;"$A$4:$CA$100"), VLOOKUP(VLOOKUP("RIDER RATE 6",'Misc. Data &amp; Mechanisms'!$E$601:$I$631,HLOOKUP('Personalized Bill Menu'!$B$22, 'Misc. Data &amp; Mechanisms'!$E$599:$I$600, 2, FALSE), FALSE), 'Misc. Data &amp; Mechanisms'!$A$599:$C$659, 2, FALSE), FALSE)), ""))</f>
        <v/>
      </c>
      <c r="AH93" s="90" t="str">
        <f ca="1">IF($A93="", "",IFERROR(IF(VLOOKUP($A93, INDIRECT("'" &amp; 'Personalized Bill Menu'!$B$22 &amp; "'!" &amp;"$A$4:$CA$100"), VLOOKUP(VLOOKUP("RIDER RATE 7",'Misc. Data &amp; Mechanisms'!$E$601:$I$631,HLOOKUP('Personalized Bill Menu'!$B$22, 'Misc. Data &amp; Mechanisms'!$E$599:$I$600, 2, FALSE), FALSE), 'Misc. Data &amp; Mechanisms'!$A$599:$C$659, 2, FALSE), FALSE) = "", "", VLOOKUP($A93, INDIRECT("'" &amp; 'Personalized Bill Menu'!$B$22 &amp; "'!" &amp;"$A$4:$CA$100"), VLOOKUP(VLOOKUP("RIDER RATE 7",'Misc. Data &amp; Mechanisms'!$E$601:$I$631,HLOOKUP('Personalized Bill Menu'!$B$22, 'Misc. Data &amp; Mechanisms'!$E$599:$I$600, 2, FALSE), FALSE), 'Misc. Data &amp; Mechanisms'!$A$599:$C$659, 2, FALSE), FALSE)), ""))</f>
        <v/>
      </c>
      <c r="AI93" s="72">
        <f t="shared" ca="1" si="32"/>
        <v>1.7169103243516355</v>
      </c>
      <c r="AJ93" s="72">
        <f t="shared" ca="1" si="33"/>
        <v>14.518850627651235</v>
      </c>
      <c r="AK93" s="72">
        <f ca="1">IF($A93="", "", IFERROR(IF($AD$6="%",IF('Personalized Bill Menu'!$B$22="ENMAX", $AD93*$I93, IF(AND($AD93="", 'Personalized Bill Menu'!$B$22="FORTIS"),($AE93/100)*$C93,$AD93*$H93)),($AD93/100)*$C93), 0))</f>
        <v>0.46179501536441037</v>
      </c>
      <c r="AL93" s="72">
        <f ca="1">IF($A93="", "", IFERROR(IF('Personalized Bill Menu'!$B$22="ENMAX",$AE93*$B93,IF($AE$6="%",$AE93*($H93+$I93+$J93), IF('Personalized Bill Menu'!$B$22="FORTIS",$AF93*$I93,($AE93/100)*$C93))), 0))</f>
        <v>0</v>
      </c>
      <c r="AM93" s="72" t="str">
        <f>IF($A93="", "", IFERROR(IF('Personalized Bill Menu'!$B$22="EPCOR",($AF93/100)*$C93, IF('Personalized Bill Menu'!$B$22="ATCO",$AF93*1,"")), 0))</f>
        <v/>
      </c>
      <c r="AN93" s="72" t="str">
        <f>IF($A93="", "", IFERROR(IF('Personalized Bill Menu'!$B$22="ATCO",$AG93*$B93,""), 0))</f>
        <v/>
      </c>
      <c r="AO93" s="70" t="str">
        <f>IF($A93="", "", IFERROR(IF('Personalized Bill Menu'!$B$22="ATCO",$AH93*$B93,""), 0))</f>
        <v/>
      </c>
      <c r="AP93" s="81">
        <f>IF('Personalized Bill Menu'!$B$34&lt;&gt;"Natural Gas", 'Personalized Bill Menu'!$K90, "")</f>
        <v>0.2064</v>
      </c>
      <c r="AQ93" s="70">
        <f t="shared" si="34"/>
        <v>6.3983999999999996</v>
      </c>
      <c r="AR93" s="91">
        <f ca="1">IF($A93="", "",IF(VLOOKUP($A93, INDIRECT("'" &amp; 'Personalized Bill Menu'!$B$22 &amp; "'!" &amp;"$A$4:$CA$100"), VLOOKUP(VLOOKUP(AR$5,'Misc. Data &amp; Mechanisms'!$E$601:$I$631,HLOOKUP('Personalized Bill Menu'!$B$22, 'Misc. Data &amp; Mechanisms'!$E$599:$I$600, 2, FALSE), FALSE), 'Misc. Data &amp; Mechanisms'!$A$599:$C$659, 2, FALSE), FALSE) = "", "", VLOOKUP($A93, INDIRECT("'" &amp; 'Personalized Bill Menu'!$B$22 &amp; "'!" &amp;"$A$4:$CA$100"), VLOOKUP(VLOOKUP(AR$5,'Misc. Data &amp; Mechanisms'!$E$601:$I$631,HLOOKUP('Personalized Bill Menu'!$B$22, 'Misc. Data &amp; Mechanisms'!$E$599:$I$600, 2, FALSE), FALSE), 'Misc. Data &amp; Mechanisms'!$A$599:$C$659, 2, FALSE), FALSE)))</f>
        <v>0.05</v>
      </c>
    </row>
    <row r="94" spans="1:44" x14ac:dyDescent="0.35">
      <c r="A94" s="83">
        <f>'Personalized Bill Menu'!$H91</f>
        <v>43556</v>
      </c>
      <c r="B94" s="84">
        <f t="shared" si="19"/>
        <v>30</v>
      </c>
      <c r="C94" s="85">
        <f>IF('Personalized Bill Menu'!$B$34&lt;&gt;"Natural Gas", 'Personalized Bill Menu'!$I91, "")</f>
        <v>511.80512836511508</v>
      </c>
      <c r="D94" s="66">
        <f ca="1">IFERROR(($F94*100)/$C94, "")</f>
        <v>18.889495656766915</v>
      </c>
      <c r="E94" s="66">
        <f ca="1">IFERROR((1+$AR94)*(IF('Personalized Bill Menu'!$B$22="ENMAX", ((1+IFERROR($X94, 0))*($N94+$P94+$R94+$AB94+$AC94))+((1+IF($X94="", 0,$X94))*(IF($AD94="", 0,$AD94)*$R94)), IF('Personalized Bill Menu'!$B$22="EPCOR", ($N94+$P94+$R94+$X94+SUM($AB94:$AE94)), IF('Personalized Bill Menu'!$B$22="ATCO",($N94+((1+IF($AE94="", 0,$AE94))*(1+$X94+$Y94)*($P94+$R94))+SUM($AB94:$AD94)),IF($AD94="",$N94+((1+$X94+$Y94)*($P94+$R94))+$AB94+$AE94+(IF($AC94="", 0, $AC94)*$P94)+($R94*IF($AF94="", 0, $AF94)),$N94+((1+$X94+$Y94)*($P94+$R94))+$AB94+($AD94*$P94)+(IF($AC94="", 0, $AC94)*$P94)+($R94*IF($AF94="", 0, $AF94))))))), "")</f>
        <v>13.983746161140001</v>
      </c>
      <c r="F94" s="1469">
        <f t="shared" ca="1" si="20"/>
        <v>96.677407493638754</v>
      </c>
      <c r="G94" s="66">
        <f t="shared" si="18"/>
        <v>31.051217137911532</v>
      </c>
      <c r="H94" s="66">
        <f t="shared" ca="1" si="21"/>
        <v>9.9612632133702341</v>
      </c>
      <c r="I94" s="66">
        <f t="shared" ca="1" si="22"/>
        <v>20.984588719624583</v>
      </c>
      <c r="J94" s="66">
        <f t="shared" ca="1" si="23"/>
        <v>8.5873991990290754</v>
      </c>
      <c r="K94" s="66">
        <f t="shared" ca="1" si="36"/>
        <v>15.297253152577673</v>
      </c>
      <c r="L94" s="66">
        <f t="shared" si="25"/>
        <v>6.1920000000000002</v>
      </c>
      <c r="M94" s="68">
        <f t="shared" ca="1" si="26"/>
        <v>4.6036860711256553</v>
      </c>
      <c r="N94" s="1290">
        <f>IF('Personalized Bill Menu'!$B$34&lt;&gt;"Natural Gas", 'Personalized Bill Menu'!$J91, "")</f>
        <v>6.0670000000000002</v>
      </c>
      <c r="O94" s="70">
        <f t="shared" si="27"/>
        <v>31.051217137911532</v>
      </c>
      <c r="P94" s="71">
        <f ca="1">IF($A94="", "",IFERROR(IF(VLOOKUP($A94, INDIRECT("'" &amp; 'Personalized Bill Menu'!$B$22 &amp; "'!" &amp;"$A$4:$CA$100"), VLOOKUP(VLOOKUP(P$5,'Misc. Data &amp; Mechanisms'!$E$601:$I$631,HLOOKUP('Personalized Bill Menu'!$B$22, 'Misc. Data &amp; Mechanisms'!$E$599:$I$600, 2, FALSE), FALSE), 'Misc. Data &amp; Mechanisms'!$A$599:$C$659, 2, FALSE), FALSE) = "", "", VLOOKUP($A94, INDIRECT("'" &amp; 'Personalized Bill Menu'!$B$22 &amp; "'!" &amp;"$A$4:$CA$100"), VLOOKUP(VLOOKUP(P$5,'Misc. Data &amp; Mechanisms'!$E$601:$I$631,HLOOKUP('Personalized Bill Menu'!$B$22, 'Misc. Data &amp; Mechanisms'!$E$599:$I$600, 2, FALSE), FALSE), 'Misc. Data &amp; Mechanisms'!$A$599:$C$659, 2, FALSE), FALSE)), ""))</f>
        <v>1.9462999999999999</v>
      </c>
      <c r="Q94" s="70">
        <f t="shared" ca="1" si="28"/>
        <v>9.9612632133702341</v>
      </c>
      <c r="R94" s="87">
        <f ca="1">IF($A94="", "",IFERROR(IF(VLOOKUP($A94, INDIRECT("'" &amp; 'Personalized Bill Menu'!$B$22 &amp; "'!" &amp;"$A$4:$CA$100"), VLOOKUP(VLOOKUP(R$5,'Misc. Data &amp; Mechanisms'!$E$601:$I$631,HLOOKUP('Personalized Bill Menu'!$B$22, 'Misc. Data &amp; Mechanisms'!$E$599:$I$600, 2, FALSE), FALSE), 'Misc. Data &amp; Mechanisms'!$A$599:$C$659, 2, FALSE), FALSE) = "", "", VLOOKUP($A94, INDIRECT("'" &amp; 'Personalized Bill Menu'!$B$22 &amp; "'!" &amp;"$A$4:$CA$100"), VLOOKUP(VLOOKUP(R$5,'Misc. Data &amp; Mechanisms'!$E$601:$I$631,HLOOKUP('Personalized Bill Menu'!$B$22, 'Misc. Data &amp; Mechanisms'!$E$599:$I$600, 2, FALSE), FALSE), 'Misc. Data &amp; Mechanisms'!$A$599:$C$659, 2, FALSE), FALSE)), ""))</f>
        <v>1.0475000000000001</v>
      </c>
      <c r="S94" s="88">
        <f ca="1">IF($A94="", "",IFERROR(IF(VLOOKUP($A94, INDIRECT("'" &amp; 'Personalized Bill Menu'!$B$22 &amp; "'!" &amp;"$A$4:$CA$100"), VLOOKUP(VLOOKUP(S$5,'Misc. Data &amp; Mechanisms'!$E$601:$I$631,HLOOKUP('Personalized Bill Menu'!$B$22, 'Misc. Data &amp; Mechanisms'!$E$599:$I$600, 2, FALSE), FALSE), 'Misc. Data &amp; Mechanisms'!$A$599:$C$659, 2, FALSE), FALSE) = "", "", VLOOKUP($A94, INDIRECT("'" &amp; 'Personalized Bill Menu'!$B$22 &amp; "'!" &amp;"$A$4:$CA$100"), VLOOKUP(VLOOKUP(S$5,'Misc. Data &amp; Mechanisms'!$E$601:$I$631,HLOOKUP('Personalized Bill Menu'!$B$22, 'Misc. Data &amp; Mechanisms'!$E$599:$I$600, 2, FALSE), FALSE), 'Misc. Data &amp; Mechanisms'!$A$599:$C$659, 2, FALSE), FALSE)), ""))</f>
        <v>0.52078100000000005</v>
      </c>
      <c r="T94" s="81" t="str">
        <f ca="1">IF($A94="", "",IFERROR(IF(VLOOKUP($A94, INDIRECT("'" &amp; 'Personalized Bill Menu'!$B$22 &amp; "'!" &amp;"$A$4:$CA$100"), VLOOKUP(VLOOKUP(T$5,'Misc. Data &amp; Mechanisms'!$E$601:$I$631,HLOOKUP('Personalized Bill Menu'!$B$22, 'Misc. Data &amp; Mechanisms'!$E$599:$I$600, 2, FALSE), FALSE), 'Misc. Data &amp; Mechanisms'!$A$599:$C$659, 2, FALSE), FALSE) = "", "", VLOOKUP($A94, INDIRECT("'" &amp; 'Personalized Bill Menu'!$B$22 &amp; "'!" &amp;"$A$4:$CA$100"), VLOOKUP(VLOOKUP(T$5,'Misc. Data &amp; Mechanisms'!$E$601:$I$631,HLOOKUP('Personalized Bill Menu'!$B$22, 'Misc. Data &amp; Mechanisms'!$E$599:$I$600, 2, FALSE), FALSE), 'Misc. Data &amp; Mechanisms'!$A$599:$C$659, 2, FALSE), FALSE)), ""))</f>
        <v/>
      </c>
      <c r="U94" s="72">
        <f t="shared" ca="1" si="29"/>
        <v>5.3611587196245809</v>
      </c>
      <c r="V94" s="72">
        <f t="shared" ca="1" si="30"/>
        <v>15.623430000000001</v>
      </c>
      <c r="W94" s="70" t="str">
        <f t="shared" si="31"/>
        <v/>
      </c>
      <c r="X94" s="78">
        <f>IFERROR(IF(VLOOKUP($A94,'Misc. Data &amp; Mechanisms'!$A$63:$DY$152,HLOOKUP('Personalized Bill Menu'!$B$21&amp;"_"&amp;'Personalized Bill Menu'!$B$22&amp;"_Elec_Y_1",'Misc. Data &amp; Mechanisms'!$A$55:$DY$62,8,FALSE), FALSE)="", "", VLOOKUP($A94,'Misc. Data &amp; Mechanisms'!$A$63:$DY$152,HLOOKUP('Personalized Bill Menu'!$B$21&amp;"_"&amp;'Personalized Bill Menu'!$B$22&amp;"_Elec_Y_1",'Misc. Data &amp; Mechanisms'!$A$55:$DY$62,8,FALSE), FALSE)), "")</f>
        <v>0.1111</v>
      </c>
      <c r="Y94" s="78" t="str">
        <f>IFERROR(IF(VLOOKUP($A94,'Misc. Data &amp; Mechanisms'!$A$63:$DY$152,HLOOKUP('Personalized Bill Menu'!$B$21&amp;"_"&amp;'Personalized Bill Menu'!$B$22&amp;"_Elec_Y_2",'Misc. Data &amp; Mechanisms'!$A$55:$DY$62,8,FALSE), FALSE)="", "", VLOOKUP($A94,'Misc. Data &amp; Mechanisms'!$A$63:$DY$152,HLOOKUP('Personalized Bill Menu'!$B$21&amp;"_"&amp;'Personalized Bill Menu'!$B$22&amp;"_Elec_Y_2",'Misc. Data &amp; Mechanisms'!$A$55:$DY$62,8,FALSE), FALSE)), "")</f>
        <v/>
      </c>
      <c r="Z94" s="72">
        <f ca="1">IF($A94="", "",IFERROR(IF(OR('Personalized Bill Menu'!$B$22="FORTIS", 'Personalized Bill Menu'!$B$22="ATCO"), $X94*($H94+$I94), IF('Personalized Bill Menu'!$B$22="ENMAX",$X94*($H94+$I94+$K94),($X94/100)*$C94)), 0))</f>
        <v>5.1376089750071037</v>
      </c>
      <c r="AA94" s="70">
        <f>IF($A94="", "", IFERROR(IF(OR('Personalized Bill Menu'!$B$22="FORTIS", 'Personalized Bill Menu'!$B$22="ATCO"), $Y94*($H94+$I94), IF('Personalized Bill Menu'!$B$22="ENMAX",$X94*$G94,"")), 0))</f>
        <v>3.4497902240219713</v>
      </c>
      <c r="AB94" s="89">
        <f ca="1">IF($A94="", "",IFERROR(IF(VLOOKUP($A94, INDIRECT("'" &amp; 'Personalized Bill Menu'!$B$22 &amp; "'!" &amp;"$A$4:$CA$100"), VLOOKUP(VLOOKUP("RIDER RATE 1",'Misc. Data &amp; Mechanisms'!$E$601:$I$631,HLOOKUP('Personalized Bill Menu'!$B$22, 'Misc. Data &amp; Mechanisms'!$E$599:$I$600, 2, FALSE), FALSE), 'Misc. Data &amp; Mechanisms'!$A$599:$C$659, 2, FALSE), FALSE) = "", "", VLOOKUP($A94, INDIRECT("'" &amp; 'Personalized Bill Menu'!$B$22 &amp; "'!" &amp;"$A$4:$CA$100"), VLOOKUP(VLOOKUP("RIDER RATE 1",'Misc. Data &amp; Mechanisms'!$E$601:$I$631,HLOOKUP('Personalized Bill Menu'!$B$22, 'Misc. Data &amp; Mechanisms'!$E$599:$I$600, 2, FALSE), FALSE), 'Misc. Data &amp; Mechanisms'!$A$599:$C$659, 2, FALSE), FALSE)), ""))</f>
        <v>0.2969</v>
      </c>
      <c r="AC94" s="69">
        <f ca="1">IF($A94="", "",IFERROR(IF(VLOOKUP($A94, INDIRECT("'" &amp; 'Personalized Bill Menu'!$B$22 &amp; "'!" &amp;"$A$4:$CA$100"), VLOOKUP(VLOOKUP("RIDER RATE 2",'Misc. Data &amp; Mechanisms'!$E$601:$I$631,HLOOKUP('Personalized Bill Menu'!$B$22, 'Misc. Data &amp; Mechanisms'!$E$599:$I$600, 2, FALSE), FALSE), 'Misc. Data &amp; Mechanisms'!$A$599:$C$659, 2, FALSE), FALSE) = "", "", VLOOKUP($A94, INDIRECT("'" &amp; 'Personalized Bill Menu'!$B$22 &amp; "'!" &amp;"$A$4:$CA$100"), VLOOKUP(VLOOKUP("RIDER RATE 2",'Misc. Data &amp; Mechanisms'!$E$601:$I$631,HLOOKUP('Personalized Bill Menu'!$B$22, 'Misc. Data &amp; Mechanisms'!$E$599:$I$600, 2, FALSE), FALSE), 'Misc. Data &amp; Mechanisms'!$A$599:$C$659, 2, FALSE), FALSE)), ""))</f>
        <v>2.6067</v>
      </c>
      <c r="AD94" s="69">
        <f ca="1">IF($A94="", "",IFERROR(IF(VLOOKUP($A94, INDIRECT("'" &amp; 'Personalized Bill Menu'!$B$22 &amp; "'!" &amp;"$A$4:$CA$100"), VLOOKUP(VLOOKUP("RIDER RATE 3",'Misc. Data &amp; Mechanisms'!$E$601:$I$631,HLOOKUP('Personalized Bill Menu'!$B$22, 'Misc. Data &amp; Mechanisms'!$E$599:$I$600, 2, FALSE), FALSE), 'Misc. Data &amp; Mechanisms'!$A$599:$C$659, 2, FALSE), FALSE) = "", "", VLOOKUP($A94, INDIRECT("'" &amp; 'Personalized Bill Menu'!$B$22 &amp; "'!" &amp;"$A$4:$CA$100"), VLOOKUP(VLOOKUP("RIDER RATE 3",'Misc. Data &amp; Mechanisms'!$E$601:$I$631,HLOOKUP('Personalized Bill Menu'!$B$22, 'Misc. Data &amp; Mechanisms'!$E$599:$I$600, 2, FALSE), FALSE), 'Misc. Data &amp; Mechanisms'!$A$599:$C$659, 2, FALSE), FALSE)), ""))</f>
        <v>2.0799999999999999E-2</v>
      </c>
      <c r="AE94" s="69" t="str">
        <f ca="1">IF($A94="", "",IFERROR(IF(VLOOKUP($A94, INDIRECT("'" &amp; 'Personalized Bill Menu'!$B$22 &amp; "'!" &amp;"$A$4:$CA$100"), VLOOKUP(VLOOKUP("RIDER RATE 4",'Misc. Data &amp; Mechanisms'!$E$601:$I$631,HLOOKUP('Personalized Bill Menu'!$B$22, 'Misc. Data &amp; Mechanisms'!$E$599:$I$600, 2, FALSE), FALSE), 'Misc. Data &amp; Mechanisms'!$A$599:$C$659, 2, FALSE), FALSE) = "", "", VLOOKUP($A94, INDIRECT("'" &amp; 'Personalized Bill Menu'!$B$22 &amp; "'!" &amp;"$A$4:$CA$100"), VLOOKUP(VLOOKUP("RIDER RATE 4",'Misc. Data &amp; Mechanisms'!$E$601:$I$631,HLOOKUP('Personalized Bill Menu'!$B$22, 'Misc. Data &amp; Mechanisms'!$E$599:$I$600, 2, FALSE), FALSE), 'Misc. Data &amp; Mechanisms'!$A$599:$C$659, 2, FALSE), FALSE)), ""))</f>
        <v/>
      </c>
      <c r="AF94" s="90" t="str">
        <f ca="1">IF($A94="", "",IFERROR(IF(VLOOKUP($A94, INDIRECT("'" &amp; 'Personalized Bill Menu'!$B$22 &amp; "'!" &amp;"$A$4:$CA$100"), VLOOKUP(VLOOKUP("RIDER RATE 5",'Misc. Data &amp; Mechanisms'!$E$601:$I$631,HLOOKUP('Personalized Bill Menu'!$B$22, 'Misc. Data &amp; Mechanisms'!$E$599:$I$600, 2, FALSE), FALSE), 'Misc. Data &amp; Mechanisms'!$A$599:$C$659, 2, FALSE), FALSE) = "", "", VLOOKUP($A94, INDIRECT("'" &amp; 'Personalized Bill Menu'!$B$22 &amp; "'!" &amp;"$A$4:$CA$100"), VLOOKUP(VLOOKUP("RIDER RATE 5",'Misc. Data &amp; Mechanisms'!$E$601:$I$631,HLOOKUP('Personalized Bill Menu'!$B$22, 'Misc. Data &amp; Mechanisms'!$E$599:$I$600, 2, FALSE), FALSE), 'Misc. Data &amp; Mechanisms'!$A$599:$C$659, 2, FALSE), FALSE)), ""))</f>
        <v/>
      </c>
      <c r="AG94" s="90" t="str">
        <f ca="1">IF($A94="", "",IFERROR(IF(VLOOKUP($A94, INDIRECT("'" &amp; 'Personalized Bill Menu'!$B$22 &amp; "'!" &amp;"$A$4:$CA$100"), VLOOKUP(VLOOKUP("RIDER RATE 6",'Misc. Data &amp; Mechanisms'!$E$601:$I$631,HLOOKUP('Personalized Bill Menu'!$B$22, 'Misc. Data &amp; Mechanisms'!$E$599:$I$600, 2, FALSE), FALSE), 'Misc. Data &amp; Mechanisms'!$A$599:$C$659, 2, FALSE), FALSE) = "", "", VLOOKUP($A94, INDIRECT("'" &amp; 'Personalized Bill Menu'!$B$22 &amp; "'!" &amp;"$A$4:$CA$100"), VLOOKUP(VLOOKUP("RIDER RATE 6",'Misc. Data &amp; Mechanisms'!$E$601:$I$631,HLOOKUP('Personalized Bill Menu'!$B$22, 'Misc. Data &amp; Mechanisms'!$E$599:$I$600, 2, FALSE), FALSE), 'Misc. Data &amp; Mechanisms'!$A$599:$C$659, 2, FALSE), FALSE)), ""))</f>
        <v/>
      </c>
      <c r="AH94" s="90" t="str">
        <f ca="1">IF($A94="", "",IFERROR(IF(VLOOKUP($A94, INDIRECT("'" &amp; 'Personalized Bill Menu'!$B$22 &amp; "'!" &amp;"$A$4:$CA$100"), VLOOKUP(VLOOKUP("RIDER RATE 7",'Misc. Data &amp; Mechanisms'!$E$601:$I$631,HLOOKUP('Personalized Bill Menu'!$B$22, 'Misc. Data &amp; Mechanisms'!$E$599:$I$600, 2, FALSE), FALSE), 'Misc. Data &amp; Mechanisms'!$A$599:$C$659, 2, FALSE), FALSE) = "", "", VLOOKUP($A94, INDIRECT("'" &amp; 'Personalized Bill Menu'!$B$22 &amp; "'!" &amp;"$A$4:$CA$100"), VLOOKUP(VLOOKUP("RIDER RATE 7",'Misc. Data &amp; Mechanisms'!$E$601:$I$631,HLOOKUP('Personalized Bill Menu'!$B$22, 'Misc. Data &amp; Mechanisms'!$E$599:$I$600, 2, FALSE), FALSE), 'Misc. Data &amp; Mechanisms'!$A$599:$C$659, 2, FALSE), FALSE)), ""))</f>
        <v/>
      </c>
      <c r="AI94" s="72">
        <f t="shared" ca="1" si="32"/>
        <v>1.5195494261160265</v>
      </c>
      <c r="AJ94" s="72">
        <f t="shared" ca="1" si="33"/>
        <v>13.341224281093455</v>
      </c>
      <c r="AK94" s="72">
        <f ca="1">IF($A94="", "", IFERROR(IF($AD$6="%",IF('Personalized Bill Menu'!$B$22="ENMAX", $AD94*$I94, IF(AND($AD94="", 'Personalized Bill Menu'!$B$22="FORTIS"),($AE94/100)*$C94,$AD94*$H94)),($AD94/100)*$C94), 0))</f>
        <v>0.43647944536819128</v>
      </c>
      <c r="AL94" s="72">
        <f ca="1">IF($A94="", "", IFERROR(IF('Personalized Bill Menu'!$B$22="ENMAX",$AE94*$B94,IF($AE$6="%",$AE94*($H94+$I94+$J94), IF('Personalized Bill Menu'!$B$22="FORTIS",$AF94*$I94,($AE94/100)*$C94))), 0))</f>
        <v>0</v>
      </c>
      <c r="AM94" s="72" t="str">
        <f>IF($A94="", "", IFERROR(IF('Personalized Bill Menu'!$B$22="EPCOR",($AF94/100)*$C94, IF('Personalized Bill Menu'!$B$22="ATCO",$AF94*1,"")), 0))</f>
        <v/>
      </c>
      <c r="AN94" s="72" t="str">
        <f>IF($A94="", "", IFERROR(IF('Personalized Bill Menu'!$B$22="ATCO",$AG94*$B94,""), 0))</f>
        <v/>
      </c>
      <c r="AO94" s="70" t="str">
        <f>IF($A94="", "", IFERROR(IF('Personalized Bill Menu'!$B$22="ATCO",$AH94*$B94,""), 0))</f>
        <v/>
      </c>
      <c r="AP94" s="81">
        <f>IF('Personalized Bill Menu'!$B$34&lt;&gt;"Natural Gas", 'Personalized Bill Menu'!$K91, "")</f>
        <v>0.2064</v>
      </c>
      <c r="AQ94" s="70">
        <f t="shared" si="34"/>
        <v>6.1920000000000002</v>
      </c>
      <c r="AR94" s="91">
        <f ca="1">IF($A94="", "",IF(VLOOKUP($A94, INDIRECT("'" &amp; 'Personalized Bill Menu'!$B$22 &amp; "'!" &amp;"$A$4:$CA$100"), VLOOKUP(VLOOKUP(AR$5,'Misc. Data &amp; Mechanisms'!$E$601:$I$631,HLOOKUP('Personalized Bill Menu'!$B$22, 'Misc. Data &amp; Mechanisms'!$E$599:$I$600, 2, FALSE), FALSE), 'Misc. Data &amp; Mechanisms'!$A$599:$C$659, 2, FALSE), FALSE) = "", "", VLOOKUP($A94, INDIRECT("'" &amp; 'Personalized Bill Menu'!$B$22 &amp; "'!" &amp;"$A$4:$CA$100"), VLOOKUP(VLOOKUP(AR$5,'Misc. Data &amp; Mechanisms'!$E$601:$I$631,HLOOKUP('Personalized Bill Menu'!$B$22, 'Misc. Data &amp; Mechanisms'!$E$599:$I$600, 2, FALSE), FALSE), 'Misc. Data &amp; Mechanisms'!$A$599:$C$659, 2, FALSE), FALSE)))</f>
        <v>0.05</v>
      </c>
    </row>
    <row r="95" spans="1:44" x14ac:dyDescent="0.35">
      <c r="A95" s="83">
        <f>'Personalized Bill Menu'!$H92</f>
        <v>43586</v>
      </c>
      <c r="B95" s="84">
        <f t="shared" si="19"/>
        <v>31</v>
      </c>
      <c r="C95" s="85">
        <f>IF('Personalized Bill Menu'!$B$34&lt;&gt;"Natural Gas", 'Personalized Bill Menu'!$I92, "")</f>
        <v>493.13403457407418</v>
      </c>
      <c r="D95" s="66">
        <f t="shared" ca="1" si="35"/>
        <v>19.621783619828644</v>
      </c>
      <c r="E95" s="66">
        <f ca="1">IFERROR((1+$AR95)*(IF('Personalized Bill Menu'!$B$22="ENMAX", ((1+IFERROR($X95, 0))*($N95+$P95+$R95+$AB95+$AC95))+((1+IF($X95="", 0,$X95))*(IF($AD95="", 0,$AD95)*$R95)), IF('Personalized Bill Menu'!$B$22="EPCOR", ($N95+$P95+$R95+$X95+SUM($AB95:$AE95)), IF('Personalized Bill Menu'!$B$22="ATCO",($N95+((1+IF($AE95="", 0,$AE95))*(1+$X95+$Y95)*($P95+$R95))+SUM($AB95:$AD95)),IF($AD95="",$N95+((1+$X95+$Y95)*($P95+$R95))+$AB95+$AE95+(IF($AC95="", 0, $AC95)*$P95)+($R95*IF($AF95="", 0, $AF95)),$N95+((1+$X95+$Y95)*($P95+$R95))+$AB95+($AD95*$P95)+(IF($AC95="", 0, $AC95)*$P95)+($R95*IF($AF95="", 0, $AF95))))))), "")</f>
        <v>14.36057572614</v>
      </c>
      <c r="F95" s="1469">
        <f t="shared" ca="1" si="20"/>
        <v>96.761693219855815</v>
      </c>
      <c r="G95" s="66">
        <f t="shared" si="18"/>
        <v>31.51126480928334</v>
      </c>
      <c r="H95" s="66">
        <f t="shared" ca="1" si="21"/>
        <v>9.5978677149152052</v>
      </c>
      <c r="I95" s="66">
        <f t="shared" ca="1" si="22"/>
        <v>21.309790012163429</v>
      </c>
      <c r="J95" s="66">
        <f t="shared" ca="1" si="23"/>
        <v>8.5747875462120167</v>
      </c>
      <c r="K95" s="66">
        <f t="shared" ca="1" si="36"/>
        <v>14.761883460145818</v>
      </c>
      <c r="L95" s="66">
        <f t="shared" si="25"/>
        <v>6.3983999999999996</v>
      </c>
      <c r="M95" s="68">
        <f t="shared" ca="1" si="26"/>
        <v>4.607699677135991</v>
      </c>
      <c r="N95" s="1290">
        <f>IF('Personalized Bill Menu'!$B$34&lt;&gt;"Natural Gas", 'Personalized Bill Menu'!$J92, "")</f>
        <v>6.39</v>
      </c>
      <c r="O95" s="70">
        <f t="shared" si="27"/>
        <v>31.51126480928334</v>
      </c>
      <c r="P95" s="71">
        <f ca="1">IF($A95="", "",IFERROR(IF(VLOOKUP($A95, INDIRECT("'" &amp; 'Personalized Bill Menu'!$B$22 &amp; "'!" &amp;"$A$4:$CA$100"), VLOOKUP(VLOOKUP(P$5,'Misc. Data &amp; Mechanisms'!$E$601:$I$631,HLOOKUP('Personalized Bill Menu'!$B$22, 'Misc. Data &amp; Mechanisms'!$E$599:$I$600, 2, FALSE), FALSE), 'Misc. Data &amp; Mechanisms'!$A$599:$C$659, 2, FALSE), FALSE) = "", "", VLOOKUP($A95, INDIRECT("'" &amp; 'Personalized Bill Menu'!$B$22 &amp; "'!" &amp;"$A$4:$CA$100"), VLOOKUP(VLOOKUP(P$5,'Misc. Data &amp; Mechanisms'!$E$601:$I$631,HLOOKUP('Personalized Bill Menu'!$B$22, 'Misc. Data &amp; Mechanisms'!$E$599:$I$600, 2, FALSE), FALSE), 'Misc. Data &amp; Mechanisms'!$A$599:$C$659, 2, FALSE), FALSE)), ""))</f>
        <v>1.9462999999999999</v>
      </c>
      <c r="Q95" s="70">
        <f t="shared" ca="1" si="28"/>
        <v>9.5978677149152052</v>
      </c>
      <c r="R95" s="87">
        <f ca="1">IF($A95="", "",IFERROR(IF(VLOOKUP($A95, INDIRECT("'" &amp; 'Personalized Bill Menu'!$B$22 &amp; "'!" &amp;"$A$4:$CA$100"), VLOOKUP(VLOOKUP(R$5,'Misc. Data &amp; Mechanisms'!$E$601:$I$631,HLOOKUP('Personalized Bill Menu'!$B$22, 'Misc. Data &amp; Mechanisms'!$E$599:$I$600, 2, FALSE), FALSE), 'Misc. Data &amp; Mechanisms'!$A$599:$C$659, 2, FALSE), FALSE) = "", "", VLOOKUP($A95, INDIRECT("'" &amp; 'Personalized Bill Menu'!$B$22 &amp; "'!" &amp;"$A$4:$CA$100"), VLOOKUP(VLOOKUP(R$5,'Misc. Data &amp; Mechanisms'!$E$601:$I$631,HLOOKUP('Personalized Bill Menu'!$B$22, 'Misc. Data &amp; Mechanisms'!$E$599:$I$600, 2, FALSE), FALSE), 'Misc. Data &amp; Mechanisms'!$A$599:$C$659, 2, FALSE), FALSE)), ""))</f>
        <v>1.0475000000000001</v>
      </c>
      <c r="S95" s="88">
        <f ca="1">IF($A95="", "",IFERROR(IF(VLOOKUP($A95, INDIRECT("'" &amp; 'Personalized Bill Menu'!$B$22 &amp; "'!" &amp;"$A$4:$CA$100"), VLOOKUP(VLOOKUP(S$5,'Misc. Data &amp; Mechanisms'!$E$601:$I$631,HLOOKUP('Personalized Bill Menu'!$B$22, 'Misc. Data &amp; Mechanisms'!$E$599:$I$600, 2, FALSE), FALSE), 'Misc. Data &amp; Mechanisms'!$A$599:$C$659, 2, FALSE), FALSE) = "", "", VLOOKUP($A95, INDIRECT("'" &amp; 'Personalized Bill Menu'!$B$22 &amp; "'!" &amp;"$A$4:$CA$100"), VLOOKUP(VLOOKUP(S$5,'Misc. Data &amp; Mechanisms'!$E$601:$I$631,HLOOKUP('Personalized Bill Menu'!$B$22, 'Misc. Data &amp; Mechanisms'!$E$599:$I$600, 2, FALSE), FALSE), 'Misc. Data &amp; Mechanisms'!$A$599:$C$659, 2, FALSE), FALSE)), ""))</f>
        <v>0.52078100000000005</v>
      </c>
      <c r="T95" s="81" t="str">
        <f ca="1">IF($A95="", "",IFERROR(IF(VLOOKUP($A95, INDIRECT("'" &amp; 'Personalized Bill Menu'!$B$22 &amp; "'!" &amp;"$A$4:$CA$100"), VLOOKUP(VLOOKUP(T$5,'Misc. Data &amp; Mechanisms'!$E$601:$I$631,HLOOKUP('Personalized Bill Menu'!$B$22, 'Misc. Data &amp; Mechanisms'!$E$599:$I$600, 2, FALSE), FALSE), 'Misc. Data &amp; Mechanisms'!$A$599:$C$659, 2, FALSE), FALSE) = "", "", VLOOKUP($A95, INDIRECT("'" &amp; 'Personalized Bill Menu'!$B$22 &amp; "'!" &amp;"$A$4:$CA$100"), VLOOKUP(VLOOKUP(T$5,'Misc. Data &amp; Mechanisms'!$E$601:$I$631,HLOOKUP('Personalized Bill Menu'!$B$22, 'Misc. Data &amp; Mechanisms'!$E$599:$I$600, 2, FALSE), FALSE), 'Misc. Data &amp; Mechanisms'!$A$599:$C$659, 2, FALSE), FALSE)), ""))</f>
        <v/>
      </c>
      <c r="U95" s="72">
        <f t="shared" ca="1" si="29"/>
        <v>5.1655790121634277</v>
      </c>
      <c r="V95" s="72">
        <f t="shared" ca="1" si="30"/>
        <v>16.144211000000002</v>
      </c>
      <c r="W95" s="70" t="str">
        <f t="shared" si="31"/>
        <v/>
      </c>
      <c r="X95" s="78">
        <f>IFERROR(IF(VLOOKUP($A95,'Misc. Data &amp; Mechanisms'!$A$63:$DY$152,HLOOKUP('Personalized Bill Menu'!$B$21&amp;"_"&amp;'Personalized Bill Menu'!$B$22&amp;"_Elec_Y_1",'Misc. Data &amp; Mechanisms'!$A$55:$DY$62,8,FALSE), FALSE)="", "", VLOOKUP($A95,'Misc. Data &amp; Mechanisms'!$A$63:$DY$152,HLOOKUP('Personalized Bill Menu'!$B$21&amp;"_"&amp;'Personalized Bill Menu'!$B$22&amp;"_Elec_Y_1",'Misc. Data &amp; Mechanisms'!$A$55:$DY$62,8,FALSE), FALSE)), "")</f>
        <v>0.1111</v>
      </c>
      <c r="Y95" s="78" t="str">
        <f>IFERROR(IF(VLOOKUP($A95,'Misc. Data &amp; Mechanisms'!$A$63:$DY$152,HLOOKUP('Personalized Bill Menu'!$B$21&amp;"_"&amp;'Personalized Bill Menu'!$B$22&amp;"_Elec_Y_2",'Misc. Data &amp; Mechanisms'!$A$55:$DY$62,8,FALSE), FALSE)="", "", VLOOKUP($A95,'Misc. Data &amp; Mechanisms'!$A$63:$DY$152,HLOOKUP('Personalized Bill Menu'!$B$21&amp;"_"&amp;'Personalized Bill Menu'!$B$22&amp;"_Elec_Y_2",'Misc. Data &amp; Mechanisms'!$A$55:$DY$62,8,FALSE), FALSE)), "")</f>
        <v/>
      </c>
      <c r="Z95" s="72">
        <f ca="1">IF($A95="", "",IFERROR(IF(OR('Personalized Bill Menu'!$B$22="FORTIS", 'Personalized Bill Menu'!$B$22="ATCO"), $X95*($H95+$I95), IF('Personalized Bill Menu'!$B$22="ENMAX",$X95*($H95+$I95+$K95),($X95/100)*$C95)), 0))</f>
        <v>5.0738860259006371</v>
      </c>
      <c r="AA95" s="70">
        <f>IF($A95="", "", IFERROR(IF(OR('Personalized Bill Menu'!$B$22="FORTIS", 'Personalized Bill Menu'!$B$22="ATCO"), $Y95*($H95+$I95), IF('Personalized Bill Menu'!$B$22="ENMAX",$X95*$G95,"")), 0))</f>
        <v>3.5009015203113791</v>
      </c>
      <c r="AB95" s="89">
        <f ca="1">IF($A95="", "",IFERROR(IF(VLOOKUP($A95, INDIRECT("'" &amp; 'Personalized Bill Menu'!$B$22 &amp; "'!" &amp;"$A$4:$CA$100"), VLOOKUP(VLOOKUP("RIDER RATE 1",'Misc. Data &amp; Mechanisms'!$E$601:$I$631,HLOOKUP('Personalized Bill Menu'!$B$22, 'Misc. Data &amp; Mechanisms'!$E$599:$I$600, 2, FALSE), FALSE), 'Misc. Data &amp; Mechanisms'!$A$599:$C$659, 2, FALSE), FALSE) = "", "", VLOOKUP($A95, INDIRECT("'" &amp; 'Personalized Bill Menu'!$B$22 &amp; "'!" &amp;"$A$4:$CA$100"), VLOOKUP(VLOOKUP("RIDER RATE 1",'Misc. Data &amp; Mechanisms'!$E$601:$I$631,HLOOKUP('Personalized Bill Menu'!$B$22, 'Misc. Data &amp; Mechanisms'!$E$599:$I$600, 2, FALSE), FALSE), 'Misc. Data &amp; Mechanisms'!$A$599:$C$659, 2, FALSE), FALSE)), ""))</f>
        <v>0.2969</v>
      </c>
      <c r="AC95" s="69">
        <f ca="1">IF($A95="", "",IFERROR(IF(VLOOKUP($A95, INDIRECT("'" &amp; 'Personalized Bill Menu'!$B$22 &amp; "'!" &amp;"$A$4:$CA$100"), VLOOKUP(VLOOKUP("RIDER RATE 2",'Misc. Data &amp; Mechanisms'!$E$601:$I$631,HLOOKUP('Personalized Bill Menu'!$B$22, 'Misc. Data &amp; Mechanisms'!$E$599:$I$600, 2, FALSE), FALSE), 'Misc. Data &amp; Mechanisms'!$A$599:$C$659, 2, FALSE), FALSE) = "", "", VLOOKUP($A95, INDIRECT("'" &amp; 'Personalized Bill Menu'!$B$22 &amp; "'!" &amp;"$A$4:$CA$100"), VLOOKUP(VLOOKUP("RIDER RATE 2",'Misc. Data &amp; Mechanisms'!$E$601:$I$631,HLOOKUP('Personalized Bill Menu'!$B$22, 'Misc. Data &amp; Mechanisms'!$E$599:$I$600, 2, FALSE), FALSE), 'Misc. Data &amp; Mechanisms'!$A$599:$C$659, 2, FALSE), FALSE)), ""))</f>
        <v>2.6067</v>
      </c>
      <c r="AD95" s="69">
        <f ca="1">IF($A95="", "",IFERROR(IF(VLOOKUP($A95, INDIRECT("'" &amp; 'Personalized Bill Menu'!$B$22 &amp; "'!" &amp;"$A$4:$CA$100"), VLOOKUP(VLOOKUP("RIDER RATE 3",'Misc. Data &amp; Mechanisms'!$E$601:$I$631,HLOOKUP('Personalized Bill Menu'!$B$22, 'Misc. Data &amp; Mechanisms'!$E$599:$I$600, 2, FALSE), FALSE), 'Misc. Data &amp; Mechanisms'!$A$599:$C$659, 2, FALSE), FALSE) = "", "", VLOOKUP($A95, INDIRECT("'" &amp; 'Personalized Bill Menu'!$B$22 &amp; "'!" &amp;"$A$4:$CA$100"), VLOOKUP(VLOOKUP("RIDER RATE 3",'Misc. Data &amp; Mechanisms'!$E$601:$I$631,HLOOKUP('Personalized Bill Menu'!$B$22, 'Misc. Data &amp; Mechanisms'!$E$599:$I$600, 2, FALSE), FALSE), 'Misc. Data &amp; Mechanisms'!$A$599:$C$659, 2, FALSE), FALSE)), ""))</f>
        <v>2.0799999999999999E-2</v>
      </c>
      <c r="AE95" s="69" t="str">
        <f ca="1">IF($A95="", "",IFERROR(IF(VLOOKUP($A95, INDIRECT("'" &amp; 'Personalized Bill Menu'!$B$22 &amp; "'!" &amp;"$A$4:$CA$100"), VLOOKUP(VLOOKUP("RIDER RATE 4",'Misc. Data &amp; Mechanisms'!$E$601:$I$631,HLOOKUP('Personalized Bill Menu'!$B$22, 'Misc. Data &amp; Mechanisms'!$E$599:$I$600, 2, FALSE), FALSE), 'Misc. Data &amp; Mechanisms'!$A$599:$C$659, 2, FALSE), FALSE) = "", "", VLOOKUP($A95, INDIRECT("'" &amp; 'Personalized Bill Menu'!$B$22 &amp; "'!" &amp;"$A$4:$CA$100"), VLOOKUP(VLOOKUP("RIDER RATE 4",'Misc. Data &amp; Mechanisms'!$E$601:$I$631,HLOOKUP('Personalized Bill Menu'!$B$22, 'Misc. Data &amp; Mechanisms'!$E$599:$I$600, 2, FALSE), FALSE), 'Misc. Data &amp; Mechanisms'!$A$599:$C$659, 2, FALSE), FALSE)), ""))</f>
        <v/>
      </c>
      <c r="AF95" s="90" t="str">
        <f ca="1">IF($A95="", "",IFERROR(IF(VLOOKUP($A95, INDIRECT("'" &amp; 'Personalized Bill Menu'!$B$22 &amp; "'!" &amp;"$A$4:$CA$100"), VLOOKUP(VLOOKUP("RIDER RATE 5",'Misc. Data &amp; Mechanisms'!$E$601:$I$631,HLOOKUP('Personalized Bill Menu'!$B$22, 'Misc. Data &amp; Mechanisms'!$E$599:$I$600, 2, FALSE), FALSE), 'Misc. Data &amp; Mechanisms'!$A$599:$C$659, 2, FALSE), FALSE) = "", "", VLOOKUP($A95, INDIRECT("'" &amp; 'Personalized Bill Menu'!$B$22 &amp; "'!" &amp;"$A$4:$CA$100"), VLOOKUP(VLOOKUP("RIDER RATE 5",'Misc. Data &amp; Mechanisms'!$E$601:$I$631,HLOOKUP('Personalized Bill Menu'!$B$22, 'Misc. Data &amp; Mechanisms'!$E$599:$I$600, 2, FALSE), FALSE), 'Misc. Data &amp; Mechanisms'!$A$599:$C$659, 2, FALSE), FALSE)), ""))</f>
        <v/>
      </c>
      <c r="AG95" s="90" t="str">
        <f ca="1">IF($A95="", "",IFERROR(IF(VLOOKUP($A95, INDIRECT("'" &amp; 'Personalized Bill Menu'!$B$22 &amp; "'!" &amp;"$A$4:$CA$100"), VLOOKUP(VLOOKUP("RIDER RATE 6",'Misc. Data &amp; Mechanisms'!$E$601:$I$631,HLOOKUP('Personalized Bill Menu'!$B$22, 'Misc. Data &amp; Mechanisms'!$E$599:$I$600, 2, FALSE), FALSE), 'Misc. Data &amp; Mechanisms'!$A$599:$C$659, 2, FALSE), FALSE) = "", "", VLOOKUP($A95, INDIRECT("'" &amp; 'Personalized Bill Menu'!$B$22 &amp; "'!" &amp;"$A$4:$CA$100"), VLOOKUP(VLOOKUP("RIDER RATE 6",'Misc. Data &amp; Mechanisms'!$E$601:$I$631,HLOOKUP('Personalized Bill Menu'!$B$22, 'Misc. Data &amp; Mechanisms'!$E$599:$I$600, 2, FALSE), FALSE), 'Misc. Data &amp; Mechanisms'!$A$599:$C$659, 2, FALSE), FALSE)), ""))</f>
        <v/>
      </c>
      <c r="AH95" s="90" t="str">
        <f ca="1">IF($A95="", "",IFERROR(IF(VLOOKUP($A95, INDIRECT("'" &amp; 'Personalized Bill Menu'!$B$22 &amp; "'!" &amp;"$A$4:$CA$100"), VLOOKUP(VLOOKUP("RIDER RATE 7",'Misc. Data &amp; Mechanisms'!$E$601:$I$631,HLOOKUP('Personalized Bill Menu'!$B$22, 'Misc. Data &amp; Mechanisms'!$E$599:$I$600, 2, FALSE), FALSE), 'Misc. Data &amp; Mechanisms'!$A$599:$C$659, 2, FALSE), FALSE) = "", "", VLOOKUP($A95, INDIRECT("'" &amp; 'Personalized Bill Menu'!$B$22 &amp; "'!" &amp;"$A$4:$CA$100"), VLOOKUP(VLOOKUP("RIDER RATE 7",'Misc. Data &amp; Mechanisms'!$E$601:$I$631,HLOOKUP('Personalized Bill Menu'!$B$22, 'Misc. Data &amp; Mechanisms'!$E$599:$I$600, 2, FALSE), FALSE), 'Misc. Data &amp; Mechanisms'!$A$599:$C$659, 2, FALSE), FALSE)), ""))</f>
        <v/>
      </c>
      <c r="AI95" s="72">
        <f t="shared" ca="1" si="32"/>
        <v>1.4641149486504261</v>
      </c>
      <c r="AJ95" s="72">
        <f t="shared" ca="1" si="33"/>
        <v>12.854524879242392</v>
      </c>
      <c r="AK95" s="72">
        <f ca="1">IF($A95="", "", IFERROR(IF($AD$6="%",IF('Personalized Bill Menu'!$B$22="ENMAX", $AD95*$I95, IF(AND($AD95="", 'Personalized Bill Menu'!$B$22="FORTIS"),($AE95/100)*$C95,$AD95*$H95)),($AD95/100)*$C95), 0))</f>
        <v>0.44324363225299929</v>
      </c>
      <c r="AL95" s="72">
        <f ca="1">IF($A95="", "", IFERROR(IF('Personalized Bill Menu'!$B$22="ENMAX",$AE95*$B95,IF($AE$6="%",$AE95*($H95+$I95+$J95), IF('Personalized Bill Menu'!$B$22="FORTIS",$AF95*$I95,($AE95/100)*$C95))), 0))</f>
        <v>0</v>
      </c>
      <c r="AM95" s="72" t="str">
        <f>IF($A95="", "", IFERROR(IF('Personalized Bill Menu'!$B$22="EPCOR",($AF95/100)*$C95, IF('Personalized Bill Menu'!$B$22="ATCO",$AF95*1,"")), 0))</f>
        <v/>
      </c>
      <c r="AN95" s="72" t="str">
        <f>IF($A95="", "", IFERROR(IF('Personalized Bill Menu'!$B$22="ATCO",$AG95*$B95,""), 0))</f>
        <v/>
      </c>
      <c r="AO95" s="70" t="str">
        <f>IF($A95="", "", IFERROR(IF('Personalized Bill Menu'!$B$22="ATCO",$AH95*$B95,""), 0))</f>
        <v/>
      </c>
      <c r="AP95" s="81">
        <f>IF('Personalized Bill Menu'!$B$34&lt;&gt;"Natural Gas", 'Personalized Bill Menu'!$K92, "")</f>
        <v>0.2064</v>
      </c>
      <c r="AQ95" s="70">
        <f t="shared" si="34"/>
        <v>6.3983999999999996</v>
      </c>
      <c r="AR95" s="91">
        <f ca="1">IF($A95="", "",IF(VLOOKUP($A95, INDIRECT("'" &amp; 'Personalized Bill Menu'!$B$22 &amp; "'!" &amp;"$A$4:$CA$100"), VLOOKUP(VLOOKUP(AR$5,'Misc. Data &amp; Mechanisms'!$E$601:$I$631,HLOOKUP('Personalized Bill Menu'!$B$22, 'Misc. Data &amp; Mechanisms'!$E$599:$I$600, 2, FALSE), FALSE), 'Misc. Data &amp; Mechanisms'!$A$599:$C$659, 2, FALSE), FALSE) = "", "", VLOOKUP($A95, INDIRECT("'" &amp; 'Personalized Bill Menu'!$B$22 &amp; "'!" &amp;"$A$4:$CA$100"), VLOOKUP(VLOOKUP(AR$5,'Misc. Data &amp; Mechanisms'!$E$601:$I$631,HLOOKUP('Personalized Bill Menu'!$B$22, 'Misc. Data &amp; Mechanisms'!$E$599:$I$600, 2, FALSE), FALSE), 'Misc. Data &amp; Mechanisms'!$A$599:$C$659, 2, FALSE), FALSE)))</f>
        <v>0.05</v>
      </c>
    </row>
    <row r="96" spans="1:44" ht="15" thickBot="1" x14ac:dyDescent="0.4">
      <c r="A96" s="92">
        <f>'Personalized Bill Menu'!$H93</f>
        <v>43617</v>
      </c>
      <c r="B96" s="93">
        <f t="shared" si="19"/>
        <v>30</v>
      </c>
      <c r="C96" s="94">
        <f>IF('Personalized Bill Menu'!$B$34&lt;&gt;"Natural Gas", 'Personalized Bill Menu'!$I93, "")</f>
        <v>479.27857953782711</v>
      </c>
      <c r="D96" s="95">
        <f t="shared" ca="1" si="35"/>
        <v>19.600423719157671</v>
      </c>
      <c r="E96" s="95">
        <f ca="1">IFERROR((1+$AR96)*(IF('Personalized Bill Menu'!$B$22="ENMAX", ((1+IFERROR($X96, 0))*($N96+$P96+$R96+$AB96+$AC96))+((1+IF($X96="", 0,$X96))*(IF($AD96="", 0,$AD96)*$R96)), IF('Personalized Bill Menu'!$B$22="EPCOR", ($N96+$P96+$R96+$X96+SUM($AB96:$AE96)), IF('Personalized Bill Menu'!$B$22="ATCO",($N96+((1+IF($AE96="", 0,$AE96))*(1+$X96+$Y96)*($P96+$R96))+SUM($AB96:$AD96)),IF($AD96="",$N96+((1+$X96+$Y96)*($P96+$R96))+$AB96+$AE96+(IF($AC96="", 0, $AC96)*$P96)+($R96*IF($AF96="", 0, $AF96)),$N96+((1+$X96+$Y96)*($P96+$R96))+$AB96+($AD96*$P96)+(IF($AC96="", 0, $AC96)*$P96)+($R96*IF($AF96="", 0, $AF96))))))), "")</f>
        <v>14.361742381139999</v>
      </c>
      <c r="F96" s="1470">
        <f t="shared" ca="1" si="20"/>
        <v>93.940632384574229</v>
      </c>
      <c r="G96" s="95">
        <f t="shared" si="18"/>
        <v>30.630694018262528</v>
      </c>
      <c r="H96" s="95">
        <f t="shared" ca="1" si="21"/>
        <v>9.3281989935447278</v>
      </c>
      <c r="I96" s="95">
        <f t="shared" ca="1" si="22"/>
        <v>20.643873120658739</v>
      </c>
      <c r="J96" s="95">
        <f t="shared" ca="1" si="23"/>
        <v>8.326777408853685</v>
      </c>
      <c r="K96" s="95">
        <f t="shared" ca="1" si="36"/>
        <v>14.34572539637005</v>
      </c>
      <c r="L96" s="95">
        <f t="shared" si="25"/>
        <v>6.1920000000000002</v>
      </c>
      <c r="M96" s="96">
        <f t="shared" ca="1" si="26"/>
        <v>4.4733634468844867</v>
      </c>
      <c r="N96" s="1291">
        <f>IF('Personalized Bill Menu'!$B$34&lt;&gt;"Natural Gas", 'Personalized Bill Menu'!$J93, "")</f>
        <v>6.391</v>
      </c>
      <c r="O96" s="98">
        <f t="shared" si="27"/>
        <v>30.630694018262528</v>
      </c>
      <c r="P96" s="99">
        <f ca="1">IF($A96="", "",IFERROR(IF(VLOOKUP($A96, INDIRECT("'" &amp; 'Personalized Bill Menu'!$B$22 &amp; "'!" &amp;"$A$4:$CA$100"), VLOOKUP(VLOOKUP(P$5,'Misc. Data &amp; Mechanisms'!$E$601:$I$631,HLOOKUP('Personalized Bill Menu'!$B$22, 'Misc. Data &amp; Mechanisms'!$E$599:$I$600, 2, FALSE), FALSE), 'Misc. Data &amp; Mechanisms'!$A$599:$C$659, 2, FALSE), FALSE) = "", "", VLOOKUP($A96, INDIRECT("'" &amp; 'Personalized Bill Menu'!$B$22 &amp; "'!" &amp;"$A$4:$CA$100"), VLOOKUP(VLOOKUP(P$5,'Misc. Data &amp; Mechanisms'!$E$601:$I$631,HLOOKUP('Personalized Bill Menu'!$B$22, 'Misc. Data &amp; Mechanisms'!$E$599:$I$600, 2, FALSE), FALSE), 'Misc. Data &amp; Mechanisms'!$A$599:$C$659, 2, FALSE), FALSE)), ""))</f>
        <v>1.9462999999999999</v>
      </c>
      <c r="Q96" s="98">
        <f t="shared" ca="1" si="28"/>
        <v>9.3281989935447278</v>
      </c>
      <c r="R96" s="101">
        <f ca="1">IF($A96="", "",IFERROR(IF(VLOOKUP($A96, INDIRECT("'" &amp; 'Personalized Bill Menu'!$B$22 &amp; "'!" &amp;"$A$4:$CA$100"), VLOOKUP(VLOOKUP(R$5,'Misc. Data &amp; Mechanisms'!$E$601:$I$631,HLOOKUP('Personalized Bill Menu'!$B$22, 'Misc. Data &amp; Mechanisms'!$E$599:$I$600, 2, FALSE), FALSE), 'Misc. Data &amp; Mechanisms'!$A$599:$C$659, 2, FALSE), FALSE) = "", "", VLOOKUP($A96, INDIRECT("'" &amp; 'Personalized Bill Menu'!$B$22 &amp; "'!" &amp;"$A$4:$CA$100"), VLOOKUP(VLOOKUP(R$5,'Misc. Data &amp; Mechanisms'!$E$601:$I$631,HLOOKUP('Personalized Bill Menu'!$B$22, 'Misc. Data &amp; Mechanisms'!$E$599:$I$600, 2, FALSE), FALSE), 'Misc. Data &amp; Mechanisms'!$A$599:$C$659, 2, FALSE), FALSE)), ""))</f>
        <v>1.0475000000000001</v>
      </c>
      <c r="S96" s="102">
        <f ca="1">IF($A96="", "",IFERROR(IF(VLOOKUP($A96, INDIRECT("'" &amp; 'Personalized Bill Menu'!$B$22 &amp; "'!" &amp;"$A$4:$CA$100"), VLOOKUP(VLOOKUP(S$5,'Misc. Data &amp; Mechanisms'!$E$601:$I$631,HLOOKUP('Personalized Bill Menu'!$B$22, 'Misc. Data &amp; Mechanisms'!$E$599:$I$600, 2, FALSE), FALSE), 'Misc. Data &amp; Mechanisms'!$A$599:$C$659, 2, FALSE), FALSE) = "", "", VLOOKUP($A96, INDIRECT("'" &amp; 'Personalized Bill Menu'!$B$22 &amp; "'!" &amp;"$A$4:$CA$100"), VLOOKUP(VLOOKUP(S$5,'Misc. Data &amp; Mechanisms'!$E$601:$I$631,HLOOKUP('Personalized Bill Menu'!$B$22, 'Misc. Data &amp; Mechanisms'!$E$599:$I$600, 2, FALSE), FALSE), 'Misc. Data &amp; Mechanisms'!$A$599:$C$659, 2, FALSE), FALSE)), ""))</f>
        <v>0.52078100000000005</v>
      </c>
      <c r="T96" s="103" t="str">
        <f ca="1">IF($A96="", "",IFERROR(IF(VLOOKUP($A96, INDIRECT("'" &amp; 'Personalized Bill Menu'!$B$22 &amp; "'!" &amp;"$A$4:$CA$100"), VLOOKUP(VLOOKUP(T$5,'Misc. Data &amp; Mechanisms'!$E$601:$I$631,HLOOKUP('Personalized Bill Menu'!$B$22, 'Misc. Data &amp; Mechanisms'!$E$599:$I$600, 2, FALSE), FALSE), 'Misc. Data &amp; Mechanisms'!$A$599:$C$659, 2, FALSE), FALSE) = "", "", VLOOKUP($A96, INDIRECT("'" &amp; 'Personalized Bill Menu'!$B$22 &amp; "'!" &amp;"$A$4:$CA$100"), VLOOKUP(VLOOKUP(T$5,'Misc. Data &amp; Mechanisms'!$E$601:$I$631,HLOOKUP('Personalized Bill Menu'!$B$22, 'Misc. Data &amp; Mechanisms'!$E$599:$I$600, 2, FALSE), FALSE), 'Misc. Data &amp; Mechanisms'!$A$599:$C$659, 2, FALSE), FALSE)), ""))</f>
        <v/>
      </c>
      <c r="U96" s="100">
        <f t="shared" ca="1" si="29"/>
        <v>5.0204431206587401</v>
      </c>
      <c r="V96" s="100">
        <f t="shared" ca="1" si="30"/>
        <v>15.623430000000001</v>
      </c>
      <c r="W96" s="98" t="str">
        <f t="shared" si="31"/>
        <v/>
      </c>
      <c r="X96" s="104">
        <f>IFERROR(IF(VLOOKUP($A96,'Misc. Data &amp; Mechanisms'!$A$63:$DY$152,HLOOKUP('Personalized Bill Menu'!$B$21&amp;"_"&amp;'Personalized Bill Menu'!$B$22&amp;"_Elec_Y_1",'Misc. Data &amp; Mechanisms'!$A$55:$DY$62,8,FALSE), FALSE)="", "", VLOOKUP($A96,'Misc. Data &amp; Mechanisms'!$A$63:$DY$152,HLOOKUP('Personalized Bill Menu'!$B$21&amp;"_"&amp;'Personalized Bill Menu'!$B$22&amp;"_Elec_Y_1",'Misc. Data &amp; Mechanisms'!$A$55:$DY$62,8,FALSE), FALSE)), "")</f>
        <v>0.1111</v>
      </c>
      <c r="Y96" s="104" t="str">
        <f>IFERROR(IF(VLOOKUP($A96,'Misc. Data &amp; Mechanisms'!$A$63:$DY$152,HLOOKUP('Personalized Bill Menu'!$B$21&amp;"_"&amp;'Personalized Bill Menu'!$B$22&amp;"_Elec_Y_2",'Misc. Data &amp; Mechanisms'!$A$55:$DY$62,8,FALSE), FALSE)="", "", VLOOKUP($A96,'Misc. Data &amp; Mechanisms'!$A$63:$DY$152,HLOOKUP('Personalized Bill Menu'!$B$21&amp;"_"&amp;'Personalized Bill Menu'!$B$22&amp;"_Elec_Y_2",'Misc. Data &amp; Mechanisms'!$A$55:$DY$62,8,FALSE), FALSE)), "")</f>
        <v/>
      </c>
      <c r="Z96" s="100">
        <f ca="1">IF($A96="", "",IFERROR(IF(OR('Personalized Bill Menu'!$B$22="FORTIS", 'Personalized Bill Menu'!$B$22="ATCO"), $X96*($H96+$I96), IF('Personalized Bill Menu'!$B$22="ENMAX",$X96*($H96+$I96+$K96),($X96/100)*$C96)), 0))</f>
        <v>4.9237073034247176</v>
      </c>
      <c r="AA96" s="98">
        <f>IF($A96="", "", IFERROR(IF(OR('Personalized Bill Menu'!$B$22="FORTIS", 'Personalized Bill Menu'!$B$22="ATCO"), $Y96*($H96+$I96), IF('Personalized Bill Menu'!$B$22="ENMAX",$X96*$G96,"")), 0))</f>
        <v>3.4030701054289669</v>
      </c>
      <c r="AB96" s="105">
        <f ca="1">IF($A96="", "",IFERROR(IF(VLOOKUP($A96, INDIRECT("'" &amp; 'Personalized Bill Menu'!$B$22 &amp; "'!" &amp;"$A$4:$CA$100"), VLOOKUP(VLOOKUP("RIDER RATE 1",'Misc. Data &amp; Mechanisms'!$E$601:$I$631,HLOOKUP('Personalized Bill Menu'!$B$22, 'Misc. Data &amp; Mechanisms'!$E$599:$I$600, 2, FALSE), FALSE), 'Misc. Data &amp; Mechanisms'!$A$599:$C$659, 2, FALSE), FALSE) = "", "", VLOOKUP($A96, INDIRECT("'" &amp; 'Personalized Bill Menu'!$B$22 &amp; "'!" &amp;"$A$4:$CA$100"), VLOOKUP(VLOOKUP("RIDER RATE 1",'Misc. Data &amp; Mechanisms'!$E$601:$I$631,HLOOKUP('Personalized Bill Menu'!$B$22, 'Misc. Data &amp; Mechanisms'!$E$599:$I$600, 2, FALSE), FALSE), 'Misc. Data &amp; Mechanisms'!$A$599:$C$659, 2, FALSE), FALSE)), ""))</f>
        <v>0.2969</v>
      </c>
      <c r="AC96" s="97">
        <f ca="1">IF($A96="", "",IFERROR(IF(VLOOKUP($A96, INDIRECT("'" &amp; 'Personalized Bill Menu'!$B$22 &amp; "'!" &amp;"$A$4:$CA$100"), VLOOKUP(VLOOKUP("RIDER RATE 2",'Misc. Data &amp; Mechanisms'!$E$601:$I$631,HLOOKUP('Personalized Bill Menu'!$B$22, 'Misc. Data &amp; Mechanisms'!$E$599:$I$600, 2, FALSE), FALSE), 'Misc. Data &amp; Mechanisms'!$A$599:$C$659, 2, FALSE), FALSE) = "", "", VLOOKUP($A96, INDIRECT("'" &amp; 'Personalized Bill Menu'!$B$22 &amp; "'!" &amp;"$A$4:$CA$100"), VLOOKUP(VLOOKUP("RIDER RATE 2",'Misc. Data &amp; Mechanisms'!$E$601:$I$631,HLOOKUP('Personalized Bill Menu'!$B$22, 'Misc. Data &amp; Mechanisms'!$E$599:$I$600, 2, FALSE), FALSE), 'Misc. Data &amp; Mechanisms'!$A$599:$C$659, 2, FALSE), FALSE)), ""))</f>
        <v>2.6067</v>
      </c>
      <c r="AD96" s="97">
        <f ca="1">IF($A96="", "",IFERROR(IF(VLOOKUP($A96, INDIRECT("'" &amp; 'Personalized Bill Menu'!$B$22 &amp; "'!" &amp;"$A$4:$CA$100"), VLOOKUP(VLOOKUP("RIDER RATE 3",'Misc. Data &amp; Mechanisms'!$E$601:$I$631,HLOOKUP('Personalized Bill Menu'!$B$22, 'Misc. Data &amp; Mechanisms'!$E$599:$I$600, 2, FALSE), FALSE), 'Misc. Data &amp; Mechanisms'!$A$599:$C$659, 2, FALSE), FALSE) = "", "", VLOOKUP($A96, INDIRECT("'" &amp; 'Personalized Bill Menu'!$B$22 &amp; "'!" &amp;"$A$4:$CA$100"), VLOOKUP(VLOOKUP("RIDER RATE 3",'Misc. Data &amp; Mechanisms'!$E$601:$I$631,HLOOKUP('Personalized Bill Menu'!$B$22, 'Misc. Data &amp; Mechanisms'!$E$599:$I$600, 2, FALSE), FALSE), 'Misc. Data &amp; Mechanisms'!$A$599:$C$659, 2, FALSE), FALSE)), ""))</f>
        <v>2.0799999999999999E-2</v>
      </c>
      <c r="AE96" s="97" t="str">
        <f ca="1">IF($A96="", "",IFERROR(IF(VLOOKUP($A96, INDIRECT("'" &amp; 'Personalized Bill Menu'!$B$22 &amp; "'!" &amp;"$A$4:$CA$100"), VLOOKUP(VLOOKUP("RIDER RATE 4",'Misc. Data &amp; Mechanisms'!$E$601:$I$631,HLOOKUP('Personalized Bill Menu'!$B$22, 'Misc. Data &amp; Mechanisms'!$E$599:$I$600, 2, FALSE), FALSE), 'Misc. Data &amp; Mechanisms'!$A$599:$C$659, 2, FALSE), FALSE) = "", "", VLOOKUP($A96, INDIRECT("'" &amp; 'Personalized Bill Menu'!$B$22 &amp; "'!" &amp;"$A$4:$CA$100"), VLOOKUP(VLOOKUP("RIDER RATE 4",'Misc. Data &amp; Mechanisms'!$E$601:$I$631,HLOOKUP('Personalized Bill Menu'!$B$22, 'Misc. Data &amp; Mechanisms'!$E$599:$I$600, 2, FALSE), FALSE), 'Misc. Data &amp; Mechanisms'!$A$599:$C$659, 2, FALSE), FALSE)), ""))</f>
        <v/>
      </c>
      <c r="AF96" s="106" t="str">
        <f ca="1">IF($A96="", "",IFERROR(IF(VLOOKUP($A96, INDIRECT("'" &amp; 'Personalized Bill Menu'!$B$22 &amp; "'!" &amp;"$A$4:$CA$100"), VLOOKUP(VLOOKUP("RIDER RATE 5",'Misc. Data &amp; Mechanisms'!$E$601:$I$631,HLOOKUP('Personalized Bill Menu'!$B$22, 'Misc. Data &amp; Mechanisms'!$E$599:$I$600, 2, FALSE), FALSE), 'Misc. Data &amp; Mechanisms'!$A$599:$C$659, 2, FALSE), FALSE) = "", "", VLOOKUP($A96, INDIRECT("'" &amp; 'Personalized Bill Menu'!$B$22 &amp; "'!" &amp;"$A$4:$CA$100"), VLOOKUP(VLOOKUP("RIDER RATE 5",'Misc. Data &amp; Mechanisms'!$E$601:$I$631,HLOOKUP('Personalized Bill Menu'!$B$22, 'Misc. Data &amp; Mechanisms'!$E$599:$I$600, 2, FALSE), FALSE), 'Misc. Data &amp; Mechanisms'!$A$599:$C$659, 2, FALSE), FALSE)), ""))</f>
        <v/>
      </c>
      <c r="AG96" s="106" t="str">
        <f ca="1">IF($A96="", "",IFERROR(IF(VLOOKUP($A96, INDIRECT("'" &amp; 'Personalized Bill Menu'!$B$22 &amp; "'!" &amp;"$A$4:$CA$100"), VLOOKUP(VLOOKUP("RIDER RATE 6",'Misc. Data &amp; Mechanisms'!$E$601:$I$631,HLOOKUP('Personalized Bill Menu'!$B$22, 'Misc. Data &amp; Mechanisms'!$E$599:$I$600, 2, FALSE), FALSE), 'Misc. Data &amp; Mechanisms'!$A$599:$C$659, 2, FALSE), FALSE) = "", "", VLOOKUP($A96, INDIRECT("'" &amp; 'Personalized Bill Menu'!$B$22 &amp; "'!" &amp;"$A$4:$CA$100"), VLOOKUP(VLOOKUP("RIDER RATE 6",'Misc. Data &amp; Mechanisms'!$E$601:$I$631,HLOOKUP('Personalized Bill Menu'!$B$22, 'Misc. Data &amp; Mechanisms'!$E$599:$I$600, 2, FALSE), FALSE), 'Misc. Data &amp; Mechanisms'!$A$599:$C$659, 2, FALSE), FALSE)), ""))</f>
        <v/>
      </c>
      <c r="AH96" s="106" t="str">
        <f ca="1">IF($A96="", "",IFERROR(IF(VLOOKUP($A96, INDIRECT("'" &amp; 'Personalized Bill Menu'!$B$22 &amp; "'!" &amp;"$A$4:$CA$100"), VLOOKUP(VLOOKUP("RIDER RATE 7",'Misc. Data &amp; Mechanisms'!$E$601:$I$631,HLOOKUP('Personalized Bill Menu'!$B$22, 'Misc. Data &amp; Mechanisms'!$E$599:$I$600, 2, FALSE), FALSE), 'Misc. Data &amp; Mechanisms'!$A$599:$C$659, 2, FALSE), FALSE) = "", "", VLOOKUP($A96, INDIRECT("'" &amp; 'Personalized Bill Menu'!$B$22 &amp; "'!" &amp;"$A$4:$CA$100"), VLOOKUP(VLOOKUP("RIDER RATE 7",'Misc. Data &amp; Mechanisms'!$E$601:$I$631,HLOOKUP('Personalized Bill Menu'!$B$22, 'Misc. Data &amp; Mechanisms'!$E$599:$I$600, 2, FALSE), FALSE), 'Misc. Data &amp; Mechanisms'!$A$599:$C$659, 2, FALSE), FALSE)), ""))</f>
        <v/>
      </c>
      <c r="AI96" s="100">
        <f t="shared" ca="1" si="32"/>
        <v>1.4229781026478086</v>
      </c>
      <c r="AJ96" s="100">
        <f t="shared" ca="1" si="33"/>
        <v>12.49335473281254</v>
      </c>
      <c r="AK96" s="100">
        <f ca="1">IF($A96="", "", IFERROR(IF($AD$6="%",IF('Personalized Bill Menu'!$B$22="ENMAX", $AD96*$I96, IF(AND($AD96="", 'Personalized Bill Menu'!$B$22="FORTIS"),($AE96/100)*$C96,$AD96*$H96)),($AD96/100)*$C96), 0))</f>
        <v>0.42939256090970174</v>
      </c>
      <c r="AL96" s="100">
        <f ca="1">IF($A96="", "", IFERROR(IF('Personalized Bill Menu'!$B$22="ENMAX",$AE96*$B96,IF($AE$6="%",$AE96*($H96+$I96+$J96), IF('Personalized Bill Menu'!$B$22="FORTIS",$AF96*$I96,($AE96/100)*$C96))), 0))</f>
        <v>0</v>
      </c>
      <c r="AM96" s="100" t="str">
        <f>IF($A96="", "", IFERROR(IF('Personalized Bill Menu'!$B$22="EPCOR",($AF96/100)*$C96, IF('Personalized Bill Menu'!$B$22="ATCO",$AF96*1,"")), 0))</f>
        <v/>
      </c>
      <c r="AN96" s="100" t="str">
        <f>IF($A96="", "", IFERROR(IF('Personalized Bill Menu'!$B$22="ATCO",$AG96*$B96,""), 0))</f>
        <v/>
      </c>
      <c r="AO96" s="98" t="str">
        <f>IF($A96="", "", IFERROR(IF('Personalized Bill Menu'!$B$22="ATCO",$AH96*$B96,""), 0))</f>
        <v/>
      </c>
      <c r="AP96" s="103">
        <f>IF('Personalized Bill Menu'!$B$34&lt;&gt;"Natural Gas", 'Personalized Bill Menu'!$K93, "")</f>
        <v>0.2064</v>
      </c>
      <c r="AQ96" s="98">
        <f t="shared" si="34"/>
        <v>6.1920000000000002</v>
      </c>
      <c r="AR96" s="107">
        <f ca="1">IF($A96="", "",IF(VLOOKUP($A96, INDIRECT("'" &amp; 'Personalized Bill Menu'!$B$22 &amp; "'!" &amp;"$A$4:$CA$100"), VLOOKUP(VLOOKUP(AR$5,'Misc. Data &amp; Mechanisms'!$E$601:$I$631,HLOOKUP('Personalized Bill Menu'!$B$22, 'Misc. Data &amp; Mechanisms'!$E$599:$I$600, 2, FALSE), FALSE), 'Misc. Data &amp; Mechanisms'!$A$599:$C$659, 2, FALSE), FALSE) = "", "", VLOOKUP($A96, INDIRECT("'" &amp; 'Personalized Bill Menu'!$B$22 &amp; "'!" &amp;"$A$4:$CA$100"), VLOOKUP(VLOOKUP(AR$5,'Misc. Data &amp; Mechanisms'!$E$601:$I$631,HLOOKUP('Personalized Bill Menu'!$B$22, 'Misc. Data &amp; Mechanisms'!$E$599:$I$600, 2, FALSE), FALSE), 'Misc. Data &amp; Mechanisms'!$A$599:$C$659, 2, FALSE), FALSE)))</f>
        <v>0.05</v>
      </c>
    </row>
  </sheetData>
  <sheetProtection sheet="1" objects="1" scenarios="1"/>
  <mergeCells count="37">
    <mergeCell ref="K5:K6"/>
    <mergeCell ref="L5:L6"/>
    <mergeCell ref="M5:M6"/>
    <mergeCell ref="Z5:Z6"/>
    <mergeCell ref="AA5:AA6"/>
    <mergeCell ref="U5:U6"/>
    <mergeCell ref="AN5:AN6"/>
    <mergeCell ref="N1:O1"/>
    <mergeCell ref="AQ5:AQ6"/>
    <mergeCell ref="AP4:AQ4"/>
    <mergeCell ref="AI5:AI6"/>
    <mergeCell ref="AJ5:AJ6"/>
    <mergeCell ref="AK5:AK6"/>
    <mergeCell ref="AB4:AO4"/>
    <mergeCell ref="AO5:AO6"/>
    <mergeCell ref="F2:H2"/>
    <mergeCell ref="I2:K2"/>
    <mergeCell ref="A1:D1"/>
    <mergeCell ref="F1:H1"/>
    <mergeCell ref="I1:K1"/>
    <mergeCell ref="A2:D2"/>
    <mergeCell ref="A4:F4"/>
    <mergeCell ref="G4:M4"/>
    <mergeCell ref="AL5:AL6"/>
    <mergeCell ref="AM5:AM6"/>
    <mergeCell ref="O5:O6"/>
    <mergeCell ref="P4:Q4"/>
    <mergeCell ref="Q5:Q6"/>
    <mergeCell ref="R4:W4"/>
    <mergeCell ref="V5:V6"/>
    <mergeCell ref="W5:W6"/>
    <mergeCell ref="N4:O4"/>
    <mergeCell ref="X4:AA4"/>
    <mergeCell ref="G5:G6"/>
    <mergeCell ref="H5:H6"/>
    <mergeCell ref="I5:I6"/>
    <mergeCell ref="J5:J6"/>
  </mergeCells>
  <conditionalFormatting sqref="AB7:AB96">
    <cfRule type="expression" dxfId="55" priority="24">
      <formula>$AB$6="%"</formula>
    </cfRule>
  </conditionalFormatting>
  <conditionalFormatting sqref="AC7:AC96">
    <cfRule type="cellIs" dxfId="54" priority="11" operator="lessThan">
      <formula>0</formula>
    </cfRule>
    <cfRule type="expression" dxfId="53" priority="23">
      <formula>$AC$6="%"</formula>
    </cfRule>
  </conditionalFormatting>
  <conditionalFormatting sqref="AD7:AD96">
    <cfRule type="cellIs" dxfId="52" priority="10" operator="lessThan">
      <formula>0</formula>
    </cfRule>
    <cfRule type="expression" dxfId="51" priority="22">
      <formula>$AD$6="%"</formula>
    </cfRule>
  </conditionalFormatting>
  <conditionalFormatting sqref="AE7:AE96">
    <cfRule type="cellIs" dxfId="50" priority="9" operator="lessThan">
      <formula>0</formula>
    </cfRule>
    <cfRule type="expression" dxfId="49" priority="21">
      <formula>$AE$6="%"</formula>
    </cfRule>
  </conditionalFormatting>
  <conditionalFormatting sqref="AF7:AH96">
    <cfRule type="cellIs" dxfId="48" priority="7" operator="lessThan">
      <formula>0</formula>
    </cfRule>
    <cfRule type="expression" dxfId="47" priority="20">
      <formula>$AF$6="%"</formula>
    </cfRule>
  </conditionalFormatting>
  <conditionalFormatting sqref="C7:C96">
    <cfRule type="expression" dxfId="46" priority="1">
      <formula>$I$1&lt;&gt;"My Actual Consumption"</formula>
    </cfRule>
  </conditionalFormatting>
  <hyperlinks>
    <hyperlink ref="N1" location="'Regulated Bill Menu'!A1" display="Return to Regulated Bill Menu"/>
    <hyperlink ref="N1:O1" location="'Personalized Bill Menu'!A1" display="Return to Regulated Bill Menu"/>
  </hyperlinks>
  <pageMargins left="0.7" right="0.7" top="0.75" bottom="0.75" header="0.3" footer="0.3"/>
  <pageSetup orientation="portrait" r:id="rId1"/>
  <ignoredErrors>
    <ignoredError sqref="Q7:Q81 Q82:Q84 Q85:Q90 Q91:Q93 Q94:Q96" formula="1"/>
  </ignoredErrors>
  <extLst>
    <ext xmlns:x14="http://schemas.microsoft.com/office/spreadsheetml/2009/9/main" uri="{78C0D931-6437-407d-A8EE-F0AAD7539E65}">
      <x14:conditionalFormattings>
        <x14:conditionalFormatting xmlns:xm="http://schemas.microsoft.com/office/excel/2006/main">
          <x14:cfRule type="expression" priority="136" id="{E5083C75-09FD-4547-8BF3-06C6ED6327EC}">
            <xm:f>'Personalized Bill Menu'!$B$22="EPCOR"</xm:f>
            <x14:dxf>
              <numFmt numFmtId="170" formatCode="0.000_);[Red]\(0.000\)"/>
            </x14:dxf>
          </x14:cfRule>
          <xm:sqref>X7:X96</xm:sqref>
        </x14:conditionalFormatting>
        <x14:conditionalFormatting xmlns:xm="http://schemas.microsoft.com/office/excel/2006/main">
          <x14:cfRule type="expression" priority="137" id="{48B43270-7160-4F2E-B061-528D777CB382}">
            <xm:f>AND(OR('Personalized Bill Menu'!$B$22="ENMAX", 'Personalized Bill Menu'!$B$22="FORTIS"), $AB$6&lt;&gt;"%")</xm:f>
            <x14:dxf>
              <numFmt numFmtId="166" formatCode="0.0000_);[Red]\(0.0000\)"/>
            </x14:dxf>
          </x14:cfRule>
          <xm:sqref>AB7:AB96</xm:sqref>
        </x14:conditionalFormatting>
        <x14:conditionalFormatting xmlns:xm="http://schemas.microsoft.com/office/excel/2006/main">
          <x14:cfRule type="expression" priority="138" id="{B08F090D-77C5-4AAC-A9C9-E7DD56A67873}">
            <xm:f>AND(OR('Personalized Bill Menu'!$B$22="ENMAX", 'Personalized Bill Menu'!$B$22="FORTIS"), $AC$6&lt;&gt;"%")</xm:f>
            <x14:dxf>
              <numFmt numFmtId="166" formatCode="0.0000_);[Red]\(0.0000\)"/>
            </x14:dxf>
          </x14:cfRule>
          <xm:sqref>AC7:AC96</xm:sqref>
        </x14:conditionalFormatting>
        <x14:conditionalFormatting xmlns:xm="http://schemas.microsoft.com/office/excel/2006/main">
          <x14:cfRule type="expression" priority="139" id="{AF01FF05-7BAA-48FA-8716-947ED8D89135}">
            <xm:f>'Personalized Bill Menu'!$B$22="ENMAX"</xm:f>
            <x14:dxf>
              <numFmt numFmtId="166" formatCode="0.0000_);[Red]\(0.0000\)"/>
            </x14:dxf>
          </x14:cfRule>
          <xm:sqref>N7:N96 AE7:AE96</xm:sqref>
        </x14:conditionalFormatting>
        <x14:conditionalFormatting xmlns:xm="http://schemas.microsoft.com/office/excel/2006/main">
          <x14:cfRule type="expression" priority="141" id="{7B12EB82-9205-4499-9275-A7FE1CDB1167}">
            <xm:f>'Personalized Bill Menu'!$B$22="ATCO"</xm:f>
            <x14:dxf>
              <numFmt numFmtId="164" formatCode="0.00_);[Red]\(0.00\)"/>
            </x14:dxf>
          </x14:cfRule>
          <x14:cfRule type="expression" priority="142" id="{6A0CCE42-76C7-4CC4-9003-F7F87978F9A1}">
            <xm:f>'Personalized Bill Menu'!$B$22="EPCOR"</xm:f>
            <x14:dxf>
              <numFmt numFmtId="170" formatCode="0.000_);[Red]\(0.000\)"/>
            </x14:dxf>
          </x14:cfRule>
          <xm:sqref>P7:P96 R7:R96</xm:sqref>
        </x14:conditionalFormatting>
        <x14:conditionalFormatting xmlns:xm="http://schemas.microsoft.com/office/excel/2006/main">
          <x14:cfRule type="expression" priority="145" id="{5C65D902-824F-4796-88F0-8381F9A9EC00}">
            <xm:f>'Personalized Bill Menu'!$B$22="ENMAX"</xm:f>
            <x14:dxf>
              <numFmt numFmtId="167" formatCode="0.000000_);[Red]\(0.000000\)"/>
            </x14:dxf>
          </x14:cfRule>
          <x14:cfRule type="expression" priority="146" id="{45A8F2A8-B749-4411-8244-C0489BADE7F9}">
            <xm:f>'Personalized Bill Menu'!$B$22="ATCO"</xm:f>
            <x14:dxf>
              <numFmt numFmtId="164" formatCode="0.00_);[Red]\(0.00\)"/>
            </x14:dxf>
          </x14:cfRule>
          <x14:cfRule type="expression" priority="147" id="{4012C476-66E6-47CC-83B9-96CB07C612D3}">
            <xm:f>'Personalized Bill Menu'!$B$22="EPCOR"</xm:f>
            <x14:dxf>
              <numFmt numFmtId="183" formatCode="0.00000_);[Red]\(0.00000\)"/>
            </x14:dxf>
          </x14:cfRule>
          <xm:sqref>S7:S96</xm:sqref>
        </x14:conditionalFormatting>
        <x14:conditionalFormatting xmlns:xm="http://schemas.microsoft.com/office/excel/2006/main">
          <x14:cfRule type="expression" priority="148" id="{CBBEA56E-FAAA-4636-ADAF-3F3B44BD24ED}">
            <xm:f>'Personalized Bill Menu'!$B$22="ATCO"</xm:f>
            <x14:dxf>
              <numFmt numFmtId="170" formatCode="0.000_);[Red]\(0.000\)"/>
            </x14:dxf>
          </x14:cfRule>
          <x14:cfRule type="expression" priority="149" id="{475A18D0-0490-45CE-92D3-DF209065DDA5}">
            <xm:f>'Personalized Bill Menu'!$B$22="ENMAX"</xm:f>
            <x14:dxf>
              <numFmt numFmtId="166" formatCode="0.0000_);[Red]\(0.0000\)"/>
            </x14:dxf>
          </x14:cfRule>
          <xm:sqref>AP7:AP96</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AX96"/>
  <sheetViews>
    <sheetView zoomScale="80" zoomScaleNormal="80" workbookViewId="0">
      <selection sqref="A1:D1"/>
    </sheetView>
  </sheetViews>
  <sheetFormatPr defaultColWidth="9.1796875" defaultRowHeight="14.5" x14ac:dyDescent="0.35"/>
  <cols>
    <col min="1" max="1" width="8.54296875" style="121" bestFit="1" customWidth="1"/>
    <col min="2" max="2" width="10.1796875" style="122" bestFit="1" customWidth="1"/>
    <col min="3" max="3" width="14.81640625" style="123" bestFit="1" customWidth="1"/>
    <col min="4" max="4" width="15.54296875" style="124" bestFit="1" customWidth="1"/>
    <col min="5" max="5" width="15" style="124" bestFit="1" customWidth="1"/>
    <col min="6" max="6" width="17.1796875" style="123" bestFit="1" customWidth="1"/>
    <col min="7" max="7" width="14.26953125" style="124" bestFit="1" customWidth="1"/>
    <col min="8" max="8" width="18.7265625" style="124" bestFit="1" customWidth="1"/>
    <col min="9" max="9" width="16.7265625" style="124" bestFit="1" customWidth="1"/>
    <col min="10" max="10" width="11.453125" style="124" bestFit="1" customWidth="1"/>
    <col min="11" max="11" width="16.26953125" style="124" bestFit="1" customWidth="1"/>
    <col min="12" max="12" width="16.26953125" style="124" customWidth="1"/>
    <col min="13" max="13" width="7.453125" style="124" bestFit="1" customWidth="1"/>
    <col min="14" max="14" width="17.1796875" style="125" customWidth="1"/>
    <col min="15" max="15" width="16.26953125" style="123" bestFit="1" customWidth="1"/>
    <col min="16" max="16" width="13.1796875" style="125" bestFit="1" customWidth="1"/>
    <col min="17" max="17" width="13.1796875" style="123" bestFit="1" customWidth="1"/>
    <col min="18" max="18" width="12.81640625" style="123" bestFit="1" customWidth="1"/>
    <col min="19" max="19" width="12.81640625" style="125" bestFit="1" customWidth="1"/>
    <col min="20" max="20" width="16" style="125" bestFit="1" customWidth="1"/>
    <col min="21" max="21" width="20.26953125" style="125" bestFit="1" customWidth="1"/>
    <col min="22" max="22" width="18" style="125" bestFit="1" customWidth="1"/>
    <col min="23" max="23" width="18.7265625" style="125" bestFit="1" customWidth="1"/>
    <col min="24" max="24" width="20.81640625" style="125" customWidth="1"/>
    <col min="25" max="25" width="21.7265625" style="123" bestFit="1" customWidth="1"/>
    <col min="26" max="26" width="18" style="123" bestFit="1" customWidth="1"/>
    <col min="27" max="27" width="18.81640625" style="123" customWidth="1"/>
    <col min="28" max="28" width="15.26953125" style="126" bestFit="1" customWidth="1"/>
    <col min="29" max="29" width="20" style="126" bestFit="1" customWidth="1"/>
    <col min="30" max="32" width="20" style="126" customWidth="1"/>
    <col min="33" max="33" width="18.81640625" style="126" bestFit="1" customWidth="1"/>
    <col min="34" max="34" width="18.54296875" style="123" customWidth="1"/>
    <col min="35" max="35" width="17.54296875" style="123" customWidth="1"/>
    <col min="36" max="36" width="17" style="125" bestFit="1" customWidth="1"/>
    <col min="37" max="37" width="19.1796875" style="125" bestFit="1" customWidth="1"/>
    <col min="38" max="40" width="19.1796875" style="125" customWidth="1"/>
    <col min="41" max="41" width="21.54296875" style="127" bestFit="1" customWidth="1"/>
    <col min="42" max="42" width="16.26953125" style="128" bestFit="1" customWidth="1"/>
    <col min="43" max="44" width="16.26953125" style="128" customWidth="1"/>
    <col min="45" max="45" width="19.1796875" style="129" bestFit="1" customWidth="1"/>
    <col min="46" max="16384" width="9.1796875" style="108"/>
  </cols>
  <sheetData>
    <row r="1" spans="1:50" ht="15.75" x14ac:dyDescent="0.25">
      <c r="A1" s="1756" t="s">
        <v>83</v>
      </c>
      <c r="B1" s="1757"/>
      <c r="C1" s="1757"/>
      <c r="D1" s="1757"/>
      <c r="E1" s="1292"/>
      <c r="F1" s="1758" t="s">
        <v>245</v>
      </c>
      <c r="G1" s="1759"/>
      <c r="H1" s="1759"/>
      <c r="I1" s="1760" t="str">
        <f>IF('Personalized Bill Menu'!$B$30="Yes", "Manually-Entered Consumption", 'Personalized Bill Menu'!$C$32 &amp; " Consumption")</f>
        <v>Detached Home Consumption</v>
      </c>
      <c r="J1" s="1760"/>
      <c r="K1" s="1761"/>
      <c r="L1" s="1329"/>
      <c r="M1" s="1293"/>
      <c r="N1" s="1764" t="s">
        <v>625</v>
      </c>
      <c r="O1" s="1764"/>
      <c r="P1" s="1295"/>
      <c r="Q1" s="1294"/>
      <c r="R1" s="1294"/>
      <c r="S1" s="1295"/>
      <c r="T1" s="1296"/>
      <c r="U1" s="1295"/>
      <c r="V1" s="1295"/>
      <c r="W1" s="1295"/>
      <c r="X1" s="1295"/>
      <c r="Y1" s="1294"/>
      <c r="Z1" s="1294"/>
      <c r="AA1" s="1294"/>
      <c r="AB1" s="1297"/>
      <c r="AC1" s="1297"/>
      <c r="AD1" s="1297"/>
      <c r="AE1" s="1297"/>
      <c r="AF1" s="1297"/>
      <c r="AG1" s="1297"/>
      <c r="AH1" s="1294"/>
      <c r="AI1" s="1294"/>
      <c r="AJ1" s="1296"/>
      <c r="AK1" s="1296"/>
      <c r="AL1" s="1296"/>
      <c r="AM1" s="1296"/>
      <c r="AN1" s="1296"/>
      <c r="AO1" s="1296"/>
      <c r="AP1" s="1296"/>
      <c r="AQ1" s="1296"/>
      <c r="AR1" s="1296"/>
      <c r="AS1" s="1298"/>
    </row>
    <row r="2" spans="1:50" ht="38.25" customHeight="1" thickBot="1" x14ac:dyDescent="0.3">
      <c r="A2" s="1762" t="str">
        <f xml:space="preserve"> 'Personalized Bill Menu'!$B$23 &amp; " Service Zone (" &amp; 'Personalized Bill Menu'!$B$21 &amp; ")"</f>
        <v>ATCO-S Service Zone (Calgary)</v>
      </c>
      <c r="B2" s="1763"/>
      <c r="C2" s="1763"/>
      <c r="D2" s="1763"/>
      <c r="E2" s="1350"/>
      <c r="F2" s="1765" t="s">
        <v>569</v>
      </c>
      <c r="G2" s="1766"/>
      <c r="H2" s="1766"/>
      <c r="I2" s="1767" t="str">
        <f>'Personalized Bill Menu'!$C$37</f>
        <v>DRT</v>
      </c>
      <c r="J2" s="1767"/>
      <c r="K2" s="1768"/>
      <c r="L2" s="1302"/>
      <c r="M2" s="1303"/>
      <c r="N2" s="1304"/>
      <c r="O2" s="1305"/>
      <c r="P2" s="1306"/>
      <c r="Q2" s="1305"/>
      <c r="R2" s="1305"/>
      <c r="S2" s="1306"/>
      <c r="T2" s="1307"/>
      <c r="U2" s="1306"/>
      <c r="V2" s="1306"/>
      <c r="W2" s="1306"/>
      <c r="X2" s="1306"/>
      <c r="Y2" s="1305"/>
      <c r="Z2" s="1305"/>
      <c r="AA2" s="1305"/>
      <c r="AB2" s="1308"/>
      <c r="AC2" s="1308"/>
      <c r="AD2" s="1308"/>
      <c r="AE2" s="1308"/>
      <c r="AF2" s="1308"/>
      <c r="AG2" s="1308"/>
      <c r="AH2" s="1305"/>
      <c r="AI2" s="1305"/>
      <c r="AJ2" s="1304"/>
      <c r="AK2" s="1304"/>
      <c r="AL2" s="1304"/>
      <c r="AM2" s="1304"/>
      <c r="AN2" s="1304"/>
      <c r="AO2" s="1304"/>
      <c r="AP2" s="1304"/>
      <c r="AQ2" s="1304"/>
      <c r="AR2" s="1304"/>
      <c r="AS2" s="1309"/>
    </row>
    <row r="3" spans="1:50" ht="12.75" customHeight="1" x14ac:dyDescent="0.25">
      <c r="A3" s="1331"/>
      <c r="B3" s="1299"/>
      <c r="C3" s="1299"/>
      <c r="D3" s="1299"/>
      <c r="E3" s="1299"/>
      <c r="F3" s="1300"/>
      <c r="G3" s="1301"/>
      <c r="H3" s="1301"/>
      <c r="I3" s="1301"/>
      <c r="J3" s="1301"/>
      <c r="K3" s="1302"/>
      <c r="L3" s="1302"/>
      <c r="M3" s="1303"/>
      <c r="N3" s="1304"/>
      <c r="O3" s="1305"/>
      <c r="P3" s="1306"/>
      <c r="Q3" s="1305"/>
      <c r="R3" s="1305"/>
      <c r="S3" s="1306"/>
      <c r="T3" s="1307"/>
      <c r="U3" s="1306"/>
      <c r="V3" s="1306"/>
      <c r="W3" s="1306"/>
      <c r="X3" s="1306"/>
      <c r="Y3" s="1305"/>
      <c r="Z3" s="1305"/>
      <c r="AA3" s="1305"/>
      <c r="AB3" s="1308"/>
      <c r="AC3" s="1308"/>
      <c r="AD3" s="1308"/>
      <c r="AE3" s="1308"/>
      <c r="AF3" s="1308"/>
      <c r="AG3" s="1308"/>
      <c r="AH3" s="1305"/>
      <c r="AI3" s="1305"/>
      <c r="AJ3" s="1304"/>
      <c r="AK3" s="1304"/>
      <c r="AL3" s="1304"/>
      <c r="AM3" s="1304"/>
      <c r="AN3" s="1304"/>
      <c r="AO3" s="1304"/>
      <c r="AP3" s="1304"/>
      <c r="AQ3" s="1304"/>
      <c r="AR3" s="1304"/>
      <c r="AS3" s="1309"/>
    </row>
    <row r="4" spans="1:50" s="111" customFormat="1" ht="24" customHeight="1" x14ac:dyDescent="0.2">
      <c r="A4" s="1722" t="s">
        <v>3</v>
      </c>
      <c r="B4" s="1723"/>
      <c r="C4" s="1723"/>
      <c r="D4" s="1723"/>
      <c r="E4" s="1724"/>
      <c r="F4" s="1725"/>
      <c r="G4" s="1771" t="s">
        <v>4</v>
      </c>
      <c r="H4" s="1755"/>
      <c r="I4" s="1755"/>
      <c r="J4" s="1755"/>
      <c r="K4" s="1755"/>
      <c r="L4" s="1755"/>
      <c r="M4" s="1772"/>
      <c r="N4" s="1751" t="s">
        <v>5</v>
      </c>
      <c r="O4" s="1723"/>
      <c r="P4" s="1723" t="s">
        <v>7</v>
      </c>
      <c r="Q4" s="1723"/>
      <c r="R4" s="1723"/>
      <c r="S4" s="1723"/>
      <c r="T4" s="1751" t="s">
        <v>8</v>
      </c>
      <c r="U4" s="1723"/>
      <c r="V4" s="1723"/>
      <c r="W4" s="1723"/>
      <c r="X4" s="1724" t="s">
        <v>9</v>
      </c>
      <c r="Y4" s="1755"/>
      <c r="Z4" s="1755"/>
      <c r="AA4" s="1755"/>
      <c r="AB4" s="1755"/>
      <c r="AC4" s="1755"/>
      <c r="AD4" s="1755"/>
      <c r="AE4" s="1755"/>
      <c r="AF4" s="1755"/>
      <c r="AG4" s="1755"/>
      <c r="AH4" s="1755"/>
      <c r="AI4" s="1755"/>
      <c r="AJ4" s="1755"/>
      <c r="AK4" s="1755"/>
      <c r="AL4" s="1755"/>
      <c r="AM4" s="1755"/>
      <c r="AN4" s="1751"/>
      <c r="AO4" s="1754" t="s">
        <v>10</v>
      </c>
      <c r="AP4" s="1746"/>
      <c r="AQ4" s="1724" t="s">
        <v>570</v>
      </c>
      <c r="AR4" s="1751"/>
      <c r="AS4" s="109" t="s">
        <v>11</v>
      </c>
      <c r="AT4" s="110"/>
      <c r="AU4" s="110"/>
      <c r="AV4" s="110"/>
      <c r="AW4" s="110"/>
      <c r="AX4" s="110"/>
    </row>
    <row r="5" spans="1:50" s="113" customFormat="1" ht="87.75" customHeight="1" x14ac:dyDescent="0.35">
      <c r="A5" s="49" t="s">
        <v>13</v>
      </c>
      <c r="B5" s="50" t="s">
        <v>14</v>
      </c>
      <c r="C5" s="50" t="s">
        <v>12</v>
      </c>
      <c r="D5" s="50" t="s">
        <v>541</v>
      </c>
      <c r="E5" s="1105" t="s">
        <v>545</v>
      </c>
      <c r="F5" s="51" t="s">
        <v>626</v>
      </c>
      <c r="G5" s="1769" t="s">
        <v>15</v>
      </c>
      <c r="H5" s="1729" t="s">
        <v>17</v>
      </c>
      <c r="I5" s="1729" t="s">
        <v>18</v>
      </c>
      <c r="J5" s="1729" t="s">
        <v>19</v>
      </c>
      <c r="K5" s="1729" t="s">
        <v>20</v>
      </c>
      <c r="L5" s="1729" t="s">
        <v>573</v>
      </c>
      <c r="M5" s="1749" t="s">
        <v>21</v>
      </c>
      <c r="N5" s="52" t="s">
        <v>298</v>
      </c>
      <c r="O5" s="1731" t="s">
        <v>23</v>
      </c>
      <c r="P5" s="53" t="s">
        <v>270</v>
      </c>
      <c r="Q5" s="52" t="s">
        <v>269</v>
      </c>
      <c r="R5" s="1729" t="s">
        <v>105</v>
      </c>
      <c r="S5" s="1731" t="s">
        <v>104</v>
      </c>
      <c r="T5" s="52" t="str">
        <f>IF(VLOOKUP("LAF RATE 1", 'Misc. Data &amp; Mechanisms'!$P$601:$S$632, HLOOKUP('Personalized Bill Menu'!$B$23, 'Misc. Data &amp; Mechanisms'!$P$599:$S$600, 2, FALSE), FALSE)="", "", VLOOKUP("LAF RATE 1", 'Misc. Data &amp; Mechanisms'!$P$601:$S$632, HLOOKUP('Personalized Bill Menu'!$B$23, 'Misc. Data &amp; Mechanisms'!$P$599:$S$600, 2, FALSE), FALSE))</f>
        <v>Municipal Franchise Fee (Rider A)</v>
      </c>
      <c r="U5" s="52" t="str">
        <f>IF(VLOOKUP("LAF RATE 2", 'Misc. Data &amp; Mechanisms'!$P$601:$S$632, HLOOKUP('Personalized Bill Menu'!$B$23, 'Misc. Data &amp; Mechanisms'!$P$599:$S$600, 2, FALSE), FALSE)="", "", VLOOKUP("LAF RATE 2", 'Misc. Data &amp; Mechanisms'!$P$601:$S$632, HLOOKUP('Personalized Bill Menu'!$B$23, 'Misc. Data &amp; Mechanisms'!$P$599:$S$600, 2, FALSE), FALSE))</f>
        <v>Municipal Property Tax Fee (Rider B)</v>
      </c>
      <c r="V5" s="1729" t="str">
        <f>IF(VLOOKUP("LAF CHARGE 1", 'Misc. Data &amp; Mechanisms'!$P$601:$S$632, HLOOKUP('Personalized Bill Menu'!$B$23, 'Misc. Data &amp; Mechanisms'!$P$599:$S$600, 2, FALSE), FALSE)="", "", VLOOKUP("LAF CHARGE 1", 'Misc. Data &amp; Mechanisms'!$P$601:$S$632, HLOOKUP('Personalized Bill Menu'!$B$23, 'Misc. Data &amp; Mechanisms'!$P$599:$S$600, 2, FALSE), FALSE))</f>
        <v>Municipal Franchise Fee Charge (Rider A)</v>
      </c>
      <c r="W5" s="1731" t="str">
        <f>IF(VLOOKUP("LAF CHARGE 2", 'Misc. Data &amp; Mechanisms'!$P$601:$S$632, HLOOKUP('Personalized Bill Menu'!$B$23, 'Misc. Data &amp; Mechanisms'!$P$599:$S$600, 2, FALSE), FALSE)="", "", VLOOKUP("LAF CHARGE 2", 'Misc. Data &amp; Mechanisms'!$P$601:$S$632, HLOOKUP('Personalized Bill Menu'!$B$23, 'Misc. Data &amp; Mechanisms'!$P$599:$S$600, 2, FALSE), FALSE))</f>
        <v>Municipal Property Tax Fee Charge (Rider B)</v>
      </c>
      <c r="X5" s="53" t="str">
        <f>IF(VLOOKUP("RIDER RATE 1", 'Misc. Data &amp; Mechanisms'!$P$601:$S$632, HLOOKUP('Personalized Bill Menu'!$B$23, 'Misc. Data &amp; Mechanisms'!$P$599:$S$600, 2, FALSE), FALSE)="", "", VLOOKUP("RIDER RATE 1", 'Misc. Data &amp; Mechanisms'!$P$601:$S$632, HLOOKUP('Personalized Bill Menu'!$B$23, 'Misc. Data &amp; Mechanisms'!$P$599:$S$600, 2, FALSE), FALSE))</f>
        <v>Carbon Recovery Rider (Rider H)</v>
      </c>
      <c r="Y5" s="52" t="str">
        <f>IF(VLOOKUP("RIDER RATE 2", 'Misc. Data &amp; Mechanisms'!$P$601:$S$632, HLOOKUP('Personalized Bill Menu'!$B$23, 'Misc. Data &amp; Mechanisms'!$P$599:$S$600, 2, FALSE), FALSE)="", "", VLOOKUP("RIDER RATE 2", 'Misc. Data &amp; Mechanisms'!$P$601:$S$632, HLOOKUP('Personalized Bill Menu'!$B$23, 'Misc. Data &amp; Mechanisms'!$P$599:$S$600, 2, FALSE), FALSE))</f>
        <v>Load Balance Rider (Rider L)</v>
      </c>
      <c r="Z5" s="52" t="str">
        <f>IF(VLOOKUP("RIDER RATE 3", 'Misc. Data &amp; Mechanisms'!$P$601:$S$632, HLOOKUP('Personalized Bill Menu'!$B$23, 'Misc. Data &amp; Mechanisms'!$P$599:$S$600, 2, FALSE), FALSE)="", "", VLOOKUP("RIDER RATE 3", 'Misc. Data &amp; Mechanisms'!$P$601:$S$632, HLOOKUP('Personalized Bill Menu'!$B$23, 'Misc. Data &amp; Mechanisms'!$P$599:$S$600, 2, FALSE), FALSE))</f>
        <v>Interim Rider for Fixed Charges (Rider S)</v>
      </c>
      <c r="AA5" s="52" t="str">
        <f>IF(VLOOKUP("RIDER RATE 4", 'Misc. Data &amp; Mechanisms'!$P$601:$S$632, HLOOKUP('Personalized Bill Menu'!$B$23, 'Misc. Data &amp; Mechanisms'!$P$599:$S$600, 2, FALSE), FALSE)="", "", VLOOKUP("RIDER RATE 4", 'Misc. Data &amp; Mechanisms'!$P$601:$S$632, HLOOKUP('Personalized Bill Menu'!$B$23, 'Misc. Data &amp; Mechanisms'!$P$599:$S$600, 2, FALSE), FALSE))</f>
        <v>Interim Rider for Variable Charges (Rider S)</v>
      </c>
      <c r="AB5" s="52" t="str">
        <f>IF(VLOOKUP("RIDER RATE 5", 'Misc. Data &amp; Mechanisms'!$P$601:$S$632, HLOOKUP('Personalized Bill Menu'!$B$23, 'Misc. Data &amp; Mechanisms'!$P$599:$S$600, 2, FALSE), FALSE)="", "", VLOOKUP("RIDER RATE 5", 'Misc. Data &amp; Mechanisms'!$P$601:$S$632, HLOOKUP('Personalized Bill Menu'!$B$23, 'Misc. Data &amp; Mechanisms'!$P$599:$S$600, 2, FALSE), FALSE))</f>
        <v>Transmission Service Rider (Rider T)</v>
      </c>
      <c r="AC5" s="52" t="str">
        <f>IF(VLOOKUP("RIDER RATE 6", 'Misc. Data &amp; Mechanisms'!$P$601:$S$632, HLOOKUP('Personalized Bill Menu'!$B$23, 'Misc. Data &amp; Mechanisms'!$P$599:$S$600, 2, FALSE), FALSE)="", "", VLOOKUP("RIDER RATE 6", 'Misc. Data &amp; Mechanisms'!$P$601:$S$632, HLOOKUP('Personalized Bill Menu'!$B$23, 'Misc. Data &amp; Mechanisms'!$P$599:$S$600, 2, FALSE), FALSE))</f>
        <v>Weather Deferral Account (Rider W)</v>
      </c>
      <c r="AD5" s="52" t="str">
        <f>IF(VLOOKUP("RIDER RATE 7", 'Misc. Data &amp; Mechanisms'!$P$601:$S$632, HLOOKUP('Personalized Bill Menu'!$B$23, 'Misc. Data &amp; Mechanisms'!$P$599:$S$600, 2, FALSE), FALSE)="", "", VLOOKUP("RIDER RATE 7", 'Misc. Data &amp; Mechanisms'!$P$601:$S$632, HLOOKUP('Personalized Bill Menu'!$B$23, 'Misc. Data &amp; Mechanisms'!$P$599:$S$600, 2, FALSE), FALSE))</f>
        <v>Rider X</v>
      </c>
      <c r="AE5" s="52" t="str">
        <f>IF(VLOOKUP("RIDER RATE 8", 'Misc. Data &amp; Mechanisms'!$P$601:$S$632, HLOOKUP('Personalized Bill Menu'!$B$23, 'Misc. Data &amp; Mechanisms'!$P$599:$S$600, 2, FALSE), FALSE)="", "", VLOOKUP("RIDER RATE 8", 'Misc. Data &amp; Mechanisms'!$P$601:$S$632, HLOOKUP('Personalized Bill Menu'!$B$23, 'Misc. Data &amp; Mechanisms'!$P$599:$S$600, 2, FALSE), FALSE))</f>
        <v>Rider Y</v>
      </c>
      <c r="AF5" s="52" t="str">
        <f>IF(VLOOKUP("RIDER RATE 9", 'Misc. Data &amp; Mechanisms'!$P$601:$S$632, HLOOKUP('Personalized Bill Menu'!$B$23, 'Misc. Data &amp; Mechanisms'!$P$599:$S$600, 2, FALSE), FALSE)="", "", VLOOKUP("RIDER RATE 9", 'Misc. Data &amp; Mechanisms'!$P$601:$S$632, HLOOKUP('Personalized Bill Menu'!$B$23, 'Misc. Data &amp; Mechanisms'!$P$599:$S$600, 2, FALSE), FALSE))</f>
        <v>Rider Z</v>
      </c>
      <c r="AG5" s="1729" t="str">
        <f>IF(VLOOKUP("RIDER CHARGE 1", 'Misc. Data &amp; Mechanisms'!$P$601:$S$632, HLOOKUP('Personalized Bill Menu'!$B$23, 'Misc. Data &amp; Mechanisms'!$P$599:$S$600, 2, FALSE), FALSE)="", "", VLOOKUP("RIDER CHARGE 1", 'Misc. Data &amp; Mechanisms'!$P$601:$S$632, HLOOKUP('Personalized Bill Menu'!$B$23, 'Misc. Data &amp; Mechanisms'!$P$599:$S$600, 2, FALSE), FALSE))</f>
        <v>Carbon Recovery Charge (Rider H)</v>
      </c>
      <c r="AH5" s="1729" t="str">
        <f>IF(VLOOKUP("RIDER CHARGE 2", 'Misc. Data &amp; Mechanisms'!$P$601:$S$632, HLOOKUP('Personalized Bill Menu'!$B$23, 'Misc. Data &amp; Mechanisms'!$P$599:$S$600, 2, FALSE), FALSE)="", "", VLOOKUP("RIDER CHARGE 2", 'Misc. Data &amp; Mechanisms'!$P$601:$S$632, HLOOKUP('Personalized Bill Menu'!$B$23, 'Misc. Data &amp; Mechanisms'!$P$599:$S$600, 2, FALSE), FALSE))</f>
        <v>Load Balance Rider Charge (Rider L)</v>
      </c>
      <c r="AI5" s="1729" t="str">
        <f>IF(VLOOKUP("RIDER CHARGE 3", 'Misc. Data &amp; Mechanisms'!$P$601:$S$632, HLOOKUP('Personalized Bill Menu'!$B$23, 'Misc. Data &amp; Mechanisms'!$P$599:$S$600, 2, FALSE), FALSE)="", "", VLOOKUP("RIDER CHARGE 3", 'Misc. Data &amp; Mechanisms'!$P$601:$S$632, HLOOKUP('Personalized Bill Menu'!$B$23, 'Misc. Data &amp; Mechanisms'!$P$599:$S$600, 2, FALSE), FALSE))</f>
        <v>Interim Rider Charge (Rider S)</v>
      </c>
      <c r="AJ5" s="1729" t="str">
        <f>IF(VLOOKUP("RIDER CHARGE 4", 'Misc. Data &amp; Mechanisms'!$P$601:$S$632, HLOOKUP('Personalized Bill Menu'!$B$23, 'Misc. Data &amp; Mechanisms'!$P$599:$S$600, 2, FALSE), FALSE)="", "", VLOOKUP("RIDER CHARGE 4", 'Misc. Data &amp; Mechanisms'!$P$601:$S$632, HLOOKUP('Personalized Bill Menu'!$B$23, 'Misc. Data &amp; Mechanisms'!$P$599:$S$600, 2, FALSE), FALSE))</f>
        <v>Transmission Service Charge (Rider T)</v>
      </c>
      <c r="AK5" s="1729" t="str">
        <f>IF(VLOOKUP("RIDER CHARGE 5", 'Misc. Data &amp; Mechanisms'!$P$601:$S$632, HLOOKUP('Personalized Bill Menu'!$B$23, 'Misc. Data &amp; Mechanisms'!$P$599:$S$600, 2, FALSE), FALSE)="", "", VLOOKUP("RIDER CHARGE 5", 'Misc. Data &amp; Mechanisms'!$P$601:$S$632, HLOOKUP('Personalized Bill Menu'!$B$23, 'Misc. Data &amp; Mechanisms'!$P$599:$S$600, 2, FALSE), FALSE))</f>
        <v>Weather Deferral Account Charge (Rider W)</v>
      </c>
      <c r="AL5" s="1729" t="str">
        <f>IF(VLOOKUP("RIDER CHARGE 6", 'Misc. Data &amp; Mechanisms'!$P$601:$S$632, HLOOKUP('Personalized Bill Menu'!$B$23, 'Misc. Data &amp; Mechanisms'!$P$599:$S$600, 2, FALSE), FALSE)="", "", VLOOKUP("RIDER CHARGE 6", 'Misc. Data &amp; Mechanisms'!$P$601:$S$632, HLOOKUP('Personalized Bill Menu'!$B$23, 'Misc. Data &amp; Mechanisms'!$P$599:$S$600, 2, FALSE), FALSE))</f>
        <v>Rider X Charge</v>
      </c>
      <c r="AM5" s="1729" t="str">
        <f>IF(VLOOKUP("RIDER CHARGE 7", 'Misc. Data &amp; Mechanisms'!$P$601:$S$632, HLOOKUP('Personalized Bill Menu'!$B$23, 'Misc. Data &amp; Mechanisms'!$P$599:$S$600, 2, FALSE), FALSE)="", "", VLOOKUP("RIDER CHARGE 7", 'Misc. Data &amp; Mechanisms'!$P$601:$S$632, HLOOKUP('Personalized Bill Menu'!$B$23, 'Misc. Data &amp; Mechanisms'!$P$599:$S$600, 2, FALSE), FALSE))</f>
        <v>Rider Y Charge</v>
      </c>
      <c r="AN5" s="1731" t="str">
        <f>IF(VLOOKUP("RIDER CHARGE 8", 'Misc. Data &amp; Mechanisms'!$P$601:$S$632, HLOOKUP('Personalized Bill Menu'!$B$23, 'Misc. Data &amp; Mechanisms'!$P$599:$S$600, 2, FALSE), FALSE)="", "", VLOOKUP("RIDER CHARGE 8", 'Misc. Data &amp; Mechanisms'!$P$601:$S$632, HLOOKUP('Personalized Bill Menu'!$B$23, 'Misc. Data &amp; Mechanisms'!$P$599:$S$600, 2, FALSE), FALSE))</f>
        <v>Rider Z Charge</v>
      </c>
      <c r="AO5" s="52" t="s">
        <v>306</v>
      </c>
      <c r="AP5" s="1731" t="s">
        <v>307</v>
      </c>
      <c r="AQ5" s="474" t="s">
        <v>571</v>
      </c>
      <c r="AR5" s="1752" t="s">
        <v>572</v>
      </c>
      <c r="AS5" s="54" t="s">
        <v>275</v>
      </c>
      <c r="AT5" s="112"/>
      <c r="AU5" s="112"/>
      <c r="AV5" s="112"/>
      <c r="AW5" s="112"/>
      <c r="AX5" s="112"/>
    </row>
    <row r="6" spans="1:50" s="113" customFormat="1" x14ac:dyDescent="0.35">
      <c r="A6" s="55"/>
      <c r="B6" s="56"/>
      <c r="C6" s="57" t="s">
        <v>91</v>
      </c>
      <c r="D6" s="58" t="s">
        <v>92</v>
      </c>
      <c r="E6" s="58" t="s">
        <v>92</v>
      </c>
      <c r="F6" s="59" t="s">
        <v>34</v>
      </c>
      <c r="G6" s="1770"/>
      <c r="H6" s="1730"/>
      <c r="I6" s="1730"/>
      <c r="J6" s="1730"/>
      <c r="K6" s="1730"/>
      <c r="L6" s="1730"/>
      <c r="M6" s="1750"/>
      <c r="N6" s="57" t="s">
        <v>92</v>
      </c>
      <c r="O6" s="1732"/>
      <c r="P6" s="60" t="s">
        <v>92</v>
      </c>
      <c r="Q6" s="57" t="s">
        <v>35</v>
      </c>
      <c r="R6" s="1730"/>
      <c r="S6" s="1732"/>
      <c r="T6" s="57" t="s">
        <v>36</v>
      </c>
      <c r="U6" s="57" t="s">
        <v>36</v>
      </c>
      <c r="V6" s="1730"/>
      <c r="W6" s="1732"/>
      <c r="X6" s="60" t="str">
        <f>IF('Personalized Bill Menu'!$B$23="ATCO-N", "$/day", IF('Personalized Bill Menu'!$B$23="ATCO-S", "$/GJ", "%"))</f>
        <v>$/GJ</v>
      </c>
      <c r="Y6" s="57" t="str">
        <f>IF('Personalized Bill Menu'!$B$23="AltaGas", "%", "$/GJ")</f>
        <v>$/GJ</v>
      </c>
      <c r="Z6" s="57" t="str">
        <f>IF('Personalized Bill Menu'!$B$23="ATCO-S", "$/day", "$/GJ")</f>
        <v>$/day</v>
      </c>
      <c r="AA6" s="57" t="s">
        <v>92</v>
      </c>
      <c r="AB6" s="57" t="str">
        <f>IF('Personalized Bill Menu'!$B$23="AltaGas","","$/GJ")</f>
        <v>$/GJ</v>
      </c>
      <c r="AC6" s="57" t="str">
        <f>IF('Personalized Bill Menu'!$B$23="ATCO-S","$/GJ", IF('Personalized Bill Menu'!$B$23="ATCO-N", "$/month",""))</f>
        <v>$/GJ</v>
      </c>
      <c r="AD6" s="57" t="str">
        <f>IF('Personalized Bill Menu'!$B$23="ATCO-S","$/month", IF('Personalized Bill Menu'!$B$23="ATCO-N", "$/day",""))</f>
        <v>$/month</v>
      </c>
      <c r="AE6" s="57" t="str">
        <f>IF('Personalized Bill Menu'!$B$23="ATCO-S","$day",IF('Personalized Bill Menu'!$B$23="ATCO-N", "$/day", ""))</f>
        <v>$day</v>
      </c>
      <c r="AF6" s="57" t="str">
        <f>IF('Personalized Bill Menu'!$B$23="ATCO-S","$day","")</f>
        <v>$day</v>
      </c>
      <c r="AG6" s="1730"/>
      <c r="AH6" s="1730"/>
      <c r="AI6" s="1730"/>
      <c r="AJ6" s="1730"/>
      <c r="AK6" s="1730"/>
      <c r="AL6" s="1730"/>
      <c r="AM6" s="1730"/>
      <c r="AN6" s="1732"/>
      <c r="AO6" s="57" t="s">
        <v>35</v>
      </c>
      <c r="AP6" s="1732"/>
      <c r="AQ6" s="1213" t="s">
        <v>92</v>
      </c>
      <c r="AR6" s="1753"/>
      <c r="AS6" s="61" t="s">
        <v>36</v>
      </c>
      <c r="AT6" s="112"/>
      <c r="AU6" s="112"/>
      <c r="AV6" s="112"/>
      <c r="AW6" s="112"/>
      <c r="AX6" s="112"/>
    </row>
    <row r="7" spans="1:50" s="117" customFormat="1" ht="15" x14ac:dyDescent="0.25">
      <c r="A7" s="62">
        <f>'Personalized Bill Menu'!$H4</f>
        <v>40909</v>
      </c>
      <c r="B7" s="63">
        <f>IFERROR(DAY(DATE(YEAR($A7),MONTH($A7)+1,1)-1), "")</f>
        <v>31</v>
      </c>
      <c r="C7" s="64">
        <f>IF('Personalized Bill Menu'!$B$34="Natural Gas", 'Personalized Bill Menu'!$I4, IF('Personalized Bill Menu'!$B$34="Both",'Personalized Bill Menu'!$M4,""))</f>
        <v>16.955826922722459</v>
      </c>
      <c r="D7" s="65">
        <f ca="1">IFERROR($F7/$C7, "")</f>
        <v>6.5273380655722315</v>
      </c>
      <c r="E7" s="66">
        <f ca="1">IF($C7="Not Applicable", "", IFERROR(IFERROR((1+$AS7)*IF('Personalized Bill Menu'!$B$23="ATCO-N", IF(OR('Personalized Bill Menu'!$B$21="Fort McMurray",AND('Personalized Bill Menu'!$B$21="Spruce Grove", $A7&lt;DATE(2019, 5, 1) )),(((1+IF($T7="",0,$T7))*($N7+$P7))+ (IF($U7="", 0, $U7)*$P7)+(1+IF($T7="",0,$T7)+IF($U7="", 0, $U7))*(SUM($Y7:$AB7))),($N7+((1+IF($T7="",0,$T7)+IF($U7="", 0, $U7))*$P7)+(1+IF($T7="",0,$T7)+IF($U7="", 0, $U7))*(SUM($Y7:$AB7)))), IF('Personalized Bill Menu'!$B$23="ATCO-S",IF(OR('Personalized Bill Menu'!$B$21="Calgary",AND('Personalized Bill Menu'!$B$21="Okotoks", $A7&lt;DATE(2019, 1, 1))),((1+IF($T7="",0,$T7))*($N7+$P7+SUM($X7:$Y7,$AA7:$AC7)))+(IF($U7="",0, $U7)*($P7+SUM($X7:$Y7,$AA7:$AC7))), ((1+IF($T7="",0,$T7))*($P7+SUM($Y7,$AA7:$AC7)))+(IF($U7="",0, $U7)*($P7+SUM($X7:$Y7,$AA7:$AC7)))+$N7+IF($X7="", 0, $X7)),IF(AND('Personalized Bill Menu'!$B$21="Athabasca", $A7&lt;DATE(2019, 5, 1)),((1+IF($T7="",0,$T7)+IF($U7="", 0, $U7))*($N7+((1+SUM($X7:$Y7))*$P7)+SUM($Z7:$AA7))),((1+IF($U7="", 0, $U7))*($N7+((1+SUM($X7:$Y7))*$P7)+SUM($Z7:$AA7))) + (IF($T7="",0,$T7)*(((1+SUM($X7:$Y7))*$P7)+SUM($Z7:$AA7)))))), "")+ IF($AQ7="", 0,((1+$AS7)*$AQ7)), ""))</f>
        <v>4.4717886149999995</v>
      </c>
      <c r="F7" s="114">
        <f ca="1">IF($A7="", "", IF($C7="Not Applicable", "N/A", IFERROR(SUM($G7:$M7), "")))</f>
        <v>110.67641450594077</v>
      </c>
      <c r="G7" s="115">
        <f t="shared" ref="G7:G38" si="0">IF($A7="", "", IFERROR(SUM($O7), ""))</f>
        <v>50.138380210490304</v>
      </c>
      <c r="H7" s="66">
        <f t="shared" ref="H7:H38" ca="1" si="1">IF($A7="", "",IFERROR(SUM($R7:$S7), ""))</f>
        <v>31.644508365155986</v>
      </c>
      <c r="I7" s="66">
        <f t="shared" ref="I7:I38" ca="1" si="2">IF($A7="", "", IFERROR(SUM($V7:$W7), ""))</f>
        <v>9.8484244584817446</v>
      </c>
      <c r="J7" s="66">
        <f ca="1">IF($A7="", "", IFERROR(SUM($AG7:$AN7), ""))</f>
        <v>6.8617960191488887</v>
      </c>
      <c r="K7" s="66">
        <f>IF($A7="", "", IFERROR(SUM($AP7), ""))</f>
        <v>6.9130000000000003</v>
      </c>
      <c r="L7" s="66">
        <f ca="1">IF($A7="", "", IFERROR(SUM($AR7), ""))</f>
        <v>0</v>
      </c>
      <c r="M7" s="68">
        <f ca="1">IF($A7="", "", IFERROR(SUM($AS7)*SUM($G7:$L7), ""))</f>
        <v>5.2703054526638464</v>
      </c>
      <c r="N7" s="1335">
        <f>IF('Personalized Bill Menu'!$B$34="Natural Gas", 'Personalized Bill Menu'!$J4, IF('Personalized Bill Menu'!$B$34="Both",'Personalized Bill Menu'!$N4,""))</f>
        <v>2.9569999999999999</v>
      </c>
      <c r="O7" s="77">
        <f>IF($A7="", "", IFERROR($N7*$C7, 0))</f>
        <v>50.138380210490304</v>
      </c>
      <c r="P7" s="79">
        <f ca="1">IF($A7="", "",IFERROR(IF(VLOOKUP($A7, INDIRECT("'" &amp; 'Personalized Bill Menu'!$B$23 &amp; "'!" &amp;"$A$4:$CA$100"), VLOOKUP(VLOOKUP(P$5,'Misc. Data &amp; Mechanisms'!$P$601:$S$632,HLOOKUP('Personalized Bill Menu'!$B$23, 'Misc. Data &amp; Mechanisms'!$P$599:$S$600, 2, FALSE), FALSE), 'Misc. Data &amp; Mechanisms'!$L$599:$N$659, 2, FALSE), FALSE) = "", "", VLOOKUP($A7, INDIRECT("'" &amp; 'Personalized Bill Menu'!$B$23 &amp; "'!" &amp;"$A$4:$CA$100"), VLOOKUP(VLOOKUP(P$5,'Misc. Data &amp; Mechanisms'!$P$601:$S$632,HLOOKUP('Personalized Bill Menu'!$B$23, 'Misc. Data &amp; Mechanisms'!$P$599:$S$600, 2, FALSE), FALSE), 'Misc. Data &amp; Mechanisms'!$L$599:$N$659, 2, FALSE), FALSE)), ""))</f>
        <v>0.64500000000000002</v>
      </c>
      <c r="Q7" s="80">
        <f ca="1">IF($A7="", "",IFERROR(IF(VLOOKUP($A7, INDIRECT("'" &amp; 'Personalized Bill Menu'!$B$23 &amp; "'!" &amp;"$A$4:$CA$100"), VLOOKUP(VLOOKUP(Q$5,'Misc. Data &amp; Mechanisms'!$P$601:$S$632,HLOOKUP('Personalized Bill Menu'!$B$23, 'Misc. Data &amp; Mechanisms'!$P$599:$S$600, 2, FALSE), FALSE), 'Misc. Data &amp; Mechanisms'!$L$599:$N$659, 2, FALSE), FALSE) = "", "", VLOOKUP($A7, INDIRECT("'" &amp; 'Personalized Bill Menu'!$B$23 &amp; "'!" &amp;"$A$4:$CA$100"), VLOOKUP(VLOOKUP(Q$5,'Misc. Data &amp; Mechanisms'!$P$601:$S$632,HLOOKUP('Personalized Bill Menu'!$B$23, 'Misc. Data &amp; Mechanisms'!$P$599:$S$600, 2, FALSE), FALSE), 'Misc. Data &amp; Mechanisms'!$L$599:$N$659, 2, FALSE), FALSE)), ""))</f>
        <v>0.66800000000000004</v>
      </c>
      <c r="R7" s="72">
        <f ca="1">IF($A7="", "", IFERROR($P7*$C7, 0))</f>
        <v>10.936508365155985</v>
      </c>
      <c r="S7" s="77">
        <f ca="1">IF($A7="", "", IFERROR($Q7*$B7,0))</f>
        <v>20.708000000000002</v>
      </c>
      <c r="T7" s="78">
        <f>IFERROR(IF(VLOOKUP($A7,'Misc. Data &amp; Mechanisms'!$A$63:$DY$152,HLOOKUP('Personalized Bill Menu'!$B$21&amp;"_"&amp;'Personalized Bill Menu'!$B$23&amp;"_NG_Y_1",'Misc. Data &amp; Mechanisms'!$A$55:$DY$62,8,FALSE), FALSE)="", "", VLOOKUP($A7,'Misc. Data &amp; Mechanisms'!$A$63:$DY$152,HLOOKUP('Personalized Bill Menu'!$B$21&amp;"_"&amp;'Personalized Bill Menu'!$B$23&amp;"_NG_Y_1",'Misc. Data &amp; Mechanisms'!$A$55:$DY$62,8,FALSE), FALSE)), "")</f>
        <v>0.1111</v>
      </c>
      <c r="U7" s="78" t="str">
        <f>IFERROR(IF(VLOOKUP($A7,'Misc. Data &amp; Mechanisms'!$A$63:$DY$152,HLOOKUP('Personalized Bill Menu'!$B$21&amp;"_"&amp;'Personalized Bill Menu'!$B$23&amp;"_NG_Y_2",'Misc. Data &amp; Mechanisms'!$A$55:$DY$62,8,FALSE), FALSE)="", "",VLOOKUP($A7,'Misc. Data &amp; Mechanisms'!$A$63:$DY$152,HLOOKUP('Personalized Bill Menu'!$B$21&amp;"_"&amp;'Personalized Bill Menu'!$B$23&amp;"_NG_Y_2",'Misc. Data &amp; Mechanisms'!$A$55:$DY$62,8,FALSE), FALSE)), "")</f>
        <v/>
      </c>
      <c r="V7" s="72">
        <f ca="1">IF($A7="", "", IFERROR(IF('Personalized Bill Menu'!$B$23="ATCO-N", IF(OR('Personalized Bill Menu'!$B$21="Fort McMurray",AND('Personalized Bill Menu'!$B$21="Spruce Grove", $A7&lt;DATE(2019, 5, 1))),$T7*($G7+$H7+$J7),$T7*($H7+$J7)), IF('Personalized Bill Menu'!$B$23="ATCO-S",IF(OR('Personalized Bill Menu'!$B$21="Calgary",AND('Personalized Bill Menu'!$B$21="Okotoks", $A7&lt;DATE(2019, 1, 1))),$T7*($G7+$H7+$J7), $T7*($H7+$J7-$AG7)),IF(AND('Personalized Bill Menu'!$B$21="Athabasca", $A7&lt;DATE(2019, 5, 1)),$T7*($G7+$H7+$J7+$K7),$T7*($H7+$J7+$K7)))),0))</f>
        <v>9.8484244584817446</v>
      </c>
      <c r="W7" s="72">
        <f ca="1">IF($A7="", "", IFERROR(IF('Personalized Bill Menu'!$B$23="ATCO-N", $U7*($H7+$J7), IF('Personalized Bill Menu'!$B$23="ATCO-S",$U7*($H7+$J7),$U7*($G7+$H7+$J7+$K7))),0))</f>
        <v>0</v>
      </c>
      <c r="X7" s="79" t="str">
        <f ca="1">IF($A7="", "",IFERROR(IF(VLOOKUP($A7, INDIRECT("'" &amp; 'Personalized Bill Menu'!$B$23 &amp; "'!" &amp;"$A$4:$CA$100"), VLOOKUP(VLOOKUP("RIDER RATE 1",'Misc. Data &amp; Mechanisms'!$P$601:$S$632,HLOOKUP('Personalized Bill Menu'!$B$23, 'Misc. Data &amp; Mechanisms'!$P$599:$S$600, 2, FALSE), FALSE), 'Misc. Data &amp; Mechanisms'!$L$599:$N$659, 2, FALSE), FALSE) = "", "", VLOOKUP($A7, INDIRECT("'" &amp; 'Personalized Bill Menu'!$B$23 &amp; "'!" &amp;"$A$4:$CA$100"), VLOOKUP(VLOOKUP("RIDER RATE 1",'Misc. Data &amp; Mechanisms'!$P$601:$S$632,HLOOKUP('Personalized Bill Menu'!$B$23, 'Misc. Data &amp; Mechanisms'!$P$599:$S$600, 2, FALSE), FALSE), 'Misc. Data &amp; Mechanisms'!$L$599:$N$659, 2, FALSE), FALSE)), ""))</f>
        <v/>
      </c>
      <c r="Y7" s="69" t="str">
        <f ca="1">IF($A7="", "",IFERROR(IF(VLOOKUP($A7, INDIRECT("'" &amp; 'Personalized Bill Menu'!$B$23 &amp; "'!" &amp;"$A$4:$CA$100"), VLOOKUP(VLOOKUP("RIDER RATE 2",'Misc. Data &amp; Mechanisms'!$P$601:$S$632,HLOOKUP('Personalized Bill Menu'!$B$23, 'Misc. Data &amp; Mechanisms'!$P$599:$S$600, 2, FALSE), FALSE), 'Misc. Data &amp; Mechanisms'!$L$599:$N$659, 2, FALSE), FALSE) = "", "", VLOOKUP($A7, INDIRECT("'" &amp; 'Personalized Bill Menu'!$B$23 &amp; "'!" &amp;"$A$4:$CA$100"), VLOOKUP(VLOOKUP("RIDER RATE 2",'Misc. Data &amp; Mechanisms'!$P$601:$S$632,HLOOKUP('Personalized Bill Menu'!$B$23, 'Misc. Data &amp; Mechanisms'!$P$599:$S$600, 2, FALSE), FALSE), 'Misc. Data &amp; Mechanisms'!$L$599:$N$659, 2, FALSE), FALSE)), ""))</f>
        <v/>
      </c>
      <c r="Z7" s="80">
        <f ca="1">IF($A7="", "",IFERROR(IF(VLOOKUP($A7, INDIRECT("'" &amp; 'Personalized Bill Menu'!$B$23 &amp; "'!" &amp;"$A$4:$CA$100"), VLOOKUP(VLOOKUP("RIDER RATE 3",'Misc. Data &amp; Mechanisms'!$P$601:$S$632,HLOOKUP('Personalized Bill Menu'!$B$23, 'Misc. Data &amp; Mechanisms'!$P$599:$S$600, 2, FALSE), FALSE), 'Misc. Data &amp; Mechanisms'!$L$599:$N$659, 2, FALSE), FALSE) = "", "", VLOOKUP($A7, INDIRECT("'" &amp; 'Personalized Bill Menu'!$B$23 &amp; "'!" &amp;"$A$4:$CA$100"), VLOOKUP(VLOOKUP("RIDER RATE 3",'Misc. Data &amp; Mechanisms'!$P$601:$S$632,HLOOKUP('Personalized Bill Menu'!$B$23, 'Misc. Data &amp; Mechanisms'!$P$599:$S$600, 2, FALSE), FALSE), 'Misc. Data &amp; Mechanisms'!$L$599:$N$659, 2, FALSE), FALSE)), ""))</f>
        <v>9.5000000000000001E-2</v>
      </c>
      <c r="AA7" s="80">
        <f ca="1">IF($A7="", "",IFERROR(IF(VLOOKUP($A7, INDIRECT("'" &amp; 'Personalized Bill Menu'!$B$23 &amp; "'!" &amp;"$A$4:$CA$100"), VLOOKUP(VLOOKUP("RIDER RATE 4",'Misc. Data &amp; Mechanisms'!$P$601:$S$632,HLOOKUP('Personalized Bill Menu'!$B$23, 'Misc. Data &amp; Mechanisms'!$P$599:$S$600, 2, FALSE), FALSE), 'Misc. Data &amp; Mechanisms'!$L$599:$N$659, 2, FALSE), FALSE) = "", "", VLOOKUP($A7, INDIRECT("'" &amp; 'Personalized Bill Menu'!$B$23 &amp; "'!" &amp;"$A$4:$CA$100"), VLOOKUP(VLOOKUP("RIDER RATE 4",'Misc. Data &amp; Mechanisms'!$P$601:$S$632,HLOOKUP('Personalized Bill Menu'!$B$23, 'Misc. Data &amp; Mechanisms'!$P$599:$S$600, 2, FALSE), FALSE), 'Misc. Data &amp; Mechanisms'!$L$599:$N$659, 2, FALSE), FALSE)), ""))</f>
        <v>9.0999999999999998E-2</v>
      </c>
      <c r="AB7" s="80">
        <f ca="1">IF($A7="", "",IFERROR(IF(VLOOKUP($A7, INDIRECT("'" &amp; 'Personalized Bill Menu'!$B$23 &amp; "'!" &amp;"$A$4:$CA$100"), VLOOKUP(VLOOKUP("RIDER RATE 5",'Misc. Data &amp; Mechanisms'!$P$601:$S$632,HLOOKUP('Personalized Bill Menu'!$B$23, 'Misc. Data &amp; Mechanisms'!$P$599:$S$600, 2, FALSE), FALSE), 'Misc. Data &amp; Mechanisms'!$L$599:$N$659, 2, FALSE), FALSE) = "", "", VLOOKUP($A7, INDIRECT("'" &amp; 'Personalized Bill Menu'!$B$23 &amp; "'!" &amp;"$A$4:$CA$100"), VLOOKUP(VLOOKUP("RIDER RATE 5",'Misc. Data &amp; Mechanisms'!$P$601:$S$632,HLOOKUP('Personalized Bill Menu'!$B$23, 'Misc. Data &amp; Mechanisms'!$P$599:$S$600, 2, FALSE), FALSE), 'Misc. Data &amp; Mechanisms'!$L$599:$N$659, 2, FALSE), FALSE)), ""))</f>
        <v>0.28499999999999998</v>
      </c>
      <c r="AC7" s="80">
        <f ca="1">IF($A7="", "",IFERROR(IF(VLOOKUP($A7, INDIRECT("'" &amp; 'Personalized Bill Menu'!$B$23 &amp; "'!" &amp;"$A$4:$CA$100"), VLOOKUP(VLOOKUP("RIDER RATE 6",'Misc. Data &amp; Mechanisms'!$P$601:$S$632,HLOOKUP('Personalized Bill Menu'!$B$23, 'Misc. Data &amp; Mechanisms'!$P$599:$S$600, 2, FALSE), FALSE), 'Misc. Data &amp; Mechanisms'!$L$599:$N$659, 2, FALSE), FALSE) = "", "", VLOOKUP($A7, INDIRECT("'" &amp; 'Personalized Bill Menu'!$B$23 &amp; "'!" &amp;"$A$4:$CA$100"), VLOOKUP(VLOOKUP("RIDER RATE 6",'Misc. Data &amp; Mechanisms'!$P$601:$S$632,HLOOKUP('Personalized Bill Menu'!$B$23, 'Misc. Data &amp; Mechanisms'!$P$599:$S$600, 2, FALSE), FALSE), 'Misc. Data &amp; Mechanisms'!$L$599:$N$659, 2, FALSE), FALSE)), ""))</f>
        <v>-0.14499999999999999</v>
      </c>
      <c r="AD7" s="80" t="str">
        <f ca="1">IF($A7="", "",IFERROR(IF(VLOOKUP($A7, INDIRECT("'" &amp; 'Personalized Bill Menu'!$B$23 &amp; "'!" &amp;"$A$4:$CA$100"), VLOOKUP(VLOOKUP("RIDER RATE 7",'Misc. Data &amp; Mechanisms'!$P$601:$S$632,HLOOKUP('Personalized Bill Menu'!$B$23, 'Misc. Data &amp; Mechanisms'!$P$599:$S$600, 2, FALSE), FALSE), 'Misc. Data &amp; Mechanisms'!$L$599:$N$659, 2, FALSE), FALSE) = "", "", VLOOKUP($A7, INDIRECT("'" &amp; 'Personalized Bill Menu'!$B$23 &amp; "'!" &amp;"$A$4:$CA$100"), VLOOKUP(VLOOKUP("RIDER RATE 7",'Misc. Data &amp; Mechanisms'!$P$601:$S$632,HLOOKUP('Personalized Bill Menu'!$B$23, 'Misc. Data &amp; Mechanisms'!$P$599:$S$600, 2, FALSE), FALSE), 'Misc. Data &amp; Mechanisms'!$L$599:$N$659, 2, FALSE), FALSE)), ""))</f>
        <v/>
      </c>
      <c r="AE7" s="80" t="str">
        <f ca="1">IF($A7="", "",IFERROR(IF(VLOOKUP($A7, INDIRECT("'" &amp; 'Personalized Bill Menu'!$B$23 &amp; "'!" &amp;"$A$4:$CA$100"), VLOOKUP(VLOOKUP("RIDER RATE 8",'Misc. Data &amp; Mechanisms'!$P$601:$S$632,HLOOKUP('Personalized Bill Menu'!$B$23, 'Misc. Data &amp; Mechanisms'!$P$599:$S$600, 2, FALSE), FALSE), 'Misc. Data &amp; Mechanisms'!$L$599:$N$659, 2, FALSE), FALSE) = "", "", VLOOKUP($A7, INDIRECT("'" &amp; 'Personalized Bill Menu'!$B$23 &amp; "'!" &amp;"$A$4:$CA$100"), VLOOKUP(VLOOKUP("RIDER RATE 8",'Misc. Data &amp; Mechanisms'!$P$601:$S$632,HLOOKUP('Personalized Bill Menu'!$B$23, 'Misc. Data &amp; Mechanisms'!$P$599:$S$600, 2, FALSE), FALSE), 'Misc. Data &amp; Mechanisms'!$L$599:$N$659, 2, FALSE), FALSE)), ""))</f>
        <v/>
      </c>
      <c r="AF7" s="69" t="str">
        <f ca="1">IF($A7="", "",IFERROR(IF(VLOOKUP($A7, INDIRECT("'" &amp; 'Personalized Bill Menu'!$B$23 &amp; "'!" &amp;"$A$4:$CA$100"), VLOOKUP(VLOOKUP("RIDER RATE 9",'Misc. Data &amp; Mechanisms'!$P$601:$S$632,HLOOKUP('Personalized Bill Menu'!$B$23, 'Misc. Data &amp; Mechanisms'!$P$599:$S$600, 2, FALSE), FALSE), 'Misc. Data &amp; Mechanisms'!$L$599:$N$659, 2, FALSE), FALSE) = "", "", VLOOKUP($A7, INDIRECT("'" &amp; 'Personalized Bill Menu'!$B$23 &amp; "'!" &amp;"$A$4:$CA$100"), VLOOKUP(VLOOKUP("RIDER RATE 9",'Misc. Data &amp; Mechanisms'!$P$601:$S$632,HLOOKUP('Personalized Bill Menu'!$B$23, 'Misc. Data &amp; Mechanisms'!$P$599:$S$600, 2, FALSE), FALSE), 'Misc. Data &amp; Mechanisms'!$L$599:$N$659, 2, FALSE), FALSE)), ""))</f>
        <v/>
      </c>
      <c r="AG7" s="72">
        <f ca="1">IF($A7="", "", IFERROR(IF('Personalized Bill Menu'!$B$23="ATCO-N", ($X7*$B7) +($Y7*$C7), IF('Personalized Bill Menu'!$B$23="ATCO-S",$X7*$C7, IF($Y7="", ($X7*$H7), ($Y7*($H7+$K7))))), 0))</f>
        <v>0</v>
      </c>
      <c r="AH7" s="72">
        <f ca="1">IF($A7="", "", IFERROR(IF('Personalized Bill Menu'!$B$23="ATCO-S", $Y7*$C7, $Z7*$C7), 0))</f>
        <v>0</v>
      </c>
      <c r="AI7" s="72">
        <f ca="1">IF($A7="", "", IFERROR(IF('Personalized Bill Menu'!$B$23="ATCO-S", ($AA7*$C7)+($Z7*$B7), $AA7*$C7), 0))</f>
        <v>4.4879802499677437</v>
      </c>
      <c r="AJ7" s="72">
        <f ca="1">IF($A7="", "", IFERROR(IF('Personalized Bill Menu'!$B$23&lt;&gt;"AltaGas",$AB7*$C7,""),0))</f>
        <v>4.8324106729759002</v>
      </c>
      <c r="AK7" s="72">
        <f ca="1">IF($A7="", "", IFERROR(IF('Personalized Bill Menu'!$B$23="ATCO-S",$AC7*$C7,IF('Personalized Bill Menu'!$B$23="ATCO-N",$AC7*1,"")),0))</f>
        <v>-2.4585949037947561</v>
      </c>
      <c r="AL7" s="72">
        <f ca="1">IF($A7="", "", IFERROR(IF('Personalized Bill Menu'!$B$23="ATCO-N",$AD7*$B7,IF('Personalized Bill Menu'!$B$23="ATCO-S",$AD7*1,"")),0))</f>
        <v>0</v>
      </c>
      <c r="AM7" s="76">
        <f ca="1">IF($A7="", "", IFERROR(IF('Personalized Bill Menu'!$B$23="ATCO-S",$AE7*$B7,IF('Personalized Bill Menu'!$B$23="ATCO-N",$AE7*$B7,"")),0))</f>
        <v>0</v>
      </c>
      <c r="AN7" s="70">
        <f ca="1">IF($A7="", "", IFERROR(IF('Personalized Bill Menu'!$B$23="ATCO-S",$AF7*$B7,""),0))</f>
        <v>0</v>
      </c>
      <c r="AO7" s="69">
        <f>IF('Personalized Bill Menu'!$B$34="Natural Gas", 'Personalized Bill Menu'!$K4, IF('Personalized Bill Menu'!$B$34="Both",'Personalized Bill Menu'!$O4,""))</f>
        <v>0.223</v>
      </c>
      <c r="AP7" s="72">
        <f>IF($A7="", "", IFERROR($AO7*$B7,0))</f>
        <v>6.9130000000000003</v>
      </c>
      <c r="AQ7" s="79" t="str">
        <f ca="1">IF($A7="", "",IF(VLOOKUP($A7, INDIRECT("'" &amp; 'Personalized Bill Menu'!$B$23 &amp; "'!" &amp;"$A$4:$CA$100"), VLOOKUP(VLOOKUP(AQ$5,'Misc. Data &amp; Mechanisms'!$P$601:$S$632,HLOOKUP('Personalized Bill Menu'!$B$23, 'Misc. Data &amp; Mechanisms'!$P$599:$S$600, 2, FALSE), FALSE), 'Misc. Data &amp; Mechanisms'!$L$599:$N$659, 2, FALSE), FALSE) = "", "", VLOOKUP($A7, INDIRECT("'" &amp; 'Personalized Bill Menu'!$B$23 &amp; "'!" &amp;"$A$4:$CA$100"), VLOOKUP(VLOOKUP(AQ$5,'Misc. Data &amp; Mechanisms'!$P$601:$S$632,HLOOKUP('Personalized Bill Menu'!$B$23, 'Misc. Data &amp; Mechanisms'!$P$599:$S$600, 2, FALSE), FALSE), 'Misc. Data &amp; Mechanisms'!$L$599:$N$659, 2, FALSE), FALSE)))</f>
        <v/>
      </c>
      <c r="AR7" s="72">
        <f ca="1">IF($A7="", "", IFERROR($AQ7*$C7,0))</f>
        <v>0</v>
      </c>
      <c r="AS7" s="82">
        <f ca="1">IF($A7="", "",IF(VLOOKUP($A7, INDIRECT("'" &amp; 'Personalized Bill Menu'!$B$23 &amp; "'!" &amp;"$A$4:$CA$100"), VLOOKUP(VLOOKUP(AS$5,'Misc. Data &amp; Mechanisms'!$P$601:$S$632,HLOOKUP('Personalized Bill Menu'!$B$23, 'Misc. Data &amp; Mechanisms'!$P$599:$S$600, 2, FALSE), FALSE), 'Misc. Data &amp; Mechanisms'!$L$599:$N$659, 2, FALSE), FALSE) = "", "", VLOOKUP($A7, INDIRECT("'" &amp; 'Personalized Bill Menu'!$B$23 &amp; "'!" &amp;"$A$4:$CA$100"), VLOOKUP(VLOOKUP(AS$5,'Misc. Data &amp; Mechanisms'!$P$601:$S$632,HLOOKUP('Personalized Bill Menu'!$B$23, 'Misc. Data &amp; Mechanisms'!$P$599:$S$600, 2, FALSE), FALSE), 'Misc. Data &amp; Mechanisms'!$L$599:$N$659, 2, FALSE), FALSE)))</f>
        <v>0.05</v>
      </c>
      <c r="AT7" s="116"/>
      <c r="AU7" s="116"/>
      <c r="AV7" s="116"/>
      <c r="AW7" s="116"/>
      <c r="AX7" s="116"/>
    </row>
    <row r="8" spans="1:50" s="117" customFormat="1" ht="15" x14ac:dyDescent="0.25">
      <c r="A8" s="83">
        <f>'Personalized Bill Menu'!$H5</f>
        <v>40940</v>
      </c>
      <c r="B8" s="84">
        <f t="shared" ref="B8:B71" si="3">IFERROR(DAY(DATE(YEAR($A8),MONTH($A8)+1,1)-1), "")</f>
        <v>29</v>
      </c>
      <c r="C8" s="85">
        <f>IF('Personalized Bill Menu'!$B$34="Natural Gas", 'Personalized Bill Menu'!$I5, IF('Personalized Bill Menu'!$B$34="Both",'Personalized Bill Menu'!$M5,""))</f>
        <v>15.590669862509053</v>
      </c>
      <c r="D8" s="66">
        <f t="shared" ref="D8:D71" ca="1" si="4">IFERROR($F8/$C8, "")</f>
        <v>5.5212757894660855</v>
      </c>
      <c r="E8" s="66">
        <f ca="1">IF($C8="Not Applicable", "", IFERROR(IFERROR((1+$AS8)*IF('Personalized Bill Menu'!$B$23="ATCO-N", IF(OR('Personalized Bill Menu'!$B$21="Fort McMurray",AND('Personalized Bill Menu'!$B$21="Spruce Grove", $A8&lt;DATE(2019, 5, 1) )),(((1+IF($T8="",0,$T8))*($N8+$P8))+ (IF($U8="", 0, $U8)*$P8)+(1+IF($T8="",0,$T8)+IF($U8="", 0, $U8))*(SUM($Y8:$AB8))),($N8+((1+IF($T8="",0,$T8)+IF($U8="", 0, $U8))*$P8)+(1+IF($T8="",0,$T8)+IF($U8="", 0, $U8))*(SUM($Y8:$AB8)))), IF('Personalized Bill Menu'!$B$23="ATCO-S",IF(OR('Personalized Bill Menu'!$B$21="Calgary",AND('Personalized Bill Menu'!$B$21="Okotoks", $A8&lt;DATE(2019, 1, 1))),((1+IF($T8="",0,$T8))*($N8+$P8+SUM($X8:$Y8,$AA8:$AC8)))+(IF($U8="",0, $U8)*($P8+SUM($X8:$Y8,$AA8:$AC8))), ((1+IF($T8="",0,$T8))*($P8+SUM($Y8,$AA8:$AC8)))+(IF($U8="",0, $U8)*($P8+SUM($X8:$Y8,$AA8:$AC8)))+$N8+IF($X8="", 0, $X8)),IF(AND('Personalized Bill Menu'!$B$21="Athabasca", $A8&lt;DATE(2019, 5, 1)),((1+IF($T8="",0,$T8)+IF($U8="", 0, $U8))*($N8+((1+SUM($X8:$Y8))*$P8)+SUM($Z8:$AA8))),((1+IF($U8="", 0, $U8))*($N8+((1+SUM($X8:$Y8))*$P8)+SUM($Z8:$AA8))) + (IF($T8="",0,$T8)*(((1+SUM($X8:$Y8))*$P8)+SUM($Z8:$AA8)))))), "")+ IF($AQ8="", 0,((1+$AS8)*$AQ8)), ""))</f>
        <v>3.4299656999999999</v>
      </c>
      <c r="F8" s="118">
        <f t="shared" ref="F8:F71" ca="1" si="5">IF($A8="", "", IF($C8="Not Applicable", "N/A", IFERROR(SUM($G8:$M8), "")))</f>
        <v>86.080388053429772</v>
      </c>
      <c r="G8" s="115">
        <f t="shared" si="0"/>
        <v>32.179142596218689</v>
      </c>
      <c r="H8" s="66">
        <f t="shared" ca="1" si="1"/>
        <v>29.427982061318339</v>
      </c>
      <c r="I8" s="66">
        <f t="shared" ca="1" si="2"/>
        <v>7.5507525598707828</v>
      </c>
      <c r="J8" s="66">
        <f t="shared" ref="J8:J71" ca="1" si="6">IF($A8="", "", IFERROR(SUM($AG8:$AN8), ""))</f>
        <v>6.3564447382395901</v>
      </c>
      <c r="K8" s="66">
        <f t="shared" ref="K8:K38" si="7">IF($A8="", "", IFERROR(SUM($AP8), ""))</f>
        <v>6.4670000000000005</v>
      </c>
      <c r="L8" s="66">
        <f t="shared" ref="L8:L71" ca="1" si="8">IF($A8="", "", IFERROR(SUM($AR8), ""))</f>
        <v>0</v>
      </c>
      <c r="M8" s="68">
        <f t="shared" ref="M8:M71" ca="1" si="9">IF($A8="", "", IFERROR(SUM($AS8)*SUM($G8:$L8), ""))</f>
        <v>4.0990660977823703</v>
      </c>
      <c r="N8" s="1290">
        <f>IF('Personalized Bill Menu'!$B$34="Natural Gas", 'Personalized Bill Menu'!$J5, IF('Personalized Bill Menu'!$B$34="Both",'Personalized Bill Menu'!$N5,""))</f>
        <v>2.0640000000000001</v>
      </c>
      <c r="O8" s="70">
        <f t="shared" ref="O8:O71" si="10">IF($A8="", "", IFERROR($N8*$C8, 0))</f>
        <v>32.179142596218689</v>
      </c>
      <c r="P8" s="89">
        <f ca="1">IF($A8="", "",IFERROR(IF(VLOOKUP($A8, INDIRECT("'" &amp; 'Personalized Bill Menu'!$B$23 &amp; "'!" &amp;"$A$4:$CA$100"), VLOOKUP(VLOOKUP(P$5,'Misc. Data &amp; Mechanisms'!$P$601:$S$632,HLOOKUP('Personalized Bill Menu'!$B$23, 'Misc. Data &amp; Mechanisms'!$P$599:$S$600, 2, FALSE), FALSE), 'Misc. Data &amp; Mechanisms'!$L$599:$N$659, 2, FALSE), FALSE) = "", "", VLOOKUP($A8, INDIRECT("'" &amp; 'Personalized Bill Menu'!$B$23 &amp; "'!" &amp;"$A$4:$CA$100"), VLOOKUP(VLOOKUP(P$5,'Misc. Data &amp; Mechanisms'!$P$601:$S$632,HLOOKUP('Personalized Bill Menu'!$B$23, 'Misc. Data &amp; Mechanisms'!$P$599:$S$600, 2, FALSE), FALSE), 'Misc. Data &amp; Mechanisms'!$L$599:$N$659, 2, FALSE), FALSE)), ""))</f>
        <v>0.64500000000000002</v>
      </c>
      <c r="Q8" s="69">
        <f ca="1">IF($A8="", "",IFERROR(IF(VLOOKUP($A8, INDIRECT("'" &amp; 'Personalized Bill Menu'!$B$23 &amp; "'!" &amp;"$A$4:$CA$100"), VLOOKUP(VLOOKUP(Q$5,'Misc. Data &amp; Mechanisms'!$P$601:$S$632,HLOOKUP('Personalized Bill Menu'!$B$23, 'Misc. Data &amp; Mechanisms'!$P$599:$S$600, 2, FALSE), FALSE), 'Misc. Data &amp; Mechanisms'!$L$599:$N$659, 2, FALSE), FALSE) = "", "", VLOOKUP($A8, INDIRECT("'" &amp; 'Personalized Bill Menu'!$B$23 &amp; "'!" &amp;"$A$4:$CA$100"), VLOOKUP(VLOOKUP(Q$5,'Misc. Data &amp; Mechanisms'!$P$601:$S$632,HLOOKUP('Personalized Bill Menu'!$B$23, 'Misc. Data &amp; Mechanisms'!$P$599:$S$600, 2, FALSE), FALSE), 'Misc. Data &amp; Mechanisms'!$L$599:$N$659, 2, FALSE), FALSE)), ""))</f>
        <v>0.66800000000000004</v>
      </c>
      <c r="R8" s="72">
        <f t="shared" ref="R8:R71" ca="1" si="11">IF($A8="", "", IFERROR($P8*$C8, 0))</f>
        <v>10.055982061318339</v>
      </c>
      <c r="S8" s="70">
        <f t="shared" ref="S8:S71" ca="1" si="12">IF($A8="", "", IFERROR($Q8*$B8,0))</f>
        <v>19.372</v>
      </c>
      <c r="T8" s="78">
        <f>IFERROR(IF(VLOOKUP($A8,'Misc. Data &amp; Mechanisms'!$A$63:$DY$152,HLOOKUP('Personalized Bill Menu'!$B$21&amp;"_"&amp;'Personalized Bill Menu'!$B$23&amp;"_NG_Y_1",'Misc. Data &amp; Mechanisms'!$A$55:$DY$62,8,FALSE), FALSE)="", "", VLOOKUP($A8,'Misc. Data &amp; Mechanisms'!$A$63:$DY$152,HLOOKUP('Personalized Bill Menu'!$B$21&amp;"_"&amp;'Personalized Bill Menu'!$B$23&amp;"_NG_Y_1",'Misc. Data &amp; Mechanisms'!$A$55:$DY$62,8,FALSE), FALSE)), "")</f>
        <v>0.1111</v>
      </c>
      <c r="U8" s="78" t="str">
        <f>IFERROR(IF(VLOOKUP($A8,'Misc. Data &amp; Mechanisms'!$A$63:$DY$152,HLOOKUP('Personalized Bill Menu'!$B$21&amp;"_"&amp;'Personalized Bill Menu'!$B$23&amp;"_NG_Y_2",'Misc. Data &amp; Mechanisms'!$A$55:$DY$62,8,FALSE), FALSE)="", "",VLOOKUP($A8,'Misc. Data &amp; Mechanisms'!$A$63:$DY$152,HLOOKUP('Personalized Bill Menu'!$B$21&amp;"_"&amp;'Personalized Bill Menu'!$B$23&amp;"_NG_Y_2",'Misc. Data &amp; Mechanisms'!$A$55:$DY$62,8,FALSE), FALSE)), "")</f>
        <v/>
      </c>
      <c r="V8" s="72">
        <f ca="1">IF($A8="", "", IFERROR(IF('Personalized Bill Menu'!$B$23="ATCO-N", IF(OR('Personalized Bill Menu'!$B$21="Fort McMurray",AND('Personalized Bill Menu'!$B$21="Spruce Grove", $A8&lt;DATE(2019, 5, 1))),$T8*($G8+$H8+$J8),$T8*($H8+$J8)), IF('Personalized Bill Menu'!$B$23="ATCO-S",IF(OR('Personalized Bill Menu'!$B$21="Calgary",AND('Personalized Bill Menu'!$B$21="Okotoks", $A8&lt;DATE(2019, 1, 1))),$T8*($G8+$H8+$J8), $T8*($H8+$J8-$AG8)),IF(AND('Personalized Bill Menu'!$B$21="Athabasca", $A8&lt;DATE(2019, 5, 1)),$T8*($G8+$H8+$J8+$K8),$T8*($H8+$J8+$K8)))),0))</f>
        <v>7.5507525598707828</v>
      </c>
      <c r="W8" s="72">
        <f ca="1">IF($A8="", "", IFERROR(IF('Personalized Bill Menu'!$B$23="ATCO-N", $U8*($H8+$J8), IF('Personalized Bill Menu'!$B$23="ATCO-S",$U8*($H8+$J8),$U8*($G8+$H8+$J8+$K8))),0))</f>
        <v>0</v>
      </c>
      <c r="X8" s="89" t="str">
        <f ca="1">IF($A8="", "",IFERROR(IF(VLOOKUP($A8, INDIRECT("'" &amp; 'Personalized Bill Menu'!$B$23 &amp; "'!" &amp;"$A$4:$CA$100"), VLOOKUP(VLOOKUP("RIDER RATE 1",'Misc. Data &amp; Mechanisms'!$P$601:$S$632,HLOOKUP('Personalized Bill Menu'!$B$23, 'Misc. Data &amp; Mechanisms'!$P$599:$S$600, 2, FALSE), FALSE), 'Misc. Data &amp; Mechanisms'!$L$599:$N$659, 2, FALSE), FALSE) = "", "", VLOOKUP($A8, INDIRECT("'" &amp; 'Personalized Bill Menu'!$B$23 &amp; "'!" &amp;"$A$4:$CA$100"), VLOOKUP(VLOOKUP("RIDER RATE 1",'Misc. Data &amp; Mechanisms'!$P$601:$S$632,HLOOKUP('Personalized Bill Menu'!$B$23, 'Misc. Data &amp; Mechanisms'!$P$599:$S$600, 2, FALSE), FALSE), 'Misc. Data &amp; Mechanisms'!$L$599:$N$659, 2, FALSE), FALSE)), ""))</f>
        <v/>
      </c>
      <c r="Y8" s="69" t="str">
        <f ca="1">IF($A8="", "",IFERROR(IF(VLOOKUP($A8, INDIRECT("'" &amp; 'Personalized Bill Menu'!$B$23 &amp; "'!" &amp;"$A$4:$CA$100"), VLOOKUP(VLOOKUP("RIDER RATE 2",'Misc. Data &amp; Mechanisms'!$P$601:$S$632,HLOOKUP('Personalized Bill Menu'!$B$23, 'Misc. Data &amp; Mechanisms'!$P$599:$S$600, 2, FALSE), FALSE), 'Misc. Data &amp; Mechanisms'!$L$599:$N$659, 2, FALSE), FALSE) = "", "", VLOOKUP($A8, INDIRECT("'" &amp; 'Personalized Bill Menu'!$B$23 &amp; "'!" &amp;"$A$4:$CA$100"), VLOOKUP(VLOOKUP("RIDER RATE 2",'Misc. Data &amp; Mechanisms'!$P$601:$S$632,HLOOKUP('Personalized Bill Menu'!$B$23, 'Misc. Data &amp; Mechanisms'!$P$599:$S$600, 2, FALSE), FALSE), 'Misc. Data &amp; Mechanisms'!$L$599:$N$659, 2, FALSE), FALSE)), ""))</f>
        <v/>
      </c>
      <c r="Z8" s="69">
        <f ca="1">IF($A8="", "",IFERROR(IF(VLOOKUP($A8, INDIRECT("'" &amp; 'Personalized Bill Menu'!$B$23 &amp; "'!" &amp;"$A$4:$CA$100"), VLOOKUP(VLOOKUP("RIDER RATE 3",'Misc. Data &amp; Mechanisms'!$P$601:$S$632,HLOOKUP('Personalized Bill Menu'!$B$23, 'Misc. Data &amp; Mechanisms'!$P$599:$S$600, 2, FALSE), FALSE), 'Misc. Data &amp; Mechanisms'!$L$599:$N$659, 2, FALSE), FALSE) = "", "", VLOOKUP($A8, INDIRECT("'" &amp; 'Personalized Bill Menu'!$B$23 &amp; "'!" &amp;"$A$4:$CA$100"), VLOOKUP(VLOOKUP("RIDER RATE 3",'Misc. Data &amp; Mechanisms'!$P$601:$S$632,HLOOKUP('Personalized Bill Menu'!$B$23, 'Misc. Data &amp; Mechanisms'!$P$599:$S$600, 2, FALSE), FALSE), 'Misc. Data &amp; Mechanisms'!$L$599:$N$659, 2, FALSE), FALSE)), ""))</f>
        <v>9.5000000000000001E-2</v>
      </c>
      <c r="AA8" s="69">
        <f ca="1">IF($A8="", "",IFERROR(IF(VLOOKUP($A8, INDIRECT("'" &amp; 'Personalized Bill Menu'!$B$23 &amp; "'!" &amp;"$A$4:$CA$100"), VLOOKUP(VLOOKUP("RIDER RATE 4",'Misc. Data &amp; Mechanisms'!$P$601:$S$632,HLOOKUP('Personalized Bill Menu'!$B$23, 'Misc. Data &amp; Mechanisms'!$P$599:$S$600, 2, FALSE), FALSE), 'Misc. Data &amp; Mechanisms'!$L$599:$N$659, 2, FALSE), FALSE) = "", "", VLOOKUP($A8, INDIRECT("'" &amp; 'Personalized Bill Menu'!$B$23 &amp; "'!" &amp;"$A$4:$CA$100"), VLOOKUP(VLOOKUP("RIDER RATE 4",'Misc. Data &amp; Mechanisms'!$P$601:$S$632,HLOOKUP('Personalized Bill Menu'!$B$23, 'Misc. Data &amp; Mechanisms'!$P$599:$S$600, 2, FALSE), FALSE), 'Misc. Data &amp; Mechanisms'!$L$599:$N$659, 2, FALSE), FALSE)), ""))</f>
        <v>9.0999999999999998E-2</v>
      </c>
      <c r="AB8" s="69">
        <f ca="1">IF($A8="", "",IFERROR(IF(VLOOKUP($A8, INDIRECT("'" &amp; 'Personalized Bill Menu'!$B$23 &amp; "'!" &amp;"$A$4:$CA$100"), VLOOKUP(VLOOKUP("RIDER RATE 5",'Misc. Data &amp; Mechanisms'!$P$601:$S$632,HLOOKUP('Personalized Bill Menu'!$B$23, 'Misc. Data &amp; Mechanisms'!$P$599:$S$600, 2, FALSE), FALSE), 'Misc. Data &amp; Mechanisms'!$L$599:$N$659, 2, FALSE), FALSE) = "", "", VLOOKUP($A8, INDIRECT("'" &amp; 'Personalized Bill Menu'!$B$23 &amp; "'!" &amp;"$A$4:$CA$100"), VLOOKUP(VLOOKUP("RIDER RATE 5",'Misc. Data &amp; Mechanisms'!$P$601:$S$632,HLOOKUP('Personalized Bill Menu'!$B$23, 'Misc. Data &amp; Mechanisms'!$P$599:$S$600, 2, FALSE), FALSE), 'Misc. Data &amp; Mechanisms'!$L$599:$N$659, 2, FALSE), FALSE)), ""))</f>
        <v>0.28499999999999998</v>
      </c>
      <c r="AC8" s="69">
        <f ca="1">IF($A8="", "",IFERROR(IF(VLOOKUP($A8, INDIRECT("'" &amp; 'Personalized Bill Menu'!$B$23 &amp; "'!" &amp;"$A$4:$CA$100"), VLOOKUP(VLOOKUP("RIDER RATE 6",'Misc. Data &amp; Mechanisms'!$P$601:$S$632,HLOOKUP('Personalized Bill Menu'!$B$23, 'Misc. Data &amp; Mechanisms'!$P$599:$S$600, 2, FALSE), FALSE), 'Misc. Data &amp; Mechanisms'!$L$599:$N$659, 2, FALSE), FALSE) = "", "", VLOOKUP($A8, INDIRECT("'" &amp; 'Personalized Bill Menu'!$B$23 &amp; "'!" &amp;"$A$4:$CA$100"), VLOOKUP(VLOOKUP("RIDER RATE 6",'Misc. Data &amp; Mechanisms'!$P$601:$S$632,HLOOKUP('Personalized Bill Menu'!$B$23, 'Misc. Data &amp; Mechanisms'!$P$599:$S$600, 2, FALSE), FALSE), 'Misc. Data &amp; Mechanisms'!$L$599:$N$659, 2, FALSE), FALSE)), ""))</f>
        <v>-0.14499999999999999</v>
      </c>
      <c r="AD8" s="69" t="str">
        <f ca="1">IF($A8="", "",IFERROR(IF(VLOOKUP($A8, INDIRECT("'" &amp; 'Personalized Bill Menu'!$B$23 &amp; "'!" &amp;"$A$4:$CA$100"), VLOOKUP(VLOOKUP("RIDER RATE 7",'Misc. Data &amp; Mechanisms'!$P$601:$S$632,HLOOKUP('Personalized Bill Menu'!$B$23, 'Misc. Data &amp; Mechanisms'!$P$599:$S$600, 2, FALSE), FALSE), 'Misc. Data &amp; Mechanisms'!$L$599:$N$659, 2, FALSE), FALSE) = "", "", VLOOKUP($A8, INDIRECT("'" &amp; 'Personalized Bill Menu'!$B$23 &amp; "'!" &amp;"$A$4:$CA$100"), VLOOKUP(VLOOKUP("RIDER RATE 7",'Misc. Data &amp; Mechanisms'!$P$601:$S$632,HLOOKUP('Personalized Bill Menu'!$B$23, 'Misc. Data &amp; Mechanisms'!$P$599:$S$600, 2, FALSE), FALSE), 'Misc. Data &amp; Mechanisms'!$L$599:$N$659, 2, FALSE), FALSE)), ""))</f>
        <v/>
      </c>
      <c r="AE8" s="69" t="str">
        <f ca="1">IF($A8="", "",IFERROR(IF(VLOOKUP($A8, INDIRECT("'" &amp; 'Personalized Bill Menu'!$B$23 &amp; "'!" &amp;"$A$4:$CA$100"), VLOOKUP(VLOOKUP("RIDER RATE 8",'Misc. Data &amp; Mechanisms'!$P$601:$S$632,HLOOKUP('Personalized Bill Menu'!$B$23, 'Misc. Data &amp; Mechanisms'!$P$599:$S$600, 2, FALSE), FALSE), 'Misc. Data &amp; Mechanisms'!$L$599:$N$659, 2, FALSE), FALSE) = "", "", VLOOKUP($A8, INDIRECT("'" &amp; 'Personalized Bill Menu'!$B$23 &amp; "'!" &amp;"$A$4:$CA$100"), VLOOKUP(VLOOKUP("RIDER RATE 8",'Misc. Data &amp; Mechanisms'!$P$601:$S$632,HLOOKUP('Personalized Bill Menu'!$B$23, 'Misc. Data &amp; Mechanisms'!$P$599:$S$600, 2, FALSE), FALSE), 'Misc. Data &amp; Mechanisms'!$L$599:$N$659, 2, FALSE), FALSE)), ""))</f>
        <v/>
      </c>
      <c r="AF8" s="69" t="str">
        <f ca="1">IF($A8="", "",IFERROR(IF(VLOOKUP($A8, INDIRECT("'" &amp; 'Personalized Bill Menu'!$B$23 &amp; "'!" &amp;"$A$4:$CA$100"), VLOOKUP(VLOOKUP("RIDER RATE 9",'Misc. Data &amp; Mechanisms'!$P$601:$S$632,HLOOKUP('Personalized Bill Menu'!$B$23, 'Misc. Data &amp; Mechanisms'!$P$599:$S$600, 2, FALSE), FALSE), 'Misc. Data &amp; Mechanisms'!$L$599:$N$659, 2, FALSE), FALSE) = "", "", VLOOKUP($A8, INDIRECT("'" &amp; 'Personalized Bill Menu'!$B$23 &amp; "'!" &amp;"$A$4:$CA$100"), VLOOKUP(VLOOKUP("RIDER RATE 9",'Misc. Data &amp; Mechanisms'!$P$601:$S$632,HLOOKUP('Personalized Bill Menu'!$B$23, 'Misc. Data &amp; Mechanisms'!$P$599:$S$600, 2, FALSE), FALSE), 'Misc. Data &amp; Mechanisms'!$L$599:$N$659, 2, FALSE), FALSE)), ""))</f>
        <v/>
      </c>
      <c r="AG8" s="72">
        <f ca="1">IF($A8="", "", IFERROR(IF('Personalized Bill Menu'!$B$23="ATCO-N", ($X8*$B8) +($Y8*$C8), IF('Personalized Bill Menu'!$B$23="ATCO-S",$X8*$C8, IF($Y8="", ($X8*$H8), ($Y8*($H8+$K8))))), 0))</f>
        <v>0</v>
      </c>
      <c r="AH8" s="72">
        <f ca="1">IF($A8="", "", IFERROR(IF('Personalized Bill Menu'!$B$23="ATCO-S", $Y8*$C8, $Z8*$C8), 0))</f>
        <v>0</v>
      </c>
      <c r="AI8" s="72">
        <f ca="1">IF($A8="", "", IFERROR(IF('Personalized Bill Menu'!$B$23="ATCO-S", ($AA8*$C8)+($Z8*$B8), $AA8*$C8), 0))</f>
        <v>4.1737509574883234</v>
      </c>
      <c r="AJ8" s="72">
        <f ca="1">IF($A8="", "", IFERROR(IF('Personalized Bill Menu'!$B$23&lt;&gt;"AltaGas",$AB8*$C8,""),0))</f>
        <v>4.4433409108150794</v>
      </c>
      <c r="AK8" s="72">
        <f ca="1">IF($A8="", "", IFERROR(IF('Personalized Bill Menu'!$B$23="ATCO-S",$AC8*$C8,IF('Personalized Bill Menu'!$B$23="ATCO-N",$AC8*1,"")),0))</f>
        <v>-2.2606471300638127</v>
      </c>
      <c r="AL8" s="72">
        <f ca="1">IF($A8="", "", IFERROR(IF('Personalized Bill Menu'!$B$23="ATCO-N",$AD8*$B8,IF('Personalized Bill Menu'!$B$23="ATCO-S",$AD8*1,"")),0))</f>
        <v>0</v>
      </c>
      <c r="AM8" s="72">
        <f ca="1">IF($A8="", "", IFERROR(IF('Personalized Bill Menu'!$B$23="ATCO-S",$AE8*$B8,IF('Personalized Bill Menu'!$B$23="ATCO-N",$AE8*$B8,"")),0))</f>
        <v>0</v>
      </c>
      <c r="AN8" s="70">
        <f ca="1">IF($A8="", "", IFERROR(IF('Personalized Bill Menu'!$B$23="ATCO-S",$AF8*$B8,""),0))</f>
        <v>0</v>
      </c>
      <c r="AO8" s="69">
        <f>IF('Personalized Bill Menu'!$B$34="Natural Gas", 'Personalized Bill Menu'!$K5, IF('Personalized Bill Menu'!$B$34="Both",'Personalized Bill Menu'!$O5,""))</f>
        <v>0.223</v>
      </c>
      <c r="AP8" s="72">
        <f t="shared" ref="AP8:AP71" si="13">IF($A8="", "", IFERROR($AO8*$B8,0))</f>
        <v>6.4670000000000005</v>
      </c>
      <c r="AQ8" s="89" t="str">
        <f ca="1">IF($A8="", "",IF(VLOOKUP($A8, INDIRECT("'" &amp; 'Personalized Bill Menu'!$B$23 &amp; "'!" &amp;"$A$4:$CA$100"), VLOOKUP(VLOOKUP(AQ$5,'Misc. Data &amp; Mechanisms'!$P$601:$S$632,HLOOKUP('Personalized Bill Menu'!$B$23, 'Misc. Data &amp; Mechanisms'!$P$599:$S$600, 2, FALSE), FALSE), 'Misc. Data &amp; Mechanisms'!$L$599:$N$659, 2, FALSE), FALSE) = "", "", VLOOKUP($A8, INDIRECT("'" &amp; 'Personalized Bill Menu'!$B$23 &amp; "'!" &amp;"$A$4:$CA$100"), VLOOKUP(VLOOKUP(AQ$5,'Misc. Data &amp; Mechanisms'!$P$601:$S$632,HLOOKUP('Personalized Bill Menu'!$B$23, 'Misc. Data &amp; Mechanisms'!$P$599:$S$600, 2, FALSE), FALSE), 'Misc. Data &amp; Mechanisms'!$L$599:$N$659, 2, FALSE), FALSE)))</f>
        <v/>
      </c>
      <c r="AR8" s="72">
        <f t="shared" ref="AR8:AR71" ca="1" si="14">IF($A8="", "", IFERROR($AQ8*$C8,0))</f>
        <v>0</v>
      </c>
      <c r="AS8" s="91">
        <f ca="1">IF($A8="", "",IF(VLOOKUP($A8, INDIRECT("'" &amp; 'Personalized Bill Menu'!$B$23 &amp; "'!" &amp;"$A$4:$CA$100"), VLOOKUP(VLOOKUP(AS$5,'Misc. Data &amp; Mechanisms'!$P$601:$S$632,HLOOKUP('Personalized Bill Menu'!$B$23, 'Misc. Data &amp; Mechanisms'!$P$599:$S$600, 2, FALSE), FALSE), 'Misc. Data &amp; Mechanisms'!$L$599:$N$659, 2, FALSE), FALSE) = "", "", VLOOKUP($A8, INDIRECT("'" &amp; 'Personalized Bill Menu'!$B$23 &amp; "'!" &amp;"$A$4:$CA$100"), VLOOKUP(VLOOKUP(AS$5,'Misc. Data &amp; Mechanisms'!$P$601:$S$632,HLOOKUP('Personalized Bill Menu'!$B$23, 'Misc. Data &amp; Mechanisms'!$P$599:$S$600, 2, FALSE), FALSE), 'Misc. Data &amp; Mechanisms'!$L$599:$N$659, 2, FALSE), FALSE)))</f>
        <v>0.05</v>
      </c>
      <c r="AT8" s="116"/>
      <c r="AU8" s="116"/>
      <c r="AV8" s="116"/>
      <c r="AW8" s="116"/>
      <c r="AX8" s="116"/>
    </row>
    <row r="9" spans="1:50" s="117" customFormat="1" ht="15" x14ac:dyDescent="0.25">
      <c r="A9" s="83">
        <f>'Personalized Bill Menu'!$H6</f>
        <v>40969</v>
      </c>
      <c r="B9" s="84">
        <f t="shared" si="3"/>
        <v>31</v>
      </c>
      <c r="C9" s="85">
        <f>IF('Personalized Bill Menu'!$B$34="Natural Gas", 'Personalized Bill Menu'!$I6, IF('Personalized Bill Menu'!$B$34="Both",'Personalized Bill Menu'!$M6,""))</f>
        <v>12.508593180345372</v>
      </c>
      <c r="D9" s="66">
        <f t="shared" ca="1" si="4"/>
        <v>6.2571663813488927</v>
      </c>
      <c r="E9" s="66">
        <f ca="1">IF($C9="Not Applicable", "", IFERROR(IFERROR((1+$AS9)*IF('Personalized Bill Menu'!$B$23="ATCO-N", IF(OR('Personalized Bill Menu'!$B$21="Fort McMurray",AND('Personalized Bill Menu'!$B$21="Spruce Grove", $A9&lt;DATE(2019, 5, 1) )),(((1+IF($T9="",0,$T9))*($N9+$P9))+ (IF($U9="", 0, $U9)*$P9)+(1+IF($T9="",0,$T9)+IF($U9="", 0, $U9))*(SUM($Y9:$AB9))),($N9+((1+IF($T9="",0,$T9)+IF($U9="", 0, $U9))*$P9)+(1+IF($T9="",0,$T9)+IF($U9="", 0, $U9))*(SUM($Y9:$AB9)))), IF('Personalized Bill Menu'!$B$23="ATCO-S",IF(OR('Personalized Bill Menu'!$B$21="Calgary",AND('Personalized Bill Menu'!$B$21="Okotoks", $A9&lt;DATE(2019, 1, 1))),((1+IF($T9="",0,$T9))*($N9+$P9+SUM($X9:$Y9,$AA9:$AC9)))+(IF($U9="",0, $U9)*($P9+SUM($X9:$Y9,$AA9:$AC9))), ((1+IF($T9="",0,$T9))*($P9+SUM($Y9,$AA9:$AC9)))+(IF($U9="",0, $U9)*($P9+SUM($X9:$Y9,$AA9:$AC9)))+$N9+IF($X9="", 0, $X9)),IF(AND('Personalized Bill Menu'!$B$21="Athabasca", $A9&lt;DATE(2019, 5, 1)),((1+IF($T9="",0,$T9)+IF($U9="", 0, $U9))*($N9+((1+SUM($X9:$Y9))*$P9)+SUM($Z9:$AA9))),((1+IF($U9="", 0, $U9))*($N9+((1+SUM($X9:$Y9))*$P9)+SUM($Z9:$AA9))) + (IF($T9="",0,$T9)*(((1+SUM($X9:$Y9))*$P9)+SUM($Z9:$AA9)))))), "")+ IF($AQ9="", 0,((1+$AS9)*$AQ9)), ""))</f>
        <v>3.470798625</v>
      </c>
      <c r="F9" s="118">
        <f t="shared" ca="1" si="5"/>
        <v>78.268348726027085</v>
      </c>
      <c r="G9" s="115">
        <f t="shared" si="0"/>
        <v>26.255537085544937</v>
      </c>
      <c r="H9" s="66">
        <f t="shared" ca="1" si="1"/>
        <v>28.776042601322764</v>
      </c>
      <c r="I9" s="66">
        <f t="shared" ca="1" si="2"/>
        <v>6.7622197894507039</v>
      </c>
      <c r="J9" s="66">
        <f t="shared" ca="1" si="6"/>
        <v>5.8344850246597808</v>
      </c>
      <c r="K9" s="66">
        <f t="shared" si="7"/>
        <v>6.9130000000000003</v>
      </c>
      <c r="L9" s="66">
        <f t="shared" ca="1" si="8"/>
        <v>0</v>
      </c>
      <c r="M9" s="68">
        <f t="shared" ca="1" si="9"/>
        <v>3.7270642250489092</v>
      </c>
      <c r="N9" s="1290">
        <f>IF('Personalized Bill Menu'!$B$34="Natural Gas", 'Personalized Bill Menu'!$J6, IF('Personalized Bill Menu'!$B$34="Both",'Personalized Bill Menu'!$N6,""))</f>
        <v>2.0990000000000002</v>
      </c>
      <c r="O9" s="70">
        <f t="shared" si="10"/>
        <v>26.255537085544937</v>
      </c>
      <c r="P9" s="89">
        <f ca="1">IF($A9="", "",IFERROR(IF(VLOOKUP($A9, INDIRECT("'" &amp; 'Personalized Bill Menu'!$B$23 &amp; "'!" &amp;"$A$4:$CA$100"), VLOOKUP(VLOOKUP(P$5,'Misc. Data &amp; Mechanisms'!$P$601:$S$632,HLOOKUP('Personalized Bill Menu'!$B$23, 'Misc. Data &amp; Mechanisms'!$P$599:$S$600, 2, FALSE), FALSE), 'Misc. Data &amp; Mechanisms'!$L$599:$N$659, 2, FALSE), FALSE) = "", "", VLOOKUP($A9, INDIRECT("'" &amp; 'Personalized Bill Menu'!$B$23 &amp; "'!" &amp;"$A$4:$CA$100"), VLOOKUP(VLOOKUP(P$5,'Misc. Data &amp; Mechanisms'!$P$601:$S$632,HLOOKUP('Personalized Bill Menu'!$B$23, 'Misc. Data &amp; Mechanisms'!$P$599:$S$600, 2, FALSE), FALSE), 'Misc. Data &amp; Mechanisms'!$L$599:$N$659, 2, FALSE), FALSE)), ""))</f>
        <v>0.64500000000000002</v>
      </c>
      <c r="Q9" s="69">
        <f ca="1">IF($A9="", "",IFERROR(IF(VLOOKUP($A9, INDIRECT("'" &amp; 'Personalized Bill Menu'!$B$23 &amp; "'!" &amp;"$A$4:$CA$100"), VLOOKUP(VLOOKUP(Q$5,'Misc. Data &amp; Mechanisms'!$P$601:$S$632,HLOOKUP('Personalized Bill Menu'!$B$23, 'Misc. Data &amp; Mechanisms'!$P$599:$S$600, 2, FALSE), FALSE), 'Misc. Data &amp; Mechanisms'!$L$599:$N$659, 2, FALSE), FALSE) = "", "", VLOOKUP($A9, INDIRECT("'" &amp; 'Personalized Bill Menu'!$B$23 &amp; "'!" &amp;"$A$4:$CA$100"), VLOOKUP(VLOOKUP(Q$5,'Misc. Data &amp; Mechanisms'!$P$601:$S$632,HLOOKUP('Personalized Bill Menu'!$B$23, 'Misc. Data &amp; Mechanisms'!$P$599:$S$600, 2, FALSE), FALSE), 'Misc. Data &amp; Mechanisms'!$L$599:$N$659, 2, FALSE), FALSE)), ""))</f>
        <v>0.66800000000000004</v>
      </c>
      <c r="R9" s="72">
        <f t="shared" ca="1" si="11"/>
        <v>8.0680426013227642</v>
      </c>
      <c r="S9" s="70">
        <f t="shared" ca="1" si="12"/>
        <v>20.708000000000002</v>
      </c>
      <c r="T9" s="78">
        <f>IFERROR(IF(VLOOKUP($A9,'Misc. Data &amp; Mechanisms'!$A$63:$DY$152,HLOOKUP('Personalized Bill Menu'!$B$21&amp;"_"&amp;'Personalized Bill Menu'!$B$23&amp;"_NG_Y_1",'Misc. Data &amp; Mechanisms'!$A$55:$DY$62,8,FALSE), FALSE)="", "", VLOOKUP($A9,'Misc. Data &amp; Mechanisms'!$A$63:$DY$152,HLOOKUP('Personalized Bill Menu'!$B$21&amp;"_"&amp;'Personalized Bill Menu'!$B$23&amp;"_NG_Y_1",'Misc. Data &amp; Mechanisms'!$A$55:$DY$62,8,FALSE), FALSE)), "")</f>
        <v>0.1111</v>
      </c>
      <c r="U9" s="78" t="str">
        <f>IFERROR(IF(VLOOKUP($A9,'Misc. Data &amp; Mechanisms'!$A$63:$DY$152,HLOOKUP('Personalized Bill Menu'!$B$21&amp;"_"&amp;'Personalized Bill Menu'!$B$23&amp;"_NG_Y_2",'Misc. Data &amp; Mechanisms'!$A$55:$DY$62,8,FALSE), FALSE)="", "",VLOOKUP($A9,'Misc. Data &amp; Mechanisms'!$A$63:$DY$152,HLOOKUP('Personalized Bill Menu'!$B$21&amp;"_"&amp;'Personalized Bill Menu'!$B$23&amp;"_NG_Y_2",'Misc. Data &amp; Mechanisms'!$A$55:$DY$62,8,FALSE), FALSE)), "")</f>
        <v/>
      </c>
      <c r="V9" s="72">
        <f ca="1">IF($A9="", "", IFERROR(IF('Personalized Bill Menu'!$B$23="ATCO-N", IF(OR('Personalized Bill Menu'!$B$21="Fort McMurray",AND('Personalized Bill Menu'!$B$21="Spruce Grove", $A9&lt;DATE(2019, 5, 1))),$T9*($G9+$H9+$J9),$T9*($H9+$J9)), IF('Personalized Bill Menu'!$B$23="ATCO-S",IF(OR('Personalized Bill Menu'!$B$21="Calgary",AND('Personalized Bill Menu'!$B$21="Okotoks", $A9&lt;DATE(2019, 1, 1))),$T9*($G9+$H9+$J9), $T9*($H9+$J9-$AG9)),IF(AND('Personalized Bill Menu'!$B$21="Athabasca", $A9&lt;DATE(2019, 5, 1)),$T9*($G9+$H9+$J9+$K9),$T9*($H9+$J9+$K9)))),0))</f>
        <v>6.7622197894507039</v>
      </c>
      <c r="W9" s="72">
        <f ca="1">IF($A9="", "", IFERROR(IF('Personalized Bill Menu'!$B$23="ATCO-N", $U9*($H9+$J9), IF('Personalized Bill Menu'!$B$23="ATCO-S",$U9*($H9+$J9),$U9*($G9+$H9+$J9+$K9))),0))</f>
        <v>0</v>
      </c>
      <c r="X9" s="89" t="str">
        <f ca="1">IF($A9="", "",IFERROR(IF(VLOOKUP($A9, INDIRECT("'" &amp; 'Personalized Bill Menu'!$B$23 &amp; "'!" &amp;"$A$4:$CA$100"), VLOOKUP(VLOOKUP("RIDER RATE 1",'Misc. Data &amp; Mechanisms'!$P$601:$S$632,HLOOKUP('Personalized Bill Menu'!$B$23, 'Misc. Data &amp; Mechanisms'!$P$599:$S$600, 2, FALSE), FALSE), 'Misc. Data &amp; Mechanisms'!$L$599:$N$659, 2, FALSE), FALSE) = "", "", VLOOKUP($A9, INDIRECT("'" &amp; 'Personalized Bill Menu'!$B$23 &amp; "'!" &amp;"$A$4:$CA$100"), VLOOKUP(VLOOKUP("RIDER RATE 1",'Misc. Data &amp; Mechanisms'!$P$601:$S$632,HLOOKUP('Personalized Bill Menu'!$B$23, 'Misc. Data &amp; Mechanisms'!$P$599:$S$600, 2, FALSE), FALSE), 'Misc. Data &amp; Mechanisms'!$L$599:$N$659, 2, FALSE), FALSE)), ""))</f>
        <v/>
      </c>
      <c r="Y9" s="69" t="str">
        <f ca="1">IF($A9="", "",IFERROR(IF(VLOOKUP($A9, INDIRECT("'" &amp; 'Personalized Bill Menu'!$B$23 &amp; "'!" &amp;"$A$4:$CA$100"), VLOOKUP(VLOOKUP("RIDER RATE 2",'Misc. Data &amp; Mechanisms'!$P$601:$S$632,HLOOKUP('Personalized Bill Menu'!$B$23, 'Misc. Data &amp; Mechanisms'!$P$599:$S$600, 2, FALSE), FALSE), 'Misc. Data &amp; Mechanisms'!$L$599:$N$659, 2, FALSE), FALSE) = "", "", VLOOKUP($A9, INDIRECT("'" &amp; 'Personalized Bill Menu'!$B$23 &amp; "'!" &amp;"$A$4:$CA$100"), VLOOKUP(VLOOKUP("RIDER RATE 2",'Misc. Data &amp; Mechanisms'!$P$601:$S$632,HLOOKUP('Personalized Bill Menu'!$B$23, 'Misc. Data &amp; Mechanisms'!$P$599:$S$600, 2, FALSE), FALSE), 'Misc. Data &amp; Mechanisms'!$L$599:$N$659, 2, FALSE), FALSE)), ""))</f>
        <v/>
      </c>
      <c r="Z9" s="69">
        <f ca="1">IF($A9="", "",IFERROR(IF(VLOOKUP($A9, INDIRECT("'" &amp; 'Personalized Bill Menu'!$B$23 &amp; "'!" &amp;"$A$4:$CA$100"), VLOOKUP(VLOOKUP("RIDER RATE 3",'Misc. Data &amp; Mechanisms'!$P$601:$S$632,HLOOKUP('Personalized Bill Menu'!$B$23, 'Misc. Data &amp; Mechanisms'!$P$599:$S$600, 2, FALSE), FALSE), 'Misc. Data &amp; Mechanisms'!$L$599:$N$659, 2, FALSE), FALSE) = "", "", VLOOKUP($A9, INDIRECT("'" &amp; 'Personalized Bill Menu'!$B$23 &amp; "'!" &amp;"$A$4:$CA$100"), VLOOKUP(VLOOKUP("RIDER RATE 3",'Misc. Data &amp; Mechanisms'!$P$601:$S$632,HLOOKUP('Personalized Bill Menu'!$B$23, 'Misc. Data &amp; Mechanisms'!$P$599:$S$600, 2, FALSE), FALSE), 'Misc. Data &amp; Mechanisms'!$L$599:$N$659, 2, FALSE), FALSE)), ""))</f>
        <v>9.5000000000000001E-2</v>
      </c>
      <c r="AA9" s="69">
        <f ca="1">IF($A9="", "",IFERROR(IF(VLOOKUP($A9, INDIRECT("'" &amp; 'Personalized Bill Menu'!$B$23 &amp; "'!" &amp;"$A$4:$CA$100"), VLOOKUP(VLOOKUP("RIDER RATE 4",'Misc. Data &amp; Mechanisms'!$P$601:$S$632,HLOOKUP('Personalized Bill Menu'!$B$23, 'Misc. Data &amp; Mechanisms'!$P$599:$S$600, 2, FALSE), FALSE), 'Misc. Data &amp; Mechanisms'!$L$599:$N$659, 2, FALSE), FALSE) = "", "", VLOOKUP($A9, INDIRECT("'" &amp; 'Personalized Bill Menu'!$B$23 &amp; "'!" &amp;"$A$4:$CA$100"), VLOOKUP(VLOOKUP("RIDER RATE 4",'Misc. Data &amp; Mechanisms'!$P$601:$S$632,HLOOKUP('Personalized Bill Menu'!$B$23, 'Misc. Data &amp; Mechanisms'!$P$599:$S$600, 2, FALSE), FALSE), 'Misc. Data &amp; Mechanisms'!$L$599:$N$659, 2, FALSE), FALSE)), ""))</f>
        <v>9.0999999999999998E-2</v>
      </c>
      <c r="AB9" s="69">
        <f ca="1">IF($A9="", "",IFERROR(IF(VLOOKUP($A9, INDIRECT("'" &amp; 'Personalized Bill Menu'!$B$23 &amp; "'!" &amp;"$A$4:$CA$100"), VLOOKUP(VLOOKUP("RIDER RATE 5",'Misc. Data &amp; Mechanisms'!$P$601:$S$632,HLOOKUP('Personalized Bill Menu'!$B$23, 'Misc. Data &amp; Mechanisms'!$P$599:$S$600, 2, FALSE), FALSE), 'Misc. Data &amp; Mechanisms'!$L$599:$N$659, 2, FALSE), FALSE) = "", "", VLOOKUP($A9, INDIRECT("'" &amp; 'Personalized Bill Menu'!$B$23 &amp; "'!" &amp;"$A$4:$CA$100"), VLOOKUP(VLOOKUP("RIDER RATE 5",'Misc. Data &amp; Mechanisms'!$P$601:$S$632,HLOOKUP('Personalized Bill Menu'!$B$23, 'Misc. Data &amp; Mechanisms'!$P$599:$S$600, 2, FALSE), FALSE), 'Misc. Data &amp; Mechanisms'!$L$599:$N$659, 2, FALSE), FALSE)), ""))</f>
        <v>0.28499999999999998</v>
      </c>
      <c r="AC9" s="69">
        <f ca="1">IF($A9="", "",IFERROR(IF(VLOOKUP($A9, INDIRECT("'" &amp; 'Personalized Bill Menu'!$B$23 &amp; "'!" &amp;"$A$4:$CA$100"), VLOOKUP(VLOOKUP("RIDER RATE 6",'Misc. Data &amp; Mechanisms'!$P$601:$S$632,HLOOKUP('Personalized Bill Menu'!$B$23, 'Misc. Data &amp; Mechanisms'!$P$599:$S$600, 2, FALSE), FALSE), 'Misc. Data &amp; Mechanisms'!$L$599:$N$659, 2, FALSE), FALSE) = "", "", VLOOKUP($A9, INDIRECT("'" &amp; 'Personalized Bill Menu'!$B$23 &amp; "'!" &amp;"$A$4:$CA$100"), VLOOKUP(VLOOKUP("RIDER RATE 6",'Misc. Data &amp; Mechanisms'!$P$601:$S$632,HLOOKUP('Personalized Bill Menu'!$B$23, 'Misc. Data &amp; Mechanisms'!$P$599:$S$600, 2, FALSE), FALSE), 'Misc. Data &amp; Mechanisms'!$L$599:$N$659, 2, FALSE), FALSE)), ""))</f>
        <v>-0.14499999999999999</v>
      </c>
      <c r="AD9" s="69" t="str">
        <f ca="1">IF($A9="", "",IFERROR(IF(VLOOKUP($A9, INDIRECT("'" &amp; 'Personalized Bill Menu'!$B$23 &amp; "'!" &amp;"$A$4:$CA$100"), VLOOKUP(VLOOKUP("RIDER RATE 7",'Misc. Data &amp; Mechanisms'!$P$601:$S$632,HLOOKUP('Personalized Bill Menu'!$B$23, 'Misc. Data &amp; Mechanisms'!$P$599:$S$600, 2, FALSE), FALSE), 'Misc. Data &amp; Mechanisms'!$L$599:$N$659, 2, FALSE), FALSE) = "", "", VLOOKUP($A9, INDIRECT("'" &amp; 'Personalized Bill Menu'!$B$23 &amp; "'!" &amp;"$A$4:$CA$100"), VLOOKUP(VLOOKUP("RIDER RATE 7",'Misc. Data &amp; Mechanisms'!$P$601:$S$632,HLOOKUP('Personalized Bill Menu'!$B$23, 'Misc. Data &amp; Mechanisms'!$P$599:$S$600, 2, FALSE), FALSE), 'Misc. Data &amp; Mechanisms'!$L$599:$N$659, 2, FALSE), FALSE)), ""))</f>
        <v/>
      </c>
      <c r="AE9" s="69" t="str">
        <f ca="1">IF($A9="", "",IFERROR(IF(VLOOKUP($A9, INDIRECT("'" &amp; 'Personalized Bill Menu'!$B$23 &amp; "'!" &amp;"$A$4:$CA$100"), VLOOKUP(VLOOKUP("RIDER RATE 8",'Misc. Data &amp; Mechanisms'!$P$601:$S$632,HLOOKUP('Personalized Bill Menu'!$B$23, 'Misc. Data &amp; Mechanisms'!$P$599:$S$600, 2, FALSE), FALSE), 'Misc. Data &amp; Mechanisms'!$L$599:$N$659, 2, FALSE), FALSE) = "", "", VLOOKUP($A9, INDIRECT("'" &amp; 'Personalized Bill Menu'!$B$23 &amp; "'!" &amp;"$A$4:$CA$100"), VLOOKUP(VLOOKUP("RIDER RATE 8",'Misc. Data &amp; Mechanisms'!$P$601:$S$632,HLOOKUP('Personalized Bill Menu'!$B$23, 'Misc. Data &amp; Mechanisms'!$P$599:$S$600, 2, FALSE), FALSE), 'Misc. Data &amp; Mechanisms'!$L$599:$N$659, 2, FALSE), FALSE)), ""))</f>
        <v/>
      </c>
      <c r="AF9" s="69" t="str">
        <f ca="1">IF($A9="", "",IFERROR(IF(VLOOKUP($A9, INDIRECT("'" &amp; 'Personalized Bill Menu'!$B$23 &amp; "'!" &amp;"$A$4:$CA$100"), VLOOKUP(VLOOKUP("RIDER RATE 9",'Misc. Data &amp; Mechanisms'!$P$601:$S$632,HLOOKUP('Personalized Bill Menu'!$B$23, 'Misc. Data &amp; Mechanisms'!$P$599:$S$600, 2, FALSE), FALSE), 'Misc. Data &amp; Mechanisms'!$L$599:$N$659, 2, FALSE), FALSE) = "", "", VLOOKUP($A9, INDIRECT("'" &amp; 'Personalized Bill Menu'!$B$23 &amp; "'!" &amp;"$A$4:$CA$100"), VLOOKUP(VLOOKUP("RIDER RATE 9",'Misc. Data &amp; Mechanisms'!$P$601:$S$632,HLOOKUP('Personalized Bill Menu'!$B$23, 'Misc. Data &amp; Mechanisms'!$P$599:$S$600, 2, FALSE), FALSE), 'Misc. Data &amp; Mechanisms'!$L$599:$N$659, 2, FALSE), FALSE)), ""))</f>
        <v/>
      </c>
      <c r="AG9" s="72">
        <f ca="1">IF($A9="", "", IFERROR(IF('Personalized Bill Menu'!$B$23="ATCO-N", ($X9*$B9) +($Y9*$C9), IF('Personalized Bill Menu'!$B$23="ATCO-S",$X9*$C9, IF($Y9="", ($X9*$H9), ($Y9*($H9+$K9))))), 0))</f>
        <v>0</v>
      </c>
      <c r="AH9" s="72">
        <f ca="1">IF($A9="", "", IFERROR(IF('Personalized Bill Menu'!$B$23="ATCO-S", $Y9*$C9, $Z9*$C9), 0))</f>
        <v>0</v>
      </c>
      <c r="AI9" s="72">
        <f ca="1">IF($A9="", "", IFERROR(IF('Personalized Bill Menu'!$B$23="ATCO-S", ($AA9*$C9)+($Z9*$B9), $AA9*$C9), 0))</f>
        <v>4.0832819794114288</v>
      </c>
      <c r="AJ9" s="72">
        <f ca="1">IF($A9="", "", IFERROR(IF('Personalized Bill Menu'!$B$23&lt;&gt;"AltaGas",$AB9*$C9,""),0))</f>
        <v>3.5649490563984307</v>
      </c>
      <c r="AK9" s="72">
        <f ca="1">IF($A9="", "", IFERROR(IF('Personalized Bill Menu'!$B$23="ATCO-S",$AC9*$C9,IF('Personalized Bill Menu'!$B$23="ATCO-N",$AC9*1,"")),0))</f>
        <v>-1.8137460111500787</v>
      </c>
      <c r="AL9" s="72">
        <f ca="1">IF($A9="", "", IFERROR(IF('Personalized Bill Menu'!$B$23="ATCO-N",$AD9*$B9,IF('Personalized Bill Menu'!$B$23="ATCO-S",$AD9*1,"")),0))</f>
        <v>0</v>
      </c>
      <c r="AM9" s="72">
        <f ca="1">IF($A9="", "", IFERROR(IF('Personalized Bill Menu'!$B$23="ATCO-S",$AE9*$B9,IF('Personalized Bill Menu'!$B$23="ATCO-N",$AE9*$B9,"")),0))</f>
        <v>0</v>
      </c>
      <c r="AN9" s="70">
        <f ca="1">IF($A9="", "", IFERROR(IF('Personalized Bill Menu'!$B$23="ATCO-S",$AF9*$B9,""),0))</f>
        <v>0</v>
      </c>
      <c r="AO9" s="69">
        <f>IF('Personalized Bill Menu'!$B$34="Natural Gas", 'Personalized Bill Menu'!$K6, IF('Personalized Bill Menu'!$B$34="Both",'Personalized Bill Menu'!$O6,""))</f>
        <v>0.223</v>
      </c>
      <c r="AP9" s="72">
        <f t="shared" si="13"/>
        <v>6.9130000000000003</v>
      </c>
      <c r="AQ9" s="89" t="str">
        <f ca="1">IF($A9="", "",IF(VLOOKUP($A9, INDIRECT("'" &amp; 'Personalized Bill Menu'!$B$23 &amp; "'!" &amp;"$A$4:$CA$100"), VLOOKUP(VLOOKUP(AQ$5,'Misc. Data &amp; Mechanisms'!$P$601:$S$632,HLOOKUP('Personalized Bill Menu'!$B$23, 'Misc. Data &amp; Mechanisms'!$P$599:$S$600, 2, FALSE), FALSE), 'Misc. Data &amp; Mechanisms'!$L$599:$N$659, 2, FALSE), FALSE) = "", "", VLOOKUP($A9, INDIRECT("'" &amp; 'Personalized Bill Menu'!$B$23 &amp; "'!" &amp;"$A$4:$CA$100"), VLOOKUP(VLOOKUP(AQ$5,'Misc. Data &amp; Mechanisms'!$P$601:$S$632,HLOOKUP('Personalized Bill Menu'!$B$23, 'Misc. Data &amp; Mechanisms'!$P$599:$S$600, 2, FALSE), FALSE), 'Misc. Data &amp; Mechanisms'!$L$599:$N$659, 2, FALSE), FALSE)))</f>
        <v/>
      </c>
      <c r="AR9" s="72">
        <f t="shared" ca="1" si="14"/>
        <v>0</v>
      </c>
      <c r="AS9" s="91">
        <f ca="1">IF($A9="", "",IF(VLOOKUP($A9, INDIRECT("'" &amp; 'Personalized Bill Menu'!$B$23 &amp; "'!" &amp;"$A$4:$CA$100"), VLOOKUP(VLOOKUP(AS$5,'Misc. Data &amp; Mechanisms'!$P$601:$S$632,HLOOKUP('Personalized Bill Menu'!$B$23, 'Misc. Data &amp; Mechanisms'!$P$599:$S$600, 2, FALSE), FALSE), 'Misc. Data &amp; Mechanisms'!$L$599:$N$659, 2, FALSE), FALSE) = "", "", VLOOKUP($A9, INDIRECT("'" &amp; 'Personalized Bill Menu'!$B$23 &amp; "'!" &amp;"$A$4:$CA$100"), VLOOKUP(VLOOKUP(AS$5,'Misc. Data &amp; Mechanisms'!$P$601:$S$632,HLOOKUP('Personalized Bill Menu'!$B$23, 'Misc. Data &amp; Mechanisms'!$P$599:$S$600, 2, FALSE), FALSE), 'Misc. Data &amp; Mechanisms'!$L$599:$N$659, 2, FALSE), FALSE)))</f>
        <v>0.05</v>
      </c>
      <c r="AT9" s="116"/>
      <c r="AU9" s="116"/>
      <c r="AV9" s="116"/>
      <c r="AW9" s="116"/>
      <c r="AX9" s="116"/>
    </row>
    <row r="10" spans="1:50" s="117" customFormat="1" ht="15" x14ac:dyDescent="0.25">
      <c r="A10" s="83">
        <f>'Personalized Bill Menu'!$H7</f>
        <v>41000</v>
      </c>
      <c r="B10" s="84">
        <f t="shared" si="3"/>
        <v>30</v>
      </c>
      <c r="C10" s="85">
        <f>IF('Personalized Bill Menu'!$B$34="Natural Gas", 'Personalized Bill Menu'!$I7, IF('Personalized Bill Menu'!$B$34="Both",'Personalized Bill Menu'!$M7,""))</f>
        <v>9.733329308349191</v>
      </c>
      <c r="D10" s="66">
        <f t="shared" ca="1" si="4"/>
        <v>6.4706368654019935</v>
      </c>
      <c r="E10" s="66">
        <f ca="1">IF($C10="Not Applicable", "", IFERROR(IFERROR((1+$AS10)*IF('Personalized Bill Menu'!$B$23="ATCO-N", IF(OR('Personalized Bill Menu'!$B$21="Fort McMurray",AND('Personalized Bill Menu'!$B$21="Spruce Grove", $A10&lt;DATE(2019, 5, 1) )),(((1+IF($T10="",0,$T10))*($N10+$P10))+ (IF($U10="", 0, $U10)*$P10)+(1+IF($T10="",0,$T10)+IF($U10="", 0, $U10))*(SUM($Y10:$AB10))),($N10+((1+IF($T10="",0,$T10)+IF($U10="", 0, $U10))*$P10)+(1+IF($T10="",0,$T10)+IF($U10="", 0, $U10))*(SUM($Y10:$AB10)))), IF('Personalized Bill Menu'!$B$23="ATCO-S",IF(OR('Personalized Bill Menu'!$B$21="Calgary",AND('Personalized Bill Menu'!$B$21="Okotoks", $A10&lt;DATE(2019, 1, 1))),((1+IF($T10="",0,$T10))*($N10+$P10+SUM($X10:$Y10,$AA10:$AC10)))+(IF($U10="",0, $U10)*($P10+SUM($X10:$Y10,$AA10:$AC10))), ((1+IF($T10="",0,$T10))*($P10+SUM($Y10,$AA10:$AC10)))+(IF($U10="",0, $U10)*($P10+SUM($X10:$Y10,$AA10:$AC10)))+$N10+IF($X10="", 0, $X10)),IF(AND('Personalized Bill Menu'!$B$21="Athabasca", $A10&lt;DATE(2019, 5, 1)),((1+IF($T10="",0,$T10)+IF($U10="", 0, $U10))*($N10+((1+SUM($X10:$Y10))*$P10)+SUM($Z10:$AA10))),((1+IF($U10="", 0, $U10))*($N10+((1+SUM($X10:$Y10))*$P10)+SUM($Z10:$AA10))) + (IF($T10="",0,$T10)*(((1+SUM($X10:$Y10))*$P10)+SUM($Z10:$AA10)))))), "")+ IF($AQ10="", 0,((1+$AS10)*$AQ10)), ""))</f>
        <v>3.0053032799999997</v>
      </c>
      <c r="F10" s="118">
        <f t="shared" ca="1" si="5"/>
        <v>62.98083944570196</v>
      </c>
      <c r="G10" s="115">
        <f t="shared" si="0"/>
        <v>16.546659824193625</v>
      </c>
      <c r="H10" s="66">
        <f t="shared" ca="1" si="1"/>
        <v>26.317997403885229</v>
      </c>
      <c r="I10" s="66">
        <f t="shared" ca="1" si="2"/>
        <v>5.3286955547419659</v>
      </c>
      <c r="J10" s="66">
        <f t="shared" ca="1" si="6"/>
        <v>5.0983990702286626</v>
      </c>
      <c r="K10" s="66">
        <f t="shared" si="7"/>
        <v>6.69</v>
      </c>
      <c r="L10" s="66">
        <f t="shared" ca="1" si="8"/>
        <v>0</v>
      </c>
      <c r="M10" s="68">
        <f t="shared" ca="1" si="9"/>
        <v>2.9990875926524745</v>
      </c>
      <c r="N10" s="1290">
        <f>IF('Personalized Bill Menu'!$B$34="Natural Gas", 'Personalized Bill Menu'!$J7, IF('Personalized Bill Menu'!$B$34="Both",'Personalized Bill Menu'!$N7,""))</f>
        <v>1.7</v>
      </c>
      <c r="O10" s="70">
        <f t="shared" si="10"/>
        <v>16.546659824193625</v>
      </c>
      <c r="P10" s="89">
        <f ca="1">IF($A10="", "",IFERROR(IF(VLOOKUP($A10, INDIRECT("'" &amp; 'Personalized Bill Menu'!$B$23 &amp; "'!" &amp;"$A$4:$CA$100"), VLOOKUP(VLOOKUP(P$5,'Misc. Data &amp; Mechanisms'!$P$601:$S$632,HLOOKUP('Personalized Bill Menu'!$B$23, 'Misc. Data &amp; Mechanisms'!$P$599:$S$600, 2, FALSE), FALSE), 'Misc. Data &amp; Mechanisms'!$L$599:$N$659, 2, FALSE), FALSE) = "", "", VLOOKUP($A10, INDIRECT("'" &amp; 'Personalized Bill Menu'!$B$23 &amp; "'!" &amp;"$A$4:$CA$100"), VLOOKUP(VLOOKUP(P$5,'Misc. Data &amp; Mechanisms'!$P$601:$S$632,HLOOKUP('Personalized Bill Menu'!$B$23, 'Misc. Data &amp; Mechanisms'!$P$599:$S$600, 2, FALSE), FALSE), 'Misc. Data &amp; Mechanisms'!$L$599:$N$659, 2, FALSE), FALSE)), ""))</f>
        <v>0.64500000000000002</v>
      </c>
      <c r="Q10" s="69">
        <f ca="1">IF($A10="", "",IFERROR(IF(VLOOKUP($A10, INDIRECT("'" &amp; 'Personalized Bill Menu'!$B$23 &amp; "'!" &amp;"$A$4:$CA$100"), VLOOKUP(VLOOKUP(Q$5,'Misc. Data &amp; Mechanisms'!$P$601:$S$632,HLOOKUP('Personalized Bill Menu'!$B$23, 'Misc. Data &amp; Mechanisms'!$P$599:$S$600, 2, FALSE), FALSE), 'Misc. Data &amp; Mechanisms'!$L$599:$N$659, 2, FALSE), FALSE) = "", "", VLOOKUP($A10, INDIRECT("'" &amp; 'Personalized Bill Menu'!$B$23 &amp; "'!" &amp;"$A$4:$CA$100"), VLOOKUP(VLOOKUP(Q$5,'Misc. Data &amp; Mechanisms'!$P$601:$S$632,HLOOKUP('Personalized Bill Menu'!$B$23, 'Misc. Data &amp; Mechanisms'!$P$599:$S$600, 2, FALSE), FALSE), 'Misc. Data &amp; Mechanisms'!$L$599:$N$659, 2, FALSE), FALSE)), ""))</f>
        <v>0.66800000000000004</v>
      </c>
      <c r="R10" s="72">
        <f t="shared" ca="1" si="11"/>
        <v>6.2779974038852284</v>
      </c>
      <c r="S10" s="70">
        <f t="shared" ca="1" si="12"/>
        <v>20.040000000000003</v>
      </c>
      <c r="T10" s="78">
        <f>IFERROR(IF(VLOOKUP($A10,'Misc. Data &amp; Mechanisms'!$A$63:$DY$152,HLOOKUP('Personalized Bill Menu'!$B$21&amp;"_"&amp;'Personalized Bill Menu'!$B$23&amp;"_NG_Y_1",'Misc. Data &amp; Mechanisms'!$A$55:$DY$62,8,FALSE), FALSE)="", "", VLOOKUP($A10,'Misc. Data &amp; Mechanisms'!$A$63:$DY$152,HLOOKUP('Personalized Bill Menu'!$B$21&amp;"_"&amp;'Personalized Bill Menu'!$B$23&amp;"_NG_Y_1",'Misc. Data &amp; Mechanisms'!$A$55:$DY$62,8,FALSE), FALSE)), "")</f>
        <v>0.1111</v>
      </c>
      <c r="U10" s="78" t="str">
        <f>IFERROR(IF(VLOOKUP($A10,'Misc. Data &amp; Mechanisms'!$A$63:$DY$152,HLOOKUP('Personalized Bill Menu'!$B$21&amp;"_"&amp;'Personalized Bill Menu'!$B$23&amp;"_NG_Y_2",'Misc. Data &amp; Mechanisms'!$A$55:$DY$62,8,FALSE), FALSE)="", "",VLOOKUP($A10,'Misc. Data &amp; Mechanisms'!$A$63:$DY$152,HLOOKUP('Personalized Bill Menu'!$B$21&amp;"_"&amp;'Personalized Bill Menu'!$B$23&amp;"_NG_Y_2",'Misc. Data &amp; Mechanisms'!$A$55:$DY$62,8,FALSE), FALSE)), "")</f>
        <v/>
      </c>
      <c r="V10" s="72">
        <f ca="1">IF($A10="", "", IFERROR(IF('Personalized Bill Menu'!$B$23="ATCO-N", IF(OR('Personalized Bill Menu'!$B$21="Fort McMurray",AND('Personalized Bill Menu'!$B$21="Spruce Grove", $A10&lt;DATE(2019, 5, 1))),$T10*($G10+$H10+$J10),$T10*($H10+$J10)), IF('Personalized Bill Menu'!$B$23="ATCO-S",IF(OR('Personalized Bill Menu'!$B$21="Calgary",AND('Personalized Bill Menu'!$B$21="Okotoks", $A10&lt;DATE(2019, 1, 1))),$T10*($G10+$H10+$J10), $T10*($H10+$J10-$AG10)),IF(AND('Personalized Bill Menu'!$B$21="Athabasca", $A10&lt;DATE(2019, 5, 1)),$T10*($G10+$H10+$J10+$K10),$T10*($H10+$J10+$K10)))),0))</f>
        <v>5.3286955547419659</v>
      </c>
      <c r="W10" s="72">
        <f ca="1">IF($A10="", "", IFERROR(IF('Personalized Bill Menu'!$B$23="ATCO-N", $U10*($H10+$J10), IF('Personalized Bill Menu'!$B$23="ATCO-S",$U10*($H10+$J10),$U10*($G10+$H10+$J10+$K10))),0))</f>
        <v>0</v>
      </c>
      <c r="X10" s="89" t="str">
        <f ca="1">IF($A10="", "",IFERROR(IF(VLOOKUP($A10, INDIRECT("'" &amp; 'Personalized Bill Menu'!$B$23 &amp; "'!" &amp;"$A$4:$CA$100"), VLOOKUP(VLOOKUP("RIDER RATE 1",'Misc. Data &amp; Mechanisms'!$P$601:$S$632,HLOOKUP('Personalized Bill Menu'!$B$23, 'Misc. Data &amp; Mechanisms'!$P$599:$S$600, 2, FALSE), FALSE), 'Misc. Data &amp; Mechanisms'!$L$599:$N$659, 2, FALSE), FALSE) = "", "", VLOOKUP($A10, INDIRECT("'" &amp; 'Personalized Bill Menu'!$B$23 &amp; "'!" &amp;"$A$4:$CA$100"), VLOOKUP(VLOOKUP("RIDER RATE 1",'Misc. Data &amp; Mechanisms'!$P$601:$S$632,HLOOKUP('Personalized Bill Menu'!$B$23, 'Misc. Data &amp; Mechanisms'!$P$599:$S$600, 2, FALSE), FALSE), 'Misc. Data &amp; Mechanisms'!$L$599:$N$659, 2, FALSE), FALSE)), ""))</f>
        <v/>
      </c>
      <c r="Y10" s="69" t="str">
        <f ca="1">IF($A10="", "",IFERROR(IF(VLOOKUP($A10, INDIRECT("'" &amp; 'Personalized Bill Menu'!$B$23 &amp; "'!" &amp;"$A$4:$CA$100"), VLOOKUP(VLOOKUP("RIDER RATE 2",'Misc. Data &amp; Mechanisms'!$P$601:$S$632,HLOOKUP('Personalized Bill Menu'!$B$23, 'Misc. Data &amp; Mechanisms'!$P$599:$S$600, 2, FALSE), FALSE), 'Misc. Data &amp; Mechanisms'!$L$599:$N$659, 2, FALSE), FALSE) = "", "", VLOOKUP($A10, INDIRECT("'" &amp; 'Personalized Bill Menu'!$B$23 &amp; "'!" &amp;"$A$4:$CA$100"), VLOOKUP(VLOOKUP("RIDER RATE 2",'Misc. Data &amp; Mechanisms'!$P$601:$S$632,HLOOKUP('Personalized Bill Menu'!$B$23, 'Misc. Data &amp; Mechanisms'!$P$599:$S$600, 2, FALSE), FALSE), 'Misc. Data &amp; Mechanisms'!$L$599:$N$659, 2, FALSE), FALSE)), ""))</f>
        <v/>
      </c>
      <c r="Z10" s="69">
        <f ca="1">IF($A10="", "",IFERROR(IF(VLOOKUP($A10, INDIRECT("'" &amp; 'Personalized Bill Menu'!$B$23 &amp; "'!" &amp;"$A$4:$CA$100"), VLOOKUP(VLOOKUP("RIDER RATE 3",'Misc. Data &amp; Mechanisms'!$P$601:$S$632,HLOOKUP('Personalized Bill Menu'!$B$23, 'Misc. Data &amp; Mechanisms'!$P$599:$S$600, 2, FALSE), FALSE), 'Misc. Data &amp; Mechanisms'!$L$599:$N$659, 2, FALSE), FALSE) = "", "", VLOOKUP($A10, INDIRECT("'" &amp; 'Personalized Bill Menu'!$B$23 &amp; "'!" &amp;"$A$4:$CA$100"), VLOOKUP(VLOOKUP("RIDER RATE 3",'Misc. Data &amp; Mechanisms'!$P$601:$S$632,HLOOKUP('Personalized Bill Menu'!$B$23, 'Misc. Data &amp; Mechanisms'!$P$599:$S$600, 2, FALSE), FALSE), 'Misc. Data &amp; Mechanisms'!$L$599:$N$659, 2, FALSE), FALSE)), ""))</f>
        <v>9.5000000000000001E-2</v>
      </c>
      <c r="AA10" s="69">
        <f ca="1">IF($A10="", "",IFERROR(IF(VLOOKUP($A10, INDIRECT("'" &amp; 'Personalized Bill Menu'!$B$23 &amp; "'!" &amp;"$A$4:$CA$100"), VLOOKUP(VLOOKUP("RIDER RATE 4",'Misc. Data &amp; Mechanisms'!$P$601:$S$632,HLOOKUP('Personalized Bill Menu'!$B$23, 'Misc. Data &amp; Mechanisms'!$P$599:$S$600, 2, FALSE), FALSE), 'Misc. Data &amp; Mechanisms'!$L$599:$N$659, 2, FALSE), FALSE) = "", "", VLOOKUP($A10, INDIRECT("'" &amp; 'Personalized Bill Menu'!$B$23 &amp; "'!" &amp;"$A$4:$CA$100"), VLOOKUP(VLOOKUP("RIDER RATE 4",'Misc. Data &amp; Mechanisms'!$P$601:$S$632,HLOOKUP('Personalized Bill Menu'!$B$23, 'Misc. Data &amp; Mechanisms'!$P$599:$S$600, 2, FALSE), FALSE), 'Misc. Data &amp; Mechanisms'!$L$599:$N$659, 2, FALSE), FALSE)), ""))</f>
        <v>9.0999999999999998E-2</v>
      </c>
      <c r="AB10" s="69">
        <f ca="1">IF($A10="", "",IFERROR(IF(VLOOKUP($A10, INDIRECT("'" &amp; 'Personalized Bill Menu'!$B$23 &amp; "'!" &amp;"$A$4:$CA$100"), VLOOKUP(VLOOKUP("RIDER RATE 5",'Misc. Data &amp; Mechanisms'!$P$601:$S$632,HLOOKUP('Personalized Bill Menu'!$B$23, 'Misc. Data &amp; Mechanisms'!$P$599:$S$600, 2, FALSE), FALSE), 'Misc. Data &amp; Mechanisms'!$L$599:$N$659, 2, FALSE), FALSE) = "", "", VLOOKUP($A10, INDIRECT("'" &amp; 'Personalized Bill Menu'!$B$23 &amp; "'!" &amp;"$A$4:$CA$100"), VLOOKUP(VLOOKUP("RIDER RATE 5",'Misc. Data &amp; Mechanisms'!$P$601:$S$632,HLOOKUP('Personalized Bill Menu'!$B$23, 'Misc. Data &amp; Mechanisms'!$P$599:$S$600, 2, FALSE), FALSE), 'Misc. Data &amp; Mechanisms'!$L$599:$N$659, 2, FALSE), FALSE)), ""))</f>
        <v>0.28499999999999998</v>
      </c>
      <c r="AC10" s="69">
        <f ca="1">IF($A10="", "",IFERROR(IF(VLOOKUP($A10, INDIRECT("'" &amp; 'Personalized Bill Menu'!$B$23 &amp; "'!" &amp;"$A$4:$CA$100"), VLOOKUP(VLOOKUP("RIDER RATE 6",'Misc. Data &amp; Mechanisms'!$P$601:$S$632,HLOOKUP('Personalized Bill Menu'!$B$23, 'Misc. Data &amp; Mechanisms'!$P$599:$S$600, 2, FALSE), FALSE), 'Misc. Data &amp; Mechanisms'!$L$599:$N$659, 2, FALSE), FALSE) = "", "", VLOOKUP($A10, INDIRECT("'" &amp; 'Personalized Bill Menu'!$B$23 &amp; "'!" &amp;"$A$4:$CA$100"), VLOOKUP(VLOOKUP("RIDER RATE 6",'Misc. Data &amp; Mechanisms'!$P$601:$S$632,HLOOKUP('Personalized Bill Menu'!$B$23, 'Misc. Data &amp; Mechanisms'!$P$599:$S$600, 2, FALSE), FALSE), 'Misc. Data &amp; Mechanisms'!$L$599:$N$659, 2, FALSE), FALSE)), ""))</f>
        <v>-0.14499999999999999</v>
      </c>
      <c r="AD10" s="69" t="str">
        <f ca="1">IF($A10="", "",IFERROR(IF(VLOOKUP($A10, INDIRECT("'" &amp; 'Personalized Bill Menu'!$B$23 &amp; "'!" &amp;"$A$4:$CA$100"), VLOOKUP(VLOOKUP("RIDER RATE 7",'Misc. Data &amp; Mechanisms'!$P$601:$S$632,HLOOKUP('Personalized Bill Menu'!$B$23, 'Misc. Data &amp; Mechanisms'!$P$599:$S$600, 2, FALSE), FALSE), 'Misc. Data &amp; Mechanisms'!$L$599:$N$659, 2, FALSE), FALSE) = "", "", VLOOKUP($A10, INDIRECT("'" &amp; 'Personalized Bill Menu'!$B$23 &amp; "'!" &amp;"$A$4:$CA$100"), VLOOKUP(VLOOKUP("RIDER RATE 7",'Misc. Data &amp; Mechanisms'!$P$601:$S$632,HLOOKUP('Personalized Bill Menu'!$B$23, 'Misc. Data &amp; Mechanisms'!$P$599:$S$600, 2, FALSE), FALSE), 'Misc. Data &amp; Mechanisms'!$L$599:$N$659, 2, FALSE), FALSE)), ""))</f>
        <v/>
      </c>
      <c r="AE10" s="69" t="str">
        <f ca="1">IF($A10="", "",IFERROR(IF(VLOOKUP($A10, INDIRECT("'" &amp; 'Personalized Bill Menu'!$B$23 &amp; "'!" &amp;"$A$4:$CA$100"), VLOOKUP(VLOOKUP("RIDER RATE 8",'Misc. Data &amp; Mechanisms'!$P$601:$S$632,HLOOKUP('Personalized Bill Menu'!$B$23, 'Misc. Data &amp; Mechanisms'!$P$599:$S$600, 2, FALSE), FALSE), 'Misc. Data &amp; Mechanisms'!$L$599:$N$659, 2, FALSE), FALSE) = "", "", VLOOKUP($A10, INDIRECT("'" &amp; 'Personalized Bill Menu'!$B$23 &amp; "'!" &amp;"$A$4:$CA$100"), VLOOKUP(VLOOKUP("RIDER RATE 8",'Misc. Data &amp; Mechanisms'!$P$601:$S$632,HLOOKUP('Personalized Bill Menu'!$B$23, 'Misc. Data &amp; Mechanisms'!$P$599:$S$600, 2, FALSE), FALSE), 'Misc. Data &amp; Mechanisms'!$L$599:$N$659, 2, FALSE), FALSE)), ""))</f>
        <v/>
      </c>
      <c r="AF10" s="69" t="str">
        <f ca="1">IF($A10="", "",IFERROR(IF(VLOOKUP($A10, INDIRECT("'" &amp; 'Personalized Bill Menu'!$B$23 &amp; "'!" &amp;"$A$4:$CA$100"), VLOOKUP(VLOOKUP("RIDER RATE 9",'Misc. Data &amp; Mechanisms'!$P$601:$S$632,HLOOKUP('Personalized Bill Menu'!$B$23, 'Misc. Data &amp; Mechanisms'!$P$599:$S$600, 2, FALSE), FALSE), 'Misc. Data &amp; Mechanisms'!$L$599:$N$659, 2, FALSE), FALSE) = "", "", VLOOKUP($A10, INDIRECT("'" &amp; 'Personalized Bill Menu'!$B$23 &amp; "'!" &amp;"$A$4:$CA$100"), VLOOKUP(VLOOKUP("RIDER RATE 9",'Misc. Data &amp; Mechanisms'!$P$601:$S$632,HLOOKUP('Personalized Bill Menu'!$B$23, 'Misc. Data &amp; Mechanisms'!$P$599:$S$600, 2, FALSE), FALSE), 'Misc. Data &amp; Mechanisms'!$L$599:$N$659, 2, FALSE), FALSE)), ""))</f>
        <v/>
      </c>
      <c r="AG10" s="72">
        <f ca="1">IF($A10="", "", IFERROR(IF('Personalized Bill Menu'!$B$23="ATCO-N", ($X10*$B10) +($Y10*$C10), IF('Personalized Bill Menu'!$B$23="ATCO-S",$X10*$C10, IF($Y10="", ($X10*$H10), ($Y10*($H10+$K10))))), 0))</f>
        <v>0</v>
      </c>
      <c r="AH10" s="72">
        <f ca="1">IF($A10="", "", IFERROR(IF('Personalized Bill Menu'!$B$23="ATCO-S", $Y10*$C10, $Z10*$C10), 0))</f>
        <v>0</v>
      </c>
      <c r="AI10" s="72">
        <f ca="1">IF($A10="", "", IFERROR(IF('Personalized Bill Menu'!$B$23="ATCO-S", ($AA10*$C10)+($Z10*$B10), $AA10*$C10), 0))</f>
        <v>3.7357329670597763</v>
      </c>
      <c r="AJ10" s="72">
        <f ca="1">IF($A10="", "", IFERROR(IF('Personalized Bill Menu'!$B$23&lt;&gt;"AltaGas",$AB10*$C10,""),0))</f>
        <v>2.7739988528795192</v>
      </c>
      <c r="AK10" s="72">
        <f ca="1">IF($A10="", "", IFERROR(IF('Personalized Bill Menu'!$B$23="ATCO-S",$AC10*$C10,IF('Personalized Bill Menu'!$B$23="ATCO-N",$AC10*1,"")),0))</f>
        <v>-1.4113327497106325</v>
      </c>
      <c r="AL10" s="72">
        <f ca="1">IF($A10="", "", IFERROR(IF('Personalized Bill Menu'!$B$23="ATCO-N",$AD10*$B10,IF('Personalized Bill Menu'!$B$23="ATCO-S",$AD10*1,"")),0))</f>
        <v>0</v>
      </c>
      <c r="AM10" s="72">
        <f ca="1">IF($A10="", "", IFERROR(IF('Personalized Bill Menu'!$B$23="ATCO-S",$AE10*$B10,IF('Personalized Bill Menu'!$B$23="ATCO-N",$AE10*$B10,"")),0))</f>
        <v>0</v>
      </c>
      <c r="AN10" s="70">
        <f ca="1">IF($A10="", "", IFERROR(IF('Personalized Bill Menu'!$B$23="ATCO-S",$AF10*$B10,""),0))</f>
        <v>0</v>
      </c>
      <c r="AO10" s="69">
        <f>IF('Personalized Bill Menu'!$B$34="Natural Gas", 'Personalized Bill Menu'!$K7, IF('Personalized Bill Menu'!$B$34="Both",'Personalized Bill Menu'!$O7,""))</f>
        <v>0.223</v>
      </c>
      <c r="AP10" s="72">
        <f t="shared" si="13"/>
        <v>6.69</v>
      </c>
      <c r="AQ10" s="89" t="str">
        <f ca="1">IF($A10="", "",IF(VLOOKUP($A10, INDIRECT("'" &amp; 'Personalized Bill Menu'!$B$23 &amp; "'!" &amp;"$A$4:$CA$100"), VLOOKUP(VLOOKUP(AQ$5,'Misc. Data &amp; Mechanisms'!$P$601:$S$632,HLOOKUP('Personalized Bill Menu'!$B$23, 'Misc. Data &amp; Mechanisms'!$P$599:$S$600, 2, FALSE), FALSE), 'Misc. Data &amp; Mechanisms'!$L$599:$N$659, 2, FALSE), FALSE) = "", "", VLOOKUP($A10, INDIRECT("'" &amp; 'Personalized Bill Menu'!$B$23 &amp; "'!" &amp;"$A$4:$CA$100"), VLOOKUP(VLOOKUP(AQ$5,'Misc. Data &amp; Mechanisms'!$P$601:$S$632,HLOOKUP('Personalized Bill Menu'!$B$23, 'Misc. Data &amp; Mechanisms'!$P$599:$S$600, 2, FALSE), FALSE), 'Misc. Data &amp; Mechanisms'!$L$599:$N$659, 2, FALSE), FALSE)))</f>
        <v/>
      </c>
      <c r="AR10" s="72">
        <f t="shared" ca="1" si="14"/>
        <v>0</v>
      </c>
      <c r="AS10" s="91">
        <f ca="1">IF($A10="", "",IF(VLOOKUP($A10, INDIRECT("'" &amp; 'Personalized Bill Menu'!$B$23 &amp; "'!" &amp;"$A$4:$CA$100"), VLOOKUP(VLOOKUP(AS$5,'Misc. Data &amp; Mechanisms'!$P$601:$S$632,HLOOKUP('Personalized Bill Menu'!$B$23, 'Misc. Data &amp; Mechanisms'!$P$599:$S$600, 2, FALSE), FALSE), 'Misc. Data &amp; Mechanisms'!$L$599:$N$659, 2, FALSE), FALSE) = "", "", VLOOKUP($A10, INDIRECT("'" &amp; 'Personalized Bill Menu'!$B$23 &amp; "'!" &amp;"$A$4:$CA$100"), VLOOKUP(VLOOKUP(AS$5,'Misc. Data &amp; Mechanisms'!$P$601:$S$632,HLOOKUP('Personalized Bill Menu'!$B$23, 'Misc. Data &amp; Mechanisms'!$P$599:$S$600, 2, FALSE), FALSE), 'Misc. Data &amp; Mechanisms'!$L$599:$N$659, 2, FALSE), FALSE)))</f>
        <v>0.05</v>
      </c>
      <c r="AT10" s="116"/>
      <c r="AU10" s="116"/>
      <c r="AV10" s="116"/>
      <c r="AW10" s="116"/>
      <c r="AX10" s="116"/>
    </row>
    <row r="11" spans="1:50" s="117" customFormat="1" ht="15" x14ac:dyDescent="0.25">
      <c r="A11" s="83">
        <f>'Personalized Bill Menu'!$H8</f>
        <v>41030</v>
      </c>
      <c r="B11" s="84">
        <f t="shared" si="3"/>
        <v>31</v>
      </c>
      <c r="C11" s="85">
        <f>IF('Personalized Bill Menu'!$B$34="Natural Gas", 'Personalized Bill Menu'!$I8, IF('Personalized Bill Menu'!$B$34="Both",'Personalized Bill Menu'!$M8,""))</f>
        <v>6.8593521950446235</v>
      </c>
      <c r="D11" s="66">
        <f t="shared" ca="1" si="4"/>
        <v>6.844990961056916</v>
      </c>
      <c r="E11" s="66">
        <f ca="1">IF($C11="Not Applicable", "", IFERROR(IFERROR((1+$AS11)*IF('Personalized Bill Menu'!$B$23="ATCO-N", IF(OR('Personalized Bill Menu'!$B$21="Fort McMurray",AND('Personalized Bill Menu'!$B$21="Spruce Grove", $A11&lt;DATE(2019, 5, 1) )),(((1+IF($T11="",0,$T11))*($N11+$P11))+ (IF($U11="", 0, $U11)*$P11)+(1+IF($T11="",0,$T11)+IF($U11="", 0, $U11))*(SUM($Y11:$AB11))),($N11+((1+IF($T11="",0,$T11)+IF($U11="", 0, $U11))*$P11)+(1+IF($T11="",0,$T11)+IF($U11="", 0, $U11))*(SUM($Y11:$AB11)))), IF('Personalized Bill Menu'!$B$23="ATCO-S",IF(OR('Personalized Bill Menu'!$B$21="Calgary",AND('Personalized Bill Menu'!$B$21="Okotoks", $A11&lt;DATE(2019, 1, 1))),((1+IF($T11="",0,$T11))*($N11+$P11+SUM($X11:$Y11,$AA11:$AC11)))+(IF($U11="",0, $U11)*($P11+SUM($X11:$Y11,$AA11:$AC11))), ((1+IF($T11="",0,$T11))*($P11+SUM($Y11,$AA11:$AC11)))+(IF($U11="",0, $U11)*($P11+SUM($X11:$Y11,$AA11:$AC11)))+$N11+IF($X11="", 0, $X11)),IF(AND('Personalized Bill Menu'!$B$21="Athabasca", $A11&lt;DATE(2019, 5, 1)),((1+IF($T11="",0,$T11)+IF($U11="", 0, $U11))*($N11+((1+SUM($X11:$Y11))*$P11)+SUM($Z11:$AA11))),((1+IF($U11="", 0, $U11))*($N11+((1+SUM($X11:$Y11))*$P11)+SUM($Z11:$AA11))) + (IF($T11="",0,$T11)*(((1+SUM($X11:$Y11))*$P11)+SUM($Z11:$AA11)))))), "")+ IF($AQ11="", 0,((1+$AS11)*$AQ11)), ""))</f>
        <v>2.6179738199999996</v>
      </c>
      <c r="F11" s="118">
        <f t="shared" ca="1" si="5"/>
        <v>46.952203773786366</v>
      </c>
      <c r="G11" s="115">
        <f t="shared" si="0"/>
        <v>9.1297977716043928</v>
      </c>
      <c r="H11" s="66">
        <f t="shared" ca="1" si="1"/>
        <v>25.132282165803783</v>
      </c>
      <c r="I11" s="66">
        <f t="shared" ca="1" si="2"/>
        <v>3.7799982207830634</v>
      </c>
      <c r="J11" s="66">
        <f t="shared" ca="1" si="6"/>
        <v>-0.23869361172804116</v>
      </c>
      <c r="K11" s="66">
        <f t="shared" si="7"/>
        <v>6.9130000000000003</v>
      </c>
      <c r="L11" s="66">
        <f t="shared" ca="1" si="8"/>
        <v>0</v>
      </c>
      <c r="M11" s="68">
        <f t="shared" ca="1" si="9"/>
        <v>2.2358192273231601</v>
      </c>
      <c r="N11" s="1290">
        <f>IF('Personalized Bill Menu'!$B$34="Natural Gas", 'Personalized Bill Menu'!$J8, IF('Personalized Bill Menu'!$B$34="Both",'Personalized Bill Menu'!$N8,""))</f>
        <v>1.331</v>
      </c>
      <c r="O11" s="70">
        <f t="shared" si="10"/>
        <v>9.1297977716043928</v>
      </c>
      <c r="P11" s="89">
        <f ca="1">IF($A11="", "",IFERROR(IF(VLOOKUP($A11, INDIRECT("'" &amp; 'Personalized Bill Menu'!$B$23 &amp; "'!" &amp;"$A$4:$CA$100"), VLOOKUP(VLOOKUP(P$5,'Misc. Data &amp; Mechanisms'!$P$601:$S$632,HLOOKUP('Personalized Bill Menu'!$B$23, 'Misc. Data &amp; Mechanisms'!$P$599:$S$600, 2, FALSE), FALSE), 'Misc. Data &amp; Mechanisms'!$L$599:$N$659, 2, FALSE), FALSE) = "", "", VLOOKUP($A11, INDIRECT("'" &amp; 'Personalized Bill Menu'!$B$23 &amp; "'!" &amp;"$A$4:$CA$100"), VLOOKUP(VLOOKUP(P$5,'Misc. Data &amp; Mechanisms'!$P$601:$S$632,HLOOKUP('Personalized Bill Menu'!$B$23, 'Misc. Data &amp; Mechanisms'!$P$599:$S$600, 2, FALSE), FALSE), 'Misc. Data &amp; Mechanisms'!$L$599:$N$659, 2, FALSE), FALSE)), ""))</f>
        <v>0.64500000000000002</v>
      </c>
      <c r="Q11" s="69">
        <f ca="1">IF($A11="", "",IFERROR(IF(VLOOKUP($A11, INDIRECT("'" &amp; 'Personalized Bill Menu'!$B$23 &amp; "'!" &amp;"$A$4:$CA$100"), VLOOKUP(VLOOKUP(Q$5,'Misc. Data &amp; Mechanisms'!$P$601:$S$632,HLOOKUP('Personalized Bill Menu'!$B$23, 'Misc. Data &amp; Mechanisms'!$P$599:$S$600, 2, FALSE), FALSE), 'Misc. Data &amp; Mechanisms'!$L$599:$N$659, 2, FALSE), FALSE) = "", "", VLOOKUP($A11, INDIRECT("'" &amp; 'Personalized Bill Menu'!$B$23 &amp; "'!" &amp;"$A$4:$CA$100"), VLOOKUP(VLOOKUP(Q$5,'Misc. Data &amp; Mechanisms'!$P$601:$S$632,HLOOKUP('Personalized Bill Menu'!$B$23, 'Misc. Data &amp; Mechanisms'!$P$599:$S$600, 2, FALSE), FALSE), 'Misc. Data &amp; Mechanisms'!$L$599:$N$659, 2, FALSE), FALSE)), ""))</f>
        <v>0.66800000000000004</v>
      </c>
      <c r="R11" s="72">
        <f t="shared" ca="1" si="11"/>
        <v>4.4242821658037821</v>
      </c>
      <c r="S11" s="70">
        <f t="shared" ca="1" si="12"/>
        <v>20.708000000000002</v>
      </c>
      <c r="T11" s="78">
        <f>IFERROR(IF(VLOOKUP($A11,'Misc. Data &amp; Mechanisms'!$A$63:$DY$152,HLOOKUP('Personalized Bill Menu'!$B$21&amp;"_"&amp;'Personalized Bill Menu'!$B$23&amp;"_NG_Y_1",'Misc. Data &amp; Mechanisms'!$A$55:$DY$62,8,FALSE), FALSE)="", "", VLOOKUP($A11,'Misc. Data &amp; Mechanisms'!$A$63:$DY$152,HLOOKUP('Personalized Bill Menu'!$B$21&amp;"_"&amp;'Personalized Bill Menu'!$B$23&amp;"_NG_Y_1",'Misc. Data &amp; Mechanisms'!$A$55:$DY$62,8,FALSE), FALSE)), "")</f>
        <v>0.1111</v>
      </c>
      <c r="U11" s="78" t="str">
        <f>IFERROR(IF(VLOOKUP($A11,'Misc. Data &amp; Mechanisms'!$A$63:$DY$152,HLOOKUP('Personalized Bill Menu'!$B$21&amp;"_"&amp;'Personalized Bill Menu'!$B$23&amp;"_NG_Y_2",'Misc. Data &amp; Mechanisms'!$A$55:$DY$62,8,FALSE), FALSE)="", "",VLOOKUP($A11,'Misc. Data &amp; Mechanisms'!$A$63:$DY$152,HLOOKUP('Personalized Bill Menu'!$B$21&amp;"_"&amp;'Personalized Bill Menu'!$B$23&amp;"_NG_Y_2",'Misc. Data &amp; Mechanisms'!$A$55:$DY$62,8,FALSE), FALSE)), "")</f>
        <v/>
      </c>
      <c r="V11" s="72">
        <f ca="1">IF($A11="", "", IFERROR(IF('Personalized Bill Menu'!$B$23="ATCO-N", IF(OR('Personalized Bill Menu'!$B$21="Fort McMurray",AND('Personalized Bill Menu'!$B$21="Spruce Grove", $A11&lt;DATE(2019, 5, 1))),$T11*($G11+$H11+$J11),$T11*($H11+$J11)), IF('Personalized Bill Menu'!$B$23="ATCO-S",IF(OR('Personalized Bill Menu'!$B$21="Calgary",AND('Personalized Bill Menu'!$B$21="Okotoks", $A11&lt;DATE(2019, 1, 1))),$T11*($G11+$H11+$J11), $T11*($H11+$J11-$AG11)),IF(AND('Personalized Bill Menu'!$B$21="Athabasca", $A11&lt;DATE(2019, 5, 1)),$T11*($G11+$H11+$J11+$K11),$T11*($H11+$J11+$K11)))),0))</f>
        <v>3.7799982207830634</v>
      </c>
      <c r="W11" s="72">
        <f ca="1">IF($A11="", "", IFERROR(IF('Personalized Bill Menu'!$B$23="ATCO-N", $U11*($H11+$J11), IF('Personalized Bill Menu'!$B$23="ATCO-S",$U11*($H11+$J11),$U11*($G11+$H11+$J11+$K11))),0))</f>
        <v>0</v>
      </c>
      <c r="X11" s="89" t="str">
        <f ca="1">IF($A11="", "",IFERROR(IF(VLOOKUP($A11, INDIRECT("'" &amp; 'Personalized Bill Menu'!$B$23 &amp; "'!" &amp;"$A$4:$CA$100"), VLOOKUP(VLOOKUP("RIDER RATE 1",'Misc. Data &amp; Mechanisms'!$P$601:$S$632,HLOOKUP('Personalized Bill Menu'!$B$23, 'Misc. Data &amp; Mechanisms'!$P$599:$S$600, 2, FALSE), FALSE), 'Misc. Data &amp; Mechanisms'!$L$599:$N$659, 2, FALSE), FALSE) = "", "", VLOOKUP($A11, INDIRECT("'" &amp; 'Personalized Bill Menu'!$B$23 &amp; "'!" &amp;"$A$4:$CA$100"), VLOOKUP(VLOOKUP("RIDER RATE 1",'Misc. Data &amp; Mechanisms'!$P$601:$S$632,HLOOKUP('Personalized Bill Menu'!$B$23, 'Misc. Data &amp; Mechanisms'!$P$599:$S$600, 2, FALSE), FALSE), 'Misc. Data &amp; Mechanisms'!$L$599:$N$659, 2, FALSE), FALSE)), ""))</f>
        <v/>
      </c>
      <c r="Y11" s="69" t="str">
        <f ca="1">IF($A11="", "",IFERROR(IF(VLOOKUP($A11, INDIRECT("'" &amp; 'Personalized Bill Menu'!$B$23 &amp; "'!" &amp;"$A$4:$CA$100"), VLOOKUP(VLOOKUP("RIDER RATE 2",'Misc. Data &amp; Mechanisms'!$P$601:$S$632,HLOOKUP('Personalized Bill Menu'!$B$23, 'Misc. Data &amp; Mechanisms'!$P$599:$S$600, 2, FALSE), FALSE), 'Misc. Data &amp; Mechanisms'!$L$599:$N$659, 2, FALSE), FALSE) = "", "", VLOOKUP($A11, INDIRECT("'" &amp; 'Personalized Bill Menu'!$B$23 &amp; "'!" &amp;"$A$4:$CA$100"), VLOOKUP(VLOOKUP("RIDER RATE 2",'Misc. Data &amp; Mechanisms'!$P$601:$S$632,HLOOKUP('Personalized Bill Menu'!$B$23, 'Misc. Data &amp; Mechanisms'!$P$599:$S$600, 2, FALSE), FALSE), 'Misc. Data &amp; Mechanisms'!$L$599:$N$659, 2, FALSE), FALSE)), ""))</f>
        <v/>
      </c>
      <c r="Z11" s="69">
        <f ca="1">IF($A11="", "",IFERROR(IF(VLOOKUP($A11, INDIRECT("'" &amp; 'Personalized Bill Menu'!$B$23 &amp; "'!" &amp;"$A$4:$CA$100"), VLOOKUP(VLOOKUP("RIDER RATE 3",'Misc. Data &amp; Mechanisms'!$P$601:$S$632,HLOOKUP('Personalized Bill Menu'!$B$23, 'Misc. Data &amp; Mechanisms'!$P$599:$S$600, 2, FALSE), FALSE), 'Misc. Data &amp; Mechanisms'!$L$599:$N$659, 2, FALSE), FALSE) = "", "", VLOOKUP($A11, INDIRECT("'" &amp; 'Personalized Bill Menu'!$B$23 &amp; "'!" &amp;"$A$4:$CA$100"), VLOOKUP(VLOOKUP("RIDER RATE 3",'Misc. Data &amp; Mechanisms'!$P$601:$S$632,HLOOKUP('Personalized Bill Menu'!$B$23, 'Misc. Data &amp; Mechanisms'!$P$599:$S$600, 2, FALSE), FALSE), 'Misc. Data &amp; Mechanisms'!$L$599:$N$659, 2, FALSE), FALSE)), ""))</f>
        <v>-6.7000000000000004E-2</v>
      </c>
      <c r="AA11" s="69">
        <f ca="1">IF($A11="", "",IFERROR(IF(VLOOKUP($A11, INDIRECT("'" &amp; 'Personalized Bill Menu'!$B$23 &amp; "'!" &amp;"$A$4:$CA$100"), VLOOKUP(VLOOKUP("RIDER RATE 4",'Misc. Data &amp; Mechanisms'!$P$601:$S$632,HLOOKUP('Personalized Bill Menu'!$B$23, 'Misc. Data &amp; Mechanisms'!$P$599:$S$600, 2, FALSE), FALSE), 'Misc. Data &amp; Mechanisms'!$L$599:$N$659, 2, FALSE), FALSE) = "", "", VLOOKUP($A11, INDIRECT("'" &amp; 'Personalized Bill Menu'!$B$23 &amp; "'!" &amp;"$A$4:$CA$100"), VLOOKUP(VLOOKUP("RIDER RATE 4",'Misc. Data &amp; Mechanisms'!$P$601:$S$632,HLOOKUP('Personalized Bill Menu'!$B$23, 'Misc. Data &amp; Mechanisms'!$P$599:$S$600, 2, FALSE), FALSE), 'Misc. Data &amp; Mechanisms'!$L$599:$N$659, 2, FALSE), FALSE)), ""))</f>
        <v>-6.4000000000000001E-2</v>
      </c>
      <c r="AB11" s="69">
        <f ca="1">IF($A11="", "",IFERROR(IF(VLOOKUP($A11, INDIRECT("'" &amp; 'Personalized Bill Menu'!$B$23 &amp; "'!" &amp;"$A$4:$CA$100"), VLOOKUP(VLOOKUP("RIDER RATE 5",'Misc. Data &amp; Mechanisms'!$P$601:$S$632,HLOOKUP('Personalized Bill Menu'!$B$23, 'Misc. Data &amp; Mechanisms'!$P$599:$S$600, 2, FALSE), FALSE), 'Misc. Data &amp; Mechanisms'!$L$599:$N$659, 2, FALSE), FALSE) = "", "", VLOOKUP($A11, INDIRECT("'" &amp; 'Personalized Bill Menu'!$B$23 &amp; "'!" &amp;"$A$4:$CA$100"), VLOOKUP(VLOOKUP("RIDER RATE 5",'Misc. Data &amp; Mechanisms'!$P$601:$S$632,HLOOKUP('Personalized Bill Menu'!$B$23, 'Misc. Data &amp; Mechanisms'!$P$599:$S$600, 2, FALSE), FALSE), 'Misc. Data &amp; Mechanisms'!$L$599:$N$659, 2, FALSE), FALSE)), ""))</f>
        <v>0.47699999999999998</v>
      </c>
      <c r="AC11" s="69">
        <f ca="1">IF($A11="", "",IFERROR(IF(VLOOKUP($A11, INDIRECT("'" &amp; 'Personalized Bill Menu'!$B$23 &amp; "'!" &amp;"$A$4:$CA$100"), VLOOKUP(VLOOKUP("RIDER RATE 6",'Misc. Data &amp; Mechanisms'!$P$601:$S$632,HLOOKUP('Personalized Bill Menu'!$B$23, 'Misc. Data &amp; Mechanisms'!$P$599:$S$600, 2, FALSE), FALSE), 'Misc. Data &amp; Mechanisms'!$L$599:$N$659, 2, FALSE), FALSE) = "", "", VLOOKUP($A11, INDIRECT("'" &amp; 'Personalized Bill Menu'!$B$23 &amp; "'!" &amp;"$A$4:$CA$100"), VLOOKUP(VLOOKUP("RIDER RATE 6",'Misc. Data &amp; Mechanisms'!$P$601:$S$632,HLOOKUP('Personalized Bill Menu'!$B$23, 'Misc. Data &amp; Mechanisms'!$P$599:$S$600, 2, FALSE), FALSE), 'Misc. Data &amp; Mechanisms'!$L$599:$N$659, 2, FALSE), FALSE)), ""))</f>
        <v>-0.14499999999999999</v>
      </c>
      <c r="AD11" s="69" t="str">
        <f ca="1">IF($A11="", "",IFERROR(IF(VLOOKUP($A11, INDIRECT("'" &amp; 'Personalized Bill Menu'!$B$23 &amp; "'!" &amp;"$A$4:$CA$100"), VLOOKUP(VLOOKUP("RIDER RATE 7",'Misc. Data &amp; Mechanisms'!$P$601:$S$632,HLOOKUP('Personalized Bill Menu'!$B$23, 'Misc. Data &amp; Mechanisms'!$P$599:$S$600, 2, FALSE), FALSE), 'Misc. Data &amp; Mechanisms'!$L$599:$N$659, 2, FALSE), FALSE) = "", "", VLOOKUP($A11, INDIRECT("'" &amp; 'Personalized Bill Menu'!$B$23 &amp; "'!" &amp;"$A$4:$CA$100"), VLOOKUP(VLOOKUP("RIDER RATE 7",'Misc. Data &amp; Mechanisms'!$P$601:$S$632,HLOOKUP('Personalized Bill Menu'!$B$23, 'Misc. Data &amp; Mechanisms'!$P$599:$S$600, 2, FALSE), FALSE), 'Misc. Data &amp; Mechanisms'!$L$599:$N$659, 2, FALSE), FALSE)), ""))</f>
        <v/>
      </c>
      <c r="AE11" s="69" t="str">
        <f ca="1">IF($A11="", "",IFERROR(IF(VLOOKUP($A11, INDIRECT("'" &amp; 'Personalized Bill Menu'!$B$23 &amp; "'!" &amp;"$A$4:$CA$100"), VLOOKUP(VLOOKUP("RIDER RATE 8",'Misc. Data &amp; Mechanisms'!$P$601:$S$632,HLOOKUP('Personalized Bill Menu'!$B$23, 'Misc. Data &amp; Mechanisms'!$P$599:$S$600, 2, FALSE), FALSE), 'Misc. Data &amp; Mechanisms'!$L$599:$N$659, 2, FALSE), FALSE) = "", "", VLOOKUP($A11, INDIRECT("'" &amp; 'Personalized Bill Menu'!$B$23 &amp; "'!" &amp;"$A$4:$CA$100"), VLOOKUP(VLOOKUP("RIDER RATE 8",'Misc. Data &amp; Mechanisms'!$P$601:$S$632,HLOOKUP('Personalized Bill Menu'!$B$23, 'Misc. Data &amp; Mechanisms'!$P$599:$S$600, 2, FALSE), FALSE), 'Misc. Data &amp; Mechanisms'!$L$599:$N$659, 2, FALSE), FALSE)), ""))</f>
        <v/>
      </c>
      <c r="AF11" s="69" t="str">
        <f ca="1">IF($A11="", "",IFERROR(IF(VLOOKUP($A11, INDIRECT("'" &amp; 'Personalized Bill Menu'!$B$23 &amp; "'!" &amp;"$A$4:$CA$100"), VLOOKUP(VLOOKUP("RIDER RATE 9",'Misc. Data &amp; Mechanisms'!$P$601:$S$632,HLOOKUP('Personalized Bill Menu'!$B$23, 'Misc. Data &amp; Mechanisms'!$P$599:$S$600, 2, FALSE), FALSE), 'Misc. Data &amp; Mechanisms'!$L$599:$N$659, 2, FALSE), FALSE) = "", "", VLOOKUP($A11, INDIRECT("'" &amp; 'Personalized Bill Menu'!$B$23 &amp; "'!" &amp;"$A$4:$CA$100"), VLOOKUP(VLOOKUP("RIDER RATE 9",'Misc. Data &amp; Mechanisms'!$P$601:$S$632,HLOOKUP('Personalized Bill Menu'!$B$23, 'Misc. Data &amp; Mechanisms'!$P$599:$S$600, 2, FALSE), FALSE), 'Misc. Data &amp; Mechanisms'!$L$599:$N$659, 2, FALSE), FALSE)), ""))</f>
        <v/>
      </c>
      <c r="AG11" s="72">
        <f ca="1">IF($A11="", "", IFERROR(IF('Personalized Bill Menu'!$B$23="ATCO-N", ($X11*$B11) +($Y11*$C11), IF('Personalized Bill Menu'!$B$23="ATCO-S",$X11*$C11, IF($Y11="", ($X11*$H11), ($Y11*($H11+$K11))))), 0))</f>
        <v>0</v>
      </c>
      <c r="AH11" s="72">
        <f ca="1">IF($A11="", "", IFERROR(IF('Personalized Bill Menu'!$B$23="ATCO-S", $Y11*$C11, $Z11*$C11), 0))</f>
        <v>0</v>
      </c>
      <c r="AI11" s="72">
        <f ca="1">IF($A11="", "", IFERROR(IF('Personalized Bill Menu'!$B$23="ATCO-S", ($AA11*$C11)+($Z11*$B11), $AA11*$C11), 0))</f>
        <v>-2.515998540482856</v>
      </c>
      <c r="AJ11" s="72">
        <f ca="1">IF($A11="", "", IFERROR(IF('Personalized Bill Menu'!$B$23&lt;&gt;"AltaGas",$AB11*$C11,""),0))</f>
        <v>3.2719109970362852</v>
      </c>
      <c r="AK11" s="72">
        <f ca="1">IF($A11="", "", IFERROR(IF('Personalized Bill Menu'!$B$23="ATCO-S",$AC11*$C11,IF('Personalized Bill Menu'!$B$23="ATCO-N",$AC11*1,"")),0))</f>
        <v>-0.99460606828147036</v>
      </c>
      <c r="AL11" s="72">
        <f ca="1">IF($A11="", "", IFERROR(IF('Personalized Bill Menu'!$B$23="ATCO-N",$AD11*$B11,IF('Personalized Bill Menu'!$B$23="ATCO-S",$AD11*1,"")),0))</f>
        <v>0</v>
      </c>
      <c r="AM11" s="72">
        <f ca="1">IF($A11="", "", IFERROR(IF('Personalized Bill Menu'!$B$23="ATCO-S",$AE11*$B11,IF('Personalized Bill Menu'!$B$23="ATCO-N",$AE11*$B11,"")),0))</f>
        <v>0</v>
      </c>
      <c r="AN11" s="70">
        <f ca="1">IF($A11="", "", IFERROR(IF('Personalized Bill Menu'!$B$23="ATCO-S",$AF11*$B11,""),0))</f>
        <v>0</v>
      </c>
      <c r="AO11" s="69">
        <f>IF('Personalized Bill Menu'!$B$34="Natural Gas", 'Personalized Bill Menu'!$K8, IF('Personalized Bill Menu'!$B$34="Both",'Personalized Bill Menu'!$O8,""))</f>
        <v>0.223</v>
      </c>
      <c r="AP11" s="72">
        <f t="shared" si="13"/>
        <v>6.9130000000000003</v>
      </c>
      <c r="AQ11" s="89" t="str">
        <f ca="1">IF($A11="", "",IF(VLOOKUP($A11, INDIRECT("'" &amp; 'Personalized Bill Menu'!$B$23 &amp; "'!" &amp;"$A$4:$CA$100"), VLOOKUP(VLOOKUP(AQ$5,'Misc. Data &amp; Mechanisms'!$P$601:$S$632,HLOOKUP('Personalized Bill Menu'!$B$23, 'Misc. Data &amp; Mechanisms'!$P$599:$S$600, 2, FALSE), FALSE), 'Misc. Data &amp; Mechanisms'!$L$599:$N$659, 2, FALSE), FALSE) = "", "", VLOOKUP($A11, INDIRECT("'" &amp; 'Personalized Bill Menu'!$B$23 &amp; "'!" &amp;"$A$4:$CA$100"), VLOOKUP(VLOOKUP(AQ$5,'Misc. Data &amp; Mechanisms'!$P$601:$S$632,HLOOKUP('Personalized Bill Menu'!$B$23, 'Misc. Data &amp; Mechanisms'!$P$599:$S$600, 2, FALSE), FALSE), 'Misc. Data &amp; Mechanisms'!$L$599:$N$659, 2, FALSE), FALSE)))</f>
        <v/>
      </c>
      <c r="AR11" s="72">
        <f t="shared" ca="1" si="14"/>
        <v>0</v>
      </c>
      <c r="AS11" s="91">
        <f ca="1">IF($A11="", "",IF(VLOOKUP($A11, INDIRECT("'" &amp; 'Personalized Bill Menu'!$B$23 &amp; "'!" &amp;"$A$4:$CA$100"), VLOOKUP(VLOOKUP(AS$5,'Misc. Data &amp; Mechanisms'!$P$601:$S$632,HLOOKUP('Personalized Bill Menu'!$B$23, 'Misc. Data &amp; Mechanisms'!$P$599:$S$600, 2, FALSE), FALSE), 'Misc. Data &amp; Mechanisms'!$L$599:$N$659, 2, FALSE), FALSE) = "", "", VLOOKUP($A11, INDIRECT("'" &amp; 'Personalized Bill Menu'!$B$23 &amp; "'!" &amp;"$A$4:$CA$100"), VLOOKUP(VLOOKUP(AS$5,'Misc. Data &amp; Mechanisms'!$P$601:$S$632,HLOOKUP('Personalized Bill Menu'!$B$23, 'Misc. Data &amp; Mechanisms'!$P$599:$S$600, 2, FALSE), FALSE), 'Misc. Data &amp; Mechanisms'!$L$599:$N$659, 2, FALSE), FALSE)))</f>
        <v>0.05</v>
      </c>
      <c r="AT11" s="116"/>
      <c r="AU11" s="116"/>
      <c r="AV11" s="116"/>
      <c r="AW11" s="116"/>
      <c r="AX11" s="116"/>
    </row>
    <row r="12" spans="1:50" s="117" customFormat="1" ht="15" x14ac:dyDescent="0.25">
      <c r="A12" s="83">
        <f>'Personalized Bill Menu'!$H9</f>
        <v>41061</v>
      </c>
      <c r="B12" s="84">
        <f t="shared" si="3"/>
        <v>30</v>
      </c>
      <c r="C12" s="85">
        <f>IF('Personalized Bill Menu'!$B$34="Natural Gas", 'Personalized Bill Menu'!$I9, IF('Personalized Bill Menu'!$B$34="Both",'Personalized Bill Menu'!$M9,""))</f>
        <v>3.7578718591467029</v>
      </c>
      <c r="D12" s="66">
        <f t="shared" ca="1" si="4"/>
        <v>11.737927162167207</v>
      </c>
      <c r="E12" s="66">
        <f ca="1">IF($C12="Not Applicable", "", IFERROR(IFERROR((1+$AS12)*IF('Personalized Bill Menu'!$B$23="ATCO-N", IF(OR('Personalized Bill Menu'!$B$21="Fort McMurray",AND('Personalized Bill Menu'!$B$21="Spruce Grove", $A12&lt;DATE(2019, 5, 1) )),(((1+IF($T12="",0,$T12))*($N12+$P12))+ (IF($U12="", 0, $U12)*$P12)+(1+IF($T12="",0,$T12)+IF($U12="", 0, $U12))*(SUM($Y12:$AB12))),($N12+((1+IF($T12="",0,$T12)+IF($U12="", 0, $U12))*$P12)+(1+IF($T12="",0,$T12)+IF($U12="", 0, $U12))*(SUM($Y12:$AB12)))), IF('Personalized Bill Menu'!$B$23="ATCO-S",IF(OR('Personalized Bill Menu'!$B$21="Calgary",AND('Personalized Bill Menu'!$B$21="Okotoks", $A12&lt;DATE(2019, 1, 1))),((1+IF($T12="",0,$T12))*($N12+$P12+SUM($X12:$Y12,$AA12:$AC12)))+(IF($U12="",0, $U12)*($P12+SUM($X12:$Y12,$AA12:$AC12))), ((1+IF($T12="",0,$T12))*($P12+SUM($Y12,$AA12:$AC12)))+(IF($U12="",0, $U12)*($P12+SUM($X12:$Y12,$AA12:$AC12)))+$N12+IF($X12="", 0, $X12)),IF(AND('Personalized Bill Menu'!$B$21="Athabasca", $A12&lt;DATE(2019, 5, 1)),((1+IF($T12="",0,$T12)+IF($U12="", 0, $U12))*($N12+((1+SUM($X12:$Y12))*$P12)+SUM($Z12:$AA12))),((1+IF($U12="", 0, $U12))*($N12+((1+SUM($X12:$Y12))*$P12)+SUM($Z12:$AA12))) + (IF($T12="",0,$T12)*(((1+SUM($X12:$Y12))*$P12)+SUM($Z12:$AA12)))))), "")+ IF($AQ12="", 0,((1+$AS12)*$AQ12)), ""))</f>
        <v>4.2711239550000011</v>
      </c>
      <c r="F12" s="118">
        <f t="shared" ca="1" si="5"/>
        <v>44.109626167421865</v>
      </c>
      <c r="G12" s="115">
        <f t="shared" si="0"/>
        <v>10.32663186893514</v>
      </c>
      <c r="H12" s="66">
        <f t="shared" ca="1" si="1"/>
        <v>22.463827349149625</v>
      </c>
      <c r="I12" s="66">
        <f t="shared" ca="1" si="2"/>
        <v>3.5315989021609382</v>
      </c>
      <c r="J12" s="66">
        <f t="shared" ca="1" si="6"/>
        <v>-1.0028903417486839</v>
      </c>
      <c r="K12" s="66">
        <f t="shared" si="7"/>
        <v>6.69</v>
      </c>
      <c r="L12" s="66">
        <f t="shared" ca="1" si="8"/>
        <v>0</v>
      </c>
      <c r="M12" s="68">
        <f t="shared" ca="1" si="9"/>
        <v>2.1004583889248507</v>
      </c>
      <c r="N12" s="1290">
        <f>IF('Personalized Bill Menu'!$B$34="Natural Gas", 'Personalized Bill Menu'!$J9, IF('Personalized Bill Menu'!$B$34="Both",'Personalized Bill Menu'!$N9,""))</f>
        <v>2.7480000000000002</v>
      </c>
      <c r="O12" s="70">
        <f t="shared" si="10"/>
        <v>10.32663186893514</v>
      </c>
      <c r="P12" s="89">
        <f ca="1">IF($A12="", "",IFERROR(IF(VLOOKUP($A12, INDIRECT("'" &amp; 'Personalized Bill Menu'!$B$23 &amp; "'!" &amp;"$A$4:$CA$100"), VLOOKUP(VLOOKUP(P$5,'Misc. Data &amp; Mechanisms'!$P$601:$S$632,HLOOKUP('Personalized Bill Menu'!$B$23, 'Misc. Data &amp; Mechanisms'!$P$599:$S$600, 2, FALSE), FALSE), 'Misc. Data &amp; Mechanisms'!$L$599:$N$659, 2, FALSE), FALSE) = "", "", VLOOKUP($A12, INDIRECT("'" &amp; 'Personalized Bill Menu'!$B$23 &amp; "'!" &amp;"$A$4:$CA$100"), VLOOKUP(VLOOKUP(P$5,'Misc. Data &amp; Mechanisms'!$P$601:$S$632,HLOOKUP('Personalized Bill Menu'!$B$23, 'Misc. Data &amp; Mechanisms'!$P$599:$S$600, 2, FALSE), FALSE), 'Misc. Data &amp; Mechanisms'!$L$599:$N$659, 2, FALSE), FALSE)), ""))</f>
        <v>0.64500000000000002</v>
      </c>
      <c r="Q12" s="69">
        <f ca="1">IF($A12="", "",IFERROR(IF(VLOOKUP($A12, INDIRECT("'" &amp; 'Personalized Bill Menu'!$B$23 &amp; "'!" &amp;"$A$4:$CA$100"), VLOOKUP(VLOOKUP(Q$5,'Misc. Data &amp; Mechanisms'!$P$601:$S$632,HLOOKUP('Personalized Bill Menu'!$B$23, 'Misc. Data &amp; Mechanisms'!$P$599:$S$600, 2, FALSE), FALSE), 'Misc. Data &amp; Mechanisms'!$L$599:$N$659, 2, FALSE), FALSE) = "", "", VLOOKUP($A12, INDIRECT("'" &amp; 'Personalized Bill Menu'!$B$23 &amp; "'!" &amp;"$A$4:$CA$100"), VLOOKUP(VLOOKUP(Q$5,'Misc. Data &amp; Mechanisms'!$P$601:$S$632,HLOOKUP('Personalized Bill Menu'!$B$23, 'Misc. Data &amp; Mechanisms'!$P$599:$S$600, 2, FALSE), FALSE), 'Misc. Data &amp; Mechanisms'!$L$599:$N$659, 2, FALSE), FALSE)), ""))</f>
        <v>0.66800000000000004</v>
      </c>
      <c r="R12" s="72">
        <f t="shared" ca="1" si="11"/>
        <v>2.4238273491496236</v>
      </c>
      <c r="S12" s="70">
        <f t="shared" ca="1" si="12"/>
        <v>20.040000000000003</v>
      </c>
      <c r="T12" s="78">
        <f>IFERROR(IF(VLOOKUP($A12,'Misc. Data &amp; Mechanisms'!$A$63:$DY$152,HLOOKUP('Personalized Bill Menu'!$B$21&amp;"_"&amp;'Personalized Bill Menu'!$B$23&amp;"_NG_Y_1",'Misc. Data &amp; Mechanisms'!$A$55:$DY$62,8,FALSE), FALSE)="", "", VLOOKUP($A12,'Misc. Data &amp; Mechanisms'!$A$63:$DY$152,HLOOKUP('Personalized Bill Menu'!$B$21&amp;"_"&amp;'Personalized Bill Menu'!$B$23&amp;"_NG_Y_1",'Misc. Data &amp; Mechanisms'!$A$55:$DY$62,8,FALSE), FALSE)), "")</f>
        <v>0.1111</v>
      </c>
      <c r="U12" s="78" t="str">
        <f>IFERROR(IF(VLOOKUP($A12,'Misc. Data &amp; Mechanisms'!$A$63:$DY$152,HLOOKUP('Personalized Bill Menu'!$B$21&amp;"_"&amp;'Personalized Bill Menu'!$B$23&amp;"_NG_Y_2",'Misc. Data &amp; Mechanisms'!$A$55:$DY$62,8,FALSE), FALSE)="", "",VLOOKUP($A12,'Misc. Data &amp; Mechanisms'!$A$63:$DY$152,HLOOKUP('Personalized Bill Menu'!$B$21&amp;"_"&amp;'Personalized Bill Menu'!$B$23&amp;"_NG_Y_2",'Misc. Data &amp; Mechanisms'!$A$55:$DY$62,8,FALSE), FALSE)), "")</f>
        <v/>
      </c>
      <c r="V12" s="72">
        <f ca="1">IF($A12="", "", IFERROR(IF('Personalized Bill Menu'!$B$23="ATCO-N", IF(OR('Personalized Bill Menu'!$B$21="Fort McMurray",AND('Personalized Bill Menu'!$B$21="Spruce Grove", $A12&lt;DATE(2019, 5, 1))),$T12*($G12+$H12+$J12),$T12*($H12+$J12)), IF('Personalized Bill Menu'!$B$23="ATCO-S",IF(OR('Personalized Bill Menu'!$B$21="Calgary",AND('Personalized Bill Menu'!$B$21="Okotoks", $A12&lt;DATE(2019, 1, 1))),$T12*($G12+$H12+$J12), $T12*($H12+$J12-$AG12)),IF(AND('Personalized Bill Menu'!$B$21="Athabasca", $A12&lt;DATE(2019, 5, 1)),$T12*($G12+$H12+$J12+$K12),$T12*($H12+$J12+$K12)))),0))</f>
        <v>3.5315989021609382</v>
      </c>
      <c r="W12" s="72">
        <f ca="1">IF($A12="", "", IFERROR(IF('Personalized Bill Menu'!$B$23="ATCO-N", $U12*($H12+$J12), IF('Personalized Bill Menu'!$B$23="ATCO-S",$U12*($H12+$J12),$U12*($G12+$H12+$J12+$K12))),0))</f>
        <v>0</v>
      </c>
      <c r="X12" s="89" t="str">
        <f ca="1">IF($A12="", "",IFERROR(IF(VLOOKUP($A12, INDIRECT("'" &amp; 'Personalized Bill Menu'!$B$23 &amp; "'!" &amp;"$A$4:$CA$100"), VLOOKUP(VLOOKUP("RIDER RATE 1",'Misc. Data &amp; Mechanisms'!$P$601:$S$632,HLOOKUP('Personalized Bill Menu'!$B$23, 'Misc. Data &amp; Mechanisms'!$P$599:$S$600, 2, FALSE), FALSE), 'Misc. Data &amp; Mechanisms'!$L$599:$N$659, 2, FALSE), FALSE) = "", "", VLOOKUP($A12, INDIRECT("'" &amp; 'Personalized Bill Menu'!$B$23 &amp; "'!" &amp;"$A$4:$CA$100"), VLOOKUP(VLOOKUP("RIDER RATE 1",'Misc. Data &amp; Mechanisms'!$P$601:$S$632,HLOOKUP('Personalized Bill Menu'!$B$23, 'Misc. Data &amp; Mechanisms'!$P$599:$S$600, 2, FALSE), FALSE), 'Misc. Data &amp; Mechanisms'!$L$599:$N$659, 2, FALSE), FALSE)), ""))</f>
        <v/>
      </c>
      <c r="Y12" s="69" t="str">
        <f ca="1">IF($A12="", "",IFERROR(IF(VLOOKUP($A12, INDIRECT("'" &amp; 'Personalized Bill Menu'!$B$23 &amp; "'!" &amp;"$A$4:$CA$100"), VLOOKUP(VLOOKUP("RIDER RATE 2",'Misc. Data &amp; Mechanisms'!$P$601:$S$632,HLOOKUP('Personalized Bill Menu'!$B$23, 'Misc. Data &amp; Mechanisms'!$P$599:$S$600, 2, FALSE), FALSE), 'Misc. Data &amp; Mechanisms'!$L$599:$N$659, 2, FALSE), FALSE) = "", "", VLOOKUP($A12, INDIRECT("'" &amp; 'Personalized Bill Menu'!$B$23 &amp; "'!" &amp;"$A$4:$CA$100"), VLOOKUP(VLOOKUP("RIDER RATE 2",'Misc. Data &amp; Mechanisms'!$P$601:$S$632,HLOOKUP('Personalized Bill Menu'!$B$23, 'Misc. Data &amp; Mechanisms'!$P$599:$S$600, 2, FALSE), FALSE), 'Misc. Data &amp; Mechanisms'!$L$599:$N$659, 2, FALSE), FALSE)), ""))</f>
        <v/>
      </c>
      <c r="Z12" s="69">
        <f ca="1">IF($A12="", "",IFERROR(IF(VLOOKUP($A12, INDIRECT("'" &amp; 'Personalized Bill Menu'!$B$23 &amp; "'!" &amp;"$A$4:$CA$100"), VLOOKUP(VLOOKUP("RIDER RATE 3",'Misc. Data &amp; Mechanisms'!$P$601:$S$632,HLOOKUP('Personalized Bill Menu'!$B$23, 'Misc. Data &amp; Mechanisms'!$P$599:$S$600, 2, FALSE), FALSE), 'Misc. Data &amp; Mechanisms'!$L$599:$N$659, 2, FALSE), FALSE) = "", "", VLOOKUP($A12, INDIRECT("'" &amp; 'Personalized Bill Menu'!$B$23 &amp; "'!" &amp;"$A$4:$CA$100"), VLOOKUP(VLOOKUP("RIDER RATE 3",'Misc. Data &amp; Mechanisms'!$P$601:$S$632,HLOOKUP('Personalized Bill Menu'!$B$23, 'Misc. Data &amp; Mechanisms'!$P$599:$S$600, 2, FALSE), FALSE), 'Misc. Data &amp; Mechanisms'!$L$599:$N$659, 2, FALSE), FALSE)), ""))</f>
        <v>-6.7000000000000004E-2</v>
      </c>
      <c r="AA12" s="69">
        <f ca="1">IF($A12="", "",IFERROR(IF(VLOOKUP($A12, INDIRECT("'" &amp; 'Personalized Bill Menu'!$B$23 &amp; "'!" &amp;"$A$4:$CA$100"), VLOOKUP(VLOOKUP("RIDER RATE 4",'Misc. Data &amp; Mechanisms'!$P$601:$S$632,HLOOKUP('Personalized Bill Menu'!$B$23, 'Misc. Data &amp; Mechanisms'!$P$599:$S$600, 2, FALSE), FALSE), 'Misc. Data &amp; Mechanisms'!$L$599:$N$659, 2, FALSE), FALSE) = "", "", VLOOKUP($A12, INDIRECT("'" &amp; 'Personalized Bill Menu'!$B$23 &amp; "'!" &amp;"$A$4:$CA$100"), VLOOKUP(VLOOKUP("RIDER RATE 4",'Misc. Data &amp; Mechanisms'!$P$601:$S$632,HLOOKUP('Personalized Bill Menu'!$B$23, 'Misc. Data &amp; Mechanisms'!$P$599:$S$600, 2, FALSE), FALSE), 'Misc. Data &amp; Mechanisms'!$L$599:$N$659, 2, FALSE), FALSE)), ""))</f>
        <v>-6.4000000000000001E-2</v>
      </c>
      <c r="AB12" s="69">
        <f ca="1">IF($A12="", "",IFERROR(IF(VLOOKUP($A12, INDIRECT("'" &amp; 'Personalized Bill Menu'!$B$23 &amp; "'!" &amp;"$A$4:$CA$100"), VLOOKUP(VLOOKUP("RIDER RATE 5",'Misc. Data &amp; Mechanisms'!$P$601:$S$632,HLOOKUP('Personalized Bill Menu'!$B$23, 'Misc. Data &amp; Mechanisms'!$P$599:$S$600, 2, FALSE), FALSE), 'Misc. Data &amp; Mechanisms'!$L$599:$N$659, 2, FALSE), FALSE) = "", "", VLOOKUP($A12, INDIRECT("'" &amp; 'Personalized Bill Menu'!$B$23 &amp; "'!" &amp;"$A$4:$CA$100"), VLOOKUP(VLOOKUP("RIDER RATE 5",'Misc. Data &amp; Mechanisms'!$P$601:$S$632,HLOOKUP('Personalized Bill Menu'!$B$23, 'Misc. Data &amp; Mechanisms'!$P$599:$S$600, 2, FALSE), FALSE), 'Misc. Data &amp; Mechanisms'!$L$599:$N$659, 2, FALSE), FALSE)), ""))</f>
        <v>0.47699999999999998</v>
      </c>
      <c r="AC12" s="69">
        <f ca="1">IF($A12="", "",IFERROR(IF(VLOOKUP($A12, INDIRECT("'" &amp; 'Personalized Bill Menu'!$B$23 &amp; "'!" &amp;"$A$4:$CA$100"), VLOOKUP(VLOOKUP("RIDER RATE 6",'Misc. Data &amp; Mechanisms'!$P$601:$S$632,HLOOKUP('Personalized Bill Menu'!$B$23, 'Misc. Data &amp; Mechanisms'!$P$599:$S$600, 2, FALSE), FALSE), 'Misc. Data &amp; Mechanisms'!$L$599:$N$659, 2, FALSE), FALSE) = "", "", VLOOKUP($A12, INDIRECT("'" &amp; 'Personalized Bill Menu'!$B$23 &amp; "'!" &amp;"$A$4:$CA$100"), VLOOKUP(VLOOKUP("RIDER RATE 6",'Misc. Data &amp; Mechanisms'!$P$601:$S$632,HLOOKUP('Personalized Bill Menu'!$B$23, 'Misc. Data &amp; Mechanisms'!$P$599:$S$600, 2, FALSE), FALSE), 'Misc. Data &amp; Mechanisms'!$L$599:$N$659, 2, FALSE), FALSE)), ""))</f>
        <v>-0.14499999999999999</v>
      </c>
      <c r="AD12" s="69" t="str">
        <f ca="1">IF($A12="", "",IFERROR(IF(VLOOKUP($A12, INDIRECT("'" &amp; 'Personalized Bill Menu'!$B$23 &amp; "'!" &amp;"$A$4:$CA$100"), VLOOKUP(VLOOKUP("RIDER RATE 7",'Misc. Data &amp; Mechanisms'!$P$601:$S$632,HLOOKUP('Personalized Bill Menu'!$B$23, 'Misc. Data &amp; Mechanisms'!$P$599:$S$600, 2, FALSE), FALSE), 'Misc. Data &amp; Mechanisms'!$L$599:$N$659, 2, FALSE), FALSE) = "", "", VLOOKUP($A12, INDIRECT("'" &amp; 'Personalized Bill Menu'!$B$23 &amp; "'!" &amp;"$A$4:$CA$100"), VLOOKUP(VLOOKUP("RIDER RATE 7",'Misc. Data &amp; Mechanisms'!$P$601:$S$632,HLOOKUP('Personalized Bill Menu'!$B$23, 'Misc. Data &amp; Mechanisms'!$P$599:$S$600, 2, FALSE), FALSE), 'Misc. Data &amp; Mechanisms'!$L$599:$N$659, 2, FALSE), FALSE)), ""))</f>
        <v/>
      </c>
      <c r="AE12" s="69" t="str">
        <f ca="1">IF($A12="", "",IFERROR(IF(VLOOKUP($A12, INDIRECT("'" &amp; 'Personalized Bill Menu'!$B$23 &amp; "'!" &amp;"$A$4:$CA$100"), VLOOKUP(VLOOKUP("RIDER RATE 8",'Misc. Data &amp; Mechanisms'!$P$601:$S$632,HLOOKUP('Personalized Bill Menu'!$B$23, 'Misc. Data &amp; Mechanisms'!$P$599:$S$600, 2, FALSE), FALSE), 'Misc. Data &amp; Mechanisms'!$L$599:$N$659, 2, FALSE), FALSE) = "", "", VLOOKUP($A12, INDIRECT("'" &amp; 'Personalized Bill Menu'!$B$23 &amp; "'!" &amp;"$A$4:$CA$100"), VLOOKUP(VLOOKUP("RIDER RATE 8",'Misc. Data &amp; Mechanisms'!$P$601:$S$632,HLOOKUP('Personalized Bill Menu'!$B$23, 'Misc. Data &amp; Mechanisms'!$P$599:$S$600, 2, FALSE), FALSE), 'Misc. Data &amp; Mechanisms'!$L$599:$N$659, 2, FALSE), FALSE)), ""))</f>
        <v/>
      </c>
      <c r="AF12" s="69" t="str">
        <f ca="1">IF($A12="", "",IFERROR(IF(VLOOKUP($A12, INDIRECT("'" &amp; 'Personalized Bill Menu'!$B$23 &amp; "'!" &amp;"$A$4:$CA$100"), VLOOKUP(VLOOKUP("RIDER RATE 9",'Misc. Data &amp; Mechanisms'!$P$601:$S$632,HLOOKUP('Personalized Bill Menu'!$B$23, 'Misc. Data &amp; Mechanisms'!$P$599:$S$600, 2, FALSE), FALSE), 'Misc. Data &amp; Mechanisms'!$L$599:$N$659, 2, FALSE), FALSE) = "", "", VLOOKUP($A12, INDIRECT("'" &amp; 'Personalized Bill Menu'!$B$23 &amp; "'!" &amp;"$A$4:$CA$100"), VLOOKUP(VLOOKUP("RIDER RATE 9",'Misc. Data &amp; Mechanisms'!$P$601:$S$632,HLOOKUP('Personalized Bill Menu'!$B$23, 'Misc. Data &amp; Mechanisms'!$P$599:$S$600, 2, FALSE), FALSE), 'Misc. Data &amp; Mechanisms'!$L$599:$N$659, 2, FALSE), FALSE)), ""))</f>
        <v/>
      </c>
      <c r="AG12" s="72">
        <f ca="1">IF($A12="", "", IFERROR(IF('Personalized Bill Menu'!$B$23="ATCO-N", ($X12*$B12) +($Y12*$C12), IF('Personalized Bill Menu'!$B$23="ATCO-S",$X12*$C12, IF($Y12="", ($X12*$H12), ($Y12*($H12+$K12))))), 0))</f>
        <v>0</v>
      </c>
      <c r="AH12" s="72">
        <f ca="1">IF($A12="", "", IFERROR(IF('Personalized Bill Menu'!$B$23="ATCO-S", $Y12*$C12, $Z12*$C12), 0))</f>
        <v>0</v>
      </c>
      <c r="AI12" s="72">
        <f ca="1">IF($A12="", "", IFERROR(IF('Personalized Bill Menu'!$B$23="ATCO-S", ($AA12*$C12)+($Z12*$B12), $AA12*$C12), 0))</f>
        <v>-2.2505037989853891</v>
      </c>
      <c r="AJ12" s="72">
        <f ca="1">IF($A12="", "", IFERROR(IF('Personalized Bill Menu'!$B$23&lt;&gt;"AltaGas",$AB12*$C12,""),0))</f>
        <v>1.7925048768129772</v>
      </c>
      <c r="AK12" s="72">
        <f ca="1">IF($A12="", "", IFERROR(IF('Personalized Bill Menu'!$B$23="ATCO-S",$AC12*$C12,IF('Personalized Bill Menu'!$B$23="ATCO-N",$AC12*1,"")),0))</f>
        <v>-0.54489141957627185</v>
      </c>
      <c r="AL12" s="72">
        <f ca="1">IF($A12="", "", IFERROR(IF('Personalized Bill Menu'!$B$23="ATCO-N",$AD12*$B12,IF('Personalized Bill Menu'!$B$23="ATCO-S",$AD12*1,"")),0))</f>
        <v>0</v>
      </c>
      <c r="AM12" s="72">
        <f ca="1">IF($A12="", "", IFERROR(IF('Personalized Bill Menu'!$B$23="ATCO-S",$AE12*$B12,IF('Personalized Bill Menu'!$B$23="ATCO-N",$AE12*$B12,"")),0))</f>
        <v>0</v>
      </c>
      <c r="AN12" s="70">
        <f ca="1">IF($A12="", "", IFERROR(IF('Personalized Bill Menu'!$B$23="ATCO-S",$AF12*$B12,""),0))</f>
        <v>0</v>
      </c>
      <c r="AO12" s="69">
        <f>IF('Personalized Bill Menu'!$B$34="Natural Gas", 'Personalized Bill Menu'!$K9, IF('Personalized Bill Menu'!$B$34="Both",'Personalized Bill Menu'!$O9,""))</f>
        <v>0.223</v>
      </c>
      <c r="AP12" s="72">
        <f t="shared" si="13"/>
        <v>6.69</v>
      </c>
      <c r="AQ12" s="89" t="str">
        <f ca="1">IF($A12="", "",IF(VLOOKUP($A12, INDIRECT("'" &amp; 'Personalized Bill Menu'!$B$23 &amp; "'!" &amp;"$A$4:$CA$100"), VLOOKUP(VLOOKUP(AQ$5,'Misc. Data &amp; Mechanisms'!$P$601:$S$632,HLOOKUP('Personalized Bill Menu'!$B$23, 'Misc. Data &amp; Mechanisms'!$P$599:$S$600, 2, FALSE), FALSE), 'Misc. Data &amp; Mechanisms'!$L$599:$N$659, 2, FALSE), FALSE) = "", "", VLOOKUP($A12, INDIRECT("'" &amp; 'Personalized Bill Menu'!$B$23 &amp; "'!" &amp;"$A$4:$CA$100"), VLOOKUP(VLOOKUP(AQ$5,'Misc. Data &amp; Mechanisms'!$P$601:$S$632,HLOOKUP('Personalized Bill Menu'!$B$23, 'Misc. Data &amp; Mechanisms'!$P$599:$S$600, 2, FALSE), FALSE), 'Misc. Data &amp; Mechanisms'!$L$599:$N$659, 2, FALSE), FALSE)))</f>
        <v/>
      </c>
      <c r="AR12" s="72">
        <f t="shared" ca="1" si="14"/>
        <v>0</v>
      </c>
      <c r="AS12" s="91">
        <f ca="1">IF($A12="", "",IF(VLOOKUP($A12, INDIRECT("'" &amp; 'Personalized Bill Menu'!$B$23 &amp; "'!" &amp;"$A$4:$CA$100"), VLOOKUP(VLOOKUP(AS$5,'Misc. Data &amp; Mechanisms'!$P$601:$S$632,HLOOKUP('Personalized Bill Menu'!$B$23, 'Misc. Data &amp; Mechanisms'!$P$599:$S$600, 2, FALSE), FALSE), 'Misc. Data &amp; Mechanisms'!$L$599:$N$659, 2, FALSE), FALSE) = "", "", VLOOKUP($A12, INDIRECT("'" &amp; 'Personalized Bill Menu'!$B$23 &amp; "'!" &amp;"$A$4:$CA$100"), VLOOKUP(VLOOKUP(AS$5,'Misc. Data &amp; Mechanisms'!$P$601:$S$632,HLOOKUP('Personalized Bill Menu'!$B$23, 'Misc. Data &amp; Mechanisms'!$P$599:$S$600, 2, FALSE), FALSE), 'Misc. Data &amp; Mechanisms'!$L$599:$N$659, 2, FALSE), FALSE)))</f>
        <v>0.05</v>
      </c>
      <c r="AT12" s="116"/>
      <c r="AU12" s="116"/>
      <c r="AV12" s="116"/>
      <c r="AW12" s="116"/>
      <c r="AX12" s="116"/>
    </row>
    <row r="13" spans="1:50" s="117" customFormat="1" ht="15" x14ac:dyDescent="0.25">
      <c r="A13" s="83">
        <f>'Personalized Bill Menu'!$H10</f>
        <v>41091</v>
      </c>
      <c r="B13" s="84">
        <f t="shared" si="3"/>
        <v>31</v>
      </c>
      <c r="C13" s="85">
        <f>IF('Personalized Bill Menu'!$B$34="Natural Gas", 'Personalized Bill Menu'!$I10, IF('Personalized Bill Menu'!$B$34="Both",'Personalized Bill Menu'!$M10,""))</f>
        <v>2.6288830750628787</v>
      </c>
      <c r="D13" s="66">
        <f t="shared" ca="1" si="4"/>
        <v>14.672710008114057</v>
      </c>
      <c r="E13" s="66">
        <f ca="1">IF($C13="Not Applicable", "", IFERROR(IFERROR((1+$AS13)*IF('Personalized Bill Menu'!$B$23="ATCO-N", IF(OR('Personalized Bill Menu'!$B$21="Fort McMurray",AND('Personalized Bill Menu'!$B$21="Spruce Grove", $A13&lt;DATE(2019, 5, 1) )),(((1+IF($T13="",0,$T13))*($N13+$P13))+ (IF($U13="", 0, $U13)*$P13)+(1+IF($T13="",0,$T13)+IF($U13="", 0, $U13))*(SUM($Y13:$AB13))),($N13+((1+IF($T13="",0,$T13)+IF($U13="", 0, $U13))*$P13)+(1+IF($T13="",0,$T13)+IF($U13="", 0, $U13))*(SUM($Y13:$AB13)))), IF('Personalized Bill Menu'!$B$23="ATCO-S",IF(OR('Personalized Bill Menu'!$B$21="Calgary",AND('Personalized Bill Menu'!$B$21="Okotoks", $A13&lt;DATE(2019, 1, 1))),((1+IF($T13="",0,$T13))*($N13+$P13+SUM($X13:$Y13,$AA13:$AC13)))+(IF($U13="",0, $U13)*($P13+SUM($X13:$Y13,$AA13:$AC13))), ((1+IF($T13="",0,$T13))*($P13+SUM($Y13,$AA13:$AC13)))+(IF($U13="",0, $U13)*($P13+SUM($X13:$Y13,$AA13:$AC13)))+$N13+IF($X13="", 0, $X13)),IF(AND('Personalized Bill Menu'!$B$21="Athabasca", $A13&lt;DATE(2019, 5, 1)),((1+IF($T13="",0,$T13)+IF($U13="", 0, $U13))*($N13+((1+SUM($X13:$Y13))*$P13)+SUM($Z13:$AA13))),((1+IF($U13="", 0, $U13))*($N13+((1+SUM($X13:$Y13))*$P13)+SUM($Z13:$AA13))) + (IF($T13="",0,$T13)*(((1+SUM($X13:$Y13))*$P13)+SUM($Z13:$AA13)))))), "")+ IF($AQ13="", 0,((1+$AS13)*$AQ13)), ""))</f>
        <v>3.6434635650000002</v>
      </c>
      <c r="F13" s="118">
        <f t="shared" ca="1" si="5"/>
        <v>38.572839005636759</v>
      </c>
      <c r="G13" s="115">
        <f t="shared" si="0"/>
        <v>5.8098315958889621</v>
      </c>
      <c r="H13" s="66">
        <f t="shared" ca="1" si="1"/>
        <v>22.403629583415558</v>
      </c>
      <c r="I13" s="66">
        <f t="shared" ca="1" si="2"/>
        <v>2.9820353048041142</v>
      </c>
      <c r="J13" s="66">
        <f t="shared" ca="1" si="6"/>
        <v>-1.3724593358831485</v>
      </c>
      <c r="K13" s="66">
        <f t="shared" si="7"/>
        <v>6.9130000000000003</v>
      </c>
      <c r="L13" s="66">
        <f t="shared" ca="1" si="8"/>
        <v>0</v>
      </c>
      <c r="M13" s="68">
        <f t="shared" ca="1" si="9"/>
        <v>1.8368018574112743</v>
      </c>
      <c r="N13" s="1290">
        <f>IF('Personalized Bill Menu'!$B$34="Natural Gas", 'Personalized Bill Menu'!$J10, IF('Personalized Bill Menu'!$B$34="Both",'Personalized Bill Menu'!$N10,""))</f>
        <v>2.21</v>
      </c>
      <c r="O13" s="70">
        <f t="shared" si="10"/>
        <v>5.8098315958889621</v>
      </c>
      <c r="P13" s="89">
        <f ca="1">IF($A13="", "",IFERROR(IF(VLOOKUP($A13, INDIRECT("'" &amp; 'Personalized Bill Menu'!$B$23 &amp; "'!" &amp;"$A$4:$CA$100"), VLOOKUP(VLOOKUP(P$5,'Misc. Data &amp; Mechanisms'!$P$601:$S$632,HLOOKUP('Personalized Bill Menu'!$B$23, 'Misc. Data &amp; Mechanisms'!$P$599:$S$600, 2, FALSE), FALSE), 'Misc. Data &amp; Mechanisms'!$L$599:$N$659, 2, FALSE), FALSE) = "", "", VLOOKUP($A13, INDIRECT("'" &amp; 'Personalized Bill Menu'!$B$23 &amp; "'!" &amp;"$A$4:$CA$100"), VLOOKUP(VLOOKUP(P$5,'Misc. Data &amp; Mechanisms'!$P$601:$S$632,HLOOKUP('Personalized Bill Menu'!$B$23, 'Misc. Data &amp; Mechanisms'!$P$599:$S$600, 2, FALSE), FALSE), 'Misc. Data &amp; Mechanisms'!$L$599:$N$659, 2, FALSE), FALSE)), ""))</f>
        <v>0.64500000000000002</v>
      </c>
      <c r="Q13" s="69">
        <f ca="1">IF($A13="", "",IFERROR(IF(VLOOKUP($A13, INDIRECT("'" &amp; 'Personalized Bill Menu'!$B$23 &amp; "'!" &amp;"$A$4:$CA$100"), VLOOKUP(VLOOKUP(Q$5,'Misc. Data &amp; Mechanisms'!$P$601:$S$632,HLOOKUP('Personalized Bill Menu'!$B$23, 'Misc. Data &amp; Mechanisms'!$P$599:$S$600, 2, FALSE), FALSE), 'Misc. Data &amp; Mechanisms'!$L$599:$N$659, 2, FALSE), FALSE) = "", "", VLOOKUP($A13, INDIRECT("'" &amp; 'Personalized Bill Menu'!$B$23 &amp; "'!" &amp;"$A$4:$CA$100"), VLOOKUP(VLOOKUP(Q$5,'Misc. Data &amp; Mechanisms'!$P$601:$S$632,HLOOKUP('Personalized Bill Menu'!$B$23, 'Misc. Data &amp; Mechanisms'!$P$599:$S$600, 2, FALSE), FALSE), 'Misc. Data &amp; Mechanisms'!$L$599:$N$659, 2, FALSE), FALSE)), ""))</f>
        <v>0.66800000000000004</v>
      </c>
      <c r="R13" s="72">
        <f t="shared" ca="1" si="11"/>
        <v>1.6956295834155568</v>
      </c>
      <c r="S13" s="70">
        <f t="shared" ca="1" si="12"/>
        <v>20.708000000000002</v>
      </c>
      <c r="T13" s="78">
        <f>IFERROR(IF(VLOOKUP($A13,'Misc. Data &amp; Mechanisms'!$A$63:$DY$152,HLOOKUP('Personalized Bill Menu'!$B$21&amp;"_"&amp;'Personalized Bill Menu'!$B$23&amp;"_NG_Y_1",'Misc. Data &amp; Mechanisms'!$A$55:$DY$62,8,FALSE), FALSE)="", "", VLOOKUP($A13,'Misc. Data &amp; Mechanisms'!$A$63:$DY$152,HLOOKUP('Personalized Bill Menu'!$B$21&amp;"_"&amp;'Personalized Bill Menu'!$B$23&amp;"_NG_Y_1",'Misc. Data &amp; Mechanisms'!$A$55:$DY$62,8,FALSE), FALSE)), "")</f>
        <v>0.1111</v>
      </c>
      <c r="U13" s="78" t="str">
        <f>IFERROR(IF(VLOOKUP($A13,'Misc. Data &amp; Mechanisms'!$A$63:$DY$152,HLOOKUP('Personalized Bill Menu'!$B$21&amp;"_"&amp;'Personalized Bill Menu'!$B$23&amp;"_NG_Y_2",'Misc. Data &amp; Mechanisms'!$A$55:$DY$62,8,FALSE), FALSE)="", "",VLOOKUP($A13,'Misc. Data &amp; Mechanisms'!$A$63:$DY$152,HLOOKUP('Personalized Bill Menu'!$B$21&amp;"_"&amp;'Personalized Bill Menu'!$B$23&amp;"_NG_Y_2",'Misc. Data &amp; Mechanisms'!$A$55:$DY$62,8,FALSE), FALSE)), "")</f>
        <v/>
      </c>
      <c r="V13" s="72">
        <f ca="1">IF($A13="", "", IFERROR(IF('Personalized Bill Menu'!$B$23="ATCO-N", IF(OR('Personalized Bill Menu'!$B$21="Fort McMurray",AND('Personalized Bill Menu'!$B$21="Spruce Grove", $A13&lt;DATE(2019, 5, 1))),$T13*($G13+$H13+$J13),$T13*($H13+$J13)), IF('Personalized Bill Menu'!$B$23="ATCO-S",IF(OR('Personalized Bill Menu'!$B$21="Calgary",AND('Personalized Bill Menu'!$B$21="Okotoks", $A13&lt;DATE(2019, 1, 1))),$T13*($G13+$H13+$J13), $T13*($H13+$J13-$AG13)),IF(AND('Personalized Bill Menu'!$B$21="Athabasca", $A13&lt;DATE(2019, 5, 1)),$T13*($G13+$H13+$J13+$K13),$T13*($H13+$J13+$K13)))),0))</f>
        <v>2.9820353048041142</v>
      </c>
      <c r="W13" s="72">
        <f ca="1">IF($A13="", "", IFERROR(IF('Personalized Bill Menu'!$B$23="ATCO-N", $U13*($H13+$J13), IF('Personalized Bill Menu'!$B$23="ATCO-S",$U13*($H13+$J13),$U13*($G13+$H13+$J13+$K13))),0))</f>
        <v>0</v>
      </c>
      <c r="X13" s="89" t="str">
        <f ca="1">IF($A13="", "",IFERROR(IF(VLOOKUP($A13, INDIRECT("'" &amp; 'Personalized Bill Menu'!$B$23 &amp; "'!" &amp;"$A$4:$CA$100"), VLOOKUP(VLOOKUP("RIDER RATE 1",'Misc. Data &amp; Mechanisms'!$P$601:$S$632,HLOOKUP('Personalized Bill Menu'!$B$23, 'Misc. Data &amp; Mechanisms'!$P$599:$S$600, 2, FALSE), FALSE), 'Misc. Data &amp; Mechanisms'!$L$599:$N$659, 2, FALSE), FALSE) = "", "", VLOOKUP($A13, INDIRECT("'" &amp; 'Personalized Bill Menu'!$B$23 &amp; "'!" &amp;"$A$4:$CA$100"), VLOOKUP(VLOOKUP("RIDER RATE 1",'Misc. Data &amp; Mechanisms'!$P$601:$S$632,HLOOKUP('Personalized Bill Menu'!$B$23, 'Misc. Data &amp; Mechanisms'!$P$599:$S$600, 2, FALSE), FALSE), 'Misc. Data &amp; Mechanisms'!$L$599:$N$659, 2, FALSE), FALSE)), ""))</f>
        <v/>
      </c>
      <c r="Y13" s="69" t="str">
        <f ca="1">IF($A13="", "",IFERROR(IF(VLOOKUP($A13, INDIRECT("'" &amp; 'Personalized Bill Menu'!$B$23 &amp; "'!" &amp;"$A$4:$CA$100"), VLOOKUP(VLOOKUP("RIDER RATE 2",'Misc. Data &amp; Mechanisms'!$P$601:$S$632,HLOOKUP('Personalized Bill Menu'!$B$23, 'Misc. Data &amp; Mechanisms'!$P$599:$S$600, 2, FALSE), FALSE), 'Misc. Data &amp; Mechanisms'!$L$599:$N$659, 2, FALSE), FALSE) = "", "", VLOOKUP($A13, INDIRECT("'" &amp; 'Personalized Bill Menu'!$B$23 &amp; "'!" &amp;"$A$4:$CA$100"), VLOOKUP(VLOOKUP("RIDER RATE 2",'Misc. Data &amp; Mechanisms'!$P$601:$S$632,HLOOKUP('Personalized Bill Menu'!$B$23, 'Misc. Data &amp; Mechanisms'!$P$599:$S$600, 2, FALSE), FALSE), 'Misc. Data &amp; Mechanisms'!$L$599:$N$659, 2, FALSE), FALSE)), ""))</f>
        <v/>
      </c>
      <c r="Z13" s="69">
        <f ca="1">IF($A13="", "",IFERROR(IF(VLOOKUP($A13, INDIRECT("'" &amp; 'Personalized Bill Menu'!$B$23 &amp; "'!" &amp;"$A$4:$CA$100"), VLOOKUP(VLOOKUP("RIDER RATE 3",'Misc. Data &amp; Mechanisms'!$P$601:$S$632,HLOOKUP('Personalized Bill Menu'!$B$23, 'Misc. Data &amp; Mechanisms'!$P$599:$S$600, 2, FALSE), FALSE), 'Misc. Data &amp; Mechanisms'!$L$599:$N$659, 2, FALSE), FALSE) = "", "", VLOOKUP($A13, INDIRECT("'" &amp; 'Personalized Bill Menu'!$B$23 &amp; "'!" &amp;"$A$4:$CA$100"), VLOOKUP(VLOOKUP("RIDER RATE 3",'Misc. Data &amp; Mechanisms'!$P$601:$S$632,HLOOKUP('Personalized Bill Menu'!$B$23, 'Misc. Data &amp; Mechanisms'!$P$599:$S$600, 2, FALSE), FALSE), 'Misc. Data &amp; Mechanisms'!$L$599:$N$659, 2, FALSE), FALSE)), ""))</f>
        <v>-6.7000000000000004E-2</v>
      </c>
      <c r="AA13" s="69">
        <f ca="1">IF($A13="", "",IFERROR(IF(VLOOKUP($A13, INDIRECT("'" &amp; 'Personalized Bill Menu'!$B$23 &amp; "'!" &amp;"$A$4:$CA$100"), VLOOKUP(VLOOKUP("RIDER RATE 4",'Misc. Data &amp; Mechanisms'!$P$601:$S$632,HLOOKUP('Personalized Bill Menu'!$B$23, 'Misc. Data &amp; Mechanisms'!$P$599:$S$600, 2, FALSE), FALSE), 'Misc. Data &amp; Mechanisms'!$L$599:$N$659, 2, FALSE), FALSE) = "", "", VLOOKUP($A13, INDIRECT("'" &amp; 'Personalized Bill Menu'!$B$23 &amp; "'!" &amp;"$A$4:$CA$100"), VLOOKUP(VLOOKUP("RIDER RATE 4",'Misc. Data &amp; Mechanisms'!$P$601:$S$632,HLOOKUP('Personalized Bill Menu'!$B$23, 'Misc. Data &amp; Mechanisms'!$P$599:$S$600, 2, FALSE), FALSE), 'Misc. Data &amp; Mechanisms'!$L$599:$N$659, 2, FALSE), FALSE)), ""))</f>
        <v>-6.4000000000000001E-2</v>
      </c>
      <c r="AB13" s="69">
        <f ca="1">IF($A13="", "",IFERROR(IF(VLOOKUP($A13, INDIRECT("'" &amp; 'Personalized Bill Menu'!$B$23 &amp; "'!" &amp;"$A$4:$CA$100"), VLOOKUP(VLOOKUP("RIDER RATE 5",'Misc. Data &amp; Mechanisms'!$P$601:$S$632,HLOOKUP('Personalized Bill Menu'!$B$23, 'Misc. Data &amp; Mechanisms'!$P$599:$S$600, 2, FALSE), FALSE), 'Misc. Data &amp; Mechanisms'!$L$599:$N$659, 2, FALSE), FALSE) = "", "", VLOOKUP($A13, INDIRECT("'" &amp; 'Personalized Bill Menu'!$B$23 &amp; "'!" &amp;"$A$4:$CA$100"), VLOOKUP(VLOOKUP("RIDER RATE 5",'Misc. Data &amp; Mechanisms'!$P$601:$S$632,HLOOKUP('Personalized Bill Menu'!$B$23, 'Misc. Data &amp; Mechanisms'!$P$599:$S$600, 2, FALSE), FALSE), 'Misc. Data &amp; Mechanisms'!$L$599:$N$659, 2, FALSE), FALSE)), ""))</f>
        <v>0.47699999999999998</v>
      </c>
      <c r="AC13" s="69">
        <f ca="1">IF($A13="", "",IFERROR(IF(VLOOKUP($A13, INDIRECT("'" &amp; 'Personalized Bill Menu'!$B$23 &amp; "'!" &amp;"$A$4:$CA$100"), VLOOKUP(VLOOKUP("RIDER RATE 6",'Misc. Data &amp; Mechanisms'!$P$601:$S$632,HLOOKUP('Personalized Bill Menu'!$B$23, 'Misc. Data &amp; Mechanisms'!$P$599:$S$600, 2, FALSE), FALSE), 'Misc. Data &amp; Mechanisms'!$L$599:$N$659, 2, FALSE), FALSE) = "", "", VLOOKUP($A13, INDIRECT("'" &amp; 'Personalized Bill Menu'!$B$23 &amp; "'!" &amp;"$A$4:$CA$100"), VLOOKUP(VLOOKUP("RIDER RATE 6",'Misc. Data &amp; Mechanisms'!$P$601:$S$632,HLOOKUP('Personalized Bill Menu'!$B$23, 'Misc. Data &amp; Mechanisms'!$P$599:$S$600, 2, FALSE), FALSE), 'Misc. Data &amp; Mechanisms'!$L$599:$N$659, 2, FALSE), FALSE)), ""))</f>
        <v>-0.14499999999999999</v>
      </c>
      <c r="AD13" s="69" t="str">
        <f ca="1">IF($A13="", "",IFERROR(IF(VLOOKUP($A13, INDIRECT("'" &amp; 'Personalized Bill Menu'!$B$23 &amp; "'!" &amp;"$A$4:$CA$100"), VLOOKUP(VLOOKUP("RIDER RATE 7",'Misc. Data &amp; Mechanisms'!$P$601:$S$632,HLOOKUP('Personalized Bill Menu'!$B$23, 'Misc. Data &amp; Mechanisms'!$P$599:$S$600, 2, FALSE), FALSE), 'Misc. Data &amp; Mechanisms'!$L$599:$N$659, 2, FALSE), FALSE) = "", "", VLOOKUP($A13, INDIRECT("'" &amp; 'Personalized Bill Menu'!$B$23 &amp; "'!" &amp;"$A$4:$CA$100"), VLOOKUP(VLOOKUP("RIDER RATE 7",'Misc. Data &amp; Mechanisms'!$P$601:$S$632,HLOOKUP('Personalized Bill Menu'!$B$23, 'Misc. Data &amp; Mechanisms'!$P$599:$S$600, 2, FALSE), FALSE), 'Misc. Data &amp; Mechanisms'!$L$599:$N$659, 2, FALSE), FALSE)), ""))</f>
        <v/>
      </c>
      <c r="AE13" s="69" t="str">
        <f ca="1">IF($A13="", "",IFERROR(IF(VLOOKUP($A13, INDIRECT("'" &amp; 'Personalized Bill Menu'!$B$23 &amp; "'!" &amp;"$A$4:$CA$100"), VLOOKUP(VLOOKUP("RIDER RATE 8",'Misc. Data &amp; Mechanisms'!$P$601:$S$632,HLOOKUP('Personalized Bill Menu'!$B$23, 'Misc. Data &amp; Mechanisms'!$P$599:$S$600, 2, FALSE), FALSE), 'Misc. Data &amp; Mechanisms'!$L$599:$N$659, 2, FALSE), FALSE) = "", "", VLOOKUP($A13, INDIRECT("'" &amp; 'Personalized Bill Menu'!$B$23 &amp; "'!" &amp;"$A$4:$CA$100"), VLOOKUP(VLOOKUP("RIDER RATE 8",'Misc. Data &amp; Mechanisms'!$P$601:$S$632,HLOOKUP('Personalized Bill Menu'!$B$23, 'Misc. Data &amp; Mechanisms'!$P$599:$S$600, 2, FALSE), FALSE), 'Misc. Data &amp; Mechanisms'!$L$599:$N$659, 2, FALSE), FALSE)), ""))</f>
        <v/>
      </c>
      <c r="AF13" s="69" t="str">
        <f ca="1">IF($A13="", "",IFERROR(IF(VLOOKUP($A13, INDIRECT("'" &amp; 'Personalized Bill Menu'!$B$23 &amp; "'!" &amp;"$A$4:$CA$100"), VLOOKUP(VLOOKUP("RIDER RATE 9",'Misc. Data &amp; Mechanisms'!$P$601:$S$632,HLOOKUP('Personalized Bill Menu'!$B$23, 'Misc. Data &amp; Mechanisms'!$P$599:$S$600, 2, FALSE), FALSE), 'Misc. Data &amp; Mechanisms'!$L$599:$N$659, 2, FALSE), FALSE) = "", "", VLOOKUP($A13, INDIRECT("'" &amp; 'Personalized Bill Menu'!$B$23 &amp; "'!" &amp;"$A$4:$CA$100"), VLOOKUP(VLOOKUP("RIDER RATE 9",'Misc. Data &amp; Mechanisms'!$P$601:$S$632,HLOOKUP('Personalized Bill Menu'!$B$23, 'Misc. Data &amp; Mechanisms'!$P$599:$S$600, 2, FALSE), FALSE), 'Misc. Data &amp; Mechanisms'!$L$599:$N$659, 2, FALSE), FALSE)), ""))</f>
        <v/>
      </c>
      <c r="AG13" s="72">
        <f ca="1">IF($A13="", "", IFERROR(IF('Personalized Bill Menu'!$B$23="ATCO-N", ($X13*$B13) +($Y13*$C13), IF('Personalized Bill Menu'!$B$23="ATCO-S",$X13*$C13, IF($Y13="", ($X13*$H13), ($Y13*($H13+$K13))))), 0))</f>
        <v>0</v>
      </c>
      <c r="AH13" s="72">
        <f ca="1">IF($A13="", "", IFERROR(IF('Personalized Bill Menu'!$B$23="ATCO-S", $Y13*$C13, $Z13*$C13), 0))</f>
        <v>0</v>
      </c>
      <c r="AI13" s="72">
        <f ca="1">IF($A13="", "", IFERROR(IF('Personalized Bill Menu'!$B$23="ATCO-S", ($AA13*$C13)+($Z13*$B13), $AA13*$C13), 0))</f>
        <v>-2.2452485168040242</v>
      </c>
      <c r="AJ13" s="72">
        <f ca="1">IF($A13="", "", IFERROR(IF('Personalized Bill Menu'!$B$23&lt;&gt;"AltaGas",$AB13*$C13,""),0))</f>
        <v>1.2539772268049931</v>
      </c>
      <c r="AK13" s="72">
        <f ca="1">IF($A13="", "", IFERROR(IF('Personalized Bill Menu'!$B$23="ATCO-S",$AC13*$C13,IF('Personalized Bill Menu'!$B$23="ATCO-N",$AC13*1,"")),0))</f>
        <v>-0.38118804588411737</v>
      </c>
      <c r="AL13" s="72">
        <f ca="1">IF($A13="", "", IFERROR(IF('Personalized Bill Menu'!$B$23="ATCO-N",$AD13*$B13,IF('Personalized Bill Menu'!$B$23="ATCO-S",$AD13*1,"")),0))</f>
        <v>0</v>
      </c>
      <c r="AM13" s="72">
        <f ca="1">IF($A13="", "", IFERROR(IF('Personalized Bill Menu'!$B$23="ATCO-S",$AE13*$B13,IF('Personalized Bill Menu'!$B$23="ATCO-N",$AE13*$B13,"")),0))</f>
        <v>0</v>
      </c>
      <c r="AN13" s="70">
        <f ca="1">IF($A13="", "", IFERROR(IF('Personalized Bill Menu'!$B$23="ATCO-S",$AF13*$B13,""),0))</f>
        <v>0</v>
      </c>
      <c r="AO13" s="69">
        <f>IF('Personalized Bill Menu'!$B$34="Natural Gas", 'Personalized Bill Menu'!$K10, IF('Personalized Bill Menu'!$B$34="Both",'Personalized Bill Menu'!$O10,""))</f>
        <v>0.223</v>
      </c>
      <c r="AP13" s="72">
        <f t="shared" si="13"/>
        <v>6.9130000000000003</v>
      </c>
      <c r="AQ13" s="89" t="str">
        <f ca="1">IF($A13="", "",IF(VLOOKUP($A13, INDIRECT("'" &amp; 'Personalized Bill Menu'!$B$23 &amp; "'!" &amp;"$A$4:$CA$100"), VLOOKUP(VLOOKUP(AQ$5,'Misc. Data &amp; Mechanisms'!$P$601:$S$632,HLOOKUP('Personalized Bill Menu'!$B$23, 'Misc. Data &amp; Mechanisms'!$P$599:$S$600, 2, FALSE), FALSE), 'Misc. Data &amp; Mechanisms'!$L$599:$N$659, 2, FALSE), FALSE) = "", "", VLOOKUP($A13, INDIRECT("'" &amp; 'Personalized Bill Menu'!$B$23 &amp; "'!" &amp;"$A$4:$CA$100"), VLOOKUP(VLOOKUP(AQ$5,'Misc. Data &amp; Mechanisms'!$P$601:$S$632,HLOOKUP('Personalized Bill Menu'!$B$23, 'Misc. Data &amp; Mechanisms'!$P$599:$S$600, 2, FALSE), FALSE), 'Misc. Data &amp; Mechanisms'!$L$599:$N$659, 2, FALSE), FALSE)))</f>
        <v/>
      </c>
      <c r="AR13" s="72">
        <f t="shared" ca="1" si="14"/>
        <v>0</v>
      </c>
      <c r="AS13" s="91">
        <f ca="1">IF($A13="", "",IF(VLOOKUP($A13, INDIRECT("'" &amp; 'Personalized Bill Menu'!$B$23 &amp; "'!" &amp;"$A$4:$CA$100"), VLOOKUP(VLOOKUP(AS$5,'Misc. Data &amp; Mechanisms'!$P$601:$S$632,HLOOKUP('Personalized Bill Menu'!$B$23, 'Misc. Data &amp; Mechanisms'!$P$599:$S$600, 2, FALSE), FALSE), 'Misc. Data &amp; Mechanisms'!$L$599:$N$659, 2, FALSE), FALSE) = "", "", VLOOKUP($A13, INDIRECT("'" &amp; 'Personalized Bill Menu'!$B$23 &amp; "'!" &amp;"$A$4:$CA$100"), VLOOKUP(VLOOKUP(AS$5,'Misc. Data &amp; Mechanisms'!$P$601:$S$632,HLOOKUP('Personalized Bill Menu'!$B$23, 'Misc. Data &amp; Mechanisms'!$P$599:$S$600, 2, FALSE), FALSE), 'Misc. Data &amp; Mechanisms'!$L$599:$N$659, 2, FALSE), FALSE)))</f>
        <v>0.05</v>
      </c>
      <c r="AT13" s="116"/>
      <c r="AU13" s="116"/>
      <c r="AV13" s="116"/>
      <c r="AW13" s="116"/>
      <c r="AX13" s="116"/>
    </row>
    <row r="14" spans="1:50" s="117" customFormat="1" ht="15" x14ac:dyDescent="0.25">
      <c r="A14" s="83">
        <f>'Personalized Bill Menu'!$H11</f>
        <v>41122</v>
      </c>
      <c r="B14" s="84">
        <f t="shared" si="3"/>
        <v>31</v>
      </c>
      <c r="C14" s="85">
        <f>IF('Personalized Bill Menu'!$B$34="Natural Gas", 'Personalized Bill Menu'!$I11, IF('Personalized Bill Menu'!$B$34="Both",'Personalized Bill Menu'!$M11,""))</f>
        <v>3.0892805662191671</v>
      </c>
      <c r="D14" s="66">
        <f t="shared" ca="1" si="4"/>
        <v>13.170179495471734</v>
      </c>
      <c r="E14" s="66">
        <f ca="1">IF($C14="Not Applicable", "", IFERROR(IFERROR((1+$AS14)*IF('Personalized Bill Menu'!$B$23="ATCO-N", IF(OR('Personalized Bill Menu'!$B$21="Fort McMurray",AND('Personalized Bill Menu'!$B$21="Spruce Grove", $A14&lt;DATE(2019, 5, 1) )),(((1+IF($T14="",0,$T14))*($N14+$P14))+ (IF($U14="", 0, $U14)*$P14)+(1+IF($T14="",0,$T14)+IF($U14="", 0, $U14))*(SUM($Y14:$AB14))),($N14+((1+IF($T14="",0,$T14)+IF($U14="", 0, $U14))*$P14)+(1+IF($T14="",0,$T14)+IF($U14="", 0, $U14))*(SUM($Y14:$AB14)))), IF('Personalized Bill Menu'!$B$23="ATCO-S",IF(OR('Personalized Bill Menu'!$B$21="Calgary",AND('Personalized Bill Menu'!$B$21="Okotoks", $A14&lt;DATE(2019, 1, 1))),((1+IF($T14="",0,$T14))*($N14+$P14+SUM($X14:$Y14,$AA14:$AC14)))+(IF($U14="",0, $U14)*($P14+SUM($X14:$Y14,$AA14:$AC14))), ((1+IF($T14="",0,$T14))*($P14+SUM($Y14,$AA14:$AC14)))+(IF($U14="",0, $U14)*($P14+SUM($X14:$Y14,$AA14:$AC14)))+$N14+IF($X14="", 0, $X14)),IF(AND('Personalized Bill Menu'!$B$21="Athabasca", $A14&lt;DATE(2019, 5, 1)),((1+IF($T14="",0,$T14)+IF($U14="", 0, $U14))*($N14+((1+SUM($X14:$Y14))*$P14)+SUM($Z14:$AA14))),((1+IF($U14="", 0, $U14))*($N14+((1+SUM($X14:$Y14))*$P14)+SUM($Z14:$AA14))) + (IF($T14="",0,$T14)*(((1+SUM($X14:$Y14))*$P14)+SUM($Z14:$AA14)))))), "")+ IF($AQ14="", 0,((1+$AS14)*$AQ14)), ""))</f>
        <v>3.7846288199999996</v>
      </c>
      <c r="F14" s="118">
        <f t="shared" ca="1" si="5"/>
        <v>40.686379568978985</v>
      </c>
      <c r="G14" s="115">
        <f t="shared" si="0"/>
        <v>6.753167317755099</v>
      </c>
      <c r="H14" s="66">
        <f t="shared" ca="1" si="1"/>
        <v>22.700585965211364</v>
      </c>
      <c r="I14" s="66">
        <f t="shared" ca="1" si="2"/>
        <v>3.1833067660221444</v>
      </c>
      <c r="J14" s="66">
        <f t="shared" ca="1" si="6"/>
        <v>-0.80112712615148407</v>
      </c>
      <c r="K14" s="66">
        <f t="shared" si="7"/>
        <v>6.9130000000000003</v>
      </c>
      <c r="L14" s="66">
        <f t="shared" ca="1" si="8"/>
        <v>0</v>
      </c>
      <c r="M14" s="68">
        <f t="shared" ca="1" si="9"/>
        <v>1.9374466461418565</v>
      </c>
      <c r="N14" s="1290">
        <f>IF('Personalized Bill Menu'!$B$34="Natural Gas", 'Personalized Bill Menu'!$J11, IF('Personalized Bill Menu'!$B$34="Both",'Personalized Bill Menu'!$N11,""))</f>
        <v>2.1859999999999999</v>
      </c>
      <c r="O14" s="70">
        <f t="shared" si="10"/>
        <v>6.753167317755099</v>
      </c>
      <c r="P14" s="89">
        <f ca="1">IF($A14="", "",IFERROR(IF(VLOOKUP($A14, INDIRECT("'" &amp; 'Personalized Bill Menu'!$B$23 &amp; "'!" &amp;"$A$4:$CA$100"), VLOOKUP(VLOOKUP(P$5,'Misc. Data &amp; Mechanisms'!$P$601:$S$632,HLOOKUP('Personalized Bill Menu'!$B$23, 'Misc. Data &amp; Mechanisms'!$P$599:$S$600, 2, FALSE), FALSE), 'Misc. Data &amp; Mechanisms'!$L$599:$N$659, 2, FALSE), FALSE) = "", "", VLOOKUP($A14, INDIRECT("'" &amp; 'Personalized Bill Menu'!$B$23 &amp; "'!" &amp;"$A$4:$CA$100"), VLOOKUP(VLOOKUP(P$5,'Misc. Data &amp; Mechanisms'!$P$601:$S$632,HLOOKUP('Personalized Bill Menu'!$B$23, 'Misc. Data &amp; Mechanisms'!$P$599:$S$600, 2, FALSE), FALSE), 'Misc. Data &amp; Mechanisms'!$L$599:$N$659, 2, FALSE), FALSE)), ""))</f>
        <v>0.64500000000000002</v>
      </c>
      <c r="Q14" s="69">
        <f ca="1">IF($A14="", "",IFERROR(IF(VLOOKUP($A14, INDIRECT("'" &amp; 'Personalized Bill Menu'!$B$23 &amp; "'!" &amp;"$A$4:$CA$100"), VLOOKUP(VLOOKUP(Q$5,'Misc. Data &amp; Mechanisms'!$P$601:$S$632,HLOOKUP('Personalized Bill Menu'!$B$23, 'Misc. Data &amp; Mechanisms'!$P$599:$S$600, 2, FALSE), FALSE), 'Misc. Data &amp; Mechanisms'!$L$599:$N$659, 2, FALSE), FALSE) = "", "", VLOOKUP($A14, INDIRECT("'" &amp; 'Personalized Bill Menu'!$B$23 &amp; "'!" &amp;"$A$4:$CA$100"), VLOOKUP(VLOOKUP(Q$5,'Misc. Data &amp; Mechanisms'!$P$601:$S$632,HLOOKUP('Personalized Bill Menu'!$B$23, 'Misc. Data &amp; Mechanisms'!$P$599:$S$600, 2, FALSE), FALSE), 'Misc. Data &amp; Mechanisms'!$L$599:$N$659, 2, FALSE), FALSE)), ""))</f>
        <v>0.66800000000000004</v>
      </c>
      <c r="R14" s="72">
        <f t="shared" ca="1" si="11"/>
        <v>1.9925859652113629</v>
      </c>
      <c r="S14" s="70">
        <f t="shared" ca="1" si="12"/>
        <v>20.708000000000002</v>
      </c>
      <c r="T14" s="78">
        <f>IFERROR(IF(VLOOKUP($A14,'Misc. Data &amp; Mechanisms'!$A$63:$DY$152,HLOOKUP('Personalized Bill Menu'!$B$21&amp;"_"&amp;'Personalized Bill Menu'!$B$23&amp;"_NG_Y_1",'Misc. Data &amp; Mechanisms'!$A$55:$DY$62,8,FALSE), FALSE)="", "", VLOOKUP($A14,'Misc. Data &amp; Mechanisms'!$A$63:$DY$152,HLOOKUP('Personalized Bill Menu'!$B$21&amp;"_"&amp;'Personalized Bill Menu'!$B$23&amp;"_NG_Y_1",'Misc. Data &amp; Mechanisms'!$A$55:$DY$62,8,FALSE), FALSE)), "")</f>
        <v>0.1111</v>
      </c>
      <c r="U14" s="78" t="str">
        <f>IFERROR(IF(VLOOKUP($A14,'Misc. Data &amp; Mechanisms'!$A$63:$DY$152,HLOOKUP('Personalized Bill Menu'!$B$21&amp;"_"&amp;'Personalized Bill Menu'!$B$23&amp;"_NG_Y_2",'Misc. Data &amp; Mechanisms'!$A$55:$DY$62,8,FALSE), FALSE)="", "",VLOOKUP($A14,'Misc. Data &amp; Mechanisms'!$A$63:$DY$152,HLOOKUP('Personalized Bill Menu'!$B$21&amp;"_"&amp;'Personalized Bill Menu'!$B$23&amp;"_NG_Y_2",'Misc. Data &amp; Mechanisms'!$A$55:$DY$62,8,FALSE), FALSE)), "")</f>
        <v/>
      </c>
      <c r="V14" s="72">
        <f ca="1">IF($A14="", "", IFERROR(IF('Personalized Bill Menu'!$B$23="ATCO-N", IF(OR('Personalized Bill Menu'!$B$21="Fort McMurray",AND('Personalized Bill Menu'!$B$21="Spruce Grove", $A14&lt;DATE(2019, 5, 1))),$T14*($G14+$H14+$J14),$T14*($H14+$J14)), IF('Personalized Bill Menu'!$B$23="ATCO-S",IF(OR('Personalized Bill Menu'!$B$21="Calgary",AND('Personalized Bill Menu'!$B$21="Okotoks", $A14&lt;DATE(2019, 1, 1))),$T14*($G14+$H14+$J14), $T14*($H14+$J14-$AG14)),IF(AND('Personalized Bill Menu'!$B$21="Athabasca", $A14&lt;DATE(2019, 5, 1)),$T14*($G14+$H14+$J14+$K14),$T14*($H14+$J14+$K14)))),0))</f>
        <v>3.1833067660221444</v>
      </c>
      <c r="W14" s="72">
        <f ca="1">IF($A14="", "", IFERROR(IF('Personalized Bill Menu'!$B$23="ATCO-N", $U14*($H14+$J14), IF('Personalized Bill Menu'!$B$23="ATCO-S",$U14*($H14+$J14),$U14*($G14+$H14+$J14+$K14))),0))</f>
        <v>0</v>
      </c>
      <c r="X14" s="89" t="str">
        <f ca="1">IF($A14="", "",IFERROR(IF(VLOOKUP($A14, INDIRECT("'" &amp; 'Personalized Bill Menu'!$B$23 &amp; "'!" &amp;"$A$4:$CA$100"), VLOOKUP(VLOOKUP("RIDER RATE 1",'Misc. Data &amp; Mechanisms'!$P$601:$S$632,HLOOKUP('Personalized Bill Menu'!$B$23, 'Misc. Data &amp; Mechanisms'!$P$599:$S$600, 2, FALSE), FALSE), 'Misc. Data &amp; Mechanisms'!$L$599:$N$659, 2, FALSE), FALSE) = "", "", VLOOKUP($A14, INDIRECT("'" &amp; 'Personalized Bill Menu'!$B$23 &amp; "'!" &amp;"$A$4:$CA$100"), VLOOKUP(VLOOKUP("RIDER RATE 1",'Misc. Data &amp; Mechanisms'!$P$601:$S$632,HLOOKUP('Personalized Bill Menu'!$B$23, 'Misc. Data &amp; Mechanisms'!$P$599:$S$600, 2, FALSE), FALSE), 'Misc. Data &amp; Mechanisms'!$L$599:$N$659, 2, FALSE), FALSE)), ""))</f>
        <v/>
      </c>
      <c r="Y14" s="69" t="str">
        <f ca="1">IF($A14="", "",IFERROR(IF(VLOOKUP($A14, INDIRECT("'" &amp; 'Personalized Bill Menu'!$B$23 &amp; "'!" &amp;"$A$4:$CA$100"), VLOOKUP(VLOOKUP("RIDER RATE 2",'Misc. Data &amp; Mechanisms'!$P$601:$S$632,HLOOKUP('Personalized Bill Menu'!$B$23, 'Misc. Data &amp; Mechanisms'!$P$599:$S$600, 2, FALSE), FALSE), 'Misc. Data &amp; Mechanisms'!$L$599:$N$659, 2, FALSE), FALSE) = "", "", VLOOKUP($A14, INDIRECT("'" &amp; 'Personalized Bill Menu'!$B$23 &amp; "'!" &amp;"$A$4:$CA$100"), VLOOKUP(VLOOKUP("RIDER RATE 2",'Misc. Data &amp; Mechanisms'!$P$601:$S$632,HLOOKUP('Personalized Bill Menu'!$B$23, 'Misc. Data &amp; Mechanisms'!$P$599:$S$600, 2, FALSE), FALSE), 'Misc. Data &amp; Mechanisms'!$L$599:$N$659, 2, FALSE), FALSE)), ""))</f>
        <v/>
      </c>
      <c r="Z14" s="69">
        <f ca="1">IF($A14="", "",IFERROR(IF(VLOOKUP($A14, INDIRECT("'" &amp; 'Personalized Bill Menu'!$B$23 &amp; "'!" &amp;"$A$4:$CA$100"), VLOOKUP(VLOOKUP("RIDER RATE 3",'Misc. Data &amp; Mechanisms'!$P$601:$S$632,HLOOKUP('Personalized Bill Menu'!$B$23, 'Misc. Data &amp; Mechanisms'!$P$599:$S$600, 2, FALSE), FALSE), 'Misc. Data &amp; Mechanisms'!$L$599:$N$659, 2, FALSE), FALSE) = "", "", VLOOKUP($A14, INDIRECT("'" &amp; 'Personalized Bill Menu'!$B$23 &amp; "'!" &amp;"$A$4:$CA$100"), VLOOKUP(VLOOKUP("RIDER RATE 3",'Misc. Data &amp; Mechanisms'!$P$601:$S$632,HLOOKUP('Personalized Bill Menu'!$B$23, 'Misc. Data &amp; Mechanisms'!$P$599:$S$600, 2, FALSE), FALSE), 'Misc. Data &amp; Mechanisms'!$L$599:$N$659, 2, FALSE), FALSE)), ""))</f>
        <v>-6.7000000000000004E-2</v>
      </c>
      <c r="AA14" s="69">
        <f ca="1">IF($A14="", "",IFERROR(IF(VLOOKUP($A14, INDIRECT("'" &amp; 'Personalized Bill Menu'!$B$23 &amp; "'!" &amp;"$A$4:$CA$100"), VLOOKUP(VLOOKUP("RIDER RATE 4",'Misc. Data &amp; Mechanisms'!$P$601:$S$632,HLOOKUP('Personalized Bill Menu'!$B$23, 'Misc. Data &amp; Mechanisms'!$P$599:$S$600, 2, FALSE), FALSE), 'Misc. Data &amp; Mechanisms'!$L$599:$N$659, 2, FALSE), FALSE) = "", "", VLOOKUP($A14, INDIRECT("'" &amp; 'Personalized Bill Menu'!$B$23 &amp; "'!" &amp;"$A$4:$CA$100"), VLOOKUP(VLOOKUP("RIDER RATE 4",'Misc. Data &amp; Mechanisms'!$P$601:$S$632,HLOOKUP('Personalized Bill Menu'!$B$23, 'Misc. Data &amp; Mechanisms'!$P$599:$S$600, 2, FALSE), FALSE), 'Misc. Data &amp; Mechanisms'!$L$599:$N$659, 2, FALSE), FALSE)), ""))</f>
        <v>-6.4000000000000001E-2</v>
      </c>
      <c r="AB14" s="69">
        <f ca="1">IF($A14="", "",IFERROR(IF(VLOOKUP($A14, INDIRECT("'" &amp; 'Personalized Bill Menu'!$B$23 &amp; "'!" &amp;"$A$4:$CA$100"), VLOOKUP(VLOOKUP("RIDER RATE 5",'Misc. Data &amp; Mechanisms'!$P$601:$S$632,HLOOKUP('Personalized Bill Menu'!$B$23, 'Misc. Data &amp; Mechanisms'!$P$599:$S$600, 2, FALSE), FALSE), 'Misc. Data &amp; Mechanisms'!$L$599:$N$659, 2, FALSE), FALSE) = "", "", VLOOKUP($A14, INDIRECT("'" &amp; 'Personalized Bill Menu'!$B$23 &amp; "'!" &amp;"$A$4:$CA$100"), VLOOKUP(VLOOKUP("RIDER RATE 5",'Misc. Data &amp; Mechanisms'!$P$601:$S$632,HLOOKUP('Personalized Bill Menu'!$B$23, 'Misc. Data &amp; Mechanisms'!$P$599:$S$600, 2, FALSE), FALSE), 'Misc. Data &amp; Mechanisms'!$L$599:$N$659, 2, FALSE), FALSE)), ""))</f>
        <v>0.47699999999999998</v>
      </c>
      <c r="AC14" s="69" t="str">
        <f ca="1">IF($A14="", "",IFERROR(IF(VLOOKUP($A14, INDIRECT("'" &amp; 'Personalized Bill Menu'!$B$23 &amp; "'!" &amp;"$A$4:$CA$100"), VLOOKUP(VLOOKUP("RIDER RATE 6",'Misc. Data &amp; Mechanisms'!$P$601:$S$632,HLOOKUP('Personalized Bill Menu'!$B$23, 'Misc. Data &amp; Mechanisms'!$P$599:$S$600, 2, FALSE), FALSE), 'Misc. Data &amp; Mechanisms'!$L$599:$N$659, 2, FALSE), FALSE) = "", "", VLOOKUP($A14, INDIRECT("'" &amp; 'Personalized Bill Menu'!$B$23 &amp; "'!" &amp;"$A$4:$CA$100"), VLOOKUP(VLOOKUP("RIDER RATE 6",'Misc. Data &amp; Mechanisms'!$P$601:$S$632,HLOOKUP('Personalized Bill Menu'!$B$23, 'Misc. Data &amp; Mechanisms'!$P$599:$S$600, 2, FALSE), FALSE), 'Misc. Data &amp; Mechanisms'!$L$599:$N$659, 2, FALSE), FALSE)), ""))</f>
        <v/>
      </c>
      <c r="AD14" s="69" t="str">
        <f ca="1">IF($A14="", "",IFERROR(IF(VLOOKUP($A14, INDIRECT("'" &amp; 'Personalized Bill Menu'!$B$23 &amp; "'!" &amp;"$A$4:$CA$100"), VLOOKUP(VLOOKUP("RIDER RATE 7",'Misc. Data &amp; Mechanisms'!$P$601:$S$632,HLOOKUP('Personalized Bill Menu'!$B$23, 'Misc. Data &amp; Mechanisms'!$P$599:$S$600, 2, FALSE), FALSE), 'Misc. Data &amp; Mechanisms'!$L$599:$N$659, 2, FALSE), FALSE) = "", "", VLOOKUP($A14, INDIRECT("'" &amp; 'Personalized Bill Menu'!$B$23 &amp; "'!" &amp;"$A$4:$CA$100"), VLOOKUP(VLOOKUP("RIDER RATE 7",'Misc. Data &amp; Mechanisms'!$P$601:$S$632,HLOOKUP('Personalized Bill Menu'!$B$23, 'Misc. Data &amp; Mechanisms'!$P$599:$S$600, 2, FALSE), FALSE), 'Misc. Data &amp; Mechanisms'!$L$599:$N$659, 2, FALSE), FALSE)), ""))</f>
        <v/>
      </c>
      <c r="AE14" s="69" t="str">
        <f ca="1">IF($A14="", "",IFERROR(IF(VLOOKUP($A14, INDIRECT("'" &amp; 'Personalized Bill Menu'!$B$23 &amp; "'!" &amp;"$A$4:$CA$100"), VLOOKUP(VLOOKUP("RIDER RATE 8",'Misc. Data &amp; Mechanisms'!$P$601:$S$632,HLOOKUP('Personalized Bill Menu'!$B$23, 'Misc. Data &amp; Mechanisms'!$P$599:$S$600, 2, FALSE), FALSE), 'Misc. Data &amp; Mechanisms'!$L$599:$N$659, 2, FALSE), FALSE) = "", "", VLOOKUP($A14, INDIRECT("'" &amp; 'Personalized Bill Menu'!$B$23 &amp; "'!" &amp;"$A$4:$CA$100"), VLOOKUP(VLOOKUP("RIDER RATE 8",'Misc. Data &amp; Mechanisms'!$P$601:$S$632,HLOOKUP('Personalized Bill Menu'!$B$23, 'Misc. Data &amp; Mechanisms'!$P$599:$S$600, 2, FALSE), FALSE), 'Misc. Data &amp; Mechanisms'!$L$599:$N$659, 2, FALSE), FALSE)), ""))</f>
        <v/>
      </c>
      <c r="AF14" s="69" t="str">
        <f ca="1">IF($A14="", "",IFERROR(IF(VLOOKUP($A14, INDIRECT("'" &amp; 'Personalized Bill Menu'!$B$23 &amp; "'!" &amp;"$A$4:$CA$100"), VLOOKUP(VLOOKUP("RIDER RATE 9",'Misc. Data &amp; Mechanisms'!$P$601:$S$632,HLOOKUP('Personalized Bill Menu'!$B$23, 'Misc. Data &amp; Mechanisms'!$P$599:$S$600, 2, FALSE), FALSE), 'Misc. Data &amp; Mechanisms'!$L$599:$N$659, 2, FALSE), FALSE) = "", "", VLOOKUP($A14, INDIRECT("'" &amp; 'Personalized Bill Menu'!$B$23 &amp; "'!" &amp;"$A$4:$CA$100"), VLOOKUP(VLOOKUP("RIDER RATE 9",'Misc. Data &amp; Mechanisms'!$P$601:$S$632,HLOOKUP('Personalized Bill Menu'!$B$23, 'Misc. Data &amp; Mechanisms'!$P$599:$S$600, 2, FALSE), FALSE), 'Misc. Data &amp; Mechanisms'!$L$599:$N$659, 2, FALSE), FALSE)), ""))</f>
        <v/>
      </c>
      <c r="AG14" s="72">
        <f ca="1">IF($A14="", "", IFERROR(IF('Personalized Bill Menu'!$B$23="ATCO-N", ($X14*$B14) +($Y14*$C14), IF('Personalized Bill Menu'!$B$23="ATCO-S",$X14*$C14, IF($Y14="", ($X14*$H14), ($Y14*($H14+$K14))))), 0))</f>
        <v>0</v>
      </c>
      <c r="AH14" s="72">
        <f ca="1">IF($A14="", "", IFERROR(IF('Personalized Bill Menu'!$B$23="ATCO-S", $Y14*$C14, $Z14*$C14), 0))</f>
        <v>0</v>
      </c>
      <c r="AI14" s="72">
        <f ca="1">IF($A14="", "", IFERROR(IF('Personalized Bill Menu'!$B$23="ATCO-S", ($AA14*$C14)+($Z14*$B14), $AA14*$C14), 0))</f>
        <v>-2.2747139562380267</v>
      </c>
      <c r="AJ14" s="72">
        <f ca="1">IF($A14="", "", IFERROR(IF('Personalized Bill Menu'!$B$23&lt;&gt;"AltaGas",$AB14*$C14,""),0))</f>
        <v>1.4735868300865427</v>
      </c>
      <c r="AK14" s="72">
        <f ca="1">IF($A14="", "", IFERROR(IF('Personalized Bill Menu'!$B$23="ATCO-S",$AC14*$C14,IF('Personalized Bill Menu'!$B$23="ATCO-N",$AC14*1,"")),0))</f>
        <v>0</v>
      </c>
      <c r="AL14" s="72">
        <f ca="1">IF($A14="", "", IFERROR(IF('Personalized Bill Menu'!$B$23="ATCO-N",$AD14*$B14,IF('Personalized Bill Menu'!$B$23="ATCO-S",$AD14*1,"")),0))</f>
        <v>0</v>
      </c>
      <c r="AM14" s="72">
        <f ca="1">IF($A14="", "", IFERROR(IF('Personalized Bill Menu'!$B$23="ATCO-S",$AE14*$B14,IF('Personalized Bill Menu'!$B$23="ATCO-N",$AE14*$B14,"")),0))</f>
        <v>0</v>
      </c>
      <c r="AN14" s="70">
        <f ca="1">IF($A14="", "", IFERROR(IF('Personalized Bill Menu'!$B$23="ATCO-S",$AF14*$B14,""),0))</f>
        <v>0</v>
      </c>
      <c r="AO14" s="69">
        <f>IF('Personalized Bill Menu'!$B$34="Natural Gas", 'Personalized Bill Menu'!$K11, IF('Personalized Bill Menu'!$B$34="Both",'Personalized Bill Menu'!$O11,""))</f>
        <v>0.223</v>
      </c>
      <c r="AP14" s="72">
        <f t="shared" si="13"/>
        <v>6.9130000000000003</v>
      </c>
      <c r="AQ14" s="89" t="str">
        <f ca="1">IF($A14="", "",IF(VLOOKUP($A14, INDIRECT("'" &amp; 'Personalized Bill Menu'!$B$23 &amp; "'!" &amp;"$A$4:$CA$100"), VLOOKUP(VLOOKUP(AQ$5,'Misc. Data &amp; Mechanisms'!$P$601:$S$632,HLOOKUP('Personalized Bill Menu'!$B$23, 'Misc. Data &amp; Mechanisms'!$P$599:$S$600, 2, FALSE), FALSE), 'Misc. Data &amp; Mechanisms'!$L$599:$N$659, 2, FALSE), FALSE) = "", "", VLOOKUP($A14, INDIRECT("'" &amp; 'Personalized Bill Menu'!$B$23 &amp; "'!" &amp;"$A$4:$CA$100"), VLOOKUP(VLOOKUP(AQ$5,'Misc. Data &amp; Mechanisms'!$P$601:$S$632,HLOOKUP('Personalized Bill Menu'!$B$23, 'Misc. Data &amp; Mechanisms'!$P$599:$S$600, 2, FALSE), FALSE), 'Misc. Data &amp; Mechanisms'!$L$599:$N$659, 2, FALSE), FALSE)))</f>
        <v/>
      </c>
      <c r="AR14" s="72">
        <f t="shared" ca="1" si="14"/>
        <v>0</v>
      </c>
      <c r="AS14" s="91">
        <f ca="1">IF($A14="", "",IF(VLOOKUP($A14, INDIRECT("'" &amp; 'Personalized Bill Menu'!$B$23 &amp; "'!" &amp;"$A$4:$CA$100"), VLOOKUP(VLOOKUP(AS$5,'Misc. Data &amp; Mechanisms'!$P$601:$S$632,HLOOKUP('Personalized Bill Menu'!$B$23, 'Misc. Data &amp; Mechanisms'!$P$599:$S$600, 2, FALSE), FALSE), 'Misc. Data &amp; Mechanisms'!$L$599:$N$659, 2, FALSE), FALSE) = "", "", VLOOKUP($A14, INDIRECT("'" &amp; 'Personalized Bill Menu'!$B$23 &amp; "'!" &amp;"$A$4:$CA$100"), VLOOKUP(VLOOKUP(AS$5,'Misc. Data &amp; Mechanisms'!$P$601:$S$632,HLOOKUP('Personalized Bill Menu'!$B$23, 'Misc. Data &amp; Mechanisms'!$P$599:$S$600, 2, FALSE), FALSE), 'Misc. Data &amp; Mechanisms'!$L$599:$N$659, 2, FALSE), FALSE)))</f>
        <v>0.05</v>
      </c>
      <c r="AT14" s="116"/>
      <c r="AU14" s="116"/>
      <c r="AV14" s="116"/>
      <c r="AW14" s="116"/>
      <c r="AX14" s="116"/>
    </row>
    <row r="15" spans="1:50" s="117" customFormat="1" ht="15" x14ac:dyDescent="0.25">
      <c r="A15" s="83">
        <f>'Personalized Bill Menu'!$H12</f>
        <v>41153</v>
      </c>
      <c r="B15" s="84">
        <f t="shared" si="3"/>
        <v>30</v>
      </c>
      <c r="C15" s="85">
        <f>IF('Personalized Bill Menu'!$B$34="Natural Gas", 'Personalized Bill Menu'!$I12, IF('Personalized Bill Menu'!$B$34="Both",'Personalized Bill Menu'!$M12,""))</f>
        <v>3.2815686387127947</v>
      </c>
      <c r="D15" s="66">
        <f t="shared" ca="1" si="4"/>
        <v>11.769373367986123</v>
      </c>
      <c r="E15" s="66">
        <f ca="1">IF($C15="Not Applicable", "", IFERROR(IFERROR((1+$AS15)*IF('Personalized Bill Menu'!$B$23="ATCO-N", IF(OR('Personalized Bill Menu'!$B$21="Fort McMurray",AND('Personalized Bill Menu'!$B$21="Spruce Grove", $A15&lt;DATE(2019, 5, 1) )),(((1+IF($T15="",0,$T15))*($N15+$P15))+ (IF($U15="", 0, $U15)*$P15)+(1+IF($T15="",0,$T15)+IF($U15="", 0, $U15))*(SUM($Y15:$AB15))),($N15+((1+IF($T15="",0,$T15)+IF($U15="", 0, $U15))*$P15)+(1+IF($T15="",0,$T15)+IF($U15="", 0, $U15))*(SUM($Y15:$AB15)))), IF('Personalized Bill Menu'!$B$23="ATCO-S",IF(OR('Personalized Bill Menu'!$B$21="Calgary",AND('Personalized Bill Menu'!$B$21="Okotoks", $A15&lt;DATE(2019, 1, 1))),((1+IF($T15="",0,$T15))*($N15+$P15+SUM($X15:$Y15,$AA15:$AC15)))+(IF($U15="",0, $U15)*($P15+SUM($X15:$Y15,$AA15:$AC15))), ((1+IF($T15="",0,$T15))*($P15+SUM($Y15,$AA15:$AC15)))+(IF($U15="",0, $U15)*($P15+SUM($X15:$Y15,$AA15:$AC15)))+$N15+IF($X15="", 0, $X15)),IF(AND('Personalized Bill Menu'!$B$21="Athabasca", $A15&lt;DATE(2019, 5, 1)),((1+IF($T15="",0,$T15)+IF($U15="", 0, $U15))*($N15+((1+SUM($X15:$Y15))*$P15)+SUM($Z15:$AA15))),((1+IF($U15="", 0, $U15))*($N15+((1+SUM($X15:$Y15))*$P15)+SUM($Z15:$AA15))) + (IF($T15="",0,$T15)*(((1+SUM($X15:$Y15))*$P15)+SUM($Z15:$AA15)))))), "")+ IF($AQ15="", 0,((1+$AS15)*$AQ15)), ""))</f>
        <v>3.218801145</v>
      </c>
      <c r="F15" s="118">
        <f t="shared" ca="1" si="5"/>
        <v>38.62200654168484</v>
      </c>
      <c r="G15" s="115">
        <f t="shared" si="0"/>
        <v>5.5819482544504639</v>
      </c>
      <c r="H15" s="66">
        <f t="shared" ca="1" si="1"/>
        <v>22.156611771969757</v>
      </c>
      <c r="I15" s="66">
        <f t="shared" ca="1" si="2"/>
        <v>3.0090154988245761</v>
      </c>
      <c r="J15" s="66">
        <f t="shared" ca="1" si="6"/>
        <v>-0.65471215221161616</v>
      </c>
      <c r="K15" s="66">
        <f t="shared" si="7"/>
        <v>6.69</v>
      </c>
      <c r="L15" s="66">
        <f t="shared" ca="1" si="8"/>
        <v>0</v>
      </c>
      <c r="M15" s="68">
        <f t="shared" ca="1" si="9"/>
        <v>1.8391431686516591</v>
      </c>
      <c r="N15" s="1290">
        <f>IF('Personalized Bill Menu'!$B$34="Natural Gas", 'Personalized Bill Menu'!$J12, IF('Personalized Bill Menu'!$B$34="Both",'Personalized Bill Menu'!$N12,""))</f>
        <v>1.7010000000000001</v>
      </c>
      <c r="O15" s="70">
        <f t="shared" si="10"/>
        <v>5.5819482544504639</v>
      </c>
      <c r="P15" s="89">
        <f ca="1">IF($A15="", "",IFERROR(IF(VLOOKUP($A15, INDIRECT("'" &amp; 'Personalized Bill Menu'!$B$23 &amp; "'!" &amp;"$A$4:$CA$100"), VLOOKUP(VLOOKUP(P$5,'Misc. Data &amp; Mechanisms'!$P$601:$S$632,HLOOKUP('Personalized Bill Menu'!$B$23, 'Misc. Data &amp; Mechanisms'!$P$599:$S$600, 2, FALSE), FALSE), 'Misc. Data &amp; Mechanisms'!$L$599:$N$659, 2, FALSE), FALSE) = "", "", VLOOKUP($A15, INDIRECT("'" &amp; 'Personalized Bill Menu'!$B$23 &amp; "'!" &amp;"$A$4:$CA$100"), VLOOKUP(VLOOKUP(P$5,'Misc. Data &amp; Mechanisms'!$P$601:$S$632,HLOOKUP('Personalized Bill Menu'!$B$23, 'Misc. Data &amp; Mechanisms'!$P$599:$S$600, 2, FALSE), FALSE), 'Misc. Data &amp; Mechanisms'!$L$599:$N$659, 2, FALSE), FALSE)), ""))</f>
        <v>0.64500000000000002</v>
      </c>
      <c r="Q15" s="69">
        <f ca="1">IF($A15="", "",IFERROR(IF(VLOOKUP($A15, INDIRECT("'" &amp; 'Personalized Bill Menu'!$B$23 &amp; "'!" &amp;"$A$4:$CA$100"), VLOOKUP(VLOOKUP(Q$5,'Misc. Data &amp; Mechanisms'!$P$601:$S$632,HLOOKUP('Personalized Bill Menu'!$B$23, 'Misc. Data &amp; Mechanisms'!$P$599:$S$600, 2, FALSE), FALSE), 'Misc. Data &amp; Mechanisms'!$L$599:$N$659, 2, FALSE), FALSE) = "", "", VLOOKUP($A15, INDIRECT("'" &amp; 'Personalized Bill Menu'!$B$23 &amp; "'!" &amp;"$A$4:$CA$100"), VLOOKUP(VLOOKUP(Q$5,'Misc. Data &amp; Mechanisms'!$P$601:$S$632,HLOOKUP('Personalized Bill Menu'!$B$23, 'Misc. Data &amp; Mechanisms'!$P$599:$S$600, 2, FALSE), FALSE), 'Misc. Data &amp; Mechanisms'!$L$599:$N$659, 2, FALSE), FALSE)), ""))</f>
        <v>0.66800000000000004</v>
      </c>
      <c r="R15" s="72">
        <f t="shared" ca="1" si="11"/>
        <v>2.1166117719697528</v>
      </c>
      <c r="S15" s="70">
        <f t="shared" ca="1" si="12"/>
        <v>20.040000000000003</v>
      </c>
      <c r="T15" s="78">
        <f>IFERROR(IF(VLOOKUP($A15,'Misc. Data &amp; Mechanisms'!$A$63:$DY$152,HLOOKUP('Personalized Bill Menu'!$B$21&amp;"_"&amp;'Personalized Bill Menu'!$B$23&amp;"_NG_Y_1",'Misc. Data &amp; Mechanisms'!$A$55:$DY$62,8,FALSE), FALSE)="", "", VLOOKUP($A15,'Misc. Data &amp; Mechanisms'!$A$63:$DY$152,HLOOKUP('Personalized Bill Menu'!$B$21&amp;"_"&amp;'Personalized Bill Menu'!$B$23&amp;"_NG_Y_1",'Misc. Data &amp; Mechanisms'!$A$55:$DY$62,8,FALSE), FALSE)), "")</f>
        <v>0.1111</v>
      </c>
      <c r="U15" s="78" t="str">
        <f>IFERROR(IF(VLOOKUP($A15,'Misc. Data &amp; Mechanisms'!$A$63:$DY$152,HLOOKUP('Personalized Bill Menu'!$B$21&amp;"_"&amp;'Personalized Bill Menu'!$B$23&amp;"_NG_Y_2",'Misc. Data &amp; Mechanisms'!$A$55:$DY$62,8,FALSE), FALSE)="", "",VLOOKUP($A15,'Misc. Data &amp; Mechanisms'!$A$63:$DY$152,HLOOKUP('Personalized Bill Menu'!$B$21&amp;"_"&amp;'Personalized Bill Menu'!$B$23&amp;"_NG_Y_2",'Misc. Data &amp; Mechanisms'!$A$55:$DY$62,8,FALSE), FALSE)), "")</f>
        <v/>
      </c>
      <c r="V15" s="72">
        <f ca="1">IF($A15="", "", IFERROR(IF('Personalized Bill Menu'!$B$23="ATCO-N", IF(OR('Personalized Bill Menu'!$B$21="Fort McMurray",AND('Personalized Bill Menu'!$B$21="Spruce Grove", $A15&lt;DATE(2019, 5, 1))),$T15*($G15+$H15+$J15),$T15*($H15+$J15)), IF('Personalized Bill Menu'!$B$23="ATCO-S",IF(OR('Personalized Bill Menu'!$B$21="Calgary",AND('Personalized Bill Menu'!$B$21="Okotoks", $A15&lt;DATE(2019, 1, 1))),$T15*($G15+$H15+$J15), $T15*($H15+$J15-$AG15)),IF(AND('Personalized Bill Menu'!$B$21="Athabasca", $A15&lt;DATE(2019, 5, 1)),$T15*($G15+$H15+$J15+$K15),$T15*($H15+$J15+$K15)))),0))</f>
        <v>3.0090154988245761</v>
      </c>
      <c r="W15" s="72">
        <f ca="1">IF($A15="", "", IFERROR(IF('Personalized Bill Menu'!$B$23="ATCO-N", $U15*($H15+$J15), IF('Personalized Bill Menu'!$B$23="ATCO-S",$U15*($H15+$J15),$U15*($G15+$H15+$J15+$K15))),0))</f>
        <v>0</v>
      </c>
      <c r="X15" s="89" t="str">
        <f ca="1">IF($A15="", "",IFERROR(IF(VLOOKUP($A15, INDIRECT("'" &amp; 'Personalized Bill Menu'!$B$23 &amp; "'!" &amp;"$A$4:$CA$100"), VLOOKUP(VLOOKUP("RIDER RATE 1",'Misc. Data &amp; Mechanisms'!$P$601:$S$632,HLOOKUP('Personalized Bill Menu'!$B$23, 'Misc. Data &amp; Mechanisms'!$P$599:$S$600, 2, FALSE), FALSE), 'Misc. Data &amp; Mechanisms'!$L$599:$N$659, 2, FALSE), FALSE) = "", "", VLOOKUP($A15, INDIRECT("'" &amp; 'Personalized Bill Menu'!$B$23 &amp; "'!" &amp;"$A$4:$CA$100"), VLOOKUP(VLOOKUP("RIDER RATE 1",'Misc. Data &amp; Mechanisms'!$P$601:$S$632,HLOOKUP('Personalized Bill Menu'!$B$23, 'Misc. Data &amp; Mechanisms'!$P$599:$S$600, 2, FALSE), FALSE), 'Misc. Data &amp; Mechanisms'!$L$599:$N$659, 2, FALSE), FALSE)), ""))</f>
        <v/>
      </c>
      <c r="Y15" s="69" t="str">
        <f ca="1">IF($A15="", "",IFERROR(IF(VLOOKUP($A15, INDIRECT("'" &amp; 'Personalized Bill Menu'!$B$23 &amp; "'!" &amp;"$A$4:$CA$100"), VLOOKUP(VLOOKUP("RIDER RATE 2",'Misc. Data &amp; Mechanisms'!$P$601:$S$632,HLOOKUP('Personalized Bill Menu'!$B$23, 'Misc. Data &amp; Mechanisms'!$P$599:$S$600, 2, FALSE), FALSE), 'Misc. Data &amp; Mechanisms'!$L$599:$N$659, 2, FALSE), FALSE) = "", "", VLOOKUP($A15, INDIRECT("'" &amp; 'Personalized Bill Menu'!$B$23 &amp; "'!" &amp;"$A$4:$CA$100"), VLOOKUP(VLOOKUP("RIDER RATE 2",'Misc. Data &amp; Mechanisms'!$P$601:$S$632,HLOOKUP('Personalized Bill Menu'!$B$23, 'Misc. Data &amp; Mechanisms'!$P$599:$S$600, 2, FALSE), FALSE), 'Misc. Data &amp; Mechanisms'!$L$599:$N$659, 2, FALSE), FALSE)), ""))</f>
        <v/>
      </c>
      <c r="Z15" s="69">
        <f ca="1">IF($A15="", "",IFERROR(IF(VLOOKUP($A15, INDIRECT("'" &amp; 'Personalized Bill Menu'!$B$23 &amp; "'!" &amp;"$A$4:$CA$100"), VLOOKUP(VLOOKUP("RIDER RATE 3",'Misc. Data &amp; Mechanisms'!$P$601:$S$632,HLOOKUP('Personalized Bill Menu'!$B$23, 'Misc. Data &amp; Mechanisms'!$P$599:$S$600, 2, FALSE), FALSE), 'Misc. Data &amp; Mechanisms'!$L$599:$N$659, 2, FALSE), FALSE) = "", "", VLOOKUP($A15, INDIRECT("'" &amp; 'Personalized Bill Menu'!$B$23 &amp; "'!" &amp;"$A$4:$CA$100"), VLOOKUP(VLOOKUP("RIDER RATE 3",'Misc. Data &amp; Mechanisms'!$P$601:$S$632,HLOOKUP('Personalized Bill Menu'!$B$23, 'Misc. Data &amp; Mechanisms'!$P$599:$S$600, 2, FALSE), FALSE), 'Misc. Data &amp; Mechanisms'!$L$599:$N$659, 2, FALSE), FALSE)), ""))</f>
        <v>-6.7000000000000004E-2</v>
      </c>
      <c r="AA15" s="69">
        <f ca="1">IF($A15="", "",IFERROR(IF(VLOOKUP($A15, INDIRECT("'" &amp; 'Personalized Bill Menu'!$B$23 &amp; "'!" &amp;"$A$4:$CA$100"), VLOOKUP(VLOOKUP("RIDER RATE 4",'Misc. Data &amp; Mechanisms'!$P$601:$S$632,HLOOKUP('Personalized Bill Menu'!$B$23, 'Misc. Data &amp; Mechanisms'!$P$599:$S$600, 2, FALSE), FALSE), 'Misc. Data &amp; Mechanisms'!$L$599:$N$659, 2, FALSE), FALSE) = "", "", VLOOKUP($A15, INDIRECT("'" &amp; 'Personalized Bill Menu'!$B$23 &amp; "'!" &amp;"$A$4:$CA$100"), VLOOKUP(VLOOKUP("RIDER RATE 4",'Misc. Data &amp; Mechanisms'!$P$601:$S$632,HLOOKUP('Personalized Bill Menu'!$B$23, 'Misc. Data &amp; Mechanisms'!$P$599:$S$600, 2, FALSE), FALSE), 'Misc. Data &amp; Mechanisms'!$L$599:$N$659, 2, FALSE), FALSE)), ""))</f>
        <v>-6.4000000000000001E-2</v>
      </c>
      <c r="AB15" s="69">
        <f ca="1">IF($A15="", "",IFERROR(IF(VLOOKUP($A15, INDIRECT("'" &amp; 'Personalized Bill Menu'!$B$23 &amp; "'!" &amp;"$A$4:$CA$100"), VLOOKUP(VLOOKUP("RIDER RATE 5",'Misc. Data &amp; Mechanisms'!$P$601:$S$632,HLOOKUP('Personalized Bill Menu'!$B$23, 'Misc. Data &amp; Mechanisms'!$P$599:$S$600, 2, FALSE), FALSE), 'Misc. Data &amp; Mechanisms'!$L$599:$N$659, 2, FALSE), FALSE) = "", "", VLOOKUP($A15, INDIRECT("'" &amp; 'Personalized Bill Menu'!$B$23 &amp; "'!" &amp;"$A$4:$CA$100"), VLOOKUP(VLOOKUP("RIDER RATE 5",'Misc. Data &amp; Mechanisms'!$P$601:$S$632,HLOOKUP('Personalized Bill Menu'!$B$23, 'Misc. Data &amp; Mechanisms'!$P$599:$S$600, 2, FALSE), FALSE), 'Misc. Data &amp; Mechanisms'!$L$599:$N$659, 2, FALSE), FALSE)), ""))</f>
        <v>0.47699999999999998</v>
      </c>
      <c r="AC15" s="69" t="str">
        <f ca="1">IF($A15="", "",IFERROR(IF(VLOOKUP($A15, INDIRECT("'" &amp; 'Personalized Bill Menu'!$B$23 &amp; "'!" &amp;"$A$4:$CA$100"), VLOOKUP(VLOOKUP("RIDER RATE 6",'Misc. Data &amp; Mechanisms'!$P$601:$S$632,HLOOKUP('Personalized Bill Menu'!$B$23, 'Misc. Data &amp; Mechanisms'!$P$599:$S$600, 2, FALSE), FALSE), 'Misc. Data &amp; Mechanisms'!$L$599:$N$659, 2, FALSE), FALSE) = "", "", VLOOKUP($A15, INDIRECT("'" &amp; 'Personalized Bill Menu'!$B$23 &amp; "'!" &amp;"$A$4:$CA$100"), VLOOKUP(VLOOKUP("RIDER RATE 6",'Misc. Data &amp; Mechanisms'!$P$601:$S$632,HLOOKUP('Personalized Bill Menu'!$B$23, 'Misc. Data &amp; Mechanisms'!$P$599:$S$600, 2, FALSE), FALSE), 'Misc. Data &amp; Mechanisms'!$L$599:$N$659, 2, FALSE), FALSE)), ""))</f>
        <v/>
      </c>
      <c r="AD15" s="69" t="str">
        <f ca="1">IF($A15="", "",IFERROR(IF(VLOOKUP($A15, INDIRECT("'" &amp; 'Personalized Bill Menu'!$B$23 &amp; "'!" &amp;"$A$4:$CA$100"), VLOOKUP(VLOOKUP("RIDER RATE 7",'Misc. Data &amp; Mechanisms'!$P$601:$S$632,HLOOKUP('Personalized Bill Menu'!$B$23, 'Misc. Data &amp; Mechanisms'!$P$599:$S$600, 2, FALSE), FALSE), 'Misc. Data &amp; Mechanisms'!$L$599:$N$659, 2, FALSE), FALSE) = "", "", VLOOKUP($A15, INDIRECT("'" &amp; 'Personalized Bill Menu'!$B$23 &amp; "'!" &amp;"$A$4:$CA$100"), VLOOKUP(VLOOKUP("RIDER RATE 7",'Misc. Data &amp; Mechanisms'!$P$601:$S$632,HLOOKUP('Personalized Bill Menu'!$B$23, 'Misc. Data &amp; Mechanisms'!$P$599:$S$600, 2, FALSE), FALSE), 'Misc. Data &amp; Mechanisms'!$L$599:$N$659, 2, FALSE), FALSE)), ""))</f>
        <v/>
      </c>
      <c r="AE15" s="69" t="str">
        <f ca="1">IF($A15="", "",IFERROR(IF(VLOOKUP($A15, INDIRECT("'" &amp; 'Personalized Bill Menu'!$B$23 &amp; "'!" &amp;"$A$4:$CA$100"), VLOOKUP(VLOOKUP("RIDER RATE 8",'Misc. Data &amp; Mechanisms'!$P$601:$S$632,HLOOKUP('Personalized Bill Menu'!$B$23, 'Misc. Data &amp; Mechanisms'!$P$599:$S$600, 2, FALSE), FALSE), 'Misc. Data &amp; Mechanisms'!$L$599:$N$659, 2, FALSE), FALSE) = "", "", VLOOKUP($A15, INDIRECT("'" &amp; 'Personalized Bill Menu'!$B$23 &amp; "'!" &amp;"$A$4:$CA$100"), VLOOKUP(VLOOKUP("RIDER RATE 8",'Misc. Data &amp; Mechanisms'!$P$601:$S$632,HLOOKUP('Personalized Bill Menu'!$B$23, 'Misc. Data &amp; Mechanisms'!$P$599:$S$600, 2, FALSE), FALSE), 'Misc. Data &amp; Mechanisms'!$L$599:$N$659, 2, FALSE), FALSE)), ""))</f>
        <v/>
      </c>
      <c r="AF15" s="69" t="str">
        <f ca="1">IF($A15="", "",IFERROR(IF(VLOOKUP($A15, INDIRECT("'" &amp; 'Personalized Bill Menu'!$B$23 &amp; "'!" &amp;"$A$4:$CA$100"), VLOOKUP(VLOOKUP("RIDER RATE 9",'Misc. Data &amp; Mechanisms'!$P$601:$S$632,HLOOKUP('Personalized Bill Menu'!$B$23, 'Misc. Data &amp; Mechanisms'!$P$599:$S$600, 2, FALSE), FALSE), 'Misc. Data &amp; Mechanisms'!$L$599:$N$659, 2, FALSE), FALSE) = "", "", VLOOKUP($A15, INDIRECT("'" &amp; 'Personalized Bill Menu'!$B$23 &amp; "'!" &amp;"$A$4:$CA$100"), VLOOKUP(VLOOKUP("RIDER RATE 9",'Misc. Data &amp; Mechanisms'!$P$601:$S$632,HLOOKUP('Personalized Bill Menu'!$B$23, 'Misc. Data &amp; Mechanisms'!$P$599:$S$600, 2, FALSE), FALSE), 'Misc. Data &amp; Mechanisms'!$L$599:$N$659, 2, FALSE), FALSE)), ""))</f>
        <v/>
      </c>
      <c r="AG15" s="72">
        <f ca="1">IF($A15="", "", IFERROR(IF('Personalized Bill Menu'!$B$23="ATCO-N", ($X15*$B15) +($Y15*$C15), IF('Personalized Bill Menu'!$B$23="ATCO-S",$X15*$C15, IF($Y15="", ($X15*$H15), ($Y15*($H15+$K15))))), 0))</f>
        <v>0</v>
      </c>
      <c r="AH15" s="72">
        <f ca="1">IF($A15="", "", IFERROR(IF('Personalized Bill Menu'!$B$23="ATCO-S", $Y15*$C15, $Z15*$C15), 0))</f>
        <v>0</v>
      </c>
      <c r="AI15" s="72">
        <f ca="1">IF($A15="", "", IFERROR(IF('Personalized Bill Menu'!$B$23="ATCO-S", ($AA15*$C15)+($Z15*$B15), $AA15*$C15), 0))</f>
        <v>-2.2200203928776192</v>
      </c>
      <c r="AJ15" s="72">
        <f ca="1">IF($A15="", "", IFERROR(IF('Personalized Bill Menu'!$B$23&lt;&gt;"AltaGas",$AB15*$C15,""),0))</f>
        <v>1.565308240666003</v>
      </c>
      <c r="AK15" s="72">
        <f ca="1">IF($A15="", "", IFERROR(IF('Personalized Bill Menu'!$B$23="ATCO-S",$AC15*$C15,IF('Personalized Bill Menu'!$B$23="ATCO-N",$AC15*1,"")),0))</f>
        <v>0</v>
      </c>
      <c r="AL15" s="72">
        <f ca="1">IF($A15="", "", IFERROR(IF('Personalized Bill Menu'!$B$23="ATCO-N",$AD15*$B15,IF('Personalized Bill Menu'!$B$23="ATCO-S",$AD15*1,"")),0))</f>
        <v>0</v>
      </c>
      <c r="AM15" s="72">
        <f ca="1">IF($A15="", "", IFERROR(IF('Personalized Bill Menu'!$B$23="ATCO-S",$AE15*$B15,IF('Personalized Bill Menu'!$B$23="ATCO-N",$AE15*$B15,"")),0))</f>
        <v>0</v>
      </c>
      <c r="AN15" s="70">
        <f ca="1">IF($A15="", "", IFERROR(IF('Personalized Bill Menu'!$B$23="ATCO-S",$AF15*$B15,""),0))</f>
        <v>0</v>
      </c>
      <c r="AO15" s="69">
        <f>IF('Personalized Bill Menu'!$B$34="Natural Gas", 'Personalized Bill Menu'!$K12, IF('Personalized Bill Menu'!$B$34="Both",'Personalized Bill Menu'!$O12,""))</f>
        <v>0.223</v>
      </c>
      <c r="AP15" s="72">
        <f t="shared" si="13"/>
        <v>6.69</v>
      </c>
      <c r="AQ15" s="89" t="str">
        <f ca="1">IF($A15="", "",IF(VLOOKUP($A15, INDIRECT("'" &amp; 'Personalized Bill Menu'!$B$23 &amp; "'!" &amp;"$A$4:$CA$100"), VLOOKUP(VLOOKUP(AQ$5,'Misc. Data &amp; Mechanisms'!$P$601:$S$632,HLOOKUP('Personalized Bill Menu'!$B$23, 'Misc. Data &amp; Mechanisms'!$P$599:$S$600, 2, FALSE), FALSE), 'Misc. Data &amp; Mechanisms'!$L$599:$N$659, 2, FALSE), FALSE) = "", "", VLOOKUP($A15, INDIRECT("'" &amp; 'Personalized Bill Menu'!$B$23 &amp; "'!" &amp;"$A$4:$CA$100"), VLOOKUP(VLOOKUP(AQ$5,'Misc. Data &amp; Mechanisms'!$P$601:$S$632,HLOOKUP('Personalized Bill Menu'!$B$23, 'Misc. Data &amp; Mechanisms'!$P$599:$S$600, 2, FALSE), FALSE), 'Misc. Data &amp; Mechanisms'!$L$599:$N$659, 2, FALSE), FALSE)))</f>
        <v/>
      </c>
      <c r="AR15" s="72">
        <f t="shared" ca="1" si="14"/>
        <v>0</v>
      </c>
      <c r="AS15" s="91">
        <f ca="1">IF($A15="", "",IF(VLOOKUP($A15, INDIRECT("'" &amp; 'Personalized Bill Menu'!$B$23 &amp; "'!" &amp;"$A$4:$CA$100"), VLOOKUP(VLOOKUP(AS$5,'Misc. Data &amp; Mechanisms'!$P$601:$S$632,HLOOKUP('Personalized Bill Menu'!$B$23, 'Misc. Data &amp; Mechanisms'!$P$599:$S$600, 2, FALSE), FALSE), 'Misc. Data &amp; Mechanisms'!$L$599:$N$659, 2, FALSE), FALSE) = "", "", VLOOKUP($A15, INDIRECT("'" &amp; 'Personalized Bill Menu'!$B$23 &amp; "'!" &amp;"$A$4:$CA$100"), VLOOKUP(VLOOKUP(AS$5,'Misc. Data &amp; Mechanisms'!$P$601:$S$632,HLOOKUP('Personalized Bill Menu'!$B$23, 'Misc. Data &amp; Mechanisms'!$P$599:$S$600, 2, FALSE), FALSE), 'Misc. Data &amp; Mechanisms'!$L$599:$N$659, 2, FALSE), FALSE)))</f>
        <v>0.05</v>
      </c>
      <c r="AT15" s="116"/>
      <c r="AU15" s="116"/>
      <c r="AV15" s="116"/>
      <c r="AW15" s="116"/>
      <c r="AX15" s="116"/>
    </row>
    <row r="16" spans="1:50" s="117" customFormat="1" ht="15" x14ac:dyDescent="0.25">
      <c r="A16" s="83">
        <f>'Personalized Bill Menu'!$H13</f>
        <v>41183</v>
      </c>
      <c r="B16" s="84">
        <f t="shared" si="3"/>
        <v>31</v>
      </c>
      <c r="C16" s="85">
        <f>IF('Personalized Bill Menu'!$B$34="Natural Gas", 'Personalized Bill Menu'!$I13, IF('Personalized Bill Menu'!$B$34="Both",'Personalized Bill Menu'!$M13,""))</f>
        <v>12.414546391241233</v>
      </c>
      <c r="D16" s="66">
        <f t="shared" ca="1" si="4"/>
        <v>6.5833251863595734</v>
      </c>
      <c r="E16" s="66">
        <f ca="1">IF($C16="Not Applicable", "", IFERROR(IFERROR((1+$AS16)*IF('Personalized Bill Menu'!$B$23="ATCO-N", IF(OR('Personalized Bill Menu'!$B$21="Fort McMurray",AND('Personalized Bill Menu'!$B$21="Spruce Grove", $A16&lt;DATE(2019, 5, 1) )),(((1+IF($T16="",0,$T16))*($N16+$P16))+ (IF($U16="", 0, $U16)*$P16)+(1+IF($T16="",0,$T16)+IF($U16="", 0, $U16))*(SUM($Y16:$AB16))),($N16+((1+IF($T16="",0,$T16)+IF($U16="", 0, $U16))*$P16)+(1+IF($T16="",0,$T16)+IF($U16="", 0, $U16))*(SUM($Y16:$AB16)))), IF('Personalized Bill Menu'!$B$23="ATCO-S",IF(OR('Personalized Bill Menu'!$B$21="Calgary",AND('Personalized Bill Menu'!$B$21="Okotoks", $A16&lt;DATE(2019, 1, 1))),((1+IF($T16="",0,$T16))*($N16+$P16+SUM($X16:$Y16,$AA16:$AC16)))+(IF($U16="",0, $U16)*($P16+SUM($X16:$Y16,$AA16:$AC16))), ((1+IF($T16="",0,$T16))*($P16+SUM($Y16,$AA16:$AC16)))+(IF($U16="",0, $U16)*($P16+SUM($X16:$Y16,$AA16:$AC16)))+$N16+IF($X16="", 0, $X16)),IF(AND('Personalized Bill Menu'!$B$21="Athabasca", $A16&lt;DATE(2019, 5, 1)),((1+IF($T16="",0,$T16)+IF($U16="", 0, $U16))*($N16+((1+SUM($X16:$Y16))*$P16)+SUM($Z16:$AA16))),((1+IF($U16="", 0, $U16))*($N16+((1+SUM($X16:$Y16))*$P16)+SUM($Z16:$AA16))) + (IF($T16="",0,$T16)*(((1+SUM($X16:$Y16))*$P16)+SUM($Z16:$AA16)))))), "")+ IF($AQ16="", 0,((1+$AS16)*$AQ16)), ""))</f>
        <v>4.2477908550000008</v>
      </c>
      <c r="F16" s="118">
        <f t="shared" ca="1" si="5"/>
        <v>81.728995934687759</v>
      </c>
      <c r="G16" s="115">
        <f t="shared" si="0"/>
        <v>32.066773328576105</v>
      </c>
      <c r="H16" s="66">
        <f t="shared" ca="1" si="1"/>
        <v>28.715382422350597</v>
      </c>
      <c r="I16" s="66">
        <f t="shared" ca="1" si="2"/>
        <v>7.0917755749075866</v>
      </c>
      <c r="J16" s="66">
        <f t="shared" ca="1" si="6"/>
        <v>3.0502076595826288</v>
      </c>
      <c r="K16" s="66">
        <f t="shared" si="7"/>
        <v>6.9130000000000003</v>
      </c>
      <c r="L16" s="66">
        <f t="shared" ca="1" si="8"/>
        <v>0</v>
      </c>
      <c r="M16" s="68">
        <f t="shared" ca="1" si="9"/>
        <v>3.8918569492708457</v>
      </c>
      <c r="N16" s="1290">
        <f>IF('Personalized Bill Menu'!$B$34="Natural Gas", 'Personalized Bill Menu'!$J13, IF('Personalized Bill Menu'!$B$34="Both",'Personalized Bill Menu'!$N13,""))</f>
        <v>2.5830000000000002</v>
      </c>
      <c r="O16" s="70">
        <f t="shared" si="10"/>
        <v>32.066773328576105</v>
      </c>
      <c r="P16" s="89">
        <f ca="1">IF($A16="", "",IFERROR(IF(VLOOKUP($A16, INDIRECT("'" &amp; 'Personalized Bill Menu'!$B$23 &amp; "'!" &amp;"$A$4:$CA$100"), VLOOKUP(VLOOKUP(P$5,'Misc. Data &amp; Mechanisms'!$P$601:$S$632,HLOOKUP('Personalized Bill Menu'!$B$23, 'Misc. Data &amp; Mechanisms'!$P$599:$S$600, 2, FALSE), FALSE), 'Misc. Data &amp; Mechanisms'!$L$599:$N$659, 2, FALSE), FALSE) = "", "", VLOOKUP($A16, INDIRECT("'" &amp; 'Personalized Bill Menu'!$B$23 &amp; "'!" &amp;"$A$4:$CA$100"), VLOOKUP(VLOOKUP(P$5,'Misc. Data &amp; Mechanisms'!$P$601:$S$632,HLOOKUP('Personalized Bill Menu'!$B$23, 'Misc. Data &amp; Mechanisms'!$P$599:$S$600, 2, FALSE), FALSE), 'Misc. Data &amp; Mechanisms'!$L$599:$N$659, 2, FALSE), FALSE)), ""))</f>
        <v>0.64500000000000002</v>
      </c>
      <c r="Q16" s="69">
        <f ca="1">IF($A16="", "",IFERROR(IF(VLOOKUP($A16, INDIRECT("'" &amp; 'Personalized Bill Menu'!$B$23 &amp; "'!" &amp;"$A$4:$CA$100"), VLOOKUP(VLOOKUP(Q$5,'Misc. Data &amp; Mechanisms'!$P$601:$S$632,HLOOKUP('Personalized Bill Menu'!$B$23, 'Misc. Data &amp; Mechanisms'!$P$599:$S$600, 2, FALSE), FALSE), 'Misc. Data &amp; Mechanisms'!$L$599:$N$659, 2, FALSE), FALSE) = "", "", VLOOKUP($A16, INDIRECT("'" &amp; 'Personalized Bill Menu'!$B$23 &amp; "'!" &amp;"$A$4:$CA$100"), VLOOKUP(VLOOKUP(Q$5,'Misc. Data &amp; Mechanisms'!$P$601:$S$632,HLOOKUP('Personalized Bill Menu'!$B$23, 'Misc. Data &amp; Mechanisms'!$P$599:$S$600, 2, FALSE), FALSE), 'Misc. Data &amp; Mechanisms'!$L$599:$N$659, 2, FALSE), FALSE)), ""))</f>
        <v>0.66800000000000004</v>
      </c>
      <c r="R16" s="72">
        <f t="shared" ca="1" si="11"/>
        <v>8.0073824223505952</v>
      </c>
      <c r="S16" s="70">
        <f t="shared" ca="1" si="12"/>
        <v>20.708000000000002</v>
      </c>
      <c r="T16" s="78">
        <f>IFERROR(IF(VLOOKUP($A16,'Misc. Data &amp; Mechanisms'!$A$63:$DY$152,HLOOKUP('Personalized Bill Menu'!$B$21&amp;"_"&amp;'Personalized Bill Menu'!$B$23&amp;"_NG_Y_1",'Misc. Data &amp; Mechanisms'!$A$55:$DY$62,8,FALSE), FALSE)="", "", VLOOKUP($A16,'Misc. Data &amp; Mechanisms'!$A$63:$DY$152,HLOOKUP('Personalized Bill Menu'!$B$21&amp;"_"&amp;'Personalized Bill Menu'!$B$23&amp;"_NG_Y_1",'Misc. Data &amp; Mechanisms'!$A$55:$DY$62,8,FALSE), FALSE)), "")</f>
        <v>0.1111</v>
      </c>
      <c r="U16" s="78" t="str">
        <f>IFERROR(IF(VLOOKUP($A16,'Misc. Data &amp; Mechanisms'!$A$63:$DY$152,HLOOKUP('Personalized Bill Menu'!$B$21&amp;"_"&amp;'Personalized Bill Menu'!$B$23&amp;"_NG_Y_2",'Misc. Data &amp; Mechanisms'!$A$55:$DY$62,8,FALSE), FALSE)="", "",VLOOKUP($A16,'Misc. Data &amp; Mechanisms'!$A$63:$DY$152,HLOOKUP('Personalized Bill Menu'!$B$21&amp;"_"&amp;'Personalized Bill Menu'!$B$23&amp;"_NG_Y_2",'Misc. Data &amp; Mechanisms'!$A$55:$DY$62,8,FALSE), FALSE)), "")</f>
        <v/>
      </c>
      <c r="V16" s="72">
        <f ca="1">IF($A16="", "", IFERROR(IF('Personalized Bill Menu'!$B$23="ATCO-N", IF(OR('Personalized Bill Menu'!$B$21="Fort McMurray",AND('Personalized Bill Menu'!$B$21="Spruce Grove", $A16&lt;DATE(2019, 5, 1))),$T16*($G16+$H16+$J16),$T16*($H16+$J16)), IF('Personalized Bill Menu'!$B$23="ATCO-S",IF(OR('Personalized Bill Menu'!$B$21="Calgary",AND('Personalized Bill Menu'!$B$21="Okotoks", $A16&lt;DATE(2019, 1, 1))),$T16*($G16+$H16+$J16), $T16*($H16+$J16-$AG16)),IF(AND('Personalized Bill Menu'!$B$21="Athabasca", $A16&lt;DATE(2019, 5, 1)),$T16*($G16+$H16+$J16+$K16),$T16*($H16+$J16+$K16)))),0))</f>
        <v>7.0917755749075866</v>
      </c>
      <c r="W16" s="72">
        <f ca="1">IF($A16="", "", IFERROR(IF('Personalized Bill Menu'!$B$23="ATCO-N", $U16*($H16+$J16), IF('Personalized Bill Menu'!$B$23="ATCO-S",$U16*($H16+$J16),$U16*($G16+$H16+$J16+$K16))),0))</f>
        <v>0</v>
      </c>
      <c r="X16" s="89" t="str">
        <f ca="1">IF($A16="", "",IFERROR(IF(VLOOKUP($A16, INDIRECT("'" &amp; 'Personalized Bill Menu'!$B$23 &amp; "'!" &amp;"$A$4:$CA$100"), VLOOKUP(VLOOKUP("RIDER RATE 1",'Misc. Data &amp; Mechanisms'!$P$601:$S$632,HLOOKUP('Personalized Bill Menu'!$B$23, 'Misc. Data &amp; Mechanisms'!$P$599:$S$600, 2, FALSE), FALSE), 'Misc. Data &amp; Mechanisms'!$L$599:$N$659, 2, FALSE), FALSE) = "", "", VLOOKUP($A16, INDIRECT("'" &amp; 'Personalized Bill Menu'!$B$23 &amp; "'!" &amp;"$A$4:$CA$100"), VLOOKUP(VLOOKUP("RIDER RATE 1",'Misc. Data &amp; Mechanisms'!$P$601:$S$632,HLOOKUP('Personalized Bill Menu'!$B$23, 'Misc. Data &amp; Mechanisms'!$P$599:$S$600, 2, FALSE), FALSE), 'Misc. Data &amp; Mechanisms'!$L$599:$N$659, 2, FALSE), FALSE)), ""))</f>
        <v/>
      </c>
      <c r="Y16" s="69" t="str">
        <f ca="1">IF($A16="", "",IFERROR(IF(VLOOKUP($A16, INDIRECT("'" &amp; 'Personalized Bill Menu'!$B$23 &amp; "'!" &amp;"$A$4:$CA$100"), VLOOKUP(VLOOKUP("RIDER RATE 2",'Misc. Data &amp; Mechanisms'!$P$601:$S$632,HLOOKUP('Personalized Bill Menu'!$B$23, 'Misc. Data &amp; Mechanisms'!$P$599:$S$600, 2, FALSE), FALSE), 'Misc. Data &amp; Mechanisms'!$L$599:$N$659, 2, FALSE), FALSE) = "", "", VLOOKUP($A16, INDIRECT("'" &amp; 'Personalized Bill Menu'!$B$23 &amp; "'!" &amp;"$A$4:$CA$100"), VLOOKUP(VLOOKUP("RIDER RATE 2",'Misc. Data &amp; Mechanisms'!$P$601:$S$632,HLOOKUP('Personalized Bill Menu'!$B$23, 'Misc. Data &amp; Mechanisms'!$P$599:$S$600, 2, FALSE), FALSE), 'Misc. Data &amp; Mechanisms'!$L$599:$N$659, 2, FALSE), FALSE)), ""))</f>
        <v/>
      </c>
      <c r="Z16" s="69">
        <f ca="1">IF($A16="", "",IFERROR(IF(VLOOKUP($A16, INDIRECT("'" &amp; 'Personalized Bill Menu'!$B$23 &amp; "'!" &amp;"$A$4:$CA$100"), VLOOKUP(VLOOKUP("RIDER RATE 3",'Misc. Data &amp; Mechanisms'!$P$601:$S$632,HLOOKUP('Personalized Bill Menu'!$B$23, 'Misc. Data &amp; Mechanisms'!$P$599:$S$600, 2, FALSE), FALSE), 'Misc. Data &amp; Mechanisms'!$L$599:$N$659, 2, FALSE), FALSE) = "", "", VLOOKUP($A16, INDIRECT("'" &amp; 'Personalized Bill Menu'!$B$23 &amp; "'!" &amp;"$A$4:$CA$100"), VLOOKUP(VLOOKUP("RIDER RATE 3",'Misc. Data &amp; Mechanisms'!$P$601:$S$632,HLOOKUP('Personalized Bill Menu'!$B$23, 'Misc. Data &amp; Mechanisms'!$P$599:$S$600, 2, FALSE), FALSE), 'Misc. Data &amp; Mechanisms'!$L$599:$N$659, 2, FALSE), FALSE)), ""))</f>
        <v>-6.7000000000000004E-2</v>
      </c>
      <c r="AA16" s="69">
        <f ca="1">IF($A16="", "",IFERROR(IF(VLOOKUP($A16, INDIRECT("'" &amp; 'Personalized Bill Menu'!$B$23 &amp; "'!" &amp;"$A$4:$CA$100"), VLOOKUP(VLOOKUP("RIDER RATE 4",'Misc. Data &amp; Mechanisms'!$P$601:$S$632,HLOOKUP('Personalized Bill Menu'!$B$23, 'Misc. Data &amp; Mechanisms'!$P$599:$S$600, 2, FALSE), FALSE), 'Misc. Data &amp; Mechanisms'!$L$599:$N$659, 2, FALSE), FALSE) = "", "", VLOOKUP($A16, INDIRECT("'" &amp; 'Personalized Bill Menu'!$B$23 &amp; "'!" &amp;"$A$4:$CA$100"), VLOOKUP(VLOOKUP("RIDER RATE 4",'Misc. Data &amp; Mechanisms'!$P$601:$S$632,HLOOKUP('Personalized Bill Menu'!$B$23, 'Misc. Data &amp; Mechanisms'!$P$599:$S$600, 2, FALSE), FALSE), 'Misc. Data &amp; Mechanisms'!$L$599:$N$659, 2, FALSE), FALSE)), ""))</f>
        <v>-6.4000000000000001E-2</v>
      </c>
      <c r="AB16" s="69">
        <f ca="1">IF($A16="", "",IFERROR(IF(VLOOKUP($A16, INDIRECT("'" &amp; 'Personalized Bill Menu'!$B$23 &amp; "'!" &amp;"$A$4:$CA$100"), VLOOKUP(VLOOKUP("RIDER RATE 5",'Misc. Data &amp; Mechanisms'!$P$601:$S$632,HLOOKUP('Personalized Bill Menu'!$B$23, 'Misc. Data &amp; Mechanisms'!$P$599:$S$600, 2, FALSE), FALSE), 'Misc. Data &amp; Mechanisms'!$L$599:$N$659, 2, FALSE), FALSE) = "", "", VLOOKUP($A16, INDIRECT("'" &amp; 'Personalized Bill Menu'!$B$23 &amp; "'!" &amp;"$A$4:$CA$100"), VLOOKUP(VLOOKUP("RIDER RATE 5",'Misc. Data &amp; Mechanisms'!$P$601:$S$632,HLOOKUP('Personalized Bill Menu'!$B$23, 'Misc. Data &amp; Mechanisms'!$P$599:$S$600, 2, FALSE), FALSE), 'Misc. Data &amp; Mechanisms'!$L$599:$N$659, 2, FALSE), FALSE)), ""))</f>
        <v>0.47699999999999998</v>
      </c>
      <c r="AC16" s="69" t="str">
        <f ca="1">IF($A16="", "",IFERROR(IF(VLOOKUP($A16, INDIRECT("'" &amp; 'Personalized Bill Menu'!$B$23 &amp; "'!" &amp;"$A$4:$CA$100"), VLOOKUP(VLOOKUP("RIDER RATE 6",'Misc. Data &amp; Mechanisms'!$P$601:$S$632,HLOOKUP('Personalized Bill Menu'!$B$23, 'Misc. Data &amp; Mechanisms'!$P$599:$S$600, 2, FALSE), FALSE), 'Misc. Data &amp; Mechanisms'!$L$599:$N$659, 2, FALSE), FALSE) = "", "", VLOOKUP($A16, INDIRECT("'" &amp; 'Personalized Bill Menu'!$B$23 &amp; "'!" &amp;"$A$4:$CA$100"), VLOOKUP(VLOOKUP("RIDER RATE 6",'Misc. Data &amp; Mechanisms'!$P$601:$S$632,HLOOKUP('Personalized Bill Menu'!$B$23, 'Misc. Data &amp; Mechanisms'!$P$599:$S$600, 2, FALSE), FALSE), 'Misc. Data &amp; Mechanisms'!$L$599:$N$659, 2, FALSE), FALSE)), ""))</f>
        <v/>
      </c>
      <c r="AD16" s="69" t="str">
        <f ca="1">IF($A16="", "",IFERROR(IF(VLOOKUP($A16, INDIRECT("'" &amp; 'Personalized Bill Menu'!$B$23 &amp; "'!" &amp;"$A$4:$CA$100"), VLOOKUP(VLOOKUP("RIDER RATE 7",'Misc. Data &amp; Mechanisms'!$P$601:$S$632,HLOOKUP('Personalized Bill Menu'!$B$23, 'Misc. Data &amp; Mechanisms'!$P$599:$S$600, 2, FALSE), FALSE), 'Misc. Data &amp; Mechanisms'!$L$599:$N$659, 2, FALSE), FALSE) = "", "", VLOOKUP($A16, INDIRECT("'" &amp; 'Personalized Bill Menu'!$B$23 &amp; "'!" &amp;"$A$4:$CA$100"), VLOOKUP(VLOOKUP("RIDER RATE 7",'Misc. Data &amp; Mechanisms'!$P$601:$S$632,HLOOKUP('Personalized Bill Menu'!$B$23, 'Misc. Data &amp; Mechanisms'!$P$599:$S$600, 2, FALSE), FALSE), 'Misc. Data &amp; Mechanisms'!$L$599:$N$659, 2, FALSE), FALSE)), ""))</f>
        <v/>
      </c>
      <c r="AE16" s="69" t="str">
        <f ca="1">IF($A16="", "",IFERROR(IF(VLOOKUP($A16, INDIRECT("'" &amp; 'Personalized Bill Menu'!$B$23 &amp; "'!" &amp;"$A$4:$CA$100"), VLOOKUP(VLOOKUP("RIDER RATE 8",'Misc. Data &amp; Mechanisms'!$P$601:$S$632,HLOOKUP('Personalized Bill Menu'!$B$23, 'Misc. Data &amp; Mechanisms'!$P$599:$S$600, 2, FALSE), FALSE), 'Misc. Data &amp; Mechanisms'!$L$599:$N$659, 2, FALSE), FALSE) = "", "", VLOOKUP($A16, INDIRECT("'" &amp; 'Personalized Bill Menu'!$B$23 &amp; "'!" &amp;"$A$4:$CA$100"), VLOOKUP(VLOOKUP("RIDER RATE 8",'Misc. Data &amp; Mechanisms'!$P$601:$S$632,HLOOKUP('Personalized Bill Menu'!$B$23, 'Misc. Data &amp; Mechanisms'!$P$599:$S$600, 2, FALSE), FALSE), 'Misc. Data &amp; Mechanisms'!$L$599:$N$659, 2, FALSE), FALSE)), ""))</f>
        <v/>
      </c>
      <c r="AF16" s="69" t="str">
        <f ca="1">IF($A16="", "",IFERROR(IF(VLOOKUP($A16, INDIRECT("'" &amp; 'Personalized Bill Menu'!$B$23 &amp; "'!" &amp;"$A$4:$CA$100"), VLOOKUP(VLOOKUP("RIDER RATE 9",'Misc. Data &amp; Mechanisms'!$P$601:$S$632,HLOOKUP('Personalized Bill Menu'!$B$23, 'Misc. Data &amp; Mechanisms'!$P$599:$S$600, 2, FALSE), FALSE), 'Misc. Data &amp; Mechanisms'!$L$599:$N$659, 2, FALSE), FALSE) = "", "", VLOOKUP($A16, INDIRECT("'" &amp; 'Personalized Bill Menu'!$B$23 &amp; "'!" &amp;"$A$4:$CA$100"), VLOOKUP(VLOOKUP("RIDER RATE 9",'Misc. Data &amp; Mechanisms'!$P$601:$S$632,HLOOKUP('Personalized Bill Menu'!$B$23, 'Misc. Data &amp; Mechanisms'!$P$599:$S$600, 2, FALSE), FALSE), 'Misc. Data &amp; Mechanisms'!$L$599:$N$659, 2, FALSE), FALSE)), ""))</f>
        <v/>
      </c>
      <c r="AG16" s="72">
        <f ca="1">IF($A16="", "", IFERROR(IF('Personalized Bill Menu'!$B$23="ATCO-N", ($X16*$B16) +($Y16*$C16), IF('Personalized Bill Menu'!$B$23="ATCO-S",$X16*$C16, IF($Y16="", ($X16*$H16), ($Y16*($H16+$K16))))), 0))</f>
        <v>0</v>
      </c>
      <c r="AH16" s="72">
        <f ca="1">IF($A16="", "", IFERROR(IF('Personalized Bill Menu'!$B$23="ATCO-S", $Y16*$C16, $Z16*$C16), 0))</f>
        <v>0</v>
      </c>
      <c r="AI16" s="72">
        <f ca="1">IF($A16="", "", IFERROR(IF('Personalized Bill Menu'!$B$23="ATCO-S", ($AA16*$C16)+($Z16*$B16), $AA16*$C16), 0))</f>
        <v>-2.8715309690394388</v>
      </c>
      <c r="AJ16" s="72">
        <f ca="1">IF($A16="", "", IFERROR(IF('Personalized Bill Menu'!$B$23&lt;&gt;"AltaGas",$AB16*$C16,""),0))</f>
        <v>5.9217386286220677</v>
      </c>
      <c r="AK16" s="72">
        <f ca="1">IF($A16="", "", IFERROR(IF('Personalized Bill Menu'!$B$23="ATCO-S",$AC16*$C16,IF('Personalized Bill Menu'!$B$23="ATCO-N",$AC16*1,"")),0))</f>
        <v>0</v>
      </c>
      <c r="AL16" s="72">
        <f ca="1">IF($A16="", "", IFERROR(IF('Personalized Bill Menu'!$B$23="ATCO-N",$AD16*$B16,IF('Personalized Bill Menu'!$B$23="ATCO-S",$AD16*1,"")),0))</f>
        <v>0</v>
      </c>
      <c r="AM16" s="72">
        <f ca="1">IF($A16="", "", IFERROR(IF('Personalized Bill Menu'!$B$23="ATCO-S",$AE16*$B16,IF('Personalized Bill Menu'!$B$23="ATCO-N",$AE16*$B16,"")),0))</f>
        <v>0</v>
      </c>
      <c r="AN16" s="70">
        <f ca="1">IF($A16="", "", IFERROR(IF('Personalized Bill Menu'!$B$23="ATCO-S",$AF16*$B16,""),0))</f>
        <v>0</v>
      </c>
      <c r="AO16" s="69">
        <f>IF('Personalized Bill Menu'!$B$34="Natural Gas", 'Personalized Bill Menu'!$K13, IF('Personalized Bill Menu'!$B$34="Both",'Personalized Bill Menu'!$O13,""))</f>
        <v>0.223</v>
      </c>
      <c r="AP16" s="72">
        <f t="shared" si="13"/>
        <v>6.9130000000000003</v>
      </c>
      <c r="AQ16" s="89" t="str">
        <f ca="1">IF($A16="", "",IF(VLOOKUP($A16, INDIRECT("'" &amp; 'Personalized Bill Menu'!$B$23 &amp; "'!" &amp;"$A$4:$CA$100"), VLOOKUP(VLOOKUP(AQ$5,'Misc. Data &amp; Mechanisms'!$P$601:$S$632,HLOOKUP('Personalized Bill Menu'!$B$23, 'Misc. Data &amp; Mechanisms'!$P$599:$S$600, 2, FALSE), FALSE), 'Misc. Data &amp; Mechanisms'!$L$599:$N$659, 2, FALSE), FALSE) = "", "", VLOOKUP($A16, INDIRECT("'" &amp; 'Personalized Bill Menu'!$B$23 &amp; "'!" &amp;"$A$4:$CA$100"), VLOOKUP(VLOOKUP(AQ$5,'Misc. Data &amp; Mechanisms'!$P$601:$S$632,HLOOKUP('Personalized Bill Menu'!$B$23, 'Misc. Data &amp; Mechanisms'!$P$599:$S$600, 2, FALSE), FALSE), 'Misc. Data &amp; Mechanisms'!$L$599:$N$659, 2, FALSE), FALSE)))</f>
        <v/>
      </c>
      <c r="AR16" s="72">
        <f t="shared" ca="1" si="14"/>
        <v>0</v>
      </c>
      <c r="AS16" s="91">
        <f ca="1">IF($A16="", "",IF(VLOOKUP($A16, INDIRECT("'" &amp; 'Personalized Bill Menu'!$B$23 &amp; "'!" &amp;"$A$4:$CA$100"), VLOOKUP(VLOOKUP(AS$5,'Misc. Data &amp; Mechanisms'!$P$601:$S$632,HLOOKUP('Personalized Bill Menu'!$B$23, 'Misc. Data &amp; Mechanisms'!$P$599:$S$600, 2, FALSE), FALSE), 'Misc. Data &amp; Mechanisms'!$L$599:$N$659, 2, FALSE), FALSE) = "", "", VLOOKUP($A16, INDIRECT("'" &amp; 'Personalized Bill Menu'!$B$23 &amp; "'!" &amp;"$A$4:$CA$100"), VLOOKUP(VLOOKUP(AS$5,'Misc. Data &amp; Mechanisms'!$P$601:$S$632,HLOOKUP('Personalized Bill Menu'!$B$23, 'Misc. Data &amp; Mechanisms'!$P$599:$S$600, 2, FALSE), FALSE), 'Misc. Data &amp; Mechanisms'!$L$599:$N$659, 2, FALSE), FALSE)))</f>
        <v>0.05</v>
      </c>
      <c r="AT16" s="116"/>
      <c r="AU16" s="116"/>
      <c r="AV16" s="116"/>
      <c r="AW16" s="116"/>
      <c r="AX16" s="116"/>
    </row>
    <row r="17" spans="1:50" s="117" customFormat="1" ht="15" x14ac:dyDescent="0.25">
      <c r="A17" s="83">
        <f>'Personalized Bill Menu'!$H14</f>
        <v>41214</v>
      </c>
      <c r="B17" s="84">
        <f t="shared" si="3"/>
        <v>30</v>
      </c>
      <c r="C17" s="85">
        <f>IF('Personalized Bill Menu'!$B$34="Natural Gas", 'Personalized Bill Menu'!$I14, IF('Personalized Bill Menu'!$B$34="Both",'Personalized Bill Menu'!$M14,""))</f>
        <v>16.022770401470297</v>
      </c>
      <c r="D17" s="66">
        <f t="shared" ca="1" si="4"/>
        <v>7.153992668665575</v>
      </c>
      <c r="E17" s="66">
        <f ca="1">IF($C17="Not Applicable", "", IFERROR(IFERROR((1+$AS17)*IF('Personalized Bill Menu'!$B$23="ATCO-N", IF(OR('Personalized Bill Menu'!$B$21="Fort McMurray",AND('Personalized Bill Menu'!$B$21="Spruce Grove", $A17&lt;DATE(2019, 5, 1) )),(((1+IF($T17="",0,$T17))*($N17+$P17))+ (IF($U17="", 0, $U17)*$P17)+(1+IF($T17="",0,$T17)+IF($U17="", 0, $U17))*(SUM($Y17:$AB17))),($N17+((1+IF($T17="",0,$T17)+IF($U17="", 0, $U17))*$P17)+(1+IF($T17="",0,$T17)+IF($U17="", 0, $U17))*(SUM($Y17:$AB17)))), IF('Personalized Bill Menu'!$B$23="ATCO-S",IF(OR('Personalized Bill Menu'!$B$21="Calgary",AND('Personalized Bill Menu'!$B$21="Okotoks", $A17&lt;DATE(2019, 1, 1))),((1+IF($T17="",0,$T17))*($N17+$P17+SUM($X17:$Y17,$AA17:$AC17)))+(IF($U17="",0, $U17)*($P17+SUM($X17:$Y17,$AA17:$AC17))), ((1+IF($T17="",0,$T17))*($P17+SUM($Y17,$AA17:$AC17)))+(IF($U17="",0, $U17)*($P17+SUM($X17:$Y17,$AA17:$AC17)))+$N17+IF($X17="", 0, $X17)),IF(AND('Personalized Bill Menu'!$B$21="Athabasca", $A17&lt;DATE(2019, 5, 1)),((1+IF($T17="",0,$T17)+IF($U17="", 0, $U17))*($N17+((1+SUM($X17:$Y17))*$P17)+SUM($Z17:$AA17))),((1+IF($U17="", 0, $U17))*($N17+((1+SUM($X17:$Y17))*$P17)+SUM($Z17:$AA17))) + (IF($T17="",0,$T17)*(((1+SUM($X17:$Y17))*$P17)+SUM($Z17:$AA17)))))), "")+ IF($AQ17="", 0,((1+$AS17)*$AQ17)), ""))</f>
        <v>5.4027793050000001</v>
      </c>
      <c r="F17" s="118">
        <f t="shared" ca="1" si="5"/>
        <v>114.62678198383027</v>
      </c>
      <c r="G17" s="115">
        <f t="shared" si="0"/>
        <v>57.249358644453366</v>
      </c>
      <c r="H17" s="66">
        <f t="shared" ca="1" si="1"/>
        <v>30.374686908948345</v>
      </c>
      <c r="I17" s="66">
        <f t="shared" ca="1" si="2"/>
        <v>10.246914064915114</v>
      </c>
      <c r="J17" s="66">
        <f t="shared" ca="1" si="6"/>
        <v>4.6074041758072317</v>
      </c>
      <c r="K17" s="66">
        <f t="shared" si="7"/>
        <v>6.69</v>
      </c>
      <c r="L17" s="66">
        <f t="shared" ca="1" si="8"/>
        <v>0</v>
      </c>
      <c r="M17" s="68">
        <f t="shared" ca="1" si="9"/>
        <v>5.4584181897062036</v>
      </c>
      <c r="N17" s="1290">
        <f>IF('Personalized Bill Menu'!$B$34="Natural Gas", 'Personalized Bill Menu'!$J14, IF('Personalized Bill Menu'!$B$34="Both",'Personalized Bill Menu'!$N14,""))</f>
        <v>3.573</v>
      </c>
      <c r="O17" s="70">
        <f t="shared" si="10"/>
        <v>57.249358644453366</v>
      </c>
      <c r="P17" s="89">
        <f ca="1">IF($A17="", "",IFERROR(IF(VLOOKUP($A17, INDIRECT("'" &amp; 'Personalized Bill Menu'!$B$23 &amp; "'!" &amp;"$A$4:$CA$100"), VLOOKUP(VLOOKUP(P$5,'Misc. Data &amp; Mechanisms'!$P$601:$S$632,HLOOKUP('Personalized Bill Menu'!$B$23, 'Misc. Data &amp; Mechanisms'!$P$599:$S$600, 2, FALSE), FALSE), 'Misc. Data &amp; Mechanisms'!$L$599:$N$659, 2, FALSE), FALSE) = "", "", VLOOKUP($A17, INDIRECT("'" &amp; 'Personalized Bill Menu'!$B$23 &amp; "'!" &amp;"$A$4:$CA$100"), VLOOKUP(VLOOKUP(P$5,'Misc. Data &amp; Mechanisms'!$P$601:$S$632,HLOOKUP('Personalized Bill Menu'!$B$23, 'Misc. Data &amp; Mechanisms'!$P$599:$S$600, 2, FALSE), FALSE), 'Misc. Data &amp; Mechanisms'!$L$599:$N$659, 2, FALSE), FALSE)), ""))</f>
        <v>0.64500000000000002</v>
      </c>
      <c r="Q17" s="69">
        <f ca="1">IF($A17="", "",IFERROR(IF(VLOOKUP($A17, INDIRECT("'" &amp; 'Personalized Bill Menu'!$B$23 &amp; "'!" &amp;"$A$4:$CA$100"), VLOOKUP(VLOOKUP(Q$5,'Misc. Data &amp; Mechanisms'!$P$601:$S$632,HLOOKUP('Personalized Bill Menu'!$B$23, 'Misc. Data &amp; Mechanisms'!$P$599:$S$600, 2, FALSE), FALSE), 'Misc. Data &amp; Mechanisms'!$L$599:$N$659, 2, FALSE), FALSE) = "", "", VLOOKUP($A17, INDIRECT("'" &amp; 'Personalized Bill Menu'!$B$23 &amp; "'!" &amp;"$A$4:$CA$100"), VLOOKUP(VLOOKUP(Q$5,'Misc. Data &amp; Mechanisms'!$P$601:$S$632,HLOOKUP('Personalized Bill Menu'!$B$23, 'Misc. Data &amp; Mechanisms'!$P$599:$S$600, 2, FALSE), FALSE), 'Misc. Data &amp; Mechanisms'!$L$599:$N$659, 2, FALSE), FALSE)), ""))</f>
        <v>0.66800000000000004</v>
      </c>
      <c r="R17" s="72">
        <f t="shared" ca="1" si="11"/>
        <v>10.334686908948342</v>
      </c>
      <c r="S17" s="70">
        <f t="shared" ca="1" si="12"/>
        <v>20.040000000000003</v>
      </c>
      <c r="T17" s="78">
        <f>IFERROR(IF(VLOOKUP($A17,'Misc. Data &amp; Mechanisms'!$A$63:$DY$152,HLOOKUP('Personalized Bill Menu'!$B$21&amp;"_"&amp;'Personalized Bill Menu'!$B$23&amp;"_NG_Y_1",'Misc. Data &amp; Mechanisms'!$A$55:$DY$62,8,FALSE), FALSE)="", "", VLOOKUP($A17,'Misc. Data &amp; Mechanisms'!$A$63:$DY$152,HLOOKUP('Personalized Bill Menu'!$B$21&amp;"_"&amp;'Personalized Bill Menu'!$B$23&amp;"_NG_Y_1",'Misc. Data &amp; Mechanisms'!$A$55:$DY$62,8,FALSE), FALSE)), "")</f>
        <v>0.1111</v>
      </c>
      <c r="U17" s="78" t="str">
        <f>IFERROR(IF(VLOOKUP($A17,'Misc. Data &amp; Mechanisms'!$A$63:$DY$152,HLOOKUP('Personalized Bill Menu'!$B$21&amp;"_"&amp;'Personalized Bill Menu'!$B$23&amp;"_NG_Y_2",'Misc. Data &amp; Mechanisms'!$A$55:$DY$62,8,FALSE), FALSE)="", "",VLOOKUP($A17,'Misc. Data &amp; Mechanisms'!$A$63:$DY$152,HLOOKUP('Personalized Bill Menu'!$B$21&amp;"_"&amp;'Personalized Bill Menu'!$B$23&amp;"_NG_Y_2",'Misc. Data &amp; Mechanisms'!$A$55:$DY$62,8,FALSE), FALSE)), "")</f>
        <v/>
      </c>
      <c r="V17" s="72">
        <f ca="1">IF($A17="", "", IFERROR(IF('Personalized Bill Menu'!$B$23="ATCO-N", IF(OR('Personalized Bill Menu'!$B$21="Fort McMurray",AND('Personalized Bill Menu'!$B$21="Spruce Grove", $A17&lt;DATE(2019, 5, 1))),$T17*($G17+$H17+$J17),$T17*($H17+$J17)), IF('Personalized Bill Menu'!$B$23="ATCO-S",IF(OR('Personalized Bill Menu'!$B$21="Calgary",AND('Personalized Bill Menu'!$B$21="Okotoks", $A17&lt;DATE(2019, 1, 1))),$T17*($G17+$H17+$J17), $T17*($H17+$J17-$AG17)),IF(AND('Personalized Bill Menu'!$B$21="Athabasca", $A17&lt;DATE(2019, 5, 1)),$T17*($G17+$H17+$J17+$K17),$T17*($H17+$J17+$K17)))),0))</f>
        <v>10.246914064915114</v>
      </c>
      <c r="W17" s="72">
        <f ca="1">IF($A17="", "", IFERROR(IF('Personalized Bill Menu'!$B$23="ATCO-N", $U17*($H17+$J17), IF('Personalized Bill Menu'!$B$23="ATCO-S",$U17*($H17+$J17),$U17*($G17+$H17+$J17+$K17))),0))</f>
        <v>0</v>
      </c>
      <c r="X17" s="89" t="str">
        <f ca="1">IF($A17="", "",IFERROR(IF(VLOOKUP($A17, INDIRECT("'" &amp; 'Personalized Bill Menu'!$B$23 &amp; "'!" &amp;"$A$4:$CA$100"), VLOOKUP(VLOOKUP("RIDER RATE 1",'Misc. Data &amp; Mechanisms'!$P$601:$S$632,HLOOKUP('Personalized Bill Menu'!$B$23, 'Misc. Data &amp; Mechanisms'!$P$599:$S$600, 2, FALSE), FALSE), 'Misc. Data &amp; Mechanisms'!$L$599:$N$659, 2, FALSE), FALSE) = "", "", VLOOKUP($A17, INDIRECT("'" &amp; 'Personalized Bill Menu'!$B$23 &amp; "'!" &amp;"$A$4:$CA$100"), VLOOKUP(VLOOKUP("RIDER RATE 1",'Misc. Data &amp; Mechanisms'!$P$601:$S$632,HLOOKUP('Personalized Bill Menu'!$B$23, 'Misc. Data &amp; Mechanisms'!$P$599:$S$600, 2, FALSE), FALSE), 'Misc. Data &amp; Mechanisms'!$L$599:$N$659, 2, FALSE), FALSE)), ""))</f>
        <v/>
      </c>
      <c r="Y17" s="69" t="str">
        <f ca="1">IF($A17="", "",IFERROR(IF(VLOOKUP($A17, INDIRECT("'" &amp; 'Personalized Bill Menu'!$B$23 &amp; "'!" &amp;"$A$4:$CA$100"), VLOOKUP(VLOOKUP("RIDER RATE 2",'Misc. Data &amp; Mechanisms'!$P$601:$S$632,HLOOKUP('Personalized Bill Menu'!$B$23, 'Misc. Data &amp; Mechanisms'!$P$599:$S$600, 2, FALSE), FALSE), 'Misc. Data &amp; Mechanisms'!$L$599:$N$659, 2, FALSE), FALSE) = "", "", VLOOKUP($A17, INDIRECT("'" &amp; 'Personalized Bill Menu'!$B$23 &amp; "'!" &amp;"$A$4:$CA$100"), VLOOKUP(VLOOKUP("RIDER RATE 2",'Misc. Data &amp; Mechanisms'!$P$601:$S$632,HLOOKUP('Personalized Bill Menu'!$B$23, 'Misc. Data &amp; Mechanisms'!$P$599:$S$600, 2, FALSE), FALSE), 'Misc. Data &amp; Mechanisms'!$L$599:$N$659, 2, FALSE), FALSE)), ""))</f>
        <v/>
      </c>
      <c r="Z17" s="69">
        <f ca="1">IF($A17="", "",IFERROR(IF(VLOOKUP($A17, INDIRECT("'" &amp; 'Personalized Bill Menu'!$B$23 &amp; "'!" &amp;"$A$4:$CA$100"), VLOOKUP(VLOOKUP("RIDER RATE 3",'Misc. Data &amp; Mechanisms'!$P$601:$S$632,HLOOKUP('Personalized Bill Menu'!$B$23, 'Misc. Data &amp; Mechanisms'!$P$599:$S$600, 2, FALSE), FALSE), 'Misc. Data &amp; Mechanisms'!$L$599:$N$659, 2, FALSE), FALSE) = "", "", VLOOKUP($A17, INDIRECT("'" &amp; 'Personalized Bill Menu'!$B$23 &amp; "'!" &amp;"$A$4:$CA$100"), VLOOKUP(VLOOKUP("RIDER RATE 3",'Misc. Data &amp; Mechanisms'!$P$601:$S$632,HLOOKUP('Personalized Bill Menu'!$B$23, 'Misc. Data &amp; Mechanisms'!$P$599:$S$600, 2, FALSE), FALSE), 'Misc. Data &amp; Mechanisms'!$L$599:$N$659, 2, FALSE), FALSE)), ""))</f>
        <v>-6.7000000000000004E-2</v>
      </c>
      <c r="AA17" s="69">
        <f ca="1">IF($A17="", "",IFERROR(IF(VLOOKUP($A17, INDIRECT("'" &amp; 'Personalized Bill Menu'!$B$23 &amp; "'!" &amp;"$A$4:$CA$100"), VLOOKUP(VLOOKUP("RIDER RATE 4",'Misc. Data &amp; Mechanisms'!$P$601:$S$632,HLOOKUP('Personalized Bill Menu'!$B$23, 'Misc. Data &amp; Mechanisms'!$P$599:$S$600, 2, FALSE), FALSE), 'Misc. Data &amp; Mechanisms'!$L$599:$N$659, 2, FALSE), FALSE) = "", "", VLOOKUP($A17, INDIRECT("'" &amp; 'Personalized Bill Menu'!$B$23 &amp; "'!" &amp;"$A$4:$CA$100"), VLOOKUP(VLOOKUP("RIDER RATE 4",'Misc. Data &amp; Mechanisms'!$P$601:$S$632,HLOOKUP('Personalized Bill Menu'!$B$23, 'Misc. Data &amp; Mechanisms'!$P$599:$S$600, 2, FALSE), FALSE), 'Misc. Data &amp; Mechanisms'!$L$599:$N$659, 2, FALSE), FALSE)), ""))</f>
        <v>-6.4000000000000001E-2</v>
      </c>
      <c r="AB17" s="69">
        <f ca="1">IF($A17="", "",IFERROR(IF(VLOOKUP($A17, INDIRECT("'" &amp; 'Personalized Bill Menu'!$B$23 &amp; "'!" &amp;"$A$4:$CA$100"), VLOOKUP(VLOOKUP("RIDER RATE 5",'Misc. Data &amp; Mechanisms'!$P$601:$S$632,HLOOKUP('Personalized Bill Menu'!$B$23, 'Misc. Data &amp; Mechanisms'!$P$599:$S$600, 2, FALSE), FALSE), 'Misc. Data &amp; Mechanisms'!$L$599:$N$659, 2, FALSE), FALSE) = "", "", VLOOKUP($A17, INDIRECT("'" &amp; 'Personalized Bill Menu'!$B$23 &amp; "'!" &amp;"$A$4:$CA$100"), VLOOKUP(VLOOKUP("RIDER RATE 5",'Misc. Data &amp; Mechanisms'!$P$601:$S$632,HLOOKUP('Personalized Bill Menu'!$B$23, 'Misc. Data &amp; Mechanisms'!$P$599:$S$600, 2, FALSE), FALSE), 'Misc. Data &amp; Mechanisms'!$L$599:$N$659, 2, FALSE), FALSE)), ""))</f>
        <v>0.47699999999999998</v>
      </c>
      <c r="AC17" s="69" t="str">
        <f ca="1">IF($A17="", "",IFERROR(IF(VLOOKUP($A17, INDIRECT("'" &amp; 'Personalized Bill Menu'!$B$23 &amp; "'!" &amp;"$A$4:$CA$100"), VLOOKUP(VLOOKUP("RIDER RATE 6",'Misc. Data &amp; Mechanisms'!$P$601:$S$632,HLOOKUP('Personalized Bill Menu'!$B$23, 'Misc. Data &amp; Mechanisms'!$P$599:$S$600, 2, FALSE), FALSE), 'Misc. Data &amp; Mechanisms'!$L$599:$N$659, 2, FALSE), FALSE) = "", "", VLOOKUP($A17, INDIRECT("'" &amp; 'Personalized Bill Menu'!$B$23 &amp; "'!" &amp;"$A$4:$CA$100"), VLOOKUP(VLOOKUP("RIDER RATE 6",'Misc. Data &amp; Mechanisms'!$P$601:$S$632,HLOOKUP('Personalized Bill Menu'!$B$23, 'Misc. Data &amp; Mechanisms'!$P$599:$S$600, 2, FALSE), FALSE), 'Misc. Data &amp; Mechanisms'!$L$599:$N$659, 2, FALSE), FALSE)), ""))</f>
        <v/>
      </c>
      <c r="AD17" s="69" t="str">
        <f ca="1">IF($A17="", "",IFERROR(IF(VLOOKUP($A17, INDIRECT("'" &amp; 'Personalized Bill Menu'!$B$23 &amp; "'!" &amp;"$A$4:$CA$100"), VLOOKUP(VLOOKUP("RIDER RATE 7",'Misc. Data &amp; Mechanisms'!$P$601:$S$632,HLOOKUP('Personalized Bill Menu'!$B$23, 'Misc. Data &amp; Mechanisms'!$P$599:$S$600, 2, FALSE), FALSE), 'Misc. Data &amp; Mechanisms'!$L$599:$N$659, 2, FALSE), FALSE) = "", "", VLOOKUP($A17, INDIRECT("'" &amp; 'Personalized Bill Menu'!$B$23 &amp; "'!" &amp;"$A$4:$CA$100"), VLOOKUP(VLOOKUP("RIDER RATE 7",'Misc. Data &amp; Mechanisms'!$P$601:$S$632,HLOOKUP('Personalized Bill Menu'!$B$23, 'Misc. Data &amp; Mechanisms'!$P$599:$S$600, 2, FALSE), FALSE), 'Misc. Data &amp; Mechanisms'!$L$599:$N$659, 2, FALSE), FALSE)), ""))</f>
        <v/>
      </c>
      <c r="AE17" s="69" t="str">
        <f ca="1">IF($A17="", "",IFERROR(IF(VLOOKUP($A17, INDIRECT("'" &amp; 'Personalized Bill Menu'!$B$23 &amp; "'!" &amp;"$A$4:$CA$100"), VLOOKUP(VLOOKUP("RIDER RATE 8",'Misc. Data &amp; Mechanisms'!$P$601:$S$632,HLOOKUP('Personalized Bill Menu'!$B$23, 'Misc. Data &amp; Mechanisms'!$P$599:$S$600, 2, FALSE), FALSE), 'Misc. Data &amp; Mechanisms'!$L$599:$N$659, 2, FALSE), FALSE) = "", "", VLOOKUP($A17, INDIRECT("'" &amp; 'Personalized Bill Menu'!$B$23 &amp; "'!" &amp;"$A$4:$CA$100"), VLOOKUP(VLOOKUP("RIDER RATE 8",'Misc. Data &amp; Mechanisms'!$P$601:$S$632,HLOOKUP('Personalized Bill Menu'!$B$23, 'Misc. Data &amp; Mechanisms'!$P$599:$S$600, 2, FALSE), FALSE), 'Misc. Data &amp; Mechanisms'!$L$599:$N$659, 2, FALSE), FALSE)), ""))</f>
        <v/>
      </c>
      <c r="AF17" s="69" t="str">
        <f ca="1">IF($A17="", "",IFERROR(IF(VLOOKUP($A17, INDIRECT("'" &amp; 'Personalized Bill Menu'!$B$23 &amp; "'!" &amp;"$A$4:$CA$100"), VLOOKUP(VLOOKUP("RIDER RATE 9",'Misc. Data &amp; Mechanisms'!$P$601:$S$632,HLOOKUP('Personalized Bill Menu'!$B$23, 'Misc. Data &amp; Mechanisms'!$P$599:$S$600, 2, FALSE), FALSE), 'Misc. Data &amp; Mechanisms'!$L$599:$N$659, 2, FALSE), FALSE) = "", "", VLOOKUP($A17, INDIRECT("'" &amp; 'Personalized Bill Menu'!$B$23 &amp; "'!" &amp;"$A$4:$CA$100"), VLOOKUP(VLOOKUP("RIDER RATE 9",'Misc. Data &amp; Mechanisms'!$P$601:$S$632,HLOOKUP('Personalized Bill Menu'!$B$23, 'Misc. Data &amp; Mechanisms'!$P$599:$S$600, 2, FALSE), FALSE), 'Misc. Data &amp; Mechanisms'!$L$599:$N$659, 2, FALSE), FALSE)), ""))</f>
        <v/>
      </c>
      <c r="AG17" s="72">
        <f ca="1">IF($A17="", "", IFERROR(IF('Personalized Bill Menu'!$B$23="ATCO-N", ($X17*$B17) +($Y17*$C17), IF('Personalized Bill Menu'!$B$23="ATCO-S",$X17*$C17, IF($Y17="", ($X17*$H17), ($Y17*($H17+$K17))))), 0))</f>
        <v>0</v>
      </c>
      <c r="AH17" s="72">
        <f ca="1">IF($A17="", "", IFERROR(IF('Personalized Bill Menu'!$B$23="ATCO-S", $Y17*$C17, $Z17*$C17), 0))</f>
        <v>0</v>
      </c>
      <c r="AI17" s="72">
        <f ca="1">IF($A17="", "", IFERROR(IF('Personalized Bill Menu'!$B$23="ATCO-S", ($AA17*$C17)+($Z17*$B17), $AA17*$C17), 0))</f>
        <v>-3.0354573056940994</v>
      </c>
      <c r="AJ17" s="72">
        <f ca="1">IF($A17="", "", IFERROR(IF('Personalized Bill Menu'!$B$23&lt;&gt;"AltaGas",$AB17*$C17,""),0))</f>
        <v>7.6428614815013312</v>
      </c>
      <c r="AK17" s="72">
        <f ca="1">IF($A17="", "", IFERROR(IF('Personalized Bill Menu'!$B$23="ATCO-S",$AC17*$C17,IF('Personalized Bill Menu'!$B$23="ATCO-N",$AC17*1,"")),0))</f>
        <v>0</v>
      </c>
      <c r="AL17" s="72">
        <f ca="1">IF($A17="", "", IFERROR(IF('Personalized Bill Menu'!$B$23="ATCO-N",$AD17*$B17,IF('Personalized Bill Menu'!$B$23="ATCO-S",$AD17*1,"")),0))</f>
        <v>0</v>
      </c>
      <c r="AM17" s="72">
        <f ca="1">IF($A17="", "", IFERROR(IF('Personalized Bill Menu'!$B$23="ATCO-S",$AE17*$B17,IF('Personalized Bill Menu'!$B$23="ATCO-N",$AE17*$B17,"")),0))</f>
        <v>0</v>
      </c>
      <c r="AN17" s="70">
        <f ca="1">IF($A17="", "", IFERROR(IF('Personalized Bill Menu'!$B$23="ATCO-S",$AF17*$B17,""),0))</f>
        <v>0</v>
      </c>
      <c r="AO17" s="69">
        <f>IF('Personalized Bill Menu'!$B$34="Natural Gas", 'Personalized Bill Menu'!$K14, IF('Personalized Bill Menu'!$B$34="Both",'Personalized Bill Menu'!$O14,""))</f>
        <v>0.223</v>
      </c>
      <c r="AP17" s="72">
        <f t="shared" si="13"/>
        <v>6.69</v>
      </c>
      <c r="AQ17" s="89" t="str">
        <f ca="1">IF($A17="", "",IF(VLOOKUP($A17, INDIRECT("'" &amp; 'Personalized Bill Menu'!$B$23 &amp; "'!" &amp;"$A$4:$CA$100"), VLOOKUP(VLOOKUP(AQ$5,'Misc. Data &amp; Mechanisms'!$P$601:$S$632,HLOOKUP('Personalized Bill Menu'!$B$23, 'Misc. Data &amp; Mechanisms'!$P$599:$S$600, 2, FALSE), FALSE), 'Misc. Data &amp; Mechanisms'!$L$599:$N$659, 2, FALSE), FALSE) = "", "", VLOOKUP($A17, INDIRECT("'" &amp; 'Personalized Bill Menu'!$B$23 &amp; "'!" &amp;"$A$4:$CA$100"), VLOOKUP(VLOOKUP(AQ$5,'Misc. Data &amp; Mechanisms'!$P$601:$S$632,HLOOKUP('Personalized Bill Menu'!$B$23, 'Misc. Data &amp; Mechanisms'!$P$599:$S$600, 2, FALSE), FALSE), 'Misc. Data &amp; Mechanisms'!$L$599:$N$659, 2, FALSE), FALSE)))</f>
        <v/>
      </c>
      <c r="AR17" s="72">
        <f t="shared" ca="1" si="14"/>
        <v>0</v>
      </c>
      <c r="AS17" s="91">
        <f ca="1">IF($A17="", "",IF(VLOOKUP($A17, INDIRECT("'" &amp; 'Personalized Bill Menu'!$B$23 &amp; "'!" &amp;"$A$4:$CA$100"), VLOOKUP(VLOOKUP(AS$5,'Misc. Data &amp; Mechanisms'!$P$601:$S$632,HLOOKUP('Personalized Bill Menu'!$B$23, 'Misc. Data &amp; Mechanisms'!$P$599:$S$600, 2, FALSE), FALSE), 'Misc. Data &amp; Mechanisms'!$L$599:$N$659, 2, FALSE), FALSE) = "", "", VLOOKUP($A17, INDIRECT("'" &amp; 'Personalized Bill Menu'!$B$23 &amp; "'!" &amp;"$A$4:$CA$100"), VLOOKUP(VLOOKUP(AS$5,'Misc. Data &amp; Mechanisms'!$P$601:$S$632,HLOOKUP('Personalized Bill Menu'!$B$23, 'Misc. Data &amp; Mechanisms'!$P$599:$S$600, 2, FALSE), FALSE), 'Misc. Data &amp; Mechanisms'!$L$599:$N$659, 2, FALSE), FALSE)))</f>
        <v>0.05</v>
      </c>
      <c r="AT17" s="116"/>
      <c r="AU17" s="116"/>
      <c r="AV17" s="116"/>
      <c r="AW17" s="116"/>
      <c r="AX17" s="116"/>
    </row>
    <row r="18" spans="1:50" s="117" customFormat="1" ht="15" x14ac:dyDescent="0.25">
      <c r="A18" s="83">
        <f>'Personalized Bill Menu'!$H15</f>
        <v>41244</v>
      </c>
      <c r="B18" s="84">
        <f t="shared" si="3"/>
        <v>31</v>
      </c>
      <c r="C18" s="85">
        <f>IF('Personalized Bill Menu'!$B$34="Natural Gas", 'Personalized Bill Menu'!$I15, IF('Personalized Bill Menu'!$B$34="Both",'Personalized Bill Menu'!$M15,""))</f>
        <v>21.388281285725743</v>
      </c>
      <c r="D18" s="66">
        <f t="shared" ca="1" si="4"/>
        <v>6.3526922718821366</v>
      </c>
      <c r="E18" s="66">
        <f ca="1">IF($C18="Not Applicable", "", IFERROR(IFERROR((1+$AS18)*IF('Personalized Bill Menu'!$B$23="ATCO-N", IF(OR('Personalized Bill Menu'!$B$21="Fort McMurray",AND('Personalized Bill Menu'!$B$21="Spruce Grove", $A18&lt;DATE(2019, 5, 1) )),(((1+IF($T18="",0,$T18))*($N18+$P18))+ (IF($U18="", 0, $U18)*$P18)+(1+IF($T18="",0,$T18)+IF($U18="", 0, $U18))*(SUM($Y18:$AB18))),($N18+((1+IF($T18="",0,$T18)+IF($U18="", 0, $U18))*$P18)+(1+IF($T18="",0,$T18)+IF($U18="", 0, $U18))*(SUM($Y18:$AB18)))), IF('Personalized Bill Menu'!$B$23="ATCO-S",IF(OR('Personalized Bill Menu'!$B$21="Calgary",AND('Personalized Bill Menu'!$B$21="Okotoks", $A18&lt;DATE(2019, 1, 1))),((1+IF($T18="",0,$T18))*($N18+$P18+SUM($X18:$Y18,$AA18:$AC18)))+(IF($U18="",0, $U18)*($P18+SUM($X18:$Y18,$AA18:$AC18))), ((1+IF($T18="",0,$T18))*($P18+SUM($Y18,$AA18:$AC18)))+(IF($U18="",0, $U18)*($P18+SUM($X18:$Y18,$AA18:$AC18)))+$N18+IF($X18="", 0, $X18)),IF(AND('Personalized Bill Menu'!$B$21="Athabasca", $A18&lt;DATE(2019, 5, 1)),((1+IF($T18="",0,$T18)+IF($U18="", 0, $U18))*($N18+((1+SUM($X18:$Y18))*$P18)+SUM($Z18:$AA18))),((1+IF($U18="", 0, $U18))*($N18+((1+SUM($X18:$Y18))*$P18)+SUM($Z18:$AA18))) + (IF($T18="",0,$T18)*(((1+SUM($X18:$Y18))*$P18)+SUM($Z18:$AA18)))))), "")+ IF($AQ18="", 0,((1+$AS18)*$AQ18)), ""))</f>
        <v>5.1052822799999991</v>
      </c>
      <c r="F18" s="118">
        <f t="shared" ca="1" si="5"/>
        <v>135.87316923267124</v>
      </c>
      <c r="G18" s="115">
        <f t="shared" si="0"/>
        <v>75.757292314040583</v>
      </c>
      <c r="H18" s="66">
        <f t="shared" ca="1" si="1"/>
        <v>34.503441429293105</v>
      </c>
      <c r="I18" s="66">
        <f t="shared" ca="1" si="2"/>
        <v>12.247899410493913</v>
      </c>
      <c r="J18" s="66">
        <f t="shared" ca="1" si="6"/>
        <v>-1.8614836997835837E-2</v>
      </c>
      <c r="K18" s="66">
        <f t="shared" si="7"/>
        <v>6.9130000000000003</v>
      </c>
      <c r="L18" s="66">
        <f t="shared" ca="1" si="8"/>
        <v>0</v>
      </c>
      <c r="M18" s="68">
        <f t="shared" ca="1" si="9"/>
        <v>6.4701509158414883</v>
      </c>
      <c r="N18" s="1290">
        <f>IF('Personalized Bill Menu'!$B$34="Natural Gas", 'Personalized Bill Menu'!$J15, IF('Personalized Bill Menu'!$B$34="Both",'Personalized Bill Menu'!$N15,""))</f>
        <v>3.5419999999999998</v>
      </c>
      <c r="O18" s="70">
        <f t="shared" si="10"/>
        <v>75.757292314040583</v>
      </c>
      <c r="P18" s="89">
        <f ca="1">IF($A18="", "",IFERROR(IF(VLOOKUP($A18, INDIRECT("'" &amp; 'Personalized Bill Menu'!$B$23 &amp; "'!" &amp;"$A$4:$CA$100"), VLOOKUP(VLOOKUP(P$5,'Misc. Data &amp; Mechanisms'!$P$601:$S$632,HLOOKUP('Personalized Bill Menu'!$B$23, 'Misc. Data &amp; Mechanisms'!$P$599:$S$600, 2, FALSE), FALSE), 'Misc. Data &amp; Mechanisms'!$L$599:$N$659, 2, FALSE), FALSE) = "", "", VLOOKUP($A18, INDIRECT("'" &amp; 'Personalized Bill Menu'!$B$23 &amp; "'!" &amp;"$A$4:$CA$100"), VLOOKUP(VLOOKUP(P$5,'Misc. Data &amp; Mechanisms'!$P$601:$S$632,HLOOKUP('Personalized Bill Menu'!$B$23, 'Misc. Data &amp; Mechanisms'!$P$599:$S$600, 2, FALSE), FALSE), 'Misc. Data &amp; Mechanisms'!$L$599:$N$659, 2, FALSE), FALSE)), ""))</f>
        <v>0.64500000000000002</v>
      </c>
      <c r="Q18" s="69">
        <f ca="1">IF($A18="", "",IFERROR(IF(VLOOKUP($A18, INDIRECT("'" &amp; 'Personalized Bill Menu'!$B$23 &amp; "'!" &amp;"$A$4:$CA$100"), VLOOKUP(VLOOKUP(Q$5,'Misc. Data &amp; Mechanisms'!$P$601:$S$632,HLOOKUP('Personalized Bill Menu'!$B$23, 'Misc. Data &amp; Mechanisms'!$P$599:$S$600, 2, FALSE), FALSE), 'Misc. Data &amp; Mechanisms'!$L$599:$N$659, 2, FALSE), FALSE) = "", "", VLOOKUP($A18, INDIRECT("'" &amp; 'Personalized Bill Menu'!$B$23 &amp; "'!" &amp;"$A$4:$CA$100"), VLOOKUP(VLOOKUP(Q$5,'Misc. Data &amp; Mechanisms'!$P$601:$S$632,HLOOKUP('Personalized Bill Menu'!$B$23, 'Misc. Data &amp; Mechanisms'!$P$599:$S$600, 2, FALSE), FALSE), 'Misc. Data &amp; Mechanisms'!$L$599:$N$659, 2, FALSE), FALSE)), ""))</f>
        <v>0.66800000000000004</v>
      </c>
      <c r="R18" s="72">
        <f t="shared" ca="1" si="11"/>
        <v>13.795441429293104</v>
      </c>
      <c r="S18" s="70">
        <f t="shared" ca="1" si="12"/>
        <v>20.708000000000002</v>
      </c>
      <c r="T18" s="78">
        <f>IFERROR(IF(VLOOKUP($A18,'Misc. Data &amp; Mechanisms'!$A$63:$DY$152,HLOOKUP('Personalized Bill Menu'!$B$21&amp;"_"&amp;'Personalized Bill Menu'!$B$23&amp;"_NG_Y_1",'Misc. Data &amp; Mechanisms'!$A$55:$DY$62,8,FALSE), FALSE)="", "", VLOOKUP($A18,'Misc. Data &amp; Mechanisms'!$A$63:$DY$152,HLOOKUP('Personalized Bill Menu'!$B$21&amp;"_"&amp;'Personalized Bill Menu'!$B$23&amp;"_NG_Y_1",'Misc. Data &amp; Mechanisms'!$A$55:$DY$62,8,FALSE), FALSE)), "")</f>
        <v>0.1111</v>
      </c>
      <c r="U18" s="78" t="str">
        <f>IFERROR(IF(VLOOKUP($A18,'Misc. Data &amp; Mechanisms'!$A$63:$DY$152,HLOOKUP('Personalized Bill Menu'!$B$21&amp;"_"&amp;'Personalized Bill Menu'!$B$23&amp;"_NG_Y_2",'Misc. Data &amp; Mechanisms'!$A$55:$DY$62,8,FALSE), FALSE)="", "",VLOOKUP($A18,'Misc. Data &amp; Mechanisms'!$A$63:$DY$152,HLOOKUP('Personalized Bill Menu'!$B$21&amp;"_"&amp;'Personalized Bill Menu'!$B$23&amp;"_NG_Y_2",'Misc. Data &amp; Mechanisms'!$A$55:$DY$62,8,FALSE), FALSE)), "")</f>
        <v/>
      </c>
      <c r="V18" s="72">
        <f ca="1">IF($A18="", "", IFERROR(IF('Personalized Bill Menu'!$B$23="ATCO-N", IF(OR('Personalized Bill Menu'!$B$21="Fort McMurray",AND('Personalized Bill Menu'!$B$21="Spruce Grove", $A18&lt;DATE(2019, 5, 1))),$T18*($G18+$H18+$J18),$T18*($H18+$J18)), IF('Personalized Bill Menu'!$B$23="ATCO-S",IF(OR('Personalized Bill Menu'!$B$21="Calgary",AND('Personalized Bill Menu'!$B$21="Okotoks", $A18&lt;DATE(2019, 1, 1))),$T18*($G18+$H18+$J18), $T18*($H18+$J18-$AG18)),IF(AND('Personalized Bill Menu'!$B$21="Athabasca", $A18&lt;DATE(2019, 5, 1)),$T18*($G18+$H18+$J18+$K18),$T18*($H18+$J18+$K18)))),0))</f>
        <v>12.247899410493913</v>
      </c>
      <c r="W18" s="72">
        <f ca="1">IF($A18="", "", IFERROR(IF('Personalized Bill Menu'!$B$23="ATCO-N", $U18*($H18+$J18), IF('Personalized Bill Menu'!$B$23="ATCO-S",$U18*($H18+$J18),$U18*($G18+$H18+$J18+$K18))),0))</f>
        <v>0</v>
      </c>
      <c r="X18" s="89">
        <f ca="1">IF($A18="", "",IFERROR(IF(VLOOKUP($A18, INDIRECT("'" &amp; 'Personalized Bill Menu'!$B$23 &amp; "'!" &amp;"$A$4:$CA$100"), VLOOKUP(VLOOKUP("RIDER RATE 1",'Misc. Data &amp; Mechanisms'!$P$601:$S$632,HLOOKUP('Personalized Bill Menu'!$B$23, 'Misc. Data &amp; Mechanisms'!$P$599:$S$600, 2, FALSE), FALSE), 'Misc. Data &amp; Mechanisms'!$L$599:$N$659, 2, FALSE), FALSE) = "", "", VLOOKUP($A18, INDIRECT("'" &amp; 'Personalized Bill Menu'!$B$23 &amp; "'!" &amp;"$A$4:$CA$100"), VLOOKUP(VLOOKUP("RIDER RATE 1",'Misc. Data &amp; Mechanisms'!$P$601:$S$632,HLOOKUP('Personalized Bill Menu'!$B$23, 'Misc. Data &amp; Mechanisms'!$P$599:$S$600, 2, FALSE), FALSE), 'Misc. Data &amp; Mechanisms'!$L$599:$N$659, 2, FALSE), FALSE)), ""))</f>
        <v>-0.161</v>
      </c>
      <c r="Y18" s="69" t="str">
        <f ca="1">IF($A18="", "",IFERROR(IF(VLOOKUP($A18, INDIRECT("'" &amp; 'Personalized Bill Menu'!$B$23 &amp; "'!" &amp;"$A$4:$CA$100"), VLOOKUP(VLOOKUP("RIDER RATE 2",'Misc. Data &amp; Mechanisms'!$P$601:$S$632,HLOOKUP('Personalized Bill Menu'!$B$23, 'Misc. Data &amp; Mechanisms'!$P$599:$S$600, 2, FALSE), FALSE), 'Misc. Data &amp; Mechanisms'!$L$599:$N$659, 2, FALSE), FALSE) = "", "", VLOOKUP($A18, INDIRECT("'" &amp; 'Personalized Bill Menu'!$B$23 &amp; "'!" &amp;"$A$4:$CA$100"), VLOOKUP(VLOOKUP("RIDER RATE 2",'Misc. Data &amp; Mechanisms'!$P$601:$S$632,HLOOKUP('Personalized Bill Menu'!$B$23, 'Misc. Data &amp; Mechanisms'!$P$599:$S$600, 2, FALSE), FALSE), 'Misc. Data &amp; Mechanisms'!$L$599:$N$659, 2, FALSE), FALSE)), ""))</f>
        <v/>
      </c>
      <c r="Z18" s="69">
        <f ca="1">IF($A18="", "",IFERROR(IF(VLOOKUP($A18, INDIRECT("'" &amp; 'Personalized Bill Menu'!$B$23 &amp; "'!" &amp;"$A$4:$CA$100"), VLOOKUP(VLOOKUP("RIDER RATE 3",'Misc. Data &amp; Mechanisms'!$P$601:$S$632,HLOOKUP('Personalized Bill Menu'!$B$23, 'Misc. Data &amp; Mechanisms'!$P$599:$S$600, 2, FALSE), FALSE), 'Misc. Data &amp; Mechanisms'!$L$599:$N$659, 2, FALSE), FALSE) = "", "", VLOOKUP($A18, INDIRECT("'" &amp; 'Personalized Bill Menu'!$B$23 &amp; "'!" &amp;"$A$4:$CA$100"), VLOOKUP(VLOOKUP("RIDER RATE 3",'Misc. Data &amp; Mechanisms'!$P$601:$S$632,HLOOKUP('Personalized Bill Menu'!$B$23, 'Misc. Data &amp; Mechanisms'!$P$599:$S$600, 2, FALSE), FALSE), 'Misc. Data &amp; Mechanisms'!$L$599:$N$659, 2, FALSE), FALSE)), ""))</f>
        <v>-0.13100000000000001</v>
      </c>
      <c r="AA18" s="69">
        <f ca="1">IF($A18="", "",IFERROR(IF(VLOOKUP($A18, INDIRECT("'" &amp; 'Personalized Bill Menu'!$B$23 &amp; "'!" &amp;"$A$4:$CA$100"), VLOOKUP(VLOOKUP("RIDER RATE 4",'Misc. Data &amp; Mechanisms'!$P$601:$S$632,HLOOKUP('Personalized Bill Menu'!$B$23, 'Misc. Data &amp; Mechanisms'!$P$599:$S$600, 2, FALSE), FALSE), 'Misc. Data &amp; Mechanisms'!$L$599:$N$659, 2, FALSE), FALSE) = "", "", VLOOKUP($A18, INDIRECT("'" &amp; 'Personalized Bill Menu'!$B$23 &amp; "'!" &amp;"$A$4:$CA$100"), VLOOKUP(VLOOKUP("RIDER RATE 4",'Misc. Data &amp; Mechanisms'!$P$601:$S$632,HLOOKUP('Personalized Bill Menu'!$B$23, 'Misc. Data &amp; Mechanisms'!$P$599:$S$600, 2, FALSE), FALSE), 'Misc. Data &amp; Mechanisms'!$L$599:$N$659, 2, FALSE), FALSE)), ""))</f>
        <v>-0.127</v>
      </c>
      <c r="AB18" s="69">
        <f ca="1">IF($A18="", "",IFERROR(IF(VLOOKUP($A18, INDIRECT("'" &amp; 'Personalized Bill Menu'!$B$23 &amp; "'!" &amp;"$A$4:$CA$100"), VLOOKUP(VLOOKUP("RIDER RATE 5",'Misc. Data &amp; Mechanisms'!$P$601:$S$632,HLOOKUP('Personalized Bill Menu'!$B$23, 'Misc. Data &amp; Mechanisms'!$P$599:$S$600, 2, FALSE), FALSE), 'Misc. Data &amp; Mechanisms'!$L$599:$N$659, 2, FALSE), FALSE) = "", "", VLOOKUP($A18, INDIRECT("'" &amp; 'Personalized Bill Menu'!$B$23 &amp; "'!" &amp;"$A$4:$CA$100"), VLOOKUP(VLOOKUP("RIDER RATE 5",'Misc. Data &amp; Mechanisms'!$P$601:$S$632,HLOOKUP('Personalized Bill Menu'!$B$23, 'Misc. Data &amp; Mechanisms'!$P$599:$S$600, 2, FALSE), FALSE), 'Misc. Data &amp; Mechanisms'!$L$599:$N$659, 2, FALSE), FALSE)), ""))</f>
        <v>0.47699999999999998</v>
      </c>
      <c r="AC18" s="69" t="str">
        <f ca="1">IF($A18="", "",IFERROR(IF(VLOOKUP($A18, INDIRECT("'" &amp; 'Personalized Bill Menu'!$B$23 &amp; "'!" &amp;"$A$4:$CA$100"), VLOOKUP(VLOOKUP("RIDER RATE 6",'Misc. Data &amp; Mechanisms'!$P$601:$S$632,HLOOKUP('Personalized Bill Menu'!$B$23, 'Misc. Data &amp; Mechanisms'!$P$599:$S$600, 2, FALSE), FALSE), 'Misc. Data &amp; Mechanisms'!$L$599:$N$659, 2, FALSE), FALSE) = "", "", VLOOKUP($A18, INDIRECT("'" &amp; 'Personalized Bill Menu'!$B$23 &amp; "'!" &amp;"$A$4:$CA$100"), VLOOKUP(VLOOKUP("RIDER RATE 6",'Misc. Data &amp; Mechanisms'!$P$601:$S$632,HLOOKUP('Personalized Bill Menu'!$B$23, 'Misc. Data &amp; Mechanisms'!$P$599:$S$600, 2, FALSE), FALSE), 'Misc. Data &amp; Mechanisms'!$L$599:$N$659, 2, FALSE), FALSE)), ""))</f>
        <v/>
      </c>
      <c r="AD18" s="69" t="str">
        <f ca="1">IF($A18="", "",IFERROR(IF(VLOOKUP($A18, INDIRECT("'" &amp; 'Personalized Bill Menu'!$B$23 &amp; "'!" &amp;"$A$4:$CA$100"), VLOOKUP(VLOOKUP("RIDER RATE 7",'Misc. Data &amp; Mechanisms'!$P$601:$S$632,HLOOKUP('Personalized Bill Menu'!$B$23, 'Misc. Data &amp; Mechanisms'!$P$599:$S$600, 2, FALSE), FALSE), 'Misc. Data &amp; Mechanisms'!$L$599:$N$659, 2, FALSE), FALSE) = "", "", VLOOKUP($A18, INDIRECT("'" &amp; 'Personalized Bill Menu'!$B$23 &amp; "'!" &amp;"$A$4:$CA$100"), VLOOKUP(VLOOKUP("RIDER RATE 7",'Misc. Data &amp; Mechanisms'!$P$601:$S$632,HLOOKUP('Personalized Bill Menu'!$B$23, 'Misc. Data &amp; Mechanisms'!$P$599:$S$600, 2, FALSE), FALSE), 'Misc. Data &amp; Mechanisms'!$L$599:$N$659, 2, FALSE), FALSE)), ""))</f>
        <v/>
      </c>
      <c r="AE18" s="69" t="str">
        <f ca="1">IF($A18="", "",IFERROR(IF(VLOOKUP($A18, INDIRECT("'" &amp; 'Personalized Bill Menu'!$B$23 &amp; "'!" &amp;"$A$4:$CA$100"), VLOOKUP(VLOOKUP("RIDER RATE 8",'Misc. Data &amp; Mechanisms'!$P$601:$S$632,HLOOKUP('Personalized Bill Menu'!$B$23, 'Misc. Data &amp; Mechanisms'!$P$599:$S$600, 2, FALSE), FALSE), 'Misc. Data &amp; Mechanisms'!$L$599:$N$659, 2, FALSE), FALSE) = "", "", VLOOKUP($A18, INDIRECT("'" &amp; 'Personalized Bill Menu'!$B$23 &amp; "'!" &amp;"$A$4:$CA$100"), VLOOKUP(VLOOKUP("RIDER RATE 8",'Misc. Data &amp; Mechanisms'!$P$601:$S$632,HLOOKUP('Personalized Bill Menu'!$B$23, 'Misc. Data &amp; Mechanisms'!$P$599:$S$600, 2, FALSE), FALSE), 'Misc. Data &amp; Mechanisms'!$L$599:$N$659, 2, FALSE), FALSE)), ""))</f>
        <v/>
      </c>
      <c r="AF18" s="69" t="str">
        <f ca="1">IF($A18="", "",IFERROR(IF(VLOOKUP($A18, INDIRECT("'" &amp; 'Personalized Bill Menu'!$B$23 &amp; "'!" &amp;"$A$4:$CA$100"), VLOOKUP(VLOOKUP("RIDER RATE 9",'Misc. Data &amp; Mechanisms'!$P$601:$S$632,HLOOKUP('Personalized Bill Menu'!$B$23, 'Misc. Data &amp; Mechanisms'!$P$599:$S$600, 2, FALSE), FALSE), 'Misc. Data &amp; Mechanisms'!$L$599:$N$659, 2, FALSE), FALSE) = "", "", VLOOKUP($A18, INDIRECT("'" &amp; 'Personalized Bill Menu'!$B$23 &amp; "'!" &amp;"$A$4:$CA$100"), VLOOKUP(VLOOKUP("RIDER RATE 9",'Misc. Data &amp; Mechanisms'!$P$601:$S$632,HLOOKUP('Personalized Bill Menu'!$B$23, 'Misc. Data &amp; Mechanisms'!$P$599:$S$600, 2, FALSE), FALSE), 'Misc. Data &amp; Mechanisms'!$L$599:$N$659, 2, FALSE), FALSE)), ""))</f>
        <v/>
      </c>
      <c r="AG18" s="72">
        <f ca="1">IF($A18="", "", IFERROR(IF('Personalized Bill Menu'!$B$23="ATCO-N", ($X18*$B18) +($Y18*$C18), IF('Personalized Bill Menu'!$B$23="ATCO-S",$X18*$C18, IF($Y18="", ($X18*$H18), ($Y18*($H18+$K18))))), 0))</f>
        <v>-3.4435132870018448</v>
      </c>
      <c r="AH18" s="72">
        <f ca="1">IF($A18="", "", IFERROR(IF('Personalized Bill Menu'!$B$23="ATCO-S", $Y18*$C18, $Z18*$C18), 0))</f>
        <v>0</v>
      </c>
      <c r="AI18" s="72">
        <f ca="1">IF($A18="", "", IFERROR(IF('Personalized Bill Menu'!$B$23="ATCO-S", ($AA18*$C18)+($Z18*$B18), $AA18*$C18), 0))</f>
        <v>-6.7773117232871698</v>
      </c>
      <c r="AJ18" s="72">
        <f ca="1">IF($A18="", "", IFERROR(IF('Personalized Bill Menu'!$B$23&lt;&gt;"AltaGas",$AB18*$C18,""),0))</f>
        <v>10.20221017329118</v>
      </c>
      <c r="AK18" s="72">
        <f ca="1">IF($A18="", "", IFERROR(IF('Personalized Bill Menu'!$B$23="ATCO-S",$AC18*$C18,IF('Personalized Bill Menu'!$B$23="ATCO-N",$AC18*1,"")),0))</f>
        <v>0</v>
      </c>
      <c r="AL18" s="72">
        <f ca="1">IF($A18="", "", IFERROR(IF('Personalized Bill Menu'!$B$23="ATCO-N",$AD18*$B18,IF('Personalized Bill Menu'!$B$23="ATCO-S",$AD18*1,"")),0))</f>
        <v>0</v>
      </c>
      <c r="AM18" s="72">
        <f ca="1">IF($A18="", "", IFERROR(IF('Personalized Bill Menu'!$B$23="ATCO-S",$AE18*$B18,IF('Personalized Bill Menu'!$B$23="ATCO-N",$AE18*$B18,"")),0))</f>
        <v>0</v>
      </c>
      <c r="AN18" s="70">
        <f ca="1">IF($A18="", "", IFERROR(IF('Personalized Bill Menu'!$B$23="ATCO-S",$AF18*$B18,""),0))</f>
        <v>0</v>
      </c>
      <c r="AO18" s="69">
        <f>IF('Personalized Bill Menu'!$B$34="Natural Gas", 'Personalized Bill Menu'!$K15, IF('Personalized Bill Menu'!$B$34="Both",'Personalized Bill Menu'!$O15,""))</f>
        <v>0.223</v>
      </c>
      <c r="AP18" s="72">
        <f t="shared" si="13"/>
        <v>6.9130000000000003</v>
      </c>
      <c r="AQ18" s="89" t="str">
        <f ca="1">IF($A18="", "",IF(VLOOKUP($A18, INDIRECT("'" &amp; 'Personalized Bill Menu'!$B$23 &amp; "'!" &amp;"$A$4:$CA$100"), VLOOKUP(VLOOKUP(AQ$5,'Misc. Data &amp; Mechanisms'!$P$601:$S$632,HLOOKUP('Personalized Bill Menu'!$B$23, 'Misc. Data &amp; Mechanisms'!$P$599:$S$600, 2, FALSE), FALSE), 'Misc. Data &amp; Mechanisms'!$L$599:$N$659, 2, FALSE), FALSE) = "", "", VLOOKUP($A18, INDIRECT("'" &amp; 'Personalized Bill Menu'!$B$23 &amp; "'!" &amp;"$A$4:$CA$100"), VLOOKUP(VLOOKUP(AQ$5,'Misc. Data &amp; Mechanisms'!$P$601:$S$632,HLOOKUP('Personalized Bill Menu'!$B$23, 'Misc. Data &amp; Mechanisms'!$P$599:$S$600, 2, FALSE), FALSE), 'Misc. Data &amp; Mechanisms'!$L$599:$N$659, 2, FALSE), FALSE)))</f>
        <v/>
      </c>
      <c r="AR18" s="72">
        <f t="shared" ca="1" si="14"/>
        <v>0</v>
      </c>
      <c r="AS18" s="91">
        <f ca="1">IF($A18="", "",IF(VLOOKUP($A18, INDIRECT("'" &amp; 'Personalized Bill Menu'!$B$23 &amp; "'!" &amp;"$A$4:$CA$100"), VLOOKUP(VLOOKUP(AS$5,'Misc. Data &amp; Mechanisms'!$P$601:$S$632,HLOOKUP('Personalized Bill Menu'!$B$23, 'Misc. Data &amp; Mechanisms'!$P$599:$S$600, 2, FALSE), FALSE), 'Misc. Data &amp; Mechanisms'!$L$599:$N$659, 2, FALSE), FALSE) = "", "", VLOOKUP($A18, INDIRECT("'" &amp; 'Personalized Bill Menu'!$B$23 &amp; "'!" &amp;"$A$4:$CA$100"), VLOOKUP(VLOOKUP(AS$5,'Misc. Data &amp; Mechanisms'!$P$601:$S$632,HLOOKUP('Personalized Bill Menu'!$B$23, 'Misc. Data &amp; Mechanisms'!$P$599:$S$600, 2, FALSE), FALSE), 'Misc. Data &amp; Mechanisms'!$L$599:$N$659, 2, FALSE), FALSE)))</f>
        <v>0.05</v>
      </c>
      <c r="AT18" s="116"/>
      <c r="AU18" s="116"/>
      <c r="AV18" s="116"/>
      <c r="AW18" s="116"/>
      <c r="AX18" s="116"/>
    </row>
    <row r="19" spans="1:50" s="117" customFormat="1" ht="15" x14ac:dyDescent="0.25">
      <c r="A19" s="83">
        <f>'Personalized Bill Menu'!$H16</f>
        <v>41275</v>
      </c>
      <c r="B19" s="84">
        <f t="shared" si="3"/>
        <v>31</v>
      </c>
      <c r="C19" s="85">
        <f>IF('Personalized Bill Menu'!$B$34="Natural Gas", 'Personalized Bill Menu'!$I16, IF('Personalized Bill Menu'!$B$34="Both",'Personalized Bill Menu'!$M16,""))</f>
        <v>17.728016094174261</v>
      </c>
      <c r="D19" s="66">
        <f t="shared" ca="1" si="4"/>
        <v>6.703825981763706</v>
      </c>
      <c r="E19" s="66">
        <f ca="1">IF($C19="Not Applicable", "", IFERROR(IFERROR((1+$AS19)*IF('Personalized Bill Menu'!$B$23="ATCO-N", IF(OR('Personalized Bill Menu'!$B$21="Fort McMurray",AND('Personalized Bill Menu'!$B$21="Spruce Grove", $A19&lt;DATE(2019, 5, 1) )),(((1+IF($T19="",0,$T19))*($N19+$P19))+ (IF($U19="", 0, $U19)*$P19)+(1+IF($T19="",0,$T19)+IF($U19="", 0, $U19))*(SUM($Y19:$AB19))),($N19+((1+IF($T19="",0,$T19)+IF($U19="", 0, $U19))*$P19)+(1+IF($T19="",0,$T19)+IF($U19="", 0, $U19))*(SUM($Y19:$AB19)))), IF('Personalized Bill Menu'!$B$23="ATCO-S",IF(OR('Personalized Bill Menu'!$B$21="Calgary",AND('Personalized Bill Menu'!$B$21="Okotoks", $A19&lt;DATE(2019, 1, 1))),((1+IF($T19="",0,$T19))*($N19+$P19+SUM($X19:$Y19,$AA19:$AC19)))+(IF($U19="",0, $U19)*($P19+SUM($X19:$Y19,$AA19:$AC19))), ((1+IF($T19="",0,$T19))*($P19+SUM($Y19,$AA19:$AC19)))+(IF($U19="",0, $U19)*($P19+SUM($X19:$Y19,$AA19:$AC19)))+$N19+IF($X19="", 0, $X19)),IF(AND('Personalized Bill Menu'!$B$21="Athabasca", $A19&lt;DATE(2019, 5, 1)),((1+IF($T19="",0,$T19)+IF($U19="", 0, $U19))*($N19+((1+SUM($X19:$Y19))*$P19)+SUM($Z19:$AA19))),((1+IF($U19="", 0, $U19))*($N19+((1+SUM($X19:$Y19))*$P19)+SUM($Z19:$AA19))) + (IF($T19="",0,$T19)*(((1+SUM($X19:$Y19))*$P19)+SUM($Z19:$AA19)))))), "")+ IF($AQ19="", 0,((1+$AS19)*$AQ19)), ""))</f>
        <v>4.7704522949999992</v>
      </c>
      <c r="F19" s="118">
        <f t="shared" ca="1" si="5"/>
        <v>118.84553489725054</v>
      </c>
      <c r="G19" s="115">
        <f t="shared" si="0"/>
        <v>51.712622946706318</v>
      </c>
      <c r="H19" s="66">
        <f t="shared" ca="1" si="1"/>
        <v>35.477971185451111</v>
      </c>
      <c r="I19" s="66">
        <f t="shared" ca="1" si="2"/>
        <v>10.626365902588628</v>
      </c>
      <c r="J19" s="66">
        <f t="shared" ca="1" si="6"/>
        <v>8.4562636769211217</v>
      </c>
      <c r="K19" s="66">
        <f t="shared" si="7"/>
        <v>6.9130000000000003</v>
      </c>
      <c r="L19" s="66">
        <f t="shared" ca="1" si="8"/>
        <v>0</v>
      </c>
      <c r="M19" s="68">
        <f t="shared" ca="1" si="9"/>
        <v>5.6593111855833591</v>
      </c>
      <c r="N19" s="1290">
        <f>IF('Personalized Bill Menu'!$B$34="Natural Gas", 'Personalized Bill Menu'!$J16, IF('Personalized Bill Menu'!$B$34="Both",'Personalized Bill Menu'!$N16,""))</f>
        <v>2.9169999999999998</v>
      </c>
      <c r="O19" s="70">
        <f t="shared" si="10"/>
        <v>51.712622946706318</v>
      </c>
      <c r="P19" s="89">
        <f ca="1">IF($A19="", "",IFERROR(IF(VLOOKUP($A19, INDIRECT("'" &amp; 'Personalized Bill Menu'!$B$23 &amp; "'!" &amp;"$A$4:$CA$100"), VLOOKUP(VLOOKUP(P$5,'Misc. Data &amp; Mechanisms'!$P$601:$S$632,HLOOKUP('Personalized Bill Menu'!$B$23, 'Misc. Data &amp; Mechanisms'!$P$599:$S$600, 2, FALSE), FALSE), 'Misc. Data &amp; Mechanisms'!$L$599:$N$659, 2, FALSE), FALSE) = "", "", VLOOKUP($A19, INDIRECT("'" &amp; 'Personalized Bill Menu'!$B$23 &amp; "'!" &amp;"$A$4:$CA$100"), VLOOKUP(VLOOKUP(P$5,'Misc. Data &amp; Mechanisms'!$P$601:$S$632,HLOOKUP('Personalized Bill Menu'!$B$23, 'Misc. Data &amp; Mechanisms'!$P$599:$S$600, 2, FALSE), FALSE), 'Misc. Data &amp; Mechanisms'!$L$599:$N$659, 2, FALSE), FALSE)), ""))</f>
        <v>0.69499999999999995</v>
      </c>
      <c r="Q19" s="69">
        <f ca="1">IF($A19="", "",IFERROR(IF(VLOOKUP($A19, INDIRECT("'" &amp; 'Personalized Bill Menu'!$B$23 &amp; "'!" &amp;"$A$4:$CA$100"), VLOOKUP(VLOOKUP(Q$5,'Misc. Data &amp; Mechanisms'!$P$601:$S$632,HLOOKUP('Personalized Bill Menu'!$B$23, 'Misc. Data &amp; Mechanisms'!$P$599:$S$600, 2, FALSE), FALSE), 'Misc. Data &amp; Mechanisms'!$L$599:$N$659, 2, FALSE), FALSE) = "", "", VLOOKUP($A19, INDIRECT("'" &amp; 'Personalized Bill Menu'!$B$23 &amp; "'!" &amp;"$A$4:$CA$100"), VLOOKUP(VLOOKUP(Q$5,'Misc. Data &amp; Mechanisms'!$P$601:$S$632,HLOOKUP('Personalized Bill Menu'!$B$23, 'Misc. Data &amp; Mechanisms'!$P$599:$S$600, 2, FALSE), FALSE), 'Misc. Data &amp; Mechanisms'!$L$599:$N$659, 2, FALSE), FALSE)), ""))</f>
        <v>0.747</v>
      </c>
      <c r="R19" s="72">
        <f t="shared" ca="1" si="11"/>
        <v>12.320971185451111</v>
      </c>
      <c r="S19" s="70">
        <f t="shared" ca="1" si="12"/>
        <v>23.157</v>
      </c>
      <c r="T19" s="78">
        <f>IFERROR(IF(VLOOKUP($A19,'Misc. Data &amp; Mechanisms'!$A$63:$DY$152,HLOOKUP('Personalized Bill Menu'!$B$21&amp;"_"&amp;'Personalized Bill Menu'!$B$23&amp;"_NG_Y_1",'Misc. Data &amp; Mechanisms'!$A$55:$DY$62,8,FALSE), FALSE)="", "", VLOOKUP($A19,'Misc. Data &amp; Mechanisms'!$A$63:$DY$152,HLOOKUP('Personalized Bill Menu'!$B$21&amp;"_"&amp;'Personalized Bill Menu'!$B$23&amp;"_NG_Y_1",'Misc. Data &amp; Mechanisms'!$A$55:$DY$62,8,FALSE), FALSE)), "")</f>
        <v>0.1111</v>
      </c>
      <c r="U19" s="78" t="str">
        <f>IFERROR(IF(VLOOKUP($A19,'Misc. Data &amp; Mechanisms'!$A$63:$DY$152,HLOOKUP('Personalized Bill Menu'!$B$21&amp;"_"&amp;'Personalized Bill Menu'!$B$23&amp;"_NG_Y_2",'Misc. Data &amp; Mechanisms'!$A$55:$DY$62,8,FALSE), FALSE)="", "",VLOOKUP($A19,'Misc. Data &amp; Mechanisms'!$A$63:$DY$152,HLOOKUP('Personalized Bill Menu'!$B$21&amp;"_"&amp;'Personalized Bill Menu'!$B$23&amp;"_NG_Y_2",'Misc. Data &amp; Mechanisms'!$A$55:$DY$62,8,FALSE), FALSE)), "")</f>
        <v/>
      </c>
      <c r="V19" s="72">
        <f ca="1">IF($A19="", "", IFERROR(IF('Personalized Bill Menu'!$B$23="ATCO-N", IF(OR('Personalized Bill Menu'!$B$21="Fort McMurray",AND('Personalized Bill Menu'!$B$21="Spruce Grove", $A19&lt;DATE(2019, 5, 1))),$T19*($G19+$H19+$J19),$T19*($H19+$J19)), IF('Personalized Bill Menu'!$B$23="ATCO-S",IF(OR('Personalized Bill Menu'!$B$21="Calgary",AND('Personalized Bill Menu'!$B$21="Okotoks", $A19&lt;DATE(2019, 1, 1))),$T19*($G19+$H19+$J19), $T19*($H19+$J19-$AG19)),IF(AND('Personalized Bill Menu'!$B$21="Athabasca", $A19&lt;DATE(2019, 5, 1)),$T19*($G19+$H19+$J19+$K19),$T19*($H19+$J19+$K19)))),0))</f>
        <v>10.626365902588628</v>
      </c>
      <c r="W19" s="72">
        <f ca="1">IF($A19="", "", IFERROR(IF('Personalized Bill Menu'!$B$23="ATCO-N", $U19*($H19+$J19), IF('Personalized Bill Menu'!$B$23="ATCO-S",$U19*($H19+$J19),$U19*($G19+$H19+$J19+$K19))),0))</f>
        <v>0</v>
      </c>
      <c r="X19" s="89" t="str">
        <f ca="1">IF($A19="", "",IFERROR(IF(VLOOKUP($A19, INDIRECT("'" &amp; 'Personalized Bill Menu'!$B$23 &amp; "'!" &amp;"$A$4:$CA$100"), VLOOKUP(VLOOKUP("RIDER RATE 1",'Misc. Data &amp; Mechanisms'!$P$601:$S$632,HLOOKUP('Personalized Bill Menu'!$B$23, 'Misc. Data &amp; Mechanisms'!$P$599:$S$600, 2, FALSE), FALSE), 'Misc. Data &amp; Mechanisms'!$L$599:$N$659, 2, FALSE), FALSE) = "", "", VLOOKUP($A19, INDIRECT("'" &amp; 'Personalized Bill Menu'!$B$23 &amp; "'!" &amp;"$A$4:$CA$100"), VLOOKUP(VLOOKUP("RIDER RATE 1",'Misc. Data &amp; Mechanisms'!$P$601:$S$632,HLOOKUP('Personalized Bill Menu'!$B$23, 'Misc. Data &amp; Mechanisms'!$P$599:$S$600, 2, FALSE), FALSE), 'Misc. Data &amp; Mechanisms'!$L$599:$N$659, 2, FALSE), FALSE)), ""))</f>
        <v/>
      </c>
      <c r="Y19" s="69" t="str">
        <f ca="1">IF($A19="", "",IFERROR(IF(VLOOKUP($A19, INDIRECT("'" &amp; 'Personalized Bill Menu'!$B$23 &amp; "'!" &amp;"$A$4:$CA$100"), VLOOKUP(VLOOKUP("RIDER RATE 2",'Misc. Data &amp; Mechanisms'!$P$601:$S$632,HLOOKUP('Personalized Bill Menu'!$B$23, 'Misc. Data &amp; Mechanisms'!$P$599:$S$600, 2, FALSE), FALSE), 'Misc. Data &amp; Mechanisms'!$L$599:$N$659, 2, FALSE), FALSE) = "", "", VLOOKUP($A19, INDIRECT("'" &amp; 'Personalized Bill Menu'!$B$23 &amp; "'!" &amp;"$A$4:$CA$100"), VLOOKUP(VLOOKUP("RIDER RATE 2",'Misc. Data &amp; Mechanisms'!$P$601:$S$632,HLOOKUP('Personalized Bill Menu'!$B$23, 'Misc. Data &amp; Mechanisms'!$P$599:$S$600, 2, FALSE), FALSE), 'Misc. Data &amp; Mechanisms'!$L$599:$N$659, 2, FALSE), FALSE)), ""))</f>
        <v/>
      </c>
      <c r="Z19" s="69" t="str">
        <f ca="1">IF($A19="", "",IFERROR(IF(VLOOKUP($A19, INDIRECT("'" &amp; 'Personalized Bill Menu'!$B$23 &amp; "'!" &amp;"$A$4:$CA$100"), VLOOKUP(VLOOKUP("RIDER RATE 3",'Misc. Data &amp; Mechanisms'!$P$601:$S$632,HLOOKUP('Personalized Bill Menu'!$B$23, 'Misc. Data &amp; Mechanisms'!$P$599:$S$600, 2, FALSE), FALSE), 'Misc. Data &amp; Mechanisms'!$L$599:$N$659, 2, FALSE), FALSE) = "", "", VLOOKUP($A19, INDIRECT("'" &amp; 'Personalized Bill Menu'!$B$23 &amp; "'!" &amp;"$A$4:$CA$100"), VLOOKUP(VLOOKUP("RIDER RATE 3",'Misc. Data &amp; Mechanisms'!$P$601:$S$632,HLOOKUP('Personalized Bill Menu'!$B$23, 'Misc. Data &amp; Mechanisms'!$P$599:$S$600, 2, FALSE), FALSE), 'Misc. Data &amp; Mechanisms'!$L$599:$N$659, 2, FALSE), FALSE)), ""))</f>
        <v/>
      </c>
      <c r="AA19" s="69" t="str">
        <f ca="1">IF($A19="", "",IFERROR(IF(VLOOKUP($A19, INDIRECT("'" &amp; 'Personalized Bill Menu'!$B$23 &amp; "'!" &amp;"$A$4:$CA$100"), VLOOKUP(VLOOKUP("RIDER RATE 4",'Misc. Data &amp; Mechanisms'!$P$601:$S$632,HLOOKUP('Personalized Bill Menu'!$B$23, 'Misc. Data &amp; Mechanisms'!$P$599:$S$600, 2, FALSE), FALSE), 'Misc. Data &amp; Mechanisms'!$L$599:$N$659, 2, FALSE), FALSE) = "", "", VLOOKUP($A19, INDIRECT("'" &amp; 'Personalized Bill Menu'!$B$23 &amp; "'!" &amp;"$A$4:$CA$100"), VLOOKUP(VLOOKUP("RIDER RATE 4",'Misc. Data &amp; Mechanisms'!$P$601:$S$632,HLOOKUP('Personalized Bill Menu'!$B$23, 'Misc. Data &amp; Mechanisms'!$P$599:$S$600, 2, FALSE), FALSE), 'Misc. Data &amp; Mechanisms'!$L$599:$N$659, 2, FALSE), FALSE)), ""))</f>
        <v/>
      </c>
      <c r="AB19" s="69">
        <f ca="1">IF($A19="", "",IFERROR(IF(VLOOKUP($A19, INDIRECT("'" &amp; 'Personalized Bill Menu'!$B$23 &amp; "'!" &amp;"$A$4:$CA$100"), VLOOKUP(VLOOKUP("RIDER RATE 5",'Misc. Data &amp; Mechanisms'!$P$601:$S$632,HLOOKUP('Personalized Bill Menu'!$B$23, 'Misc. Data &amp; Mechanisms'!$P$599:$S$600, 2, FALSE), FALSE), 'Misc. Data &amp; Mechanisms'!$L$599:$N$659, 2, FALSE), FALSE) = "", "", VLOOKUP($A19, INDIRECT("'" &amp; 'Personalized Bill Menu'!$B$23 &amp; "'!" &amp;"$A$4:$CA$100"), VLOOKUP(VLOOKUP("RIDER RATE 5",'Misc. Data &amp; Mechanisms'!$P$601:$S$632,HLOOKUP('Personalized Bill Menu'!$B$23, 'Misc. Data &amp; Mechanisms'!$P$599:$S$600, 2, FALSE), FALSE), 'Misc. Data &amp; Mechanisms'!$L$599:$N$659, 2, FALSE), FALSE)), ""))</f>
        <v>0.47699999999999998</v>
      </c>
      <c r="AC19" s="69" t="str">
        <f ca="1">IF($A19="", "",IFERROR(IF(VLOOKUP($A19, INDIRECT("'" &amp; 'Personalized Bill Menu'!$B$23 &amp; "'!" &amp;"$A$4:$CA$100"), VLOOKUP(VLOOKUP("RIDER RATE 6",'Misc. Data &amp; Mechanisms'!$P$601:$S$632,HLOOKUP('Personalized Bill Menu'!$B$23, 'Misc. Data &amp; Mechanisms'!$P$599:$S$600, 2, FALSE), FALSE), 'Misc. Data &amp; Mechanisms'!$L$599:$N$659, 2, FALSE), FALSE) = "", "", VLOOKUP($A19, INDIRECT("'" &amp; 'Personalized Bill Menu'!$B$23 &amp; "'!" &amp;"$A$4:$CA$100"), VLOOKUP(VLOOKUP("RIDER RATE 6",'Misc. Data &amp; Mechanisms'!$P$601:$S$632,HLOOKUP('Personalized Bill Menu'!$B$23, 'Misc. Data &amp; Mechanisms'!$P$599:$S$600, 2, FALSE), FALSE), 'Misc. Data &amp; Mechanisms'!$L$599:$N$659, 2, FALSE), FALSE)), ""))</f>
        <v/>
      </c>
      <c r="AD19" s="69" t="str">
        <f ca="1">IF($A19="", "",IFERROR(IF(VLOOKUP($A19, INDIRECT("'" &amp; 'Personalized Bill Menu'!$B$23 &amp; "'!" &amp;"$A$4:$CA$100"), VLOOKUP(VLOOKUP("RIDER RATE 7",'Misc. Data &amp; Mechanisms'!$P$601:$S$632,HLOOKUP('Personalized Bill Menu'!$B$23, 'Misc. Data &amp; Mechanisms'!$P$599:$S$600, 2, FALSE), FALSE), 'Misc. Data &amp; Mechanisms'!$L$599:$N$659, 2, FALSE), FALSE) = "", "", VLOOKUP($A19, INDIRECT("'" &amp; 'Personalized Bill Menu'!$B$23 &amp; "'!" &amp;"$A$4:$CA$100"), VLOOKUP(VLOOKUP("RIDER RATE 7",'Misc. Data &amp; Mechanisms'!$P$601:$S$632,HLOOKUP('Personalized Bill Menu'!$B$23, 'Misc. Data &amp; Mechanisms'!$P$599:$S$600, 2, FALSE), FALSE), 'Misc. Data &amp; Mechanisms'!$L$599:$N$659, 2, FALSE), FALSE)), ""))</f>
        <v/>
      </c>
      <c r="AE19" s="69" t="str">
        <f ca="1">IF($A19="", "",IFERROR(IF(VLOOKUP($A19, INDIRECT("'" &amp; 'Personalized Bill Menu'!$B$23 &amp; "'!" &amp;"$A$4:$CA$100"), VLOOKUP(VLOOKUP("RIDER RATE 8",'Misc. Data &amp; Mechanisms'!$P$601:$S$632,HLOOKUP('Personalized Bill Menu'!$B$23, 'Misc. Data &amp; Mechanisms'!$P$599:$S$600, 2, FALSE), FALSE), 'Misc. Data &amp; Mechanisms'!$L$599:$N$659, 2, FALSE), FALSE) = "", "", VLOOKUP($A19, INDIRECT("'" &amp; 'Personalized Bill Menu'!$B$23 &amp; "'!" &amp;"$A$4:$CA$100"), VLOOKUP(VLOOKUP("RIDER RATE 8",'Misc. Data &amp; Mechanisms'!$P$601:$S$632,HLOOKUP('Personalized Bill Menu'!$B$23, 'Misc. Data &amp; Mechanisms'!$P$599:$S$600, 2, FALSE), FALSE), 'Misc. Data &amp; Mechanisms'!$L$599:$N$659, 2, FALSE), FALSE)), ""))</f>
        <v/>
      </c>
      <c r="AF19" s="69" t="str">
        <f ca="1">IF($A19="", "",IFERROR(IF(VLOOKUP($A19, INDIRECT("'" &amp; 'Personalized Bill Menu'!$B$23 &amp; "'!" &amp;"$A$4:$CA$100"), VLOOKUP(VLOOKUP("RIDER RATE 9",'Misc. Data &amp; Mechanisms'!$P$601:$S$632,HLOOKUP('Personalized Bill Menu'!$B$23, 'Misc. Data &amp; Mechanisms'!$P$599:$S$600, 2, FALSE), FALSE), 'Misc. Data &amp; Mechanisms'!$L$599:$N$659, 2, FALSE), FALSE) = "", "", VLOOKUP($A19, INDIRECT("'" &amp; 'Personalized Bill Menu'!$B$23 &amp; "'!" &amp;"$A$4:$CA$100"), VLOOKUP(VLOOKUP("RIDER RATE 9",'Misc. Data &amp; Mechanisms'!$P$601:$S$632,HLOOKUP('Personalized Bill Menu'!$B$23, 'Misc. Data &amp; Mechanisms'!$P$599:$S$600, 2, FALSE), FALSE), 'Misc. Data &amp; Mechanisms'!$L$599:$N$659, 2, FALSE), FALSE)), ""))</f>
        <v/>
      </c>
      <c r="AG19" s="72">
        <f ca="1">IF($A19="", "", IFERROR(IF('Personalized Bill Menu'!$B$23="ATCO-N", ($X19*$B19) +($Y19*$C19), IF('Personalized Bill Menu'!$B$23="ATCO-S",$X19*$C19, IF($Y19="", ($X19*$H19), ($Y19*($H19+$K19))))), 0))</f>
        <v>0</v>
      </c>
      <c r="AH19" s="72">
        <f ca="1">IF($A19="", "", IFERROR(IF('Personalized Bill Menu'!$B$23="ATCO-S", $Y19*$C19, $Z19*$C19), 0))</f>
        <v>0</v>
      </c>
      <c r="AI19" s="72">
        <f ca="1">IF($A19="", "", IFERROR(IF('Personalized Bill Menu'!$B$23="ATCO-S", ($AA19*$C19)+($Z19*$B19), $AA19*$C19), 0))</f>
        <v>0</v>
      </c>
      <c r="AJ19" s="72">
        <f ca="1">IF($A19="", "", IFERROR(IF('Personalized Bill Menu'!$B$23&lt;&gt;"AltaGas",$AB19*$C19,""),0))</f>
        <v>8.4562636769211217</v>
      </c>
      <c r="AK19" s="72">
        <f ca="1">IF($A19="", "", IFERROR(IF('Personalized Bill Menu'!$B$23="ATCO-S",$AC19*$C19,IF('Personalized Bill Menu'!$B$23="ATCO-N",$AC19*1,"")),0))</f>
        <v>0</v>
      </c>
      <c r="AL19" s="72">
        <f ca="1">IF($A19="", "", IFERROR(IF('Personalized Bill Menu'!$B$23="ATCO-N",$AD19*$B19,IF('Personalized Bill Menu'!$B$23="ATCO-S",$AD19*1,"")),0))</f>
        <v>0</v>
      </c>
      <c r="AM19" s="72">
        <f ca="1">IF($A19="", "", IFERROR(IF('Personalized Bill Menu'!$B$23="ATCO-S",$AE19*$B19,IF('Personalized Bill Menu'!$B$23="ATCO-N",$AE19*$B19,"")),0))</f>
        <v>0</v>
      </c>
      <c r="AN19" s="70">
        <f ca="1">IF($A19="", "", IFERROR(IF('Personalized Bill Menu'!$B$23="ATCO-S",$AF19*$B19,""),0))</f>
        <v>0</v>
      </c>
      <c r="AO19" s="69">
        <f>IF('Personalized Bill Menu'!$B$34="Natural Gas", 'Personalized Bill Menu'!$K16, IF('Personalized Bill Menu'!$B$34="Both",'Personalized Bill Menu'!$O16,""))</f>
        <v>0.223</v>
      </c>
      <c r="AP19" s="72">
        <f t="shared" si="13"/>
        <v>6.9130000000000003</v>
      </c>
      <c r="AQ19" s="89" t="str">
        <f ca="1">IF($A19="", "",IF(VLOOKUP($A19, INDIRECT("'" &amp; 'Personalized Bill Menu'!$B$23 &amp; "'!" &amp;"$A$4:$CA$100"), VLOOKUP(VLOOKUP(AQ$5,'Misc. Data &amp; Mechanisms'!$P$601:$S$632,HLOOKUP('Personalized Bill Menu'!$B$23, 'Misc. Data &amp; Mechanisms'!$P$599:$S$600, 2, FALSE), FALSE), 'Misc. Data &amp; Mechanisms'!$L$599:$N$659, 2, FALSE), FALSE) = "", "", VLOOKUP($A19, INDIRECT("'" &amp; 'Personalized Bill Menu'!$B$23 &amp; "'!" &amp;"$A$4:$CA$100"), VLOOKUP(VLOOKUP(AQ$5,'Misc. Data &amp; Mechanisms'!$P$601:$S$632,HLOOKUP('Personalized Bill Menu'!$B$23, 'Misc. Data &amp; Mechanisms'!$P$599:$S$600, 2, FALSE), FALSE), 'Misc. Data &amp; Mechanisms'!$L$599:$N$659, 2, FALSE), FALSE)))</f>
        <v/>
      </c>
      <c r="AR19" s="72">
        <f t="shared" ca="1" si="14"/>
        <v>0</v>
      </c>
      <c r="AS19" s="91">
        <f ca="1">IF($A19="", "",IF(VLOOKUP($A19, INDIRECT("'" &amp; 'Personalized Bill Menu'!$B$23 &amp; "'!" &amp;"$A$4:$CA$100"), VLOOKUP(VLOOKUP(AS$5,'Misc. Data &amp; Mechanisms'!$P$601:$S$632,HLOOKUP('Personalized Bill Menu'!$B$23, 'Misc. Data &amp; Mechanisms'!$P$599:$S$600, 2, FALSE), FALSE), 'Misc. Data &amp; Mechanisms'!$L$599:$N$659, 2, FALSE), FALSE) = "", "", VLOOKUP($A19, INDIRECT("'" &amp; 'Personalized Bill Menu'!$B$23 &amp; "'!" &amp;"$A$4:$CA$100"), VLOOKUP(VLOOKUP(AS$5,'Misc. Data &amp; Mechanisms'!$P$601:$S$632,HLOOKUP('Personalized Bill Menu'!$B$23, 'Misc. Data &amp; Mechanisms'!$P$599:$S$600, 2, FALSE), FALSE), 'Misc. Data &amp; Mechanisms'!$L$599:$N$659, 2, FALSE), FALSE)))</f>
        <v>0.05</v>
      </c>
      <c r="AT19" s="116"/>
      <c r="AU19" s="116"/>
      <c r="AV19" s="116"/>
      <c r="AW19" s="116"/>
      <c r="AX19" s="116"/>
    </row>
    <row r="20" spans="1:50" s="117" customFormat="1" ht="15" x14ac:dyDescent="0.25">
      <c r="A20" s="83">
        <f>'Personalized Bill Menu'!$H17</f>
        <v>41306</v>
      </c>
      <c r="B20" s="84">
        <f t="shared" si="3"/>
        <v>28</v>
      </c>
      <c r="C20" s="85">
        <f>IF('Personalized Bill Menu'!$B$34="Natural Gas", 'Personalized Bill Menu'!$I17, IF('Personalized Bill Menu'!$B$34="Both",'Personalized Bill Menu'!$M17,""))</f>
        <v>12.907658869082555</v>
      </c>
      <c r="D20" s="66">
        <f t="shared" ca="1" si="4"/>
        <v>7.5608659574597397</v>
      </c>
      <c r="E20" s="66">
        <f ca="1">IF($C20="Not Applicable", "", IFERROR(IFERROR((1+$AS20)*IF('Personalized Bill Menu'!$B$23="ATCO-N", IF(OR('Personalized Bill Menu'!$B$21="Fort McMurray",AND('Personalized Bill Menu'!$B$21="Spruce Grove", $A20&lt;DATE(2019, 5, 1) )),(((1+IF($T20="",0,$T20))*($N20+$P20))+ (IF($U20="", 0, $U20)*$P20)+(1+IF($T20="",0,$T20)+IF($U20="", 0, $U20))*(SUM($Y20:$AB20))),($N20+((1+IF($T20="",0,$T20)+IF($U20="", 0, $U20))*$P20)+(1+IF($T20="",0,$T20)+IF($U20="", 0, $U20))*(SUM($Y20:$AB20)))), IF('Personalized Bill Menu'!$B$23="ATCO-S",IF(OR('Personalized Bill Menu'!$B$21="Calgary",AND('Personalized Bill Menu'!$B$21="Okotoks", $A20&lt;DATE(2019, 1, 1))),((1+IF($T20="",0,$T20))*($N20+$P20+SUM($X20:$Y20,$AA20:$AC20)))+(IF($U20="",0, $U20)*($P20+SUM($X20:$Y20,$AA20:$AC20))), ((1+IF($T20="",0,$T20))*($P20+SUM($Y20,$AA20:$AC20)))+(IF($U20="",0, $U20)*($P20+SUM($X20:$Y20,$AA20:$AC20)))+$N20+IF($X20="", 0, $X20)),IF(AND('Personalized Bill Menu'!$B$21="Athabasca", $A20&lt;DATE(2019, 5, 1)),((1+IF($T20="",0,$T20)+IF($U20="", 0, $U20))*($N20+((1+SUM($X20:$Y20))*$P20)+SUM($Z20:$AA20))),((1+IF($U20="", 0, $U20))*($N20+((1+SUM($X20:$Y20))*$P20)+SUM($Z20:$AA20))) + (IF($T20="",0,$T20)*(((1+SUM($X20:$Y20))*$P20)+SUM($Z20:$AA20)))))), "")+ IF($AQ20="", 0,((1+$AS20)*$AQ20)), ""))</f>
        <v>5.1624483750000003</v>
      </c>
      <c r="F20" s="118">
        <f t="shared" ca="1" si="5"/>
        <v>97.593078533749576</v>
      </c>
      <c r="G20" s="115">
        <f t="shared" si="0"/>
        <v>41.988614301125551</v>
      </c>
      <c r="H20" s="66">
        <f t="shared" ca="1" si="1"/>
        <v>29.886822914012377</v>
      </c>
      <c r="I20" s="66">
        <f t="shared" ca="1" si="2"/>
        <v>8.6693985840711942</v>
      </c>
      <c r="J20" s="66">
        <f t="shared" ca="1" si="6"/>
        <v>6.1569532805523783</v>
      </c>
      <c r="K20" s="66">
        <f t="shared" si="7"/>
        <v>6.2439999999999998</v>
      </c>
      <c r="L20" s="66">
        <f t="shared" ca="1" si="8"/>
        <v>0</v>
      </c>
      <c r="M20" s="68">
        <f t="shared" ca="1" si="9"/>
        <v>4.6472894539880754</v>
      </c>
      <c r="N20" s="1290">
        <f>IF('Personalized Bill Menu'!$B$34="Natural Gas", 'Personalized Bill Menu'!$J17, IF('Personalized Bill Menu'!$B$34="Both",'Personalized Bill Menu'!$N17,""))</f>
        <v>3.2530000000000001</v>
      </c>
      <c r="O20" s="70">
        <f t="shared" si="10"/>
        <v>41.988614301125551</v>
      </c>
      <c r="P20" s="89">
        <f ca="1">IF($A20="", "",IFERROR(IF(VLOOKUP($A20, INDIRECT("'" &amp; 'Personalized Bill Menu'!$B$23 &amp; "'!" &amp;"$A$4:$CA$100"), VLOOKUP(VLOOKUP(P$5,'Misc. Data &amp; Mechanisms'!$P$601:$S$632,HLOOKUP('Personalized Bill Menu'!$B$23, 'Misc. Data &amp; Mechanisms'!$P$599:$S$600, 2, FALSE), FALSE), 'Misc. Data &amp; Mechanisms'!$L$599:$N$659, 2, FALSE), FALSE) = "", "", VLOOKUP($A20, INDIRECT("'" &amp; 'Personalized Bill Menu'!$B$23 &amp; "'!" &amp;"$A$4:$CA$100"), VLOOKUP(VLOOKUP(P$5,'Misc. Data &amp; Mechanisms'!$P$601:$S$632,HLOOKUP('Personalized Bill Menu'!$B$23, 'Misc. Data &amp; Mechanisms'!$P$599:$S$600, 2, FALSE), FALSE), 'Misc. Data &amp; Mechanisms'!$L$599:$N$659, 2, FALSE), FALSE)), ""))</f>
        <v>0.69499999999999995</v>
      </c>
      <c r="Q20" s="69">
        <f ca="1">IF($A20="", "",IFERROR(IF(VLOOKUP($A20, INDIRECT("'" &amp; 'Personalized Bill Menu'!$B$23 &amp; "'!" &amp;"$A$4:$CA$100"), VLOOKUP(VLOOKUP(Q$5,'Misc. Data &amp; Mechanisms'!$P$601:$S$632,HLOOKUP('Personalized Bill Menu'!$B$23, 'Misc. Data &amp; Mechanisms'!$P$599:$S$600, 2, FALSE), FALSE), 'Misc. Data &amp; Mechanisms'!$L$599:$N$659, 2, FALSE), FALSE) = "", "", VLOOKUP($A20, INDIRECT("'" &amp; 'Personalized Bill Menu'!$B$23 &amp; "'!" &amp;"$A$4:$CA$100"), VLOOKUP(VLOOKUP(Q$5,'Misc. Data &amp; Mechanisms'!$P$601:$S$632,HLOOKUP('Personalized Bill Menu'!$B$23, 'Misc. Data &amp; Mechanisms'!$P$599:$S$600, 2, FALSE), FALSE), 'Misc. Data &amp; Mechanisms'!$L$599:$N$659, 2, FALSE), FALSE)), ""))</f>
        <v>0.747</v>
      </c>
      <c r="R20" s="72">
        <f t="shared" ca="1" si="11"/>
        <v>8.9708229140123752</v>
      </c>
      <c r="S20" s="70">
        <f t="shared" ca="1" si="12"/>
        <v>20.916</v>
      </c>
      <c r="T20" s="78">
        <f>IFERROR(IF(VLOOKUP($A20,'Misc. Data &amp; Mechanisms'!$A$63:$DY$152,HLOOKUP('Personalized Bill Menu'!$B$21&amp;"_"&amp;'Personalized Bill Menu'!$B$23&amp;"_NG_Y_1",'Misc. Data &amp; Mechanisms'!$A$55:$DY$62,8,FALSE), FALSE)="", "", VLOOKUP($A20,'Misc. Data &amp; Mechanisms'!$A$63:$DY$152,HLOOKUP('Personalized Bill Menu'!$B$21&amp;"_"&amp;'Personalized Bill Menu'!$B$23&amp;"_NG_Y_1",'Misc. Data &amp; Mechanisms'!$A$55:$DY$62,8,FALSE), FALSE)), "")</f>
        <v>0.1111</v>
      </c>
      <c r="U20" s="78" t="str">
        <f>IFERROR(IF(VLOOKUP($A20,'Misc. Data &amp; Mechanisms'!$A$63:$DY$152,HLOOKUP('Personalized Bill Menu'!$B$21&amp;"_"&amp;'Personalized Bill Menu'!$B$23&amp;"_NG_Y_2",'Misc. Data &amp; Mechanisms'!$A$55:$DY$62,8,FALSE), FALSE)="", "",VLOOKUP($A20,'Misc. Data &amp; Mechanisms'!$A$63:$DY$152,HLOOKUP('Personalized Bill Menu'!$B$21&amp;"_"&amp;'Personalized Bill Menu'!$B$23&amp;"_NG_Y_2",'Misc. Data &amp; Mechanisms'!$A$55:$DY$62,8,FALSE), FALSE)), "")</f>
        <v/>
      </c>
      <c r="V20" s="72">
        <f ca="1">IF($A20="", "", IFERROR(IF('Personalized Bill Menu'!$B$23="ATCO-N", IF(OR('Personalized Bill Menu'!$B$21="Fort McMurray",AND('Personalized Bill Menu'!$B$21="Spruce Grove", $A20&lt;DATE(2019, 5, 1))),$T20*($G20+$H20+$J20),$T20*($H20+$J20)), IF('Personalized Bill Menu'!$B$23="ATCO-S",IF(OR('Personalized Bill Menu'!$B$21="Calgary",AND('Personalized Bill Menu'!$B$21="Okotoks", $A20&lt;DATE(2019, 1, 1))),$T20*($G20+$H20+$J20), $T20*($H20+$J20-$AG20)),IF(AND('Personalized Bill Menu'!$B$21="Athabasca", $A20&lt;DATE(2019, 5, 1)),$T20*($G20+$H20+$J20+$K20),$T20*($H20+$J20+$K20)))),0))</f>
        <v>8.6693985840711942</v>
      </c>
      <c r="W20" s="72">
        <f ca="1">IF($A20="", "", IFERROR(IF('Personalized Bill Menu'!$B$23="ATCO-N", $U20*($H20+$J20), IF('Personalized Bill Menu'!$B$23="ATCO-S",$U20*($H20+$J20),$U20*($G20+$H20+$J20+$K20))),0))</f>
        <v>0</v>
      </c>
      <c r="X20" s="89" t="str">
        <f ca="1">IF($A20="", "",IFERROR(IF(VLOOKUP($A20, INDIRECT("'" &amp; 'Personalized Bill Menu'!$B$23 &amp; "'!" &amp;"$A$4:$CA$100"), VLOOKUP(VLOOKUP("RIDER RATE 1",'Misc. Data &amp; Mechanisms'!$P$601:$S$632,HLOOKUP('Personalized Bill Menu'!$B$23, 'Misc. Data &amp; Mechanisms'!$P$599:$S$600, 2, FALSE), FALSE), 'Misc. Data &amp; Mechanisms'!$L$599:$N$659, 2, FALSE), FALSE) = "", "", VLOOKUP($A20, INDIRECT("'" &amp; 'Personalized Bill Menu'!$B$23 &amp; "'!" &amp;"$A$4:$CA$100"), VLOOKUP(VLOOKUP("RIDER RATE 1",'Misc. Data &amp; Mechanisms'!$P$601:$S$632,HLOOKUP('Personalized Bill Menu'!$B$23, 'Misc. Data &amp; Mechanisms'!$P$599:$S$600, 2, FALSE), FALSE), 'Misc. Data &amp; Mechanisms'!$L$599:$N$659, 2, FALSE), FALSE)), ""))</f>
        <v/>
      </c>
      <c r="Y20" s="69" t="str">
        <f ca="1">IF($A20="", "",IFERROR(IF(VLOOKUP($A20, INDIRECT("'" &amp; 'Personalized Bill Menu'!$B$23 &amp; "'!" &amp;"$A$4:$CA$100"), VLOOKUP(VLOOKUP("RIDER RATE 2",'Misc. Data &amp; Mechanisms'!$P$601:$S$632,HLOOKUP('Personalized Bill Menu'!$B$23, 'Misc. Data &amp; Mechanisms'!$P$599:$S$600, 2, FALSE), FALSE), 'Misc. Data &amp; Mechanisms'!$L$599:$N$659, 2, FALSE), FALSE) = "", "", VLOOKUP($A20, INDIRECT("'" &amp; 'Personalized Bill Menu'!$B$23 &amp; "'!" &amp;"$A$4:$CA$100"), VLOOKUP(VLOOKUP("RIDER RATE 2",'Misc. Data &amp; Mechanisms'!$P$601:$S$632,HLOOKUP('Personalized Bill Menu'!$B$23, 'Misc. Data &amp; Mechanisms'!$P$599:$S$600, 2, FALSE), FALSE), 'Misc. Data &amp; Mechanisms'!$L$599:$N$659, 2, FALSE), FALSE)), ""))</f>
        <v/>
      </c>
      <c r="Z20" s="69" t="str">
        <f ca="1">IF($A20="", "",IFERROR(IF(VLOOKUP($A20, INDIRECT("'" &amp; 'Personalized Bill Menu'!$B$23 &amp; "'!" &amp;"$A$4:$CA$100"), VLOOKUP(VLOOKUP("RIDER RATE 3",'Misc. Data &amp; Mechanisms'!$P$601:$S$632,HLOOKUP('Personalized Bill Menu'!$B$23, 'Misc. Data &amp; Mechanisms'!$P$599:$S$600, 2, FALSE), FALSE), 'Misc. Data &amp; Mechanisms'!$L$599:$N$659, 2, FALSE), FALSE) = "", "", VLOOKUP($A20, INDIRECT("'" &amp; 'Personalized Bill Menu'!$B$23 &amp; "'!" &amp;"$A$4:$CA$100"), VLOOKUP(VLOOKUP("RIDER RATE 3",'Misc. Data &amp; Mechanisms'!$P$601:$S$632,HLOOKUP('Personalized Bill Menu'!$B$23, 'Misc. Data &amp; Mechanisms'!$P$599:$S$600, 2, FALSE), FALSE), 'Misc. Data &amp; Mechanisms'!$L$599:$N$659, 2, FALSE), FALSE)), ""))</f>
        <v/>
      </c>
      <c r="AA20" s="69" t="str">
        <f ca="1">IF($A20="", "",IFERROR(IF(VLOOKUP($A20, INDIRECT("'" &amp; 'Personalized Bill Menu'!$B$23 &amp; "'!" &amp;"$A$4:$CA$100"), VLOOKUP(VLOOKUP("RIDER RATE 4",'Misc. Data &amp; Mechanisms'!$P$601:$S$632,HLOOKUP('Personalized Bill Menu'!$B$23, 'Misc. Data &amp; Mechanisms'!$P$599:$S$600, 2, FALSE), FALSE), 'Misc. Data &amp; Mechanisms'!$L$599:$N$659, 2, FALSE), FALSE) = "", "", VLOOKUP($A20, INDIRECT("'" &amp; 'Personalized Bill Menu'!$B$23 &amp; "'!" &amp;"$A$4:$CA$100"), VLOOKUP(VLOOKUP("RIDER RATE 4",'Misc. Data &amp; Mechanisms'!$P$601:$S$632,HLOOKUP('Personalized Bill Menu'!$B$23, 'Misc. Data &amp; Mechanisms'!$P$599:$S$600, 2, FALSE), FALSE), 'Misc. Data &amp; Mechanisms'!$L$599:$N$659, 2, FALSE), FALSE)), ""))</f>
        <v/>
      </c>
      <c r="AB20" s="69">
        <f ca="1">IF($A20="", "",IFERROR(IF(VLOOKUP($A20, INDIRECT("'" &amp; 'Personalized Bill Menu'!$B$23 &amp; "'!" &amp;"$A$4:$CA$100"), VLOOKUP(VLOOKUP("RIDER RATE 5",'Misc. Data &amp; Mechanisms'!$P$601:$S$632,HLOOKUP('Personalized Bill Menu'!$B$23, 'Misc. Data &amp; Mechanisms'!$P$599:$S$600, 2, FALSE), FALSE), 'Misc. Data &amp; Mechanisms'!$L$599:$N$659, 2, FALSE), FALSE) = "", "", VLOOKUP($A20, INDIRECT("'" &amp; 'Personalized Bill Menu'!$B$23 &amp; "'!" &amp;"$A$4:$CA$100"), VLOOKUP(VLOOKUP("RIDER RATE 5",'Misc. Data &amp; Mechanisms'!$P$601:$S$632,HLOOKUP('Personalized Bill Menu'!$B$23, 'Misc. Data &amp; Mechanisms'!$P$599:$S$600, 2, FALSE), FALSE), 'Misc. Data &amp; Mechanisms'!$L$599:$N$659, 2, FALSE), FALSE)), ""))</f>
        <v>0.47699999999999998</v>
      </c>
      <c r="AC20" s="69" t="str">
        <f ca="1">IF($A20="", "",IFERROR(IF(VLOOKUP($A20, INDIRECT("'" &amp; 'Personalized Bill Menu'!$B$23 &amp; "'!" &amp;"$A$4:$CA$100"), VLOOKUP(VLOOKUP("RIDER RATE 6",'Misc. Data &amp; Mechanisms'!$P$601:$S$632,HLOOKUP('Personalized Bill Menu'!$B$23, 'Misc. Data &amp; Mechanisms'!$P$599:$S$600, 2, FALSE), FALSE), 'Misc. Data &amp; Mechanisms'!$L$599:$N$659, 2, FALSE), FALSE) = "", "", VLOOKUP($A20, INDIRECT("'" &amp; 'Personalized Bill Menu'!$B$23 &amp; "'!" &amp;"$A$4:$CA$100"), VLOOKUP(VLOOKUP("RIDER RATE 6",'Misc. Data &amp; Mechanisms'!$P$601:$S$632,HLOOKUP('Personalized Bill Menu'!$B$23, 'Misc. Data &amp; Mechanisms'!$P$599:$S$600, 2, FALSE), FALSE), 'Misc. Data &amp; Mechanisms'!$L$599:$N$659, 2, FALSE), FALSE)), ""))</f>
        <v/>
      </c>
      <c r="AD20" s="69" t="str">
        <f ca="1">IF($A20="", "",IFERROR(IF(VLOOKUP($A20, INDIRECT("'" &amp; 'Personalized Bill Menu'!$B$23 &amp; "'!" &amp;"$A$4:$CA$100"), VLOOKUP(VLOOKUP("RIDER RATE 7",'Misc. Data &amp; Mechanisms'!$P$601:$S$632,HLOOKUP('Personalized Bill Menu'!$B$23, 'Misc. Data &amp; Mechanisms'!$P$599:$S$600, 2, FALSE), FALSE), 'Misc. Data &amp; Mechanisms'!$L$599:$N$659, 2, FALSE), FALSE) = "", "", VLOOKUP($A20, INDIRECT("'" &amp; 'Personalized Bill Menu'!$B$23 &amp; "'!" &amp;"$A$4:$CA$100"), VLOOKUP(VLOOKUP("RIDER RATE 7",'Misc. Data &amp; Mechanisms'!$P$601:$S$632,HLOOKUP('Personalized Bill Menu'!$B$23, 'Misc. Data &amp; Mechanisms'!$P$599:$S$600, 2, FALSE), FALSE), 'Misc. Data &amp; Mechanisms'!$L$599:$N$659, 2, FALSE), FALSE)), ""))</f>
        <v/>
      </c>
      <c r="AE20" s="69" t="str">
        <f ca="1">IF($A20="", "",IFERROR(IF(VLOOKUP($A20, INDIRECT("'" &amp; 'Personalized Bill Menu'!$B$23 &amp; "'!" &amp;"$A$4:$CA$100"), VLOOKUP(VLOOKUP("RIDER RATE 8",'Misc. Data &amp; Mechanisms'!$P$601:$S$632,HLOOKUP('Personalized Bill Menu'!$B$23, 'Misc. Data &amp; Mechanisms'!$P$599:$S$600, 2, FALSE), FALSE), 'Misc. Data &amp; Mechanisms'!$L$599:$N$659, 2, FALSE), FALSE) = "", "", VLOOKUP($A20, INDIRECT("'" &amp; 'Personalized Bill Menu'!$B$23 &amp; "'!" &amp;"$A$4:$CA$100"), VLOOKUP(VLOOKUP("RIDER RATE 8",'Misc. Data &amp; Mechanisms'!$P$601:$S$632,HLOOKUP('Personalized Bill Menu'!$B$23, 'Misc. Data &amp; Mechanisms'!$P$599:$S$600, 2, FALSE), FALSE), 'Misc. Data &amp; Mechanisms'!$L$599:$N$659, 2, FALSE), FALSE)), ""))</f>
        <v/>
      </c>
      <c r="AF20" s="69" t="str">
        <f ca="1">IF($A20="", "",IFERROR(IF(VLOOKUP($A20, INDIRECT("'" &amp; 'Personalized Bill Menu'!$B$23 &amp; "'!" &amp;"$A$4:$CA$100"), VLOOKUP(VLOOKUP("RIDER RATE 9",'Misc. Data &amp; Mechanisms'!$P$601:$S$632,HLOOKUP('Personalized Bill Menu'!$B$23, 'Misc. Data &amp; Mechanisms'!$P$599:$S$600, 2, FALSE), FALSE), 'Misc. Data &amp; Mechanisms'!$L$599:$N$659, 2, FALSE), FALSE) = "", "", VLOOKUP($A20, INDIRECT("'" &amp; 'Personalized Bill Menu'!$B$23 &amp; "'!" &amp;"$A$4:$CA$100"), VLOOKUP(VLOOKUP("RIDER RATE 9",'Misc. Data &amp; Mechanisms'!$P$601:$S$632,HLOOKUP('Personalized Bill Menu'!$B$23, 'Misc. Data &amp; Mechanisms'!$P$599:$S$600, 2, FALSE), FALSE), 'Misc. Data &amp; Mechanisms'!$L$599:$N$659, 2, FALSE), FALSE)), ""))</f>
        <v/>
      </c>
      <c r="AG20" s="72">
        <f ca="1">IF($A20="", "", IFERROR(IF('Personalized Bill Menu'!$B$23="ATCO-N", ($X20*$B20) +($Y20*$C20), IF('Personalized Bill Menu'!$B$23="ATCO-S",$X20*$C20, IF($Y20="", ($X20*$H20), ($Y20*($H20+$K20))))), 0))</f>
        <v>0</v>
      </c>
      <c r="AH20" s="72">
        <f ca="1">IF($A20="", "", IFERROR(IF('Personalized Bill Menu'!$B$23="ATCO-S", $Y20*$C20, $Z20*$C20), 0))</f>
        <v>0</v>
      </c>
      <c r="AI20" s="72">
        <f ca="1">IF($A20="", "", IFERROR(IF('Personalized Bill Menu'!$B$23="ATCO-S", ($AA20*$C20)+($Z20*$B20), $AA20*$C20), 0))</f>
        <v>0</v>
      </c>
      <c r="AJ20" s="72">
        <f ca="1">IF($A20="", "", IFERROR(IF('Personalized Bill Menu'!$B$23&lt;&gt;"AltaGas",$AB20*$C20,""),0))</f>
        <v>6.1569532805523783</v>
      </c>
      <c r="AK20" s="72">
        <f ca="1">IF($A20="", "", IFERROR(IF('Personalized Bill Menu'!$B$23="ATCO-S",$AC20*$C20,IF('Personalized Bill Menu'!$B$23="ATCO-N",$AC20*1,"")),0))</f>
        <v>0</v>
      </c>
      <c r="AL20" s="72">
        <f ca="1">IF($A20="", "", IFERROR(IF('Personalized Bill Menu'!$B$23="ATCO-N",$AD20*$B20,IF('Personalized Bill Menu'!$B$23="ATCO-S",$AD20*1,"")),0))</f>
        <v>0</v>
      </c>
      <c r="AM20" s="72">
        <f ca="1">IF($A20="", "", IFERROR(IF('Personalized Bill Menu'!$B$23="ATCO-S",$AE20*$B20,IF('Personalized Bill Menu'!$B$23="ATCO-N",$AE20*$B20,"")),0))</f>
        <v>0</v>
      </c>
      <c r="AN20" s="70">
        <f ca="1">IF($A20="", "", IFERROR(IF('Personalized Bill Menu'!$B$23="ATCO-S",$AF20*$B20,""),0))</f>
        <v>0</v>
      </c>
      <c r="AO20" s="69">
        <f>IF('Personalized Bill Menu'!$B$34="Natural Gas", 'Personalized Bill Menu'!$K17, IF('Personalized Bill Menu'!$B$34="Both",'Personalized Bill Menu'!$O17,""))</f>
        <v>0.223</v>
      </c>
      <c r="AP20" s="72">
        <f t="shared" si="13"/>
        <v>6.2439999999999998</v>
      </c>
      <c r="AQ20" s="89" t="str">
        <f ca="1">IF($A20="", "",IF(VLOOKUP($A20, INDIRECT("'" &amp; 'Personalized Bill Menu'!$B$23 &amp; "'!" &amp;"$A$4:$CA$100"), VLOOKUP(VLOOKUP(AQ$5,'Misc. Data &amp; Mechanisms'!$P$601:$S$632,HLOOKUP('Personalized Bill Menu'!$B$23, 'Misc. Data &amp; Mechanisms'!$P$599:$S$600, 2, FALSE), FALSE), 'Misc. Data &amp; Mechanisms'!$L$599:$N$659, 2, FALSE), FALSE) = "", "", VLOOKUP($A20, INDIRECT("'" &amp; 'Personalized Bill Menu'!$B$23 &amp; "'!" &amp;"$A$4:$CA$100"), VLOOKUP(VLOOKUP(AQ$5,'Misc. Data &amp; Mechanisms'!$P$601:$S$632,HLOOKUP('Personalized Bill Menu'!$B$23, 'Misc. Data &amp; Mechanisms'!$P$599:$S$600, 2, FALSE), FALSE), 'Misc. Data &amp; Mechanisms'!$L$599:$N$659, 2, FALSE), FALSE)))</f>
        <v/>
      </c>
      <c r="AR20" s="72">
        <f t="shared" ca="1" si="14"/>
        <v>0</v>
      </c>
      <c r="AS20" s="91">
        <f ca="1">IF($A20="", "",IF(VLOOKUP($A20, INDIRECT("'" &amp; 'Personalized Bill Menu'!$B$23 &amp; "'!" &amp;"$A$4:$CA$100"), VLOOKUP(VLOOKUP(AS$5,'Misc. Data &amp; Mechanisms'!$P$601:$S$632,HLOOKUP('Personalized Bill Menu'!$B$23, 'Misc. Data &amp; Mechanisms'!$P$599:$S$600, 2, FALSE), FALSE), 'Misc. Data &amp; Mechanisms'!$L$599:$N$659, 2, FALSE), FALSE) = "", "", VLOOKUP($A20, INDIRECT("'" &amp; 'Personalized Bill Menu'!$B$23 &amp; "'!" &amp;"$A$4:$CA$100"), VLOOKUP(VLOOKUP(AS$5,'Misc. Data &amp; Mechanisms'!$P$601:$S$632,HLOOKUP('Personalized Bill Menu'!$B$23, 'Misc. Data &amp; Mechanisms'!$P$599:$S$600, 2, FALSE), FALSE), 'Misc. Data &amp; Mechanisms'!$L$599:$N$659, 2, FALSE), FALSE)))</f>
        <v>0.05</v>
      </c>
      <c r="AT20" s="116"/>
      <c r="AU20" s="116"/>
      <c r="AV20" s="116"/>
      <c r="AW20" s="116"/>
      <c r="AX20" s="116"/>
    </row>
    <row r="21" spans="1:50" s="117" customFormat="1" ht="15" x14ac:dyDescent="0.25">
      <c r="A21" s="83">
        <f>'Personalized Bill Menu'!$H18</f>
        <v>41334</v>
      </c>
      <c r="B21" s="84">
        <f t="shared" si="3"/>
        <v>31</v>
      </c>
      <c r="C21" s="85">
        <f>IF('Personalized Bill Menu'!$B$34="Natural Gas", 'Personalized Bill Menu'!$I18, IF('Personalized Bill Menu'!$B$34="Both",'Personalized Bill Menu'!$M18,""))</f>
        <v>15.132218796418558</v>
      </c>
      <c r="D21" s="66">
        <f t="shared" ca="1" si="4"/>
        <v>7.0098126002568559</v>
      </c>
      <c r="E21" s="66">
        <f ca="1">IF($C21="Not Applicable", "", IFERROR(IFERROR((1+$AS21)*IF('Personalized Bill Menu'!$B$23="ATCO-N", IF(OR('Personalized Bill Menu'!$B$21="Fort McMurray",AND('Personalized Bill Menu'!$B$21="Spruce Grove", $A21&lt;DATE(2019, 5, 1) )),(((1+IF($T21="",0,$T21))*($N21+$P21))+ (IF($U21="", 0, $U21)*$P21)+(1+IF($T21="",0,$T21)+IF($U21="", 0, $U21))*(SUM($Y21:$AB21))),($N21+((1+IF($T21="",0,$T21)+IF($U21="", 0, $U21))*$P21)+(1+IF($T21="",0,$T21)+IF($U21="", 0, $U21))*(SUM($Y21:$AB21)))), IF('Personalized Bill Menu'!$B$23="ATCO-S",IF(OR('Personalized Bill Menu'!$B$21="Calgary",AND('Personalized Bill Menu'!$B$21="Okotoks", $A21&lt;DATE(2019, 1, 1))),((1+IF($T21="",0,$T21))*($N21+$P21+SUM($X21:$Y21,$AA21:$AC21)))+(IF($U21="",0, $U21)*($P21+SUM($X21:$Y21,$AA21:$AC21))), ((1+IF($T21="",0,$T21))*($P21+SUM($Y21,$AA21:$AC21)))+(IF($U21="",0, $U21)*($P21+SUM($X21:$Y21,$AA21:$AC21)))+$N21+IF($X21="", 0, $X21)),IF(AND('Personalized Bill Menu'!$B$21="Athabasca", $A21&lt;DATE(2019, 5, 1)),((1+IF($T21="",0,$T21)+IF($U21="", 0, $U21))*($N21+((1+SUM($X21:$Y21))*$P21)+SUM($Z21:$AA21))),((1+IF($U21="", 0, $U21))*($N21+((1+SUM($X21:$Y21))*$P21)+SUM($Z21:$AA21))) + (IF($T21="",0,$T21)*(((1+SUM($X21:$Y21))*$P21)+SUM($Z21:$AA21)))))), "")+ IF($AQ21="", 0,((1+$AS21)*$AQ21)), ""))</f>
        <v>4.7447858849999998</v>
      </c>
      <c r="F21" s="118">
        <f t="shared" ca="1" si="5"/>
        <v>106.07401798897844</v>
      </c>
      <c r="G21" s="115">
        <f t="shared" si="0"/>
        <v>43.036030257014374</v>
      </c>
      <c r="H21" s="66">
        <f t="shared" ca="1" si="1"/>
        <v>33.673892063510898</v>
      </c>
      <c r="I21" s="66">
        <f t="shared" ca="1" si="2"/>
        <v>9.410140430183306</v>
      </c>
      <c r="J21" s="66">
        <f t="shared" ca="1" si="6"/>
        <v>7.9898115245089985</v>
      </c>
      <c r="K21" s="66">
        <f t="shared" si="7"/>
        <v>6.9130000000000003</v>
      </c>
      <c r="L21" s="66">
        <f t="shared" ca="1" si="8"/>
        <v>0</v>
      </c>
      <c r="M21" s="68">
        <f t="shared" ca="1" si="9"/>
        <v>5.0511437137608786</v>
      </c>
      <c r="N21" s="1290">
        <f>IF('Personalized Bill Menu'!$B$34="Natural Gas", 'Personalized Bill Menu'!$J18, IF('Personalized Bill Menu'!$B$34="Both",'Personalized Bill Menu'!$N18,""))</f>
        <v>2.8439999999999999</v>
      </c>
      <c r="O21" s="70">
        <f t="shared" si="10"/>
        <v>43.036030257014374</v>
      </c>
      <c r="P21" s="89">
        <f ca="1">IF($A21="", "",IFERROR(IF(VLOOKUP($A21, INDIRECT("'" &amp; 'Personalized Bill Menu'!$B$23 &amp; "'!" &amp;"$A$4:$CA$100"), VLOOKUP(VLOOKUP(P$5,'Misc. Data &amp; Mechanisms'!$P$601:$S$632,HLOOKUP('Personalized Bill Menu'!$B$23, 'Misc. Data &amp; Mechanisms'!$P$599:$S$600, 2, FALSE), FALSE), 'Misc. Data &amp; Mechanisms'!$L$599:$N$659, 2, FALSE), FALSE) = "", "", VLOOKUP($A21, INDIRECT("'" &amp; 'Personalized Bill Menu'!$B$23 &amp; "'!" &amp;"$A$4:$CA$100"), VLOOKUP(VLOOKUP(P$5,'Misc. Data &amp; Mechanisms'!$P$601:$S$632,HLOOKUP('Personalized Bill Menu'!$B$23, 'Misc. Data &amp; Mechanisms'!$P$599:$S$600, 2, FALSE), FALSE), 'Misc. Data &amp; Mechanisms'!$L$599:$N$659, 2, FALSE), FALSE)), ""))</f>
        <v>0.69499999999999995</v>
      </c>
      <c r="Q21" s="69">
        <f ca="1">IF($A21="", "",IFERROR(IF(VLOOKUP($A21, INDIRECT("'" &amp; 'Personalized Bill Menu'!$B$23 &amp; "'!" &amp;"$A$4:$CA$100"), VLOOKUP(VLOOKUP(Q$5,'Misc. Data &amp; Mechanisms'!$P$601:$S$632,HLOOKUP('Personalized Bill Menu'!$B$23, 'Misc. Data &amp; Mechanisms'!$P$599:$S$600, 2, FALSE), FALSE), 'Misc. Data &amp; Mechanisms'!$L$599:$N$659, 2, FALSE), FALSE) = "", "", VLOOKUP($A21, INDIRECT("'" &amp; 'Personalized Bill Menu'!$B$23 &amp; "'!" &amp;"$A$4:$CA$100"), VLOOKUP(VLOOKUP(Q$5,'Misc. Data &amp; Mechanisms'!$P$601:$S$632,HLOOKUP('Personalized Bill Menu'!$B$23, 'Misc. Data &amp; Mechanisms'!$P$599:$S$600, 2, FALSE), FALSE), 'Misc. Data &amp; Mechanisms'!$L$599:$N$659, 2, FALSE), FALSE)), ""))</f>
        <v>0.747</v>
      </c>
      <c r="R21" s="72">
        <f t="shared" ca="1" si="11"/>
        <v>10.516892063510896</v>
      </c>
      <c r="S21" s="70">
        <f t="shared" ca="1" si="12"/>
        <v>23.157</v>
      </c>
      <c r="T21" s="78">
        <f>IFERROR(IF(VLOOKUP($A21,'Misc. Data &amp; Mechanisms'!$A$63:$DY$152,HLOOKUP('Personalized Bill Menu'!$B$21&amp;"_"&amp;'Personalized Bill Menu'!$B$23&amp;"_NG_Y_1",'Misc. Data &amp; Mechanisms'!$A$55:$DY$62,8,FALSE), FALSE)="", "", VLOOKUP($A21,'Misc. Data &amp; Mechanisms'!$A$63:$DY$152,HLOOKUP('Personalized Bill Menu'!$B$21&amp;"_"&amp;'Personalized Bill Menu'!$B$23&amp;"_NG_Y_1",'Misc. Data &amp; Mechanisms'!$A$55:$DY$62,8,FALSE), FALSE)), "")</f>
        <v>0.1111</v>
      </c>
      <c r="U21" s="78" t="str">
        <f>IFERROR(IF(VLOOKUP($A21,'Misc. Data &amp; Mechanisms'!$A$63:$DY$152,HLOOKUP('Personalized Bill Menu'!$B$21&amp;"_"&amp;'Personalized Bill Menu'!$B$23&amp;"_NG_Y_2",'Misc. Data &amp; Mechanisms'!$A$55:$DY$62,8,FALSE), FALSE)="", "",VLOOKUP($A21,'Misc. Data &amp; Mechanisms'!$A$63:$DY$152,HLOOKUP('Personalized Bill Menu'!$B$21&amp;"_"&amp;'Personalized Bill Menu'!$B$23&amp;"_NG_Y_2",'Misc. Data &amp; Mechanisms'!$A$55:$DY$62,8,FALSE), FALSE)), "")</f>
        <v/>
      </c>
      <c r="V21" s="72">
        <f ca="1">IF($A21="", "", IFERROR(IF('Personalized Bill Menu'!$B$23="ATCO-N", IF(OR('Personalized Bill Menu'!$B$21="Fort McMurray",AND('Personalized Bill Menu'!$B$21="Spruce Grove", $A21&lt;DATE(2019, 5, 1))),$T21*($G21+$H21+$J21),$T21*($H21+$J21)), IF('Personalized Bill Menu'!$B$23="ATCO-S",IF(OR('Personalized Bill Menu'!$B$21="Calgary",AND('Personalized Bill Menu'!$B$21="Okotoks", $A21&lt;DATE(2019, 1, 1))),$T21*($G21+$H21+$J21), $T21*($H21+$J21-$AG21)),IF(AND('Personalized Bill Menu'!$B$21="Athabasca", $A21&lt;DATE(2019, 5, 1)),$T21*($G21+$H21+$J21+$K21),$T21*($H21+$J21+$K21)))),0))</f>
        <v>9.410140430183306</v>
      </c>
      <c r="W21" s="72">
        <f ca="1">IF($A21="", "", IFERROR(IF('Personalized Bill Menu'!$B$23="ATCO-N", $U21*($H21+$J21), IF('Personalized Bill Menu'!$B$23="ATCO-S",$U21*($H21+$J21),$U21*($G21+$H21+$J21+$K21))),0))</f>
        <v>0</v>
      </c>
      <c r="X21" s="89" t="str">
        <f ca="1">IF($A21="", "",IFERROR(IF(VLOOKUP($A21, INDIRECT("'" &amp; 'Personalized Bill Menu'!$B$23 &amp; "'!" &amp;"$A$4:$CA$100"), VLOOKUP(VLOOKUP("RIDER RATE 1",'Misc. Data &amp; Mechanisms'!$P$601:$S$632,HLOOKUP('Personalized Bill Menu'!$B$23, 'Misc. Data &amp; Mechanisms'!$P$599:$S$600, 2, FALSE), FALSE), 'Misc. Data &amp; Mechanisms'!$L$599:$N$659, 2, FALSE), FALSE) = "", "", VLOOKUP($A21, INDIRECT("'" &amp; 'Personalized Bill Menu'!$B$23 &amp; "'!" &amp;"$A$4:$CA$100"), VLOOKUP(VLOOKUP("RIDER RATE 1",'Misc. Data &amp; Mechanisms'!$P$601:$S$632,HLOOKUP('Personalized Bill Menu'!$B$23, 'Misc. Data &amp; Mechanisms'!$P$599:$S$600, 2, FALSE), FALSE), 'Misc. Data &amp; Mechanisms'!$L$599:$N$659, 2, FALSE), FALSE)), ""))</f>
        <v/>
      </c>
      <c r="Y21" s="69" t="str">
        <f ca="1">IF($A21="", "",IFERROR(IF(VLOOKUP($A21, INDIRECT("'" &amp; 'Personalized Bill Menu'!$B$23 &amp; "'!" &amp;"$A$4:$CA$100"), VLOOKUP(VLOOKUP("RIDER RATE 2",'Misc. Data &amp; Mechanisms'!$P$601:$S$632,HLOOKUP('Personalized Bill Menu'!$B$23, 'Misc. Data &amp; Mechanisms'!$P$599:$S$600, 2, FALSE), FALSE), 'Misc. Data &amp; Mechanisms'!$L$599:$N$659, 2, FALSE), FALSE) = "", "", VLOOKUP($A21, INDIRECT("'" &amp; 'Personalized Bill Menu'!$B$23 &amp; "'!" &amp;"$A$4:$CA$100"), VLOOKUP(VLOOKUP("RIDER RATE 2",'Misc. Data &amp; Mechanisms'!$P$601:$S$632,HLOOKUP('Personalized Bill Menu'!$B$23, 'Misc. Data &amp; Mechanisms'!$P$599:$S$600, 2, FALSE), FALSE), 'Misc. Data &amp; Mechanisms'!$L$599:$N$659, 2, FALSE), FALSE)), ""))</f>
        <v/>
      </c>
      <c r="Z21" s="69" t="str">
        <f ca="1">IF($A21="", "",IFERROR(IF(VLOOKUP($A21, INDIRECT("'" &amp; 'Personalized Bill Menu'!$B$23 &amp; "'!" &amp;"$A$4:$CA$100"), VLOOKUP(VLOOKUP("RIDER RATE 3",'Misc. Data &amp; Mechanisms'!$P$601:$S$632,HLOOKUP('Personalized Bill Menu'!$B$23, 'Misc. Data &amp; Mechanisms'!$P$599:$S$600, 2, FALSE), FALSE), 'Misc. Data &amp; Mechanisms'!$L$599:$N$659, 2, FALSE), FALSE) = "", "", VLOOKUP($A21, INDIRECT("'" &amp; 'Personalized Bill Menu'!$B$23 &amp; "'!" &amp;"$A$4:$CA$100"), VLOOKUP(VLOOKUP("RIDER RATE 3",'Misc. Data &amp; Mechanisms'!$P$601:$S$632,HLOOKUP('Personalized Bill Menu'!$B$23, 'Misc. Data &amp; Mechanisms'!$P$599:$S$600, 2, FALSE), FALSE), 'Misc. Data &amp; Mechanisms'!$L$599:$N$659, 2, FALSE), FALSE)), ""))</f>
        <v/>
      </c>
      <c r="AA21" s="69" t="str">
        <f ca="1">IF($A21="", "",IFERROR(IF(VLOOKUP($A21, INDIRECT("'" &amp; 'Personalized Bill Menu'!$B$23 &amp; "'!" &amp;"$A$4:$CA$100"), VLOOKUP(VLOOKUP("RIDER RATE 4",'Misc. Data &amp; Mechanisms'!$P$601:$S$632,HLOOKUP('Personalized Bill Menu'!$B$23, 'Misc. Data &amp; Mechanisms'!$P$599:$S$600, 2, FALSE), FALSE), 'Misc. Data &amp; Mechanisms'!$L$599:$N$659, 2, FALSE), FALSE) = "", "", VLOOKUP($A21, INDIRECT("'" &amp; 'Personalized Bill Menu'!$B$23 &amp; "'!" &amp;"$A$4:$CA$100"), VLOOKUP(VLOOKUP("RIDER RATE 4",'Misc. Data &amp; Mechanisms'!$P$601:$S$632,HLOOKUP('Personalized Bill Menu'!$B$23, 'Misc. Data &amp; Mechanisms'!$P$599:$S$600, 2, FALSE), FALSE), 'Misc. Data &amp; Mechanisms'!$L$599:$N$659, 2, FALSE), FALSE)), ""))</f>
        <v/>
      </c>
      <c r="AB21" s="69">
        <f ca="1">IF($A21="", "",IFERROR(IF(VLOOKUP($A21, INDIRECT("'" &amp; 'Personalized Bill Menu'!$B$23 &amp; "'!" &amp;"$A$4:$CA$100"), VLOOKUP(VLOOKUP("RIDER RATE 5",'Misc. Data &amp; Mechanisms'!$P$601:$S$632,HLOOKUP('Personalized Bill Menu'!$B$23, 'Misc. Data &amp; Mechanisms'!$P$599:$S$600, 2, FALSE), FALSE), 'Misc. Data &amp; Mechanisms'!$L$599:$N$659, 2, FALSE), FALSE) = "", "", VLOOKUP($A21, INDIRECT("'" &amp; 'Personalized Bill Menu'!$B$23 &amp; "'!" &amp;"$A$4:$CA$100"), VLOOKUP(VLOOKUP("RIDER RATE 5",'Misc. Data &amp; Mechanisms'!$P$601:$S$632,HLOOKUP('Personalized Bill Menu'!$B$23, 'Misc. Data &amp; Mechanisms'!$P$599:$S$600, 2, FALSE), FALSE), 'Misc. Data &amp; Mechanisms'!$L$599:$N$659, 2, FALSE), FALSE)), ""))</f>
        <v>0.52800000000000002</v>
      </c>
      <c r="AC21" s="69" t="str">
        <f ca="1">IF($A21="", "",IFERROR(IF(VLOOKUP($A21, INDIRECT("'" &amp; 'Personalized Bill Menu'!$B$23 &amp; "'!" &amp;"$A$4:$CA$100"), VLOOKUP(VLOOKUP("RIDER RATE 6",'Misc. Data &amp; Mechanisms'!$P$601:$S$632,HLOOKUP('Personalized Bill Menu'!$B$23, 'Misc. Data &amp; Mechanisms'!$P$599:$S$600, 2, FALSE), FALSE), 'Misc. Data &amp; Mechanisms'!$L$599:$N$659, 2, FALSE), FALSE) = "", "", VLOOKUP($A21, INDIRECT("'" &amp; 'Personalized Bill Menu'!$B$23 &amp; "'!" &amp;"$A$4:$CA$100"), VLOOKUP(VLOOKUP("RIDER RATE 6",'Misc. Data &amp; Mechanisms'!$P$601:$S$632,HLOOKUP('Personalized Bill Menu'!$B$23, 'Misc. Data &amp; Mechanisms'!$P$599:$S$600, 2, FALSE), FALSE), 'Misc. Data &amp; Mechanisms'!$L$599:$N$659, 2, FALSE), FALSE)), ""))</f>
        <v/>
      </c>
      <c r="AD21" s="69" t="str">
        <f ca="1">IF($A21="", "",IFERROR(IF(VLOOKUP($A21, INDIRECT("'" &amp; 'Personalized Bill Menu'!$B$23 &amp; "'!" &amp;"$A$4:$CA$100"), VLOOKUP(VLOOKUP("RIDER RATE 7",'Misc. Data &amp; Mechanisms'!$P$601:$S$632,HLOOKUP('Personalized Bill Menu'!$B$23, 'Misc. Data &amp; Mechanisms'!$P$599:$S$600, 2, FALSE), FALSE), 'Misc. Data &amp; Mechanisms'!$L$599:$N$659, 2, FALSE), FALSE) = "", "", VLOOKUP($A21, INDIRECT("'" &amp; 'Personalized Bill Menu'!$B$23 &amp; "'!" &amp;"$A$4:$CA$100"), VLOOKUP(VLOOKUP("RIDER RATE 7",'Misc. Data &amp; Mechanisms'!$P$601:$S$632,HLOOKUP('Personalized Bill Menu'!$B$23, 'Misc. Data &amp; Mechanisms'!$P$599:$S$600, 2, FALSE), FALSE), 'Misc. Data &amp; Mechanisms'!$L$599:$N$659, 2, FALSE), FALSE)), ""))</f>
        <v/>
      </c>
      <c r="AE21" s="69" t="str">
        <f ca="1">IF($A21="", "",IFERROR(IF(VLOOKUP($A21, INDIRECT("'" &amp; 'Personalized Bill Menu'!$B$23 &amp; "'!" &amp;"$A$4:$CA$100"), VLOOKUP(VLOOKUP("RIDER RATE 8",'Misc. Data &amp; Mechanisms'!$P$601:$S$632,HLOOKUP('Personalized Bill Menu'!$B$23, 'Misc. Data &amp; Mechanisms'!$P$599:$S$600, 2, FALSE), FALSE), 'Misc. Data &amp; Mechanisms'!$L$599:$N$659, 2, FALSE), FALSE) = "", "", VLOOKUP($A21, INDIRECT("'" &amp; 'Personalized Bill Menu'!$B$23 &amp; "'!" &amp;"$A$4:$CA$100"), VLOOKUP(VLOOKUP("RIDER RATE 8",'Misc. Data &amp; Mechanisms'!$P$601:$S$632,HLOOKUP('Personalized Bill Menu'!$B$23, 'Misc. Data &amp; Mechanisms'!$P$599:$S$600, 2, FALSE), FALSE), 'Misc. Data &amp; Mechanisms'!$L$599:$N$659, 2, FALSE), FALSE)), ""))</f>
        <v/>
      </c>
      <c r="AF21" s="69" t="str">
        <f ca="1">IF($A21="", "",IFERROR(IF(VLOOKUP($A21, INDIRECT("'" &amp; 'Personalized Bill Menu'!$B$23 &amp; "'!" &amp;"$A$4:$CA$100"), VLOOKUP(VLOOKUP("RIDER RATE 9",'Misc. Data &amp; Mechanisms'!$P$601:$S$632,HLOOKUP('Personalized Bill Menu'!$B$23, 'Misc. Data &amp; Mechanisms'!$P$599:$S$600, 2, FALSE), FALSE), 'Misc. Data &amp; Mechanisms'!$L$599:$N$659, 2, FALSE), FALSE) = "", "", VLOOKUP($A21, INDIRECT("'" &amp; 'Personalized Bill Menu'!$B$23 &amp; "'!" &amp;"$A$4:$CA$100"), VLOOKUP(VLOOKUP("RIDER RATE 9",'Misc. Data &amp; Mechanisms'!$P$601:$S$632,HLOOKUP('Personalized Bill Menu'!$B$23, 'Misc. Data &amp; Mechanisms'!$P$599:$S$600, 2, FALSE), FALSE), 'Misc. Data &amp; Mechanisms'!$L$599:$N$659, 2, FALSE), FALSE)), ""))</f>
        <v/>
      </c>
      <c r="AG21" s="72">
        <f ca="1">IF($A21="", "", IFERROR(IF('Personalized Bill Menu'!$B$23="ATCO-N", ($X21*$B21) +($Y21*$C21), IF('Personalized Bill Menu'!$B$23="ATCO-S",$X21*$C21, IF($Y21="", ($X21*$H21), ($Y21*($H21+$K21))))), 0))</f>
        <v>0</v>
      </c>
      <c r="AH21" s="72">
        <f ca="1">IF($A21="", "", IFERROR(IF('Personalized Bill Menu'!$B$23="ATCO-S", $Y21*$C21, $Z21*$C21), 0))</f>
        <v>0</v>
      </c>
      <c r="AI21" s="72">
        <f ca="1">IF($A21="", "", IFERROR(IF('Personalized Bill Menu'!$B$23="ATCO-S", ($AA21*$C21)+($Z21*$B21), $AA21*$C21), 0))</f>
        <v>0</v>
      </c>
      <c r="AJ21" s="72">
        <f ca="1">IF($A21="", "", IFERROR(IF('Personalized Bill Menu'!$B$23&lt;&gt;"AltaGas",$AB21*$C21,""),0))</f>
        <v>7.9898115245089985</v>
      </c>
      <c r="AK21" s="72">
        <f ca="1">IF($A21="", "", IFERROR(IF('Personalized Bill Menu'!$B$23="ATCO-S",$AC21*$C21,IF('Personalized Bill Menu'!$B$23="ATCO-N",$AC21*1,"")),0))</f>
        <v>0</v>
      </c>
      <c r="AL21" s="72">
        <f ca="1">IF($A21="", "", IFERROR(IF('Personalized Bill Menu'!$B$23="ATCO-N",$AD21*$B21,IF('Personalized Bill Menu'!$B$23="ATCO-S",$AD21*1,"")),0))</f>
        <v>0</v>
      </c>
      <c r="AM21" s="72">
        <f ca="1">IF($A21="", "", IFERROR(IF('Personalized Bill Menu'!$B$23="ATCO-S",$AE21*$B21,IF('Personalized Bill Menu'!$B$23="ATCO-N",$AE21*$B21,"")),0))</f>
        <v>0</v>
      </c>
      <c r="AN21" s="70">
        <f ca="1">IF($A21="", "", IFERROR(IF('Personalized Bill Menu'!$B$23="ATCO-S",$AF21*$B21,""),0))</f>
        <v>0</v>
      </c>
      <c r="AO21" s="69">
        <f>IF('Personalized Bill Menu'!$B$34="Natural Gas", 'Personalized Bill Menu'!$K18, IF('Personalized Bill Menu'!$B$34="Both",'Personalized Bill Menu'!$O18,""))</f>
        <v>0.223</v>
      </c>
      <c r="AP21" s="72">
        <f t="shared" si="13"/>
        <v>6.9130000000000003</v>
      </c>
      <c r="AQ21" s="89" t="str">
        <f ca="1">IF($A21="", "",IF(VLOOKUP($A21, INDIRECT("'" &amp; 'Personalized Bill Menu'!$B$23 &amp; "'!" &amp;"$A$4:$CA$100"), VLOOKUP(VLOOKUP(AQ$5,'Misc. Data &amp; Mechanisms'!$P$601:$S$632,HLOOKUP('Personalized Bill Menu'!$B$23, 'Misc. Data &amp; Mechanisms'!$P$599:$S$600, 2, FALSE), FALSE), 'Misc. Data &amp; Mechanisms'!$L$599:$N$659, 2, FALSE), FALSE) = "", "", VLOOKUP($A21, INDIRECT("'" &amp; 'Personalized Bill Menu'!$B$23 &amp; "'!" &amp;"$A$4:$CA$100"), VLOOKUP(VLOOKUP(AQ$5,'Misc. Data &amp; Mechanisms'!$P$601:$S$632,HLOOKUP('Personalized Bill Menu'!$B$23, 'Misc. Data &amp; Mechanisms'!$P$599:$S$600, 2, FALSE), FALSE), 'Misc. Data &amp; Mechanisms'!$L$599:$N$659, 2, FALSE), FALSE)))</f>
        <v/>
      </c>
      <c r="AR21" s="72">
        <f t="shared" ca="1" si="14"/>
        <v>0</v>
      </c>
      <c r="AS21" s="91">
        <f ca="1">IF($A21="", "",IF(VLOOKUP($A21, INDIRECT("'" &amp; 'Personalized Bill Menu'!$B$23 &amp; "'!" &amp;"$A$4:$CA$100"), VLOOKUP(VLOOKUP(AS$5,'Misc. Data &amp; Mechanisms'!$P$601:$S$632,HLOOKUP('Personalized Bill Menu'!$B$23, 'Misc. Data &amp; Mechanisms'!$P$599:$S$600, 2, FALSE), FALSE), 'Misc. Data &amp; Mechanisms'!$L$599:$N$659, 2, FALSE), FALSE) = "", "", VLOOKUP($A21, INDIRECT("'" &amp; 'Personalized Bill Menu'!$B$23 &amp; "'!" &amp;"$A$4:$CA$100"), VLOOKUP(VLOOKUP(AS$5,'Misc. Data &amp; Mechanisms'!$P$601:$S$632,HLOOKUP('Personalized Bill Menu'!$B$23, 'Misc. Data &amp; Mechanisms'!$P$599:$S$600, 2, FALSE), FALSE), 'Misc. Data &amp; Mechanisms'!$L$599:$N$659, 2, FALSE), FALSE)))</f>
        <v>0.05</v>
      </c>
      <c r="AT21" s="116"/>
      <c r="AU21" s="116"/>
      <c r="AV21" s="116"/>
      <c r="AW21" s="116"/>
      <c r="AX21" s="116"/>
    </row>
    <row r="22" spans="1:50" s="117" customFormat="1" ht="15" x14ac:dyDescent="0.25">
      <c r="A22" s="83">
        <f>'Personalized Bill Menu'!$H19</f>
        <v>41365</v>
      </c>
      <c r="B22" s="84">
        <f t="shared" si="3"/>
        <v>30</v>
      </c>
      <c r="C22" s="85">
        <f>IF('Personalized Bill Menu'!$B$34="Natural Gas", 'Personalized Bill Menu'!$I19, IF('Personalized Bill Menu'!$B$34="Both",'Personalized Bill Menu'!$M19,""))</f>
        <v>11.951872910186294</v>
      </c>
      <c r="D22" s="66">
        <f t="shared" ca="1" si="4"/>
        <v>8.3235080265320871</v>
      </c>
      <c r="E22" s="66">
        <f ca="1">IF($C22="Not Applicable", "", IFERROR(IFERROR((1+$AS22)*IF('Personalized Bill Menu'!$B$23="ATCO-N", IF(OR('Personalized Bill Menu'!$B$21="Fort McMurray",AND('Personalized Bill Menu'!$B$21="Spruce Grove", $A22&lt;DATE(2019, 5, 1) )),(((1+IF($T22="",0,$T22))*($N22+$P22))+ (IF($U22="", 0, $U22)*$P22)+(1+IF($T22="",0,$T22)+IF($U22="", 0, $U22))*(SUM($Y22:$AB22))),($N22+((1+IF($T22="",0,$T22)+IF($U22="", 0, $U22))*$P22)+(1+IF($T22="",0,$T22)+IF($U22="", 0, $U22))*(SUM($Y22:$AB22)))), IF('Personalized Bill Menu'!$B$23="ATCO-S",IF(OR('Personalized Bill Menu'!$B$21="Calgary",AND('Personalized Bill Menu'!$B$21="Okotoks", $A22&lt;DATE(2019, 1, 1))),((1+IF($T22="",0,$T22))*($N22+$P22+SUM($X22:$Y22,$AA22:$AC22)))+(IF($U22="",0, $U22)*($P22+SUM($X22:$Y22,$AA22:$AC22))), ((1+IF($T22="",0,$T22))*($P22+SUM($Y22,$AA22:$AC22)))+(IF($U22="",0, $U22)*($P22+SUM($X22:$Y22,$AA22:$AC22)))+$N22+IF($X22="", 0, $X22)),IF(AND('Personalized Bill Menu'!$B$21="Athabasca", $A22&lt;DATE(2019, 5, 1)),((1+IF($T22="",0,$T22)+IF($U22="", 0, $U22))*($N22+((1+SUM($X22:$Y22))*$P22)+SUM($Z22:$AA22))),((1+IF($U22="", 0, $U22))*($N22+((1+SUM($X22:$Y22))*$P22)+SUM($Z22:$AA22))) + (IF($T22="",0,$T22)*(((1+SUM($X22:$Y22))*$P22)+SUM($Z22:$AA22)))))), "")+ IF($AQ22="", 0,((1+$AS22)*$AQ22)), ""))</f>
        <v>5.4867784649999987</v>
      </c>
      <c r="F22" s="118">
        <f t="shared" ca="1" si="5"/>
        <v>99.481510100027037</v>
      </c>
      <c r="G22" s="115">
        <f t="shared" si="0"/>
        <v>41.49690274416681</v>
      </c>
      <c r="H22" s="66">
        <f t="shared" ca="1" si="1"/>
        <v>31.442166655860966</v>
      </c>
      <c r="I22" s="66">
        <f t="shared" ca="1" si="2"/>
        <v>8.8046370367529434</v>
      </c>
      <c r="J22" s="66">
        <f t="shared" ca="1" si="6"/>
        <v>6.3105888965783636</v>
      </c>
      <c r="K22" s="66">
        <f t="shared" si="7"/>
        <v>6.69</v>
      </c>
      <c r="L22" s="66">
        <f t="shared" ca="1" si="8"/>
        <v>0</v>
      </c>
      <c r="M22" s="68">
        <f t="shared" ca="1" si="9"/>
        <v>4.7372147666679538</v>
      </c>
      <c r="N22" s="1290">
        <f>IF('Personalized Bill Menu'!$B$34="Natural Gas", 'Personalized Bill Menu'!$J19, IF('Personalized Bill Menu'!$B$34="Both",'Personalized Bill Menu'!$N19,""))</f>
        <v>3.472</v>
      </c>
      <c r="O22" s="70">
        <f t="shared" si="10"/>
        <v>41.49690274416681</v>
      </c>
      <c r="P22" s="89">
        <f ca="1">IF($A22="", "",IFERROR(IF(VLOOKUP($A22, INDIRECT("'" &amp; 'Personalized Bill Menu'!$B$23 &amp; "'!" &amp;"$A$4:$CA$100"), VLOOKUP(VLOOKUP(P$5,'Misc. Data &amp; Mechanisms'!$P$601:$S$632,HLOOKUP('Personalized Bill Menu'!$B$23, 'Misc. Data &amp; Mechanisms'!$P$599:$S$600, 2, FALSE), FALSE), 'Misc. Data &amp; Mechanisms'!$L$599:$N$659, 2, FALSE), FALSE) = "", "", VLOOKUP($A22, INDIRECT("'" &amp; 'Personalized Bill Menu'!$B$23 &amp; "'!" &amp;"$A$4:$CA$100"), VLOOKUP(VLOOKUP(P$5,'Misc. Data &amp; Mechanisms'!$P$601:$S$632,HLOOKUP('Personalized Bill Menu'!$B$23, 'Misc. Data &amp; Mechanisms'!$P$599:$S$600, 2, FALSE), FALSE), 'Misc. Data &amp; Mechanisms'!$L$599:$N$659, 2, FALSE), FALSE)), ""))</f>
        <v>0.70299999999999996</v>
      </c>
      <c r="Q22" s="69">
        <f ca="1">IF($A22="", "",IFERROR(IF(VLOOKUP($A22, INDIRECT("'" &amp; 'Personalized Bill Menu'!$B$23 &amp; "'!" &amp;"$A$4:$CA$100"), VLOOKUP(VLOOKUP(Q$5,'Misc. Data &amp; Mechanisms'!$P$601:$S$632,HLOOKUP('Personalized Bill Menu'!$B$23, 'Misc. Data &amp; Mechanisms'!$P$599:$S$600, 2, FALSE), FALSE), 'Misc. Data &amp; Mechanisms'!$L$599:$N$659, 2, FALSE), FALSE) = "", "", VLOOKUP($A22, INDIRECT("'" &amp; 'Personalized Bill Menu'!$B$23 &amp; "'!" &amp;"$A$4:$CA$100"), VLOOKUP(VLOOKUP(Q$5,'Misc. Data &amp; Mechanisms'!$P$601:$S$632,HLOOKUP('Personalized Bill Menu'!$B$23, 'Misc. Data &amp; Mechanisms'!$P$599:$S$600, 2, FALSE), FALSE), 'Misc. Data &amp; Mechanisms'!$L$599:$N$659, 2, FALSE), FALSE)), ""))</f>
        <v>0.76800000000000002</v>
      </c>
      <c r="R22" s="72">
        <f t="shared" ca="1" si="11"/>
        <v>8.4021666558609649</v>
      </c>
      <c r="S22" s="70">
        <f t="shared" ca="1" si="12"/>
        <v>23.04</v>
      </c>
      <c r="T22" s="78">
        <f>IFERROR(IF(VLOOKUP($A22,'Misc. Data &amp; Mechanisms'!$A$63:$DY$152,HLOOKUP('Personalized Bill Menu'!$B$21&amp;"_"&amp;'Personalized Bill Menu'!$B$23&amp;"_NG_Y_1",'Misc. Data &amp; Mechanisms'!$A$55:$DY$62,8,FALSE), FALSE)="", "", VLOOKUP($A22,'Misc. Data &amp; Mechanisms'!$A$63:$DY$152,HLOOKUP('Personalized Bill Menu'!$B$21&amp;"_"&amp;'Personalized Bill Menu'!$B$23&amp;"_NG_Y_1",'Misc. Data &amp; Mechanisms'!$A$55:$DY$62,8,FALSE), FALSE)), "")</f>
        <v>0.1111</v>
      </c>
      <c r="U22" s="78" t="str">
        <f>IFERROR(IF(VLOOKUP($A22,'Misc. Data &amp; Mechanisms'!$A$63:$DY$152,HLOOKUP('Personalized Bill Menu'!$B$21&amp;"_"&amp;'Personalized Bill Menu'!$B$23&amp;"_NG_Y_2",'Misc. Data &amp; Mechanisms'!$A$55:$DY$62,8,FALSE), FALSE)="", "",VLOOKUP($A22,'Misc. Data &amp; Mechanisms'!$A$63:$DY$152,HLOOKUP('Personalized Bill Menu'!$B$21&amp;"_"&amp;'Personalized Bill Menu'!$B$23&amp;"_NG_Y_2",'Misc. Data &amp; Mechanisms'!$A$55:$DY$62,8,FALSE), FALSE)), "")</f>
        <v/>
      </c>
      <c r="V22" s="72">
        <f ca="1">IF($A22="", "", IFERROR(IF('Personalized Bill Menu'!$B$23="ATCO-N", IF(OR('Personalized Bill Menu'!$B$21="Fort McMurray",AND('Personalized Bill Menu'!$B$21="Spruce Grove", $A22&lt;DATE(2019, 5, 1))),$T22*($G22+$H22+$J22),$T22*($H22+$J22)), IF('Personalized Bill Menu'!$B$23="ATCO-S",IF(OR('Personalized Bill Menu'!$B$21="Calgary",AND('Personalized Bill Menu'!$B$21="Okotoks", $A22&lt;DATE(2019, 1, 1))),$T22*($G22+$H22+$J22), $T22*($H22+$J22-$AG22)),IF(AND('Personalized Bill Menu'!$B$21="Athabasca", $A22&lt;DATE(2019, 5, 1)),$T22*($G22+$H22+$J22+$K22),$T22*($H22+$J22+$K22)))),0))</f>
        <v>8.8046370367529434</v>
      </c>
      <c r="W22" s="72">
        <f ca="1">IF($A22="", "", IFERROR(IF('Personalized Bill Menu'!$B$23="ATCO-N", $U22*($H22+$J22), IF('Personalized Bill Menu'!$B$23="ATCO-S",$U22*($H22+$J22),$U22*($G22+$H22+$J22+$K22))),0))</f>
        <v>0</v>
      </c>
      <c r="X22" s="89" t="str">
        <f ca="1">IF($A22="", "",IFERROR(IF(VLOOKUP($A22, INDIRECT("'" &amp; 'Personalized Bill Menu'!$B$23 &amp; "'!" &amp;"$A$4:$CA$100"), VLOOKUP(VLOOKUP("RIDER RATE 1",'Misc. Data &amp; Mechanisms'!$P$601:$S$632,HLOOKUP('Personalized Bill Menu'!$B$23, 'Misc. Data &amp; Mechanisms'!$P$599:$S$600, 2, FALSE), FALSE), 'Misc. Data &amp; Mechanisms'!$L$599:$N$659, 2, FALSE), FALSE) = "", "", VLOOKUP($A22, INDIRECT("'" &amp; 'Personalized Bill Menu'!$B$23 &amp; "'!" &amp;"$A$4:$CA$100"), VLOOKUP(VLOOKUP("RIDER RATE 1",'Misc. Data &amp; Mechanisms'!$P$601:$S$632,HLOOKUP('Personalized Bill Menu'!$B$23, 'Misc. Data &amp; Mechanisms'!$P$599:$S$600, 2, FALSE), FALSE), 'Misc. Data &amp; Mechanisms'!$L$599:$N$659, 2, FALSE), FALSE)), ""))</f>
        <v/>
      </c>
      <c r="Y22" s="69" t="str">
        <f ca="1">IF($A22="", "",IFERROR(IF(VLOOKUP($A22, INDIRECT("'" &amp; 'Personalized Bill Menu'!$B$23 &amp; "'!" &amp;"$A$4:$CA$100"), VLOOKUP(VLOOKUP("RIDER RATE 2",'Misc. Data &amp; Mechanisms'!$P$601:$S$632,HLOOKUP('Personalized Bill Menu'!$B$23, 'Misc. Data &amp; Mechanisms'!$P$599:$S$600, 2, FALSE), FALSE), 'Misc. Data &amp; Mechanisms'!$L$599:$N$659, 2, FALSE), FALSE) = "", "", VLOOKUP($A22, INDIRECT("'" &amp; 'Personalized Bill Menu'!$B$23 &amp; "'!" &amp;"$A$4:$CA$100"), VLOOKUP(VLOOKUP("RIDER RATE 2",'Misc. Data &amp; Mechanisms'!$P$601:$S$632,HLOOKUP('Personalized Bill Menu'!$B$23, 'Misc. Data &amp; Mechanisms'!$P$599:$S$600, 2, FALSE), FALSE), 'Misc. Data &amp; Mechanisms'!$L$599:$N$659, 2, FALSE), FALSE)), ""))</f>
        <v/>
      </c>
      <c r="Z22" s="69" t="str">
        <f ca="1">IF($A22="", "",IFERROR(IF(VLOOKUP($A22, INDIRECT("'" &amp; 'Personalized Bill Menu'!$B$23 &amp; "'!" &amp;"$A$4:$CA$100"), VLOOKUP(VLOOKUP("RIDER RATE 3",'Misc. Data &amp; Mechanisms'!$P$601:$S$632,HLOOKUP('Personalized Bill Menu'!$B$23, 'Misc. Data &amp; Mechanisms'!$P$599:$S$600, 2, FALSE), FALSE), 'Misc. Data &amp; Mechanisms'!$L$599:$N$659, 2, FALSE), FALSE) = "", "", VLOOKUP($A22, INDIRECT("'" &amp; 'Personalized Bill Menu'!$B$23 &amp; "'!" &amp;"$A$4:$CA$100"), VLOOKUP(VLOOKUP("RIDER RATE 3",'Misc. Data &amp; Mechanisms'!$P$601:$S$632,HLOOKUP('Personalized Bill Menu'!$B$23, 'Misc. Data &amp; Mechanisms'!$P$599:$S$600, 2, FALSE), FALSE), 'Misc. Data &amp; Mechanisms'!$L$599:$N$659, 2, FALSE), FALSE)), ""))</f>
        <v/>
      </c>
      <c r="AA22" s="69" t="str">
        <f ca="1">IF($A22="", "",IFERROR(IF(VLOOKUP($A22, INDIRECT("'" &amp; 'Personalized Bill Menu'!$B$23 &amp; "'!" &amp;"$A$4:$CA$100"), VLOOKUP(VLOOKUP("RIDER RATE 4",'Misc. Data &amp; Mechanisms'!$P$601:$S$632,HLOOKUP('Personalized Bill Menu'!$B$23, 'Misc. Data &amp; Mechanisms'!$P$599:$S$600, 2, FALSE), FALSE), 'Misc. Data &amp; Mechanisms'!$L$599:$N$659, 2, FALSE), FALSE) = "", "", VLOOKUP($A22, INDIRECT("'" &amp; 'Personalized Bill Menu'!$B$23 &amp; "'!" &amp;"$A$4:$CA$100"), VLOOKUP(VLOOKUP("RIDER RATE 4",'Misc. Data &amp; Mechanisms'!$P$601:$S$632,HLOOKUP('Personalized Bill Menu'!$B$23, 'Misc. Data &amp; Mechanisms'!$P$599:$S$600, 2, FALSE), FALSE), 'Misc. Data &amp; Mechanisms'!$L$599:$N$659, 2, FALSE), FALSE)), ""))</f>
        <v/>
      </c>
      <c r="AB22" s="69">
        <f ca="1">IF($A22="", "",IFERROR(IF(VLOOKUP($A22, INDIRECT("'" &amp; 'Personalized Bill Menu'!$B$23 &amp; "'!" &amp;"$A$4:$CA$100"), VLOOKUP(VLOOKUP("RIDER RATE 5",'Misc. Data &amp; Mechanisms'!$P$601:$S$632,HLOOKUP('Personalized Bill Menu'!$B$23, 'Misc. Data &amp; Mechanisms'!$P$599:$S$600, 2, FALSE), FALSE), 'Misc. Data &amp; Mechanisms'!$L$599:$N$659, 2, FALSE), FALSE) = "", "", VLOOKUP($A22, INDIRECT("'" &amp; 'Personalized Bill Menu'!$B$23 &amp; "'!" &amp;"$A$4:$CA$100"), VLOOKUP(VLOOKUP("RIDER RATE 5",'Misc. Data &amp; Mechanisms'!$P$601:$S$632,HLOOKUP('Personalized Bill Menu'!$B$23, 'Misc. Data &amp; Mechanisms'!$P$599:$S$600, 2, FALSE), FALSE), 'Misc. Data &amp; Mechanisms'!$L$599:$N$659, 2, FALSE), FALSE)), ""))</f>
        <v>0.52800000000000002</v>
      </c>
      <c r="AC22" s="69" t="str">
        <f ca="1">IF($A22="", "",IFERROR(IF(VLOOKUP($A22, INDIRECT("'" &amp; 'Personalized Bill Menu'!$B$23 &amp; "'!" &amp;"$A$4:$CA$100"), VLOOKUP(VLOOKUP("RIDER RATE 6",'Misc. Data &amp; Mechanisms'!$P$601:$S$632,HLOOKUP('Personalized Bill Menu'!$B$23, 'Misc. Data &amp; Mechanisms'!$P$599:$S$600, 2, FALSE), FALSE), 'Misc. Data &amp; Mechanisms'!$L$599:$N$659, 2, FALSE), FALSE) = "", "", VLOOKUP($A22, INDIRECT("'" &amp; 'Personalized Bill Menu'!$B$23 &amp; "'!" &amp;"$A$4:$CA$100"), VLOOKUP(VLOOKUP("RIDER RATE 6",'Misc. Data &amp; Mechanisms'!$P$601:$S$632,HLOOKUP('Personalized Bill Menu'!$B$23, 'Misc. Data &amp; Mechanisms'!$P$599:$S$600, 2, FALSE), FALSE), 'Misc. Data &amp; Mechanisms'!$L$599:$N$659, 2, FALSE), FALSE)), ""))</f>
        <v/>
      </c>
      <c r="AD22" s="69" t="str">
        <f ca="1">IF($A22="", "",IFERROR(IF(VLOOKUP($A22, INDIRECT("'" &amp; 'Personalized Bill Menu'!$B$23 &amp; "'!" &amp;"$A$4:$CA$100"), VLOOKUP(VLOOKUP("RIDER RATE 7",'Misc. Data &amp; Mechanisms'!$P$601:$S$632,HLOOKUP('Personalized Bill Menu'!$B$23, 'Misc. Data &amp; Mechanisms'!$P$599:$S$600, 2, FALSE), FALSE), 'Misc. Data &amp; Mechanisms'!$L$599:$N$659, 2, FALSE), FALSE) = "", "", VLOOKUP($A22, INDIRECT("'" &amp; 'Personalized Bill Menu'!$B$23 &amp; "'!" &amp;"$A$4:$CA$100"), VLOOKUP(VLOOKUP("RIDER RATE 7",'Misc. Data &amp; Mechanisms'!$P$601:$S$632,HLOOKUP('Personalized Bill Menu'!$B$23, 'Misc. Data &amp; Mechanisms'!$P$599:$S$600, 2, FALSE), FALSE), 'Misc. Data &amp; Mechanisms'!$L$599:$N$659, 2, FALSE), FALSE)), ""))</f>
        <v/>
      </c>
      <c r="AE22" s="69" t="str">
        <f ca="1">IF($A22="", "",IFERROR(IF(VLOOKUP($A22, INDIRECT("'" &amp; 'Personalized Bill Menu'!$B$23 &amp; "'!" &amp;"$A$4:$CA$100"), VLOOKUP(VLOOKUP("RIDER RATE 8",'Misc. Data &amp; Mechanisms'!$P$601:$S$632,HLOOKUP('Personalized Bill Menu'!$B$23, 'Misc. Data &amp; Mechanisms'!$P$599:$S$600, 2, FALSE), FALSE), 'Misc. Data &amp; Mechanisms'!$L$599:$N$659, 2, FALSE), FALSE) = "", "", VLOOKUP($A22, INDIRECT("'" &amp; 'Personalized Bill Menu'!$B$23 &amp; "'!" &amp;"$A$4:$CA$100"), VLOOKUP(VLOOKUP("RIDER RATE 8",'Misc. Data &amp; Mechanisms'!$P$601:$S$632,HLOOKUP('Personalized Bill Menu'!$B$23, 'Misc. Data &amp; Mechanisms'!$P$599:$S$600, 2, FALSE), FALSE), 'Misc. Data &amp; Mechanisms'!$L$599:$N$659, 2, FALSE), FALSE)), ""))</f>
        <v/>
      </c>
      <c r="AF22" s="69" t="str">
        <f ca="1">IF($A22="", "",IFERROR(IF(VLOOKUP($A22, INDIRECT("'" &amp; 'Personalized Bill Menu'!$B$23 &amp; "'!" &amp;"$A$4:$CA$100"), VLOOKUP(VLOOKUP("RIDER RATE 9",'Misc. Data &amp; Mechanisms'!$P$601:$S$632,HLOOKUP('Personalized Bill Menu'!$B$23, 'Misc. Data &amp; Mechanisms'!$P$599:$S$600, 2, FALSE), FALSE), 'Misc. Data &amp; Mechanisms'!$L$599:$N$659, 2, FALSE), FALSE) = "", "", VLOOKUP($A22, INDIRECT("'" &amp; 'Personalized Bill Menu'!$B$23 &amp; "'!" &amp;"$A$4:$CA$100"), VLOOKUP(VLOOKUP("RIDER RATE 9",'Misc. Data &amp; Mechanisms'!$P$601:$S$632,HLOOKUP('Personalized Bill Menu'!$B$23, 'Misc. Data &amp; Mechanisms'!$P$599:$S$600, 2, FALSE), FALSE), 'Misc. Data &amp; Mechanisms'!$L$599:$N$659, 2, FALSE), FALSE)), ""))</f>
        <v/>
      </c>
      <c r="AG22" s="72">
        <f ca="1">IF($A22="", "", IFERROR(IF('Personalized Bill Menu'!$B$23="ATCO-N", ($X22*$B22) +($Y22*$C22), IF('Personalized Bill Menu'!$B$23="ATCO-S",$X22*$C22, IF($Y22="", ($X22*$H22), ($Y22*($H22+$K22))))), 0))</f>
        <v>0</v>
      </c>
      <c r="AH22" s="72">
        <f ca="1">IF($A22="", "", IFERROR(IF('Personalized Bill Menu'!$B$23="ATCO-S", $Y22*$C22, $Z22*$C22), 0))</f>
        <v>0</v>
      </c>
      <c r="AI22" s="72">
        <f ca="1">IF($A22="", "", IFERROR(IF('Personalized Bill Menu'!$B$23="ATCO-S", ($AA22*$C22)+($Z22*$B22), $AA22*$C22), 0))</f>
        <v>0</v>
      </c>
      <c r="AJ22" s="72">
        <f ca="1">IF($A22="", "", IFERROR(IF('Personalized Bill Menu'!$B$23&lt;&gt;"AltaGas",$AB22*$C22,""),0))</f>
        <v>6.3105888965783636</v>
      </c>
      <c r="AK22" s="72">
        <f ca="1">IF($A22="", "", IFERROR(IF('Personalized Bill Menu'!$B$23="ATCO-S",$AC22*$C22,IF('Personalized Bill Menu'!$B$23="ATCO-N",$AC22*1,"")),0))</f>
        <v>0</v>
      </c>
      <c r="AL22" s="72">
        <f ca="1">IF($A22="", "", IFERROR(IF('Personalized Bill Menu'!$B$23="ATCO-N",$AD22*$B22,IF('Personalized Bill Menu'!$B$23="ATCO-S",$AD22*1,"")),0))</f>
        <v>0</v>
      </c>
      <c r="AM22" s="72">
        <f ca="1">IF($A22="", "", IFERROR(IF('Personalized Bill Menu'!$B$23="ATCO-S",$AE22*$B22,IF('Personalized Bill Menu'!$B$23="ATCO-N",$AE22*$B22,"")),0))</f>
        <v>0</v>
      </c>
      <c r="AN22" s="70">
        <f ca="1">IF($A22="", "", IFERROR(IF('Personalized Bill Menu'!$B$23="ATCO-S",$AF22*$B22,""),0))</f>
        <v>0</v>
      </c>
      <c r="AO22" s="69">
        <f>IF('Personalized Bill Menu'!$B$34="Natural Gas", 'Personalized Bill Menu'!$K19, IF('Personalized Bill Menu'!$B$34="Both",'Personalized Bill Menu'!$O19,""))</f>
        <v>0.223</v>
      </c>
      <c r="AP22" s="72">
        <f t="shared" si="13"/>
        <v>6.69</v>
      </c>
      <c r="AQ22" s="89" t="str">
        <f ca="1">IF($A22="", "",IF(VLOOKUP($A22, INDIRECT("'" &amp; 'Personalized Bill Menu'!$B$23 &amp; "'!" &amp;"$A$4:$CA$100"), VLOOKUP(VLOOKUP(AQ$5,'Misc. Data &amp; Mechanisms'!$P$601:$S$632,HLOOKUP('Personalized Bill Menu'!$B$23, 'Misc. Data &amp; Mechanisms'!$P$599:$S$600, 2, FALSE), FALSE), 'Misc. Data &amp; Mechanisms'!$L$599:$N$659, 2, FALSE), FALSE) = "", "", VLOOKUP($A22, INDIRECT("'" &amp; 'Personalized Bill Menu'!$B$23 &amp; "'!" &amp;"$A$4:$CA$100"), VLOOKUP(VLOOKUP(AQ$5,'Misc. Data &amp; Mechanisms'!$P$601:$S$632,HLOOKUP('Personalized Bill Menu'!$B$23, 'Misc. Data &amp; Mechanisms'!$P$599:$S$600, 2, FALSE), FALSE), 'Misc. Data &amp; Mechanisms'!$L$599:$N$659, 2, FALSE), FALSE)))</f>
        <v/>
      </c>
      <c r="AR22" s="72">
        <f t="shared" ca="1" si="14"/>
        <v>0</v>
      </c>
      <c r="AS22" s="91">
        <f ca="1">IF($A22="", "",IF(VLOOKUP($A22, INDIRECT("'" &amp; 'Personalized Bill Menu'!$B$23 &amp; "'!" &amp;"$A$4:$CA$100"), VLOOKUP(VLOOKUP(AS$5,'Misc. Data &amp; Mechanisms'!$P$601:$S$632,HLOOKUP('Personalized Bill Menu'!$B$23, 'Misc. Data &amp; Mechanisms'!$P$599:$S$600, 2, FALSE), FALSE), 'Misc. Data &amp; Mechanisms'!$L$599:$N$659, 2, FALSE), FALSE) = "", "", VLOOKUP($A22, INDIRECT("'" &amp; 'Personalized Bill Menu'!$B$23 &amp; "'!" &amp;"$A$4:$CA$100"), VLOOKUP(VLOOKUP(AS$5,'Misc. Data &amp; Mechanisms'!$P$601:$S$632,HLOOKUP('Personalized Bill Menu'!$B$23, 'Misc. Data &amp; Mechanisms'!$P$599:$S$600, 2, FALSE), FALSE), 'Misc. Data &amp; Mechanisms'!$L$599:$N$659, 2, FALSE), FALSE)))</f>
        <v>0.05</v>
      </c>
      <c r="AT22" s="116"/>
      <c r="AU22" s="116"/>
      <c r="AV22" s="116"/>
      <c r="AW22" s="116"/>
      <c r="AX22" s="116"/>
    </row>
    <row r="23" spans="1:50" s="117" customFormat="1" ht="15" x14ac:dyDescent="0.25">
      <c r="A23" s="83">
        <f>'Personalized Bill Menu'!$H20</f>
        <v>41395</v>
      </c>
      <c r="B23" s="84">
        <f t="shared" si="3"/>
        <v>31</v>
      </c>
      <c r="C23" s="85">
        <f>IF('Personalized Bill Menu'!$B$34="Natural Gas", 'Personalized Bill Menu'!$I20, IF('Personalized Bill Menu'!$B$34="Both",'Personalized Bill Menu'!$M20,""))</f>
        <v>5.0917294193510614</v>
      </c>
      <c r="D23" s="66">
        <f t="shared" ca="1" si="4"/>
        <v>13.153746906099812</v>
      </c>
      <c r="E23" s="66">
        <f ca="1">IF($C23="Not Applicable", "", IFERROR(IFERROR((1+$AS23)*IF('Personalized Bill Menu'!$B$23="ATCO-N", IF(OR('Personalized Bill Menu'!$B$21="Fort McMurray",AND('Personalized Bill Menu'!$B$21="Spruce Grove", $A23&lt;DATE(2019, 5, 1) )),(((1+IF($T23="",0,$T23))*($N23+$P23))+ (IF($U23="", 0, $U23)*$P23)+(1+IF($T23="",0,$T23)+IF($U23="", 0, $U23))*(SUM($Y23:$AB23))),($N23+((1+IF($T23="",0,$T23)+IF($U23="", 0, $U23))*$P23)+(1+IF($T23="",0,$T23)+IF($U23="", 0, $U23))*(SUM($Y23:$AB23)))), IF('Personalized Bill Menu'!$B$23="ATCO-S",IF(OR('Personalized Bill Menu'!$B$21="Calgary",AND('Personalized Bill Menu'!$B$21="Okotoks", $A23&lt;DATE(2019, 1, 1))),((1+IF($T23="",0,$T23))*($N23+$P23+SUM($X23:$Y23,$AA23:$AC23)))+(IF($U23="",0, $U23)*($P23+SUM($X23:$Y23,$AA23:$AC23))), ((1+IF($T23="",0,$T23))*($P23+SUM($Y23,$AA23:$AC23)))+(IF($U23="",0, $U23)*($P23+SUM($X23:$Y23,$AA23:$AC23)))+$N23+IF($X23="", 0, $X23)),IF(AND('Personalized Bill Menu'!$B$21="Athabasca", $A23&lt;DATE(2019, 5, 1)),((1+IF($T23="",0,$T23)+IF($U23="", 0, $U23))*($N23+((1+SUM($X23:$Y23))*$P23)+SUM($Z23:$AA23))),((1+IF($U23="", 0, $U23))*($N23+((1+SUM($X23:$Y23))*$P23)+SUM($Z23:$AA23))) + (IF($T23="",0,$T23)*(((1+SUM($X23:$Y23))*$P23)+SUM($Z23:$AA23)))))), "")+ IF($AQ23="", 0,((1+$AS23)*$AQ23)), ""))</f>
        <v>6.2731039350000009</v>
      </c>
      <c r="F23" s="118">
        <f t="shared" ca="1" si="5"/>
        <v>66.975320096486413</v>
      </c>
      <c r="G23" s="115">
        <f t="shared" si="0"/>
        <v>21.1103101726295</v>
      </c>
      <c r="H23" s="66">
        <f t="shared" ca="1" si="1"/>
        <v>27.387485781803797</v>
      </c>
      <c r="I23" s="66">
        <f t="shared" ca="1" si="2"/>
        <v>5.6867900516602088</v>
      </c>
      <c r="J23" s="66">
        <f t="shared" ca="1" si="6"/>
        <v>2.6884331334173606</v>
      </c>
      <c r="K23" s="66">
        <f t="shared" si="7"/>
        <v>6.9130000000000003</v>
      </c>
      <c r="L23" s="66">
        <f t="shared" ca="1" si="8"/>
        <v>0</v>
      </c>
      <c r="M23" s="68">
        <f t="shared" ca="1" si="9"/>
        <v>3.1893009569755435</v>
      </c>
      <c r="N23" s="1290">
        <f>IF('Personalized Bill Menu'!$B$34="Natural Gas", 'Personalized Bill Menu'!$J20, IF('Personalized Bill Menu'!$B$34="Both",'Personalized Bill Menu'!$N20,""))</f>
        <v>4.1459999999999999</v>
      </c>
      <c r="O23" s="70">
        <f t="shared" si="10"/>
        <v>21.1103101726295</v>
      </c>
      <c r="P23" s="89">
        <f ca="1">IF($A23="", "",IFERROR(IF(VLOOKUP($A23, INDIRECT("'" &amp; 'Personalized Bill Menu'!$B$23 &amp; "'!" &amp;"$A$4:$CA$100"), VLOOKUP(VLOOKUP(P$5,'Misc. Data &amp; Mechanisms'!$P$601:$S$632,HLOOKUP('Personalized Bill Menu'!$B$23, 'Misc. Data &amp; Mechanisms'!$P$599:$S$600, 2, FALSE), FALSE), 'Misc. Data &amp; Mechanisms'!$L$599:$N$659, 2, FALSE), FALSE) = "", "", VLOOKUP($A23, INDIRECT("'" &amp; 'Personalized Bill Menu'!$B$23 &amp; "'!" &amp;"$A$4:$CA$100"), VLOOKUP(VLOOKUP(P$5,'Misc. Data &amp; Mechanisms'!$P$601:$S$632,HLOOKUP('Personalized Bill Menu'!$B$23, 'Misc. Data &amp; Mechanisms'!$P$599:$S$600, 2, FALSE), FALSE), 'Misc. Data &amp; Mechanisms'!$L$599:$N$659, 2, FALSE), FALSE)), ""))</f>
        <v>0.70299999999999996</v>
      </c>
      <c r="Q23" s="69">
        <f ca="1">IF($A23="", "",IFERROR(IF(VLOOKUP($A23, INDIRECT("'" &amp; 'Personalized Bill Menu'!$B$23 &amp; "'!" &amp;"$A$4:$CA$100"), VLOOKUP(VLOOKUP(Q$5,'Misc. Data &amp; Mechanisms'!$P$601:$S$632,HLOOKUP('Personalized Bill Menu'!$B$23, 'Misc. Data &amp; Mechanisms'!$P$599:$S$600, 2, FALSE), FALSE), 'Misc. Data &amp; Mechanisms'!$L$599:$N$659, 2, FALSE), FALSE) = "", "", VLOOKUP($A23, INDIRECT("'" &amp; 'Personalized Bill Menu'!$B$23 &amp; "'!" &amp;"$A$4:$CA$100"), VLOOKUP(VLOOKUP(Q$5,'Misc. Data &amp; Mechanisms'!$P$601:$S$632,HLOOKUP('Personalized Bill Menu'!$B$23, 'Misc. Data &amp; Mechanisms'!$P$599:$S$600, 2, FALSE), FALSE), 'Misc. Data &amp; Mechanisms'!$L$599:$N$659, 2, FALSE), FALSE)), ""))</f>
        <v>0.76800000000000002</v>
      </c>
      <c r="R23" s="72">
        <f t="shared" ca="1" si="11"/>
        <v>3.579485781803796</v>
      </c>
      <c r="S23" s="70">
        <f t="shared" ca="1" si="12"/>
        <v>23.808</v>
      </c>
      <c r="T23" s="78">
        <f>IFERROR(IF(VLOOKUP($A23,'Misc. Data &amp; Mechanisms'!$A$63:$DY$152,HLOOKUP('Personalized Bill Menu'!$B$21&amp;"_"&amp;'Personalized Bill Menu'!$B$23&amp;"_NG_Y_1",'Misc. Data &amp; Mechanisms'!$A$55:$DY$62,8,FALSE), FALSE)="", "", VLOOKUP($A23,'Misc. Data &amp; Mechanisms'!$A$63:$DY$152,HLOOKUP('Personalized Bill Menu'!$B$21&amp;"_"&amp;'Personalized Bill Menu'!$B$23&amp;"_NG_Y_1",'Misc. Data &amp; Mechanisms'!$A$55:$DY$62,8,FALSE), FALSE)), "")</f>
        <v>0.1111</v>
      </c>
      <c r="U23" s="78" t="str">
        <f>IFERROR(IF(VLOOKUP($A23,'Misc. Data &amp; Mechanisms'!$A$63:$DY$152,HLOOKUP('Personalized Bill Menu'!$B$21&amp;"_"&amp;'Personalized Bill Menu'!$B$23&amp;"_NG_Y_2",'Misc. Data &amp; Mechanisms'!$A$55:$DY$62,8,FALSE), FALSE)="", "",VLOOKUP($A23,'Misc. Data &amp; Mechanisms'!$A$63:$DY$152,HLOOKUP('Personalized Bill Menu'!$B$21&amp;"_"&amp;'Personalized Bill Menu'!$B$23&amp;"_NG_Y_2",'Misc. Data &amp; Mechanisms'!$A$55:$DY$62,8,FALSE), FALSE)), "")</f>
        <v/>
      </c>
      <c r="V23" s="72">
        <f ca="1">IF($A23="", "", IFERROR(IF('Personalized Bill Menu'!$B$23="ATCO-N", IF(OR('Personalized Bill Menu'!$B$21="Fort McMurray",AND('Personalized Bill Menu'!$B$21="Spruce Grove", $A23&lt;DATE(2019, 5, 1))),$T23*($G23+$H23+$J23),$T23*($H23+$J23)), IF('Personalized Bill Menu'!$B$23="ATCO-S",IF(OR('Personalized Bill Menu'!$B$21="Calgary",AND('Personalized Bill Menu'!$B$21="Okotoks", $A23&lt;DATE(2019, 1, 1))),$T23*($G23+$H23+$J23), $T23*($H23+$J23-$AG23)),IF(AND('Personalized Bill Menu'!$B$21="Athabasca", $A23&lt;DATE(2019, 5, 1)),$T23*($G23+$H23+$J23+$K23),$T23*($H23+$J23+$K23)))),0))</f>
        <v>5.6867900516602088</v>
      </c>
      <c r="W23" s="72">
        <f ca="1">IF($A23="", "", IFERROR(IF('Personalized Bill Menu'!$B$23="ATCO-N", $U23*($H23+$J23), IF('Personalized Bill Menu'!$B$23="ATCO-S",$U23*($H23+$J23),$U23*($G23+$H23+$J23+$K23))),0))</f>
        <v>0</v>
      </c>
      <c r="X23" s="89" t="str">
        <f ca="1">IF($A23="", "",IFERROR(IF(VLOOKUP($A23, INDIRECT("'" &amp; 'Personalized Bill Menu'!$B$23 &amp; "'!" &amp;"$A$4:$CA$100"), VLOOKUP(VLOOKUP("RIDER RATE 1",'Misc. Data &amp; Mechanisms'!$P$601:$S$632,HLOOKUP('Personalized Bill Menu'!$B$23, 'Misc. Data &amp; Mechanisms'!$P$599:$S$600, 2, FALSE), FALSE), 'Misc. Data &amp; Mechanisms'!$L$599:$N$659, 2, FALSE), FALSE) = "", "", VLOOKUP($A23, INDIRECT("'" &amp; 'Personalized Bill Menu'!$B$23 &amp; "'!" &amp;"$A$4:$CA$100"), VLOOKUP(VLOOKUP("RIDER RATE 1",'Misc. Data &amp; Mechanisms'!$P$601:$S$632,HLOOKUP('Personalized Bill Menu'!$B$23, 'Misc. Data &amp; Mechanisms'!$P$599:$S$600, 2, FALSE), FALSE), 'Misc. Data &amp; Mechanisms'!$L$599:$N$659, 2, FALSE), FALSE)), ""))</f>
        <v/>
      </c>
      <c r="Y23" s="69" t="str">
        <f ca="1">IF($A23="", "",IFERROR(IF(VLOOKUP($A23, INDIRECT("'" &amp; 'Personalized Bill Menu'!$B$23 &amp; "'!" &amp;"$A$4:$CA$100"), VLOOKUP(VLOOKUP("RIDER RATE 2",'Misc. Data &amp; Mechanisms'!$P$601:$S$632,HLOOKUP('Personalized Bill Menu'!$B$23, 'Misc. Data &amp; Mechanisms'!$P$599:$S$600, 2, FALSE), FALSE), 'Misc. Data &amp; Mechanisms'!$L$599:$N$659, 2, FALSE), FALSE) = "", "", VLOOKUP($A23, INDIRECT("'" &amp; 'Personalized Bill Menu'!$B$23 &amp; "'!" &amp;"$A$4:$CA$100"), VLOOKUP(VLOOKUP("RIDER RATE 2",'Misc. Data &amp; Mechanisms'!$P$601:$S$632,HLOOKUP('Personalized Bill Menu'!$B$23, 'Misc. Data &amp; Mechanisms'!$P$599:$S$600, 2, FALSE), FALSE), 'Misc. Data &amp; Mechanisms'!$L$599:$N$659, 2, FALSE), FALSE)), ""))</f>
        <v/>
      </c>
      <c r="Z23" s="69" t="str">
        <f ca="1">IF($A23="", "",IFERROR(IF(VLOOKUP($A23, INDIRECT("'" &amp; 'Personalized Bill Menu'!$B$23 &amp; "'!" &amp;"$A$4:$CA$100"), VLOOKUP(VLOOKUP("RIDER RATE 3",'Misc. Data &amp; Mechanisms'!$P$601:$S$632,HLOOKUP('Personalized Bill Menu'!$B$23, 'Misc. Data &amp; Mechanisms'!$P$599:$S$600, 2, FALSE), FALSE), 'Misc. Data &amp; Mechanisms'!$L$599:$N$659, 2, FALSE), FALSE) = "", "", VLOOKUP($A23, INDIRECT("'" &amp; 'Personalized Bill Menu'!$B$23 &amp; "'!" &amp;"$A$4:$CA$100"), VLOOKUP(VLOOKUP("RIDER RATE 3",'Misc. Data &amp; Mechanisms'!$P$601:$S$632,HLOOKUP('Personalized Bill Menu'!$B$23, 'Misc. Data &amp; Mechanisms'!$P$599:$S$600, 2, FALSE), FALSE), 'Misc. Data &amp; Mechanisms'!$L$599:$N$659, 2, FALSE), FALSE)), ""))</f>
        <v/>
      </c>
      <c r="AA23" s="69" t="str">
        <f ca="1">IF($A23="", "",IFERROR(IF(VLOOKUP($A23, INDIRECT("'" &amp; 'Personalized Bill Menu'!$B$23 &amp; "'!" &amp;"$A$4:$CA$100"), VLOOKUP(VLOOKUP("RIDER RATE 4",'Misc. Data &amp; Mechanisms'!$P$601:$S$632,HLOOKUP('Personalized Bill Menu'!$B$23, 'Misc. Data &amp; Mechanisms'!$P$599:$S$600, 2, FALSE), FALSE), 'Misc. Data &amp; Mechanisms'!$L$599:$N$659, 2, FALSE), FALSE) = "", "", VLOOKUP($A23, INDIRECT("'" &amp; 'Personalized Bill Menu'!$B$23 &amp; "'!" &amp;"$A$4:$CA$100"), VLOOKUP(VLOOKUP("RIDER RATE 4",'Misc. Data &amp; Mechanisms'!$P$601:$S$632,HLOOKUP('Personalized Bill Menu'!$B$23, 'Misc. Data &amp; Mechanisms'!$P$599:$S$600, 2, FALSE), FALSE), 'Misc. Data &amp; Mechanisms'!$L$599:$N$659, 2, FALSE), FALSE)), ""))</f>
        <v/>
      </c>
      <c r="AB23" s="69">
        <f ca="1">IF($A23="", "",IFERROR(IF(VLOOKUP($A23, INDIRECT("'" &amp; 'Personalized Bill Menu'!$B$23 &amp; "'!" &amp;"$A$4:$CA$100"), VLOOKUP(VLOOKUP("RIDER RATE 5",'Misc. Data &amp; Mechanisms'!$P$601:$S$632,HLOOKUP('Personalized Bill Menu'!$B$23, 'Misc. Data &amp; Mechanisms'!$P$599:$S$600, 2, FALSE), FALSE), 'Misc. Data &amp; Mechanisms'!$L$599:$N$659, 2, FALSE), FALSE) = "", "", VLOOKUP($A23, INDIRECT("'" &amp; 'Personalized Bill Menu'!$B$23 &amp; "'!" &amp;"$A$4:$CA$100"), VLOOKUP(VLOOKUP("RIDER RATE 5",'Misc. Data &amp; Mechanisms'!$P$601:$S$632,HLOOKUP('Personalized Bill Menu'!$B$23, 'Misc. Data &amp; Mechanisms'!$P$599:$S$600, 2, FALSE), FALSE), 'Misc. Data &amp; Mechanisms'!$L$599:$N$659, 2, FALSE), FALSE)), ""))</f>
        <v>0.52800000000000002</v>
      </c>
      <c r="AC23" s="69" t="str">
        <f ca="1">IF($A23="", "",IFERROR(IF(VLOOKUP($A23, INDIRECT("'" &amp; 'Personalized Bill Menu'!$B$23 &amp; "'!" &amp;"$A$4:$CA$100"), VLOOKUP(VLOOKUP("RIDER RATE 6",'Misc. Data &amp; Mechanisms'!$P$601:$S$632,HLOOKUP('Personalized Bill Menu'!$B$23, 'Misc. Data &amp; Mechanisms'!$P$599:$S$600, 2, FALSE), FALSE), 'Misc. Data &amp; Mechanisms'!$L$599:$N$659, 2, FALSE), FALSE) = "", "", VLOOKUP($A23, INDIRECT("'" &amp; 'Personalized Bill Menu'!$B$23 &amp; "'!" &amp;"$A$4:$CA$100"), VLOOKUP(VLOOKUP("RIDER RATE 6",'Misc. Data &amp; Mechanisms'!$P$601:$S$632,HLOOKUP('Personalized Bill Menu'!$B$23, 'Misc. Data &amp; Mechanisms'!$P$599:$S$600, 2, FALSE), FALSE), 'Misc. Data &amp; Mechanisms'!$L$599:$N$659, 2, FALSE), FALSE)), ""))</f>
        <v/>
      </c>
      <c r="AD23" s="69" t="str">
        <f ca="1">IF($A23="", "",IFERROR(IF(VLOOKUP($A23, INDIRECT("'" &amp; 'Personalized Bill Menu'!$B$23 &amp; "'!" &amp;"$A$4:$CA$100"), VLOOKUP(VLOOKUP("RIDER RATE 7",'Misc. Data &amp; Mechanisms'!$P$601:$S$632,HLOOKUP('Personalized Bill Menu'!$B$23, 'Misc. Data &amp; Mechanisms'!$P$599:$S$600, 2, FALSE), FALSE), 'Misc. Data &amp; Mechanisms'!$L$599:$N$659, 2, FALSE), FALSE) = "", "", VLOOKUP($A23, INDIRECT("'" &amp; 'Personalized Bill Menu'!$B$23 &amp; "'!" &amp;"$A$4:$CA$100"), VLOOKUP(VLOOKUP("RIDER RATE 7",'Misc. Data &amp; Mechanisms'!$P$601:$S$632,HLOOKUP('Personalized Bill Menu'!$B$23, 'Misc. Data &amp; Mechanisms'!$P$599:$S$600, 2, FALSE), FALSE), 'Misc. Data &amp; Mechanisms'!$L$599:$N$659, 2, FALSE), FALSE)), ""))</f>
        <v/>
      </c>
      <c r="AE23" s="69" t="str">
        <f ca="1">IF($A23="", "",IFERROR(IF(VLOOKUP($A23, INDIRECT("'" &amp; 'Personalized Bill Menu'!$B$23 &amp; "'!" &amp;"$A$4:$CA$100"), VLOOKUP(VLOOKUP("RIDER RATE 8",'Misc. Data &amp; Mechanisms'!$P$601:$S$632,HLOOKUP('Personalized Bill Menu'!$B$23, 'Misc. Data &amp; Mechanisms'!$P$599:$S$600, 2, FALSE), FALSE), 'Misc. Data &amp; Mechanisms'!$L$599:$N$659, 2, FALSE), FALSE) = "", "", VLOOKUP($A23, INDIRECT("'" &amp; 'Personalized Bill Menu'!$B$23 &amp; "'!" &amp;"$A$4:$CA$100"), VLOOKUP(VLOOKUP("RIDER RATE 8",'Misc. Data &amp; Mechanisms'!$P$601:$S$632,HLOOKUP('Personalized Bill Menu'!$B$23, 'Misc. Data &amp; Mechanisms'!$P$599:$S$600, 2, FALSE), FALSE), 'Misc. Data &amp; Mechanisms'!$L$599:$N$659, 2, FALSE), FALSE)), ""))</f>
        <v/>
      </c>
      <c r="AF23" s="69" t="str">
        <f ca="1">IF($A23="", "",IFERROR(IF(VLOOKUP($A23, INDIRECT("'" &amp; 'Personalized Bill Menu'!$B$23 &amp; "'!" &amp;"$A$4:$CA$100"), VLOOKUP(VLOOKUP("RIDER RATE 9",'Misc. Data &amp; Mechanisms'!$P$601:$S$632,HLOOKUP('Personalized Bill Menu'!$B$23, 'Misc. Data &amp; Mechanisms'!$P$599:$S$600, 2, FALSE), FALSE), 'Misc. Data &amp; Mechanisms'!$L$599:$N$659, 2, FALSE), FALSE) = "", "", VLOOKUP($A23, INDIRECT("'" &amp; 'Personalized Bill Menu'!$B$23 &amp; "'!" &amp;"$A$4:$CA$100"), VLOOKUP(VLOOKUP("RIDER RATE 9",'Misc. Data &amp; Mechanisms'!$P$601:$S$632,HLOOKUP('Personalized Bill Menu'!$B$23, 'Misc. Data &amp; Mechanisms'!$P$599:$S$600, 2, FALSE), FALSE), 'Misc. Data &amp; Mechanisms'!$L$599:$N$659, 2, FALSE), FALSE)), ""))</f>
        <v/>
      </c>
      <c r="AG23" s="72">
        <f ca="1">IF($A23="", "", IFERROR(IF('Personalized Bill Menu'!$B$23="ATCO-N", ($X23*$B23) +($Y23*$C23), IF('Personalized Bill Menu'!$B$23="ATCO-S",$X23*$C23, IF($Y23="", ($X23*$H23), ($Y23*($H23+$K23))))), 0))</f>
        <v>0</v>
      </c>
      <c r="AH23" s="72">
        <f ca="1">IF($A23="", "", IFERROR(IF('Personalized Bill Menu'!$B$23="ATCO-S", $Y23*$C23, $Z23*$C23), 0))</f>
        <v>0</v>
      </c>
      <c r="AI23" s="72">
        <f ca="1">IF($A23="", "", IFERROR(IF('Personalized Bill Menu'!$B$23="ATCO-S", ($AA23*$C23)+($Z23*$B23), $AA23*$C23), 0))</f>
        <v>0</v>
      </c>
      <c r="AJ23" s="72">
        <f ca="1">IF($A23="", "", IFERROR(IF('Personalized Bill Menu'!$B$23&lt;&gt;"AltaGas",$AB23*$C23,""),0))</f>
        <v>2.6884331334173606</v>
      </c>
      <c r="AK23" s="72">
        <f ca="1">IF($A23="", "", IFERROR(IF('Personalized Bill Menu'!$B$23="ATCO-S",$AC23*$C23,IF('Personalized Bill Menu'!$B$23="ATCO-N",$AC23*1,"")),0))</f>
        <v>0</v>
      </c>
      <c r="AL23" s="72">
        <f ca="1">IF($A23="", "", IFERROR(IF('Personalized Bill Menu'!$B$23="ATCO-N",$AD23*$B23,IF('Personalized Bill Menu'!$B$23="ATCO-S",$AD23*1,"")),0))</f>
        <v>0</v>
      </c>
      <c r="AM23" s="72">
        <f ca="1">IF($A23="", "", IFERROR(IF('Personalized Bill Menu'!$B$23="ATCO-S",$AE23*$B23,IF('Personalized Bill Menu'!$B$23="ATCO-N",$AE23*$B23,"")),0))</f>
        <v>0</v>
      </c>
      <c r="AN23" s="70">
        <f ca="1">IF($A23="", "", IFERROR(IF('Personalized Bill Menu'!$B$23="ATCO-S",$AF23*$B23,""),0))</f>
        <v>0</v>
      </c>
      <c r="AO23" s="69">
        <f>IF('Personalized Bill Menu'!$B$34="Natural Gas", 'Personalized Bill Menu'!$K20, IF('Personalized Bill Menu'!$B$34="Both",'Personalized Bill Menu'!$O20,""))</f>
        <v>0.223</v>
      </c>
      <c r="AP23" s="72">
        <f t="shared" si="13"/>
        <v>6.9130000000000003</v>
      </c>
      <c r="AQ23" s="89" t="str">
        <f ca="1">IF($A23="", "",IF(VLOOKUP($A23, INDIRECT("'" &amp; 'Personalized Bill Menu'!$B$23 &amp; "'!" &amp;"$A$4:$CA$100"), VLOOKUP(VLOOKUP(AQ$5,'Misc. Data &amp; Mechanisms'!$P$601:$S$632,HLOOKUP('Personalized Bill Menu'!$B$23, 'Misc. Data &amp; Mechanisms'!$P$599:$S$600, 2, FALSE), FALSE), 'Misc. Data &amp; Mechanisms'!$L$599:$N$659, 2, FALSE), FALSE) = "", "", VLOOKUP($A23, INDIRECT("'" &amp; 'Personalized Bill Menu'!$B$23 &amp; "'!" &amp;"$A$4:$CA$100"), VLOOKUP(VLOOKUP(AQ$5,'Misc. Data &amp; Mechanisms'!$P$601:$S$632,HLOOKUP('Personalized Bill Menu'!$B$23, 'Misc. Data &amp; Mechanisms'!$P$599:$S$600, 2, FALSE), FALSE), 'Misc. Data &amp; Mechanisms'!$L$599:$N$659, 2, FALSE), FALSE)))</f>
        <v/>
      </c>
      <c r="AR23" s="72">
        <f t="shared" ca="1" si="14"/>
        <v>0</v>
      </c>
      <c r="AS23" s="91">
        <f ca="1">IF($A23="", "",IF(VLOOKUP($A23, INDIRECT("'" &amp; 'Personalized Bill Menu'!$B$23 &amp; "'!" &amp;"$A$4:$CA$100"), VLOOKUP(VLOOKUP(AS$5,'Misc. Data &amp; Mechanisms'!$P$601:$S$632,HLOOKUP('Personalized Bill Menu'!$B$23, 'Misc. Data &amp; Mechanisms'!$P$599:$S$600, 2, FALSE), FALSE), 'Misc. Data &amp; Mechanisms'!$L$599:$N$659, 2, FALSE), FALSE) = "", "", VLOOKUP($A23, INDIRECT("'" &amp; 'Personalized Bill Menu'!$B$23 &amp; "'!" &amp;"$A$4:$CA$100"), VLOOKUP(VLOOKUP(AS$5,'Misc. Data &amp; Mechanisms'!$P$601:$S$632,HLOOKUP('Personalized Bill Menu'!$B$23, 'Misc. Data &amp; Mechanisms'!$P$599:$S$600, 2, FALSE), FALSE), 'Misc. Data &amp; Mechanisms'!$L$599:$N$659, 2, FALSE), FALSE)))</f>
        <v>0.05</v>
      </c>
      <c r="AT23" s="116"/>
      <c r="AU23" s="116"/>
      <c r="AV23" s="116"/>
      <c r="AW23" s="116"/>
      <c r="AX23" s="116"/>
    </row>
    <row r="24" spans="1:50" s="117" customFormat="1" x14ac:dyDescent="0.3">
      <c r="A24" s="83">
        <f>'Personalized Bill Menu'!$H21</f>
        <v>41426</v>
      </c>
      <c r="B24" s="84">
        <f t="shared" si="3"/>
        <v>30</v>
      </c>
      <c r="C24" s="85">
        <f>IF('Personalized Bill Menu'!$B$34="Natural Gas", 'Personalized Bill Menu'!$I21, IF('Personalized Bill Menu'!$B$34="Both",'Personalized Bill Menu'!$M21,""))</f>
        <v>3.6507685773041474</v>
      </c>
      <c r="D24" s="66">
        <f t="shared" ca="1" si="4"/>
        <v>15.72681053662938</v>
      </c>
      <c r="E24" s="66">
        <f ca="1">IF($C24="Not Applicable", "", IFERROR(IFERROR((1+$AS24)*IF('Personalized Bill Menu'!$B$23="ATCO-N", IF(OR('Personalized Bill Menu'!$B$21="Fort McMurray",AND('Personalized Bill Menu'!$B$21="Spruce Grove", $A24&lt;DATE(2019, 5, 1) )),(((1+IF($T24="",0,$T24))*($N24+$P24))+ (IF($U24="", 0, $U24)*$P24)+(1+IF($T24="",0,$T24)+IF($U24="", 0, $U24))*(SUM($Y24:$AB24))),($N24+((1+IF($T24="",0,$T24)+IF($U24="", 0, $U24))*$P24)+(1+IF($T24="",0,$T24)+IF($U24="", 0, $U24))*(SUM($Y24:$AB24)))), IF('Personalized Bill Menu'!$B$23="ATCO-S",IF(OR('Personalized Bill Menu'!$B$21="Calgary",AND('Personalized Bill Menu'!$B$21="Okotoks", $A24&lt;DATE(2019, 1, 1))),((1+IF($T24="",0,$T24))*($N24+$P24+SUM($X24:$Y24,$AA24:$AC24)))+(IF($U24="",0, $U24)*($P24+SUM($X24:$Y24,$AA24:$AC24))), ((1+IF($T24="",0,$T24))*($P24+SUM($Y24,$AA24:$AC24)))+(IF($U24="",0, $U24)*($P24+SUM($X24:$Y24,$AA24:$AC24)))+$N24+IF($X24="", 0, $X24)),IF(AND('Personalized Bill Menu'!$B$21="Athabasca", $A24&lt;DATE(2019, 5, 1)),((1+IF($T24="",0,$T24)+IF($U24="", 0, $U24))*($N24+((1+SUM($X24:$Y24))*$P24)+SUM($Z24:$AA24))),((1+IF($U24="", 0, $U24))*($N24+((1+SUM($X24:$Y24))*$P24)+SUM($Z24:$AA24))) + (IF($T24="",0,$T24)*(((1+SUM($X24:$Y24))*$P24)+SUM($Z24:$AA24)))))), "")+ IF($AQ24="", 0,((1+$AS24)*$AQ24)), ""))</f>
        <v>6.4399356000000001</v>
      </c>
      <c r="F24" s="118">
        <f t="shared" ca="1" si="5"/>
        <v>57.414945728342317</v>
      </c>
      <c r="G24" s="115">
        <f t="shared" si="0"/>
        <v>15.658146428057487</v>
      </c>
      <c r="H24" s="66">
        <f t="shared" ca="1" si="1"/>
        <v>25.606490309844816</v>
      </c>
      <c r="I24" s="66">
        <f t="shared" ca="1" si="2"/>
        <v>4.7986581469404683</v>
      </c>
      <c r="J24" s="66">
        <f t="shared" ca="1" si="6"/>
        <v>1.9276058088165899</v>
      </c>
      <c r="K24" s="66">
        <f t="shared" si="7"/>
        <v>6.69</v>
      </c>
      <c r="L24" s="66">
        <f t="shared" ca="1" si="8"/>
        <v>0</v>
      </c>
      <c r="M24" s="68">
        <f t="shared" ca="1" si="9"/>
        <v>2.7340450346829677</v>
      </c>
      <c r="N24" s="1290">
        <f>IF('Personalized Bill Menu'!$B$34="Natural Gas", 'Personalized Bill Menu'!$J21, IF('Personalized Bill Menu'!$B$34="Both",'Personalized Bill Menu'!$N21,""))</f>
        <v>4.2889999999999997</v>
      </c>
      <c r="O24" s="70">
        <f t="shared" si="10"/>
        <v>15.658146428057487</v>
      </c>
      <c r="P24" s="89">
        <f ca="1">IF($A24="", "",IFERROR(IF(VLOOKUP($A24, INDIRECT("'" &amp; 'Personalized Bill Menu'!$B$23 &amp; "'!" &amp;"$A$4:$CA$100"), VLOOKUP(VLOOKUP(P$5,'Misc. Data &amp; Mechanisms'!$P$601:$S$632,HLOOKUP('Personalized Bill Menu'!$B$23, 'Misc. Data &amp; Mechanisms'!$P$599:$S$600, 2, FALSE), FALSE), 'Misc. Data &amp; Mechanisms'!$L$599:$N$659, 2, FALSE), FALSE) = "", "", VLOOKUP($A24, INDIRECT("'" &amp; 'Personalized Bill Menu'!$B$23 &amp; "'!" &amp;"$A$4:$CA$100"), VLOOKUP(VLOOKUP(P$5,'Misc. Data &amp; Mechanisms'!$P$601:$S$632,HLOOKUP('Personalized Bill Menu'!$B$23, 'Misc. Data &amp; Mechanisms'!$P$599:$S$600, 2, FALSE), FALSE), 'Misc. Data &amp; Mechanisms'!$L$599:$N$659, 2, FALSE), FALSE)), ""))</f>
        <v>0.70299999999999996</v>
      </c>
      <c r="Q24" s="69">
        <f ca="1">IF($A24="", "",IFERROR(IF(VLOOKUP($A24, INDIRECT("'" &amp; 'Personalized Bill Menu'!$B$23 &amp; "'!" &amp;"$A$4:$CA$100"), VLOOKUP(VLOOKUP(Q$5,'Misc. Data &amp; Mechanisms'!$P$601:$S$632,HLOOKUP('Personalized Bill Menu'!$B$23, 'Misc. Data &amp; Mechanisms'!$P$599:$S$600, 2, FALSE), FALSE), 'Misc. Data &amp; Mechanisms'!$L$599:$N$659, 2, FALSE), FALSE) = "", "", VLOOKUP($A24, INDIRECT("'" &amp; 'Personalized Bill Menu'!$B$23 &amp; "'!" &amp;"$A$4:$CA$100"), VLOOKUP(VLOOKUP(Q$5,'Misc. Data &amp; Mechanisms'!$P$601:$S$632,HLOOKUP('Personalized Bill Menu'!$B$23, 'Misc. Data &amp; Mechanisms'!$P$599:$S$600, 2, FALSE), FALSE), 'Misc. Data &amp; Mechanisms'!$L$599:$N$659, 2, FALSE), FALSE)), ""))</f>
        <v>0.76800000000000002</v>
      </c>
      <c r="R24" s="72">
        <f t="shared" ca="1" si="11"/>
        <v>2.5664903098448155</v>
      </c>
      <c r="S24" s="70">
        <f t="shared" ca="1" si="12"/>
        <v>23.04</v>
      </c>
      <c r="T24" s="78">
        <f>IFERROR(IF(VLOOKUP($A24,'Misc. Data &amp; Mechanisms'!$A$63:$DY$152,HLOOKUP('Personalized Bill Menu'!$B$21&amp;"_"&amp;'Personalized Bill Menu'!$B$23&amp;"_NG_Y_1",'Misc. Data &amp; Mechanisms'!$A$55:$DY$62,8,FALSE), FALSE)="", "", VLOOKUP($A24,'Misc. Data &amp; Mechanisms'!$A$63:$DY$152,HLOOKUP('Personalized Bill Menu'!$B$21&amp;"_"&amp;'Personalized Bill Menu'!$B$23&amp;"_NG_Y_1",'Misc. Data &amp; Mechanisms'!$A$55:$DY$62,8,FALSE), FALSE)), "")</f>
        <v>0.1111</v>
      </c>
      <c r="U24" s="78" t="str">
        <f>IFERROR(IF(VLOOKUP($A24,'Misc. Data &amp; Mechanisms'!$A$63:$DY$152,HLOOKUP('Personalized Bill Menu'!$B$21&amp;"_"&amp;'Personalized Bill Menu'!$B$23&amp;"_NG_Y_2",'Misc. Data &amp; Mechanisms'!$A$55:$DY$62,8,FALSE), FALSE)="", "",VLOOKUP($A24,'Misc. Data &amp; Mechanisms'!$A$63:$DY$152,HLOOKUP('Personalized Bill Menu'!$B$21&amp;"_"&amp;'Personalized Bill Menu'!$B$23&amp;"_NG_Y_2",'Misc. Data &amp; Mechanisms'!$A$55:$DY$62,8,FALSE), FALSE)), "")</f>
        <v/>
      </c>
      <c r="V24" s="72">
        <f ca="1">IF($A24="", "", IFERROR(IF('Personalized Bill Menu'!$B$23="ATCO-N", IF(OR('Personalized Bill Menu'!$B$21="Fort McMurray",AND('Personalized Bill Menu'!$B$21="Spruce Grove", $A24&lt;DATE(2019, 5, 1))),$T24*($G24+$H24+$J24),$T24*($H24+$J24)), IF('Personalized Bill Menu'!$B$23="ATCO-S",IF(OR('Personalized Bill Menu'!$B$21="Calgary",AND('Personalized Bill Menu'!$B$21="Okotoks", $A24&lt;DATE(2019, 1, 1))),$T24*($G24+$H24+$J24), $T24*($H24+$J24-$AG24)),IF(AND('Personalized Bill Menu'!$B$21="Athabasca", $A24&lt;DATE(2019, 5, 1)),$T24*($G24+$H24+$J24+$K24),$T24*($H24+$J24+$K24)))),0))</f>
        <v>4.7986581469404683</v>
      </c>
      <c r="W24" s="72">
        <f ca="1">IF($A24="", "", IFERROR(IF('Personalized Bill Menu'!$B$23="ATCO-N", $U24*($H24+$J24), IF('Personalized Bill Menu'!$B$23="ATCO-S",$U24*($H24+$J24),$U24*($G24+$H24+$J24+$K24))),0))</f>
        <v>0</v>
      </c>
      <c r="X24" s="89" t="str">
        <f ca="1">IF($A24="", "",IFERROR(IF(VLOOKUP($A24, INDIRECT("'" &amp; 'Personalized Bill Menu'!$B$23 &amp; "'!" &amp;"$A$4:$CA$100"), VLOOKUP(VLOOKUP("RIDER RATE 1",'Misc. Data &amp; Mechanisms'!$P$601:$S$632,HLOOKUP('Personalized Bill Menu'!$B$23, 'Misc. Data &amp; Mechanisms'!$P$599:$S$600, 2, FALSE), FALSE), 'Misc. Data &amp; Mechanisms'!$L$599:$N$659, 2, FALSE), FALSE) = "", "", VLOOKUP($A24, INDIRECT("'" &amp; 'Personalized Bill Menu'!$B$23 &amp; "'!" &amp;"$A$4:$CA$100"), VLOOKUP(VLOOKUP("RIDER RATE 1",'Misc. Data &amp; Mechanisms'!$P$601:$S$632,HLOOKUP('Personalized Bill Menu'!$B$23, 'Misc. Data &amp; Mechanisms'!$P$599:$S$600, 2, FALSE), FALSE), 'Misc. Data &amp; Mechanisms'!$L$599:$N$659, 2, FALSE), FALSE)), ""))</f>
        <v/>
      </c>
      <c r="Y24" s="69" t="str">
        <f ca="1">IF($A24="", "",IFERROR(IF(VLOOKUP($A24, INDIRECT("'" &amp; 'Personalized Bill Menu'!$B$23 &amp; "'!" &amp;"$A$4:$CA$100"), VLOOKUP(VLOOKUP("RIDER RATE 2",'Misc. Data &amp; Mechanisms'!$P$601:$S$632,HLOOKUP('Personalized Bill Menu'!$B$23, 'Misc. Data &amp; Mechanisms'!$P$599:$S$600, 2, FALSE), FALSE), 'Misc. Data &amp; Mechanisms'!$L$599:$N$659, 2, FALSE), FALSE) = "", "", VLOOKUP($A24, INDIRECT("'" &amp; 'Personalized Bill Menu'!$B$23 &amp; "'!" &amp;"$A$4:$CA$100"), VLOOKUP(VLOOKUP("RIDER RATE 2",'Misc. Data &amp; Mechanisms'!$P$601:$S$632,HLOOKUP('Personalized Bill Menu'!$B$23, 'Misc. Data &amp; Mechanisms'!$P$599:$S$600, 2, FALSE), FALSE), 'Misc. Data &amp; Mechanisms'!$L$599:$N$659, 2, FALSE), FALSE)), ""))</f>
        <v/>
      </c>
      <c r="Z24" s="69" t="str">
        <f ca="1">IF($A24="", "",IFERROR(IF(VLOOKUP($A24, INDIRECT("'" &amp; 'Personalized Bill Menu'!$B$23 &amp; "'!" &amp;"$A$4:$CA$100"), VLOOKUP(VLOOKUP("RIDER RATE 3",'Misc. Data &amp; Mechanisms'!$P$601:$S$632,HLOOKUP('Personalized Bill Menu'!$B$23, 'Misc. Data &amp; Mechanisms'!$P$599:$S$600, 2, FALSE), FALSE), 'Misc. Data &amp; Mechanisms'!$L$599:$N$659, 2, FALSE), FALSE) = "", "", VLOOKUP($A24, INDIRECT("'" &amp; 'Personalized Bill Menu'!$B$23 &amp; "'!" &amp;"$A$4:$CA$100"), VLOOKUP(VLOOKUP("RIDER RATE 3",'Misc. Data &amp; Mechanisms'!$P$601:$S$632,HLOOKUP('Personalized Bill Menu'!$B$23, 'Misc. Data &amp; Mechanisms'!$P$599:$S$600, 2, FALSE), FALSE), 'Misc. Data &amp; Mechanisms'!$L$599:$N$659, 2, FALSE), FALSE)), ""))</f>
        <v/>
      </c>
      <c r="AA24" s="69" t="str">
        <f ca="1">IF($A24="", "",IFERROR(IF(VLOOKUP($A24, INDIRECT("'" &amp; 'Personalized Bill Menu'!$B$23 &amp; "'!" &amp;"$A$4:$CA$100"), VLOOKUP(VLOOKUP("RIDER RATE 4",'Misc. Data &amp; Mechanisms'!$P$601:$S$632,HLOOKUP('Personalized Bill Menu'!$B$23, 'Misc. Data &amp; Mechanisms'!$P$599:$S$600, 2, FALSE), FALSE), 'Misc. Data &amp; Mechanisms'!$L$599:$N$659, 2, FALSE), FALSE) = "", "", VLOOKUP($A24, INDIRECT("'" &amp; 'Personalized Bill Menu'!$B$23 &amp; "'!" &amp;"$A$4:$CA$100"), VLOOKUP(VLOOKUP("RIDER RATE 4",'Misc. Data &amp; Mechanisms'!$P$601:$S$632,HLOOKUP('Personalized Bill Menu'!$B$23, 'Misc. Data &amp; Mechanisms'!$P$599:$S$600, 2, FALSE), FALSE), 'Misc. Data &amp; Mechanisms'!$L$599:$N$659, 2, FALSE), FALSE)), ""))</f>
        <v/>
      </c>
      <c r="AB24" s="69">
        <f ca="1">IF($A24="", "",IFERROR(IF(VLOOKUP($A24, INDIRECT("'" &amp; 'Personalized Bill Menu'!$B$23 &amp; "'!" &amp;"$A$4:$CA$100"), VLOOKUP(VLOOKUP("RIDER RATE 5",'Misc. Data &amp; Mechanisms'!$P$601:$S$632,HLOOKUP('Personalized Bill Menu'!$B$23, 'Misc. Data &amp; Mechanisms'!$P$599:$S$600, 2, FALSE), FALSE), 'Misc. Data &amp; Mechanisms'!$L$599:$N$659, 2, FALSE), FALSE) = "", "", VLOOKUP($A24, INDIRECT("'" &amp; 'Personalized Bill Menu'!$B$23 &amp; "'!" &amp;"$A$4:$CA$100"), VLOOKUP(VLOOKUP("RIDER RATE 5",'Misc. Data &amp; Mechanisms'!$P$601:$S$632,HLOOKUP('Personalized Bill Menu'!$B$23, 'Misc. Data &amp; Mechanisms'!$P$599:$S$600, 2, FALSE), FALSE), 'Misc. Data &amp; Mechanisms'!$L$599:$N$659, 2, FALSE), FALSE)), ""))</f>
        <v>0.52800000000000002</v>
      </c>
      <c r="AC24" s="69" t="str">
        <f ca="1">IF($A24="", "",IFERROR(IF(VLOOKUP($A24, INDIRECT("'" &amp; 'Personalized Bill Menu'!$B$23 &amp; "'!" &amp;"$A$4:$CA$100"), VLOOKUP(VLOOKUP("RIDER RATE 6",'Misc. Data &amp; Mechanisms'!$P$601:$S$632,HLOOKUP('Personalized Bill Menu'!$B$23, 'Misc. Data &amp; Mechanisms'!$P$599:$S$600, 2, FALSE), FALSE), 'Misc. Data &amp; Mechanisms'!$L$599:$N$659, 2, FALSE), FALSE) = "", "", VLOOKUP($A24, INDIRECT("'" &amp; 'Personalized Bill Menu'!$B$23 &amp; "'!" &amp;"$A$4:$CA$100"), VLOOKUP(VLOOKUP("RIDER RATE 6",'Misc. Data &amp; Mechanisms'!$P$601:$S$632,HLOOKUP('Personalized Bill Menu'!$B$23, 'Misc. Data &amp; Mechanisms'!$P$599:$S$600, 2, FALSE), FALSE), 'Misc. Data &amp; Mechanisms'!$L$599:$N$659, 2, FALSE), FALSE)), ""))</f>
        <v/>
      </c>
      <c r="AD24" s="69" t="str">
        <f ca="1">IF($A24="", "",IFERROR(IF(VLOOKUP($A24, INDIRECT("'" &amp; 'Personalized Bill Menu'!$B$23 &amp; "'!" &amp;"$A$4:$CA$100"), VLOOKUP(VLOOKUP("RIDER RATE 7",'Misc. Data &amp; Mechanisms'!$P$601:$S$632,HLOOKUP('Personalized Bill Menu'!$B$23, 'Misc. Data &amp; Mechanisms'!$P$599:$S$600, 2, FALSE), FALSE), 'Misc. Data &amp; Mechanisms'!$L$599:$N$659, 2, FALSE), FALSE) = "", "", VLOOKUP($A24, INDIRECT("'" &amp; 'Personalized Bill Menu'!$B$23 &amp; "'!" &amp;"$A$4:$CA$100"), VLOOKUP(VLOOKUP("RIDER RATE 7",'Misc. Data &amp; Mechanisms'!$P$601:$S$632,HLOOKUP('Personalized Bill Menu'!$B$23, 'Misc. Data &amp; Mechanisms'!$P$599:$S$600, 2, FALSE), FALSE), 'Misc. Data &amp; Mechanisms'!$L$599:$N$659, 2, FALSE), FALSE)), ""))</f>
        <v/>
      </c>
      <c r="AE24" s="69" t="str">
        <f ca="1">IF($A24="", "",IFERROR(IF(VLOOKUP($A24, INDIRECT("'" &amp; 'Personalized Bill Menu'!$B$23 &amp; "'!" &amp;"$A$4:$CA$100"), VLOOKUP(VLOOKUP("RIDER RATE 8",'Misc. Data &amp; Mechanisms'!$P$601:$S$632,HLOOKUP('Personalized Bill Menu'!$B$23, 'Misc. Data &amp; Mechanisms'!$P$599:$S$600, 2, FALSE), FALSE), 'Misc. Data &amp; Mechanisms'!$L$599:$N$659, 2, FALSE), FALSE) = "", "", VLOOKUP($A24, INDIRECT("'" &amp; 'Personalized Bill Menu'!$B$23 &amp; "'!" &amp;"$A$4:$CA$100"), VLOOKUP(VLOOKUP("RIDER RATE 8",'Misc. Data &amp; Mechanisms'!$P$601:$S$632,HLOOKUP('Personalized Bill Menu'!$B$23, 'Misc. Data &amp; Mechanisms'!$P$599:$S$600, 2, FALSE), FALSE), 'Misc. Data &amp; Mechanisms'!$L$599:$N$659, 2, FALSE), FALSE)), ""))</f>
        <v/>
      </c>
      <c r="AF24" s="69" t="str">
        <f ca="1">IF($A24="", "",IFERROR(IF(VLOOKUP($A24, INDIRECT("'" &amp; 'Personalized Bill Menu'!$B$23 &amp; "'!" &amp;"$A$4:$CA$100"), VLOOKUP(VLOOKUP("RIDER RATE 9",'Misc. Data &amp; Mechanisms'!$P$601:$S$632,HLOOKUP('Personalized Bill Menu'!$B$23, 'Misc. Data &amp; Mechanisms'!$P$599:$S$600, 2, FALSE), FALSE), 'Misc. Data &amp; Mechanisms'!$L$599:$N$659, 2, FALSE), FALSE) = "", "", VLOOKUP($A24, INDIRECT("'" &amp; 'Personalized Bill Menu'!$B$23 &amp; "'!" &amp;"$A$4:$CA$100"), VLOOKUP(VLOOKUP("RIDER RATE 9",'Misc. Data &amp; Mechanisms'!$P$601:$S$632,HLOOKUP('Personalized Bill Menu'!$B$23, 'Misc. Data &amp; Mechanisms'!$P$599:$S$600, 2, FALSE), FALSE), 'Misc. Data &amp; Mechanisms'!$L$599:$N$659, 2, FALSE), FALSE)), ""))</f>
        <v/>
      </c>
      <c r="AG24" s="72">
        <f ca="1">IF($A24="", "", IFERROR(IF('Personalized Bill Menu'!$B$23="ATCO-N", ($X24*$B24) +($Y24*$C24), IF('Personalized Bill Menu'!$B$23="ATCO-S",$X24*$C24, IF($Y24="", ($X24*$H24), ($Y24*($H24+$K24))))), 0))</f>
        <v>0</v>
      </c>
      <c r="AH24" s="72">
        <f ca="1">IF($A24="", "", IFERROR(IF('Personalized Bill Menu'!$B$23="ATCO-S", $Y24*$C24, $Z24*$C24), 0))</f>
        <v>0</v>
      </c>
      <c r="AI24" s="72">
        <f ca="1">IF($A24="", "", IFERROR(IF('Personalized Bill Menu'!$B$23="ATCO-S", ($AA24*$C24)+($Z24*$B24), $AA24*$C24), 0))</f>
        <v>0</v>
      </c>
      <c r="AJ24" s="72">
        <f ca="1">IF($A24="", "", IFERROR(IF('Personalized Bill Menu'!$B$23&lt;&gt;"AltaGas",$AB24*$C24,""),0))</f>
        <v>1.9276058088165899</v>
      </c>
      <c r="AK24" s="72">
        <f ca="1">IF($A24="", "", IFERROR(IF('Personalized Bill Menu'!$B$23="ATCO-S",$AC24*$C24,IF('Personalized Bill Menu'!$B$23="ATCO-N",$AC24*1,"")),0))</f>
        <v>0</v>
      </c>
      <c r="AL24" s="72">
        <f ca="1">IF($A24="", "", IFERROR(IF('Personalized Bill Menu'!$B$23="ATCO-N",$AD24*$B24,IF('Personalized Bill Menu'!$B$23="ATCO-S",$AD24*1,"")),0))</f>
        <v>0</v>
      </c>
      <c r="AM24" s="72">
        <f ca="1">IF($A24="", "", IFERROR(IF('Personalized Bill Menu'!$B$23="ATCO-S",$AE24*$B24,IF('Personalized Bill Menu'!$B$23="ATCO-N",$AE24*$B24,"")),0))</f>
        <v>0</v>
      </c>
      <c r="AN24" s="70">
        <f ca="1">IF($A24="", "", IFERROR(IF('Personalized Bill Menu'!$B$23="ATCO-S",$AF24*$B24,""),0))</f>
        <v>0</v>
      </c>
      <c r="AO24" s="69">
        <f>IF('Personalized Bill Menu'!$B$34="Natural Gas", 'Personalized Bill Menu'!$K21, IF('Personalized Bill Menu'!$B$34="Both",'Personalized Bill Menu'!$O21,""))</f>
        <v>0.223</v>
      </c>
      <c r="AP24" s="72">
        <f t="shared" si="13"/>
        <v>6.69</v>
      </c>
      <c r="AQ24" s="89" t="str">
        <f ca="1">IF($A24="", "",IF(VLOOKUP($A24, INDIRECT("'" &amp; 'Personalized Bill Menu'!$B$23 &amp; "'!" &amp;"$A$4:$CA$100"), VLOOKUP(VLOOKUP(AQ$5,'Misc. Data &amp; Mechanisms'!$P$601:$S$632,HLOOKUP('Personalized Bill Menu'!$B$23, 'Misc. Data &amp; Mechanisms'!$P$599:$S$600, 2, FALSE), FALSE), 'Misc. Data &amp; Mechanisms'!$L$599:$N$659, 2, FALSE), FALSE) = "", "", VLOOKUP($A24, INDIRECT("'" &amp; 'Personalized Bill Menu'!$B$23 &amp; "'!" &amp;"$A$4:$CA$100"), VLOOKUP(VLOOKUP(AQ$5,'Misc. Data &amp; Mechanisms'!$P$601:$S$632,HLOOKUP('Personalized Bill Menu'!$B$23, 'Misc. Data &amp; Mechanisms'!$P$599:$S$600, 2, FALSE), FALSE), 'Misc. Data &amp; Mechanisms'!$L$599:$N$659, 2, FALSE), FALSE)))</f>
        <v/>
      </c>
      <c r="AR24" s="72">
        <f t="shared" ca="1" si="14"/>
        <v>0</v>
      </c>
      <c r="AS24" s="91">
        <f ca="1">IF($A24="", "",IF(VLOOKUP($A24, INDIRECT("'" &amp; 'Personalized Bill Menu'!$B$23 &amp; "'!" &amp;"$A$4:$CA$100"), VLOOKUP(VLOOKUP(AS$5,'Misc. Data &amp; Mechanisms'!$P$601:$S$632,HLOOKUP('Personalized Bill Menu'!$B$23, 'Misc. Data &amp; Mechanisms'!$P$599:$S$600, 2, FALSE), FALSE), 'Misc. Data &amp; Mechanisms'!$L$599:$N$659, 2, FALSE), FALSE) = "", "", VLOOKUP($A24, INDIRECT("'" &amp; 'Personalized Bill Menu'!$B$23 &amp; "'!" &amp;"$A$4:$CA$100"), VLOOKUP(VLOOKUP(AS$5,'Misc. Data &amp; Mechanisms'!$P$601:$S$632,HLOOKUP('Personalized Bill Menu'!$B$23, 'Misc. Data &amp; Mechanisms'!$P$599:$S$600, 2, FALSE), FALSE), 'Misc. Data &amp; Mechanisms'!$L$599:$N$659, 2, FALSE), FALSE)))</f>
        <v>0.05</v>
      </c>
      <c r="AT24" s="116"/>
      <c r="AU24" s="116"/>
      <c r="AV24" s="116"/>
      <c r="AW24" s="116"/>
      <c r="AX24" s="116"/>
    </row>
    <row r="25" spans="1:50" s="117" customFormat="1" x14ac:dyDescent="0.3">
      <c r="A25" s="83">
        <f>'Personalized Bill Menu'!$H22</f>
        <v>41456</v>
      </c>
      <c r="B25" s="84">
        <f t="shared" si="3"/>
        <v>31</v>
      </c>
      <c r="C25" s="85">
        <f>IF('Personalized Bill Menu'!$B$34="Natural Gas", 'Personalized Bill Menu'!$I22, IF('Personalized Bill Menu'!$B$34="Both",'Personalized Bill Menu'!$M22,""))</f>
        <v>3.0114309199989338</v>
      </c>
      <c r="D25" s="66">
        <f t="shared" ca="1" si="4"/>
        <v>16.483580585497378</v>
      </c>
      <c r="E25" s="66">
        <f ca="1">IF($C25="Not Applicable", "", IFERROR(IFERROR((1+$AS25)*IF('Personalized Bill Menu'!$B$23="ATCO-N", IF(OR('Personalized Bill Menu'!$B$21="Fort McMurray",AND('Personalized Bill Menu'!$B$21="Spruce Grove", $A25&lt;DATE(2019, 5, 1) )),(((1+IF($T25="",0,$T25))*($N25+$P25))+ (IF($U25="", 0, $U25)*$P25)+(1+IF($T25="",0,$T25)+IF($U25="", 0, $U25))*(SUM($Y25:$AB25))),($N25+((1+IF($T25="",0,$T25)+IF($U25="", 0, $U25))*$P25)+(1+IF($T25="",0,$T25)+IF($U25="", 0, $U25))*(SUM($Y25:$AB25)))), IF('Personalized Bill Menu'!$B$23="ATCO-S",IF(OR('Personalized Bill Menu'!$B$21="Calgary",AND('Personalized Bill Menu'!$B$21="Okotoks", $A25&lt;DATE(2019, 1, 1))),((1+IF($T25="",0,$T25))*($N25+$P25+SUM($X25:$Y25,$AA25:$AC25)))+(IF($U25="",0, $U25)*($P25+SUM($X25:$Y25,$AA25:$AC25))), ((1+IF($T25="",0,$T25))*($P25+SUM($Y25,$AA25:$AC25)))+(IF($U25="",0, $U25)*($P25+SUM($X25:$Y25,$AA25:$AC25)))+$N25+IF($X25="", 0, $X25)),IF(AND('Personalized Bill Menu'!$B$21="Athabasca", $A25&lt;DATE(2019, 5, 1)),((1+IF($T25="",0,$T25)+IF($U25="", 0, $U25))*($N25+((1+SUM($X25:$Y25))*$P25)+SUM($Z25:$AA25))),((1+IF($U25="", 0, $U25))*($N25+((1+SUM($X25:$Y25))*$P25)+SUM($Z25:$AA25))) + (IF($T25="",0,$T25)*(((1+SUM($X25:$Y25))*$P25)+SUM($Z25:$AA25)))))), "")+ IF($AQ25="", 0,((1+$AS25)*$AQ25)), ""))</f>
        <v>4.8497848350000003</v>
      </c>
      <c r="F25" s="118">
        <f t="shared" ca="1" si="5"/>
        <v>49.639164247460933</v>
      </c>
      <c r="G25" s="115">
        <f t="shared" si="0"/>
        <v>8.8114468719168801</v>
      </c>
      <c r="H25" s="66">
        <f t="shared" ca="1" si="1"/>
        <v>25.925035936759251</v>
      </c>
      <c r="I25" s="66">
        <f t="shared" ca="1" si="2"/>
        <v>4.0358761869557922</v>
      </c>
      <c r="J25" s="66">
        <f t="shared" ca="1" si="6"/>
        <v>1.5900355257594372</v>
      </c>
      <c r="K25" s="66">
        <f t="shared" si="7"/>
        <v>6.9130000000000003</v>
      </c>
      <c r="L25" s="66">
        <f t="shared" ca="1" si="8"/>
        <v>0</v>
      </c>
      <c r="M25" s="68">
        <f t="shared" ca="1" si="9"/>
        <v>2.363769726069568</v>
      </c>
      <c r="N25" s="1290">
        <f>IF('Personalized Bill Menu'!$B$34="Natural Gas", 'Personalized Bill Menu'!$J22, IF('Personalized Bill Menu'!$B$34="Both",'Personalized Bill Menu'!$N22,""))</f>
        <v>2.9260000000000002</v>
      </c>
      <c r="O25" s="70">
        <f t="shared" si="10"/>
        <v>8.8114468719168801</v>
      </c>
      <c r="P25" s="89">
        <f ca="1">IF($A25="", "",IFERROR(IF(VLOOKUP($A25, INDIRECT("'" &amp; 'Personalized Bill Menu'!$B$23 &amp; "'!" &amp;"$A$4:$CA$100"), VLOOKUP(VLOOKUP(P$5,'Misc. Data &amp; Mechanisms'!$P$601:$S$632,HLOOKUP('Personalized Bill Menu'!$B$23, 'Misc. Data &amp; Mechanisms'!$P$599:$S$600, 2, FALSE), FALSE), 'Misc. Data &amp; Mechanisms'!$L$599:$N$659, 2, FALSE), FALSE) = "", "", VLOOKUP($A25, INDIRECT("'" &amp; 'Personalized Bill Menu'!$B$23 &amp; "'!" &amp;"$A$4:$CA$100"), VLOOKUP(VLOOKUP(P$5,'Misc. Data &amp; Mechanisms'!$P$601:$S$632,HLOOKUP('Personalized Bill Menu'!$B$23, 'Misc. Data &amp; Mechanisms'!$P$599:$S$600, 2, FALSE), FALSE), 'Misc. Data &amp; Mechanisms'!$L$599:$N$659, 2, FALSE), FALSE)), ""))</f>
        <v>0.70299999999999996</v>
      </c>
      <c r="Q25" s="69">
        <f ca="1">IF($A25="", "",IFERROR(IF(VLOOKUP($A25, INDIRECT("'" &amp; 'Personalized Bill Menu'!$B$23 &amp; "'!" &amp;"$A$4:$CA$100"), VLOOKUP(VLOOKUP(Q$5,'Misc. Data &amp; Mechanisms'!$P$601:$S$632,HLOOKUP('Personalized Bill Menu'!$B$23, 'Misc. Data &amp; Mechanisms'!$P$599:$S$600, 2, FALSE), FALSE), 'Misc. Data &amp; Mechanisms'!$L$599:$N$659, 2, FALSE), FALSE) = "", "", VLOOKUP($A25, INDIRECT("'" &amp; 'Personalized Bill Menu'!$B$23 &amp; "'!" &amp;"$A$4:$CA$100"), VLOOKUP(VLOOKUP(Q$5,'Misc. Data &amp; Mechanisms'!$P$601:$S$632,HLOOKUP('Personalized Bill Menu'!$B$23, 'Misc. Data &amp; Mechanisms'!$P$599:$S$600, 2, FALSE), FALSE), 'Misc. Data &amp; Mechanisms'!$L$599:$N$659, 2, FALSE), FALSE)), ""))</f>
        <v>0.76800000000000002</v>
      </c>
      <c r="R25" s="72">
        <f t="shared" ca="1" si="11"/>
        <v>2.1170359367592502</v>
      </c>
      <c r="S25" s="70">
        <f t="shared" ca="1" si="12"/>
        <v>23.808</v>
      </c>
      <c r="T25" s="78">
        <f>IFERROR(IF(VLOOKUP($A25,'Misc. Data &amp; Mechanisms'!$A$63:$DY$152,HLOOKUP('Personalized Bill Menu'!$B$21&amp;"_"&amp;'Personalized Bill Menu'!$B$23&amp;"_NG_Y_1",'Misc. Data &amp; Mechanisms'!$A$55:$DY$62,8,FALSE), FALSE)="", "", VLOOKUP($A25,'Misc. Data &amp; Mechanisms'!$A$63:$DY$152,HLOOKUP('Personalized Bill Menu'!$B$21&amp;"_"&amp;'Personalized Bill Menu'!$B$23&amp;"_NG_Y_1",'Misc. Data &amp; Mechanisms'!$A$55:$DY$62,8,FALSE), FALSE)), "")</f>
        <v>0.1111</v>
      </c>
      <c r="U25" s="78" t="str">
        <f>IFERROR(IF(VLOOKUP($A25,'Misc. Data &amp; Mechanisms'!$A$63:$DY$152,HLOOKUP('Personalized Bill Menu'!$B$21&amp;"_"&amp;'Personalized Bill Menu'!$B$23&amp;"_NG_Y_2",'Misc. Data &amp; Mechanisms'!$A$55:$DY$62,8,FALSE), FALSE)="", "",VLOOKUP($A25,'Misc. Data &amp; Mechanisms'!$A$63:$DY$152,HLOOKUP('Personalized Bill Menu'!$B$21&amp;"_"&amp;'Personalized Bill Menu'!$B$23&amp;"_NG_Y_2",'Misc. Data &amp; Mechanisms'!$A$55:$DY$62,8,FALSE), FALSE)), "")</f>
        <v/>
      </c>
      <c r="V25" s="72">
        <f ca="1">IF($A25="", "", IFERROR(IF('Personalized Bill Menu'!$B$23="ATCO-N", IF(OR('Personalized Bill Menu'!$B$21="Fort McMurray",AND('Personalized Bill Menu'!$B$21="Spruce Grove", $A25&lt;DATE(2019, 5, 1))),$T25*($G25+$H25+$J25),$T25*($H25+$J25)), IF('Personalized Bill Menu'!$B$23="ATCO-S",IF(OR('Personalized Bill Menu'!$B$21="Calgary",AND('Personalized Bill Menu'!$B$21="Okotoks", $A25&lt;DATE(2019, 1, 1))),$T25*($G25+$H25+$J25), $T25*($H25+$J25-$AG25)),IF(AND('Personalized Bill Menu'!$B$21="Athabasca", $A25&lt;DATE(2019, 5, 1)),$T25*($G25+$H25+$J25+$K25),$T25*($H25+$J25+$K25)))),0))</f>
        <v>4.0358761869557922</v>
      </c>
      <c r="W25" s="72">
        <f ca="1">IF($A25="", "", IFERROR(IF('Personalized Bill Menu'!$B$23="ATCO-N", $U25*($H25+$J25), IF('Personalized Bill Menu'!$B$23="ATCO-S",$U25*($H25+$J25),$U25*($G25+$H25+$J25+$K25))),0))</f>
        <v>0</v>
      </c>
      <c r="X25" s="89" t="str">
        <f ca="1">IF($A25="", "",IFERROR(IF(VLOOKUP($A25, INDIRECT("'" &amp; 'Personalized Bill Menu'!$B$23 &amp; "'!" &amp;"$A$4:$CA$100"), VLOOKUP(VLOOKUP("RIDER RATE 1",'Misc. Data &amp; Mechanisms'!$P$601:$S$632,HLOOKUP('Personalized Bill Menu'!$B$23, 'Misc. Data &amp; Mechanisms'!$P$599:$S$600, 2, FALSE), FALSE), 'Misc. Data &amp; Mechanisms'!$L$599:$N$659, 2, FALSE), FALSE) = "", "", VLOOKUP($A25, INDIRECT("'" &amp; 'Personalized Bill Menu'!$B$23 &amp; "'!" &amp;"$A$4:$CA$100"), VLOOKUP(VLOOKUP("RIDER RATE 1",'Misc. Data &amp; Mechanisms'!$P$601:$S$632,HLOOKUP('Personalized Bill Menu'!$B$23, 'Misc. Data &amp; Mechanisms'!$P$599:$S$600, 2, FALSE), FALSE), 'Misc. Data &amp; Mechanisms'!$L$599:$N$659, 2, FALSE), FALSE)), ""))</f>
        <v/>
      </c>
      <c r="Y25" s="69" t="str">
        <f ca="1">IF($A25="", "",IFERROR(IF(VLOOKUP($A25, INDIRECT("'" &amp; 'Personalized Bill Menu'!$B$23 &amp; "'!" &amp;"$A$4:$CA$100"), VLOOKUP(VLOOKUP("RIDER RATE 2",'Misc. Data &amp; Mechanisms'!$P$601:$S$632,HLOOKUP('Personalized Bill Menu'!$B$23, 'Misc. Data &amp; Mechanisms'!$P$599:$S$600, 2, FALSE), FALSE), 'Misc. Data &amp; Mechanisms'!$L$599:$N$659, 2, FALSE), FALSE) = "", "", VLOOKUP($A25, INDIRECT("'" &amp; 'Personalized Bill Menu'!$B$23 &amp; "'!" &amp;"$A$4:$CA$100"), VLOOKUP(VLOOKUP("RIDER RATE 2",'Misc. Data &amp; Mechanisms'!$P$601:$S$632,HLOOKUP('Personalized Bill Menu'!$B$23, 'Misc. Data &amp; Mechanisms'!$P$599:$S$600, 2, FALSE), FALSE), 'Misc. Data &amp; Mechanisms'!$L$599:$N$659, 2, FALSE), FALSE)), ""))</f>
        <v/>
      </c>
      <c r="Z25" s="69" t="str">
        <f ca="1">IF($A25="", "",IFERROR(IF(VLOOKUP($A25, INDIRECT("'" &amp; 'Personalized Bill Menu'!$B$23 &amp; "'!" &amp;"$A$4:$CA$100"), VLOOKUP(VLOOKUP("RIDER RATE 3",'Misc. Data &amp; Mechanisms'!$P$601:$S$632,HLOOKUP('Personalized Bill Menu'!$B$23, 'Misc. Data &amp; Mechanisms'!$P$599:$S$600, 2, FALSE), FALSE), 'Misc. Data &amp; Mechanisms'!$L$599:$N$659, 2, FALSE), FALSE) = "", "", VLOOKUP($A25, INDIRECT("'" &amp; 'Personalized Bill Menu'!$B$23 &amp; "'!" &amp;"$A$4:$CA$100"), VLOOKUP(VLOOKUP("RIDER RATE 3",'Misc. Data &amp; Mechanisms'!$P$601:$S$632,HLOOKUP('Personalized Bill Menu'!$B$23, 'Misc. Data &amp; Mechanisms'!$P$599:$S$600, 2, FALSE), FALSE), 'Misc. Data &amp; Mechanisms'!$L$599:$N$659, 2, FALSE), FALSE)), ""))</f>
        <v/>
      </c>
      <c r="AA25" s="69" t="str">
        <f ca="1">IF($A25="", "",IFERROR(IF(VLOOKUP($A25, INDIRECT("'" &amp; 'Personalized Bill Menu'!$B$23 &amp; "'!" &amp;"$A$4:$CA$100"), VLOOKUP(VLOOKUP("RIDER RATE 4",'Misc. Data &amp; Mechanisms'!$P$601:$S$632,HLOOKUP('Personalized Bill Menu'!$B$23, 'Misc. Data &amp; Mechanisms'!$P$599:$S$600, 2, FALSE), FALSE), 'Misc. Data &amp; Mechanisms'!$L$599:$N$659, 2, FALSE), FALSE) = "", "", VLOOKUP($A25, INDIRECT("'" &amp; 'Personalized Bill Menu'!$B$23 &amp; "'!" &amp;"$A$4:$CA$100"), VLOOKUP(VLOOKUP("RIDER RATE 4",'Misc. Data &amp; Mechanisms'!$P$601:$S$632,HLOOKUP('Personalized Bill Menu'!$B$23, 'Misc. Data &amp; Mechanisms'!$P$599:$S$600, 2, FALSE), FALSE), 'Misc. Data &amp; Mechanisms'!$L$599:$N$659, 2, FALSE), FALSE)), ""))</f>
        <v/>
      </c>
      <c r="AB25" s="69">
        <f ca="1">IF($A25="", "",IFERROR(IF(VLOOKUP($A25, INDIRECT("'" &amp; 'Personalized Bill Menu'!$B$23 &amp; "'!" &amp;"$A$4:$CA$100"), VLOOKUP(VLOOKUP("RIDER RATE 5",'Misc. Data &amp; Mechanisms'!$P$601:$S$632,HLOOKUP('Personalized Bill Menu'!$B$23, 'Misc. Data &amp; Mechanisms'!$P$599:$S$600, 2, FALSE), FALSE), 'Misc. Data &amp; Mechanisms'!$L$599:$N$659, 2, FALSE), FALSE) = "", "", VLOOKUP($A25, INDIRECT("'" &amp; 'Personalized Bill Menu'!$B$23 &amp; "'!" &amp;"$A$4:$CA$100"), VLOOKUP(VLOOKUP("RIDER RATE 5",'Misc. Data &amp; Mechanisms'!$P$601:$S$632,HLOOKUP('Personalized Bill Menu'!$B$23, 'Misc. Data &amp; Mechanisms'!$P$599:$S$600, 2, FALSE), FALSE), 'Misc. Data &amp; Mechanisms'!$L$599:$N$659, 2, FALSE), FALSE)), ""))</f>
        <v>0.52800000000000002</v>
      </c>
      <c r="AC25" s="69" t="str">
        <f ca="1">IF($A25="", "",IFERROR(IF(VLOOKUP($A25, INDIRECT("'" &amp; 'Personalized Bill Menu'!$B$23 &amp; "'!" &amp;"$A$4:$CA$100"), VLOOKUP(VLOOKUP("RIDER RATE 6",'Misc. Data &amp; Mechanisms'!$P$601:$S$632,HLOOKUP('Personalized Bill Menu'!$B$23, 'Misc. Data &amp; Mechanisms'!$P$599:$S$600, 2, FALSE), FALSE), 'Misc. Data &amp; Mechanisms'!$L$599:$N$659, 2, FALSE), FALSE) = "", "", VLOOKUP($A25, INDIRECT("'" &amp; 'Personalized Bill Menu'!$B$23 &amp; "'!" &amp;"$A$4:$CA$100"), VLOOKUP(VLOOKUP("RIDER RATE 6",'Misc. Data &amp; Mechanisms'!$P$601:$S$632,HLOOKUP('Personalized Bill Menu'!$B$23, 'Misc. Data &amp; Mechanisms'!$P$599:$S$600, 2, FALSE), FALSE), 'Misc. Data &amp; Mechanisms'!$L$599:$N$659, 2, FALSE), FALSE)), ""))</f>
        <v/>
      </c>
      <c r="AD25" s="69" t="str">
        <f ca="1">IF($A25="", "",IFERROR(IF(VLOOKUP($A25, INDIRECT("'" &amp; 'Personalized Bill Menu'!$B$23 &amp; "'!" &amp;"$A$4:$CA$100"), VLOOKUP(VLOOKUP("RIDER RATE 7",'Misc. Data &amp; Mechanisms'!$P$601:$S$632,HLOOKUP('Personalized Bill Menu'!$B$23, 'Misc. Data &amp; Mechanisms'!$P$599:$S$600, 2, FALSE), FALSE), 'Misc. Data &amp; Mechanisms'!$L$599:$N$659, 2, FALSE), FALSE) = "", "", VLOOKUP($A25, INDIRECT("'" &amp; 'Personalized Bill Menu'!$B$23 &amp; "'!" &amp;"$A$4:$CA$100"), VLOOKUP(VLOOKUP("RIDER RATE 7",'Misc. Data &amp; Mechanisms'!$P$601:$S$632,HLOOKUP('Personalized Bill Menu'!$B$23, 'Misc. Data &amp; Mechanisms'!$P$599:$S$600, 2, FALSE), FALSE), 'Misc. Data &amp; Mechanisms'!$L$599:$N$659, 2, FALSE), FALSE)), ""))</f>
        <v/>
      </c>
      <c r="AE25" s="69" t="str">
        <f ca="1">IF($A25="", "",IFERROR(IF(VLOOKUP($A25, INDIRECT("'" &amp; 'Personalized Bill Menu'!$B$23 &amp; "'!" &amp;"$A$4:$CA$100"), VLOOKUP(VLOOKUP("RIDER RATE 8",'Misc. Data &amp; Mechanisms'!$P$601:$S$632,HLOOKUP('Personalized Bill Menu'!$B$23, 'Misc. Data &amp; Mechanisms'!$P$599:$S$600, 2, FALSE), FALSE), 'Misc. Data &amp; Mechanisms'!$L$599:$N$659, 2, FALSE), FALSE) = "", "", VLOOKUP($A25, INDIRECT("'" &amp; 'Personalized Bill Menu'!$B$23 &amp; "'!" &amp;"$A$4:$CA$100"), VLOOKUP(VLOOKUP("RIDER RATE 8",'Misc. Data &amp; Mechanisms'!$P$601:$S$632,HLOOKUP('Personalized Bill Menu'!$B$23, 'Misc. Data &amp; Mechanisms'!$P$599:$S$600, 2, FALSE), FALSE), 'Misc. Data &amp; Mechanisms'!$L$599:$N$659, 2, FALSE), FALSE)), ""))</f>
        <v/>
      </c>
      <c r="AF25" s="69" t="str">
        <f ca="1">IF($A25="", "",IFERROR(IF(VLOOKUP($A25, INDIRECT("'" &amp; 'Personalized Bill Menu'!$B$23 &amp; "'!" &amp;"$A$4:$CA$100"), VLOOKUP(VLOOKUP("RIDER RATE 9",'Misc. Data &amp; Mechanisms'!$P$601:$S$632,HLOOKUP('Personalized Bill Menu'!$B$23, 'Misc. Data &amp; Mechanisms'!$P$599:$S$600, 2, FALSE), FALSE), 'Misc. Data &amp; Mechanisms'!$L$599:$N$659, 2, FALSE), FALSE) = "", "", VLOOKUP($A25, INDIRECT("'" &amp; 'Personalized Bill Menu'!$B$23 &amp; "'!" &amp;"$A$4:$CA$100"), VLOOKUP(VLOOKUP("RIDER RATE 9",'Misc. Data &amp; Mechanisms'!$P$601:$S$632,HLOOKUP('Personalized Bill Menu'!$B$23, 'Misc. Data &amp; Mechanisms'!$P$599:$S$600, 2, FALSE), FALSE), 'Misc. Data &amp; Mechanisms'!$L$599:$N$659, 2, FALSE), FALSE)), ""))</f>
        <v/>
      </c>
      <c r="AG25" s="72">
        <f ca="1">IF($A25="", "", IFERROR(IF('Personalized Bill Menu'!$B$23="ATCO-N", ($X25*$B25) +($Y25*$C25), IF('Personalized Bill Menu'!$B$23="ATCO-S",$X25*$C25, IF($Y25="", ($X25*$H25), ($Y25*($H25+$K25))))), 0))</f>
        <v>0</v>
      </c>
      <c r="AH25" s="72">
        <f ca="1">IF($A25="", "", IFERROR(IF('Personalized Bill Menu'!$B$23="ATCO-S", $Y25*$C25, $Z25*$C25), 0))</f>
        <v>0</v>
      </c>
      <c r="AI25" s="72">
        <f ca="1">IF($A25="", "", IFERROR(IF('Personalized Bill Menu'!$B$23="ATCO-S", ($AA25*$C25)+($Z25*$B25), $AA25*$C25), 0))</f>
        <v>0</v>
      </c>
      <c r="AJ25" s="72">
        <f ca="1">IF($A25="", "", IFERROR(IF('Personalized Bill Menu'!$B$23&lt;&gt;"AltaGas",$AB25*$C25,""),0))</f>
        <v>1.5900355257594372</v>
      </c>
      <c r="AK25" s="72">
        <f ca="1">IF($A25="", "", IFERROR(IF('Personalized Bill Menu'!$B$23="ATCO-S",$AC25*$C25,IF('Personalized Bill Menu'!$B$23="ATCO-N",$AC25*1,"")),0))</f>
        <v>0</v>
      </c>
      <c r="AL25" s="72">
        <f ca="1">IF($A25="", "", IFERROR(IF('Personalized Bill Menu'!$B$23="ATCO-N",$AD25*$B25,IF('Personalized Bill Menu'!$B$23="ATCO-S",$AD25*1,"")),0))</f>
        <v>0</v>
      </c>
      <c r="AM25" s="72">
        <f ca="1">IF($A25="", "", IFERROR(IF('Personalized Bill Menu'!$B$23="ATCO-S",$AE25*$B25,IF('Personalized Bill Menu'!$B$23="ATCO-N",$AE25*$B25,"")),0))</f>
        <v>0</v>
      </c>
      <c r="AN25" s="70">
        <f ca="1">IF($A25="", "", IFERROR(IF('Personalized Bill Menu'!$B$23="ATCO-S",$AF25*$B25,""),0))</f>
        <v>0</v>
      </c>
      <c r="AO25" s="69">
        <f>IF('Personalized Bill Menu'!$B$34="Natural Gas", 'Personalized Bill Menu'!$K22, IF('Personalized Bill Menu'!$B$34="Both",'Personalized Bill Menu'!$O22,""))</f>
        <v>0.223</v>
      </c>
      <c r="AP25" s="72">
        <f t="shared" si="13"/>
        <v>6.9130000000000003</v>
      </c>
      <c r="AQ25" s="89" t="str">
        <f ca="1">IF($A25="", "",IF(VLOOKUP($A25, INDIRECT("'" &amp; 'Personalized Bill Menu'!$B$23 &amp; "'!" &amp;"$A$4:$CA$100"), VLOOKUP(VLOOKUP(AQ$5,'Misc. Data &amp; Mechanisms'!$P$601:$S$632,HLOOKUP('Personalized Bill Menu'!$B$23, 'Misc. Data &amp; Mechanisms'!$P$599:$S$600, 2, FALSE), FALSE), 'Misc. Data &amp; Mechanisms'!$L$599:$N$659, 2, FALSE), FALSE) = "", "", VLOOKUP($A25, INDIRECT("'" &amp; 'Personalized Bill Menu'!$B$23 &amp; "'!" &amp;"$A$4:$CA$100"), VLOOKUP(VLOOKUP(AQ$5,'Misc. Data &amp; Mechanisms'!$P$601:$S$632,HLOOKUP('Personalized Bill Menu'!$B$23, 'Misc. Data &amp; Mechanisms'!$P$599:$S$600, 2, FALSE), FALSE), 'Misc. Data &amp; Mechanisms'!$L$599:$N$659, 2, FALSE), FALSE)))</f>
        <v/>
      </c>
      <c r="AR25" s="72">
        <f t="shared" ca="1" si="14"/>
        <v>0</v>
      </c>
      <c r="AS25" s="91">
        <f ca="1">IF($A25="", "",IF(VLOOKUP($A25, INDIRECT("'" &amp; 'Personalized Bill Menu'!$B$23 &amp; "'!" &amp;"$A$4:$CA$100"), VLOOKUP(VLOOKUP(AS$5,'Misc. Data &amp; Mechanisms'!$P$601:$S$632,HLOOKUP('Personalized Bill Menu'!$B$23, 'Misc. Data &amp; Mechanisms'!$P$599:$S$600, 2, FALSE), FALSE), 'Misc. Data &amp; Mechanisms'!$L$599:$N$659, 2, FALSE), FALSE) = "", "", VLOOKUP($A25, INDIRECT("'" &amp; 'Personalized Bill Menu'!$B$23 &amp; "'!" &amp;"$A$4:$CA$100"), VLOOKUP(VLOOKUP(AS$5,'Misc. Data &amp; Mechanisms'!$P$601:$S$632,HLOOKUP('Personalized Bill Menu'!$B$23, 'Misc. Data &amp; Mechanisms'!$P$599:$S$600, 2, FALSE), FALSE), 'Misc. Data &amp; Mechanisms'!$L$599:$N$659, 2, FALSE), FALSE)))</f>
        <v>0.05</v>
      </c>
      <c r="AT25" s="116"/>
      <c r="AU25" s="116"/>
      <c r="AV25" s="116"/>
      <c r="AW25" s="116"/>
      <c r="AX25" s="116"/>
    </row>
    <row r="26" spans="1:50" s="117" customFormat="1" x14ac:dyDescent="0.3">
      <c r="A26" s="83">
        <f>'Personalized Bill Menu'!$H23</f>
        <v>41487</v>
      </c>
      <c r="B26" s="84">
        <f t="shared" si="3"/>
        <v>31</v>
      </c>
      <c r="C26" s="85">
        <f>IF('Personalized Bill Menu'!$B$34="Natural Gas", 'Personalized Bill Menu'!$I23, IF('Personalized Bill Menu'!$B$34="Both",'Personalized Bill Menu'!$M23,""))</f>
        <v>2.6293565011386297</v>
      </c>
      <c r="D26" s="66">
        <f t="shared" ca="1" si="4"/>
        <v>17.156775903530267</v>
      </c>
      <c r="E26" s="66">
        <f ca="1">IF($C26="Not Applicable", "", IFERROR(IFERROR((1+$AS26)*IF('Personalized Bill Menu'!$B$23="ATCO-N", IF(OR('Personalized Bill Menu'!$B$21="Fort McMurray",AND('Personalized Bill Menu'!$B$21="Spruce Grove", $A26&lt;DATE(2019, 5, 1) )),(((1+IF($T26="",0,$T26))*($N26+$P26))+ (IF($U26="", 0, $U26)*$P26)+(1+IF($T26="",0,$T26)+IF($U26="", 0, $U26))*(SUM($Y26:$AB26))),($N26+((1+IF($T26="",0,$T26)+IF($U26="", 0, $U26))*$P26)+(1+IF($T26="",0,$T26)+IF($U26="", 0, $U26))*(SUM($Y26:$AB26)))), IF('Personalized Bill Menu'!$B$23="ATCO-S",IF(OR('Personalized Bill Menu'!$B$21="Calgary",AND('Personalized Bill Menu'!$B$21="Okotoks", $A26&lt;DATE(2019, 1, 1))),((1+IF($T26="",0,$T26))*($N26+$P26+SUM($X26:$Y26,$AA26:$AC26)))+(IF($U26="",0, $U26)*($P26+SUM($X26:$Y26,$AA26:$AC26))), ((1+IF($T26="",0,$T26))*($P26+SUM($Y26,$AA26:$AC26)))+(IF($U26="",0, $U26)*($P26+SUM($X26:$Y26,$AA26:$AC26)))+$N26+IF($X26="", 0, $X26)),IF(AND('Personalized Bill Menu'!$B$21="Athabasca", $A26&lt;DATE(2019, 5, 1)),((1+IF($T26="",0,$T26)+IF($U26="", 0, $U26))*($N26+((1+SUM($X26:$Y26))*$P26)+SUM($Z26:$AA26))),((1+IF($U26="", 0, $U26))*($N26+((1+SUM($X26:$Y26))*$P26)+SUM($Z26:$AA26))) + (IF($T26="",0,$T26)*(((1+SUM($X26:$Y26))*$P26)+SUM($Z26:$AA26)))))), "")+ IF($AQ26="", 0,((1+$AS26)*$AQ26)), ""))</f>
        <v>3.8324616749999998</v>
      </c>
      <c r="F26" s="118">
        <f t="shared" ca="1" si="5"/>
        <v>45.111280260525895</v>
      </c>
      <c r="G26" s="115">
        <f t="shared" si="0"/>
        <v>5.4006982533387449</v>
      </c>
      <c r="H26" s="66">
        <f t="shared" ca="1" si="1"/>
        <v>25.656437620300455</v>
      </c>
      <c r="I26" s="66">
        <f t="shared" ca="1" si="2"/>
        <v>3.6046879514033088</v>
      </c>
      <c r="J26" s="66">
        <f t="shared" ca="1" si="6"/>
        <v>1.3883002326011966</v>
      </c>
      <c r="K26" s="66">
        <f t="shared" si="7"/>
        <v>6.9130000000000003</v>
      </c>
      <c r="L26" s="66">
        <f t="shared" ca="1" si="8"/>
        <v>0</v>
      </c>
      <c r="M26" s="68">
        <f t="shared" ca="1" si="9"/>
        <v>2.1481562028821855</v>
      </c>
      <c r="N26" s="1290">
        <f>IF('Personalized Bill Menu'!$B$34="Natural Gas", 'Personalized Bill Menu'!$J23, IF('Personalized Bill Menu'!$B$34="Both",'Personalized Bill Menu'!$N23,""))</f>
        <v>2.0539999999999998</v>
      </c>
      <c r="O26" s="70">
        <f t="shared" si="10"/>
        <v>5.4006982533387449</v>
      </c>
      <c r="P26" s="89">
        <f ca="1">IF($A26="", "",IFERROR(IF(VLOOKUP($A26, INDIRECT("'" &amp; 'Personalized Bill Menu'!$B$23 &amp; "'!" &amp;"$A$4:$CA$100"), VLOOKUP(VLOOKUP(P$5,'Misc. Data &amp; Mechanisms'!$P$601:$S$632,HLOOKUP('Personalized Bill Menu'!$B$23, 'Misc. Data &amp; Mechanisms'!$P$599:$S$600, 2, FALSE), FALSE), 'Misc. Data &amp; Mechanisms'!$L$599:$N$659, 2, FALSE), FALSE) = "", "", VLOOKUP($A26, INDIRECT("'" &amp; 'Personalized Bill Menu'!$B$23 &amp; "'!" &amp;"$A$4:$CA$100"), VLOOKUP(VLOOKUP(P$5,'Misc. Data &amp; Mechanisms'!$P$601:$S$632,HLOOKUP('Personalized Bill Menu'!$B$23, 'Misc. Data &amp; Mechanisms'!$P$599:$S$600, 2, FALSE), FALSE), 'Misc. Data &amp; Mechanisms'!$L$599:$N$659, 2, FALSE), FALSE)), ""))</f>
        <v>0.70299999999999996</v>
      </c>
      <c r="Q26" s="69">
        <f ca="1">IF($A26="", "",IFERROR(IF(VLOOKUP($A26, INDIRECT("'" &amp; 'Personalized Bill Menu'!$B$23 &amp; "'!" &amp;"$A$4:$CA$100"), VLOOKUP(VLOOKUP(Q$5,'Misc. Data &amp; Mechanisms'!$P$601:$S$632,HLOOKUP('Personalized Bill Menu'!$B$23, 'Misc. Data &amp; Mechanisms'!$P$599:$S$600, 2, FALSE), FALSE), 'Misc. Data &amp; Mechanisms'!$L$599:$N$659, 2, FALSE), FALSE) = "", "", VLOOKUP($A26, INDIRECT("'" &amp; 'Personalized Bill Menu'!$B$23 &amp; "'!" &amp;"$A$4:$CA$100"), VLOOKUP(VLOOKUP(Q$5,'Misc. Data &amp; Mechanisms'!$P$601:$S$632,HLOOKUP('Personalized Bill Menu'!$B$23, 'Misc. Data &amp; Mechanisms'!$P$599:$S$600, 2, FALSE), FALSE), 'Misc. Data &amp; Mechanisms'!$L$599:$N$659, 2, FALSE), FALSE)), ""))</f>
        <v>0.76800000000000002</v>
      </c>
      <c r="R26" s="72">
        <f t="shared" ca="1" si="11"/>
        <v>1.8484376203004567</v>
      </c>
      <c r="S26" s="70">
        <f t="shared" ca="1" si="12"/>
        <v>23.808</v>
      </c>
      <c r="T26" s="78">
        <f>IFERROR(IF(VLOOKUP($A26,'Misc. Data &amp; Mechanisms'!$A$63:$DY$152,HLOOKUP('Personalized Bill Menu'!$B$21&amp;"_"&amp;'Personalized Bill Menu'!$B$23&amp;"_NG_Y_1",'Misc. Data &amp; Mechanisms'!$A$55:$DY$62,8,FALSE), FALSE)="", "", VLOOKUP($A26,'Misc. Data &amp; Mechanisms'!$A$63:$DY$152,HLOOKUP('Personalized Bill Menu'!$B$21&amp;"_"&amp;'Personalized Bill Menu'!$B$23&amp;"_NG_Y_1",'Misc. Data &amp; Mechanisms'!$A$55:$DY$62,8,FALSE), FALSE)), "")</f>
        <v>0.1111</v>
      </c>
      <c r="U26" s="78" t="str">
        <f>IFERROR(IF(VLOOKUP($A26,'Misc. Data &amp; Mechanisms'!$A$63:$DY$152,HLOOKUP('Personalized Bill Menu'!$B$21&amp;"_"&amp;'Personalized Bill Menu'!$B$23&amp;"_NG_Y_2",'Misc. Data &amp; Mechanisms'!$A$55:$DY$62,8,FALSE), FALSE)="", "",VLOOKUP($A26,'Misc. Data &amp; Mechanisms'!$A$63:$DY$152,HLOOKUP('Personalized Bill Menu'!$B$21&amp;"_"&amp;'Personalized Bill Menu'!$B$23&amp;"_NG_Y_2",'Misc. Data &amp; Mechanisms'!$A$55:$DY$62,8,FALSE), FALSE)), "")</f>
        <v/>
      </c>
      <c r="V26" s="72">
        <f ca="1">IF($A26="", "", IFERROR(IF('Personalized Bill Menu'!$B$23="ATCO-N", IF(OR('Personalized Bill Menu'!$B$21="Fort McMurray",AND('Personalized Bill Menu'!$B$21="Spruce Grove", $A26&lt;DATE(2019, 5, 1))),$T26*($G26+$H26+$J26),$T26*($H26+$J26)), IF('Personalized Bill Menu'!$B$23="ATCO-S",IF(OR('Personalized Bill Menu'!$B$21="Calgary",AND('Personalized Bill Menu'!$B$21="Okotoks", $A26&lt;DATE(2019, 1, 1))),$T26*($G26+$H26+$J26), $T26*($H26+$J26-$AG26)),IF(AND('Personalized Bill Menu'!$B$21="Athabasca", $A26&lt;DATE(2019, 5, 1)),$T26*($G26+$H26+$J26+$K26),$T26*($H26+$J26+$K26)))),0))</f>
        <v>3.6046879514033088</v>
      </c>
      <c r="W26" s="72">
        <f ca="1">IF($A26="", "", IFERROR(IF('Personalized Bill Menu'!$B$23="ATCO-N", $U26*($H26+$J26), IF('Personalized Bill Menu'!$B$23="ATCO-S",$U26*($H26+$J26),$U26*($G26+$H26+$J26+$K26))),0))</f>
        <v>0</v>
      </c>
      <c r="X26" s="89" t="str">
        <f ca="1">IF($A26="", "",IFERROR(IF(VLOOKUP($A26, INDIRECT("'" &amp; 'Personalized Bill Menu'!$B$23 &amp; "'!" &amp;"$A$4:$CA$100"), VLOOKUP(VLOOKUP("RIDER RATE 1",'Misc. Data &amp; Mechanisms'!$P$601:$S$632,HLOOKUP('Personalized Bill Menu'!$B$23, 'Misc. Data &amp; Mechanisms'!$P$599:$S$600, 2, FALSE), FALSE), 'Misc. Data &amp; Mechanisms'!$L$599:$N$659, 2, FALSE), FALSE) = "", "", VLOOKUP($A26, INDIRECT("'" &amp; 'Personalized Bill Menu'!$B$23 &amp; "'!" &amp;"$A$4:$CA$100"), VLOOKUP(VLOOKUP("RIDER RATE 1",'Misc. Data &amp; Mechanisms'!$P$601:$S$632,HLOOKUP('Personalized Bill Menu'!$B$23, 'Misc. Data &amp; Mechanisms'!$P$599:$S$600, 2, FALSE), FALSE), 'Misc. Data &amp; Mechanisms'!$L$599:$N$659, 2, FALSE), FALSE)), ""))</f>
        <v/>
      </c>
      <c r="Y26" s="69" t="str">
        <f ca="1">IF($A26="", "",IFERROR(IF(VLOOKUP($A26, INDIRECT("'" &amp; 'Personalized Bill Menu'!$B$23 &amp; "'!" &amp;"$A$4:$CA$100"), VLOOKUP(VLOOKUP("RIDER RATE 2",'Misc. Data &amp; Mechanisms'!$P$601:$S$632,HLOOKUP('Personalized Bill Menu'!$B$23, 'Misc. Data &amp; Mechanisms'!$P$599:$S$600, 2, FALSE), FALSE), 'Misc. Data &amp; Mechanisms'!$L$599:$N$659, 2, FALSE), FALSE) = "", "", VLOOKUP($A26, INDIRECT("'" &amp; 'Personalized Bill Menu'!$B$23 &amp; "'!" &amp;"$A$4:$CA$100"), VLOOKUP(VLOOKUP("RIDER RATE 2",'Misc. Data &amp; Mechanisms'!$P$601:$S$632,HLOOKUP('Personalized Bill Menu'!$B$23, 'Misc. Data &amp; Mechanisms'!$P$599:$S$600, 2, FALSE), FALSE), 'Misc. Data &amp; Mechanisms'!$L$599:$N$659, 2, FALSE), FALSE)), ""))</f>
        <v/>
      </c>
      <c r="Z26" s="69" t="str">
        <f ca="1">IF($A26="", "",IFERROR(IF(VLOOKUP($A26, INDIRECT("'" &amp; 'Personalized Bill Menu'!$B$23 &amp; "'!" &amp;"$A$4:$CA$100"), VLOOKUP(VLOOKUP("RIDER RATE 3",'Misc. Data &amp; Mechanisms'!$P$601:$S$632,HLOOKUP('Personalized Bill Menu'!$B$23, 'Misc. Data &amp; Mechanisms'!$P$599:$S$600, 2, FALSE), FALSE), 'Misc. Data &amp; Mechanisms'!$L$599:$N$659, 2, FALSE), FALSE) = "", "", VLOOKUP($A26, INDIRECT("'" &amp; 'Personalized Bill Menu'!$B$23 &amp; "'!" &amp;"$A$4:$CA$100"), VLOOKUP(VLOOKUP("RIDER RATE 3",'Misc. Data &amp; Mechanisms'!$P$601:$S$632,HLOOKUP('Personalized Bill Menu'!$B$23, 'Misc. Data &amp; Mechanisms'!$P$599:$S$600, 2, FALSE), FALSE), 'Misc. Data &amp; Mechanisms'!$L$599:$N$659, 2, FALSE), FALSE)), ""))</f>
        <v/>
      </c>
      <c r="AA26" s="69" t="str">
        <f ca="1">IF($A26="", "",IFERROR(IF(VLOOKUP($A26, INDIRECT("'" &amp; 'Personalized Bill Menu'!$B$23 &amp; "'!" &amp;"$A$4:$CA$100"), VLOOKUP(VLOOKUP("RIDER RATE 4",'Misc. Data &amp; Mechanisms'!$P$601:$S$632,HLOOKUP('Personalized Bill Menu'!$B$23, 'Misc. Data &amp; Mechanisms'!$P$599:$S$600, 2, FALSE), FALSE), 'Misc. Data &amp; Mechanisms'!$L$599:$N$659, 2, FALSE), FALSE) = "", "", VLOOKUP($A26, INDIRECT("'" &amp; 'Personalized Bill Menu'!$B$23 &amp; "'!" &amp;"$A$4:$CA$100"), VLOOKUP(VLOOKUP("RIDER RATE 4",'Misc. Data &amp; Mechanisms'!$P$601:$S$632,HLOOKUP('Personalized Bill Menu'!$B$23, 'Misc. Data &amp; Mechanisms'!$P$599:$S$600, 2, FALSE), FALSE), 'Misc. Data &amp; Mechanisms'!$L$599:$N$659, 2, FALSE), FALSE)), ""))</f>
        <v/>
      </c>
      <c r="AB26" s="69">
        <f ca="1">IF($A26="", "",IFERROR(IF(VLOOKUP($A26, INDIRECT("'" &amp; 'Personalized Bill Menu'!$B$23 &amp; "'!" &amp;"$A$4:$CA$100"), VLOOKUP(VLOOKUP("RIDER RATE 5",'Misc. Data &amp; Mechanisms'!$P$601:$S$632,HLOOKUP('Personalized Bill Menu'!$B$23, 'Misc. Data &amp; Mechanisms'!$P$599:$S$600, 2, FALSE), FALSE), 'Misc. Data &amp; Mechanisms'!$L$599:$N$659, 2, FALSE), FALSE) = "", "", VLOOKUP($A26, INDIRECT("'" &amp; 'Personalized Bill Menu'!$B$23 &amp; "'!" &amp;"$A$4:$CA$100"), VLOOKUP(VLOOKUP("RIDER RATE 5",'Misc. Data &amp; Mechanisms'!$P$601:$S$632,HLOOKUP('Personalized Bill Menu'!$B$23, 'Misc. Data &amp; Mechanisms'!$P$599:$S$600, 2, FALSE), FALSE), 'Misc. Data &amp; Mechanisms'!$L$599:$N$659, 2, FALSE), FALSE)), ""))</f>
        <v>0.52800000000000002</v>
      </c>
      <c r="AC26" s="69" t="str">
        <f ca="1">IF($A26="", "",IFERROR(IF(VLOOKUP($A26, INDIRECT("'" &amp; 'Personalized Bill Menu'!$B$23 &amp; "'!" &amp;"$A$4:$CA$100"), VLOOKUP(VLOOKUP("RIDER RATE 6",'Misc. Data &amp; Mechanisms'!$P$601:$S$632,HLOOKUP('Personalized Bill Menu'!$B$23, 'Misc. Data &amp; Mechanisms'!$P$599:$S$600, 2, FALSE), FALSE), 'Misc. Data &amp; Mechanisms'!$L$599:$N$659, 2, FALSE), FALSE) = "", "", VLOOKUP($A26, INDIRECT("'" &amp; 'Personalized Bill Menu'!$B$23 &amp; "'!" &amp;"$A$4:$CA$100"), VLOOKUP(VLOOKUP("RIDER RATE 6",'Misc. Data &amp; Mechanisms'!$P$601:$S$632,HLOOKUP('Personalized Bill Menu'!$B$23, 'Misc. Data &amp; Mechanisms'!$P$599:$S$600, 2, FALSE), FALSE), 'Misc. Data &amp; Mechanisms'!$L$599:$N$659, 2, FALSE), FALSE)), ""))</f>
        <v/>
      </c>
      <c r="AD26" s="69" t="str">
        <f ca="1">IF($A26="", "",IFERROR(IF(VLOOKUP($A26, INDIRECT("'" &amp; 'Personalized Bill Menu'!$B$23 &amp; "'!" &amp;"$A$4:$CA$100"), VLOOKUP(VLOOKUP("RIDER RATE 7",'Misc. Data &amp; Mechanisms'!$P$601:$S$632,HLOOKUP('Personalized Bill Menu'!$B$23, 'Misc. Data &amp; Mechanisms'!$P$599:$S$600, 2, FALSE), FALSE), 'Misc. Data &amp; Mechanisms'!$L$599:$N$659, 2, FALSE), FALSE) = "", "", VLOOKUP($A26, INDIRECT("'" &amp; 'Personalized Bill Menu'!$B$23 &amp; "'!" &amp;"$A$4:$CA$100"), VLOOKUP(VLOOKUP("RIDER RATE 7",'Misc. Data &amp; Mechanisms'!$P$601:$S$632,HLOOKUP('Personalized Bill Menu'!$B$23, 'Misc. Data &amp; Mechanisms'!$P$599:$S$600, 2, FALSE), FALSE), 'Misc. Data &amp; Mechanisms'!$L$599:$N$659, 2, FALSE), FALSE)), ""))</f>
        <v/>
      </c>
      <c r="AE26" s="69" t="str">
        <f ca="1">IF($A26="", "",IFERROR(IF(VLOOKUP($A26, INDIRECT("'" &amp; 'Personalized Bill Menu'!$B$23 &amp; "'!" &amp;"$A$4:$CA$100"), VLOOKUP(VLOOKUP("RIDER RATE 8",'Misc. Data &amp; Mechanisms'!$P$601:$S$632,HLOOKUP('Personalized Bill Menu'!$B$23, 'Misc. Data &amp; Mechanisms'!$P$599:$S$600, 2, FALSE), FALSE), 'Misc. Data &amp; Mechanisms'!$L$599:$N$659, 2, FALSE), FALSE) = "", "", VLOOKUP($A26, INDIRECT("'" &amp; 'Personalized Bill Menu'!$B$23 &amp; "'!" &amp;"$A$4:$CA$100"), VLOOKUP(VLOOKUP("RIDER RATE 8",'Misc. Data &amp; Mechanisms'!$P$601:$S$632,HLOOKUP('Personalized Bill Menu'!$B$23, 'Misc. Data &amp; Mechanisms'!$P$599:$S$600, 2, FALSE), FALSE), 'Misc. Data &amp; Mechanisms'!$L$599:$N$659, 2, FALSE), FALSE)), ""))</f>
        <v/>
      </c>
      <c r="AF26" s="69" t="str">
        <f ca="1">IF($A26="", "",IFERROR(IF(VLOOKUP($A26, INDIRECT("'" &amp; 'Personalized Bill Menu'!$B$23 &amp; "'!" &amp;"$A$4:$CA$100"), VLOOKUP(VLOOKUP("RIDER RATE 9",'Misc. Data &amp; Mechanisms'!$P$601:$S$632,HLOOKUP('Personalized Bill Menu'!$B$23, 'Misc. Data &amp; Mechanisms'!$P$599:$S$600, 2, FALSE), FALSE), 'Misc. Data &amp; Mechanisms'!$L$599:$N$659, 2, FALSE), FALSE) = "", "", VLOOKUP($A26, INDIRECT("'" &amp; 'Personalized Bill Menu'!$B$23 &amp; "'!" &amp;"$A$4:$CA$100"), VLOOKUP(VLOOKUP("RIDER RATE 9",'Misc. Data &amp; Mechanisms'!$P$601:$S$632,HLOOKUP('Personalized Bill Menu'!$B$23, 'Misc. Data &amp; Mechanisms'!$P$599:$S$600, 2, FALSE), FALSE), 'Misc. Data &amp; Mechanisms'!$L$599:$N$659, 2, FALSE), FALSE)), ""))</f>
        <v/>
      </c>
      <c r="AG26" s="72">
        <f ca="1">IF($A26="", "", IFERROR(IF('Personalized Bill Menu'!$B$23="ATCO-N", ($X26*$B26) +($Y26*$C26), IF('Personalized Bill Menu'!$B$23="ATCO-S",$X26*$C26, IF($Y26="", ($X26*$H26), ($Y26*($H26+$K26))))), 0))</f>
        <v>0</v>
      </c>
      <c r="AH26" s="72">
        <f ca="1">IF($A26="", "", IFERROR(IF('Personalized Bill Menu'!$B$23="ATCO-S", $Y26*$C26, $Z26*$C26), 0))</f>
        <v>0</v>
      </c>
      <c r="AI26" s="72">
        <f ca="1">IF($A26="", "", IFERROR(IF('Personalized Bill Menu'!$B$23="ATCO-S", ($AA26*$C26)+($Z26*$B26), $AA26*$C26), 0))</f>
        <v>0</v>
      </c>
      <c r="AJ26" s="72">
        <f ca="1">IF($A26="", "", IFERROR(IF('Personalized Bill Menu'!$B$23&lt;&gt;"AltaGas",$AB26*$C26,""),0))</f>
        <v>1.3883002326011966</v>
      </c>
      <c r="AK26" s="72">
        <f ca="1">IF($A26="", "", IFERROR(IF('Personalized Bill Menu'!$B$23="ATCO-S",$AC26*$C26,IF('Personalized Bill Menu'!$B$23="ATCO-N",$AC26*1,"")),0))</f>
        <v>0</v>
      </c>
      <c r="AL26" s="72">
        <f ca="1">IF($A26="", "", IFERROR(IF('Personalized Bill Menu'!$B$23="ATCO-N",$AD26*$B26,IF('Personalized Bill Menu'!$B$23="ATCO-S",$AD26*1,"")),0))</f>
        <v>0</v>
      </c>
      <c r="AM26" s="72">
        <f ca="1">IF($A26="", "", IFERROR(IF('Personalized Bill Menu'!$B$23="ATCO-S",$AE26*$B26,IF('Personalized Bill Menu'!$B$23="ATCO-N",$AE26*$B26,"")),0))</f>
        <v>0</v>
      </c>
      <c r="AN26" s="70">
        <f ca="1">IF($A26="", "", IFERROR(IF('Personalized Bill Menu'!$B$23="ATCO-S",$AF26*$B26,""),0))</f>
        <v>0</v>
      </c>
      <c r="AO26" s="69">
        <f>IF('Personalized Bill Menu'!$B$34="Natural Gas", 'Personalized Bill Menu'!$K23, IF('Personalized Bill Menu'!$B$34="Both",'Personalized Bill Menu'!$O23,""))</f>
        <v>0.223</v>
      </c>
      <c r="AP26" s="72">
        <f t="shared" si="13"/>
        <v>6.9130000000000003</v>
      </c>
      <c r="AQ26" s="89" t="str">
        <f ca="1">IF($A26="", "",IF(VLOOKUP($A26, INDIRECT("'" &amp; 'Personalized Bill Menu'!$B$23 &amp; "'!" &amp;"$A$4:$CA$100"), VLOOKUP(VLOOKUP(AQ$5,'Misc. Data &amp; Mechanisms'!$P$601:$S$632,HLOOKUP('Personalized Bill Menu'!$B$23, 'Misc. Data &amp; Mechanisms'!$P$599:$S$600, 2, FALSE), FALSE), 'Misc. Data &amp; Mechanisms'!$L$599:$N$659, 2, FALSE), FALSE) = "", "", VLOOKUP($A26, INDIRECT("'" &amp; 'Personalized Bill Menu'!$B$23 &amp; "'!" &amp;"$A$4:$CA$100"), VLOOKUP(VLOOKUP(AQ$5,'Misc. Data &amp; Mechanisms'!$P$601:$S$632,HLOOKUP('Personalized Bill Menu'!$B$23, 'Misc. Data &amp; Mechanisms'!$P$599:$S$600, 2, FALSE), FALSE), 'Misc. Data &amp; Mechanisms'!$L$599:$N$659, 2, FALSE), FALSE)))</f>
        <v/>
      </c>
      <c r="AR26" s="72">
        <f t="shared" ca="1" si="14"/>
        <v>0</v>
      </c>
      <c r="AS26" s="91">
        <f ca="1">IF($A26="", "",IF(VLOOKUP($A26, INDIRECT("'" &amp; 'Personalized Bill Menu'!$B$23 &amp; "'!" &amp;"$A$4:$CA$100"), VLOOKUP(VLOOKUP(AS$5,'Misc. Data &amp; Mechanisms'!$P$601:$S$632,HLOOKUP('Personalized Bill Menu'!$B$23, 'Misc. Data &amp; Mechanisms'!$P$599:$S$600, 2, FALSE), FALSE), 'Misc. Data &amp; Mechanisms'!$L$599:$N$659, 2, FALSE), FALSE) = "", "", VLOOKUP($A26, INDIRECT("'" &amp; 'Personalized Bill Menu'!$B$23 &amp; "'!" &amp;"$A$4:$CA$100"), VLOOKUP(VLOOKUP(AS$5,'Misc. Data &amp; Mechanisms'!$P$601:$S$632,HLOOKUP('Personalized Bill Menu'!$B$23, 'Misc. Data &amp; Mechanisms'!$P$599:$S$600, 2, FALSE), FALSE), 'Misc. Data &amp; Mechanisms'!$L$599:$N$659, 2, FALSE), FALSE)))</f>
        <v>0.05</v>
      </c>
      <c r="AT26" s="116"/>
      <c r="AU26" s="116"/>
      <c r="AV26" s="116"/>
      <c r="AW26" s="116"/>
      <c r="AX26" s="116"/>
    </row>
    <row r="27" spans="1:50" s="117" customFormat="1" x14ac:dyDescent="0.3">
      <c r="A27" s="83">
        <f>'Personalized Bill Menu'!$H24</f>
        <v>41518</v>
      </c>
      <c r="B27" s="84">
        <f t="shared" si="3"/>
        <v>30</v>
      </c>
      <c r="C27" s="85">
        <f>IF('Personalized Bill Menu'!$B$34="Natural Gas", 'Personalized Bill Menu'!$I24, IF('Personalized Bill Menu'!$B$34="Both",'Personalized Bill Menu'!$M24,""))</f>
        <v>4.5340172280842532</v>
      </c>
      <c r="D27" s="66">
        <f t="shared" ca="1" si="4"/>
        <v>11.8853690330424</v>
      </c>
      <c r="E27" s="66">
        <f ca="1">IF($C27="Not Applicable", "", IFERROR(IFERROR((1+$AS27)*IF('Personalized Bill Menu'!$B$23="ATCO-N", IF(OR('Personalized Bill Menu'!$B$21="Fort McMurray",AND('Personalized Bill Menu'!$B$21="Spruce Grove", $A27&lt;DATE(2019, 5, 1) )),(((1+IF($T27="",0,$T27))*($N27+$P27))+ (IF($U27="", 0, $U27)*$P27)+(1+IF($T27="",0,$T27)+IF($U27="", 0, $U27))*(SUM($Y27:$AB27))),($N27+((1+IF($T27="",0,$T27)+IF($U27="", 0, $U27))*$P27)+(1+IF($T27="",0,$T27)+IF($U27="", 0, $U27))*(SUM($Y27:$AB27)))), IF('Personalized Bill Menu'!$B$23="ATCO-S",IF(OR('Personalized Bill Menu'!$B$21="Calgary",AND('Personalized Bill Menu'!$B$21="Okotoks", $A27&lt;DATE(2019, 1, 1))),((1+IF($T27="",0,$T27))*($N27+$P27+SUM($X27:$Y27,$AA27:$AC27)))+(IF($U27="",0, $U27)*($P27+SUM($X27:$Y27,$AA27:$AC27))), ((1+IF($T27="",0,$T27))*($P27+SUM($Y27,$AA27:$AC27)))+(IF($U27="",0, $U27)*($P27+SUM($X27:$Y27,$AA27:$AC27)))+$N27+IF($X27="", 0, $X27)),IF(AND('Personalized Bill Menu'!$B$21="Athabasca", $A27&lt;DATE(2019, 5, 1)),((1+IF($T27="",0,$T27)+IF($U27="", 0, $U27))*($N27+((1+SUM($X27:$Y27))*$P27)+SUM($Z27:$AA27))),((1+IF($U27="", 0, $U27))*($N27+((1+SUM($X27:$Y27))*$P27)+SUM($Z27:$AA27))) + (IF($T27="",0,$T27)*(((1+SUM($X27:$Y27))*$P27)+SUM($Z27:$AA27)))))), "")+ IF($AQ27="", 0,((1+$AS27)*$AQ27)), ""))</f>
        <v>4.4076225900000008</v>
      </c>
      <c r="F27" s="118">
        <f t="shared" ca="1" si="5"/>
        <v>53.888467957953324</v>
      </c>
      <c r="G27" s="115">
        <f t="shared" si="0"/>
        <v>11.548141879930593</v>
      </c>
      <c r="H27" s="66">
        <f t="shared" ca="1" si="1"/>
        <v>26.227414111343229</v>
      </c>
      <c r="I27" s="66">
        <f t="shared" ca="1" si="2"/>
        <v>4.4628333484437261</v>
      </c>
      <c r="J27" s="66">
        <f t="shared" ca="1" si="6"/>
        <v>2.3939610964284856</v>
      </c>
      <c r="K27" s="66">
        <f t="shared" si="7"/>
        <v>6.69</v>
      </c>
      <c r="L27" s="66">
        <f t="shared" ca="1" si="8"/>
        <v>0</v>
      </c>
      <c r="M27" s="68">
        <f t="shared" ca="1" si="9"/>
        <v>2.5661175218073016</v>
      </c>
      <c r="N27" s="1290">
        <f>IF('Personalized Bill Menu'!$B$34="Natural Gas", 'Personalized Bill Menu'!$J24, IF('Personalized Bill Menu'!$B$34="Both",'Personalized Bill Menu'!$N24,""))</f>
        <v>2.5470000000000002</v>
      </c>
      <c r="O27" s="70">
        <f t="shared" si="10"/>
        <v>11.548141879930593</v>
      </c>
      <c r="P27" s="89">
        <f ca="1">IF($A27="", "",IFERROR(IF(VLOOKUP($A27, INDIRECT("'" &amp; 'Personalized Bill Menu'!$B$23 &amp; "'!" &amp;"$A$4:$CA$100"), VLOOKUP(VLOOKUP(P$5,'Misc. Data &amp; Mechanisms'!$P$601:$S$632,HLOOKUP('Personalized Bill Menu'!$B$23, 'Misc. Data &amp; Mechanisms'!$P$599:$S$600, 2, FALSE), FALSE), 'Misc. Data &amp; Mechanisms'!$L$599:$N$659, 2, FALSE), FALSE) = "", "", VLOOKUP($A27, INDIRECT("'" &amp; 'Personalized Bill Menu'!$B$23 &amp; "'!" &amp;"$A$4:$CA$100"), VLOOKUP(VLOOKUP(P$5,'Misc. Data &amp; Mechanisms'!$P$601:$S$632,HLOOKUP('Personalized Bill Menu'!$B$23, 'Misc. Data &amp; Mechanisms'!$P$599:$S$600, 2, FALSE), FALSE), 'Misc. Data &amp; Mechanisms'!$L$599:$N$659, 2, FALSE), FALSE)), ""))</f>
        <v>0.70299999999999996</v>
      </c>
      <c r="Q27" s="69">
        <f ca="1">IF($A27="", "",IFERROR(IF(VLOOKUP($A27, INDIRECT("'" &amp; 'Personalized Bill Menu'!$B$23 &amp; "'!" &amp;"$A$4:$CA$100"), VLOOKUP(VLOOKUP(Q$5,'Misc. Data &amp; Mechanisms'!$P$601:$S$632,HLOOKUP('Personalized Bill Menu'!$B$23, 'Misc. Data &amp; Mechanisms'!$P$599:$S$600, 2, FALSE), FALSE), 'Misc. Data &amp; Mechanisms'!$L$599:$N$659, 2, FALSE), FALSE) = "", "", VLOOKUP($A27, INDIRECT("'" &amp; 'Personalized Bill Menu'!$B$23 &amp; "'!" &amp;"$A$4:$CA$100"), VLOOKUP(VLOOKUP(Q$5,'Misc. Data &amp; Mechanisms'!$P$601:$S$632,HLOOKUP('Personalized Bill Menu'!$B$23, 'Misc. Data &amp; Mechanisms'!$P$599:$S$600, 2, FALSE), FALSE), 'Misc. Data &amp; Mechanisms'!$L$599:$N$659, 2, FALSE), FALSE)), ""))</f>
        <v>0.76800000000000002</v>
      </c>
      <c r="R27" s="72">
        <f t="shared" ca="1" si="11"/>
        <v>3.1874141113432297</v>
      </c>
      <c r="S27" s="70">
        <f t="shared" ca="1" si="12"/>
        <v>23.04</v>
      </c>
      <c r="T27" s="78">
        <f>IFERROR(IF(VLOOKUP($A27,'Misc. Data &amp; Mechanisms'!$A$63:$DY$152,HLOOKUP('Personalized Bill Menu'!$B$21&amp;"_"&amp;'Personalized Bill Menu'!$B$23&amp;"_NG_Y_1",'Misc. Data &amp; Mechanisms'!$A$55:$DY$62,8,FALSE), FALSE)="", "", VLOOKUP($A27,'Misc. Data &amp; Mechanisms'!$A$63:$DY$152,HLOOKUP('Personalized Bill Menu'!$B$21&amp;"_"&amp;'Personalized Bill Menu'!$B$23&amp;"_NG_Y_1",'Misc. Data &amp; Mechanisms'!$A$55:$DY$62,8,FALSE), FALSE)), "")</f>
        <v>0.1111</v>
      </c>
      <c r="U27" s="78" t="str">
        <f>IFERROR(IF(VLOOKUP($A27,'Misc. Data &amp; Mechanisms'!$A$63:$DY$152,HLOOKUP('Personalized Bill Menu'!$B$21&amp;"_"&amp;'Personalized Bill Menu'!$B$23&amp;"_NG_Y_2",'Misc. Data &amp; Mechanisms'!$A$55:$DY$62,8,FALSE), FALSE)="", "",VLOOKUP($A27,'Misc. Data &amp; Mechanisms'!$A$63:$DY$152,HLOOKUP('Personalized Bill Menu'!$B$21&amp;"_"&amp;'Personalized Bill Menu'!$B$23&amp;"_NG_Y_2",'Misc. Data &amp; Mechanisms'!$A$55:$DY$62,8,FALSE), FALSE)), "")</f>
        <v/>
      </c>
      <c r="V27" s="72">
        <f ca="1">IF($A27="", "", IFERROR(IF('Personalized Bill Menu'!$B$23="ATCO-N", IF(OR('Personalized Bill Menu'!$B$21="Fort McMurray",AND('Personalized Bill Menu'!$B$21="Spruce Grove", $A27&lt;DATE(2019, 5, 1))),$T27*($G27+$H27+$J27),$T27*($H27+$J27)), IF('Personalized Bill Menu'!$B$23="ATCO-S",IF(OR('Personalized Bill Menu'!$B$21="Calgary",AND('Personalized Bill Menu'!$B$21="Okotoks", $A27&lt;DATE(2019, 1, 1))),$T27*($G27+$H27+$J27), $T27*($H27+$J27-$AG27)),IF(AND('Personalized Bill Menu'!$B$21="Athabasca", $A27&lt;DATE(2019, 5, 1)),$T27*($G27+$H27+$J27+$K27),$T27*($H27+$J27+$K27)))),0))</f>
        <v>4.4628333484437261</v>
      </c>
      <c r="W27" s="72">
        <f ca="1">IF($A27="", "", IFERROR(IF('Personalized Bill Menu'!$B$23="ATCO-N", $U27*($H27+$J27), IF('Personalized Bill Menu'!$B$23="ATCO-S",$U27*($H27+$J27),$U27*($G27+$H27+$J27+$K27))),0))</f>
        <v>0</v>
      </c>
      <c r="X27" s="89" t="str">
        <f ca="1">IF($A27="", "",IFERROR(IF(VLOOKUP($A27, INDIRECT("'" &amp; 'Personalized Bill Menu'!$B$23 &amp; "'!" &amp;"$A$4:$CA$100"), VLOOKUP(VLOOKUP("RIDER RATE 1",'Misc. Data &amp; Mechanisms'!$P$601:$S$632,HLOOKUP('Personalized Bill Menu'!$B$23, 'Misc. Data &amp; Mechanisms'!$P$599:$S$600, 2, FALSE), FALSE), 'Misc. Data &amp; Mechanisms'!$L$599:$N$659, 2, FALSE), FALSE) = "", "", VLOOKUP($A27, INDIRECT("'" &amp; 'Personalized Bill Menu'!$B$23 &amp; "'!" &amp;"$A$4:$CA$100"), VLOOKUP(VLOOKUP("RIDER RATE 1",'Misc. Data &amp; Mechanisms'!$P$601:$S$632,HLOOKUP('Personalized Bill Menu'!$B$23, 'Misc. Data &amp; Mechanisms'!$P$599:$S$600, 2, FALSE), FALSE), 'Misc. Data &amp; Mechanisms'!$L$599:$N$659, 2, FALSE), FALSE)), ""))</f>
        <v/>
      </c>
      <c r="Y27" s="69" t="str">
        <f ca="1">IF($A27="", "",IFERROR(IF(VLOOKUP($A27, INDIRECT("'" &amp; 'Personalized Bill Menu'!$B$23 &amp; "'!" &amp;"$A$4:$CA$100"), VLOOKUP(VLOOKUP("RIDER RATE 2",'Misc. Data &amp; Mechanisms'!$P$601:$S$632,HLOOKUP('Personalized Bill Menu'!$B$23, 'Misc. Data &amp; Mechanisms'!$P$599:$S$600, 2, FALSE), FALSE), 'Misc. Data &amp; Mechanisms'!$L$599:$N$659, 2, FALSE), FALSE) = "", "", VLOOKUP($A27, INDIRECT("'" &amp; 'Personalized Bill Menu'!$B$23 &amp; "'!" &amp;"$A$4:$CA$100"), VLOOKUP(VLOOKUP("RIDER RATE 2",'Misc. Data &amp; Mechanisms'!$P$601:$S$632,HLOOKUP('Personalized Bill Menu'!$B$23, 'Misc. Data &amp; Mechanisms'!$P$599:$S$600, 2, FALSE), FALSE), 'Misc. Data &amp; Mechanisms'!$L$599:$N$659, 2, FALSE), FALSE)), ""))</f>
        <v/>
      </c>
      <c r="Z27" s="69" t="str">
        <f ca="1">IF($A27="", "",IFERROR(IF(VLOOKUP($A27, INDIRECT("'" &amp; 'Personalized Bill Menu'!$B$23 &amp; "'!" &amp;"$A$4:$CA$100"), VLOOKUP(VLOOKUP("RIDER RATE 3",'Misc. Data &amp; Mechanisms'!$P$601:$S$632,HLOOKUP('Personalized Bill Menu'!$B$23, 'Misc. Data &amp; Mechanisms'!$P$599:$S$600, 2, FALSE), FALSE), 'Misc. Data &amp; Mechanisms'!$L$599:$N$659, 2, FALSE), FALSE) = "", "", VLOOKUP($A27, INDIRECT("'" &amp; 'Personalized Bill Menu'!$B$23 &amp; "'!" &amp;"$A$4:$CA$100"), VLOOKUP(VLOOKUP("RIDER RATE 3",'Misc. Data &amp; Mechanisms'!$P$601:$S$632,HLOOKUP('Personalized Bill Menu'!$B$23, 'Misc. Data &amp; Mechanisms'!$P$599:$S$600, 2, FALSE), FALSE), 'Misc. Data &amp; Mechanisms'!$L$599:$N$659, 2, FALSE), FALSE)), ""))</f>
        <v/>
      </c>
      <c r="AA27" s="69" t="str">
        <f ca="1">IF($A27="", "",IFERROR(IF(VLOOKUP($A27, INDIRECT("'" &amp; 'Personalized Bill Menu'!$B$23 &amp; "'!" &amp;"$A$4:$CA$100"), VLOOKUP(VLOOKUP("RIDER RATE 4",'Misc. Data &amp; Mechanisms'!$P$601:$S$632,HLOOKUP('Personalized Bill Menu'!$B$23, 'Misc. Data &amp; Mechanisms'!$P$599:$S$600, 2, FALSE), FALSE), 'Misc. Data &amp; Mechanisms'!$L$599:$N$659, 2, FALSE), FALSE) = "", "", VLOOKUP($A27, INDIRECT("'" &amp; 'Personalized Bill Menu'!$B$23 &amp; "'!" &amp;"$A$4:$CA$100"), VLOOKUP(VLOOKUP("RIDER RATE 4",'Misc. Data &amp; Mechanisms'!$P$601:$S$632,HLOOKUP('Personalized Bill Menu'!$B$23, 'Misc. Data &amp; Mechanisms'!$P$599:$S$600, 2, FALSE), FALSE), 'Misc. Data &amp; Mechanisms'!$L$599:$N$659, 2, FALSE), FALSE)), ""))</f>
        <v/>
      </c>
      <c r="AB27" s="69">
        <f ca="1">IF($A27="", "",IFERROR(IF(VLOOKUP($A27, INDIRECT("'" &amp; 'Personalized Bill Menu'!$B$23 &amp; "'!" &amp;"$A$4:$CA$100"), VLOOKUP(VLOOKUP("RIDER RATE 5",'Misc. Data &amp; Mechanisms'!$P$601:$S$632,HLOOKUP('Personalized Bill Menu'!$B$23, 'Misc. Data &amp; Mechanisms'!$P$599:$S$600, 2, FALSE), FALSE), 'Misc. Data &amp; Mechanisms'!$L$599:$N$659, 2, FALSE), FALSE) = "", "", VLOOKUP($A27, INDIRECT("'" &amp; 'Personalized Bill Menu'!$B$23 &amp; "'!" &amp;"$A$4:$CA$100"), VLOOKUP(VLOOKUP("RIDER RATE 5",'Misc. Data &amp; Mechanisms'!$P$601:$S$632,HLOOKUP('Personalized Bill Menu'!$B$23, 'Misc. Data &amp; Mechanisms'!$P$599:$S$600, 2, FALSE), FALSE), 'Misc. Data &amp; Mechanisms'!$L$599:$N$659, 2, FALSE), FALSE)), ""))</f>
        <v>0.52800000000000002</v>
      </c>
      <c r="AC27" s="69" t="str">
        <f ca="1">IF($A27="", "",IFERROR(IF(VLOOKUP($A27, INDIRECT("'" &amp; 'Personalized Bill Menu'!$B$23 &amp; "'!" &amp;"$A$4:$CA$100"), VLOOKUP(VLOOKUP("RIDER RATE 6",'Misc. Data &amp; Mechanisms'!$P$601:$S$632,HLOOKUP('Personalized Bill Menu'!$B$23, 'Misc. Data &amp; Mechanisms'!$P$599:$S$600, 2, FALSE), FALSE), 'Misc. Data &amp; Mechanisms'!$L$599:$N$659, 2, FALSE), FALSE) = "", "", VLOOKUP($A27, INDIRECT("'" &amp; 'Personalized Bill Menu'!$B$23 &amp; "'!" &amp;"$A$4:$CA$100"), VLOOKUP(VLOOKUP("RIDER RATE 6",'Misc. Data &amp; Mechanisms'!$P$601:$S$632,HLOOKUP('Personalized Bill Menu'!$B$23, 'Misc. Data &amp; Mechanisms'!$P$599:$S$600, 2, FALSE), FALSE), 'Misc. Data &amp; Mechanisms'!$L$599:$N$659, 2, FALSE), FALSE)), ""))</f>
        <v/>
      </c>
      <c r="AD27" s="69" t="str">
        <f ca="1">IF($A27="", "",IFERROR(IF(VLOOKUP($A27, INDIRECT("'" &amp; 'Personalized Bill Menu'!$B$23 &amp; "'!" &amp;"$A$4:$CA$100"), VLOOKUP(VLOOKUP("RIDER RATE 7",'Misc. Data &amp; Mechanisms'!$P$601:$S$632,HLOOKUP('Personalized Bill Menu'!$B$23, 'Misc. Data &amp; Mechanisms'!$P$599:$S$600, 2, FALSE), FALSE), 'Misc. Data &amp; Mechanisms'!$L$599:$N$659, 2, FALSE), FALSE) = "", "", VLOOKUP($A27, INDIRECT("'" &amp; 'Personalized Bill Menu'!$B$23 &amp; "'!" &amp;"$A$4:$CA$100"), VLOOKUP(VLOOKUP("RIDER RATE 7",'Misc. Data &amp; Mechanisms'!$P$601:$S$632,HLOOKUP('Personalized Bill Menu'!$B$23, 'Misc. Data &amp; Mechanisms'!$P$599:$S$600, 2, FALSE), FALSE), 'Misc. Data &amp; Mechanisms'!$L$599:$N$659, 2, FALSE), FALSE)), ""))</f>
        <v/>
      </c>
      <c r="AE27" s="69" t="str">
        <f ca="1">IF($A27="", "",IFERROR(IF(VLOOKUP($A27, INDIRECT("'" &amp; 'Personalized Bill Menu'!$B$23 &amp; "'!" &amp;"$A$4:$CA$100"), VLOOKUP(VLOOKUP("RIDER RATE 8",'Misc. Data &amp; Mechanisms'!$P$601:$S$632,HLOOKUP('Personalized Bill Menu'!$B$23, 'Misc. Data &amp; Mechanisms'!$P$599:$S$600, 2, FALSE), FALSE), 'Misc. Data &amp; Mechanisms'!$L$599:$N$659, 2, FALSE), FALSE) = "", "", VLOOKUP($A27, INDIRECT("'" &amp; 'Personalized Bill Menu'!$B$23 &amp; "'!" &amp;"$A$4:$CA$100"), VLOOKUP(VLOOKUP("RIDER RATE 8",'Misc. Data &amp; Mechanisms'!$P$601:$S$632,HLOOKUP('Personalized Bill Menu'!$B$23, 'Misc. Data &amp; Mechanisms'!$P$599:$S$600, 2, FALSE), FALSE), 'Misc. Data &amp; Mechanisms'!$L$599:$N$659, 2, FALSE), FALSE)), ""))</f>
        <v/>
      </c>
      <c r="AF27" s="69" t="str">
        <f ca="1">IF($A27="", "",IFERROR(IF(VLOOKUP($A27, INDIRECT("'" &amp; 'Personalized Bill Menu'!$B$23 &amp; "'!" &amp;"$A$4:$CA$100"), VLOOKUP(VLOOKUP("RIDER RATE 9",'Misc. Data &amp; Mechanisms'!$P$601:$S$632,HLOOKUP('Personalized Bill Menu'!$B$23, 'Misc. Data &amp; Mechanisms'!$P$599:$S$600, 2, FALSE), FALSE), 'Misc. Data &amp; Mechanisms'!$L$599:$N$659, 2, FALSE), FALSE) = "", "", VLOOKUP($A27, INDIRECT("'" &amp; 'Personalized Bill Menu'!$B$23 &amp; "'!" &amp;"$A$4:$CA$100"), VLOOKUP(VLOOKUP("RIDER RATE 9",'Misc. Data &amp; Mechanisms'!$P$601:$S$632,HLOOKUP('Personalized Bill Menu'!$B$23, 'Misc. Data &amp; Mechanisms'!$P$599:$S$600, 2, FALSE), FALSE), 'Misc. Data &amp; Mechanisms'!$L$599:$N$659, 2, FALSE), FALSE)), ""))</f>
        <v/>
      </c>
      <c r="AG27" s="72">
        <f ca="1">IF($A27="", "", IFERROR(IF('Personalized Bill Menu'!$B$23="ATCO-N", ($X27*$B27) +($Y27*$C27), IF('Personalized Bill Menu'!$B$23="ATCO-S",$X27*$C27, IF($Y27="", ($X27*$H27), ($Y27*($H27+$K27))))), 0))</f>
        <v>0</v>
      </c>
      <c r="AH27" s="72">
        <f ca="1">IF($A27="", "", IFERROR(IF('Personalized Bill Menu'!$B$23="ATCO-S", $Y27*$C27, $Z27*$C27), 0))</f>
        <v>0</v>
      </c>
      <c r="AI27" s="72">
        <f ca="1">IF($A27="", "", IFERROR(IF('Personalized Bill Menu'!$B$23="ATCO-S", ($AA27*$C27)+($Z27*$B27), $AA27*$C27), 0))</f>
        <v>0</v>
      </c>
      <c r="AJ27" s="72">
        <f ca="1">IF($A27="", "", IFERROR(IF('Personalized Bill Menu'!$B$23&lt;&gt;"AltaGas",$AB27*$C27,""),0))</f>
        <v>2.3939610964284856</v>
      </c>
      <c r="AK27" s="72">
        <f ca="1">IF($A27="", "", IFERROR(IF('Personalized Bill Menu'!$B$23="ATCO-S",$AC27*$C27,IF('Personalized Bill Menu'!$B$23="ATCO-N",$AC27*1,"")),0))</f>
        <v>0</v>
      </c>
      <c r="AL27" s="72">
        <f ca="1">IF($A27="", "", IFERROR(IF('Personalized Bill Menu'!$B$23="ATCO-N",$AD27*$B27,IF('Personalized Bill Menu'!$B$23="ATCO-S",$AD27*1,"")),0))</f>
        <v>0</v>
      </c>
      <c r="AM27" s="72">
        <f ca="1">IF($A27="", "", IFERROR(IF('Personalized Bill Menu'!$B$23="ATCO-S",$AE27*$B27,IF('Personalized Bill Menu'!$B$23="ATCO-N",$AE27*$B27,"")),0))</f>
        <v>0</v>
      </c>
      <c r="AN27" s="70">
        <f ca="1">IF($A27="", "", IFERROR(IF('Personalized Bill Menu'!$B$23="ATCO-S",$AF27*$B27,""),0))</f>
        <v>0</v>
      </c>
      <c r="AO27" s="69">
        <f>IF('Personalized Bill Menu'!$B$34="Natural Gas", 'Personalized Bill Menu'!$K24, IF('Personalized Bill Menu'!$B$34="Both",'Personalized Bill Menu'!$O24,""))</f>
        <v>0.223</v>
      </c>
      <c r="AP27" s="72">
        <f t="shared" si="13"/>
        <v>6.69</v>
      </c>
      <c r="AQ27" s="89" t="str">
        <f ca="1">IF($A27="", "",IF(VLOOKUP($A27, INDIRECT("'" &amp; 'Personalized Bill Menu'!$B$23 &amp; "'!" &amp;"$A$4:$CA$100"), VLOOKUP(VLOOKUP(AQ$5,'Misc. Data &amp; Mechanisms'!$P$601:$S$632,HLOOKUP('Personalized Bill Menu'!$B$23, 'Misc. Data &amp; Mechanisms'!$P$599:$S$600, 2, FALSE), FALSE), 'Misc. Data &amp; Mechanisms'!$L$599:$N$659, 2, FALSE), FALSE) = "", "", VLOOKUP($A27, INDIRECT("'" &amp; 'Personalized Bill Menu'!$B$23 &amp; "'!" &amp;"$A$4:$CA$100"), VLOOKUP(VLOOKUP(AQ$5,'Misc. Data &amp; Mechanisms'!$P$601:$S$632,HLOOKUP('Personalized Bill Menu'!$B$23, 'Misc. Data &amp; Mechanisms'!$P$599:$S$600, 2, FALSE), FALSE), 'Misc. Data &amp; Mechanisms'!$L$599:$N$659, 2, FALSE), FALSE)))</f>
        <v/>
      </c>
      <c r="AR27" s="72">
        <f t="shared" ca="1" si="14"/>
        <v>0</v>
      </c>
      <c r="AS27" s="91">
        <f ca="1">IF($A27="", "",IF(VLOOKUP($A27, INDIRECT("'" &amp; 'Personalized Bill Menu'!$B$23 &amp; "'!" &amp;"$A$4:$CA$100"), VLOOKUP(VLOOKUP(AS$5,'Misc. Data &amp; Mechanisms'!$P$601:$S$632,HLOOKUP('Personalized Bill Menu'!$B$23, 'Misc. Data &amp; Mechanisms'!$P$599:$S$600, 2, FALSE), FALSE), 'Misc. Data &amp; Mechanisms'!$L$599:$N$659, 2, FALSE), FALSE) = "", "", VLOOKUP($A27, INDIRECT("'" &amp; 'Personalized Bill Menu'!$B$23 &amp; "'!" &amp;"$A$4:$CA$100"), VLOOKUP(VLOOKUP(AS$5,'Misc. Data &amp; Mechanisms'!$P$601:$S$632,HLOOKUP('Personalized Bill Menu'!$B$23, 'Misc. Data &amp; Mechanisms'!$P$599:$S$600, 2, FALSE), FALSE), 'Misc. Data &amp; Mechanisms'!$L$599:$N$659, 2, FALSE), FALSE)))</f>
        <v>0.05</v>
      </c>
      <c r="AT27" s="116"/>
      <c r="AU27" s="116"/>
      <c r="AV27" s="116"/>
      <c r="AW27" s="116"/>
      <c r="AX27" s="116"/>
    </row>
    <row r="28" spans="1:50" s="117" customFormat="1" x14ac:dyDescent="0.3">
      <c r="A28" s="83">
        <f>'Personalized Bill Menu'!$H25</f>
        <v>41548</v>
      </c>
      <c r="B28" s="84">
        <f t="shared" si="3"/>
        <v>31</v>
      </c>
      <c r="C28" s="85">
        <f>IF('Personalized Bill Menu'!$B$34="Natural Gas", 'Personalized Bill Menu'!$I25, IF('Personalized Bill Menu'!$B$34="Both",'Personalized Bill Menu'!$M25,""))</f>
        <v>10.594286816954245</v>
      </c>
      <c r="D28" s="66">
        <f t="shared" ca="1" si="4"/>
        <v>7.5395361543879016</v>
      </c>
      <c r="E28" s="66">
        <f ca="1">IF($C28="Not Applicable", "", IFERROR(IFERROR((1+$AS28)*IF('Personalized Bill Menu'!$B$23="ATCO-N", IF(OR('Personalized Bill Menu'!$B$21="Fort McMurray",AND('Personalized Bill Menu'!$B$21="Spruce Grove", $A28&lt;DATE(2019, 5, 1) )),(((1+IF($T28="",0,$T28))*($N28+$P28))+ (IF($U28="", 0, $U28)*$P28)+(1+IF($T28="",0,$T28)+IF($U28="", 0, $U28))*(SUM($Y28:$AB28))),($N28+((1+IF($T28="",0,$T28)+IF($U28="", 0, $U28))*$P28)+(1+IF($T28="",0,$T28)+IF($U28="", 0, $U28))*(SUM($Y28:$AB28)))), IF('Personalized Bill Menu'!$B$23="ATCO-S",IF(OR('Personalized Bill Menu'!$B$21="Calgary",AND('Personalized Bill Menu'!$B$21="Okotoks", $A28&lt;DATE(2019, 1, 1))),((1+IF($T28="",0,$T28))*($N28+$P28+SUM($X28:$Y28,$AA28:$AC28)))+(IF($U28="",0, $U28)*($P28+SUM($X28:$Y28,$AA28:$AC28))), ((1+IF($T28="",0,$T28))*($P28+SUM($Y28,$AA28:$AC28)))+(IF($U28="",0, $U28)*($P28+SUM($X28:$Y28,$AA28:$AC28)))+$N28+IF($X28="", 0, $X28)),IF(AND('Personalized Bill Menu'!$B$21="Athabasca", $A28&lt;DATE(2019, 5, 1)),((1+IF($T28="",0,$T28)+IF($U28="", 0, $U28))*($N28+((1+SUM($X28:$Y28))*$P28)+SUM($Z28:$AA28))),((1+IF($U28="", 0, $U28))*($N28+((1+SUM($X28:$Y28))*$P28)+SUM($Z28:$AA28))) + (IF($T28="",0,$T28)*(((1+SUM($X28:$Y28))*$P28)+SUM($Z28:$AA28)))))), "")+ IF($AQ28="", 0,((1+$AS28)*$AQ28)), ""))</f>
        <v>4.2326243399999992</v>
      </c>
      <c r="F28" s="118">
        <f t="shared" ca="1" si="5"/>
        <v>79.87600848638165</v>
      </c>
      <c r="G28" s="115">
        <f t="shared" si="0"/>
        <v>25.394505500239323</v>
      </c>
      <c r="H28" s="66">
        <f t="shared" ca="1" si="1"/>
        <v>31.255783632318835</v>
      </c>
      <c r="I28" s="66">
        <f t="shared" ca="1" si="2"/>
        <v>6.9153164627392005</v>
      </c>
      <c r="J28" s="66">
        <f t="shared" ca="1" si="6"/>
        <v>5.5937834393518413</v>
      </c>
      <c r="K28" s="66">
        <f t="shared" si="7"/>
        <v>6.9130000000000003</v>
      </c>
      <c r="L28" s="66">
        <f t="shared" ca="1" si="8"/>
        <v>0</v>
      </c>
      <c r="M28" s="68">
        <f t="shared" ca="1" si="9"/>
        <v>3.8036194517324597</v>
      </c>
      <c r="N28" s="1290">
        <f>IF('Personalized Bill Menu'!$B$34="Natural Gas", 'Personalized Bill Menu'!$J25, IF('Personalized Bill Menu'!$B$34="Both",'Personalized Bill Menu'!$N25,""))</f>
        <v>2.3969999999999998</v>
      </c>
      <c r="O28" s="70">
        <f t="shared" si="10"/>
        <v>25.394505500239323</v>
      </c>
      <c r="P28" s="89">
        <f ca="1">IF($A28="", "",IFERROR(IF(VLOOKUP($A28, INDIRECT("'" &amp; 'Personalized Bill Menu'!$B$23 &amp; "'!" &amp;"$A$4:$CA$100"), VLOOKUP(VLOOKUP(P$5,'Misc. Data &amp; Mechanisms'!$P$601:$S$632,HLOOKUP('Personalized Bill Menu'!$B$23, 'Misc. Data &amp; Mechanisms'!$P$599:$S$600, 2, FALSE), FALSE), 'Misc. Data &amp; Mechanisms'!$L$599:$N$659, 2, FALSE), FALSE) = "", "", VLOOKUP($A28, INDIRECT("'" &amp; 'Personalized Bill Menu'!$B$23 &amp; "'!" &amp;"$A$4:$CA$100"), VLOOKUP(VLOOKUP(P$5,'Misc. Data &amp; Mechanisms'!$P$601:$S$632,HLOOKUP('Personalized Bill Menu'!$B$23, 'Misc. Data &amp; Mechanisms'!$P$599:$S$600, 2, FALSE), FALSE), 'Misc. Data &amp; Mechanisms'!$L$599:$N$659, 2, FALSE), FALSE)), ""))</f>
        <v>0.70299999999999996</v>
      </c>
      <c r="Q28" s="69">
        <f ca="1">IF($A28="", "",IFERROR(IF(VLOOKUP($A28, INDIRECT("'" &amp; 'Personalized Bill Menu'!$B$23 &amp; "'!" &amp;"$A$4:$CA$100"), VLOOKUP(VLOOKUP(Q$5,'Misc. Data &amp; Mechanisms'!$P$601:$S$632,HLOOKUP('Personalized Bill Menu'!$B$23, 'Misc. Data &amp; Mechanisms'!$P$599:$S$600, 2, FALSE), FALSE), 'Misc. Data &amp; Mechanisms'!$L$599:$N$659, 2, FALSE), FALSE) = "", "", VLOOKUP($A28, INDIRECT("'" &amp; 'Personalized Bill Menu'!$B$23 &amp; "'!" &amp;"$A$4:$CA$100"), VLOOKUP(VLOOKUP(Q$5,'Misc. Data &amp; Mechanisms'!$P$601:$S$632,HLOOKUP('Personalized Bill Menu'!$B$23, 'Misc. Data &amp; Mechanisms'!$P$599:$S$600, 2, FALSE), FALSE), 'Misc. Data &amp; Mechanisms'!$L$599:$N$659, 2, FALSE), FALSE)), ""))</f>
        <v>0.76800000000000002</v>
      </c>
      <c r="R28" s="72">
        <f t="shared" ca="1" si="11"/>
        <v>7.447783632318834</v>
      </c>
      <c r="S28" s="70">
        <f t="shared" ca="1" si="12"/>
        <v>23.808</v>
      </c>
      <c r="T28" s="78">
        <f>IFERROR(IF(VLOOKUP($A28,'Misc. Data &amp; Mechanisms'!$A$63:$DY$152,HLOOKUP('Personalized Bill Menu'!$B$21&amp;"_"&amp;'Personalized Bill Menu'!$B$23&amp;"_NG_Y_1",'Misc. Data &amp; Mechanisms'!$A$55:$DY$62,8,FALSE), FALSE)="", "", VLOOKUP($A28,'Misc. Data &amp; Mechanisms'!$A$63:$DY$152,HLOOKUP('Personalized Bill Menu'!$B$21&amp;"_"&amp;'Personalized Bill Menu'!$B$23&amp;"_NG_Y_1",'Misc. Data &amp; Mechanisms'!$A$55:$DY$62,8,FALSE), FALSE)), "")</f>
        <v>0.1111</v>
      </c>
      <c r="U28" s="78" t="str">
        <f>IFERROR(IF(VLOOKUP($A28,'Misc. Data &amp; Mechanisms'!$A$63:$DY$152,HLOOKUP('Personalized Bill Menu'!$B$21&amp;"_"&amp;'Personalized Bill Menu'!$B$23&amp;"_NG_Y_2",'Misc. Data &amp; Mechanisms'!$A$55:$DY$62,8,FALSE), FALSE)="", "",VLOOKUP($A28,'Misc. Data &amp; Mechanisms'!$A$63:$DY$152,HLOOKUP('Personalized Bill Menu'!$B$21&amp;"_"&amp;'Personalized Bill Menu'!$B$23&amp;"_NG_Y_2",'Misc. Data &amp; Mechanisms'!$A$55:$DY$62,8,FALSE), FALSE)), "")</f>
        <v/>
      </c>
      <c r="V28" s="72">
        <f ca="1">IF($A28="", "", IFERROR(IF('Personalized Bill Menu'!$B$23="ATCO-N", IF(OR('Personalized Bill Menu'!$B$21="Fort McMurray",AND('Personalized Bill Menu'!$B$21="Spruce Grove", $A28&lt;DATE(2019, 5, 1))),$T28*($G28+$H28+$J28),$T28*($H28+$J28)), IF('Personalized Bill Menu'!$B$23="ATCO-S",IF(OR('Personalized Bill Menu'!$B$21="Calgary",AND('Personalized Bill Menu'!$B$21="Okotoks", $A28&lt;DATE(2019, 1, 1))),$T28*($G28+$H28+$J28), $T28*($H28+$J28-$AG28)),IF(AND('Personalized Bill Menu'!$B$21="Athabasca", $A28&lt;DATE(2019, 5, 1)),$T28*($G28+$H28+$J28+$K28),$T28*($H28+$J28+$K28)))),0))</f>
        <v>6.9153164627392005</v>
      </c>
      <c r="W28" s="72">
        <f ca="1">IF($A28="", "", IFERROR(IF('Personalized Bill Menu'!$B$23="ATCO-N", $U28*($H28+$J28), IF('Personalized Bill Menu'!$B$23="ATCO-S",$U28*($H28+$J28),$U28*($G28+$H28+$J28+$K28))),0))</f>
        <v>0</v>
      </c>
      <c r="X28" s="89" t="str">
        <f ca="1">IF($A28="", "",IFERROR(IF(VLOOKUP($A28, INDIRECT("'" &amp; 'Personalized Bill Menu'!$B$23 &amp; "'!" &amp;"$A$4:$CA$100"), VLOOKUP(VLOOKUP("RIDER RATE 1",'Misc. Data &amp; Mechanisms'!$P$601:$S$632,HLOOKUP('Personalized Bill Menu'!$B$23, 'Misc. Data &amp; Mechanisms'!$P$599:$S$600, 2, FALSE), FALSE), 'Misc. Data &amp; Mechanisms'!$L$599:$N$659, 2, FALSE), FALSE) = "", "", VLOOKUP($A28, INDIRECT("'" &amp; 'Personalized Bill Menu'!$B$23 &amp; "'!" &amp;"$A$4:$CA$100"), VLOOKUP(VLOOKUP("RIDER RATE 1",'Misc. Data &amp; Mechanisms'!$P$601:$S$632,HLOOKUP('Personalized Bill Menu'!$B$23, 'Misc. Data &amp; Mechanisms'!$P$599:$S$600, 2, FALSE), FALSE), 'Misc. Data &amp; Mechanisms'!$L$599:$N$659, 2, FALSE), FALSE)), ""))</f>
        <v/>
      </c>
      <c r="Y28" s="69" t="str">
        <f ca="1">IF($A28="", "",IFERROR(IF(VLOOKUP($A28, INDIRECT("'" &amp; 'Personalized Bill Menu'!$B$23 &amp; "'!" &amp;"$A$4:$CA$100"), VLOOKUP(VLOOKUP("RIDER RATE 2",'Misc. Data &amp; Mechanisms'!$P$601:$S$632,HLOOKUP('Personalized Bill Menu'!$B$23, 'Misc. Data &amp; Mechanisms'!$P$599:$S$600, 2, FALSE), FALSE), 'Misc. Data &amp; Mechanisms'!$L$599:$N$659, 2, FALSE), FALSE) = "", "", VLOOKUP($A28, INDIRECT("'" &amp; 'Personalized Bill Menu'!$B$23 &amp; "'!" &amp;"$A$4:$CA$100"), VLOOKUP(VLOOKUP("RIDER RATE 2",'Misc. Data &amp; Mechanisms'!$P$601:$S$632,HLOOKUP('Personalized Bill Menu'!$B$23, 'Misc. Data &amp; Mechanisms'!$P$599:$S$600, 2, FALSE), FALSE), 'Misc. Data &amp; Mechanisms'!$L$599:$N$659, 2, FALSE), FALSE)), ""))</f>
        <v/>
      </c>
      <c r="Z28" s="69" t="str">
        <f ca="1">IF($A28="", "",IFERROR(IF(VLOOKUP($A28, INDIRECT("'" &amp; 'Personalized Bill Menu'!$B$23 &amp; "'!" &amp;"$A$4:$CA$100"), VLOOKUP(VLOOKUP("RIDER RATE 3",'Misc. Data &amp; Mechanisms'!$P$601:$S$632,HLOOKUP('Personalized Bill Menu'!$B$23, 'Misc. Data &amp; Mechanisms'!$P$599:$S$600, 2, FALSE), FALSE), 'Misc. Data &amp; Mechanisms'!$L$599:$N$659, 2, FALSE), FALSE) = "", "", VLOOKUP($A28, INDIRECT("'" &amp; 'Personalized Bill Menu'!$B$23 &amp; "'!" &amp;"$A$4:$CA$100"), VLOOKUP(VLOOKUP("RIDER RATE 3",'Misc. Data &amp; Mechanisms'!$P$601:$S$632,HLOOKUP('Personalized Bill Menu'!$B$23, 'Misc. Data &amp; Mechanisms'!$P$599:$S$600, 2, FALSE), FALSE), 'Misc. Data &amp; Mechanisms'!$L$599:$N$659, 2, FALSE), FALSE)), ""))</f>
        <v/>
      </c>
      <c r="AA28" s="69" t="str">
        <f ca="1">IF($A28="", "",IFERROR(IF(VLOOKUP($A28, INDIRECT("'" &amp; 'Personalized Bill Menu'!$B$23 &amp; "'!" &amp;"$A$4:$CA$100"), VLOOKUP(VLOOKUP("RIDER RATE 4",'Misc. Data &amp; Mechanisms'!$P$601:$S$632,HLOOKUP('Personalized Bill Menu'!$B$23, 'Misc. Data &amp; Mechanisms'!$P$599:$S$600, 2, FALSE), FALSE), 'Misc. Data &amp; Mechanisms'!$L$599:$N$659, 2, FALSE), FALSE) = "", "", VLOOKUP($A28, INDIRECT("'" &amp; 'Personalized Bill Menu'!$B$23 &amp; "'!" &amp;"$A$4:$CA$100"), VLOOKUP(VLOOKUP("RIDER RATE 4",'Misc. Data &amp; Mechanisms'!$P$601:$S$632,HLOOKUP('Personalized Bill Menu'!$B$23, 'Misc. Data &amp; Mechanisms'!$P$599:$S$600, 2, FALSE), FALSE), 'Misc. Data &amp; Mechanisms'!$L$599:$N$659, 2, FALSE), FALSE)), ""))</f>
        <v/>
      </c>
      <c r="AB28" s="69">
        <f ca="1">IF($A28="", "",IFERROR(IF(VLOOKUP($A28, INDIRECT("'" &amp; 'Personalized Bill Menu'!$B$23 &amp; "'!" &amp;"$A$4:$CA$100"), VLOOKUP(VLOOKUP("RIDER RATE 5",'Misc. Data &amp; Mechanisms'!$P$601:$S$632,HLOOKUP('Personalized Bill Menu'!$B$23, 'Misc. Data &amp; Mechanisms'!$P$599:$S$600, 2, FALSE), FALSE), 'Misc. Data &amp; Mechanisms'!$L$599:$N$659, 2, FALSE), FALSE) = "", "", VLOOKUP($A28, INDIRECT("'" &amp; 'Personalized Bill Menu'!$B$23 &amp; "'!" &amp;"$A$4:$CA$100"), VLOOKUP(VLOOKUP("RIDER RATE 5",'Misc. Data &amp; Mechanisms'!$P$601:$S$632,HLOOKUP('Personalized Bill Menu'!$B$23, 'Misc. Data &amp; Mechanisms'!$P$599:$S$600, 2, FALSE), FALSE), 'Misc. Data &amp; Mechanisms'!$L$599:$N$659, 2, FALSE), FALSE)), ""))</f>
        <v>0.52800000000000002</v>
      </c>
      <c r="AC28" s="69" t="str">
        <f ca="1">IF($A28="", "",IFERROR(IF(VLOOKUP($A28, INDIRECT("'" &amp; 'Personalized Bill Menu'!$B$23 &amp; "'!" &amp;"$A$4:$CA$100"), VLOOKUP(VLOOKUP("RIDER RATE 6",'Misc. Data &amp; Mechanisms'!$P$601:$S$632,HLOOKUP('Personalized Bill Menu'!$B$23, 'Misc. Data &amp; Mechanisms'!$P$599:$S$600, 2, FALSE), FALSE), 'Misc. Data &amp; Mechanisms'!$L$599:$N$659, 2, FALSE), FALSE) = "", "", VLOOKUP($A28, INDIRECT("'" &amp; 'Personalized Bill Menu'!$B$23 &amp; "'!" &amp;"$A$4:$CA$100"), VLOOKUP(VLOOKUP("RIDER RATE 6",'Misc. Data &amp; Mechanisms'!$P$601:$S$632,HLOOKUP('Personalized Bill Menu'!$B$23, 'Misc. Data &amp; Mechanisms'!$P$599:$S$600, 2, FALSE), FALSE), 'Misc. Data &amp; Mechanisms'!$L$599:$N$659, 2, FALSE), FALSE)), ""))</f>
        <v/>
      </c>
      <c r="AD28" s="69" t="str">
        <f ca="1">IF($A28="", "",IFERROR(IF(VLOOKUP($A28, INDIRECT("'" &amp; 'Personalized Bill Menu'!$B$23 &amp; "'!" &amp;"$A$4:$CA$100"), VLOOKUP(VLOOKUP("RIDER RATE 7",'Misc. Data &amp; Mechanisms'!$P$601:$S$632,HLOOKUP('Personalized Bill Menu'!$B$23, 'Misc. Data &amp; Mechanisms'!$P$599:$S$600, 2, FALSE), FALSE), 'Misc. Data &amp; Mechanisms'!$L$599:$N$659, 2, FALSE), FALSE) = "", "", VLOOKUP($A28, INDIRECT("'" &amp; 'Personalized Bill Menu'!$B$23 &amp; "'!" &amp;"$A$4:$CA$100"), VLOOKUP(VLOOKUP("RIDER RATE 7",'Misc. Data &amp; Mechanisms'!$P$601:$S$632,HLOOKUP('Personalized Bill Menu'!$B$23, 'Misc. Data &amp; Mechanisms'!$P$599:$S$600, 2, FALSE), FALSE), 'Misc. Data &amp; Mechanisms'!$L$599:$N$659, 2, FALSE), FALSE)), ""))</f>
        <v/>
      </c>
      <c r="AE28" s="69" t="str">
        <f ca="1">IF($A28="", "",IFERROR(IF(VLOOKUP($A28, INDIRECT("'" &amp; 'Personalized Bill Menu'!$B$23 &amp; "'!" &amp;"$A$4:$CA$100"), VLOOKUP(VLOOKUP("RIDER RATE 8",'Misc. Data &amp; Mechanisms'!$P$601:$S$632,HLOOKUP('Personalized Bill Menu'!$B$23, 'Misc. Data &amp; Mechanisms'!$P$599:$S$600, 2, FALSE), FALSE), 'Misc. Data &amp; Mechanisms'!$L$599:$N$659, 2, FALSE), FALSE) = "", "", VLOOKUP($A28, INDIRECT("'" &amp; 'Personalized Bill Menu'!$B$23 &amp; "'!" &amp;"$A$4:$CA$100"), VLOOKUP(VLOOKUP("RIDER RATE 8",'Misc. Data &amp; Mechanisms'!$P$601:$S$632,HLOOKUP('Personalized Bill Menu'!$B$23, 'Misc. Data &amp; Mechanisms'!$P$599:$S$600, 2, FALSE), FALSE), 'Misc. Data &amp; Mechanisms'!$L$599:$N$659, 2, FALSE), FALSE)), ""))</f>
        <v/>
      </c>
      <c r="AF28" s="69" t="str">
        <f ca="1">IF($A28="", "",IFERROR(IF(VLOOKUP($A28, INDIRECT("'" &amp; 'Personalized Bill Menu'!$B$23 &amp; "'!" &amp;"$A$4:$CA$100"), VLOOKUP(VLOOKUP("RIDER RATE 9",'Misc. Data &amp; Mechanisms'!$P$601:$S$632,HLOOKUP('Personalized Bill Menu'!$B$23, 'Misc. Data &amp; Mechanisms'!$P$599:$S$600, 2, FALSE), FALSE), 'Misc. Data &amp; Mechanisms'!$L$599:$N$659, 2, FALSE), FALSE) = "", "", VLOOKUP($A28, INDIRECT("'" &amp; 'Personalized Bill Menu'!$B$23 &amp; "'!" &amp;"$A$4:$CA$100"), VLOOKUP(VLOOKUP("RIDER RATE 9",'Misc. Data &amp; Mechanisms'!$P$601:$S$632,HLOOKUP('Personalized Bill Menu'!$B$23, 'Misc. Data &amp; Mechanisms'!$P$599:$S$600, 2, FALSE), FALSE), 'Misc. Data &amp; Mechanisms'!$L$599:$N$659, 2, FALSE), FALSE)), ""))</f>
        <v/>
      </c>
      <c r="AG28" s="72">
        <f ca="1">IF($A28="", "", IFERROR(IF('Personalized Bill Menu'!$B$23="ATCO-N", ($X28*$B28) +($Y28*$C28), IF('Personalized Bill Menu'!$B$23="ATCO-S",$X28*$C28, IF($Y28="", ($X28*$H28), ($Y28*($H28+$K28))))), 0))</f>
        <v>0</v>
      </c>
      <c r="AH28" s="72">
        <f ca="1">IF($A28="", "", IFERROR(IF('Personalized Bill Menu'!$B$23="ATCO-S", $Y28*$C28, $Z28*$C28), 0))</f>
        <v>0</v>
      </c>
      <c r="AI28" s="72">
        <f ca="1">IF($A28="", "", IFERROR(IF('Personalized Bill Menu'!$B$23="ATCO-S", ($AA28*$C28)+($Z28*$B28), $AA28*$C28), 0))</f>
        <v>0</v>
      </c>
      <c r="AJ28" s="72">
        <f ca="1">IF($A28="", "", IFERROR(IF('Personalized Bill Menu'!$B$23&lt;&gt;"AltaGas",$AB28*$C28,""),0))</f>
        <v>5.5937834393518413</v>
      </c>
      <c r="AK28" s="72">
        <f ca="1">IF($A28="", "", IFERROR(IF('Personalized Bill Menu'!$B$23="ATCO-S",$AC28*$C28,IF('Personalized Bill Menu'!$B$23="ATCO-N",$AC28*1,"")),0))</f>
        <v>0</v>
      </c>
      <c r="AL28" s="72">
        <f ca="1">IF($A28="", "", IFERROR(IF('Personalized Bill Menu'!$B$23="ATCO-N",$AD28*$B28,IF('Personalized Bill Menu'!$B$23="ATCO-S",$AD28*1,"")),0))</f>
        <v>0</v>
      </c>
      <c r="AM28" s="72">
        <f ca="1">IF($A28="", "", IFERROR(IF('Personalized Bill Menu'!$B$23="ATCO-S",$AE28*$B28,IF('Personalized Bill Menu'!$B$23="ATCO-N",$AE28*$B28,"")),0))</f>
        <v>0</v>
      </c>
      <c r="AN28" s="70">
        <f ca="1">IF($A28="", "", IFERROR(IF('Personalized Bill Menu'!$B$23="ATCO-S",$AF28*$B28,""),0))</f>
        <v>0</v>
      </c>
      <c r="AO28" s="69">
        <f>IF('Personalized Bill Menu'!$B$34="Natural Gas", 'Personalized Bill Menu'!$K25, IF('Personalized Bill Menu'!$B$34="Both",'Personalized Bill Menu'!$O25,""))</f>
        <v>0.223</v>
      </c>
      <c r="AP28" s="72">
        <f t="shared" si="13"/>
        <v>6.9130000000000003</v>
      </c>
      <c r="AQ28" s="89" t="str">
        <f ca="1">IF($A28="", "",IF(VLOOKUP($A28, INDIRECT("'" &amp; 'Personalized Bill Menu'!$B$23 &amp; "'!" &amp;"$A$4:$CA$100"), VLOOKUP(VLOOKUP(AQ$5,'Misc. Data &amp; Mechanisms'!$P$601:$S$632,HLOOKUP('Personalized Bill Menu'!$B$23, 'Misc. Data &amp; Mechanisms'!$P$599:$S$600, 2, FALSE), FALSE), 'Misc. Data &amp; Mechanisms'!$L$599:$N$659, 2, FALSE), FALSE) = "", "", VLOOKUP($A28, INDIRECT("'" &amp; 'Personalized Bill Menu'!$B$23 &amp; "'!" &amp;"$A$4:$CA$100"), VLOOKUP(VLOOKUP(AQ$5,'Misc. Data &amp; Mechanisms'!$P$601:$S$632,HLOOKUP('Personalized Bill Menu'!$B$23, 'Misc. Data &amp; Mechanisms'!$P$599:$S$600, 2, FALSE), FALSE), 'Misc. Data &amp; Mechanisms'!$L$599:$N$659, 2, FALSE), FALSE)))</f>
        <v/>
      </c>
      <c r="AR28" s="72">
        <f t="shared" ca="1" si="14"/>
        <v>0</v>
      </c>
      <c r="AS28" s="91">
        <f ca="1">IF($A28="", "",IF(VLOOKUP($A28, INDIRECT("'" &amp; 'Personalized Bill Menu'!$B$23 &amp; "'!" &amp;"$A$4:$CA$100"), VLOOKUP(VLOOKUP(AS$5,'Misc. Data &amp; Mechanisms'!$P$601:$S$632,HLOOKUP('Personalized Bill Menu'!$B$23, 'Misc. Data &amp; Mechanisms'!$P$599:$S$600, 2, FALSE), FALSE), 'Misc. Data &amp; Mechanisms'!$L$599:$N$659, 2, FALSE), FALSE) = "", "", VLOOKUP($A28, INDIRECT("'" &amp; 'Personalized Bill Menu'!$B$23 &amp; "'!" &amp;"$A$4:$CA$100"), VLOOKUP(VLOOKUP(AS$5,'Misc. Data &amp; Mechanisms'!$P$601:$S$632,HLOOKUP('Personalized Bill Menu'!$B$23, 'Misc. Data &amp; Mechanisms'!$P$599:$S$600, 2, FALSE), FALSE), 'Misc. Data &amp; Mechanisms'!$L$599:$N$659, 2, FALSE), FALSE)))</f>
        <v>0.05</v>
      </c>
      <c r="AT28" s="116"/>
      <c r="AU28" s="116"/>
      <c r="AV28" s="116"/>
      <c r="AW28" s="116"/>
      <c r="AX28" s="116"/>
    </row>
    <row r="29" spans="1:50" s="117" customFormat="1" x14ac:dyDescent="0.3">
      <c r="A29" s="83">
        <f>'Personalized Bill Menu'!$H26</f>
        <v>41579</v>
      </c>
      <c r="B29" s="84">
        <f t="shared" si="3"/>
        <v>30</v>
      </c>
      <c r="C29" s="85">
        <f>IF('Personalized Bill Menu'!$B$34="Natural Gas", 'Personalized Bill Menu'!$I26, IF('Personalized Bill Menu'!$B$34="Both",'Personalized Bill Menu'!$M26,""))</f>
        <v>16.963833197620971</v>
      </c>
      <c r="D29" s="66">
        <f t="shared" ca="1" si="4"/>
        <v>7.7338945000615364</v>
      </c>
      <c r="E29" s="66">
        <f ca="1">IF($C29="Not Applicable", "", IFERROR(IFERROR((1+$AS29)*IF('Personalized Bill Menu'!$B$23="ATCO-N", IF(OR('Personalized Bill Menu'!$B$21="Fort McMurray",AND('Personalized Bill Menu'!$B$21="Spruce Grove", $A29&lt;DATE(2019, 5, 1) )),(((1+IF($T29="",0,$T29))*($N29+$P29))+ (IF($U29="", 0, $U29)*$P29)+(1+IF($T29="",0,$T29)+IF($U29="", 0, $U29))*(SUM($Y29:$AB29))),($N29+((1+IF($T29="",0,$T29)+IF($U29="", 0, $U29))*$P29)+(1+IF($T29="",0,$T29)+IF($U29="", 0, $U29))*(SUM($Y29:$AB29)))), IF('Personalized Bill Menu'!$B$23="ATCO-S",IF(OR('Personalized Bill Menu'!$B$21="Calgary",AND('Personalized Bill Menu'!$B$21="Okotoks", $A29&lt;DATE(2019, 1, 1))),((1+IF($T29="",0,$T29))*($N29+$P29+SUM($X29:$Y29,$AA29:$AC29)))+(IF($U29="",0, $U29)*($P29+SUM($X29:$Y29,$AA29:$AC29))), ((1+IF($T29="",0,$T29))*($P29+SUM($Y29,$AA29:$AC29)))+(IF($U29="",0, $U29)*($P29+SUM($X29:$Y29,$AA29:$AC29)))+$N29+IF($X29="", 0, $X29)),IF(AND('Personalized Bill Menu'!$B$21="Athabasca", $A29&lt;DATE(2019, 5, 1)),((1+IF($T29="",0,$T29)+IF($U29="", 0, $U29))*($N29+((1+SUM($X29:$Y29))*$P29)+SUM($Z29:$AA29))),((1+IF($U29="", 0, $U29))*($N29+((1+SUM($X29:$Y29))*$P29)+SUM($Z29:$AA29))) + (IF($T29="",0,$T29)*(((1+SUM($X29:$Y29))*$P29)+SUM($Z29:$AA29)))))), "")+ IF($AQ29="", 0,((1+$AS29)*$AQ29)), ""))</f>
        <v>5.7352759799999999</v>
      </c>
      <c r="F29" s="118">
        <f t="shared" ca="1" si="5"/>
        <v>131.19649626704214</v>
      </c>
      <c r="G29" s="115">
        <f t="shared" si="0"/>
        <v>62.511725333233279</v>
      </c>
      <c r="H29" s="66">
        <f t="shared" ca="1" si="1"/>
        <v>34.96557473792754</v>
      </c>
      <c r="I29" s="66">
        <f t="shared" ca="1" si="2"/>
        <v>11.824840064344972</v>
      </c>
      <c r="J29" s="66">
        <f t="shared" ca="1" si="6"/>
        <v>8.9569039283438734</v>
      </c>
      <c r="K29" s="66">
        <f t="shared" si="7"/>
        <v>6.69</v>
      </c>
      <c r="L29" s="66">
        <f t="shared" ca="1" si="8"/>
        <v>0</v>
      </c>
      <c r="M29" s="68">
        <f t="shared" ca="1" si="9"/>
        <v>6.2474522031924833</v>
      </c>
      <c r="N29" s="1290">
        <f>IF('Personalized Bill Menu'!$B$34="Natural Gas", 'Personalized Bill Menu'!$J26, IF('Personalized Bill Menu'!$B$34="Both",'Personalized Bill Menu'!$N26,""))</f>
        <v>3.6850000000000001</v>
      </c>
      <c r="O29" s="70">
        <f t="shared" si="10"/>
        <v>62.511725333233279</v>
      </c>
      <c r="P29" s="89">
        <f ca="1">IF($A29="", "",IFERROR(IF(VLOOKUP($A29, INDIRECT("'" &amp; 'Personalized Bill Menu'!$B$23 &amp; "'!" &amp;"$A$4:$CA$100"), VLOOKUP(VLOOKUP(P$5,'Misc. Data &amp; Mechanisms'!$P$601:$S$632,HLOOKUP('Personalized Bill Menu'!$B$23, 'Misc. Data &amp; Mechanisms'!$P$599:$S$600, 2, FALSE), FALSE), 'Misc. Data &amp; Mechanisms'!$L$599:$N$659, 2, FALSE), FALSE) = "", "", VLOOKUP($A29, INDIRECT("'" &amp; 'Personalized Bill Menu'!$B$23 &amp; "'!" &amp;"$A$4:$CA$100"), VLOOKUP(VLOOKUP(P$5,'Misc. Data &amp; Mechanisms'!$P$601:$S$632,HLOOKUP('Personalized Bill Menu'!$B$23, 'Misc. Data &amp; Mechanisms'!$P$599:$S$600, 2, FALSE), FALSE), 'Misc. Data &amp; Mechanisms'!$L$599:$N$659, 2, FALSE), FALSE)), ""))</f>
        <v>0.70299999999999996</v>
      </c>
      <c r="Q29" s="69">
        <f ca="1">IF($A29="", "",IFERROR(IF(VLOOKUP($A29, INDIRECT("'" &amp; 'Personalized Bill Menu'!$B$23 &amp; "'!" &amp;"$A$4:$CA$100"), VLOOKUP(VLOOKUP(Q$5,'Misc. Data &amp; Mechanisms'!$P$601:$S$632,HLOOKUP('Personalized Bill Menu'!$B$23, 'Misc. Data &amp; Mechanisms'!$P$599:$S$600, 2, FALSE), FALSE), 'Misc. Data &amp; Mechanisms'!$L$599:$N$659, 2, FALSE), FALSE) = "", "", VLOOKUP($A29, INDIRECT("'" &amp; 'Personalized Bill Menu'!$B$23 &amp; "'!" &amp;"$A$4:$CA$100"), VLOOKUP(VLOOKUP(Q$5,'Misc. Data &amp; Mechanisms'!$P$601:$S$632,HLOOKUP('Personalized Bill Menu'!$B$23, 'Misc. Data &amp; Mechanisms'!$P$599:$S$600, 2, FALSE), FALSE), 'Misc. Data &amp; Mechanisms'!$L$599:$N$659, 2, FALSE), FALSE)), ""))</f>
        <v>0.76800000000000002</v>
      </c>
      <c r="R29" s="72">
        <f t="shared" ca="1" si="11"/>
        <v>11.925574737927542</v>
      </c>
      <c r="S29" s="70">
        <f t="shared" ca="1" si="12"/>
        <v>23.04</v>
      </c>
      <c r="T29" s="78">
        <f>IFERROR(IF(VLOOKUP($A29,'Misc. Data &amp; Mechanisms'!$A$63:$DY$152,HLOOKUP('Personalized Bill Menu'!$B$21&amp;"_"&amp;'Personalized Bill Menu'!$B$23&amp;"_NG_Y_1",'Misc. Data &amp; Mechanisms'!$A$55:$DY$62,8,FALSE), FALSE)="", "", VLOOKUP($A29,'Misc. Data &amp; Mechanisms'!$A$63:$DY$152,HLOOKUP('Personalized Bill Menu'!$B$21&amp;"_"&amp;'Personalized Bill Menu'!$B$23&amp;"_NG_Y_1",'Misc. Data &amp; Mechanisms'!$A$55:$DY$62,8,FALSE), FALSE)), "")</f>
        <v>0.1111</v>
      </c>
      <c r="U29" s="78" t="str">
        <f>IFERROR(IF(VLOOKUP($A29,'Misc. Data &amp; Mechanisms'!$A$63:$DY$152,HLOOKUP('Personalized Bill Menu'!$B$21&amp;"_"&amp;'Personalized Bill Menu'!$B$23&amp;"_NG_Y_2",'Misc. Data &amp; Mechanisms'!$A$55:$DY$62,8,FALSE), FALSE)="", "",VLOOKUP($A29,'Misc. Data &amp; Mechanisms'!$A$63:$DY$152,HLOOKUP('Personalized Bill Menu'!$B$21&amp;"_"&amp;'Personalized Bill Menu'!$B$23&amp;"_NG_Y_2",'Misc. Data &amp; Mechanisms'!$A$55:$DY$62,8,FALSE), FALSE)), "")</f>
        <v/>
      </c>
      <c r="V29" s="72">
        <f ca="1">IF($A29="", "", IFERROR(IF('Personalized Bill Menu'!$B$23="ATCO-N", IF(OR('Personalized Bill Menu'!$B$21="Fort McMurray",AND('Personalized Bill Menu'!$B$21="Spruce Grove", $A29&lt;DATE(2019, 5, 1))),$T29*($G29+$H29+$J29),$T29*($H29+$J29)), IF('Personalized Bill Menu'!$B$23="ATCO-S",IF(OR('Personalized Bill Menu'!$B$21="Calgary",AND('Personalized Bill Menu'!$B$21="Okotoks", $A29&lt;DATE(2019, 1, 1))),$T29*($G29+$H29+$J29), $T29*($H29+$J29-$AG29)),IF(AND('Personalized Bill Menu'!$B$21="Athabasca", $A29&lt;DATE(2019, 5, 1)),$T29*($G29+$H29+$J29+$K29),$T29*($H29+$J29+$K29)))),0))</f>
        <v>11.824840064344972</v>
      </c>
      <c r="W29" s="72">
        <f ca="1">IF($A29="", "", IFERROR(IF('Personalized Bill Menu'!$B$23="ATCO-N", $U29*($H29+$J29), IF('Personalized Bill Menu'!$B$23="ATCO-S",$U29*($H29+$J29),$U29*($G29+$H29+$J29+$K29))),0))</f>
        <v>0</v>
      </c>
      <c r="X29" s="89" t="str">
        <f ca="1">IF($A29="", "",IFERROR(IF(VLOOKUP($A29, INDIRECT("'" &amp; 'Personalized Bill Menu'!$B$23 &amp; "'!" &amp;"$A$4:$CA$100"), VLOOKUP(VLOOKUP("RIDER RATE 1",'Misc. Data &amp; Mechanisms'!$P$601:$S$632,HLOOKUP('Personalized Bill Menu'!$B$23, 'Misc. Data &amp; Mechanisms'!$P$599:$S$600, 2, FALSE), FALSE), 'Misc. Data &amp; Mechanisms'!$L$599:$N$659, 2, FALSE), FALSE) = "", "", VLOOKUP($A29, INDIRECT("'" &amp; 'Personalized Bill Menu'!$B$23 &amp; "'!" &amp;"$A$4:$CA$100"), VLOOKUP(VLOOKUP("RIDER RATE 1",'Misc. Data &amp; Mechanisms'!$P$601:$S$632,HLOOKUP('Personalized Bill Menu'!$B$23, 'Misc. Data &amp; Mechanisms'!$P$599:$S$600, 2, FALSE), FALSE), 'Misc. Data &amp; Mechanisms'!$L$599:$N$659, 2, FALSE), FALSE)), ""))</f>
        <v/>
      </c>
      <c r="Y29" s="69" t="str">
        <f ca="1">IF($A29="", "",IFERROR(IF(VLOOKUP($A29, INDIRECT("'" &amp; 'Personalized Bill Menu'!$B$23 &amp; "'!" &amp;"$A$4:$CA$100"), VLOOKUP(VLOOKUP("RIDER RATE 2",'Misc. Data &amp; Mechanisms'!$P$601:$S$632,HLOOKUP('Personalized Bill Menu'!$B$23, 'Misc. Data &amp; Mechanisms'!$P$599:$S$600, 2, FALSE), FALSE), 'Misc. Data &amp; Mechanisms'!$L$599:$N$659, 2, FALSE), FALSE) = "", "", VLOOKUP($A29, INDIRECT("'" &amp; 'Personalized Bill Menu'!$B$23 &amp; "'!" &amp;"$A$4:$CA$100"), VLOOKUP(VLOOKUP("RIDER RATE 2",'Misc. Data &amp; Mechanisms'!$P$601:$S$632,HLOOKUP('Personalized Bill Menu'!$B$23, 'Misc. Data &amp; Mechanisms'!$P$599:$S$600, 2, FALSE), FALSE), 'Misc. Data &amp; Mechanisms'!$L$599:$N$659, 2, FALSE), FALSE)), ""))</f>
        <v/>
      </c>
      <c r="Z29" s="69" t="str">
        <f ca="1">IF($A29="", "",IFERROR(IF(VLOOKUP($A29, INDIRECT("'" &amp; 'Personalized Bill Menu'!$B$23 &amp; "'!" &amp;"$A$4:$CA$100"), VLOOKUP(VLOOKUP("RIDER RATE 3",'Misc. Data &amp; Mechanisms'!$P$601:$S$632,HLOOKUP('Personalized Bill Menu'!$B$23, 'Misc. Data &amp; Mechanisms'!$P$599:$S$600, 2, FALSE), FALSE), 'Misc. Data &amp; Mechanisms'!$L$599:$N$659, 2, FALSE), FALSE) = "", "", VLOOKUP($A29, INDIRECT("'" &amp; 'Personalized Bill Menu'!$B$23 &amp; "'!" &amp;"$A$4:$CA$100"), VLOOKUP(VLOOKUP("RIDER RATE 3",'Misc. Data &amp; Mechanisms'!$P$601:$S$632,HLOOKUP('Personalized Bill Menu'!$B$23, 'Misc. Data &amp; Mechanisms'!$P$599:$S$600, 2, FALSE), FALSE), 'Misc. Data &amp; Mechanisms'!$L$599:$N$659, 2, FALSE), FALSE)), ""))</f>
        <v/>
      </c>
      <c r="AA29" s="69" t="str">
        <f ca="1">IF($A29="", "",IFERROR(IF(VLOOKUP($A29, INDIRECT("'" &amp; 'Personalized Bill Menu'!$B$23 &amp; "'!" &amp;"$A$4:$CA$100"), VLOOKUP(VLOOKUP("RIDER RATE 4",'Misc. Data &amp; Mechanisms'!$P$601:$S$632,HLOOKUP('Personalized Bill Menu'!$B$23, 'Misc. Data &amp; Mechanisms'!$P$599:$S$600, 2, FALSE), FALSE), 'Misc. Data &amp; Mechanisms'!$L$599:$N$659, 2, FALSE), FALSE) = "", "", VLOOKUP($A29, INDIRECT("'" &amp; 'Personalized Bill Menu'!$B$23 &amp; "'!" &amp;"$A$4:$CA$100"), VLOOKUP(VLOOKUP("RIDER RATE 4",'Misc. Data &amp; Mechanisms'!$P$601:$S$632,HLOOKUP('Personalized Bill Menu'!$B$23, 'Misc. Data &amp; Mechanisms'!$P$599:$S$600, 2, FALSE), FALSE), 'Misc. Data &amp; Mechanisms'!$L$599:$N$659, 2, FALSE), FALSE)), ""))</f>
        <v/>
      </c>
      <c r="AB29" s="69">
        <f ca="1">IF($A29="", "",IFERROR(IF(VLOOKUP($A29, INDIRECT("'" &amp; 'Personalized Bill Menu'!$B$23 &amp; "'!" &amp;"$A$4:$CA$100"), VLOOKUP(VLOOKUP("RIDER RATE 5",'Misc. Data &amp; Mechanisms'!$P$601:$S$632,HLOOKUP('Personalized Bill Menu'!$B$23, 'Misc. Data &amp; Mechanisms'!$P$599:$S$600, 2, FALSE), FALSE), 'Misc. Data &amp; Mechanisms'!$L$599:$N$659, 2, FALSE), FALSE) = "", "", VLOOKUP($A29, INDIRECT("'" &amp; 'Personalized Bill Menu'!$B$23 &amp; "'!" &amp;"$A$4:$CA$100"), VLOOKUP(VLOOKUP("RIDER RATE 5",'Misc. Data &amp; Mechanisms'!$P$601:$S$632,HLOOKUP('Personalized Bill Menu'!$B$23, 'Misc. Data &amp; Mechanisms'!$P$599:$S$600, 2, FALSE), FALSE), 'Misc. Data &amp; Mechanisms'!$L$599:$N$659, 2, FALSE), FALSE)), ""))</f>
        <v>0.52800000000000002</v>
      </c>
      <c r="AC29" s="69" t="str">
        <f ca="1">IF($A29="", "",IFERROR(IF(VLOOKUP($A29, INDIRECT("'" &amp; 'Personalized Bill Menu'!$B$23 &amp; "'!" &amp;"$A$4:$CA$100"), VLOOKUP(VLOOKUP("RIDER RATE 6",'Misc. Data &amp; Mechanisms'!$P$601:$S$632,HLOOKUP('Personalized Bill Menu'!$B$23, 'Misc. Data &amp; Mechanisms'!$P$599:$S$600, 2, FALSE), FALSE), 'Misc. Data &amp; Mechanisms'!$L$599:$N$659, 2, FALSE), FALSE) = "", "", VLOOKUP($A29, INDIRECT("'" &amp; 'Personalized Bill Menu'!$B$23 &amp; "'!" &amp;"$A$4:$CA$100"), VLOOKUP(VLOOKUP("RIDER RATE 6",'Misc. Data &amp; Mechanisms'!$P$601:$S$632,HLOOKUP('Personalized Bill Menu'!$B$23, 'Misc. Data &amp; Mechanisms'!$P$599:$S$600, 2, FALSE), FALSE), 'Misc. Data &amp; Mechanisms'!$L$599:$N$659, 2, FALSE), FALSE)), ""))</f>
        <v/>
      </c>
      <c r="AD29" s="69" t="str">
        <f ca="1">IF($A29="", "",IFERROR(IF(VLOOKUP($A29, INDIRECT("'" &amp; 'Personalized Bill Menu'!$B$23 &amp; "'!" &amp;"$A$4:$CA$100"), VLOOKUP(VLOOKUP("RIDER RATE 7",'Misc. Data &amp; Mechanisms'!$P$601:$S$632,HLOOKUP('Personalized Bill Menu'!$B$23, 'Misc. Data &amp; Mechanisms'!$P$599:$S$600, 2, FALSE), FALSE), 'Misc. Data &amp; Mechanisms'!$L$599:$N$659, 2, FALSE), FALSE) = "", "", VLOOKUP($A29, INDIRECT("'" &amp; 'Personalized Bill Menu'!$B$23 &amp; "'!" &amp;"$A$4:$CA$100"), VLOOKUP(VLOOKUP("RIDER RATE 7",'Misc. Data &amp; Mechanisms'!$P$601:$S$632,HLOOKUP('Personalized Bill Menu'!$B$23, 'Misc. Data &amp; Mechanisms'!$P$599:$S$600, 2, FALSE), FALSE), 'Misc. Data &amp; Mechanisms'!$L$599:$N$659, 2, FALSE), FALSE)), ""))</f>
        <v/>
      </c>
      <c r="AE29" s="69" t="str">
        <f ca="1">IF($A29="", "",IFERROR(IF(VLOOKUP($A29, INDIRECT("'" &amp; 'Personalized Bill Menu'!$B$23 &amp; "'!" &amp;"$A$4:$CA$100"), VLOOKUP(VLOOKUP("RIDER RATE 8",'Misc. Data &amp; Mechanisms'!$P$601:$S$632,HLOOKUP('Personalized Bill Menu'!$B$23, 'Misc. Data &amp; Mechanisms'!$P$599:$S$600, 2, FALSE), FALSE), 'Misc. Data &amp; Mechanisms'!$L$599:$N$659, 2, FALSE), FALSE) = "", "", VLOOKUP($A29, INDIRECT("'" &amp; 'Personalized Bill Menu'!$B$23 &amp; "'!" &amp;"$A$4:$CA$100"), VLOOKUP(VLOOKUP("RIDER RATE 8",'Misc. Data &amp; Mechanisms'!$P$601:$S$632,HLOOKUP('Personalized Bill Menu'!$B$23, 'Misc. Data &amp; Mechanisms'!$P$599:$S$600, 2, FALSE), FALSE), 'Misc. Data &amp; Mechanisms'!$L$599:$N$659, 2, FALSE), FALSE)), ""))</f>
        <v/>
      </c>
      <c r="AF29" s="69" t="str">
        <f ca="1">IF($A29="", "",IFERROR(IF(VLOOKUP($A29, INDIRECT("'" &amp; 'Personalized Bill Menu'!$B$23 &amp; "'!" &amp;"$A$4:$CA$100"), VLOOKUP(VLOOKUP("RIDER RATE 9",'Misc. Data &amp; Mechanisms'!$P$601:$S$632,HLOOKUP('Personalized Bill Menu'!$B$23, 'Misc. Data &amp; Mechanisms'!$P$599:$S$600, 2, FALSE), FALSE), 'Misc. Data &amp; Mechanisms'!$L$599:$N$659, 2, FALSE), FALSE) = "", "", VLOOKUP($A29, INDIRECT("'" &amp; 'Personalized Bill Menu'!$B$23 &amp; "'!" &amp;"$A$4:$CA$100"), VLOOKUP(VLOOKUP("RIDER RATE 9",'Misc. Data &amp; Mechanisms'!$P$601:$S$632,HLOOKUP('Personalized Bill Menu'!$B$23, 'Misc. Data &amp; Mechanisms'!$P$599:$S$600, 2, FALSE), FALSE), 'Misc. Data &amp; Mechanisms'!$L$599:$N$659, 2, FALSE), FALSE)), ""))</f>
        <v/>
      </c>
      <c r="AG29" s="72">
        <f ca="1">IF($A29="", "", IFERROR(IF('Personalized Bill Menu'!$B$23="ATCO-N", ($X29*$B29) +($Y29*$C29), IF('Personalized Bill Menu'!$B$23="ATCO-S",$X29*$C29, IF($Y29="", ($X29*$H29), ($Y29*($H29+$K29))))), 0))</f>
        <v>0</v>
      </c>
      <c r="AH29" s="72">
        <f ca="1">IF($A29="", "", IFERROR(IF('Personalized Bill Menu'!$B$23="ATCO-S", $Y29*$C29, $Z29*$C29), 0))</f>
        <v>0</v>
      </c>
      <c r="AI29" s="72">
        <f ca="1">IF($A29="", "", IFERROR(IF('Personalized Bill Menu'!$B$23="ATCO-S", ($AA29*$C29)+($Z29*$B29), $AA29*$C29), 0))</f>
        <v>0</v>
      </c>
      <c r="AJ29" s="72">
        <f ca="1">IF($A29="", "", IFERROR(IF('Personalized Bill Menu'!$B$23&lt;&gt;"AltaGas",$AB29*$C29,""),0))</f>
        <v>8.9569039283438734</v>
      </c>
      <c r="AK29" s="72">
        <f ca="1">IF($A29="", "", IFERROR(IF('Personalized Bill Menu'!$B$23="ATCO-S",$AC29*$C29,IF('Personalized Bill Menu'!$B$23="ATCO-N",$AC29*1,"")),0))</f>
        <v>0</v>
      </c>
      <c r="AL29" s="72">
        <f ca="1">IF($A29="", "", IFERROR(IF('Personalized Bill Menu'!$B$23="ATCO-N",$AD29*$B29,IF('Personalized Bill Menu'!$B$23="ATCO-S",$AD29*1,"")),0))</f>
        <v>0</v>
      </c>
      <c r="AM29" s="72">
        <f ca="1">IF($A29="", "", IFERROR(IF('Personalized Bill Menu'!$B$23="ATCO-S",$AE29*$B29,IF('Personalized Bill Menu'!$B$23="ATCO-N",$AE29*$B29,"")),0))</f>
        <v>0</v>
      </c>
      <c r="AN29" s="70">
        <f ca="1">IF($A29="", "", IFERROR(IF('Personalized Bill Menu'!$B$23="ATCO-S",$AF29*$B29,""),0))</f>
        <v>0</v>
      </c>
      <c r="AO29" s="69">
        <f>IF('Personalized Bill Menu'!$B$34="Natural Gas", 'Personalized Bill Menu'!$K26, IF('Personalized Bill Menu'!$B$34="Both",'Personalized Bill Menu'!$O26,""))</f>
        <v>0.223</v>
      </c>
      <c r="AP29" s="72">
        <f t="shared" si="13"/>
        <v>6.69</v>
      </c>
      <c r="AQ29" s="89" t="str">
        <f ca="1">IF($A29="", "",IF(VLOOKUP($A29, INDIRECT("'" &amp; 'Personalized Bill Menu'!$B$23 &amp; "'!" &amp;"$A$4:$CA$100"), VLOOKUP(VLOOKUP(AQ$5,'Misc. Data &amp; Mechanisms'!$P$601:$S$632,HLOOKUP('Personalized Bill Menu'!$B$23, 'Misc. Data &amp; Mechanisms'!$P$599:$S$600, 2, FALSE), FALSE), 'Misc. Data &amp; Mechanisms'!$L$599:$N$659, 2, FALSE), FALSE) = "", "", VLOOKUP($A29, INDIRECT("'" &amp; 'Personalized Bill Menu'!$B$23 &amp; "'!" &amp;"$A$4:$CA$100"), VLOOKUP(VLOOKUP(AQ$5,'Misc. Data &amp; Mechanisms'!$P$601:$S$632,HLOOKUP('Personalized Bill Menu'!$B$23, 'Misc. Data &amp; Mechanisms'!$P$599:$S$600, 2, FALSE), FALSE), 'Misc. Data &amp; Mechanisms'!$L$599:$N$659, 2, FALSE), FALSE)))</f>
        <v/>
      </c>
      <c r="AR29" s="72">
        <f t="shared" ca="1" si="14"/>
        <v>0</v>
      </c>
      <c r="AS29" s="91">
        <f ca="1">IF($A29="", "",IF(VLOOKUP($A29, INDIRECT("'" &amp; 'Personalized Bill Menu'!$B$23 &amp; "'!" &amp;"$A$4:$CA$100"), VLOOKUP(VLOOKUP(AS$5,'Misc. Data &amp; Mechanisms'!$P$601:$S$632,HLOOKUP('Personalized Bill Menu'!$B$23, 'Misc. Data &amp; Mechanisms'!$P$599:$S$600, 2, FALSE), FALSE), 'Misc. Data &amp; Mechanisms'!$L$599:$N$659, 2, FALSE), FALSE) = "", "", VLOOKUP($A29, INDIRECT("'" &amp; 'Personalized Bill Menu'!$B$23 &amp; "'!" &amp;"$A$4:$CA$100"), VLOOKUP(VLOOKUP(AS$5,'Misc. Data &amp; Mechanisms'!$P$601:$S$632,HLOOKUP('Personalized Bill Menu'!$B$23, 'Misc. Data &amp; Mechanisms'!$P$599:$S$600, 2, FALSE), FALSE), 'Misc. Data &amp; Mechanisms'!$L$599:$N$659, 2, FALSE), FALSE)))</f>
        <v>0.05</v>
      </c>
      <c r="AT29" s="116"/>
      <c r="AU29" s="116"/>
      <c r="AV29" s="116"/>
      <c r="AW29" s="116"/>
      <c r="AX29" s="116"/>
    </row>
    <row r="30" spans="1:50" s="117" customFormat="1" x14ac:dyDescent="0.3">
      <c r="A30" s="83">
        <f>'Personalized Bill Menu'!$H27</f>
        <v>41609</v>
      </c>
      <c r="B30" s="84">
        <f t="shared" si="3"/>
        <v>31</v>
      </c>
      <c r="C30" s="85">
        <f>IF('Personalized Bill Menu'!$B$34="Natural Gas", 'Personalized Bill Menu'!$I27, IF('Personalized Bill Menu'!$B$34="Both",'Personalized Bill Menu'!$M27,""))</f>
        <v>22.923188669247907</v>
      </c>
      <c r="D30" s="66">
        <f t="shared" ca="1" si="4"/>
        <v>6.8074515223273817</v>
      </c>
      <c r="E30" s="66">
        <f ca="1">IF($C30="Not Applicable", "", IFERROR(IFERROR((1+$AS30)*IF('Personalized Bill Menu'!$B$23="ATCO-N", IF(OR('Personalized Bill Menu'!$B$21="Fort McMurray",AND('Personalized Bill Menu'!$B$21="Spruce Grove", $A30&lt;DATE(2019, 5, 1) )),(((1+IF($T30="",0,$T30))*($N30+$P30))+ (IF($U30="", 0, $U30)*$P30)+(1+IF($T30="",0,$T30)+IF($U30="", 0, $U30))*(SUM($Y30:$AB30))),($N30+((1+IF($T30="",0,$T30)+IF($U30="", 0, $U30))*$P30)+(1+IF($T30="",0,$T30)+IF($U30="", 0, $U30))*(SUM($Y30:$AB30)))), IF('Personalized Bill Menu'!$B$23="ATCO-S",IF(OR('Personalized Bill Menu'!$B$21="Calgary",AND('Personalized Bill Menu'!$B$21="Okotoks", $A30&lt;DATE(2019, 1, 1))),((1+IF($T30="",0,$T30))*($N30+$P30+SUM($X30:$Y30,$AA30:$AC30)))+(IF($U30="",0, $U30)*($P30+SUM($X30:$Y30,$AA30:$AC30))), ((1+IF($T30="",0,$T30))*($P30+SUM($Y30,$AA30:$AC30)))+(IF($U30="",0, $U30)*($P30+SUM($X30:$Y30,$AA30:$AC30)))+$N30+IF($X30="", 0, $X30)),IF(AND('Personalized Bill Menu'!$B$21="Athabasca", $A30&lt;DATE(2019, 5, 1)),((1+IF($T30="",0,$T30)+IF($U30="", 0, $U30))*($N30+((1+SUM($X30:$Y30))*$P30)+SUM($Z30:$AA30))),((1+IF($U30="", 0, $U30))*($N30+((1+SUM($X30:$Y30))*$P30)+SUM($Z30:$AA30))) + (IF($T30="",0,$T30)*(((1+SUM($X30:$Y30))*$P30)+SUM($Z30:$AA30)))))), "")+ IF($AQ30="", 0,((1+$AS30)*$AQ30)), ""))</f>
        <v>5.2791138750000002</v>
      </c>
      <c r="F30" s="118">
        <f t="shared" ca="1" si="5"/>
        <v>156.04849560306945</v>
      </c>
      <c r="G30" s="115">
        <f t="shared" si="0"/>
        <v>75.508983476502607</v>
      </c>
      <c r="H30" s="66">
        <f t="shared" ca="1" si="1"/>
        <v>39.923001634481281</v>
      </c>
      <c r="I30" s="66">
        <f t="shared" ca="1" si="2"/>
        <v>14.169186131719329</v>
      </c>
      <c r="J30" s="66">
        <f t="shared" ca="1" si="6"/>
        <v>12.103443617362895</v>
      </c>
      <c r="K30" s="66">
        <f t="shared" si="7"/>
        <v>6.9130000000000003</v>
      </c>
      <c r="L30" s="66">
        <f t="shared" ca="1" si="8"/>
        <v>0</v>
      </c>
      <c r="M30" s="68">
        <f t="shared" ca="1" si="9"/>
        <v>7.430880743003307</v>
      </c>
      <c r="N30" s="1290">
        <f>IF('Personalized Bill Menu'!$B$34="Natural Gas", 'Personalized Bill Menu'!$J27, IF('Personalized Bill Menu'!$B$34="Both",'Personalized Bill Menu'!$N27,""))</f>
        <v>3.294</v>
      </c>
      <c r="O30" s="70">
        <f t="shared" si="10"/>
        <v>75.508983476502607</v>
      </c>
      <c r="P30" s="89">
        <f ca="1">IF($A30="", "",IFERROR(IF(VLOOKUP($A30, INDIRECT("'" &amp; 'Personalized Bill Menu'!$B$23 &amp; "'!" &amp;"$A$4:$CA$100"), VLOOKUP(VLOOKUP(P$5,'Misc. Data &amp; Mechanisms'!$P$601:$S$632,HLOOKUP('Personalized Bill Menu'!$B$23, 'Misc. Data &amp; Mechanisms'!$P$599:$S$600, 2, FALSE), FALSE), 'Misc. Data &amp; Mechanisms'!$L$599:$N$659, 2, FALSE), FALSE) = "", "", VLOOKUP($A30, INDIRECT("'" &amp; 'Personalized Bill Menu'!$B$23 &amp; "'!" &amp;"$A$4:$CA$100"), VLOOKUP(VLOOKUP(P$5,'Misc. Data &amp; Mechanisms'!$P$601:$S$632,HLOOKUP('Personalized Bill Menu'!$B$23, 'Misc. Data &amp; Mechanisms'!$P$599:$S$600, 2, FALSE), FALSE), 'Misc. Data &amp; Mechanisms'!$L$599:$N$659, 2, FALSE), FALSE)), ""))</f>
        <v>0.70299999999999996</v>
      </c>
      <c r="Q30" s="69">
        <f ca="1">IF($A30="", "",IFERROR(IF(VLOOKUP($A30, INDIRECT("'" &amp; 'Personalized Bill Menu'!$B$23 &amp; "'!" &amp;"$A$4:$CA$100"), VLOOKUP(VLOOKUP(Q$5,'Misc. Data &amp; Mechanisms'!$P$601:$S$632,HLOOKUP('Personalized Bill Menu'!$B$23, 'Misc. Data &amp; Mechanisms'!$P$599:$S$600, 2, FALSE), FALSE), 'Misc. Data &amp; Mechanisms'!$L$599:$N$659, 2, FALSE), FALSE) = "", "", VLOOKUP($A30, INDIRECT("'" &amp; 'Personalized Bill Menu'!$B$23 &amp; "'!" &amp;"$A$4:$CA$100"), VLOOKUP(VLOOKUP(Q$5,'Misc. Data &amp; Mechanisms'!$P$601:$S$632,HLOOKUP('Personalized Bill Menu'!$B$23, 'Misc. Data &amp; Mechanisms'!$P$599:$S$600, 2, FALSE), FALSE), 'Misc. Data &amp; Mechanisms'!$L$599:$N$659, 2, FALSE), FALSE)), ""))</f>
        <v>0.76800000000000002</v>
      </c>
      <c r="R30" s="72">
        <f t="shared" ca="1" si="11"/>
        <v>16.115001634481278</v>
      </c>
      <c r="S30" s="70">
        <f t="shared" ca="1" si="12"/>
        <v>23.808</v>
      </c>
      <c r="T30" s="78">
        <f>IFERROR(IF(VLOOKUP($A30,'Misc. Data &amp; Mechanisms'!$A$63:$DY$152,HLOOKUP('Personalized Bill Menu'!$B$21&amp;"_"&amp;'Personalized Bill Menu'!$B$23&amp;"_NG_Y_1",'Misc. Data &amp; Mechanisms'!$A$55:$DY$62,8,FALSE), FALSE)="", "", VLOOKUP($A30,'Misc. Data &amp; Mechanisms'!$A$63:$DY$152,HLOOKUP('Personalized Bill Menu'!$B$21&amp;"_"&amp;'Personalized Bill Menu'!$B$23&amp;"_NG_Y_1",'Misc. Data &amp; Mechanisms'!$A$55:$DY$62,8,FALSE), FALSE)), "")</f>
        <v>0.1111</v>
      </c>
      <c r="U30" s="78" t="str">
        <f>IFERROR(IF(VLOOKUP($A30,'Misc. Data &amp; Mechanisms'!$A$63:$DY$152,HLOOKUP('Personalized Bill Menu'!$B$21&amp;"_"&amp;'Personalized Bill Menu'!$B$23&amp;"_NG_Y_2",'Misc. Data &amp; Mechanisms'!$A$55:$DY$62,8,FALSE), FALSE)="", "",VLOOKUP($A30,'Misc. Data &amp; Mechanisms'!$A$63:$DY$152,HLOOKUP('Personalized Bill Menu'!$B$21&amp;"_"&amp;'Personalized Bill Menu'!$B$23&amp;"_NG_Y_2",'Misc. Data &amp; Mechanisms'!$A$55:$DY$62,8,FALSE), FALSE)), "")</f>
        <v/>
      </c>
      <c r="V30" s="72">
        <f ca="1">IF($A30="", "", IFERROR(IF('Personalized Bill Menu'!$B$23="ATCO-N", IF(OR('Personalized Bill Menu'!$B$21="Fort McMurray",AND('Personalized Bill Menu'!$B$21="Spruce Grove", $A30&lt;DATE(2019, 5, 1))),$T30*($G30+$H30+$J30),$T30*($H30+$J30)), IF('Personalized Bill Menu'!$B$23="ATCO-S",IF(OR('Personalized Bill Menu'!$B$21="Calgary",AND('Personalized Bill Menu'!$B$21="Okotoks", $A30&lt;DATE(2019, 1, 1))),$T30*($G30+$H30+$J30), $T30*($H30+$J30-$AG30)),IF(AND('Personalized Bill Menu'!$B$21="Athabasca", $A30&lt;DATE(2019, 5, 1)),$T30*($G30+$H30+$J30+$K30),$T30*($H30+$J30+$K30)))),0))</f>
        <v>14.169186131719329</v>
      </c>
      <c r="W30" s="72">
        <f ca="1">IF($A30="", "", IFERROR(IF('Personalized Bill Menu'!$B$23="ATCO-N", $U30*($H30+$J30), IF('Personalized Bill Menu'!$B$23="ATCO-S",$U30*($H30+$J30),$U30*($G30+$H30+$J30+$K30))),0))</f>
        <v>0</v>
      </c>
      <c r="X30" s="89" t="str">
        <f ca="1">IF($A30="", "",IFERROR(IF(VLOOKUP($A30, INDIRECT("'" &amp; 'Personalized Bill Menu'!$B$23 &amp; "'!" &amp;"$A$4:$CA$100"), VLOOKUP(VLOOKUP("RIDER RATE 1",'Misc. Data &amp; Mechanisms'!$P$601:$S$632,HLOOKUP('Personalized Bill Menu'!$B$23, 'Misc. Data &amp; Mechanisms'!$P$599:$S$600, 2, FALSE), FALSE), 'Misc. Data &amp; Mechanisms'!$L$599:$N$659, 2, FALSE), FALSE) = "", "", VLOOKUP($A30, INDIRECT("'" &amp; 'Personalized Bill Menu'!$B$23 &amp; "'!" &amp;"$A$4:$CA$100"), VLOOKUP(VLOOKUP("RIDER RATE 1",'Misc. Data &amp; Mechanisms'!$P$601:$S$632,HLOOKUP('Personalized Bill Menu'!$B$23, 'Misc. Data &amp; Mechanisms'!$P$599:$S$600, 2, FALSE), FALSE), 'Misc. Data &amp; Mechanisms'!$L$599:$N$659, 2, FALSE), FALSE)), ""))</f>
        <v/>
      </c>
      <c r="Y30" s="69" t="str">
        <f ca="1">IF($A30="", "",IFERROR(IF(VLOOKUP($A30, INDIRECT("'" &amp; 'Personalized Bill Menu'!$B$23 &amp; "'!" &amp;"$A$4:$CA$100"), VLOOKUP(VLOOKUP("RIDER RATE 2",'Misc. Data &amp; Mechanisms'!$P$601:$S$632,HLOOKUP('Personalized Bill Menu'!$B$23, 'Misc. Data &amp; Mechanisms'!$P$599:$S$600, 2, FALSE), FALSE), 'Misc. Data &amp; Mechanisms'!$L$599:$N$659, 2, FALSE), FALSE) = "", "", VLOOKUP($A30, INDIRECT("'" &amp; 'Personalized Bill Menu'!$B$23 &amp; "'!" &amp;"$A$4:$CA$100"), VLOOKUP(VLOOKUP("RIDER RATE 2",'Misc. Data &amp; Mechanisms'!$P$601:$S$632,HLOOKUP('Personalized Bill Menu'!$B$23, 'Misc. Data &amp; Mechanisms'!$P$599:$S$600, 2, FALSE), FALSE), 'Misc. Data &amp; Mechanisms'!$L$599:$N$659, 2, FALSE), FALSE)), ""))</f>
        <v/>
      </c>
      <c r="Z30" s="69" t="str">
        <f ca="1">IF($A30="", "",IFERROR(IF(VLOOKUP($A30, INDIRECT("'" &amp; 'Personalized Bill Menu'!$B$23 &amp; "'!" &amp;"$A$4:$CA$100"), VLOOKUP(VLOOKUP("RIDER RATE 3",'Misc. Data &amp; Mechanisms'!$P$601:$S$632,HLOOKUP('Personalized Bill Menu'!$B$23, 'Misc. Data &amp; Mechanisms'!$P$599:$S$600, 2, FALSE), FALSE), 'Misc. Data &amp; Mechanisms'!$L$599:$N$659, 2, FALSE), FALSE) = "", "", VLOOKUP($A30, INDIRECT("'" &amp; 'Personalized Bill Menu'!$B$23 &amp; "'!" &amp;"$A$4:$CA$100"), VLOOKUP(VLOOKUP("RIDER RATE 3",'Misc. Data &amp; Mechanisms'!$P$601:$S$632,HLOOKUP('Personalized Bill Menu'!$B$23, 'Misc. Data &amp; Mechanisms'!$P$599:$S$600, 2, FALSE), FALSE), 'Misc. Data &amp; Mechanisms'!$L$599:$N$659, 2, FALSE), FALSE)), ""))</f>
        <v/>
      </c>
      <c r="AA30" s="69" t="str">
        <f ca="1">IF($A30="", "",IFERROR(IF(VLOOKUP($A30, INDIRECT("'" &amp; 'Personalized Bill Menu'!$B$23 &amp; "'!" &amp;"$A$4:$CA$100"), VLOOKUP(VLOOKUP("RIDER RATE 4",'Misc. Data &amp; Mechanisms'!$P$601:$S$632,HLOOKUP('Personalized Bill Menu'!$B$23, 'Misc. Data &amp; Mechanisms'!$P$599:$S$600, 2, FALSE), FALSE), 'Misc. Data &amp; Mechanisms'!$L$599:$N$659, 2, FALSE), FALSE) = "", "", VLOOKUP($A30, INDIRECT("'" &amp; 'Personalized Bill Menu'!$B$23 &amp; "'!" &amp;"$A$4:$CA$100"), VLOOKUP(VLOOKUP("RIDER RATE 4",'Misc. Data &amp; Mechanisms'!$P$601:$S$632,HLOOKUP('Personalized Bill Menu'!$B$23, 'Misc. Data &amp; Mechanisms'!$P$599:$S$600, 2, FALSE), FALSE), 'Misc. Data &amp; Mechanisms'!$L$599:$N$659, 2, FALSE), FALSE)), ""))</f>
        <v/>
      </c>
      <c r="AB30" s="69">
        <f ca="1">IF($A30="", "",IFERROR(IF(VLOOKUP($A30, INDIRECT("'" &amp; 'Personalized Bill Menu'!$B$23 &amp; "'!" &amp;"$A$4:$CA$100"), VLOOKUP(VLOOKUP("RIDER RATE 5",'Misc. Data &amp; Mechanisms'!$P$601:$S$632,HLOOKUP('Personalized Bill Menu'!$B$23, 'Misc. Data &amp; Mechanisms'!$P$599:$S$600, 2, FALSE), FALSE), 'Misc. Data &amp; Mechanisms'!$L$599:$N$659, 2, FALSE), FALSE) = "", "", VLOOKUP($A30, INDIRECT("'" &amp; 'Personalized Bill Menu'!$B$23 &amp; "'!" &amp;"$A$4:$CA$100"), VLOOKUP(VLOOKUP("RIDER RATE 5",'Misc. Data &amp; Mechanisms'!$P$601:$S$632,HLOOKUP('Personalized Bill Menu'!$B$23, 'Misc. Data &amp; Mechanisms'!$P$599:$S$600, 2, FALSE), FALSE), 'Misc. Data &amp; Mechanisms'!$L$599:$N$659, 2, FALSE), FALSE)), ""))</f>
        <v>0.52800000000000002</v>
      </c>
      <c r="AC30" s="69" t="str">
        <f ca="1">IF($A30="", "",IFERROR(IF(VLOOKUP($A30, INDIRECT("'" &amp; 'Personalized Bill Menu'!$B$23 &amp; "'!" &amp;"$A$4:$CA$100"), VLOOKUP(VLOOKUP("RIDER RATE 6",'Misc. Data &amp; Mechanisms'!$P$601:$S$632,HLOOKUP('Personalized Bill Menu'!$B$23, 'Misc. Data &amp; Mechanisms'!$P$599:$S$600, 2, FALSE), FALSE), 'Misc. Data &amp; Mechanisms'!$L$599:$N$659, 2, FALSE), FALSE) = "", "", VLOOKUP($A30, INDIRECT("'" &amp; 'Personalized Bill Menu'!$B$23 &amp; "'!" &amp;"$A$4:$CA$100"), VLOOKUP(VLOOKUP("RIDER RATE 6",'Misc. Data &amp; Mechanisms'!$P$601:$S$632,HLOOKUP('Personalized Bill Menu'!$B$23, 'Misc. Data &amp; Mechanisms'!$P$599:$S$600, 2, FALSE), FALSE), 'Misc. Data &amp; Mechanisms'!$L$599:$N$659, 2, FALSE), FALSE)), ""))</f>
        <v/>
      </c>
      <c r="AD30" s="69" t="str">
        <f ca="1">IF($A30="", "",IFERROR(IF(VLOOKUP($A30, INDIRECT("'" &amp; 'Personalized Bill Menu'!$B$23 &amp; "'!" &amp;"$A$4:$CA$100"), VLOOKUP(VLOOKUP("RIDER RATE 7",'Misc. Data &amp; Mechanisms'!$P$601:$S$632,HLOOKUP('Personalized Bill Menu'!$B$23, 'Misc. Data &amp; Mechanisms'!$P$599:$S$600, 2, FALSE), FALSE), 'Misc. Data &amp; Mechanisms'!$L$599:$N$659, 2, FALSE), FALSE) = "", "", VLOOKUP($A30, INDIRECT("'" &amp; 'Personalized Bill Menu'!$B$23 &amp; "'!" &amp;"$A$4:$CA$100"), VLOOKUP(VLOOKUP("RIDER RATE 7",'Misc. Data &amp; Mechanisms'!$P$601:$S$632,HLOOKUP('Personalized Bill Menu'!$B$23, 'Misc. Data &amp; Mechanisms'!$P$599:$S$600, 2, FALSE), FALSE), 'Misc. Data &amp; Mechanisms'!$L$599:$N$659, 2, FALSE), FALSE)), ""))</f>
        <v/>
      </c>
      <c r="AE30" s="69" t="str">
        <f ca="1">IF($A30="", "",IFERROR(IF(VLOOKUP($A30, INDIRECT("'" &amp; 'Personalized Bill Menu'!$B$23 &amp; "'!" &amp;"$A$4:$CA$100"), VLOOKUP(VLOOKUP("RIDER RATE 8",'Misc. Data &amp; Mechanisms'!$P$601:$S$632,HLOOKUP('Personalized Bill Menu'!$B$23, 'Misc. Data &amp; Mechanisms'!$P$599:$S$600, 2, FALSE), FALSE), 'Misc. Data &amp; Mechanisms'!$L$599:$N$659, 2, FALSE), FALSE) = "", "", VLOOKUP($A30, INDIRECT("'" &amp; 'Personalized Bill Menu'!$B$23 &amp; "'!" &amp;"$A$4:$CA$100"), VLOOKUP(VLOOKUP("RIDER RATE 8",'Misc. Data &amp; Mechanisms'!$P$601:$S$632,HLOOKUP('Personalized Bill Menu'!$B$23, 'Misc. Data &amp; Mechanisms'!$P$599:$S$600, 2, FALSE), FALSE), 'Misc. Data &amp; Mechanisms'!$L$599:$N$659, 2, FALSE), FALSE)), ""))</f>
        <v/>
      </c>
      <c r="AF30" s="69" t="str">
        <f ca="1">IF($A30="", "",IFERROR(IF(VLOOKUP($A30, INDIRECT("'" &amp; 'Personalized Bill Menu'!$B$23 &amp; "'!" &amp;"$A$4:$CA$100"), VLOOKUP(VLOOKUP("RIDER RATE 9",'Misc. Data &amp; Mechanisms'!$P$601:$S$632,HLOOKUP('Personalized Bill Menu'!$B$23, 'Misc. Data &amp; Mechanisms'!$P$599:$S$600, 2, FALSE), FALSE), 'Misc. Data &amp; Mechanisms'!$L$599:$N$659, 2, FALSE), FALSE) = "", "", VLOOKUP($A30, INDIRECT("'" &amp; 'Personalized Bill Menu'!$B$23 &amp; "'!" &amp;"$A$4:$CA$100"), VLOOKUP(VLOOKUP("RIDER RATE 9",'Misc. Data &amp; Mechanisms'!$P$601:$S$632,HLOOKUP('Personalized Bill Menu'!$B$23, 'Misc. Data &amp; Mechanisms'!$P$599:$S$600, 2, FALSE), FALSE), 'Misc. Data &amp; Mechanisms'!$L$599:$N$659, 2, FALSE), FALSE)), ""))</f>
        <v/>
      </c>
      <c r="AG30" s="72">
        <f ca="1">IF($A30="", "", IFERROR(IF('Personalized Bill Menu'!$B$23="ATCO-N", ($X30*$B30) +($Y30*$C30), IF('Personalized Bill Menu'!$B$23="ATCO-S",$X30*$C30, IF($Y30="", ($X30*$H30), ($Y30*($H30+$K30))))), 0))</f>
        <v>0</v>
      </c>
      <c r="AH30" s="72">
        <f ca="1">IF($A30="", "", IFERROR(IF('Personalized Bill Menu'!$B$23="ATCO-S", $Y30*$C30, $Z30*$C30), 0))</f>
        <v>0</v>
      </c>
      <c r="AI30" s="72">
        <f ca="1">IF($A30="", "", IFERROR(IF('Personalized Bill Menu'!$B$23="ATCO-S", ($AA30*$C30)+($Z30*$B30), $AA30*$C30), 0))</f>
        <v>0</v>
      </c>
      <c r="AJ30" s="72">
        <f ca="1">IF($A30="", "", IFERROR(IF('Personalized Bill Menu'!$B$23&lt;&gt;"AltaGas",$AB30*$C30,""),0))</f>
        <v>12.103443617362895</v>
      </c>
      <c r="AK30" s="72">
        <f ca="1">IF($A30="", "", IFERROR(IF('Personalized Bill Menu'!$B$23="ATCO-S",$AC30*$C30,IF('Personalized Bill Menu'!$B$23="ATCO-N",$AC30*1,"")),0))</f>
        <v>0</v>
      </c>
      <c r="AL30" s="72">
        <f ca="1">IF($A30="", "", IFERROR(IF('Personalized Bill Menu'!$B$23="ATCO-N",$AD30*$B30,IF('Personalized Bill Menu'!$B$23="ATCO-S",$AD30*1,"")),0))</f>
        <v>0</v>
      </c>
      <c r="AM30" s="72">
        <f ca="1">IF($A30="", "", IFERROR(IF('Personalized Bill Menu'!$B$23="ATCO-S",$AE30*$B30,IF('Personalized Bill Menu'!$B$23="ATCO-N",$AE30*$B30,"")),0))</f>
        <v>0</v>
      </c>
      <c r="AN30" s="70">
        <f ca="1">IF($A30="", "", IFERROR(IF('Personalized Bill Menu'!$B$23="ATCO-S",$AF30*$B30,""),0))</f>
        <v>0</v>
      </c>
      <c r="AO30" s="69">
        <f>IF('Personalized Bill Menu'!$B$34="Natural Gas", 'Personalized Bill Menu'!$K27, IF('Personalized Bill Menu'!$B$34="Both",'Personalized Bill Menu'!$O27,""))</f>
        <v>0.223</v>
      </c>
      <c r="AP30" s="72">
        <f t="shared" si="13"/>
        <v>6.9130000000000003</v>
      </c>
      <c r="AQ30" s="89" t="str">
        <f ca="1">IF($A30="", "",IF(VLOOKUP($A30, INDIRECT("'" &amp; 'Personalized Bill Menu'!$B$23 &amp; "'!" &amp;"$A$4:$CA$100"), VLOOKUP(VLOOKUP(AQ$5,'Misc. Data &amp; Mechanisms'!$P$601:$S$632,HLOOKUP('Personalized Bill Menu'!$B$23, 'Misc. Data &amp; Mechanisms'!$P$599:$S$600, 2, FALSE), FALSE), 'Misc. Data &amp; Mechanisms'!$L$599:$N$659, 2, FALSE), FALSE) = "", "", VLOOKUP($A30, INDIRECT("'" &amp; 'Personalized Bill Menu'!$B$23 &amp; "'!" &amp;"$A$4:$CA$100"), VLOOKUP(VLOOKUP(AQ$5,'Misc. Data &amp; Mechanisms'!$P$601:$S$632,HLOOKUP('Personalized Bill Menu'!$B$23, 'Misc. Data &amp; Mechanisms'!$P$599:$S$600, 2, FALSE), FALSE), 'Misc. Data &amp; Mechanisms'!$L$599:$N$659, 2, FALSE), FALSE)))</f>
        <v/>
      </c>
      <c r="AR30" s="72">
        <f t="shared" ca="1" si="14"/>
        <v>0</v>
      </c>
      <c r="AS30" s="91">
        <f ca="1">IF($A30="", "",IF(VLOOKUP($A30, INDIRECT("'" &amp; 'Personalized Bill Menu'!$B$23 &amp; "'!" &amp;"$A$4:$CA$100"), VLOOKUP(VLOOKUP(AS$5,'Misc. Data &amp; Mechanisms'!$P$601:$S$632,HLOOKUP('Personalized Bill Menu'!$B$23, 'Misc. Data &amp; Mechanisms'!$P$599:$S$600, 2, FALSE), FALSE), 'Misc. Data &amp; Mechanisms'!$L$599:$N$659, 2, FALSE), FALSE) = "", "", VLOOKUP($A30, INDIRECT("'" &amp; 'Personalized Bill Menu'!$B$23 &amp; "'!" &amp;"$A$4:$CA$100"), VLOOKUP(VLOOKUP(AS$5,'Misc. Data &amp; Mechanisms'!$P$601:$S$632,HLOOKUP('Personalized Bill Menu'!$B$23, 'Misc. Data &amp; Mechanisms'!$P$599:$S$600, 2, FALSE), FALSE), 'Misc. Data &amp; Mechanisms'!$L$599:$N$659, 2, FALSE), FALSE)))</f>
        <v>0.05</v>
      </c>
      <c r="AT30" s="116"/>
      <c r="AU30" s="116"/>
      <c r="AV30" s="116"/>
      <c r="AW30" s="116"/>
      <c r="AX30" s="116"/>
    </row>
    <row r="31" spans="1:50" s="117" customFormat="1" x14ac:dyDescent="0.3">
      <c r="A31" s="83">
        <f>'Personalized Bill Menu'!$H28</f>
        <v>41640</v>
      </c>
      <c r="B31" s="84">
        <f t="shared" si="3"/>
        <v>31</v>
      </c>
      <c r="C31" s="85">
        <f>IF('Personalized Bill Menu'!$B$34="Natural Gas", 'Personalized Bill Menu'!$I28, IF('Personalized Bill Menu'!$B$34="Both",'Personalized Bill Menu'!$M28,""))</f>
        <v>17.678761695170117</v>
      </c>
      <c r="D31" s="66">
        <f t="shared" ca="1" si="4"/>
        <v>8.2323544584292669</v>
      </c>
      <c r="E31" s="66">
        <f ca="1">IF($C31="Not Applicable", "", IFERROR(IFERROR((1+$AS31)*IF('Personalized Bill Menu'!$B$23="ATCO-N", IF(OR('Personalized Bill Menu'!$B$21="Fort McMurray",AND('Personalized Bill Menu'!$B$21="Spruce Grove", $A31&lt;DATE(2019, 5, 1) )),(((1+IF($T31="",0,$T31))*($N31+$P31))+ (IF($U31="", 0, $U31)*$P31)+(1+IF($T31="",0,$T31)+IF($U31="", 0, $U31))*(SUM($Y31:$AB31))),($N31+((1+IF($T31="",0,$T31)+IF($U31="", 0, $U31))*$P31)+(1+IF($T31="",0,$T31)+IF($U31="", 0, $U31))*(SUM($Y31:$AB31)))), IF('Personalized Bill Menu'!$B$23="ATCO-S",IF(OR('Personalized Bill Menu'!$B$21="Calgary",AND('Personalized Bill Menu'!$B$21="Okotoks", $A31&lt;DATE(2019, 1, 1))),((1+IF($T31="",0,$T31))*($N31+$P31+SUM($X31:$Y31,$AA31:$AC31)))+(IF($U31="",0, $U31)*($P31+SUM($X31:$Y31,$AA31:$AC31))), ((1+IF($T31="",0,$T31))*($P31+SUM($Y31,$AA31:$AC31)))+(IF($U31="",0, $U31)*($P31+SUM($X31:$Y31,$AA31:$AC31)))+$N31+IF($X31="", 0, $X31)),IF(AND('Personalized Bill Menu'!$B$21="Athabasca", $A31&lt;DATE(2019, 5, 1)),((1+IF($T31="",0,$T31)+IF($U31="", 0, $U31))*($N31+((1+SUM($X31:$Y31))*$P31)+SUM($Z31:$AA31))),((1+IF($U31="", 0, $U31))*($N31+((1+SUM($X31:$Y31))*$P31)+SUM($Z31:$AA31))) + (IF($T31="",0,$T31)*(((1+SUM($X31:$Y31))*$P31)+SUM($Z31:$AA31)))))), "")+ IF($AQ31="", 0,((1+$AS31)*$AQ31)), ""))</f>
        <v>6.2567707649999997</v>
      </c>
      <c r="F31" s="118">
        <f t="shared" ca="1" si="5"/>
        <v>145.53783266074225</v>
      </c>
      <c r="G31" s="115">
        <f t="shared" si="0"/>
        <v>72.606674282063679</v>
      </c>
      <c r="H31" s="66">
        <f t="shared" ca="1" si="1"/>
        <v>36.585138514083845</v>
      </c>
      <c r="I31" s="66">
        <f t="shared" ca="1" si="2"/>
        <v>13.168260705700026</v>
      </c>
      <c r="J31" s="66">
        <f t="shared" ca="1" si="6"/>
        <v>9.334386175049822</v>
      </c>
      <c r="K31" s="66">
        <f t="shared" si="7"/>
        <v>6.9130000000000003</v>
      </c>
      <c r="L31" s="66">
        <f t="shared" ca="1" si="8"/>
        <v>0</v>
      </c>
      <c r="M31" s="68">
        <f t="shared" ca="1" si="9"/>
        <v>6.9303729838448689</v>
      </c>
      <c r="N31" s="1290">
        <f>IF('Personalized Bill Menu'!$B$34="Natural Gas", 'Personalized Bill Menu'!$J28, IF('Personalized Bill Menu'!$B$34="Both",'Personalized Bill Menu'!$N28,""))</f>
        <v>4.1070000000000002</v>
      </c>
      <c r="O31" s="70">
        <f t="shared" si="10"/>
        <v>72.606674282063679</v>
      </c>
      <c r="P31" s="89">
        <f ca="1">IF($A31="", "",IFERROR(IF(VLOOKUP($A31, INDIRECT("'" &amp; 'Personalized Bill Menu'!$B$23 &amp; "'!" &amp;"$A$4:$CA$100"), VLOOKUP(VLOOKUP(P$5,'Misc. Data &amp; Mechanisms'!$P$601:$S$632,HLOOKUP('Personalized Bill Menu'!$B$23, 'Misc. Data &amp; Mechanisms'!$P$599:$S$600, 2, FALSE), FALSE), 'Misc. Data &amp; Mechanisms'!$L$599:$N$659, 2, FALSE), FALSE) = "", "", VLOOKUP($A31, INDIRECT("'" &amp; 'Personalized Bill Menu'!$B$23 &amp; "'!" &amp;"$A$4:$CA$100"), VLOOKUP(VLOOKUP(P$5,'Misc. Data &amp; Mechanisms'!$P$601:$S$632,HLOOKUP('Personalized Bill Menu'!$B$23, 'Misc. Data &amp; Mechanisms'!$P$599:$S$600, 2, FALSE), FALSE), 'Misc. Data &amp; Mechanisms'!$L$599:$N$659, 2, FALSE), FALSE)), ""))</f>
        <v>0.72799999999999998</v>
      </c>
      <c r="Q31" s="69">
        <f ca="1">IF($A31="", "",IFERROR(IF(VLOOKUP($A31, INDIRECT("'" &amp; 'Personalized Bill Menu'!$B$23 &amp; "'!" &amp;"$A$4:$CA$100"), VLOOKUP(VLOOKUP(Q$5,'Misc. Data &amp; Mechanisms'!$P$601:$S$632,HLOOKUP('Personalized Bill Menu'!$B$23, 'Misc. Data &amp; Mechanisms'!$P$599:$S$600, 2, FALSE), FALSE), 'Misc. Data &amp; Mechanisms'!$L$599:$N$659, 2, FALSE), FALSE) = "", "", VLOOKUP($A31, INDIRECT("'" &amp; 'Personalized Bill Menu'!$B$23 &amp; "'!" &amp;"$A$4:$CA$100"), VLOOKUP(VLOOKUP(Q$5,'Misc. Data &amp; Mechanisms'!$P$601:$S$632,HLOOKUP('Personalized Bill Menu'!$B$23, 'Misc. Data &amp; Mechanisms'!$P$599:$S$600, 2, FALSE), FALSE), 'Misc. Data &amp; Mechanisms'!$L$599:$N$659, 2, FALSE), FALSE)), ""))</f>
        <v>0.76500000000000001</v>
      </c>
      <c r="R31" s="72">
        <f t="shared" ca="1" si="11"/>
        <v>12.870138514083845</v>
      </c>
      <c r="S31" s="70">
        <f t="shared" ca="1" si="12"/>
        <v>23.715</v>
      </c>
      <c r="T31" s="78">
        <f>IFERROR(IF(VLOOKUP($A31,'Misc. Data &amp; Mechanisms'!$A$63:$DY$152,HLOOKUP('Personalized Bill Menu'!$B$21&amp;"_"&amp;'Personalized Bill Menu'!$B$23&amp;"_NG_Y_1",'Misc. Data &amp; Mechanisms'!$A$55:$DY$62,8,FALSE), FALSE)="", "", VLOOKUP($A31,'Misc. Data &amp; Mechanisms'!$A$63:$DY$152,HLOOKUP('Personalized Bill Menu'!$B$21&amp;"_"&amp;'Personalized Bill Menu'!$B$23&amp;"_NG_Y_1",'Misc. Data &amp; Mechanisms'!$A$55:$DY$62,8,FALSE), FALSE)), "")</f>
        <v>0.1111</v>
      </c>
      <c r="U31" s="78" t="str">
        <f>IFERROR(IF(VLOOKUP($A31,'Misc. Data &amp; Mechanisms'!$A$63:$DY$152,HLOOKUP('Personalized Bill Menu'!$B$21&amp;"_"&amp;'Personalized Bill Menu'!$B$23&amp;"_NG_Y_2",'Misc. Data &amp; Mechanisms'!$A$55:$DY$62,8,FALSE), FALSE)="", "",VLOOKUP($A31,'Misc. Data &amp; Mechanisms'!$A$63:$DY$152,HLOOKUP('Personalized Bill Menu'!$B$21&amp;"_"&amp;'Personalized Bill Menu'!$B$23&amp;"_NG_Y_2",'Misc. Data &amp; Mechanisms'!$A$55:$DY$62,8,FALSE), FALSE)), "")</f>
        <v/>
      </c>
      <c r="V31" s="72">
        <f ca="1">IF($A31="", "", IFERROR(IF('Personalized Bill Menu'!$B$23="ATCO-N", IF(OR('Personalized Bill Menu'!$B$21="Fort McMurray",AND('Personalized Bill Menu'!$B$21="Spruce Grove", $A31&lt;DATE(2019, 5, 1))),$T31*($G31+$H31+$J31),$T31*($H31+$J31)), IF('Personalized Bill Menu'!$B$23="ATCO-S",IF(OR('Personalized Bill Menu'!$B$21="Calgary",AND('Personalized Bill Menu'!$B$21="Okotoks", $A31&lt;DATE(2019, 1, 1))),$T31*($G31+$H31+$J31), $T31*($H31+$J31-$AG31)),IF(AND('Personalized Bill Menu'!$B$21="Athabasca", $A31&lt;DATE(2019, 5, 1)),$T31*($G31+$H31+$J31+$K31),$T31*($H31+$J31+$K31)))),0))</f>
        <v>13.168260705700026</v>
      </c>
      <c r="W31" s="72">
        <f ca="1">IF($A31="", "", IFERROR(IF('Personalized Bill Menu'!$B$23="ATCO-N", $U31*($H31+$J31), IF('Personalized Bill Menu'!$B$23="ATCO-S",$U31*($H31+$J31),$U31*($G31+$H31+$J31+$K31))),0))</f>
        <v>0</v>
      </c>
      <c r="X31" s="89" t="str">
        <f ca="1">IF($A31="", "",IFERROR(IF(VLOOKUP($A31, INDIRECT("'" &amp; 'Personalized Bill Menu'!$B$23 &amp; "'!" &amp;"$A$4:$CA$100"), VLOOKUP(VLOOKUP("RIDER RATE 1",'Misc. Data &amp; Mechanisms'!$P$601:$S$632,HLOOKUP('Personalized Bill Menu'!$B$23, 'Misc. Data &amp; Mechanisms'!$P$599:$S$600, 2, FALSE), FALSE), 'Misc. Data &amp; Mechanisms'!$L$599:$N$659, 2, FALSE), FALSE) = "", "", VLOOKUP($A31, INDIRECT("'" &amp; 'Personalized Bill Menu'!$B$23 &amp; "'!" &amp;"$A$4:$CA$100"), VLOOKUP(VLOOKUP("RIDER RATE 1",'Misc. Data &amp; Mechanisms'!$P$601:$S$632,HLOOKUP('Personalized Bill Menu'!$B$23, 'Misc. Data &amp; Mechanisms'!$P$599:$S$600, 2, FALSE), FALSE), 'Misc. Data &amp; Mechanisms'!$L$599:$N$659, 2, FALSE), FALSE)), ""))</f>
        <v/>
      </c>
      <c r="Y31" s="69" t="str">
        <f ca="1">IF($A31="", "",IFERROR(IF(VLOOKUP($A31, INDIRECT("'" &amp; 'Personalized Bill Menu'!$B$23 &amp; "'!" &amp;"$A$4:$CA$100"), VLOOKUP(VLOOKUP("RIDER RATE 2",'Misc. Data &amp; Mechanisms'!$P$601:$S$632,HLOOKUP('Personalized Bill Menu'!$B$23, 'Misc. Data &amp; Mechanisms'!$P$599:$S$600, 2, FALSE), FALSE), 'Misc. Data &amp; Mechanisms'!$L$599:$N$659, 2, FALSE), FALSE) = "", "", VLOOKUP($A31, INDIRECT("'" &amp; 'Personalized Bill Menu'!$B$23 &amp; "'!" &amp;"$A$4:$CA$100"), VLOOKUP(VLOOKUP("RIDER RATE 2",'Misc. Data &amp; Mechanisms'!$P$601:$S$632,HLOOKUP('Personalized Bill Menu'!$B$23, 'Misc. Data &amp; Mechanisms'!$P$599:$S$600, 2, FALSE), FALSE), 'Misc. Data &amp; Mechanisms'!$L$599:$N$659, 2, FALSE), FALSE)), ""))</f>
        <v/>
      </c>
      <c r="Z31" s="69" t="str">
        <f ca="1">IF($A31="", "",IFERROR(IF(VLOOKUP($A31, INDIRECT("'" &amp; 'Personalized Bill Menu'!$B$23 &amp; "'!" &amp;"$A$4:$CA$100"), VLOOKUP(VLOOKUP("RIDER RATE 3",'Misc. Data &amp; Mechanisms'!$P$601:$S$632,HLOOKUP('Personalized Bill Menu'!$B$23, 'Misc. Data &amp; Mechanisms'!$P$599:$S$600, 2, FALSE), FALSE), 'Misc. Data &amp; Mechanisms'!$L$599:$N$659, 2, FALSE), FALSE) = "", "", VLOOKUP($A31, INDIRECT("'" &amp; 'Personalized Bill Menu'!$B$23 &amp; "'!" &amp;"$A$4:$CA$100"), VLOOKUP(VLOOKUP("RIDER RATE 3",'Misc. Data &amp; Mechanisms'!$P$601:$S$632,HLOOKUP('Personalized Bill Menu'!$B$23, 'Misc. Data &amp; Mechanisms'!$P$599:$S$600, 2, FALSE), FALSE), 'Misc. Data &amp; Mechanisms'!$L$599:$N$659, 2, FALSE), FALSE)), ""))</f>
        <v/>
      </c>
      <c r="AA31" s="69" t="str">
        <f ca="1">IF($A31="", "",IFERROR(IF(VLOOKUP($A31, INDIRECT("'" &amp; 'Personalized Bill Menu'!$B$23 &amp; "'!" &amp;"$A$4:$CA$100"), VLOOKUP(VLOOKUP("RIDER RATE 4",'Misc. Data &amp; Mechanisms'!$P$601:$S$632,HLOOKUP('Personalized Bill Menu'!$B$23, 'Misc. Data &amp; Mechanisms'!$P$599:$S$600, 2, FALSE), FALSE), 'Misc. Data &amp; Mechanisms'!$L$599:$N$659, 2, FALSE), FALSE) = "", "", VLOOKUP($A31, INDIRECT("'" &amp; 'Personalized Bill Menu'!$B$23 &amp; "'!" &amp;"$A$4:$CA$100"), VLOOKUP(VLOOKUP("RIDER RATE 4",'Misc. Data &amp; Mechanisms'!$P$601:$S$632,HLOOKUP('Personalized Bill Menu'!$B$23, 'Misc. Data &amp; Mechanisms'!$P$599:$S$600, 2, FALSE), FALSE), 'Misc. Data &amp; Mechanisms'!$L$599:$N$659, 2, FALSE), FALSE)), ""))</f>
        <v/>
      </c>
      <c r="AB31" s="69">
        <f ca="1">IF($A31="", "",IFERROR(IF(VLOOKUP($A31, INDIRECT("'" &amp; 'Personalized Bill Menu'!$B$23 &amp; "'!" &amp;"$A$4:$CA$100"), VLOOKUP(VLOOKUP("RIDER RATE 5",'Misc. Data &amp; Mechanisms'!$P$601:$S$632,HLOOKUP('Personalized Bill Menu'!$B$23, 'Misc. Data &amp; Mechanisms'!$P$599:$S$600, 2, FALSE), FALSE), 'Misc. Data &amp; Mechanisms'!$L$599:$N$659, 2, FALSE), FALSE) = "", "", VLOOKUP($A31, INDIRECT("'" &amp; 'Personalized Bill Menu'!$B$23 &amp; "'!" &amp;"$A$4:$CA$100"), VLOOKUP(VLOOKUP("RIDER RATE 5",'Misc. Data &amp; Mechanisms'!$P$601:$S$632,HLOOKUP('Personalized Bill Menu'!$B$23, 'Misc. Data &amp; Mechanisms'!$P$599:$S$600, 2, FALSE), FALSE), 'Misc. Data &amp; Mechanisms'!$L$599:$N$659, 2, FALSE), FALSE)), ""))</f>
        <v>0.52800000000000002</v>
      </c>
      <c r="AC31" s="69" t="str">
        <f ca="1">IF($A31="", "",IFERROR(IF(VLOOKUP($A31, INDIRECT("'" &amp; 'Personalized Bill Menu'!$B$23 &amp; "'!" &amp;"$A$4:$CA$100"), VLOOKUP(VLOOKUP("RIDER RATE 6",'Misc. Data &amp; Mechanisms'!$P$601:$S$632,HLOOKUP('Personalized Bill Menu'!$B$23, 'Misc. Data &amp; Mechanisms'!$P$599:$S$600, 2, FALSE), FALSE), 'Misc. Data &amp; Mechanisms'!$L$599:$N$659, 2, FALSE), FALSE) = "", "", VLOOKUP($A31, INDIRECT("'" &amp; 'Personalized Bill Menu'!$B$23 &amp; "'!" &amp;"$A$4:$CA$100"), VLOOKUP(VLOOKUP("RIDER RATE 6",'Misc. Data &amp; Mechanisms'!$P$601:$S$632,HLOOKUP('Personalized Bill Menu'!$B$23, 'Misc. Data &amp; Mechanisms'!$P$599:$S$600, 2, FALSE), FALSE), 'Misc. Data &amp; Mechanisms'!$L$599:$N$659, 2, FALSE), FALSE)), ""))</f>
        <v/>
      </c>
      <c r="AD31" s="69" t="str">
        <f ca="1">IF($A31="", "",IFERROR(IF(VLOOKUP($A31, INDIRECT("'" &amp; 'Personalized Bill Menu'!$B$23 &amp; "'!" &amp;"$A$4:$CA$100"), VLOOKUP(VLOOKUP("RIDER RATE 7",'Misc. Data &amp; Mechanisms'!$P$601:$S$632,HLOOKUP('Personalized Bill Menu'!$B$23, 'Misc. Data &amp; Mechanisms'!$P$599:$S$600, 2, FALSE), FALSE), 'Misc. Data &amp; Mechanisms'!$L$599:$N$659, 2, FALSE), FALSE) = "", "", VLOOKUP($A31, INDIRECT("'" &amp; 'Personalized Bill Menu'!$B$23 &amp; "'!" &amp;"$A$4:$CA$100"), VLOOKUP(VLOOKUP("RIDER RATE 7",'Misc. Data &amp; Mechanisms'!$P$601:$S$632,HLOOKUP('Personalized Bill Menu'!$B$23, 'Misc. Data &amp; Mechanisms'!$P$599:$S$600, 2, FALSE), FALSE), 'Misc. Data &amp; Mechanisms'!$L$599:$N$659, 2, FALSE), FALSE)), ""))</f>
        <v/>
      </c>
      <c r="AE31" s="69" t="str">
        <f ca="1">IF($A31="", "",IFERROR(IF(VLOOKUP($A31, INDIRECT("'" &amp; 'Personalized Bill Menu'!$B$23 &amp; "'!" &amp;"$A$4:$CA$100"), VLOOKUP(VLOOKUP("RIDER RATE 8",'Misc. Data &amp; Mechanisms'!$P$601:$S$632,HLOOKUP('Personalized Bill Menu'!$B$23, 'Misc. Data &amp; Mechanisms'!$P$599:$S$600, 2, FALSE), FALSE), 'Misc. Data &amp; Mechanisms'!$L$599:$N$659, 2, FALSE), FALSE) = "", "", VLOOKUP($A31, INDIRECT("'" &amp; 'Personalized Bill Menu'!$B$23 &amp; "'!" &amp;"$A$4:$CA$100"), VLOOKUP(VLOOKUP("RIDER RATE 8",'Misc. Data &amp; Mechanisms'!$P$601:$S$632,HLOOKUP('Personalized Bill Menu'!$B$23, 'Misc. Data &amp; Mechanisms'!$P$599:$S$600, 2, FALSE), FALSE), 'Misc. Data &amp; Mechanisms'!$L$599:$N$659, 2, FALSE), FALSE)), ""))</f>
        <v/>
      </c>
      <c r="AF31" s="69" t="str">
        <f ca="1">IF($A31="", "",IFERROR(IF(VLOOKUP($A31, INDIRECT("'" &amp; 'Personalized Bill Menu'!$B$23 &amp; "'!" &amp;"$A$4:$CA$100"), VLOOKUP(VLOOKUP("RIDER RATE 9",'Misc. Data &amp; Mechanisms'!$P$601:$S$632,HLOOKUP('Personalized Bill Menu'!$B$23, 'Misc. Data &amp; Mechanisms'!$P$599:$S$600, 2, FALSE), FALSE), 'Misc. Data &amp; Mechanisms'!$L$599:$N$659, 2, FALSE), FALSE) = "", "", VLOOKUP($A31, INDIRECT("'" &amp; 'Personalized Bill Menu'!$B$23 &amp; "'!" &amp;"$A$4:$CA$100"), VLOOKUP(VLOOKUP("RIDER RATE 9",'Misc. Data &amp; Mechanisms'!$P$601:$S$632,HLOOKUP('Personalized Bill Menu'!$B$23, 'Misc. Data &amp; Mechanisms'!$P$599:$S$600, 2, FALSE), FALSE), 'Misc. Data &amp; Mechanisms'!$L$599:$N$659, 2, FALSE), FALSE)), ""))</f>
        <v/>
      </c>
      <c r="AG31" s="72">
        <f ca="1">IF($A31="", "", IFERROR(IF('Personalized Bill Menu'!$B$23="ATCO-N", ($X31*$B31) +($Y31*$C31), IF('Personalized Bill Menu'!$B$23="ATCO-S",$X31*$C31, IF($Y31="", ($X31*$H31), ($Y31*($H31+$K31))))), 0))</f>
        <v>0</v>
      </c>
      <c r="AH31" s="72">
        <f ca="1">IF($A31="", "", IFERROR(IF('Personalized Bill Menu'!$B$23="ATCO-S", $Y31*$C31, $Z31*$C31), 0))</f>
        <v>0</v>
      </c>
      <c r="AI31" s="72">
        <f ca="1">IF($A31="", "", IFERROR(IF('Personalized Bill Menu'!$B$23="ATCO-S", ($AA31*$C31)+($Z31*$B31), $AA31*$C31), 0))</f>
        <v>0</v>
      </c>
      <c r="AJ31" s="72">
        <f ca="1">IF($A31="", "", IFERROR(IF('Personalized Bill Menu'!$B$23&lt;&gt;"AltaGas",$AB31*$C31,""),0))</f>
        <v>9.334386175049822</v>
      </c>
      <c r="AK31" s="72">
        <f ca="1">IF($A31="", "", IFERROR(IF('Personalized Bill Menu'!$B$23="ATCO-S",$AC31*$C31,IF('Personalized Bill Menu'!$B$23="ATCO-N",$AC31*1,"")),0))</f>
        <v>0</v>
      </c>
      <c r="AL31" s="72">
        <f ca="1">IF($A31="", "", IFERROR(IF('Personalized Bill Menu'!$B$23="ATCO-N",$AD31*$B31,IF('Personalized Bill Menu'!$B$23="ATCO-S",$AD31*1,"")),0))</f>
        <v>0</v>
      </c>
      <c r="AM31" s="72">
        <f ca="1">IF($A31="", "", IFERROR(IF('Personalized Bill Menu'!$B$23="ATCO-S",$AE31*$B31,IF('Personalized Bill Menu'!$B$23="ATCO-N",$AE31*$B31,"")),0))</f>
        <v>0</v>
      </c>
      <c r="AN31" s="70">
        <f ca="1">IF($A31="", "", IFERROR(IF('Personalized Bill Menu'!$B$23="ATCO-S",$AF31*$B31,""),0))</f>
        <v>0</v>
      </c>
      <c r="AO31" s="69">
        <f>IF('Personalized Bill Menu'!$B$34="Natural Gas", 'Personalized Bill Menu'!$K28, IF('Personalized Bill Menu'!$B$34="Both",'Personalized Bill Menu'!$O28,""))</f>
        <v>0.223</v>
      </c>
      <c r="AP31" s="72">
        <f t="shared" si="13"/>
        <v>6.9130000000000003</v>
      </c>
      <c r="AQ31" s="89" t="str">
        <f ca="1">IF($A31="", "",IF(VLOOKUP($A31, INDIRECT("'" &amp; 'Personalized Bill Menu'!$B$23 &amp; "'!" &amp;"$A$4:$CA$100"), VLOOKUP(VLOOKUP(AQ$5,'Misc. Data &amp; Mechanisms'!$P$601:$S$632,HLOOKUP('Personalized Bill Menu'!$B$23, 'Misc. Data &amp; Mechanisms'!$P$599:$S$600, 2, FALSE), FALSE), 'Misc. Data &amp; Mechanisms'!$L$599:$N$659, 2, FALSE), FALSE) = "", "", VLOOKUP($A31, INDIRECT("'" &amp; 'Personalized Bill Menu'!$B$23 &amp; "'!" &amp;"$A$4:$CA$100"), VLOOKUP(VLOOKUP(AQ$5,'Misc. Data &amp; Mechanisms'!$P$601:$S$632,HLOOKUP('Personalized Bill Menu'!$B$23, 'Misc. Data &amp; Mechanisms'!$P$599:$S$600, 2, FALSE), FALSE), 'Misc. Data &amp; Mechanisms'!$L$599:$N$659, 2, FALSE), FALSE)))</f>
        <v/>
      </c>
      <c r="AR31" s="72">
        <f t="shared" ca="1" si="14"/>
        <v>0</v>
      </c>
      <c r="AS31" s="91">
        <f ca="1">IF($A31="", "",IF(VLOOKUP($A31, INDIRECT("'" &amp; 'Personalized Bill Menu'!$B$23 &amp; "'!" &amp;"$A$4:$CA$100"), VLOOKUP(VLOOKUP(AS$5,'Misc. Data &amp; Mechanisms'!$P$601:$S$632,HLOOKUP('Personalized Bill Menu'!$B$23, 'Misc. Data &amp; Mechanisms'!$P$599:$S$600, 2, FALSE), FALSE), 'Misc. Data &amp; Mechanisms'!$L$599:$N$659, 2, FALSE), FALSE) = "", "", VLOOKUP($A31, INDIRECT("'" &amp; 'Personalized Bill Menu'!$B$23 &amp; "'!" &amp;"$A$4:$CA$100"), VLOOKUP(VLOOKUP(AS$5,'Misc. Data &amp; Mechanisms'!$P$601:$S$632,HLOOKUP('Personalized Bill Menu'!$B$23, 'Misc. Data &amp; Mechanisms'!$P$599:$S$600, 2, FALSE), FALSE), 'Misc. Data &amp; Mechanisms'!$L$599:$N$659, 2, FALSE), FALSE)))</f>
        <v>0.05</v>
      </c>
      <c r="AT31" s="116"/>
      <c r="AU31" s="116"/>
      <c r="AV31" s="116"/>
      <c r="AW31" s="116"/>
      <c r="AX31" s="116"/>
    </row>
    <row r="32" spans="1:50" s="117" customFormat="1" x14ac:dyDescent="0.3">
      <c r="A32" s="83">
        <f>'Personalized Bill Menu'!$H29</f>
        <v>41671</v>
      </c>
      <c r="B32" s="84">
        <f t="shared" si="3"/>
        <v>28</v>
      </c>
      <c r="C32" s="85">
        <f>IF('Personalized Bill Menu'!$B$34="Natural Gas", 'Personalized Bill Menu'!$I29, IF('Personalized Bill Menu'!$B$34="Both",'Personalized Bill Menu'!$M29,""))</f>
        <v>23.856327590100207</v>
      </c>
      <c r="D32" s="66">
        <f t="shared" ca="1" si="4"/>
        <v>8.0305967713620046</v>
      </c>
      <c r="E32" s="66">
        <f ca="1">IF($C32="Not Applicable", "", IFERROR(IFERROR((1+$AS32)*IF('Personalized Bill Menu'!$B$23="ATCO-N", IF(OR('Personalized Bill Menu'!$B$21="Fort McMurray",AND('Personalized Bill Menu'!$B$21="Spruce Grove", $A32&lt;DATE(2019, 5, 1) )),(((1+IF($T32="",0,$T32))*($N32+$P32))+ (IF($U32="", 0, $U32)*$P32)+(1+IF($T32="",0,$T32)+IF($U32="", 0, $U32))*(SUM($Y32:$AB32))),($N32+((1+IF($T32="",0,$T32)+IF($U32="", 0, $U32))*$P32)+(1+IF($T32="",0,$T32)+IF($U32="", 0, $U32))*(SUM($Y32:$AB32)))), IF('Personalized Bill Menu'!$B$23="ATCO-S",IF(OR('Personalized Bill Menu'!$B$21="Calgary",AND('Personalized Bill Menu'!$B$21="Okotoks", $A32&lt;DATE(2019, 1, 1))),((1+IF($T32="",0,$T32))*($N32+$P32+SUM($X32:$Y32,$AA32:$AC32)))+(IF($U32="",0, $U32)*($P32+SUM($X32:$Y32,$AA32:$AC32))), ((1+IF($T32="",0,$T32))*($P32+SUM($Y32,$AA32:$AC32)))+(IF($U32="",0, $U32)*($P32+SUM($X32:$Y32,$AA32:$AC32)))+$N32+IF($X32="", 0, $X32)),IF(AND('Personalized Bill Menu'!$B$21="Athabasca", $A32&lt;DATE(2019, 5, 1)),((1+IF($T32="",0,$T32)+IF($U32="", 0, $U32))*($N32+((1+SUM($X32:$Y32))*$P32)+SUM($Z32:$AA32))),((1+IF($U32="", 0, $U32))*($N32+((1+SUM($X32:$Y32))*$P32)+SUM($Z32:$AA32))) + (IF($T32="",0,$T32)*(((1+SUM($X32:$Y32))*$P32)+SUM($Z32:$AA32)))))), "")+ IF($AQ32="", 0,((1+$AS32)*$AQ32)), ""))</f>
        <v>6.7082662500000003</v>
      </c>
      <c r="F32" s="118">
        <f t="shared" ca="1" si="5"/>
        <v>191.58054732161304</v>
      </c>
      <c r="G32" s="115">
        <f t="shared" si="0"/>
        <v>107.21033618991032</v>
      </c>
      <c r="H32" s="66">
        <f t="shared" ca="1" si="1"/>
        <v>38.787406485592953</v>
      </c>
      <c r="I32" s="66">
        <f t="shared" ca="1" si="2"/>
        <v>17.619780472745767</v>
      </c>
      <c r="J32" s="66">
        <f t="shared" ca="1" si="6"/>
        <v>12.596140967572911</v>
      </c>
      <c r="K32" s="66">
        <f t="shared" si="7"/>
        <v>6.2439999999999998</v>
      </c>
      <c r="L32" s="66">
        <f t="shared" ca="1" si="8"/>
        <v>0</v>
      </c>
      <c r="M32" s="68">
        <f t="shared" ca="1" si="9"/>
        <v>9.1228832057910978</v>
      </c>
      <c r="N32" s="1290">
        <f>IF('Personalized Bill Menu'!$B$34="Natural Gas", 'Personalized Bill Menu'!$J29, IF('Personalized Bill Menu'!$B$34="Both",'Personalized Bill Menu'!$N29,""))</f>
        <v>4.4939999999999998</v>
      </c>
      <c r="O32" s="70">
        <f t="shared" si="10"/>
        <v>107.21033618991032</v>
      </c>
      <c r="P32" s="89">
        <f ca="1">IF($A32="", "",IFERROR(IF(VLOOKUP($A32, INDIRECT("'" &amp; 'Personalized Bill Menu'!$B$23 &amp; "'!" &amp;"$A$4:$CA$100"), VLOOKUP(VLOOKUP(P$5,'Misc. Data &amp; Mechanisms'!$P$601:$S$632,HLOOKUP('Personalized Bill Menu'!$B$23, 'Misc. Data &amp; Mechanisms'!$P$599:$S$600, 2, FALSE), FALSE), 'Misc. Data &amp; Mechanisms'!$L$599:$N$659, 2, FALSE), FALSE) = "", "", VLOOKUP($A32, INDIRECT("'" &amp; 'Personalized Bill Menu'!$B$23 &amp; "'!" &amp;"$A$4:$CA$100"), VLOOKUP(VLOOKUP(P$5,'Misc. Data &amp; Mechanisms'!$P$601:$S$632,HLOOKUP('Personalized Bill Menu'!$B$23, 'Misc. Data &amp; Mechanisms'!$P$599:$S$600, 2, FALSE), FALSE), 'Misc. Data &amp; Mechanisms'!$L$599:$N$659, 2, FALSE), FALSE)), ""))</f>
        <v>0.72799999999999998</v>
      </c>
      <c r="Q32" s="69">
        <f ca="1">IF($A32="", "",IFERROR(IF(VLOOKUP($A32, INDIRECT("'" &amp; 'Personalized Bill Menu'!$B$23 &amp; "'!" &amp;"$A$4:$CA$100"), VLOOKUP(VLOOKUP(Q$5,'Misc. Data &amp; Mechanisms'!$P$601:$S$632,HLOOKUP('Personalized Bill Menu'!$B$23, 'Misc. Data &amp; Mechanisms'!$P$599:$S$600, 2, FALSE), FALSE), 'Misc. Data &amp; Mechanisms'!$L$599:$N$659, 2, FALSE), FALSE) = "", "", VLOOKUP($A32, INDIRECT("'" &amp; 'Personalized Bill Menu'!$B$23 &amp; "'!" &amp;"$A$4:$CA$100"), VLOOKUP(VLOOKUP(Q$5,'Misc. Data &amp; Mechanisms'!$P$601:$S$632,HLOOKUP('Personalized Bill Menu'!$B$23, 'Misc. Data &amp; Mechanisms'!$P$599:$S$600, 2, FALSE), FALSE), 'Misc. Data &amp; Mechanisms'!$L$599:$N$659, 2, FALSE), FALSE)), ""))</f>
        <v>0.76500000000000001</v>
      </c>
      <c r="R32" s="72">
        <f t="shared" ca="1" si="11"/>
        <v>17.367406485592952</v>
      </c>
      <c r="S32" s="70">
        <f t="shared" ca="1" si="12"/>
        <v>21.42</v>
      </c>
      <c r="T32" s="78">
        <f>IFERROR(IF(VLOOKUP($A32,'Misc. Data &amp; Mechanisms'!$A$63:$DY$152,HLOOKUP('Personalized Bill Menu'!$B$21&amp;"_"&amp;'Personalized Bill Menu'!$B$23&amp;"_NG_Y_1",'Misc. Data &amp; Mechanisms'!$A$55:$DY$62,8,FALSE), FALSE)="", "", VLOOKUP($A32,'Misc. Data &amp; Mechanisms'!$A$63:$DY$152,HLOOKUP('Personalized Bill Menu'!$B$21&amp;"_"&amp;'Personalized Bill Menu'!$B$23&amp;"_NG_Y_1",'Misc. Data &amp; Mechanisms'!$A$55:$DY$62,8,FALSE), FALSE)), "")</f>
        <v>0.1111</v>
      </c>
      <c r="U32" s="78" t="str">
        <f>IFERROR(IF(VLOOKUP($A32,'Misc. Data &amp; Mechanisms'!$A$63:$DY$152,HLOOKUP('Personalized Bill Menu'!$B$21&amp;"_"&amp;'Personalized Bill Menu'!$B$23&amp;"_NG_Y_2",'Misc. Data &amp; Mechanisms'!$A$55:$DY$62,8,FALSE), FALSE)="", "",VLOOKUP($A32,'Misc. Data &amp; Mechanisms'!$A$63:$DY$152,HLOOKUP('Personalized Bill Menu'!$B$21&amp;"_"&amp;'Personalized Bill Menu'!$B$23&amp;"_NG_Y_2",'Misc. Data &amp; Mechanisms'!$A$55:$DY$62,8,FALSE), FALSE)), "")</f>
        <v/>
      </c>
      <c r="V32" s="72">
        <f ca="1">IF($A32="", "", IFERROR(IF('Personalized Bill Menu'!$B$23="ATCO-N", IF(OR('Personalized Bill Menu'!$B$21="Fort McMurray",AND('Personalized Bill Menu'!$B$21="Spruce Grove", $A32&lt;DATE(2019, 5, 1))),$T32*($G32+$H32+$J32),$T32*($H32+$J32)), IF('Personalized Bill Menu'!$B$23="ATCO-S",IF(OR('Personalized Bill Menu'!$B$21="Calgary",AND('Personalized Bill Menu'!$B$21="Okotoks", $A32&lt;DATE(2019, 1, 1))),$T32*($G32+$H32+$J32), $T32*($H32+$J32-$AG32)),IF(AND('Personalized Bill Menu'!$B$21="Athabasca", $A32&lt;DATE(2019, 5, 1)),$T32*($G32+$H32+$J32+$K32),$T32*($H32+$J32+$K32)))),0))</f>
        <v>17.619780472745767</v>
      </c>
      <c r="W32" s="72">
        <f ca="1">IF($A32="", "", IFERROR(IF('Personalized Bill Menu'!$B$23="ATCO-N", $U32*($H32+$J32), IF('Personalized Bill Menu'!$B$23="ATCO-S",$U32*($H32+$J32),$U32*($G32+$H32+$J32+$K32))),0))</f>
        <v>0</v>
      </c>
      <c r="X32" s="89" t="str">
        <f ca="1">IF($A32="", "",IFERROR(IF(VLOOKUP($A32, INDIRECT("'" &amp; 'Personalized Bill Menu'!$B$23 &amp; "'!" &amp;"$A$4:$CA$100"), VLOOKUP(VLOOKUP("RIDER RATE 1",'Misc. Data &amp; Mechanisms'!$P$601:$S$632,HLOOKUP('Personalized Bill Menu'!$B$23, 'Misc. Data &amp; Mechanisms'!$P$599:$S$600, 2, FALSE), FALSE), 'Misc. Data &amp; Mechanisms'!$L$599:$N$659, 2, FALSE), FALSE) = "", "", VLOOKUP($A32, INDIRECT("'" &amp; 'Personalized Bill Menu'!$B$23 &amp; "'!" &amp;"$A$4:$CA$100"), VLOOKUP(VLOOKUP("RIDER RATE 1",'Misc. Data &amp; Mechanisms'!$P$601:$S$632,HLOOKUP('Personalized Bill Menu'!$B$23, 'Misc. Data &amp; Mechanisms'!$P$599:$S$600, 2, FALSE), FALSE), 'Misc. Data &amp; Mechanisms'!$L$599:$N$659, 2, FALSE), FALSE)), ""))</f>
        <v/>
      </c>
      <c r="Y32" s="69" t="str">
        <f ca="1">IF($A32="", "",IFERROR(IF(VLOOKUP($A32, INDIRECT("'" &amp; 'Personalized Bill Menu'!$B$23 &amp; "'!" &amp;"$A$4:$CA$100"), VLOOKUP(VLOOKUP("RIDER RATE 2",'Misc. Data &amp; Mechanisms'!$P$601:$S$632,HLOOKUP('Personalized Bill Menu'!$B$23, 'Misc. Data &amp; Mechanisms'!$P$599:$S$600, 2, FALSE), FALSE), 'Misc. Data &amp; Mechanisms'!$L$599:$N$659, 2, FALSE), FALSE) = "", "", VLOOKUP($A32, INDIRECT("'" &amp; 'Personalized Bill Menu'!$B$23 &amp; "'!" &amp;"$A$4:$CA$100"), VLOOKUP(VLOOKUP("RIDER RATE 2",'Misc. Data &amp; Mechanisms'!$P$601:$S$632,HLOOKUP('Personalized Bill Menu'!$B$23, 'Misc. Data &amp; Mechanisms'!$P$599:$S$600, 2, FALSE), FALSE), 'Misc. Data &amp; Mechanisms'!$L$599:$N$659, 2, FALSE), FALSE)), ""))</f>
        <v/>
      </c>
      <c r="Z32" s="69" t="str">
        <f ca="1">IF($A32="", "",IFERROR(IF(VLOOKUP($A32, INDIRECT("'" &amp; 'Personalized Bill Menu'!$B$23 &amp; "'!" &amp;"$A$4:$CA$100"), VLOOKUP(VLOOKUP("RIDER RATE 3",'Misc. Data &amp; Mechanisms'!$P$601:$S$632,HLOOKUP('Personalized Bill Menu'!$B$23, 'Misc. Data &amp; Mechanisms'!$P$599:$S$600, 2, FALSE), FALSE), 'Misc. Data &amp; Mechanisms'!$L$599:$N$659, 2, FALSE), FALSE) = "", "", VLOOKUP($A32, INDIRECT("'" &amp; 'Personalized Bill Menu'!$B$23 &amp; "'!" &amp;"$A$4:$CA$100"), VLOOKUP(VLOOKUP("RIDER RATE 3",'Misc. Data &amp; Mechanisms'!$P$601:$S$632,HLOOKUP('Personalized Bill Menu'!$B$23, 'Misc. Data &amp; Mechanisms'!$P$599:$S$600, 2, FALSE), FALSE), 'Misc. Data &amp; Mechanisms'!$L$599:$N$659, 2, FALSE), FALSE)), ""))</f>
        <v/>
      </c>
      <c r="AA32" s="69" t="str">
        <f ca="1">IF($A32="", "",IFERROR(IF(VLOOKUP($A32, INDIRECT("'" &amp; 'Personalized Bill Menu'!$B$23 &amp; "'!" &amp;"$A$4:$CA$100"), VLOOKUP(VLOOKUP("RIDER RATE 4",'Misc. Data &amp; Mechanisms'!$P$601:$S$632,HLOOKUP('Personalized Bill Menu'!$B$23, 'Misc. Data &amp; Mechanisms'!$P$599:$S$600, 2, FALSE), FALSE), 'Misc. Data &amp; Mechanisms'!$L$599:$N$659, 2, FALSE), FALSE) = "", "", VLOOKUP($A32, INDIRECT("'" &amp; 'Personalized Bill Menu'!$B$23 &amp; "'!" &amp;"$A$4:$CA$100"), VLOOKUP(VLOOKUP("RIDER RATE 4",'Misc. Data &amp; Mechanisms'!$P$601:$S$632,HLOOKUP('Personalized Bill Menu'!$B$23, 'Misc. Data &amp; Mechanisms'!$P$599:$S$600, 2, FALSE), FALSE), 'Misc. Data &amp; Mechanisms'!$L$599:$N$659, 2, FALSE), FALSE)), ""))</f>
        <v/>
      </c>
      <c r="AB32" s="69">
        <f ca="1">IF($A32="", "",IFERROR(IF(VLOOKUP($A32, INDIRECT("'" &amp; 'Personalized Bill Menu'!$B$23 &amp; "'!" &amp;"$A$4:$CA$100"), VLOOKUP(VLOOKUP("RIDER RATE 5",'Misc. Data &amp; Mechanisms'!$P$601:$S$632,HLOOKUP('Personalized Bill Menu'!$B$23, 'Misc. Data &amp; Mechanisms'!$P$599:$S$600, 2, FALSE), FALSE), 'Misc. Data &amp; Mechanisms'!$L$599:$N$659, 2, FALSE), FALSE) = "", "", VLOOKUP($A32, INDIRECT("'" &amp; 'Personalized Bill Menu'!$B$23 &amp; "'!" &amp;"$A$4:$CA$100"), VLOOKUP(VLOOKUP("RIDER RATE 5",'Misc. Data &amp; Mechanisms'!$P$601:$S$632,HLOOKUP('Personalized Bill Menu'!$B$23, 'Misc. Data &amp; Mechanisms'!$P$599:$S$600, 2, FALSE), FALSE), 'Misc. Data &amp; Mechanisms'!$L$599:$N$659, 2, FALSE), FALSE)), ""))</f>
        <v>0.52800000000000002</v>
      </c>
      <c r="AC32" s="69" t="str">
        <f ca="1">IF($A32="", "",IFERROR(IF(VLOOKUP($A32, INDIRECT("'" &amp; 'Personalized Bill Menu'!$B$23 &amp; "'!" &amp;"$A$4:$CA$100"), VLOOKUP(VLOOKUP("RIDER RATE 6",'Misc. Data &amp; Mechanisms'!$P$601:$S$632,HLOOKUP('Personalized Bill Menu'!$B$23, 'Misc. Data &amp; Mechanisms'!$P$599:$S$600, 2, FALSE), FALSE), 'Misc. Data &amp; Mechanisms'!$L$599:$N$659, 2, FALSE), FALSE) = "", "", VLOOKUP($A32, INDIRECT("'" &amp; 'Personalized Bill Menu'!$B$23 &amp; "'!" &amp;"$A$4:$CA$100"), VLOOKUP(VLOOKUP("RIDER RATE 6",'Misc. Data &amp; Mechanisms'!$P$601:$S$632,HLOOKUP('Personalized Bill Menu'!$B$23, 'Misc. Data &amp; Mechanisms'!$P$599:$S$600, 2, FALSE), FALSE), 'Misc. Data &amp; Mechanisms'!$L$599:$N$659, 2, FALSE), FALSE)), ""))</f>
        <v/>
      </c>
      <c r="AD32" s="69" t="str">
        <f ca="1">IF($A32="", "",IFERROR(IF(VLOOKUP($A32, INDIRECT("'" &amp; 'Personalized Bill Menu'!$B$23 &amp; "'!" &amp;"$A$4:$CA$100"), VLOOKUP(VLOOKUP("RIDER RATE 7",'Misc. Data &amp; Mechanisms'!$P$601:$S$632,HLOOKUP('Personalized Bill Menu'!$B$23, 'Misc. Data &amp; Mechanisms'!$P$599:$S$600, 2, FALSE), FALSE), 'Misc. Data &amp; Mechanisms'!$L$599:$N$659, 2, FALSE), FALSE) = "", "", VLOOKUP($A32, INDIRECT("'" &amp; 'Personalized Bill Menu'!$B$23 &amp; "'!" &amp;"$A$4:$CA$100"), VLOOKUP(VLOOKUP("RIDER RATE 7",'Misc. Data &amp; Mechanisms'!$P$601:$S$632,HLOOKUP('Personalized Bill Menu'!$B$23, 'Misc. Data &amp; Mechanisms'!$P$599:$S$600, 2, FALSE), FALSE), 'Misc. Data &amp; Mechanisms'!$L$599:$N$659, 2, FALSE), FALSE)), ""))</f>
        <v/>
      </c>
      <c r="AE32" s="69" t="str">
        <f ca="1">IF($A32="", "",IFERROR(IF(VLOOKUP($A32, INDIRECT("'" &amp; 'Personalized Bill Menu'!$B$23 &amp; "'!" &amp;"$A$4:$CA$100"), VLOOKUP(VLOOKUP("RIDER RATE 8",'Misc. Data &amp; Mechanisms'!$P$601:$S$632,HLOOKUP('Personalized Bill Menu'!$B$23, 'Misc. Data &amp; Mechanisms'!$P$599:$S$600, 2, FALSE), FALSE), 'Misc. Data &amp; Mechanisms'!$L$599:$N$659, 2, FALSE), FALSE) = "", "", VLOOKUP($A32, INDIRECT("'" &amp; 'Personalized Bill Menu'!$B$23 &amp; "'!" &amp;"$A$4:$CA$100"), VLOOKUP(VLOOKUP("RIDER RATE 8",'Misc. Data &amp; Mechanisms'!$P$601:$S$632,HLOOKUP('Personalized Bill Menu'!$B$23, 'Misc. Data &amp; Mechanisms'!$P$599:$S$600, 2, FALSE), FALSE), 'Misc. Data &amp; Mechanisms'!$L$599:$N$659, 2, FALSE), FALSE)), ""))</f>
        <v/>
      </c>
      <c r="AF32" s="69" t="str">
        <f ca="1">IF($A32="", "",IFERROR(IF(VLOOKUP($A32, INDIRECT("'" &amp; 'Personalized Bill Menu'!$B$23 &amp; "'!" &amp;"$A$4:$CA$100"), VLOOKUP(VLOOKUP("RIDER RATE 9",'Misc. Data &amp; Mechanisms'!$P$601:$S$632,HLOOKUP('Personalized Bill Menu'!$B$23, 'Misc. Data &amp; Mechanisms'!$P$599:$S$600, 2, FALSE), FALSE), 'Misc. Data &amp; Mechanisms'!$L$599:$N$659, 2, FALSE), FALSE) = "", "", VLOOKUP($A32, INDIRECT("'" &amp; 'Personalized Bill Menu'!$B$23 &amp; "'!" &amp;"$A$4:$CA$100"), VLOOKUP(VLOOKUP("RIDER RATE 9",'Misc. Data &amp; Mechanisms'!$P$601:$S$632,HLOOKUP('Personalized Bill Menu'!$B$23, 'Misc. Data &amp; Mechanisms'!$P$599:$S$600, 2, FALSE), FALSE), 'Misc. Data &amp; Mechanisms'!$L$599:$N$659, 2, FALSE), FALSE)), ""))</f>
        <v/>
      </c>
      <c r="AG32" s="72">
        <f ca="1">IF($A32="", "", IFERROR(IF('Personalized Bill Menu'!$B$23="ATCO-N", ($X32*$B32) +($Y32*$C32), IF('Personalized Bill Menu'!$B$23="ATCO-S",$X32*$C32, IF($Y32="", ($X32*$H32), ($Y32*($H32+$K32))))), 0))</f>
        <v>0</v>
      </c>
      <c r="AH32" s="72">
        <f ca="1">IF($A32="", "", IFERROR(IF('Personalized Bill Menu'!$B$23="ATCO-S", $Y32*$C32, $Z32*$C32), 0))</f>
        <v>0</v>
      </c>
      <c r="AI32" s="72">
        <f ca="1">IF($A32="", "", IFERROR(IF('Personalized Bill Menu'!$B$23="ATCO-S", ($AA32*$C32)+($Z32*$B32), $AA32*$C32), 0))</f>
        <v>0</v>
      </c>
      <c r="AJ32" s="72">
        <f ca="1">IF($A32="", "", IFERROR(IF('Personalized Bill Menu'!$B$23&lt;&gt;"AltaGas",$AB32*$C32,""),0))</f>
        <v>12.596140967572911</v>
      </c>
      <c r="AK32" s="72">
        <f ca="1">IF($A32="", "", IFERROR(IF('Personalized Bill Menu'!$B$23="ATCO-S",$AC32*$C32,IF('Personalized Bill Menu'!$B$23="ATCO-N",$AC32*1,"")),0))</f>
        <v>0</v>
      </c>
      <c r="AL32" s="72">
        <f ca="1">IF($A32="", "", IFERROR(IF('Personalized Bill Menu'!$B$23="ATCO-N",$AD32*$B32,IF('Personalized Bill Menu'!$B$23="ATCO-S",$AD32*1,"")),0))</f>
        <v>0</v>
      </c>
      <c r="AM32" s="72">
        <f ca="1">IF($A32="", "", IFERROR(IF('Personalized Bill Menu'!$B$23="ATCO-S",$AE32*$B32,IF('Personalized Bill Menu'!$B$23="ATCO-N",$AE32*$B32,"")),0))</f>
        <v>0</v>
      </c>
      <c r="AN32" s="70">
        <f ca="1">IF($A32="", "", IFERROR(IF('Personalized Bill Menu'!$B$23="ATCO-S",$AF32*$B32,""),0))</f>
        <v>0</v>
      </c>
      <c r="AO32" s="69">
        <f>IF('Personalized Bill Menu'!$B$34="Natural Gas", 'Personalized Bill Menu'!$K29, IF('Personalized Bill Menu'!$B$34="Both",'Personalized Bill Menu'!$O29,""))</f>
        <v>0.223</v>
      </c>
      <c r="AP32" s="72">
        <f t="shared" si="13"/>
        <v>6.2439999999999998</v>
      </c>
      <c r="AQ32" s="89" t="str">
        <f ca="1">IF($A32="", "",IF(VLOOKUP($A32, INDIRECT("'" &amp; 'Personalized Bill Menu'!$B$23 &amp; "'!" &amp;"$A$4:$CA$100"), VLOOKUP(VLOOKUP(AQ$5,'Misc. Data &amp; Mechanisms'!$P$601:$S$632,HLOOKUP('Personalized Bill Menu'!$B$23, 'Misc. Data &amp; Mechanisms'!$P$599:$S$600, 2, FALSE), FALSE), 'Misc. Data &amp; Mechanisms'!$L$599:$N$659, 2, FALSE), FALSE) = "", "", VLOOKUP($A32, INDIRECT("'" &amp; 'Personalized Bill Menu'!$B$23 &amp; "'!" &amp;"$A$4:$CA$100"), VLOOKUP(VLOOKUP(AQ$5,'Misc. Data &amp; Mechanisms'!$P$601:$S$632,HLOOKUP('Personalized Bill Menu'!$B$23, 'Misc. Data &amp; Mechanisms'!$P$599:$S$600, 2, FALSE), FALSE), 'Misc. Data &amp; Mechanisms'!$L$599:$N$659, 2, FALSE), FALSE)))</f>
        <v/>
      </c>
      <c r="AR32" s="72">
        <f t="shared" ca="1" si="14"/>
        <v>0</v>
      </c>
      <c r="AS32" s="91">
        <f ca="1">IF($A32="", "",IF(VLOOKUP($A32, INDIRECT("'" &amp; 'Personalized Bill Menu'!$B$23 &amp; "'!" &amp;"$A$4:$CA$100"), VLOOKUP(VLOOKUP(AS$5,'Misc. Data &amp; Mechanisms'!$P$601:$S$632,HLOOKUP('Personalized Bill Menu'!$B$23, 'Misc. Data &amp; Mechanisms'!$P$599:$S$600, 2, FALSE), FALSE), 'Misc. Data &amp; Mechanisms'!$L$599:$N$659, 2, FALSE), FALSE) = "", "", VLOOKUP($A32, INDIRECT("'" &amp; 'Personalized Bill Menu'!$B$23 &amp; "'!" &amp;"$A$4:$CA$100"), VLOOKUP(VLOOKUP(AS$5,'Misc. Data &amp; Mechanisms'!$P$601:$S$632,HLOOKUP('Personalized Bill Menu'!$B$23, 'Misc. Data &amp; Mechanisms'!$P$599:$S$600, 2, FALSE), FALSE), 'Misc. Data &amp; Mechanisms'!$L$599:$N$659, 2, FALSE), FALSE)))</f>
        <v>0.05</v>
      </c>
      <c r="AT32" s="116"/>
      <c r="AU32" s="116"/>
      <c r="AV32" s="116"/>
      <c r="AW32" s="116"/>
      <c r="AX32" s="116"/>
    </row>
    <row r="33" spans="1:50" s="117" customFormat="1" x14ac:dyDescent="0.3">
      <c r="A33" s="83">
        <f>'Personalized Bill Menu'!$H30</f>
        <v>41699</v>
      </c>
      <c r="B33" s="84">
        <f t="shared" si="3"/>
        <v>31</v>
      </c>
      <c r="C33" s="85">
        <f>IF('Personalized Bill Menu'!$B$34="Natural Gas", 'Personalized Bill Menu'!$I30, IF('Personalized Bill Menu'!$B$34="Both",'Personalized Bill Menu'!$M30,""))</f>
        <v>20.574128672770144</v>
      </c>
      <c r="D33" s="66">
        <f t="shared" ca="1" si="4"/>
        <v>14.115438515387652</v>
      </c>
      <c r="E33" s="66">
        <f ca="1">IF($C33="Not Applicable", "", IFERROR(IFERROR((1+$AS33)*IF('Personalized Bill Menu'!$B$23="ATCO-N", IF(OR('Personalized Bill Menu'!$B$21="Fort McMurray",AND('Personalized Bill Menu'!$B$21="Spruce Grove", $A33&lt;DATE(2019, 5, 1) )),(((1+IF($T33="",0,$T33))*($N33+$P33))+ (IF($U33="", 0, $U33)*$P33)+(1+IF($T33="",0,$T33)+IF($U33="", 0, $U33))*(SUM($Y33:$AB33))),($N33+((1+IF($T33="",0,$T33)+IF($U33="", 0, $U33))*$P33)+(1+IF($T33="",0,$T33)+IF($U33="", 0, $U33))*(SUM($Y33:$AB33)))), IF('Personalized Bill Menu'!$B$23="ATCO-S",IF(OR('Personalized Bill Menu'!$B$21="Calgary",AND('Personalized Bill Menu'!$B$21="Okotoks", $A33&lt;DATE(2019, 1, 1))),((1+IF($T33="",0,$T33))*($N33+$P33+SUM($X33:$Y33,$AA33:$AC33)))+(IF($U33="",0, $U33)*($P33+SUM($X33:$Y33,$AA33:$AC33))), ((1+IF($T33="",0,$T33))*($P33+SUM($Y33,$AA33:$AC33)))+(IF($U33="",0, $U33)*($P33+SUM($X33:$Y33,$AA33:$AC33)))+$N33+IF($X33="", 0, $X33)),IF(AND('Personalized Bill Menu'!$B$21="Athabasca", $A33&lt;DATE(2019, 5, 1)),((1+IF($T33="",0,$T33)+IF($U33="", 0, $U33))*($N33+((1+SUM($X33:$Y33))*$P33)+SUM($Z33:$AA33))),((1+IF($U33="", 0, $U33))*($N33+((1+SUM($X33:$Y33))*$P33)+SUM($Z33:$AA33))) + (IF($T33="",0,$T33)*(((1+SUM($X33:$Y33))*$P33)+SUM($Z33:$AA33)))))), "")+ IF($AQ33="", 0,((1+$AS33)*$AQ33)), ""))</f>
        <v>12.417875820000001</v>
      </c>
      <c r="F33" s="118">
        <f t="shared" ca="1" si="5"/>
        <v>290.41284828816111</v>
      </c>
      <c r="G33" s="115">
        <f t="shared" si="0"/>
        <v>193.14991997996611</v>
      </c>
      <c r="H33" s="66">
        <f t="shared" ca="1" si="1"/>
        <v>38.692965673776662</v>
      </c>
      <c r="I33" s="66">
        <f t="shared" ca="1" si="2"/>
        <v>26.964639443378456</v>
      </c>
      <c r="J33" s="66">
        <f t="shared" ca="1" si="6"/>
        <v>10.863139939222636</v>
      </c>
      <c r="K33" s="66">
        <f t="shared" si="7"/>
        <v>6.9130000000000003</v>
      </c>
      <c r="L33" s="66">
        <f t="shared" ca="1" si="8"/>
        <v>0</v>
      </c>
      <c r="M33" s="68">
        <f t="shared" ca="1" si="9"/>
        <v>13.829183251817197</v>
      </c>
      <c r="N33" s="1290">
        <f>IF('Personalized Bill Menu'!$B$34="Natural Gas", 'Personalized Bill Menu'!$J30, IF('Personalized Bill Menu'!$B$34="Both",'Personalized Bill Menu'!$N30,""))</f>
        <v>9.3879999999999999</v>
      </c>
      <c r="O33" s="70">
        <f t="shared" si="10"/>
        <v>193.14991997996611</v>
      </c>
      <c r="P33" s="89">
        <f ca="1">IF($A33="", "",IFERROR(IF(VLOOKUP($A33, INDIRECT("'" &amp; 'Personalized Bill Menu'!$B$23 &amp; "'!" &amp;"$A$4:$CA$100"), VLOOKUP(VLOOKUP(P$5,'Misc. Data &amp; Mechanisms'!$P$601:$S$632,HLOOKUP('Personalized Bill Menu'!$B$23, 'Misc. Data &amp; Mechanisms'!$P$599:$S$600, 2, FALSE), FALSE), 'Misc. Data &amp; Mechanisms'!$L$599:$N$659, 2, FALSE), FALSE) = "", "", VLOOKUP($A33, INDIRECT("'" &amp; 'Personalized Bill Menu'!$B$23 &amp; "'!" &amp;"$A$4:$CA$100"), VLOOKUP(VLOOKUP(P$5,'Misc. Data &amp; Mechanisms'!$P$601:$S$632,HLOOKUP('Personalized Bill Menu'!$B$23, 'Misc. Data &amp; Mechanisms'!$P$599:$S$600, 2, FALSE), FALSE), 'Misc. Data &amp; Mechanisms'!$L$599:$N$659, 2, FALSE), FALSE)), ""))</f>
        <v>0.72799999999999998</v>
      </c>
      <c r="Q33" s="69">
        <f ca="1">IF($A33="", "",IFERROR(IF(VLOOKUP($A33, INDIRECT("'" &amp; 'Personalized Bill Menu'!$B$23 &amp; "'!" &amp;"$A$4:$CA$100"), VLOOKUP(VLOOKUP(Q$5,'Misc. Data &amp; Mechanisms'!$P$601:$S$632,HLOOKUP('Personalized Bill Menu'!$B$23, 'Misc. Data &amp; Mechanisms'!$P$599:$S$600, 2, FALSE), FALSE), 'Misc. Data &amp; Mechanisms'!$L$599:$N$659, 2, FALSE), FALSE) = "", "", VLOOKUP($A33, INDIRECT("'" &amp; 'Personalized Bill Menu'!$B$23 &amp; "'!" &amp;"$A$4:$CA$100"), VLOOKUP(VLOOKUP(Q$5,'Misc. Data &amp; Mechanisms'!$P$601:$S$632,HLOOKUP('Personalized Bill Menu'!$B$23, 'Misc. Data &amp; Mechanisms'!$P$599:$S$600, 2, FALSE), FALSE), 'Misc. Data &amp; Mechanisms'!$L$599:$N$659, 2, FALSE), FALSE)), ""))</f>
        <v>0.76500000000000001</v>
      </c>
      <c r="R33" s="72">
        <f t="shared" ca="1" si="11"/>
        <v>14.977965673776664</v>
      </c>
      <c r="S33" s="70">
        <f t="shared" ca="1" si="12"/>
        <v>23.715</v>
      </c>
      <c r="T33" s="78">
        <f>IFERROR(IF(VLOOKUP($A33,'Misc. Data &amp; Mechanisms'!$A$63:$DY$152,HLOOKUP('Personalized Bill Menu'!$B$21&amp;"_"&amp;'Personalized Bill Menu'!$B$23&amp;"_NG_Y_1",'Misc. Data &amp; Mechanisms'!$A$55:$DY$62,8,FALSE), FALSE)="", "", VLOOKUP($A33,'Misc. Data &amp; Mechanisms'!$A$63:$DY$152,HLOOKUP('Personalized Bill Menu'!$B$21&amp;"_"&amp;'Personalized Bill Menu'!$B$23&amp;"_NG_Y_1",'Misc. Data &amp; Mechanisms'!$A$55:$DY$62,8,FALSE), FALSE)), "")</f>
        <v>0.1111</v>
      </c>
      <c r="U33" s="78" t="str">
        <f>IFERROR(IF(VLOOKUP($A33,'Misc. Data &amp; Mechanisms'!$A$63:$DY$152,HLOOKUP('Personalized Bill Menu'!$B$21&amp;"_"&amp;'Personalized Bill Menu'!$B$23&amp;"_NG_Y_2",'Misc. Data &amp; Mechanisms'!$A$55:$DY$62,8,FALSE), FALSE)="", "",VLOOKUP($A33,'Misc. Data &amp; Mechanisms'!$A$63:$DY$152,HLOOKUP('Personalized Bill Menu'!$B$21&amp;"_"&amp;'Personalized Bill Menu'!$B$23&amp;"_NG_Y_2",'Misc. Data &amp; Mechanisms'!$A$55:$DY$62,8,FALSE), FALSE)), "")</f>
        <v/>
      </c>
      <c r="V33" s="72">
        <f ca="1">IF($A33="", "", IFERROR(IF('Personalized Bill Menu'!$B$23="ATCO-N", IF(OR('Personalized Bill Menu'!$B$21="Fort McMurray",AND('Personalized Bill Menu'!$B$21="Spruce Grove", $A33&lt;DATE(2019, 5, 1))),$T33*($G33+$H33+$J33),$T33*($H33+$J33)), IF('Personalized Bill Menu'!$B$23="ATCO-S",IF(OR('Personalized Bill Menu'!$B$21="Calgary",AND('Personalized Bill Menu'!$B$21="Okotoks", $A33&lt;DATE(2019, 1, 1))),$T33*($G33+$H33+$J33), $T33*($H33+$J33-$AG33)),IF(AND('Personalized Bill Menu'!$B$21="Athabasca", $A33&lt;DATE(2019, 5, 1)),$T33*($G33+$H33+$J33+$K33),$T33*($H33+$J33+$K33)))),0))</f>
        <v>26.964639443378456</v>
      </c>
      <c r="W33" s="72">
        <f ca="1">IF($A33="", "", IFERROR(IF('Personalized Bill Menu'!$B$23="ATCO-N", $U33*($H33+$J33), IF('Personalized Bill Menu'!$B$23="ATCO-S",$U33*($H33+$J33),$U33*($G33+$H33+$J33+$K33))),0))</f>
        <v>0</v>
      </c>
      <c r="X33" s="89" t="str">
        <f ca="1">IF($A33="", "",IFERROR(IF(VLOOKUP($A33, INDIRECT("'" &amp; 'Personalized Bill Menu'!$B$23 &amp; "'!" &amp;"$A$4:$CA$100"), VLOOKUP(VLOOKUP("RIDER RATE 1",'Misc. Data &amp; Mechanisms'!$P$601:$S$632,HLOOKUP('Personalized Bill Menu'!$B$23, 'Misc. Data &amp; Mechanisms'!$P$599:$S$600, 2, FALSE), FALSE), 'Misc. Data &amp; Mechanisms'!$L$599:$N$659, 2, FALSE), FALSE) = "", "", VLOOKUP($A33, INDIRECT("'" &amp; 'Personalized Bill Menu'!$B$23 &amp; "'!" &amp;"$A$4:$CA$100"), VLOOKUP(VLOOKUP("RIDER RATE 1",'Misc. Data &amp; Mechanisms'!$P$601:$S$632,HLOOKUP('Personalized Bill Menu'!$B$23, 'Misc. Data &amp; Mechanisms'!$P$599:$S$600, 2, FALSE), FALSE), 'Misc. Data &amp; Mechanisms'!$L$599:$N$659, 2, FALSE), FALSE)), ""))</f>
        <v/>
      </c>
      <c r="Y33" s="69" t="str">
        <f ca="1">IF($A33="", "",IFERROR(IF(VLOOKUP($A33, INDIRECT("'" &amp; 'Personalized Bill Menu'!$B$23 &amp; "'!" &amp;"$A$4:$CA$100"), VLOOKUP(VLOOKUP("RIDER RATE 2",'Misc. Data &amp; Mechanisms'!$P$601:$S$632,HLOOKUP('Personalized Bill Menu'!$B$23, 'Misc. Data &amp; Mechanisms'!$P$599:$S$600, 2, FALSE), FALSE), 'Misc. Data &amp; Mechanisms'!$L$599:$N$659, 2, FALSE), FALSE) = "", "", VLOOKUP($A33, INDIRECT("'" &amp; 'Personalized Bill Menu'!$B$23 &amp; "'!" &amp;"$A$4:$CA$100"), VLOOKUP(VLOOKUP("RIDER RATE 2",'Misc. Data &amp; Mechanisms'!$P$601:$S$632,HLOOKUP('Personalized Bill Menu'!$B$23, 'Misc. Data &amp; Mechanisms'!$P$599:$S$600, 2, FALSE), FALSE), 'Misc. Data &amp; Mechanisms'!$L$599:$N$659, 2, FALSE), FALSE)), ""))</f>
        <v/>
      </c>
      <c r="Z33" s="69" t="str">
        <f ca="1">IF($A33="", "",IFERROR(IF(VLOOKUP($A33, INDIRECT("'" &amp; 'Personalized Bill Menu'!$B$23 &amp; "'!" &amp;"$A$4:$CA$100"), VLOOKUP(VLOOKUP("RIDER RATE 3",'Misc. Data &amp; Mechanisms'!$P$601:$S$632,HLOOKUP('Personalized Bill Menu'!$B$23, 'Misc. Data &amp; Mechanisms'!$P$599:$S$600, 2, FALSE), FALSE), 'Misc. Data &amp; Mechanisms'!$L$599:$N$659, 2, FALSE), FALSE) = "", "", VLOOKUP($A33, INDIRECT("'" &amp; 'Personalized Bill Menu'!$B$23 &amp; "'!" &amp;"$A$4:$CA$100"), VLOOKUP(VLOOKUP("RIDER RATE 3",'Misc. Data &amp; Mechanisms'!$P$601:$S$632,HLOOKUP('Personalized Bill Menu'!$B$23, 'Misc. Data &amp; Mechanisms'!$P$599:$S$600, 2, FALSE), FALSE), 'Misc. Data &amp; Mechanisms'!$L$599:$N$659, 2, FALSE), FALSE)), ""))</f>
        <v/>
      </c>
      <c r="AA33" s="69" t="str">
        <f ca="1">IF($A33="", "",IFERROR(IF(VLOOKUP($A33, INDIRECT("'" &amp; 'Personalized Bill Menu'!$B$23 &amp; "'!" &amp;"$A$4:$CA$100"), VLOOKUP(VLOOKUP("RIDER RATE 4",'Misc. Data &amp; Mechanisms'!$P$601:$S$632,HLOOKUP('Personalized Bill Menu'!$B$23, 'Misc. Data &amp; Mechanisms'!$P$599:$S$600, 2, FALSE), FALSE), 'Misc. Data &amp; Mechanisms'!$L$599:$N$659, 2, FALSE), FALSE) = "", "", VLOOKUP($A33, INDIRECT("'" &amp; 'Personalized Bill Menu'!$B$23 &amp; "'!" &amp;"$A$4:$CA$100"), VLOOKUP(VLOOKUP("RIDER RATE 4",'Misc. Data &amp; Mechanisms'!$P$601:$S$632,HLOOKUP('Personalized Bill Menu'!$B$23, 'Misc. Data &amp; Mechanisms'!$P$599:$S$600, 2, FALSE), FALSE), 'Misc. Data &amp; Mechanisms'!$L$599:$N$659, 2, FALSE), FALSE)), ""))</f>
        <v/>
      </c>
      <c r="AB33" s="69">
        <f ca="1">IF($A33="", "",IFERROR(IF(VLOOKUP($A33, INDIRECT("'" &amp; 'Personalized Bill Menu'!$B$23 &amp; "'!" &amp;"$A$4:$CA$100"), VLOOKUP(VLOOKUP("RIDER RATE 5",'Misc. Data &amp; Mechanisms'!$P$601:$S$632,HLOOKUP('Personalized Bill Menu'!$B$23, 'Misc. Data &amp; Mechanisms'!$P$599:$S$600, 2, FALSE), FALSE), 'Misc. Data &amp; Mechanisms'!$L$599:$N$659, 2, FALSE), FALSE) = "", "", VLOOKUP($A33, INDIRECT("'" &amp; 'Personalized Bill Menu'!$B$23 &amp; "'!" &amp;"$A$4:$CA$100"), VLOOKUP(VLOOKUP("RIDER RATE 5",'Misc. Data &amp; Mechanisms'!$P$601:$S$632,HLOOKUP('Personalized Bill Menu'!$B$23, 'Misc. Data &amp; Mechanisms'!$P$599:$S$600, 2, FALSE), FALSE), 'Misc. Data &amp; Mechanisms'!$L$599:$N$659, 2, FALSE), FALSE)), ""))</f>
        <v>0.52800000000000002</v>
      </c>
      <c r="AC33" s="69" t="str">
        <f ca="1">IF($A33="", "",IFERROR(IF(VLOOKUP($A33, INDIRECT("'" &amp; 'Personalized Bill Menu'!$B$23 &amp; "'!" &amp;"$A$4:$CA$100"), VLOOKUP(VLOOKUP("RIDER RATE 6",'Misc. Data &amp; Mechanisms'!$P$601:$S$632,HLOOKUP('Personalized Bill Menu'!$B$23, 'Misc. Data &amp; Mechanisms'!$P$599:$S$600, 2, FALSE), FALSE), 'Misc. Data &amp; Mechanisms'!$L$599:$N$659, 2, FALSE), FALSE) = "", "", VLOOKUP($A33, INDIRECT("'" &amp; 'Personalized Bill Menu'!$B$23 &amp; "'!" &amp;"$A$4:$CA$100"), VLOOKUP(VLOOKUP("RIDER RATE 6",'Misc. Data &amp; Mechanisms'!$P$601:$S$632,HLOOKUP('Personalized Bill Menu'!$B$23, 'Misc. Data &amp; Mechanisms'!$P$599:$S$600, 2, FALSE), FALSE), 'Misc. Data &amp; Mechanisms'!$L$599:$N$659, 2, FALSE), FALSE)), ""))</f>
        <v/>
      </c>
      <c r="AD33" s="69" t="str">
        <f ca="1">IF($A33="", "",IFERROR(IF(VLOOKUP($A33, INDIRECT("'" &amp; 'Personalized Bill Menu'!$B$23 &amp; "'!" &amp;"$A$4:$CA$100"), VLOOKUP(VLOOKUP("RIDER RATE 7",'Misc. Data &amp; Mechanisms'!$P$601:$S$632,HLOOKUP('Personalized Bill Menu'!$B$23, 'Misc. Data &amp; Mechanisms'!$P$599:$S$600, 2, FALSE), FALSE), 'Misc. Data &amp; Mechanisms'!$L$599:$N$659, 2, FALSE), FALSE) = "", "", VLOOKUP($A33, INDIRECT("'" &amp; 'Personalized Bill Menu'!$B$23 &amp; "'!" &amp;"$A$4:$CA$100"), VLOOKUP(VLOOKUP("RIDER RATE 7",'Misc. Data &amp; Mechanisms'!$P$601:$S$632,HLOOKUP('Personalized Bill Menu'!$B$23, 'Misc. Data &amp; Mechanisms'!$P$599:$S$600, 2, FALSE), FALSE), 'Misc. Data &amp; Mechanisms'!$L$599:$N$659, 2, FALSE), FALSE)), ""))</f>
        <v/>
      </c>
      <c r="AE33" s="69" t="str">
        <f ca="1">IF($A33="", "",IFERROR(IF(VLOOKUP($A33, INDIRECT("'" &amp; 'Personalized Bill Menu'!$B$23 &amp; "'!" &amp;"$A$4:$CA$100"), VLOOKUP(VLOOKUP("RIDER RATE 8",'Misc. Data &amp; Mechanisms'!$P$601:$S$632,HLOOKUP('Personalized Bill Menu'!$B$23, 'Misc. Data &amp; Mechanisms'!$P$599:$S$600, 2, FALSE), FALSE), 'Misc. Data &amp; Mechanisms'!$L$599:$N$659, 2, FALSE), FALSE) = "", "", VLOOKUP($A33, INDIRECT("'" &amp; 'Personalized Bill Menu'!$B$23 &amp; "'!" &amp;"$A$4:$CA$100"), VLOOKUP(VLOOKUP("RIDER RATE 8",'Misc. Data &amp; Mechanisms'!$P$601:$S$632,HLOOKUP('Personalized Bill Menu'!$B$23, 'Misc. Data &amp; Mechanisms'!$P$599:$S$600, 2, FALSE), FALSE), 'Misc. Data &amp; Mechanisms'!$L$599:$N$659, 2, FALSE), FALSE)), ""))</f>
        <v/>
      </c>
      <c r="AF33" s="69" t="str">
        <f ca="1">IF($A33="", "",IFERROR(IF(VLOOKUP($A33, INDIRECT("'" &amp; 'Personalized Bill Menu'!$B$23 &amp; "'!" &amp;"$A$4:$CA$100"), VLOOKUP(VLOOKUP("RIDER RATE 9",'Misc. Data &amp; Mechanisms'!$P$601:$S$632,HLOOKUP('Personalized Bill Menu'!$B$23, 'Misc. Data &amp; Mechanisms'!$P$599:$S$600, 2, FALSE), FALSE), 'Misc. Data &amp; Mechanisms'!$L$599:$N$659, 2, FALSE), FALSE) = "", "", VLOOKUP($A33, INDIRECT("'" &amp; 'Personalized Bill Menu'!$B$23 &amp; "'!" &amp;"$A$4:$CA$100"), VLOOKUP(VLOOKUP("RIDER RATE 9",'Misc. Data &amp; Mechanisms'!$P$601:$S$632,HLOOKUP('Personalized Bill Menu'!$B$23, 'Misc. Data &amp; Mechanisms'!$P$599:$S$600, 2, FALSE), FALSE), 'Misc. Data &amp; Mechanisms'!$L$599:$N$659, 2, FALSE), FALSE)), ""))</f>
        <v/>
      </c>
      <c r="AG33" s="72">
        <f ca="1">IF($A33="", "", IFERROR(IF('Personalized Bill Menu'!$B$23="ATCO-N", ($X33*$B33) +($Y33*$C33), IF('Personalized Bill Menu'!$B$23="ATCO-S",$X33*$C33, IF($Y33="", ($X33*$H33), ($Y33*($H33+$K33))))), 0))</f>
        <v>0</v>
      </c>
      <c r="AH33" s="72">
        <f ca="1">IF($A33="", "", IFERROR(IF('Personalized Bill Menu'!$B$23="ATCO-S", $Y33*$C33, $Z33*$C33), 0))</f>
        <v>0</v>
      </c>
      <c r="AI33" s="72">
        <f ca="1">IF($A33="", "", IFERROR(IF('Personalized Bill Menu'!$B$23="ATCO-S", ($AA33*$C33)+($Z33*$B33), $AA33*$C33), 0))</f>
        <v>0</v>
      </c>
      <c r="AJ33" s="72">
        <f ca="1">IF($A33="", "", IFERROR(IF('Personalized Bill Menu'!$B$23&lt;&gt;"AltaGas",$AB33*$C33,""),0))</f>
        <v>10.863139939222636</v>
      </c>
      <c r="AK33" s="72">
        <f ca="1">IF($A33="", "", IFERROR(IF('Personalized Bill Menu'!$B$23="ATCO-S",$AC33*$C33,IF('Personalized Bill Menu'!$B$23="ATCO-N",$AC33*1,"")),0))</f>
        <v>0</v>
      </c>
      <c r="AL33" s="72">
        <f ca="1">IF($A33="", "", IFERROR(IF('Personalized Bill Menu'!$B$23="ATCO-N",$AD33*$B33,IF('Personalized Bill Menu'!$B$23="ATCO-S",$AD33*1,"")),0))</f>
        <v>0</v>
      </c>
      <c r="AM33" s="72">
        <f ca="1">IF($A33="", "", IFERROR(IF('Personalized Bill Menu'!$B$23="ATCO-S",$AE33*$B33,IF('Personalized Bill Menu'!$B$23="ATCO-N",$AE33*$B33,"")),0))</f>
        <v>0</v>
      </c>
      <c r="AN33" s="70">
        <f ca="1">IF($A33="", "", IFERROR(IF('Personalized Bill Menu'!$B$23="ATCO-S",$AF33*$B33,""),0))</f>
        <v>0</v>
      </c>
      <c r="AO33" s="69">
        <f>IF('Personalized Bill Menu'!$B$34="Natural Gas", 'Personalized Bill Menu'!$K30, IF('Personalized Bill Menu'!$B$34="Both",'Personalized Bill Menu'!$O30,""))</f>
        <v>0.223</v>
      </c>
      <c r="AP33" s="72">
        <f t="shared" si="13"/>
        <v>6.9130000000000003</v>
      </c>
      <c r="AQ33" s="89" t="str">
        <f ca="1">IF($A33="", "",IF(VLOOKUP($A33, INDIRECT("'" &amp; 'Personalized Bill Menu'!$B$23 &amp; "'!" &amp;"$A$4:$CA$100"), VLOOKUP(VLOOKUP(AQ$5,'Misc. Data &amp; Mechanisms'!$P$601:$S$632,HLOOKUP('Personalized Bill Menu'!$B$23, 'Misc. Data &amp; Mechanisms'!$P$599:$S$600, 2, FALSE), FALSE), 'Misc. Data &amp; Mechanisms'!$L$599:$N$659, 2, FALSE), FALSE) = "", "", VLOOKUP($A33, INDIRECT("'" &amp; 'Personalized Bill Menu'!$B$23 &amp; "'!" &amp;"$A$4:$CA$100"), VLOOKUP(VLOOKUP(AQ$5,'Misc. Data &amp; Mechanisms'!$P$601:$S$632,HLOOKUP('Personalized Bill Menu'!$B$23, 'Misc. Data &amp; Mechanisms'!$P$599:$S$600, 2, FALSE), FALSE), 'Misc. Data &amp; Mechanisms'!$L$599:$N$659, 2, FALSE), FALSE)))</f>
        <v/>
      </c>
      <c r="AR33" s="72">
        <f t="shared" ca="1" si="14"/>
        <v>0</v>
      </c>
      <c r="AS33" s="91">
        <f ca="1">IF($A33="", "",IF(VLOOKUP($A33, INDIRECT("'" &amp; 'Personalized Bill Menu'!$B$23 &amp; "'!" &amp;"$A$4:$CA$100"), VLOOKUP(VLOOKUP(AS$5,'Misc. Data &amp; Mechanisms'!$P$601:$S$632,HLOOKUP('Personalized Bill Menu'!$B$23, 'Misc. Data &amp; Mechanisms'!$P$599:$S$600, 2, FALSE), FALSE), 'Misc. Data &amp; Mechanisms'!$L$599:$N$659, 2, FALSE), FALSE) = "", "", VLOOKUP($A33, INDIRECT("'" &amp; 'Personalized Bill Menu'!$B$23 &amp; "'!" &amp;"$A$4:$CA$100"), VLOOKUP(VLOOKUP(AS$5,'Misc. Data &amp; Mechanisms'!$P$601:$S$632,HLOOKUP('Personalized Bill Menu'!$B$23, 'Misc. Data &amp; Mechanisms'!$P$599:$S$600, 2, FALSE), FALSE), 'Misc. Data &amp; Mechanisms'!$L$599:$N$659, 2, FALSE), FALSE)))</f>
        <v>0.05</v>
      </c>
      <c r="AT33" s="116"/>
      <c r="AU33" s="116"/>
      <c r="AV33" s="116"/>
      <c r="AW33" s="116"/>
      <c r="AX33" s="116"/>
    </row>
    <row r="34" spans="1:50" s="117" customFormat="1" x14ac:dyDescent="0.3">
      <c r="A34" s="83">
        <f>'Personalized Bill Menu'!$H31</f>
        <v>41730</v>
      </c>
      <c r="B34" s="84">
        <f t="shared" si="3"/>
        <v>30</v>
      </c>
      <c r="C34" s="85">
        <f>IF('Personalized Bill Menu'!$B$34="Natural Gas", 'Personalized Bill Menu'!$I31, IF('Personalized Bill Menu'!$B$34="Both",'Personalized Bill Menu'!$M31,""))</f>
        <v>11.107498159818526</v>
      </c>
      <c r="D34" s="66">
        <f t="shared" ca="1" si="4"/>
        <v>9.711520335572871</v>
      </c>
      <c r="E34" s="66">
        <f ca="1">IF($C34="Not Applicable", "", IFERROR(IFERROR((1+$AS34)*IF('Personalized Bill Menu'!$B$23="ATCO-N", IF(OR('Personalized Bill Menu'!$B$21="Fort McMurray",AND('Personalized Bill Menu'!$B$21="Spruce Grove", $A34&lt;DATE(2019, 5, 1) )),(((1+IF($T34="",0,$T34))*($N34+$P34))+ (IF($U34="", 0, $U34)*$P34)+(1+IF($T34="",0,$T34)+IF($U34="", 0, $U34))*(SUM($Y34:$AB34))),($N34+((1+IF($T34="",0,$T34)+IF($U34="", 0, $U34))*$P34)+(1+IF($T34="",0,$T34)+IF($U34="", 0, $U34))*(SUM($Y34:$AB34)))), IF('Personalized Bill Menu'!$B$23="ATCO-S",IF(OR('Personalized Bill Menu'!$B$21="Calgary",AND('Personalized Bill Menu'!$B$21="Okotoks", $A34&lt;DATE(2019, 1, 1))),((1+IF($T34="",0,$T34))*($N34+$P34+SUM($X34:$Y34,$AA34:$AC34)))+(IF($U34="",0, $U34)*($P34+SUM($X34:$Y34,$AA34:$AC34))), ((1+IF($T34="",0,$T34))*($P34+SUM($Y34,$AA34:$AC34)))+(IF($U34="",0, $U34)*($P34+SUM($X34:$Y34,$AA34:$AC34)))+$N34+IF($X34="", 0, $X34)),IF(AND('Personalized Bill Menu'!$B$21="Athabasca", $A34&lt;DATE(2019, 5, 1)),((1+IF($T34="",0,$T34)+IF($U34="", 0, $U34))*($N34+((1+SUM($X34:$Y34))*$P34)+SUM($Z34:$AA34))),((1+IF($U34="", 0, $U34))*($N34+((1+SUM($X34:$Y34))*$P34)+SUM($Z34:$AA34))) + (IF($T34="",0,$T34)*(((1+SUM($X34:$Y34))*$P34)+SUM($Z34:$AA34)))))), "")+ IF($AQ34="", 0,((1+$AS34)*$AQ34)), ""))</f>
        <v>6.6685999799999998</v>
      </c>
      <c r="F34" s="118">
        <f t="shared" ca="1" si="5"/>
        <v>107.87069425641586</v>
      </c>
      <c r="G34" s="115">
        <f t="shared" si="0"/>
        <v>46.940287223393092</v>
      </c>
      <c r="H34" s="66">
        <f t="shared" ca="1" si="1"/>
        <v>31.036258660347887</v>
      </c>
      <c r="I34" s="66">
        <f t="shared" ca="1" si="2"/>
        <v>9.6035350483971715</v>
      </c>
      <c r="J34" s="66">
        <f t="shared" ca="1" si="6"/>
        <v>8.4639135977817173</v>
      </c>
      <c r="K34" s="66">
        <f t="shared" si="7"/>
        <v>6.69</v>
      </c>
      <c r="L34" s="66">
        <f t="shared" ca="1" si="8"/>
        <v>0</v>
      </c>
      <c r="M34" s="68">
        <f t="shared" ca="1" si="9"/>
        <v>5.1366997264959942</v>
      </c>
      <c r="N34" s="1290">
        <f>IF('Personalized Bill Menu'!$B$34="Natural Gas", 'Personalized Bill Menu'!$J31, IF('Personalized Bill Menu'!$B$34="Both",'Personalized Bill Menu'!$N31,""))</f>
        <v>4.226</v>
      </c>
      <c r="O34" s="70">
        <f t="shared" si="10"/>
        <v>46.940287223393092</v>
      </c>
      <c r="P34" s="89">
        <f ca="1">IF($A34="", "",IFERROR(IF(VLOOKUP($A34, INDIRECT("'" &amp; 'Personalized Bill Menu'!$B$23 &amp; "'!" &amp;"$A$4:$CA$100"), VLOOKUP(VLOOKUP(P$5,'Misc. Data &amp; Mechanisms'!$P$601:$S$632,HLOOKUP('Personalized Bill Menu'!$B$23, 'Misc. Data &amp; Mechanisms'!$P$599:$S$600, 2, FALSE), FALSE), 'Misc. Data &amp; Mechanisms'!$L$599:$N$659, 2, FALSE), FALSE) = "", "", VLOOKUP($A34, INDIRECT("'" &amp; 'Personalized Bill Menu'!$B$23 &amp; "'!" &amp;"$A$4:$CA$100"), VLOOKUP(VLOOKUP(P$5,'Misc. Data &amp; Mechanisms'!$P$601:$S$632,HLOOKUP('Personalized Bill Menu'!$B$23, 'Misc. Data &amp; Mechanisms'!$P$599:$S$600, 2, FALSE), FALSE), 'Misc. Data &amp; Mechanisms'!$L$599:$N$659, 2, FALSE), FALSE)), ""))</f>
        <v>0.72799999999999998</v>
      </c>
      <c r="Q34" s="69">
        <f ca="1">IF($A34="", "",IFERROR(IF(VLOOKUP($A34, INDIRECT("'" &amp; 'Personalized Bill Menu'!$B$23 &amp; "'!" &amp;"$A$4:$CA$100"), VLOOKUP(VLOOKUP(Q$5,'Misc. Data &amp; Mechanisms'!$P$601:$S$632,HLOOKUP('Personalized Bill Menu'!$B$23, 'Misc. Data &amp; Mechanisms'!$P$599:$S$600, 2, FALSE), FALSE), 'Misc. Data &amp; Mechanisms'!$L$599:$N$659, 2, FALSE), FALSE) = "", "", VLOOKUP($A34, INDIRECT("'" &amp; 'Personalized Bill Menu'!$B$23 &amp; "'!" &amp;"$A$4:$CA$100"), VLOOKUP(VLOOKUP(Q$5,'Misc. Data &amp; Mechanisms'!$P$601:$S$632,HLOOKUP('Personalized Bill Menu'!$B$23, 'Misc. Data &amp; Mechanisms'!$P$599:$S$600, 2, FALSE), FALSE), 'Misc. Data &amp; Mechanisms'!$L$599:$N$659, 2, FALSE), FALSE)), ""))</f>
        <v>0.76500000000000001</v>
      </c>
      <c r="R34" s="72">
        <f t="shared" ca="1" si="11"/>
        <v>8.0862586603478874</v>
      </c>
      <c r="S34" s="70">
        <f t="shared" ca="1" si="12"/>
        <v>22.95</v>
      </c>
      <c r="T34" s="78">
        <f>IFERROR(IF(VLOOKUP($A34,'Misc. Data &amp; Mechanisms'!$A$63:$DY$152,HLOOKUP('Personalized Bill Menu'!$B$21&amp;"_"&amp;'Personalized Bill Menu'!$B$23&amp;"_NG_Y_1",'Misc. Data &amp; Mechanisms'!$A$55:$DY$62,8,FALSE), FALSE)="", "", VLOOKUP($A34,'Misc. Data &amp; Mechanisms'!$A$63:$DY$152,HLOOKUP('Personalized Bill Menu'!$B$21&amp;"_"&amp;'Personalized Bill Menu'!$B$23&amp;"_NG_Y_1",'Misc. Data &amp; Mechanisms'!$A$55:$DY$62,8,FALSE), FALSE)), "")</f>
        <v>0.1111</v>
      </c>
      <c r="U34" s="78" t="str">
        <f>IFERROR(IF(VLOOKUP($A34,'Misc. Data &amp; Mechanisms'!$A$63:$DY$152,HLOOKUP('Personalized Bill Menu'!$B$21&amp;"_"&amp;'Personalized Bill Menu'!$B$23&amp;"_NG_Y_2",'Misc. Data &amp; Mechanisms'!$A$55:$DY$62,8,FALSE), FALSE)="", "",VLOOKUP($A34,'Misc. Data &amp; Mechanisms'!$A$63:$DY$152,HLOOKUP('Personalized Bill Menu'!$B$21&amp;"_"&amp;'Personalized Bill Menu'!$B$23&amp;"_NG_Y_2",'Misc. Data &amp; Mechanisms'!$A$55:$DY$62,8,FALSE), FALSE)), "")</f>
        <v/>
      </c>
      <c r="V34" s="72">
        <f ca="1">IF($A34="", "", IFERROR(IF('Personalized Bill Menu'!$B$23="ATCO-N", IF(OR('Personalized Bill Menu'!$B$21="Fort McMurray",AND('Personalized Bill Menu'!$B$21="Spruce Grove", $A34&lt;DATE(2019, 5, 1))),$T34*($G34+$H34+$J34),$T34*($H34+$J34)), IF('Personalized Bill Menu'!$B$23="ATCO-S",IF(OR('Personalized Bill Menu'!$B$21="Calgary",AND('Personalized Bill Menu'!$B$21="Okotoks", $A34&lt;DATE(2019, 1, 1))),$T34*($G34+$H34+$J34), $T34*($H34+$J34-$AG34)),IF(AND('Personalized Bill Menu'!$B$21="Athabasca", $A34&lt;DATE(2019, 5, 1)),$T34*($G34+$H34+$J34+$K34),$T34*($H34+$J34+$K34)))),0))</f>
        <v>9.6035350483971715</v>
      </c>
      <c r="W34" s="72">
        <f ca="1">IF($A34="", "", IFERROR(IF('Personalized Bill Menu'!$B$23="ATCO-N", $U34*($H34+$J34), IF('Personalized Bill Menu'!$B$23="ATCO-S",$U34*($H34+$J34),$U34*($G34+$H34+$J34+$K34))),0))</f>
        <v>0</v>
      </c>
      <c r="X34" s="89" t="str">
        <f ca="1">IF($A34="", "",IFERROR(IF(VLOOKUP($A34, INDIRECT("'" &amp; 'Personalized Bill Menu'!$B$23 &amp; "'!" &amp;"$A$4:$CA$100"), VLOOKUP(VLOOKUP("RIDER RATE 1",'Misc. Data &amp; Mechanisms'!$P$601:$S$632,HLOOKUP('Personalized Bill Menu'!$B$23, 'Misc. Data &amp; Mechanisms'!$P$599:$S$600, 2, FALSE), FALSE), 'Misc. Data &amp; Mechanisms'!$L$599:$N$659, 2, FALSE), FALSE) = "", "", VLOOKUP($A34, INDIRECT("'" &amp; 'Personalized Bill Menu'!$B$23 &amp; "'!" &amp;"$A$4:$CA$100"), VLOOKUP(VLOOKUP("RIDER RATE 1",'Misc. Data &amp; Mechanisms'!$P$601:$S$632,HLOOKUP('Personalized Bill Menu'!$B$23, 'Misc. Data &amp; Mechanisms'!$P$599:$S$600, 2, FALSE), FALSE), 'Misc. Data &amp; Mechanisms'!$L$599:$N$659, 2, FALSE), FALSE)), ""))</f>
        <v/>
      </c>
      <c r="Y34" s="69" t="str">
        <f ca="1">IF($A34="", "",IFERROR(IF(VLOOKUP($A34, INDIRECT("'" &amp; 'Personalized Bill Menu'!$B$23 &amp; "'!" &amp;"$A$4:$CA$100"), VLOOKUP(VLOOKUP("RIDER RATE 2",'Misc. Data &amp; Mechanisms'!$P$601:$S$632,HLOOKUP('Personalized Bill Menu'!$B$23, 'Misc. Data &amp; Mechanisms'!$P$599:$S$600, 2, FALSE), FALSE), 'Misc. Data &amp; Mechanisms'!$L$599:$N$659, 2, FALSE), FALSE) = "", "", VLOOKUP($A34, INDIRECT("'" &amp; 'Personalized Bill Menu'!$B$23 &amp; "'!" &amp;"$A$4:$CA$100"), VLOOKUP(VLOOKUP("RIDER RATE 2",'Misc. Data &amp; Mechanisms'!$P$601:$S$632,HLOOKUP('Personalized Bill Menu'!$B$23, 'Misc. Data &amp; Mechanisms'!$P$599:$S$600, 2, FALSE), FALSE), 'Misc. Data &amp; Mechanisms'!$L$599:$N$659, 2, FALSE), FALSE)), ""))</f>
        <v/>
      </c>
      <c r="Z34" s="69" t="str">
        <f ca="1">IF($A34="", "",IFERROR(IF(VLOOKUP($A34, INDIRECT("'" &amp; 'Personalized Bill Menu'!$B$23 &amp; "'!" &amp;"$A$4:$CA$100"), VLOOKUP(VLOOKUP("RIDER RATE 3",'Misc. Data &amp; Mechanisms'!$P$601:$S$632,HLOOKUP('Personalized Bill Menu'!$B$23, 'Misc. Data &amp; Mechanisms'!$P$599:$S$600, 2, FALSE), FALSE), 'Misc. Data &amp; Mechanisms'!$L$599:$N$659, 2, FALSE), FALSE) = "", "", VLOOKUP($A34, INDIRECT("'" &amp; 'Personalized Bill Menu'!$B$23 &amp; "'!" &amp;"$A$4:$CA$100"), VLOOKUP(VLOOKUP("RIDER RATE 3",'Misc. Data &amp; Mechanisms'!$P$601:$S$632,HLOOKUP('Personalized Bill Menu'!$B$23, 'Misc. Data &amp; Mechanisms'!$P$599:$S$600, 2, FALSE), FALSE), 'Misc. Data &amp; Mechanisms'!$L$599:$N$659, 2, FALSE), FALSE)), ""))</f>
        <v/>
      </c>
      <c r="AA34" s="69" t="str">
        <f ca="1">IF($A34="", "",IFERROR(IF(VLOOKUP($A34, INDIRECT("'" &amp; 'Personalized Bill Menu'!$B$23 &amp; "'!" &amp;"$A$4:$CA$100"), VLOOKUP(VLOOKUP("RIDER RATE 4",'Misc. Data &amp; Mechanisms'!$P$601:$S$632,HLOOKUP('Personalized Bill Menu'!$B$23, 'Misc. Data &amp; Mechanisms'!$P$599:$S$600, 2, FALSE), FALSE), 'Misc. Data &amp; Mechanisms'!$L$599:$N$659, 2, FALSE), FALSE) = "", "", VLOOKUP($A34, INDIRECT("'" &amp; 'Personalized Bill Menu'!$B$23 &amp; "'!" &amp;"$A$4:$CA$100"), VLOOKUP(VLOOKUP("RIDER RATE 4",'Misc. Data &amp; Mechanisms'!$P$601:$S$632,HLOOKUP('Personalized Bill Menu'!$B$23, 'Misc. Data &amp; Mechanisms'!$P$599:$S$600, 2, FALSE), FALSE), 'Misc. Data &amp; Mechanisms'!$L$599:$N$659, 2, FALSE), FALSE)), ""))</f>
        <v/>
      </c>
      <c r="AB34" s="69">
        <f ca="1">IF($A34="", "",IFERROR(IF(VLOOKUP($A34, INDIRECT("'" &amp; 'Personalized Bill Menu'!$B$23 &amp; "'!" &amp;"$A$4:$CA$100"), VLOOKUP(VLOOKUP("RIDER RATE 5",'Misc. Data &amp; Mechanisms'!$P$601:$S$632,HLOOKUP('Personalized Bill Menu'!$B$23, 'Misc. Data &amp; Mechanisms'!$P$599:$S$600, 2, FALSE), FALSE), 'Misc. Data &amp; Mechanisms'!$L$599:$N$659, 2, FALSE), FALSE) = "", "", VLOOKUP($A34, INDIRECT("'" &amp; 'Personalized Bill Menu'!$B$23 &amp; "'!" &amp;"$A$4:$CA$100"), VLOOKUP(VLOOKUP("RIDER RATE 5",'Misc. Data &amp; Mechanisms'!$P$601:$S$632,HLOOKUP('Personalized Bill Menu'!$B$23, 'Misc. Data &amp; Mechanisms'!$P$599:$S$600, 2, FALSE), FALSE), 'Misc. Data &amp; Mechanisms'!$L$599:$N$659, 2, FALSE), FALSE)), ""))</f>
        <v>0.76200000000000001</v>
      </c>
      <c r="AC34" s="69" t="str">
        <f ca="1">IF($A34="", "",IFERROR(IF(VLOOKUP($A34, INDIRECT("'" &amp; 'Personalized Bill Menu'!$B$23 &amp; "'!" &amp;"$A$4:$CA$100"), VLOOKUP(VLOOKUP("RIDER RATE 6",'Misc. Data &amp; Mechanisms'!$P$601:$S$632,HLOOKUP('Personalized Bill Menu'!$B$23, 'Misc. Data &amp; Mechanisms'!$P$599:$S$600, 2, FALSE), FALSE), 'Misc. Data &amp; Mechanisms'!$L$599:$N$659, 2, FALSE), FALSE) = "", "", VLOOKUP($A34, INDIRECT("'" &amp; 'Personalized Bill Menu'!$B$23 &amp; "'!" &amp;"$A$4:$CA$100"), VLOOKUP(VLOOKUP("RIDER RATE 6",'Misc. Data &amp; Mechanisms'!$P$601:$S$632,HLOOKUP('Personalized Bill Menu'!$B$23, 'Misc. Data &amp; Mechanisms'!$P$599:$S$600, 2, FALSE), FALSE), 'Misc. Data &amp; Mechanisms'!$L$599:$N$659, 2, FALSE), FALSE)), ""))</f>
        <v/>
      </c>
      <c r="AD34" s="69" t="str">
        <f ca="1">IF($A34="", "",IFERROR(IF(VLOOKUP($A34, INDIRECT("'" &amp; 'Personalized Bill Menu'!$B$23 &amp; "'!" &amp;"$A$4:$CA$100"), VLOOKUP(VLOOKUP("RIDER RATE 7",'Misc. Data &amp; Mechanisms'!$P$601:$S$632,HLOOKUP('Personalized Bill Menu'!$B$23, 'Misc. Data &amp; Mechanisms'!$P$599:$S$600, 2, FALSE), FALSE), 'Misc. Data &amp; Mechanisms'!$L$599:$N$659, 2, FALSE), FALSE) = "", "", VLOOKUP($A34, INDIRECT("'" &amp; 'Personalized Bill Menu'!$B$23 &amp; "'!" &amp;"$A$4:$CA$100"), VLOOKUP(VLOOKUP("RIDER RATE 7",'Misc. Data &amp; Mechanisms'!$P$601:$S$632,HLOOKUP('Personalized Bill Menu'!$B$23, 'Misc. Data &amp; Mechanisms'!$P$599:$S$600, 2, FALSE), FALSE), 'Misc. Data &amp; Mechanisms'!$L$599:$N$659, 2, FALSE), FALSE)), ""))</f>
        <v/>
      </c>
      <c r="AE34" s="69" t="str">
        <f ca="1">IF($A34="", "",IFERROR(IF(VLOOKUP($A34, INDIRECT("'" &amp; 'Personalized Bill Menu'!$B$23 &amp; "'!" &amp;"$A$4:$CA$100"), VLOOKUP(VLOOKUP("RIDER RATE 8",'Misc. Data &amp; Mechanisms'!$P$601:$S$632,HLOOKUP('Personalized Bill Menu'!$B$23, 'Misc. Data &amp; Mechanisms'!$P$599:$S$600, 2, FALSE), FALSE), 'Misc. Data &amp; Mechanisms'!$L$599:$N$659, 2, FALSE), FALSE) = "", "", VLOOKUP($A34, INDIRECT("'" &amp; 'Personalized Bill Menu'!$B$23 &amp; "'!" &amp;"$A$4:$CA$100"), VLOOKUP(VLOOKUP("RIDER RATE 8",'Misc. Data &amp; Mechanisms'!$P$601:$S$632,HLOOKUP('Personalized Bill Menu'!$B$23, 'Misc. Data &amp; Mechanisms'!$P$599:$S$600, 2, FALSE), FALSE), 'Misc. Data &amp; Mechanisms'!$L$599:$N$659, 2, FALSE), FALSE)), ""))</f>
        <v/>
      </c>
      <c r="AF34" s="69" t="str">
        <f ca="1">IF($A34="", "",IFERROR(IF(VLOOKUP($A34, INDIRECT("'" &amp; 'Personalized Bill Menu'!$B$23 &amp; "'!" &amp;"$A$4:$CA$100"), VLOOKUP(VLOOKUP("RIDER RATE 9",'Misc. Data &amp; Mechanisms'!$P$601:$S$632,HLOOKUP('Personalized Bill Menu'!$B$23, 'Misc. Data &amp; Mechanisms'!$P$599:$S$600, 2, FALSE), FALSE), 'Misc. Data &amp; Mechanisms'!$L$599:$N$659, 2, FALSE), FALSE) = "", "", VLOOKUP($A34, INDIRECT("'" &amp; 'Personalized Bill Menu'!$B$23 &amp; "'!" &amp;"$A$4:$CA$100"), VLOOKUP(VLOOKUP("RIDER RATE 9",'Misc. Data &amp; Mechanisms'!$P$601:$S$632,HLOOKUP('Personalized Bill Menu'!$B$23, 'Misc. Data &amp; Mechanisms'!$P$599:$S$600, 2, FALSE), FALSE), 'Misc. Data &amp; Mechanisms'!$L$599:$N$659, 2, FALSE), FALSE)), ""))</f>
        <v/>
      </c>
      <c r="AG34" s="72">
        <f ca="1">IF($A34="", "", IFERROR(IF('Personalized Bill Menu'!$B$23="ATCO-N", ($X34*$B34) +($Y34*$C34), IF('Personalized Bill Menu'!$B$23="ATCO-S",$X34*$C34, IF($Y34="", ($X34*$H34), ($Y34*($H34+$K34))))), 0))</f>
        <v>0</v>
      </c>
      <c r="AH34" s="72">
        <f ca="1">IF($A34="", "", IFERROR(IF('Personalized Bill Menu'!$B$23="ATCO-S", $Y34*$C34, $Z34*$C34), 0))</f>
        <v>0</v>
      </c>
      <c r="AI34" s="72">
        <f ca="1">IF($A34="", "", IFERROR(IF('Personalized Bill Menu'!$B$23="ATCO-S", ($AA34*$C34)+($Z34*$B34), $AA34*$C34), 0))</f>
        <v>0</v>
      </c>
      <c r="AJ34" s="72">
        <f ca="1">IF($A34="", "", IFERROR(IF('Personalized Bill Menu'!$B$23&lt;&gt;"AltaGas",$AB34*$C34,""),0))</f>
        <v>8.4639135977817173</v>
      </c>
      <c r="AK34" s="72">
        <f ca="1">IF($A34="", "", IFERROR(IF('Personalized Bill Menu'!$B$23="ATCO-S",$AC34*$C34,IF('Personalized Bill Menu'!$B$23="ATCO-N",$AC34*1,"")),0))</f>
        <v>0</v>
      </c>
      <c r="AL34" s="72">
        <f ca="1">IF($A34="", "", IFERROR(IF('Personalized Bill Menu'!$B$23="ATCO-N",$AD34*$B34,IF('Personalized Bill Menu'!$B$23="ATCO-S",$AD34*1,"")),0))</f>
        <v>0</v>
      </c>
      <c r="AM34" s="72">
        <f ca="1">IF($A34="", "", IFERROR(IF('Personalized Bill Menu'!$B$23="ATCO-S",$AE34*$B34,IF('Personalized Bill Menu'!$B$23="ATCO-N",$AE34*$B34,"")),0))</f>
        <v>0</v>
      </c>
      <c r="AN34" s="70">
        <f ca="1">IF($A34="", "", IFERROR(IF('Personalized Bill Menu'!$B$23="ATCO-S",$AF34*$B34,""),0))</f>
        <v>0</v>
      </c>
      <c r="AO34" s="69">
        <f>IF('Personalized Bill Menu'!$B$34="Natural Gas", 'Personalized Bill Menu'!$K31, IF('Personalized Bill Menu'!$B$34="Both",'Personalized Bill Menu'!$O31,""))</f>
        <v>0.223</v>
      </c>
      <c r="AP34" s="72">
        <f t="shared" si="13"/>
        <v>6.69</v>
      </c>
      <c r="AQ34" s="89" t="str">
        <f ca="1">IF($A34="", "",IF(VLOOKUP($A34, INDIRECT("'" &amp; 'Personalized Bill Menu'!$B$23 &amp; "'!" &amp;"$A$4:$CA$100"), VLOOKUP(VLOOKUP(AQ$5,'Misc. Data &amp; Mechanisms'!$P$601:$S$632,HLOOKUP('Personalized Bill Menu'!$B$23, 'Misc. Data &amp; Mechanisms'!$P$599:$S$600, 2, FALSE), FALSE), 'Misc. Data &amp; Mechanisms'!$L$599:$N$659, 2, FALSE), FALSE) = "", "", VLOOKUP($A34, INDIRECT("'" &amp; 'Personalized Bill Menu'!$B$23 &amp; "'!" &amp;"$A$4:$CA$100"), VLOOKUP(VLOOKUP(AQ$5,'Misc. Data &amp; Mechanisms'!$P$601:$S$632,HLOOKUP('Personalized Bill Menu'!$B$23, 'Misc. Data &amp; Mechanisms'!$P$599:$S$600, 2, FALSE), FALSE), 'Misc. Data &amp; Mechanisms'!$L$599:$N$659, 2, FALSE), FALSE)))</f>
        <v/>
      </c>
      <c r="AR34" s="72">
        <f t="shared" ca="1" si="14"/>
        <v>0</v>
      </c>
      <c r="AS34" s="91">
        <f ca="1">IF($A34="", "",IF(VLOOKUP($A34, INDIRECT("'" &amp; 'Personalized Bill Menu'!$B$23 &amp; "'!" &amp;"$A$4:$CA$100"), VLOOKUP(VLOOKUP(AS$5,'Misc. Data &amp; Mechanisms'!$P$601:$S$632,HLOOKUP('Personalized Bill Menu'!$B$23, 'Misc. Data &amp; Mechanisms'!$P$599:$S$600, 2, FALSE), FALSE), 'Misc. Data &amp; Mechanisms'!$L$599:$N$659, 2, FALSE), FALSE) = "", "", VLOOKUP($A34, INDIRECT("'" &amp; 'Personalized Bill Menu'!$B$23 &amp; "'!" &amp;"$A$4:$CA$100"), VLOOKUP(VLOOKUP(AS$5,'Misc. Data &amp; Mechanisms'!$P$601:$S$632,HLOOKUP('Personalized Bill Menu'!$B$23, 'Misc. Data &amp; Mechanisms'!$P$599:$S$600, 2, FALSE), FALSE), 'Misc. Data &amp; Mechanisms'!$L$599:$N$659, 2, FALSE), FALSE)))</f>
        <v>0.05</v>
      </c>
      <c r="AT34" s="116"/>
      <c r="AU34" s="116"/>
      <c r="AV34" s="116"/>
      <c r="AW34" s="116"/>
      <c r="AX34" s="116"/>
    </row>
    <row r="35" spans="1:50" s="117" customFormat="1" x14ac:dyDescent="0.3">
      <c r="A35" s="83">
        <f>'Personalized Bill Menu'!$H32</f>
        <v>41760</v>
      </c>
      <c r="B35" s="84">
        <f t="shared" si="3"/>
        <v>31</v>
      </c>
      <c r="C35" s="85">
        <f>IF('Personalized Bill Menu'!$B$34="Natural Gas", 'Personalized Bill Menu'!$I32, IF('Personalized Bill Menu'!$B$34="Both",'Personalized Bill Menu'!$M32,""))</f>
        <v>7.6720066184584503</v>
      </c>
      <c r="D35" s="66">
        <f t="shared" ca="1" si="4"/>
        <v>10.858148168023471</v>
      </c>
      <c r="E35" s="66">
        <f ca="1">IF($C35="Not Applicable", "", IFERROR(IFERROR((1+$AS35)*IF('Personalized Bill Menu'!$B$23="ATCO-N", IF(OR('Personalized Bill Menu'!$B$21="Fort McMurray",AND('Personalized Bill Menu'!$B$21="Spruce Grove", $A35&lt;DATE(2019, 5, 1) )),(((1+IF($T35="",0,$T35))*($N35+$P35))+ (IF($U35="", 0, $U35)*$P35)+(1+IF($T35="",0,$T35)+IF($U35="", 0, $U35))*(SUM($Y35:$AB35))),($N35+((1+IF($T35="",0,$T35)+IF($U35="", 0, $U35))*$P35)+(1+IF($T35="",0,$T35)+IF($U35="", 0, $U35))*(SUM($Y35:$AB35)))), IF('Personalized Bill Menu'!$B$23="ATCO-S",IF(OR('Personalized Bill Menu'!$B$21="Calgary",AND('Personalized Bill Menu'!$B$21="Okotoks", $A35&lt;DATE(2019, 1, 1))),((1+IF($T35="",0,$T35))*($N35+$P35+SUM($X35:$Y35,$AA35:$AC35)))+(IF($U35="",0, $U35)*($P35+SUM($X35:$Y35,$AA35:$AC35))), ((1+IF($T35="",0,$T35))*($P35+SUM($Y35,$AA35:$AC35)))+(IF($U35="",0, $U35)*($P35+SUM($X35:$Y35,$AA35:$AC35)))+$N35+IF($X35="", 0, $X35)),IF(AND('Personalized Bill Menu'!$B$21="Athabasca", $A35&lt;DATE(2019, 5, 1)),((1+IF($T35="",0,$T35)+IF($U35="", 0, $U35))*($N35+((1+SUM($X35:$Y35))*$P35)+SUM($Z35:$AA35))),((1+IF($U35="", 0, $U35))*($N35+((1+SUM($X35:$Y35))*$P35)+SUM($Z35:$AA35))) + (IF($T35="",0,$T35)*(((1+SUM($X35:$Y35))*$P35)+SUM($Z35:$AA35)))))), "")+ IF($AQ35="", 0,((1+$AS35)*$AQ35)), ""))</f>
        <v>6.3057702749999995</v>
      </c>
      <c r="F35" s="118">
        <f t="shared" ca="1" si="5"/>
        <v>83.303784609278566</v>
      </c>
      <c r="G35" s="115">
        <f t="shared" si="0"/>
        <v>30.035905911264834</v>
      </c>
      <c r="H35" s="66">
        <f t="shared" ca="1" si="1"/>
        <v>29.300220818237751</v>
      </c>
      <c r="I35" s="66">
        <f t="shared" ca="1" si="2"/>
        <v>7.2417419503545171</v>
      </c>
      <c r="J35" s="66">
        <f t="shared" ca="1" si="6"/>
        <v>5.8460690432653388</v>
      </c>
      <c r="K35" s="66">
        <f t="shared" si="7"/>
        <v>6.9130000000000003</v>
      </c>
      <c r="L35" s="66">
        <f t="shared" ca="1" si="8"/>
        <v>0</v>
      </c>
      <c r="M35" s="68">
        <f t="shared" ca="1" si="9"/>
        <v>3.9668468861561226</v>
      </c>
      <c r="N35" s="1290">
        <f>IF('Personalized Bill Menu'!$B$34="Natural Gas", 'Personalized Bill Menu'!$J32, IF('Personalized Bill Menu'!$B$34="Both",'Personalized Bill Menu'!$N32,""))</f>
        <v>3.915</v>
      </c>
      <c r="O35" s="70">
        <f t="shared" si="10"/>
        <v>30.035905911264834</v>
      </c>
      <c r="P35" s="89">
        <f ca="1">IF($A35="", "",IFERROR(IF(VLOOKUP($A35, INDIRECT("'" &amp; 'Personalized Bill Menu'!$B$23 &amp; "'!" &amp;"$A$4:$CA$100"), VLOOKUP(VLOOKUP(P$5,'Misc. Data &amp; Mechanisms'!$P$601:$S$632,HLOOKUP('Personalized Bill Menu'!$B$23, 'Misc. Data &amp; Mechanisms'!$P$599:$S$600, 2, FALSE), FALSE), 'Misc. Data &amp; Mechanisms'!$L$599:$N$659, 2, FALSE), FALSE) = "", "", VLOOKUP($A35, INDIRECT("'" &amp; 'Personalized Bill Menu'!$B$23 &amp; "'!" &amp;"$A$4:$CA$100"), VLOOKUP(VLOOKUP(P$5,'Misc. Data &amp; Mechanisms'!$P$601:$S$632,HLOOKUP('Personalized Bill Menu'!$B$23, 'Misc. Data &amp; Mechanisms'!$P$599:$S$600, 2, FALSE), FALSE), 'Misc. Data &amp; Mechanisms'!$L$599:$N$659, 2, FALSE), FALSE)), ""))</f>
        <v>0.72799999999999998</v>
      </c>
      <c r="Q35" s="69">
        <f ca="1">IF($A35="", "",IFERROR(IF(VLOOKUP($A35, INDIRECT("'" &amp; 'Personalized Bill Menu'!$B$23 &amp; "'!" &amp;"$A$4:$CA$100"), VLOOKUP(VLOOKUP(Q$5,'Misc. Data &amp; Mechanisms'!$P$601:$S$632,HLOOKUP('Personalized Bill Menu'!$B$23, 'Misc. Data &amp; Mechanisms'!$P$599:$S$600, 2, FALSE), FALSE), 'Misc. Data &amp; Mechanisms'!$L$599:$N$659, 2, FALSE), FALSE) = "", "", VLOOKUP($A35, INDIRECT("'" &amp; 'Personalized Bill Menu'!$B$23 &amp; "'!" &amp;"$A$4:$CA$100"), VLOOKUP(VLOOKUP(Q$5,'Misc. Data &amp; Mechanisms'!$P$601:$S$632,HLOOKUP('Personalized Bill Menu'!$B$23, 'Misc. Data &amp; Mechanisms'!$P$599:$S$600, 2, FALSE), FALSE), 'Misc. Data &amp; Mechanisms'!$L$599:$N$659, 2, FALSE), FALSE)), ""))</f>
        <v>0.76500000000000001</v>
      </c>
      <c r="R35" s="72">
        <f t="shared" ca="1" si="11"/>
        <v>5.5852208182377518</v>
      </c>
      <c r="S35" s="70">
        <f t="shared" ca="1" si="12"/>
        <v>23.715</v>
      </c>
      <c r="T35" s="78">
        <f>IFERROR(IF(VLOOKUP($A35,'Misc. Data &amp; Mechanisms'!$A$63:$DY$152,HLOOKUP('Personalized Bill Menu'!$B$21&amp;"_"&amp;'Personalized Bill Menu'!$B$23&amp;"_NG_Y_1",'Misc. Data &amp; Mechanisms'!$A$55:$DY$62,8,FALSE), FALSE)="", "", VLOOKUP($A35,'Misc. Data &amp; Mechanisms'!$A$63:$DY$152,HLOOKUP('Personalized Bill Menu'!$B$21&amp;"_"&amp;'Personalized Bill Menu'!$B$23&amp;"_NG_Y_1",'Misc. Data &amp; Mechanisms'!$A$55:$DY$62,8,FALSE), FALSE)), "")</f>
        <v>0.1111</v>
      </c>
      <c r="U35" s="78" t="str">
        <f>IFERROR(IF(VLOOKUP($A35,'Misc. Data &amp; Mechanisms'!$A$63:$DY$152,HLOOKUP('Personalized Bill Menu'!$B$21&amp;"_"&amp;'Personalized Bill Menu'!$B$23&amp;"_NG_Y_2",'Misc. Data &amp; Mechanisms'!$A$55:$DY$62,8,FALSE), FALSE)="", "",VLOOKUP($A35,'Misc. Data &amp; Mechanisms'!$A$63:$DY$152,HLOOKUP('Personalized Bill Menu'!$B$21&amp;"_"&amp;'Personalized Bill Menu'!$B$23&amp;"_NG_Y_2",'Misc. Data &amp; Mechanisms'!$A$55:$DY$62,8,FALSE), FALSE)), "")</f>
        <v/>
      </c>
      <c r="V35" s="72">
        <f ca="1">IF($A35="", "", IFERROR(IF('Personalized Bill Menu'!$B$23="ATCO-N", IF(OR('Personalized Bill Menu'!$B$21="Fort McMurray",AND('Personalized Bill Menu'!$B$21="Spruce Grove", $A35&lt;DATE(2019, 5, 1))),$T35*($G35+$H35+$J35),$T35*($H35+$J35)), IF('Personalized Bill Menu'!$B$23="ATCO-S",IF(OR('Personalized Bill Menu'!$B$21="Calgary",AND('Personalized Bill Menu'!$B$21="Okotoks", $A35&lt;DATE(2019, 1, 1))),$T35*($G35+$H35+$J35), $T35*($H35+$J35-$AG35)),IF(AND('Personalized Bill Menu'!$B$21="Athabasca", $A35&lt;DATE(2019, 5, 1)),$T35*($G35+$H35+$J35+$K35),$T35*($H35+$J35+$K35)))),0))</f>
        <v>7.2417419503545171</v>
      </c>
      <c r="W35" s="72">
        <f ca="1">IF($A35="", "", IFERROR(IF('Personalized Bill Menu'!$B$23="ATCO-N", $U35*($H35+$J35), IF('Personalized Bill Menu'!$B$23="ATCO-S",$U35*($H35+$J35),$U35*($G35+$H35+$J35+$K35))),0))</f>
        <v>0</v>
      </c>
      <c r="X35" s="89" t="str">
        <f ca="1">IF($A35="", "",IFERROR(IF(VLOOKUP($A35, INDIRECT("'" &amp; 'Personalized Bill Menu'!$B$23 &amp; "'!" &amp;"$A$4:$CA$100"), VLOOKUP(VLOOKUP("RIDER RATE 1",'Misc. Data &amp; Mechanisms'!$P$601:$S$632,HLOOKUP('Personalized Bill Menu'!$B$23, 'Misc. Data &amp; Mechanisms'!$P$599:$S$600, 2, FALSE), FALSE), 'Misc. Data &amp; Mechanisms'!$L$599:$N$659, 2, FALSE), FALSE) = "", "", VLOOKUP($A35, INDIRECT("'" &amp; 'Personalized Bill Menu'!$B$23 &amp; "'!" &amp;"$A$4:$CA$100"), VLOOKUP(VLOOKUP("RIDER RATE 1",'Misc. Data &amp; Mechanisms'!$P$601:$S$632,HLOOKUP('Personalized Bill Menu'!$B$23, 'Misc. Data &amp; Mechanisms'!$P$599:$S$600, 2, FALSE), FALSE), 'Misc. Data &amp; Mechanisms'!$L$599:$N$659, 2, FALSE), FALSE)), ""))</f>
        <v/>
      </c>
      <c r="Y35" s="69" t="str">
        <f ca="1">IF($A35="", "",IFERROR(IF(VLOOKUP($A35, INDIRECT("'" &amp; 'Personalized Bill Menu'!$B$23 &amp; "'!" &amp;"$A$4:$CA$100"), VLOOKUP(VLOOKUP("RIDER RATE 2",'Misc. Data &amp; Mechanisms'!$P$601:$S$632,HLOOKUP('Personalized Bill Menu'!$B$23, 'Misc. Data &amp; Mechanisms'!$P$599:$S$600, 2, FALSE), FALSE), 'Misc. Data &amp; Mechanisms'!$L$599:$N$659, 2, FALSE), FALSE) = "", "", VLOOKUP($A35, INDIRECT("'" &amp; 'Personalized Bill Menu'!$B$23 &amp; "'!" &amp;"$A$4:$CA$100"), VLOOKUP(VLOOKUP("RIDER RATE 2",'Misc. Data &amp; Mechanisms'!$P$601:$S$632,HLOOKUP('Personalized Bill Menu'!$B$23, 'Misc. Data &amp; Mechanisms'!$P$599:$S$600, 2, FALSE), FALSE), 'Misc. Data &amp; Mechanisms'!$L$599:$N$659, 2, FALSE), FALSE)), ""))</f>
        <v/>
      </c>
      <c r="Z35" s="69" t="str">
        <f ca="1">IF($A35="", "",IFERROR(IF(VLOOKUP($A35, INDIRECT("'" &amp; 'Personalized Bill Menu'!$B$23 &amp; "'!" &amp;"$A$4:$CA$100"), VLOOKUP(VLOOKUP("RIDER RATE 3",'Misc. Data &amp; Mechanisms'!$P$601:$S$632,HLOOKUP('Personalized Bill Menu'!$B$23, 'Misc. Data &amp; Mechanisms'!$P$599:$S$600, 2, FALSE), FALSE), 'Misc. Data &amp; Mechanisms'!$L$599:$N$659, 2, FALSE), FALSE) = "", "", VLOOKUP($A35, INDIRECT("'" &amp; 'Personalized Bill Menu'!$B$23 &amp; "'!" &amp;"$A$4:$CA$100"), VLOOKUP(VLOOKUP("RIDER RATE 3",'Misc. Data &amp; Mechanisms'!$P$601:$S$632,HLOOKUP('Personalized Bill Menu'!$B$23, 'Misc. Data &amp; Mechanisms'!$P$599:$S$600, 2, FALSE), FALSE), 'Misc. Data &amp; Mechanisms'!$L$599:$N$659, 2, FALSE), FALSE)), ""))</f>
        <v/>
      </c>
      <c r="AA35" s="69" t="str">
        <f ca="1">IF($A35="", "",IFERROR(IF(VLOOKUP($A35, INDIRECT("'" &amp; 'Personalized Bill Menu'!$B$23 &amp; "'!" &amp;"$A$4:$CA$100"), VLOOKUP(VLOOKUP("RIDER RATE 4",'Misc. Data &amp; Mechanisms'!$P$601:$S$632,HLOOKUP('Personalized Bill Menu'!$B$23, 'Misc. Data &amp; Mechanisms'!$P$599:$S$600, 2, FALSE), FALSE), 'Misc. Data &amp; Mechanisms'!$L$599:$N$659, 2, FALSE), FALSE) = "", "", VLOOKUP($A35, INDIRECT("'" &amp; 'Personalized Bill Menu'!$B$23 &amp; "'!" &amp;"$A$4:$CA$100"), VLOOKUP(VLOOKUP("RIDER RATE 4",'Misc. Data &amp; Mechanisms'!$P$601:$S$632,HLOOKUP('Personalized Bill Menu'!$B$23, 'Misc. Data &amp; Mechanisms'!$P$599:$S$600, 2, FALSE), FALSE), 'Misc. Data &amp; Mechanisms'!$L$599:$N$659, 2, FALSE), FALSE)), ""))</f>
        <v/>
      </c>
      <c r="AB35" s="69">
        <f ca="1">IF($A35="", "",IFERROR(IF(VLOOKUP($A35, INDIRECT("'" &amp; 'Personalized Bill Menu'!$B$23 &amp; "'!" &amp;"$A$4:$CA$100"), VLOOKUP(VLOOKUP("RIDER RATE 5",'Misc. Data &amp; Mechanisms'!$P$601:$S$632,HLOOKUP('Personalized Bill Menu'!$B$23, 'Misc. Data &amp; Mechanisms'!$P$599:$S$600, 2, FALSE), FALSE), 'Misc. Data &amp; Mechanisms'!$L$599:$N$659, 2, FALSE), FALSE) = "", "", VLOOKUP($A35, INDIRECT("'" &amp; 'Personalized Bill Menu'!$B$23 &amp; "'!" &amp;"$A$4:$CA$100"), VLOOKUP(VLOOKUP("RIDER RATE 5",'Misc. Data &amp; Mechanisms'!$P$601:$S$632,HLOOKUP('Personalized Bill Menu'!$B$23, 'Misc. Data &amp; Mechanisms'!$P$599:$S$600, 2, FALSE), FALSE), 'Misc. Data &amp; Mechanisms'!$L$599:$N$659, 2, FALSE), FALSE)), ""))</f>
        <v>0.76200000000000001</v>
      </c>
      <c r="AC35" s="69" t="str">
        <f ca="1">IF($A35="", "",IFERROR(IF(VLOOKUP($A35, INDIRECT("'" &amp; 'Personalized Bill Menu'!$B$23 &amp; "'!" &amp;"$A$4:$CA$100"), VLOOKUP(VLOOKUP("RIDER RATE 6",'Misc. Data &amp; Mechanisms'!$P$601:$S$632,HLOOKUP('Personalized Bill Menu'!$B$23, 'Misc. Data &amp; Mechanisms'!$P$599:$S$600, 2, FALSE), FALSE), 'Misc. Data &amp; Mechanisms'!$L$599:$N$659, 2, FALSE), FALSE) = "", "", VLOOKUP($A35, INDIRECT("'" &amp; 'Personalized Bill Menu'!$B$23 &amp; "'!" &amp;"$A$4:$CA$100"), VLOOKUP(VLOOKUP("RIDER RATE 6",'Misc. Data &amp; Mechanisms'!$P$601:$S$632,HLOOKUP('Personalized Bill Menu'!$B$23, 'Misc. Data &amp; Mechanisms'!$P$599:$S$600, 2, FALSE), FALSE), 'Misc. Data &amp; Mechanisms'!$L$599:$N$659, 2, FALSE), FALSE)), ""))</f>
        <v/>
      </c>
      <c r="AD35" s="69" t="str">
        <f ca="1">IF($A35="", "",IFERROR(IF(VLOOKUP($A35, INDIRECT("'" &amp; 'Personalized Bill Menu'!$B$23 &amp; "'!" &amp;"$A$4:$CA$100"), VLOOKUP(VLOOKUP("RIDER RATE 7",'Misc. Data &amp; Mechanisms'!$P$601:$S$632,HLOOKUP('Personalized Bill Menu'!$B$23, 'Misc. Data &amp; Mechanisms'!$P$599:$S$600, 2, FALSE), FALSE), 'Misc. Data &amp; Mechanisms'!$L$599:$N$659, 2, FALSE), FALSE) = "", "", VLOOKUP($A35, INDIRECT("'" &amp; 'Personalized Bill Menu'!$B$23 &amp; "'!" &amp;"$A$4:$CA$100"), VLOOKUP(VLOOKUP("RIDER RATE 7",'Misc. Data &amp; Mechanisms'!$P$601:$S$632,HLOOKUP('Personalized Bill Menu'!$B$23, 'Misc. Data &amp; Mechanisms'!$P$599:$S$600, 2, FALSE), FALSE), 'Misc. Data &amp; Mechanisms'!$L$599:$N$659, 2, FALSE), FALSE)), ""))</f>
        <v/>
      </c>
      <c r="AE35" s="69" t="str">
        <f ca="1">IF($A35="", "",IFERROR(IF(VLOOKUP($A35, INDIRECT("'" &amp; 'Personalized Bill Menu'!$B$23 &amp; "'!" &amp;"$A$4:$CA$100"), VLOOKUP(VLOOKUP("RIDER RATE 8",'Misc. Data &amp; Mechanisms'!$P$601:$S$632,HLOOKUP('Personalized Bill Menu'!$B$23, 'Misc. Data &amp; Mechanisms'!$P$599:$S$600, 2, FALSE), FALSE), 'Misc. Data &amp; Mechanisms'!$L$599:$N$659, 2, FALSE), FALSE) = "", "", VLOOKUP($A35, INDIRECT("'" &amp; 'Personalized Bill Menu'!$B$23 &amp; "'!" &amp;"$A$4:$CA$100"), VLOOKUP(VLOOKUP("RIDER RATE 8",'Misc. Data &amp; Mechanisms'!$P$601:$S$632,HLOOKUP('Personalized Bill Menu'!$B$23, 'Misc. Data &amp; Mechanisms'!$P$599:$S$600, 2, FALSE), FALSE), 'Misc. Data &amp; Mechanisms'!$L$599:$N$659, 2, FALSE), FALSE)), ""))</f>
        <v/>
      </c>
      <c r="AF35" s="69" t="str">
        <f ca="1">IF($A35="", "",IFERROR(IF(VLOOKUP($A35, INDIRECT("'" &amp; 'Personalized Bill Menu'!$B$23 &amp; "'!" &amp;"$A$4:$CA$100"), VLOOKUP(VLOOKUP("RIDER RATE 9",'Misc. Data &amp; Mechanisms'!$P$601:$S$632,HLOOKUP('Personalized Bill Menu'!$B$23, 'Misc. Data &amp; Mechanisms'!$P$599:$S$600, 2, FALSE), FALSE), 'Misc. Data &amp; Mechanisms'!$L$599:$N$659, 2, FALSE), FALSE) = "", "", VLOOKUP($A35, INDIRECT("'" &amp; 'Personalized Bill Menu'!$B$23 &amp; "'!" &amp;"$A$4:$CA$100"), VLOOKUP(VLOOKUP("RIDER RATE 9",'Misc. Data &amp; Mechanisms'!$P$601:$S$632,HLOOKUP('Personalized Bill Menu'!$B$23, 'Misc. Data &amp; Mechanisms'!$P$599:$S$600, 2, FALSE), FALSE), 'Misc. Data &amp; Mechanisms'!$L$599:$N$659, 2, FALSE), FALSE)), ""))</f>
        <v/>
      </c>
      <c r="AG35" s="72">
        <f ca="1">IF($A35="", "", IFERROR(IF('Personalized Bill Menu'!$B$23="ATCO-N", ($X35*$B35) +($Y35*$C35), IF('Personalized Bill Menu'!$B$23="ATCO-S",$X35*$C35, IF($Y35="", ($X35*$H35), ($Y35*($H35+$K35))))), 0))</f>
        <v>0</v>
      </c>
      <c r="AH35" s="72">
        <f ca="1">IF($A35="", "", IFERROR(IF('Personalized Bill Menu'!$B$23="ATCO-S", $Y35*$C35, $Z35*$C35), 0))</f>
        <v>0</v>
      </c>
      <c r="AI35" s="72">
        <f ca="1">IF($A35="", "", IFERROR(IF('Personalized Bill Menu'!$B$23="ATCO-S", ($AA35*$C35)+($Z35*$B35), $AA35*$C35), 0))</f>
        <v>0</v>
      </c>
      <c r="AJ35" s="72">
        <f ca="1">IF($A35="", "", IFERROR(IF('Personalized Bill Menu'!$B$23&lt;&gt;"AltaGas",$AB35*$C35,""),0))</f>
        <v>5.8460690432653388</v>
      </c>
      <c r="AK35" s="72">
        <f ca="1">IF($A35="", "", IFERROR(IF('Personalized Bill Menu'!$B$23="ATCO-S",$AC35*$C35,IF('Personalized Bill Menu'!$B$23="ATCO-N",$AC35*1,"")),0))</f>
        <v>0</v>
      </c>
      <c r="AL35" s="72">
        <f ca="1">IF($A35="", "", IFERROR(IF('Personalized Bill Menu'!$B$23="ATCO-N",$AD35*$B35,IF('Personalized Bill Menu'!$B$23="ATCO-S",$AD35*1,"")),0))</f>
        <v>0</v>
      </c>
      <c r="AM35" s="72">
        <f ca="1">IF($A35="", "", IFERROR(IF('Personalized Bill Menu'!$B$23="ATCO-S",$AE35*$B35,IF('Personalized Bill Menu'!$B$23="ATCO-N",$AE35*$B35,"")),0))</f>
        <v>0</v>
      </c>
      <c r="AN35" s="70">
        <f ca="1">IF($A35="", "", IFERROR(IF('Personalized Bill Menu'!$B$23="ATCO-S",$AF35*$B35,""),0))</f>
        <v>0</v>
      </c>
      <c r="AO35" s="69">
        <f>IF('Personalized Bill Menu'!$B$34="Natural Gas", 'Personalized Bill Menu'!$K32, IF('Personalized Bill Menu'!$B$34="Both",'Personalized Bill Menu'!$O32,""))</f>
        <v>0.223</v>
      </c>
      <c r="AP35" s="72">
        <f t="shared" si="13"/>
        <v>6.9130000000000003</v>
      </c>
      <c r="AQ35" s="89" t="str">
        <f ca="1">IF($A35="", "",IF(VLOOKUP($A35, INDIRECT("'" &amp; 'Personalized Bill Menu'!$B$23 &amp; "'!" &amp;"$A$4:$CA$100"), VLOOKUP(VLOOKUP(AQ$5,'Misc. Data &amp; Mechanisms'!$P$601:$S$632,HLOOKUP('Personalized Bill Menu'!$B$23, 'Misc. Data &amp; Mechanisms'!$P$599:$S$600, 2, FALSE), FALSE), 'Misc. Data &amp; Mechanisms'!$L$599:$N$659, 2, FALSE), FALSE) = "", "", VLOOKUP($A35, INDIRECT("'" &amp; 'Personalized Bill Menu'!$B$23 &amp; "'!" &amp;"$A$4:$CA$100"), VLOOKUP(VLOOKUP(AQ$5,'Misc. Data &amp; Mechanisms'!$P$601:$S$632,HLOOKUP('Personalized Bill Menu'!$B$23, 'Misc. Data &amp; Mechanisms'!$P$599:$S$600, 2, FALSE), FALSE), 'Misc. Data &amp; Mechanisms'!$L$599:$N$659, 2, FALSE), FALSE)))</f>
        <v/>
      </c>
      <c r="AR35" s="72">
        <f t="shared" ca="1" si="14"/>
        <v>0</v>
      </c>
      <c r="AS35" s="91">
        <f ca="1">IF($A35="", "",IF(VLOOKUP($A35, INDIRECT("'" &amp; 'Personalized Bill Menu'!$B$23 &amp; "'!" &amp;"$A$4:$CA$100"), VLOOKUP(VLOOKUP(AS$5,'Misc. Data &amp; Mechanisms'!$P$601:$S$632,HLOOKUP('Personalized Bill Menu'!$B$23, 'Misc. Data &amp; Mechanisms'!$P$599:$S$600, 2, FALSE), FALSE), 'Misc. Data &amp; Mechanisms'!$L$599:$N$659, 2, FALSE), FALSE) = "", "", VLOOKUP($A35, INDIRECT("'" &amp; 'Personalized Bill Menu'!$B$23 &amp; "'!" &amp;"$A$4:$CA$100"), VLOOKUP(VLOOKUP(AS$5,'Misc. Data &amp; Mechanisms'!$P$601:$S$632,HLOOKUP('Personalized Bill Menu'!$B$23, 'Misc. Data &amp; Mechanisms'!$P$599:$S$600, 2, FALSE), FALSE), 'Misc. Data &amp; Mechanisms'!$L$599:$N$659, 2, FALSE), FALSE)))</f>
        <v>0.05</v>
      </c>
      <c r="AT35" s="116"/>
      <c r="AU35" s="116"/>
      <c r="AV35" s="116"/>
      <c r="AW35" s="116"/>
      <c r="AX35" s="116"/>
    </row>
    <row r="36" spans="1:50" s="117" customFormat="1" x14ac:dyDescent="0.3">
      <c r="A36" s="83">
        <f>'Personalized Bill Menu'!$H33</f>
        <v>41791</v>
      </c>
      <c r="B36" s="84">
        <f t="shared" si="3"/>
        <v>30</v>
      </c>
      <c r="C36" s="85">
        <f>IF('Personalized Bill Menu'!$B$34="Natural Gas", 'Personalized Bill Menu'!$I33, IF('Personalized Bill Menu'!$B$34="Both",'Personalized Bill Menu'!$M33,""))</f>
        <v>4.5897978449022441</v>
      </c>
      <c r="D36" s="66">
        <f t="shared" ca="1" si="4"/>
        <v>12.28727558549425</v>
      </c>
      <c r="E36" s="66">
        <f ca="1">IF($C36="Not Applicable", "", IFERROR(IFERROR((1+$AS36)*IF('Personalized Bill Menu'!$B$23="ATCO-N", IF(OR('Personalized Bill Menu'!$B$21="Fort McMurray",AND('Personalized Bill Menu'!$B$21="Spruce Grove", $A36&lt;DATE(2019, 5, 1) )),(((1+IF($T36="",0,$T36))*($N36+$P36))+ (IF($U36="", 0, $U36)*$P36)+(1+IF($T36="",0,$T36)+IF($U36="", 0, $U36))*(SUM($Y36:$AB36))),($N36+((1+IF($T36="",0,$T36)+IF($U36="", 0, $U36))*$P36)+(1+IF($T36="",0,$T36)+IF($U36="", 0, $U36))*(SUM($Y36:$AB36)))), IF('Personalized Bill Menu'!$B$23="ATCO-S",IF(OR('Personalized Bill Menu'!$B$21="Calgary",AND('Personalized Bill Menu'!$B$21="Okotoks", $A36&lt;DATE(2019, 1, 1))),((1+IF($T36="",0,$T36))*($N36+$P36+SUM($X36:$Y36,$AA36:$AC36)))+(IF($U36="",0, $U36)*($P36+SUM($X36:$Y36,$AA36:$AC36))), ((1+IF($T36="",0,$T36))*($P36+SUM($Y36,$AA36:$AC36)))+(IF($U36="",0, $U36)*($P36+SUM($X36:$Y36,$AA36:$AC36)))+$N36+IF($X36="", 0, $X36)),IF(AND('Personalized Bill Menu'!$B$21="Athabasca", $A36&lt;DATE(2019, 5, 1)),((1+IF($T36="",0,$T36)+IF($U36="", 0, $U36))*($N36+((1+SUM($X36:$Y36))*$P36)+SUM($Z36:$AA36))),((1+IF($U36="", 0, $U36))*($N36+((1+SUM($X36:$Y36))*$P36)+SUM($Z36:$AA36))) + (IF($T36="",0,$T36)*(((1+SUM($X36:$Y36))*$P36)+SUM($Z36:$AA36)))))), "")+ IF($AQ36="", 0,((1+$AS36)*$AQ36)), ""))</f>
        <v>4.9232841000000001</v>
      </c>
      <c r="F36" s="118">
        <f t="shared" ca="1" si="5"/>
        <v>56.39611100202147</v>
      </c>
      <c r="G36" s="115">
        <f t="shared" si="0"/>
        <v>12.530148116583126</v>
      </c>
      <c r="H36" s="66">
        <f t="shared" ca="1" si="1"/>
        <v>26.291372831088832</v>
      </c>
      <c r="I36" s="66">
        <f t="shared" ca="1" si="2"/>
        <v>4.7016350011996577</v>
      </c>
      <c r="J36" s="66">
        <f t="shared" ca="1" si="6"/>
        <v>3.4974259578155102</v>
      </c>
      <c r="K36" s="66">
        <f t="shared" si="7"/>
        <v>6.69</v>
      </c>
      <c r="L36" s="66">
        <f t="shared" ca="1" si="8"/>
        <v>0</v>
      </c>
      <c r="M36" s="68">
        <f t="shared" ca="1" si="9"/>
        <v>2.6855290953343562</v>
      </c>
      <c r="N36" s="1290">
        <f>IF('Personalized Bill Menu'!$B$34="Natural Gas", 'Personalized Bill Menu'!$J33, IF('Personalized Bill Menu'!$B$34="Both",'Personalized Bill Menu'!$N33,""))</f>
        <v>2.73</v>
      </c>
      <c r="O36" s="70">
        <f t="shared" si="10"/>
        <v>12.530148116583126</v>
      </c>
      <c r="P36" s="89">
        <f ca="1">IF($A36="", "",IFERROR(IF(VLOOKUP($A36, INDIRECT("'" &amp; 'Personalized Bill Menu'!$B$23 &amp; "'!" &amp;"$A$4:$CA$100"), VLOOKUP(VLOOKUP(P$5,'Misc. Data &amp; Mechanisms'!$P$601:$S$632,HLOOKUP('Personalized Bill Menu'!$B$23, 'Misc. Data &amp; Mechanisms'!$P$599:$S$600, 2, FALSE), FALSE), 'Misc. Data &amp; Mechanisms'!$L$599:$N$659, 2, FALSE), FALSE) = "", "", VLOOKUP($A36, INDIRECT("'" &amp; 'Personalized Bill Menu'!$B$23 &amp; "'!" &amp;"$A$4:$CA$100"), VLOOKUP(VLOOKUP(P$5,'Misc. Data &amp; Mechanisms'!$P$601:$S$632,HLOOKUP('Personalized Bill Menu'!$B$23, 'Misc. Data &amp; Mechanisms'!$P$599:$S$600, 2, FALSE), FALSE), 'Misc. Data &amp; Mechanisms'!$L$599:$N$659, 2, FALSE), FALSE)), ""))</f>
        <v>0.72799999999999998</v>
      </c>
      <c r="Q36" s="69">
        <f ca="1">IF($A36="", "",IFERROR(IF(VLOOKUP($A36, INDIRECT("'" &amp; 'Personalized Bill Menu'!$B$23 &amp; "'!" &amp;"$A$4:$CA$100"), VLOOKUP(VLOOKUP(Q$5,'Misc. Data &amp; Mechanisms'!$P$601:$S$632,HLOOKUP('Personalized Bill Menu'!$B$23, 'Misc. Data &amp; Mechanisms'!$P$599:$S$600, 2, FALSE), FALSE), 'Misc. Data &amp; Mechanisms'!$L$599:$N$659, 2, FALSE), FALSE) = "", "", VLOOKUP($A36, INDIRECT("'" &amp; 'Personalized Bill Menu'!$B$23 &amp; "'!" &amp;"$A$4:$CA$100"), VLOOKUP(VLOOKUP(Q$5,'Misc. Data &amp; Mechanisms'!$P$601:$S$632,HLOOKUP('Personalized Bill Menu'!$B$23, 'Misc. Data &amp; Mechanisms'!$P$599:$S$600, 2, FALSE), FALSE), 'Misc. Data &amp; Mechanisms'!$L$599:$N$659, 2, FALSE), FALSE)), ""))</f>
        <v>0.76500000000000001</v>
      </c>
      <c r="R36" s="72">
        <f t="shared" ca="1" si="11"/>
        <v>3.3413728310888335</v>
      </c>
      <c r="S36" s="70">
        <f t="shared" ca="1" si="12"/>
        <v>22.95</v>
      </c>
      <c r="T36" s="78">
        <f>IFERROR(IF(VLOOKUP($A36,'Misc. Data &amp; Mechanisms'!$A$63:$DY$152,HLOOKUP('Personalized Bill Menu'!$B$21&amp;"_"&amp;'Personalized Bill Menu'!$B$23&amp;"_NG_Y_1",'Misc. Data &amp; Mechanisms'!$A$55:$DY$62,8,FALSE), FALSE)="", "", VLOOKUP($A36,'Misc. Data &amp; Mechanisms'!$A$63:$DY$152,HLOOKUP('Personalized Bill Menu'!$B$21&amp;"_"&amp;'Personalized Bill Menu'!$B$23&amp;"_NG_Y_1",'Misc. Data &amp; Mechanisms'!$A$55:$DY$62,8,FALSE), FALSE)), "")</f>
        <v>0.1111</v>
      </c>
      <c r="U36" s="78" t="str">
        <f>IFERROR(IF(VLOOKUP($A36,'Misc. Data &amp; Mechanisms'!$A$63:$DY$152,HLOOKUP('Personalized Bill Menu'!$B$21&amp;"_"&amp;'Personalized Bill Menu'!$B$23&amp;"_NG_Y_2",'Misc. Data &amp; Mechanisms'!$A$55:$DY$62,8,FALSE), FALSE)="", "",VLOOKUP($A36,'Misc. Data &amp; Mechanisms'!$A$63:$DY$152,HLOOKUP('Personalized Bill Menu'!$B$21&amp;"_"&amp;'Personalized Bill Menu'!$B$23&amp;"_NG_Y_2",'Misc. Data &amp; Mechanisms'!$A$55:$DY$62,8,FALSE), FALSE)), "")</f>
        <v/>
      </c>
      <c r="V36" s="72">
        <f ca="1">IF($A36="", "", IFERROR(IF('Personalized Bill Menu'!$B$23="ATCO-N", IF(OR('Personalized Bill Menu'!$B$21="Fort McMurray",AND('Personalized Bill Menu'!$B$21="Spruce Grove", $A36&lt;DATE(2019, 5, 1))),$T36*($G36+$H36+$J36),$T36*($H36+$J36)), IF('Personalized Bill Menu'!$B$23="ATCO-S",IF(OR('Personalized Bill Menu'!$B$21="Calgary",AND('Personalized Bill Menu'!$B$21="Okotoks", $A36&lt;DATE(2019, 1, 1))),$T36*($G36+$H36+$J36), $T36*($H36+$J36-$AG36)),IF(AND('Personalized Bill Menu'!$B$21="Athabasca", $A36&lt;DATE(2019, 5, 1)),$T36*($G36+$H36+$J36+$K36),$T36*($H36+$J36+$K36)))),0))</f>
        <v>4.7016350011996577</v>
      </c>
      <c r="W36" s="72">
        <f ca="1">IF($A36="", "", IFERROR(IF('Personalized Bill Menu'!$B$23="ATCO-N", $U36*($H36+$J36), IF('Personalized Bill Menu'!$B$23="ATCO-S",$U36*($H36+$J36),$U36*($G36+$H36+$J36+$K36))),0))</f>
        <v>0</v>
      </c>
      <c r="X36" s="89" t="str">
        <f ca="1">IF($A36="", "",IFERROR(IF(VLOOKUP($A36, INDIRECT("'" &amp; 'Personalized Bill Menu'!$B$23 &amp; "'!" &amp;"$A$4:$CA$100"), VLOOKUP(VLOOKUP("RIDER RATE 1",'Misc. Data &amp; Mechanisms'!$P$601:$S$632,HLOOKUP('Personalized Bill Menu'!$B$23, 'Misc. Data &amp; Mechanisms'!$P$599:$S$600, 2, FALSE), FALSE), 'Misc. Data &amp; Mechanisms'!$L$599:$N$659, 2, FALSE), FALSE) = "", "", VLOOKUP($A36, INDIRECT("'" &amp; 'Personalized Bill Menu'!$B$23 &amp; "'!" &amp;"$A$4:$CA$100"), VLOOKUP(VLOOKUP("RIDER RATE 1",'Misc. Data &amp; Mechanisms'!$P$601:$S$632,HLOOKUP('Personalized Bill Menu'!$B$23, 'Misc. Data &amp; Mechanisms'!$P$599:$S$600, 2, FALSE), FALSE), 'Misc. Data &amp; Mechanisms'!$L$599:$N$659, 2, FALSE), FALSE)), ""))</f>
        <v/>
      </c>
      <c r="Y36" s="69" t="str">
        <f ca="1">IF($A36="", "",IFERROR(IF(VLOOKUP($A36, INDIRECT("'" &amp; 'Personalized Bill Menu'!$B$23 &amp; "'!" &amp;"$A$4:$CA$100"), VLOOKUP(VLOOKUP("RIDER RATE 2",'Misc. Data &amp; Mechanisms'!$P$601:$S$632,HLOOKUP('Personalized Bill Menu'!$B$23, 'Misc. Data &amp; Mechanisms'!$P$599:$S$600, 2, FALSE), FALSE), 'Misc. Data &amp; Mechanisms'!$L$599:$N$659, 2, FALSE), FALSE) = "", "", VLOOKUP($A36, INDIRECT("'" &amp; 'Personalized Bill Menu'!$B$23 &amp; "'!" &amp;"$A$4:$CA$100"), VLOOKUP(VLOOKUP("RIDER RATE 2",'Misc. Data &amp; Mechanisms'!$P$601:$S$632,HLOOKUP('Personalized Bill Menu'!$B$23, 'Misc. Data &amp; Mechanisms'!$P$599:$S$600, 2, FALSE), FALSE), 'Misc. Data &amp; Mechanisms'!$L$599:$N$659, 2, FALSE), FALSE)), ""))</f>
        <v/>
      </c>
      <c r="Z36" s="69" t="str">
        <f ca="1">IF($A36="", "",IFERROR(IF(VLOOKUP($A36, INDIRECT("'" &amp; 'Personalized Bill Menu'!$B$23 &amp; "'!" &amp;"$A$4:$CA$100"), VLOOKUP(VLOOKUP("RIDER RATE 3",'Misc. Data &amp; Mechanisms'!$P$601:$S$632,HLOOKUP('Personalized Bill Menu'!$B$23, 'Misc. Data &amp; Mechanisms'!$P$599:$S$600, 2, FALSE), FALSE), 'Misc. Data &amp; Mechanisms'!$L$599:$N$659, 2, FALSE), FALSE) = "", "", VLOOKUP($A36, INDIRECT("'" &amp; 'Personalized Bill Menu'!$B$23 &amp; "'!" &amp;"$A$4:$CA$100"), VLOOKUP(VLOOKUP("RIDER RATE 3",'Misc. Data &amp; Mechanisms'!$P$601:$S$632,HLOOKUP('Personalized Bill Menu'!$B$23, 'Misc. Data &amp; Mechanisms'!$P$599:$S$600, 2, FALSE), FALSE), 'Misc. Data &amp; Mechanisms'!$L$599:$N$659, 2, FALSE), FALSE)), ""))</f>
        <v/>
      </c>
      <c r="AA36" s="69" t="str">
        <f ca="1">IF($A36="", "",IFERROR(IF(VLOOKUP($A36, INDIRECT("'" &amp; 'Personalized Bill Menu'!$B$23 &amp; "'!" &amp;"$A$4:$CA$100"), VLOOKUP(VLOOKUP("RIDER RATE 4",'Misc. Data &amp; Mechanisms'!$P$601:$S$632,HLOOKUP('Personalized Bill Menu'!$B$23, 'Misc. Data &amp; Mechanisms'!$P$599:$S$600, 2, FALSE), FALSE), 'Misc. Data &amp; Mechanisms'!$L$599:$N$659, 2, FALSE), FALSE) = "", "", VLOOKUP($A36, INDIRECT("'" &amp; 'Personalized Bill Menu'!$B$23 &amp; "'!" &amp;"$A$4:$CA$100"), VLOOKUP(VLOOKUP("RIDER RATE 4",'Misc. Data &amp; Mechanisms'!$P$601:$S$632,HLOOKUP('Personalized Bill Menu'!$B$23, 'Misc. Data &amp; Mechanisms'!$P$599:$S$600, 2, FALSE), FALSE), 'Misc. Data &amp; Mechanisms'!$L$599:$N$659, 2, FALSE), FALSE)), ""))</f>
        <v/>
      </c>
      <c r="AB36" s="69">
        <f ca="1">IF($A36="", "",IFERROR(IF(VLOOKUP($A36, INDIRECT("'" &amp; 'Personalized Bill Menu'!$B$23 &amp; "'!" &amp;"$A$4:$CA$100"), VLOOKUP(VLOOKUP("RIDER RATE 5",'Misc. Data &amp; Mechanisms'!$P$601:$S$632,HLOOKUP('Personalized Bill Menu'!$B$23, 'Misc. Data &amp; Mechanisms'!$P$599:$S$600, 2, FALSE), FALSE), 'Misc. Data &amp; Mechanisms'!$L$599:$N$659, 2, FALSE), FALSE) = "", "", VLOOKUP($A36, INDIRECT("'" &amp; 'Personalized Bill Menu'!$B$23 &amp; "'!" &amp;"$A$4:$CA$100"), VLOOKUP(VLOOKUP("RIDER RATE 5",'Misc. Data &amp; Mechanisms'!$P$601:$S$632,HLOOKUP('Personalized Bill Menu'!$B$23, 'Misc. Data &amp; Mechanisms'!$P$599:$S$600, 2, FALSE), FALSE), 'Misc. Data &amp; Mechanisms'!$L$599:$N$659, 2, FALSE), FALSE)), ""))</f>
        <v>0.76200000000000001</v>
      </c>
      <c r="AC36" s="69" t="str">
        <f ca="1">IF($A36="", "",IFERROR(IF(VLOOKUP($A36, INDIRECT("'" &amp; 'Personalized Bill Menu'!$B$23 &amp; "'!" &amp;"$A$4:$CA$100"), VLOOKUP(VLOOKUP("RIDER RATE 6",'Misc. Data &amp; Mechanisms'!$P$601:$S$632,HLOOKUP('Personalized Bill Menu'!$B$23, 'Misc. Data &amp; Mechanisms'!$P$599:$S$600, 2, FALSE), FALSE), 'Misc. Data &amp; Mechanisms'!$L$599:$N$659, 2, FALSE), FALSE) = "", "", VLOOKUP($A36, INDIRECT("'" &amp; 'Personalized Bill Menu'!$B$23 &amp; "'!" &amp;"$A$4:$CA$100"), VLOOKUP(VLOOKUP("RIDER RATE 6",'Misc. Data &amp; Mechanisms'!$P$601:$S$632,HLOOKUP('Personalized Bill Menu'!$B$23, 'Misc. Data &amp; Mechanisms'!$P$599:$S$600, 2, FALSE), FALSE), 'Misc. Data &amp; Mechanisms'!$L$599:$N$659, 2, FALSE), FALSE)), ""))</f>
        <v/>
      </c>
      <c r="AD36" s="69" t="str">
        <f ca="1">IF($A36="", "",IFERROR(IF(VLOOKUP($A36, INDIRECT("'" &amp; 'Personalized Bill Menu'!$B$23 &amp; "'!" &amp;"$A$4:$CA$100"), VLOOKUP(VLOOKUP("RIDER RATE 7",'Misc. Data &amp; Mechanisms'!$P$601:$S$632,HLOOKUP('Personalized Bill Menu'!$B$23, 'Misc. Data &amp; Mechanisms'!$P$599:$S$600, 2, FALSE), FALSE), 'Misc. Data &amp; Mechanisms'!$L$599:$N$659, 2, FALSE), FALSE) = "", "", VLOOKUP($A36, INDIRECT("'" &amp; 'Personalized Bill Menu'!$B$23 &amp; "'!" &amp;"$A$4:$CA$100"), VLOOKUP(VLOOKUP("RIDER RATE 7",'Misc. Data &amp; Mechanisms'!$P$601:$S$632,HLOOKUP('Personalized Bill Menu'!$B$23, 'Misc. Data &amp; Mechanisms'!$P$599:$S$600, 2, FALSE), FALSE), 'Misc. Data &amp; Mechanisms'!$L$599:$N$659, 2, FALSE), FALSE)), ""))</f>
        <v/>
      </c>
      <c r="AE36" s="69" t="str">
        <f ca="1">IF($A36="", "",IFERROR(IF(VLOOKUP($A36, INDIRECT("'" &amp; 'Personalized Bill Menu'!$B$23 &amp; "'!" &amp;"$A$4:$CA$100"), VLOOKUP(VLOOKUP("RIDER RATE 8",'Misc. Data &amp; Mechanisms'!$P$601:$S$632,HLOOKUP('Personalized Bill Menu'!$B$23, 'Misc. Data &amp; Mechanisms'!$P$599:$S$600, 2, FALSE), FALSE), 'Misc. Data &amp; Mechanisms'!$L$599:$N$659, 2, FALSE), FALSE) = "", "", VLOOKUP($A36, INDIRECT("'" &amp; 'Personalized Bill Menu'!$B$23 &amp; "'!" &amp;"$A$4:$CA$100"), VLOOKUP(VLOOKUP("RIDER RATE 8",'Misc. Data &amp; Mechanisms'!$P$601:$S$632,HLOOKUP('Personalized Bill Menu'!$B$23, 'Misc. Data &amp; Mechanisms'!$P$599:$S$600, 2, FALSE), FALSE), 'Misc. Data &amp; Mechanisms'!$L$599:$N$659, 2, FALSE), FALSE)), ""))</f>
        <v/>
      </c>
      <c r="AF36" s="69" t="str">
        <f ca="1">IF($A36="", "",IFERROR(IF(VLOOKUP($A36, INDIRECT("'" &amp; 'Personalized Bill Menu'!$B$23 &amp; "'!" &amp;"$A$4:$CA$100"), VLOOKUP(VLOOKUP("RIDER RATE 9",'Misc. Data &amp; Mechanisms'!$P$601:$S$632,HLOOKUP('Personalized Bill Menu'!$B$23, 'Misc. Data &amp; Mechanisms'!$P$599:$S$600, 2, FALSE), FALSE), 'Misc. Data &amp; Mechanisms'!$L$599:$N$659, 2, FALSE), FALSE) = "", "", VLOOKUP($A36, INDIRECT("'" &amp; 'Personalized Bill Menu'!$B$23 &amp; "'!" &amp;"$A$4:$CA$100"), VLOOKUP(VLOOKUP("RIDER RATE 9",'Misc. Data &amp; Mechanisms'!$P$601:$S$632,HLOOKUP('Personalized Bill Menu'!$B$23, 'Misc. Data &amp; Mechanisms'!$P$599:$S$600, 2, FALSE), FALSE), 'Misc. Data &amp; Mechanisms'!$L$599:$N$659, 2, FALSE), FALSE)), ""))</f>
        <v/>
      </c>
      <c r="AG36" s="72">
        <f ca="1">IF($A36="", "", IFERROR(IF('Personalized Bill Menu'!$B$23="ATCO-N", ($X36*$B36) +($Y36*$C36), IF('Personalized Bill Menu'!$B$23="ATCO-S",$X36*$C36, IF($Y36="", ($X36*$H36), ($Y36*($H36+$K36))))), 0))</f>
        <v>0</v>
      </c>
      <c r="AH36" s="72">
        <f ca="1">IF($A36="", "", IFERROR(IF('Personalized Bill Menu'!$B$23="ATCO-S", $Y36*$C36, $Z36*$C36), 0))</f>
        <v>0</v>
      </c>
      <c r="AI36" s="72">
        <f ca="1">IF($A36="", "", IFERROR(IF('Personalized Bill Menu'!$B$23="ATCO-S", ($AA36*$C36)+($Z36*$B36), $AA36*$C36), 0))</f>
        <v>0</v>
      </c>
      <c r="AJ36" s="72">
        <f ca="1">IF($A36="", "", IFERROR(IF('Personalized Bill Menu'!$B$23&lt;&gt;"AltaGas",$AB36*$C36,""),0))</f>
        <v>3.4974259578155102</v>
      </c>
      <c r="AK36" s="72">
        <f ca="1">IF($A36="", "", IFERROR(IF('Personalized Bill Menu'!$B$23="ATCO-S",$AC36*$C36,IF('Personalized Bill Menu'!$B$23="ATCO-N",$AC36*1,"")),0))</f>
        <v>0</v>
      </c>
      <c r="AL36" s="72">
        <f ca="1">IF($A36="", "", IFERROR(IF('Personalized Bill Menu'!$B$23="ATCO-N",$AD36*$B36,IF('Personalized Bill Menu'!$B$23="ATCO-S",$AD36*1,"")),0))</f>
        <v>0</v>
      </c>
      <c r="AM36" s="72">
        <f ca="1">IF($A36="", "", IFERROR(IF('Personalized Bill Menu'!$B$23="ATCO-S",$AE36*$B36,IF('Personalized Bill Menu'!$B$23="ATCO-N",$AE36*$B36,"")),0))</f>
        <v>0</v>
      </c>
      <c r="AN36" s="70">
        <f ca="1">IF($A36="", "", IFERROR(IF('Personalized Bill Menu'!$B$23="ATCO-S",$AF36*$B36,""),0))</f>
        <v>0</v>
      </c>
      <c r="AO36" s="69">
        <f>IF('Personalized Bill Menu'!$B$34="Natural Gas", 'Personalized Bill Menu'!$K33, IF('Personalized Bill Menu'!$B$34="Both",'Personalized Bill Menu'!$O33,""))</f>
        <v>0.223</v>
      </c>
      <c r="AP36" s="72">
        <f t="shared" si="13"/>
        <v>6.69</v>
      </c>
      <c r="AQ36" s="89" t="str">
        <f ca="1">IF($A36="", "",IF(VLOOKUP($A36, INDIRECT("'" &amp; 'Personalized Bill Menu'!$B$23 &amp; "'!" &amp;"$A$4:$CA$100"), VLOOKUP(VLOOKUP(AQ$5,'Misc. Data &amp; Mechanisms'!$P$601:$S$632,HLOOKUP('Personalized Bill Menu'!$B$23, 'Misc. Data &amp; Mechanisms'!$P$599:$S$600, 2, FALSE), FALSE), 'Misc. Data &amp; Mechanisms'!$L$599:$N$659, 2, FALSE), FALSE) = "", "", VLOOKUP($A36, INDIRECT("'" &amp; 'Personalized Bill Menu'!$B$23 &amp; "'!" &amp;"$A$4:$CA$100"), VLOOKUP(VLOOKUP(AQ$5,'Misc. Data &amp; Mechanisms'!$P$601:$S$632,HLOOKUP('Personalized Bill Menu'!$B$23, 'Misc. Data &amp; Mechanisms'!$P$599:$S$600, 2, FALSE), FALSE), 'Misc. Data &amp; Mechanisms'!$L$599:$N$659, 2, FALSE), FALSE)))</f>
        <v/>
      </c>
      <c r="AR36" s="72">
        <f t="shared" ca="1" si="14"/>
        <v>0</v>
      </c>
      <c r="AS36" s="91">
        <f ca="1">IF($A36="", "",IF(VLOOKUP($A36, INDIRECT("'" &amp; 'Personalized Bill Menu'!$B$23 &amp; "'!" &amp;"$A$4:$CA$100"), VLOOKUP(VLOOKUP(AS$5,'Misc. Data &amp; Mechanisms'!$P$601:$S$632,HLOOKUP('Personalized Bill Menu'!$B$23, 'Misc. Data &amp; Mechanisms'!$P$599:$S$600, 2, FALSE), FALSE), 'Misc. Data &amp; Mechanisms'!$L$599:$N$659, 2, FALSE), FALSE) = "", "", VLOOKUP($A36, INDIRECT("'" &amp; 'Personalized Bill Menu'!$B$23 &amp; "'!" &amp;"$A$4:$CA$100"), VLOOKUP(VLOOKUP(AS$5,'Misc. Data &amp; Mechanisms'!$P$601:$S$632,HLOOKUP('Personalized Bill Menu'!$B$23, 'Misc. Data &amp; Mechanisms'!$P$599:$S$600, 2, FALSE), FALSE), 'Misc. Data &amp; Mechanisms'!$L$599:$N$659, 2, FALSE), FALSE)))</f>
        <v>0.05</v>
      </c>
      <c r="AT36" s="116"/>
      <c r="AU36" s="116"/>
      <c r="AV36" s="116"/>
      <c r="AW36" s="116"/>
      <c r="AX36" s="116"/>
    </row>
    <row r="37" spans="1:50" s="117" customFormat="1" x14ac:dyDescent="0.3">
      <c r="A37" s="83">
        <f>'Personalized Bill Menu'!$H34</f>
        <v>41821</v>
      </c>
      <c r="B37" s="84">
        <f t="shared" si="3"/>
        <v>31</v>
      </c>
      <c r="C37" s="85">
        <f>IF('Personalized Bill Menu'!$B$34="Natural Gas", 'Personalized Bill Menu'!$I34, IF('Personalized Bill Menu'!$B$34="Both",'Personalized Bill Menu'!$M34,""))</f>
        <v>2.7320829657733774</v>
      </c>
      <c r="D37" s="66">
        <f t="shared" ca="1" si="4"/>
        <v>20.516195754058309</v>
      </c>
      <c r="E37" s="66">
        <f ca="1">IF($C37="Not Applicable", "", IFERROR(IFERROR((1+$AS37)*IF('Personalized Bill Menu'!$B$23="ATCO-N", IF(OR('Personalized Bill Menu'!$B$21="Fort McMurray",AND('Personalized Bill Menu'!$B$21="Spruce Grove", $A37&lt;DATE(2019, 5, 1) )),(((1+IF($T37="",0,$T37))*($N37+$P37))+ (IF($U37="", 0, $U37)*$P37)+(1+IF($T37="",0,$T37)+IF($U37="", 0, $U37))*(SUM($Y37:$AB37))),($N37+((1+IF($T37="",0,$T37)+IF($U37="", 0, $U37))*$P37)+(1+IF($T37="",0,$T37)+IF($U37="", 0, $U37))*(SUM($Y37:$AB37)))), IF('Personalized Bill Menu'!$B$23="ATCO-S",IF(OR('Personalized Bill Menu'!$B$21="Calgary",AND('Personalized Bill Menu'!$B$21="Okotoks", $A37&lt;DATE(2019, 1, 1))),((1+IF($T37="",0,$T37))*($N37+$P37+SUM($X37:$Y37,$AA37:$AC37)))+(IF($U37="",0, $U37)*($P37+SUM($X37:$Y37,$AA37:$AC37))), ((1+IF($T37="",0,$T37))*($P37+SUM($Y37,$AA37:$AC37)))+(IF($U37="",0, $U37)*($P37+SUM($X37:$Y37,$AA37:$AC37)))+$N37+IF($X37="", 0, $X37)),IF(AND('Personalized Bill Menu'!$B$21="Athabasca", $A37&lt;DATE(2019, 5, 1)),((1+IF($T37="",0,$T37)+IF($U37="", 0, $U37))*($N37+((1+SUM($X37:$Y37))*$P37)+SUM($Z37:$AA37))),((1+IF($U37="", 0, $U37))*($N37+((1+SUM($X37:$Y37))*$P37)+SUM($Z37:$AA37))) + (IF($T37="",0,$T37)*(((1+SUM($X37:$Y37))*$P37)+SUM($Z37:$AA37)))))), "")+ IF($AQ37="", 0,((1+$AS37)*$AQ37)), ""))</f>
        <v>7.7325893399999996</v>
      </c>
      <c r="F37" s="118">
        <f t="shared" ca="1" si="5"/>
        <v>56.0519489421348</v>
      </c>
      <c r="G37" s="115">
        <f t="shared" si="0"/>
        <v>14.037442278143613</v>
      </c>
      <c r="H37" s="66">
        <f t="shared" ca="1" si="1"/>
        <v>25.703956399083019</v>
      </c>
      <c r="I37" s="66">
        <f t="shared" ca="1" si="2"/>
        <v>4.646562619172915</v>
      </c>
      <c r="J37" s="66">
        <f t="shared" ca="1" si="6"/>
        <v>2.0818472199193137</v>
      </c>
      <c r="K37" s="66">
        <f t="shared" si="7"/>
        <v>6.9130000000000003</v>
      </c>
      <c r="L37" s="66">
        <f t="shared" ca="1" si="8"/>
        <v>0</v>
      </c>
      <c r="M37" s="68">
        <f t="shared" ca="1" si="9"/>
        <v>2.669140425815943</v>
      </c>
      <c r="N37" s="1290">
        <f>IF('Personalized Bill Menu'!$B$34="Natural Gas", 'Personalized Bill Menu'!$J34, IF('Personalized Bill Menu'!$B$34="Both",'Personalized Bill Menu'!$N34,""))</f>
        <v>5.1379999999999999</v>
      </c>
      <c r="O37" s="70">
        <f t="shared" si="10"/>
        <v>14.037442278143613</v>
      </c>
      <c r="P37" s="89">
        <f ca="1">IF($A37="", "",IFERROR(IF(VLOOKUP($A37, INDIRECT("'" &amp; 'Personalized Bill Menu'!$B$23 &amp; "'!" &amp;"$A$4:$CA$100"), VLOOKUP(VLOOKUP(P$5,'Misc. Data &amp; Mechanisms'!$P$601:$S$632,HLOOKUP('Personalized Bill Menu'!$B$23, 'Misc. Data &amp; Mechanisms'!$P$599:$S$600, 2, FALSE), FALSE), 'Misc. Data &amp; Mechanisms'!$L$599:$N$659, 2, FALSE), FALSE) = "", "", VLOOKUP($A37, INDIRECT("'" &amp; 'Personalized Bill Menu'!$B$23 &amp; "'!" &amp;"$A$4:$CA$100"), VLOOKUP(VLOOKUP(P$5,'Misc. Data &amp; Mechanisms'!$P$601:$S$632,HLOOKUP('Personalized Bill Menu'!$B$23, 'Misc. Data &amp; Mechanisms'!$P$599:$S$600, 2, FALSE), FALSE), 'Misc. Data &amp; Mechanisms'!$L$599:$N$659, 2, FALSE), FALSE)), ""))</f>
        <v>0.72799999999999998</v>
      </c>
      <c r="Q37" s="69">
        <f ca="1">IF($A37="", "",IFERROR(IF(VLOOKUP($A37, INDIRECT("'" &amp; 'Personalized Bill Menu'!$B$23 &amp; "'!" &amp;"$A$4:$CA$100"), VLOOKUP(VLOOKUP(Q$5,'Misc. Data &amp; Mechanisms'!$P$601:$S$632,HLOOKUP('Personalized Bill Menu'!$B$23, 'Misc. Data &amp; Mechanisms'!$P$599:$S$600, 2, FALSE), FALSE), 'Misc. Data &amp; Mechanisms'!$L$599:$N$659, 2, FALSE), FALSE) = "", "", VLOOKUP($A37, INDIRECT("'" &amp; 'Personalized Bill Menu'!$B$23 &amp; "'!" &amp;"$A$4:$CA$100"), VLOOKUP(VLOOKUP(Q$5,'Misc. Data &amp; Mechanisms'!$P$601:$S$632,HLOOKUP('Personalized Bill Menu'!$B$23, 'Misc. Data &amp; Mechanisms'!$P$599:$S$600, 2, FALSE), FALSE), 'Misc. Data &amp; Mechanisms'!$L$599:$N$659, 2, FALSE), FALSE)), ""))</f>
        <v>0.76500000000000001</v>
      </c>
      <c r="R37" s="72">
        <f t="shared" ca="1" si="11"/>
        <v>1.9889563990830186</v>
      </c>
      <c r="S37" s="70">
        <f t="shared" ca="1" si="12"/>
        <v>23.715</v>
      </c>
      <c r="T37" s="78">
        <f>IFERROR(IF(VLOOKUP($A37,'Misc. Data &amp; Mechanisms'!$A$63:$DY$152,HLOOKUP('Personalized Bill Menu'!$B$21&amp;"_"&amp;'Personalized Bill Menu'!$B$23&amp;"_NG_Y_1",'Misc. Data &amp; Mechanisms'!$A$55:$DY$62,8,FALSE), FALSE)="", "", VLOOKUP($A37,'Misc. Data &amp; Mechanisms'!$A$63:$DY$152,HLOOKUP('Personalized Bill Menu'!$B$21&amp;"_"&amp;'Personalized Bill Menu'!$B$23&amp;"_NG_Y_1",'Misc. Data &amp; Mechanisms'!$A$55:$DY$62,8,FALSE), FALSE)), "")</f>
        <v>0.1111</v>
      </c>
      <c r="U37" s="78" t="str">
        <f>IFERROR(IF(VLOOKUP($A37,'Misc. Data &amp; Mechanisms'!$A$63:$DY$152,HLOOKUP('Personalized Bill Menu'!$B$21&amp;"_"&amp;'Personalized Bill Menu'!$B$23&amp;"_NG_Y_2",'Misc. Data &amp; Mechanisms'!$A$55:$DY$62,8,FALSE), FALSE)="", "",VLOOKUP($A37,'Misc. Data &amp; Mechanisms'!$A$63:$DY$152,HLOOKUP('Personalized Bill Menu'!$B$21&amp;"_"&amp;'Personalized Bill Menu'!$B$23&amp;"_NG_Y_2",'Misc. Data &amp; Mechanisms'!$A$55:$DY$62,8,FALSE), FALSE)), "")</f>
        <v/>
      </c>
      <c r="V37" s="72">
        <f ca="1">IF($A37="", "", IFERROR(IF('Personalized Bill Menu'!$B$23="ATCO-N", IF(OR('Personalized Bill Menu'!$B$21="Fort McMurray",AND('Personalized Bill Menu'!$B$21="Spruce Grove", $A37&lt;DATE(2019, 5, 1))),$T37*($G37+$H37+$J37),$T37*($H37+$J37)), IF('Personalized Bill Menu'!$B$23="ATCO-S",IF(OR('Personalized Bill Menu'!$B$21="Calgary",AND('Personalized Bill Menu'!$B$21="Okotoks", $A37&lt;DATE(2019, 1, 1))),$T37*($G37+$H37+$J37), $T37*($H37+$J37-$AG37)),IF(AND('Personalized Bill Menu'!$B$21="Athabasca", $A37&lt;DATE(2019, 5, 1)),$T37*($G37+$H37+$J37+$K37),$T37*($H37+$J37+$K37)))),0))</f>
        <v>4.646562619172915</v>
      </c>
      <c r="W37" s="72">
        <f ca="1">IF($A37="", "", IFERROR(IF('Personalized Bill Menu'!$B$23="ATCO-N", $U37*($H37+$J37), IF('Personalized Bill Menu'!$B$23="ATCO-S",$U37*($H37+$J37),$U37*($G37+$H37+$J37+$K37))),0))</f>
        <v>0</v>
      </c>
      <c r="X37" s="89" t="str">
        <f ca="1">IF($A37="", "",IFERROR(IF(VLOOKUP($A37, INDIRECT("'" &amp; 'Personalized Bill Menu'!$B$23 &amp; "'!" &amp;"$A$4:$CA$100"), VLOOKUP(VLOOKUP("RIDER RATE 1",'Misc. Data &amp; Mechanisms'!$P$601:$S$632,HLOOKUP('Personalized Bill Menu'!$B$23, 'Misc. Data &amp; Mechanisms'!$P$599:$S$600, 2, FALSE), FALSE), 'Misc. Data &amp; Mechanisms'!$L$599:$N$659, 2, FALSE), FALSE) = "", "", VLOOKUP($A37, INDIRECT("'" &amp; 'Personalized Bill Menu'!$B$23 &amp; "'!" &amp;"$A$4:$CA$100"), VLOOKUP(VLOOKUP("RIDER RATE 1",'Misc. Data &amp; Mechanisms'!$P$601:$S$632,HLOOKUP('Personalized Bill Menu'!$B$23, 'Misc. Data &amp; Mechanisms'!$P$599:$S$600, 2, FALSE), FALSE), 'Misc. Data &amp; Mechanisms'!$L$599:$N$659, 2, FALSE), FALSE)), ""))</f>
        <v/>
      </c>
      <c r="Y37" s="69" t="str">
        <f ca="1">IF($A37="", "",IFERROR(IF(VLOOKUP($A37, INDIRECT("'" &amp; 'Personalized Bill Menu'!$B$23 &amp; "'!" &amp;"$A$4:$CA$100"), VLOOKUP(VLOOKUP("RIDER RATE 2",'Misc. Data &amp; Mechanisms'!$P$601:$S$632,HLOOKUP('Personalized Bill Menu'!$B$23, 'Misc. Data &amp; Mechanisms'!$P$599:$S$600, 2, FALSE), FALSE), 'Misc. Data &amp; Mechanisms'!$L$599:$N$659, 2, FALSE), FALSE) = "", "", VLOOKUP($A37, INDIRECT("'" &amp; 'Personalized Bill Menu'!$B$23 &amp; "'!" &amp;"$A$4:$CA$100"), VLOOKUP(VLOOKUP("RIDER RATE 2",'Misc. Data &amp; Mechanisms'!$P$601:$S$632,HLOOKUP('Personalized Bill Menu'!$B$23, 'Misc. Data &amp; Mechanisms'!$P$599:$S$600, 2, FALSE), FALSE), 'Misc. Data &amp; Mechanisms'!$L$599:$N$659, 2, FALSE), FALSE)), ""))</f>
        <v/>
      </c>
      <c r="Z37" s="69" t="str">
        <f ca="1">IF($A37="", "",IFERROR(IF(VLOOKUP($A37, INDIRECT("'" &amp; 'Personalized Bill Menu'!$B$23 &amp; "'!" &amp;"$A$4:$CA$100"), VLOOKUP(VLOOKUP("RIDER RATE 3",'Misc. Data &amp; Mechanisms'!$P$601:$S$632,HLOOKUP('Personalized Bill Menu'!$B$23, 'Misc. Data &amp; Mechanisms'!$P$599:$S$600, 2, FALSE), FALSE), 'Misc. Data &amp; Mechanisms'!$L$599:$N$659, 2, FALSE), FALSE) = "", "", VLOOKUP($A37, INDIRECT("'" &amp; 'Personalized Bill Menu'!$B$23 &amp; "'!" &amp;"$A$4:$CA$100"), VLOOKUP(VLOOKUP("RIDER RATE 3",'Misc. Data &amp; Mechanisms'!$P$601:$S$632,HLOOKUP('Personalized Bill Menu'!$B$23, 'Misc. Data &amp; Mechanisms'!$P$599:$S$600, 2, FALSE), FALSE), 'Misc. Data &amp; Mechanisms'!$L$599:$N$659, 2, FALSE), FALSE)), ""))</f>
        <v/>
      </c>
      <c r="AA37" s="69" t="str">
        <f ca="1">IF($A37="", "",IFERROR(IF(VLOOKUP($A37, INDIRECT("'" &amp; 'Personalized Bill Menu'!$B$23 &amp; "'!" &amp;"$A$4:$CA$100"), VLOOKUP(VLOOKUP("RIDER RATE 4",'Misc. Data &amp; Mechanisms'!$P$601:$S$632,HLOOKUP('Personalized Bill Menu'!$B$23, 'Misc. Data &amp; Mechanisms'!$P$599:$S$600, 2, FALSE), FALSE), 'Misc. Data &amp; Mechanisms'!$L$599:$N$659, 2, FALSE), FALSE) = "", "", VLOOKUP($A37, INDIRECT("'" &amp; 'Personalized Bill Menu'!$B$23 &amp; "'!" &amp;"$A$4:$CA$100"), VLOOKUP(VLOOKUP("RIDER RATE 4",'Misc. Data &amp; Mechanisms'!$P$601:$S$632,HLOOKUP('Personalized Bill Menu'!$B$23, 'Misc. Data &amp; Mechanisms'!$P$599:$S$600, 2, FALSE), FALSE), 'Misc. Data &amp; Mechanisms'!$L$599:$N$659, 2, FALSE), FALSE)), ""))</f>
        <v/>
      </c>
      <c r="AB37" s="69">
        <f ca="1">IF($A37="", "",IFERROR(IF(VLOOKUP($A37, INDIRECT("'" &amp; 'Personalized Bill Menu'!$B$23 &amp; "'!" &amp;"$A$4:$CA$100"), VLOOKUP(VLOOKUP("RIDER RATE 5",'Misc. Data &amp; Mechanisms'!$P$601:$S$632,HLOOKUP('Personalized Bill Menu'!$B$23, 'Misc. Data &amp; Mechanisms'!$P$599:$S$600, 2, FALSE), FALSE), 'Misc. Data &amp; Mechanisms'!$L$599:$N$659, 2, FALSE), FALSE) = "", "", VLOOKUP($A37, INDIRECT("'" &amp; 'Personalized Bill Menu'!$B$23 &amp; "'!" &amp;"$A$4:$CA$100"), VLOOKUP(VLOOKUP("RIDER RATE 5",'Misc. Data &amp; Mechanisms'!$P$601:$S$632,HLOOKUP('Personalized Bill Menu'!$B$23, 'Misc. Data &amp; Mechanisms'!$P$599:$S$600, 2, FALSE), FALSE), 'Misc. Data &amp; Mechanisms'!$L$599:$N$659, 2, FALSE), FALSE)), ""))</f>
        <v>0.76200000000000001</v>
      </c>
      <c r="AC37" s="69" t="str">
        <f ca="1">IF($A37="", "",IFERROR(IF(VLOOKUP($A37, INDIRECT("'" &amp; 'Personalized Bill Menu'!$B$23 &amp; "'!" &amp;"$A$4:$CA$100"), VLOOKUP(VLOOKUP("RIDER RATE 6",'Misc. Data &amp; Mechanisms'!$P$601:$S$632,HLOOKUP('Personalized Bill Menu'!$B$23, 'Misc. Data &amp; Mechanisms'!$P$599:$S$600, 2, FALSE), FALSE), 'Misc. Data &amp; Mechanisms'!$L$599:$N$659, 2, FALSE), FALSE) = "", "", VLOOKUP($A37, INDIRECT("'" &amp; 'Personalized Bill Menu'!$B$23 &amp; "'!" &amp;"$A$4:$CA$100"), VLOOKUP(VLOOKUP("RIDER RATE 6",'Misc. Data &amp; Mechanisms'!$P$601:$S$632,HLOOKUP('Personalized Bill Menu'!$B$23, 'Misc. Data &amp; Mechanisms'!$P$599:$S$600, 2, FALSE), FALSE), 'Misc. Data &amp; Mechanisms'!$L$599:$N$659, 2, FALSE), FALSE)), ""))</f>
        <v/>
      </c>
      <c r="AD37" s="69" t="str">
        <f ca="1">IF($A37="", "",IFERROR(IF(VLOOKUP($A37, INDIRECT("'" &amp; 'Personalized Bill Menu'!$B$23 &amp; "'!" &amp;"$A$4:$CA$100"), VLOOKUP(VLOOKUP("RIDER RATE 7",'Misc. Data &amp; Mechanisms'!$P$601:$S$632,HLOOKUP('Personalized Bill Menu'!$B$23, 'Misc. Data &amp; Mechanisms'!$P$599:$S$600, 2, FALSE), FALSE), 'Misc. Data &amp; Mechanisms'!$L$599:$N$659, 2, FALSE), FALSE) = "", "", VLOOKUP($A37, INDIRECT("'" &amp; 'Personalized Bill Menu'!$B$23 &amp; "'!" &amp;"$A$4:$CA$100"), VLOOKUP(VLOOKUP("RIDER RATE 7",'Misc. Data &amp; Mechanisms'!$P$601:$S$632,HLOOKUP('Personalized Bill Menu'!$B$23, 'Misc. Data &amp; Mechanisms'!$P$599:$S$600, 2, FALSE), FALSE), 'Misc. Data &amp; Mechanisms'!$L$599:$N$659, 2, FALSE), FALSE)), ""))</f>
        <v/>
      </c>
      <c r="AE37" s="69" t="str">
        <f ca="1">IF($A37="", "",IFERROR(IF(VLOOKUP($A37, INDIRECT("'" &amp; 'Personalized Bill Menu'!$B$23 &amp; "'!" &amp;"$A$4:$CA$100"), VLOOKUP(VLOOKUP("RIDER RATE 8",'Misc. Data &amp; Mechanisms'!$P$601:$S$632,HLOOKUP('Personalized Bill Menu'!$B$23, 'Misc. Data &amp; Mechanisms'!$P$599:$S$600, 2, FALSE), FALSE), 'Misc. Data &amp; Mechanisms'!$L$599:$N$659, 2, FALSE), FALSE) = "", "", VLOOKUP($A37, INDIRECT("'" &amp; 'Personalized Bill Menu'!$B$23 &amp; "'!" &amp;"$A$4:$CA$100"), VLOOKUP(VLOOKUP("RIDER RATE 8",'Misc. Data &amp; Mechanisms'!$P$601:$S$632,HLOOKUP('Personalized Bill Menu'!$B$23, 'Misc. Data &amp; Mechanisms'!$P$599:$S$600, 2, FALSE), FALSE), 'Misc. Data &amp; Mechanisms'!$L$599:$N$659, 2, FALSE), FALSE)), ""))</f>
        <v/>
      </c>
      <c r="AF37" s="69" t="str">
        <f ca="1">IF($A37="", "",IFERROR(IF(VLOOKUP($A37, INDIRECT("'" &amp; 'Personalized Bill Menu'!$B$23 &amp; "'!" &amp;"$A$4:$CA$100"), VLOOKUP(VLOOKUP("RIDER RATE 9",'Misc. Data &amp; Mechanisms'!$P$601:$S$632,HLOOKUP('Personalized Bill Menu'!$B$23, 'Misc. Data &amp; Mechanisms'!$P$599:$S$600, 2, FALSE), FALSE), 'Misc. Data &amp; Mechanisms'!$L$599:$N$659, 2, FALSE), FALSE) = "", "", VLOOKUP($A37, INDIRECT("'" &amp; 'Personalized Bill Menu'!$B$23 &amp; "'!" &amp;"$A$4:$CA$100"), VLOOKUP(VLOOKUP("RIDER RATE 9",'Misc. Data &amp; Mechanisms'!$P$601:$S$632,HLOOKUP('Personalized Bill Menu'!$B$23, 'Misc. Data &amp; Mechanisms'!$P$599:$S$600, 2, FALSE), FALSE), 'Misc. Data &amp; Mechanisms'!$L$599:$N$659, 2, FALSE), FALSE)), ""))</f>
        <v/>
      </c>
      <c r="AG37" s="72">
        <f ca="1">IF($A37="", "", IFERROR(IF('Personalized Bill Menu'!$B$23="ATCO-N", ($X37*$B37) +($Y37*$C37), IF('Personalized Bill Menu'!$B$23="ATCO-S",$X37*$C37, IF($Y37="", ($X37*$H37), ($Y37*($H37+$K37))))), 0))</f>
        <v>0</v>
      </c>
      <c r="AH37" s="72">
        <f ca="1">IF($A37="", "", IFERROR(IF('Personalized Bill Menu'!$B$23="ATCO-S", $Y37*$C37, $Z37*$C37), 0))</f>
        <v>0</v>
      </c>
      <c r="AI37" s="72">
        <f ca="1">IF($A37="", "", IFERROR(IF('Personalized Bill Menu'!$B$23="ATCO-S", ($AA37*$C37)+($Z37*$B37), $AA37*$C37), 0))</f>
        <v>0</v>
      </c>
      <c r="AJ37" s="72">
        <f ca="1">IF($A37="", "", IFERROR(IF('Personalized Bill Menu'!$B$23&lt;&gt;"AltaGas",$AB37*$C37,""),0))</f>
        <v>2.0818472199193137</v>
      </c>
      <c r="AK37" s="72">
        <f ca="1">IF($A37="", "", IFERROR(IF('Personalized Bill Menu'!$B$23="ATCO-S",$AC37*$C37,IF('Personalized Bill Menu'!$B$23="ATCO-N",$AC37*1,"")),0))</f>
        <v>0</v>
      </c>
      <c r="AL37" s="72">
        <f ca="1">IF($A37="", "", IFERROR(IF('Personalized Bill Menu'!$B$23="ATCO-N",$AD37*$B37,IF('Personalized Bill Menu'!$B$23="ATCO-S",$AD37*1,"")),0))</f>
        <v>0</v>
      </c>
      <c r="AM37" s="72">
        <f ca="1">IF($A37="", "", IFERROR(IF('Personalized Bill Menu'!$B$23="ATCO-S",$AE37*$B37,IF('Personalized Bill Menu'!$B$23="ATCO-N",$AE37*$B37,"")),0))</f>
        <v>0</v>
      </c>
      <c r="AN37" s="70">
        <f ca="1">IF($A37="", "", IFERROR(IF('Personalized Bill Menu'!$B$23="ATCO-S",$AF37*$B37,""),0))</f>
        <v>0</v>
      </c>
      <c r="AO37" s="69">
        <f>IF('Personalized Bill Menu'!$B$34="Natural Gas", 'Personalized Bill Menu'!$K34, IF('Personalized Bill Menu'!$B$34="Both",'Personalized Bill Menu'!$O34,""))</f>
        <v>0.223</v>
      </c>
      <c r="AP37" s="72">
        <f t="shared" si="13"/>
        <v>6.9130000000000003</v>
      </c>
      <c r="AQ37" s="89" t="str">
        <f ca="1">IF($A37="", "",IF(VLOOKUP($A37, INDIRECT("'" &amp; 'Personalized Bill Menu'!$B$23 &amp; "'!" &amp;"$A$4:$CA$100"), VLOOKUP(VLOOKUP(AQ$5,'Misc. Data &amp; Mechanisms'!$P$601:$S$632,HLOOKUP('Personalized Bill Menu'!$B$23, 'Misc. Data &amp; Mechanisms'!$P$599:$S$600, 2, FALSE), FALSE), 'Misc. Data &amp; Mechanisms'!$L$599:$N$659, 2, FALSE), FALSE) = "", "", VLOOKUP($A37, INDIRECT("'" &amp; 'Personalized Bill Menu'!$B$23 &amp; "'!" &amp;"$A$4:$CA$100"), VLOOKUP(VLOOKUP(AQ$5,'Misc. Data &amp; Mechanisms'!$P$601:$S$632,HLOOKUP('Personalized Bill Menu'!$B$23, 'Misc. Data &amp; Mechanisms'!$P$599:$S$600, 2, FALSE), FALSE), 'Misc. Data &amp; Mechanisms'!$L$599:$N$659, 2, FALSE), FALSE)))</f>
        <v/>
      </c>
      <c r="AR37" s="72">
        <f t="shared" ca="1" si="14"/>
        <v>0</v>
      </c>
      <c r="AS37" s="91">
        <f ca="1">IF($A37="", "",IF(VLOOKUP($A37, INDIRECT("'" &amp; 'Personalized Bill Menu'!$B$23 &amp; "'!" &amp;"$A$4:$CA$100"), VLOOKUP(VLOOKUP(AS$5,'Misc. Data &amp; Mechanisms'!$P$601:$S$632,HLOOKUP('Personalized Bill Menu'!$B$23, 'Misc. Data &amp; Mechanisms'!$P$599:$S$600, 2, FALSE), FALSE), 'Misc. Data &amp; Mechanisms'!$L$599:$N$659, 2, FALSE), FALSE) = "", "", VLOOKUP($A37, INDIRECT("'" &amp; 'Personalized Bill Menu'!$B$23 &amp; "'!" &amp;"$A$4:$CA$100"), VLOOKUP(VLOOKUP(AS$5,'Misc. Data &amp; Mechanisms'!$P$601:$S$632,HLOOKUP('Personalized Bill Menu'!$B$23, 'Misc. Data &amp; Mechanisms'!$P$599:$S$600, 2, FALSE), FALSE), 'Misc. Data &amp; Mechanisms'!$L$599:$N$659, 2, FALSE), FALSE)))</f>
        <v>0.05</v>
      </c>
      <c r="AT37" s="116"/>
      <c r="AU37" s="116"/>
      <c r="AV37" s="116"/>
      <c r="AW37" s="116"/>
      <c r="AX37" s="116"/>
    </row>
    <row r="38" spans="1:50" s="117" customFormat="1" x14ac:dyDescent="0.3">
      <c r="A38" s="83">
        <f>'Personalized Bill Menu'!$H35</f>
        <v>41852</v>
      </c>
      <c r="B38" s="84">
        <f t="shared" si="3"/>
        <v>31</v>
      </c>
      <c r="C38" s="85">
        <f>IF('Personalized Bill Menu'!$B$34="Natural Gas", 'Personalized Bill Menu'!$I35, IF('Personalized Bill Menu'!$B$34="Both",'Personalized Bill Menu'!$M35,""))</f>
        <v>3.3502929773367698</v>
      </c>
      <c r="D38" s="66">
        <f t="shared" ca="1" si="4"/>
        <v>16.536827669679209</v>
      </c>
      <c r="E38" s="66">
        <f ca="1">IF($C38="Not Applicable", "", IFERROR(IFERROR((1+$AS38)*IF('Personalized Bill Menu'!$B$23="ATCO-N", IF(OR('Personalized Bill Menu'!$B$21="Fort McMurray",AND('Personalized Bill Menu'!$B$21="Spruce Grove", $A38&lt;DATE(2019, 5, 1) )),(((1+IF($T38="",0,$T38))*($N38+$P38))+ (IF($U38="", 0, $U38)*$P38)+(1+IF($T38="",0,$T38)+IF($U38="", 0, $U38))*(SUM($Y38:$AB38))),($N38+((1+IF($T38="",0,$T38)+IF($U38="", 0, $U38))*$P38)+(1+IF($T38="",0,$T38)+IF($U38="", 0, $U38))*(SUM($Y38:$AB38)))), IF('Personalized Bill Menu'!$B$23="ATCO-S",IF(OR('Personalized Bill Menu'!$B$21="Calgary",AND('Personalized Bill Menu'!$B$21="Okotoks", $A38&lt;DATE(2019, 1, 1))),((1+IF($T38="",0,$T38))*($N38+$P38+SUM($X38:$Y38,$AA38:$AC38)))+(IF($U38="",0, $U38)*($P38+SUM($X38:$Y38,$AA38:$AC38))), ((1+IF($T38="",0,$T38))*($P38+SUM($Y38,$AA38:$AC38)))+(IF($U38="",0, $U38)*($P38+SUM($X38:$Y38,$AA38:$AC38)))+$N38+IF($X38="", 0, $X38)),IF(AND('Personalized Bill Menu'!$B$21="Athabasca", $A38&lt;DATE(2019, 5, 1)),((1+IF($T38="",0,$T38)+IF($U38="", 0, $U38))*($N38+((1+SUM($X38:$Y38))*$P38)+SUM($Z38:$AA38))),((1+IF($U38="", 0, $U38))*($N38+((1+SUM($X38:$Y38))*$P38)+SUM($Z38:$AA38))) + (IF($T38="",0,$T38)*(((1+SUM($X38:$Y38))*$P38)+SUM($Z38:$AA38)))))), "")+ IF($AQ38="", 0,((1+$AS38)*$AQ38)), ""))</f>
        <v>6.1121055450000012</v>
      </c>
      <c r="F38" s="118">
        <f t="shared" ca="1" si="5"/>
        <v>55.40321760915463</v>
      </c>
      <c r="G38" s="115">
        <f t="shared" si="0"/>
        <v>12.56024837203555</v>
      </c>
      <c r="H38" s="66">
        <f t="shared" ca="1" si="1"/>
        <v>26.154013287501169</v>
      </c>
      <c r="I38" s="66">
        <f t="shared" ca="1" si="2"/>
        <v>4.5847842433085013</v>
      </c>
      <c r="J38" s="66">
        <f t="shared" ca="1" si="6"/>
        <v>2.5529232487306186</v>
      </c>
      <c r="K38" s="66">
        <f t="shared" si="7"/>
        <v>6.9130000000000003</v>
      </c>
      <c r="L38" s="66">
        <f t="shared" ca="1" si="8"/>
        <v>0</v>
      </c>
      <c r="M38" s="68">
        <f t="shared" ca="1" si="9"/>
        <v>2.6382484575787921</v>
      </c>
      <c r="N38" s="1290">
        <f>IF('Personalized Bill Menu'!$B$34="Natural Gas", 'Personalized Bill Menu'!$J35, IF('Personalized Bill Menu'!$B$34="Both",'Personalized Bill Menu'!$N35,""))</f>
        <v>3.7490000000000001</v>
      </c>
      <c r="O38" s="70">
        <f t="shared" si="10"/>
        <v>12.56024837203555</v>
      </c>
      <c r="P38" s="89">
        <f ca="1">IF($A38="", "",IFERROR(IF(VLOOKUP($A38, INDIRECT("'" &amp; 'Personalized Bill Menu'!$B$23 &amp; "'!" &amp;"$A$4:$CA$100"), VLOOKUP(VLOOKUP(P$5,'Misc. Data &amp; Mechanisms'!$P$601:$S$632,HLOOKUP('Personalized Bill Menu'!$B$23, 'Misc. Data &amp; Mechanisms'!$P$599:$S$600, 2, FALSE), FALSE), 'Misc. Data &amp; Mechanisms'!$L$599:$N$659, 2, FALSE), FALSE) = "", "", VLOOKUP($A38, INDIRECT("'" &amp; 'Personalized Bill Menu'!$B$23 &amp; "'!" &amp;"$A$4:$CA$100"), VLOOKUP(VLOOKUP(P$5,'Misc. Data &amp; Mechanisms'!$P$601:$S$632,HLOOKUP('Personalized Bill Menu'!$B$23, 'Misc. Data &amp; Mechanisms'!$P$599:$S$600, 2, FALSE), FALSE), 'Misc. Data &amp; Mechanisms'!$L$599:$N$659, 2, FALSE), FALSE)), ""))</f>
        <v>0.72799999999999998</v>
      </c>
      <c r="Q38" s="69">
        <f ca="1">IF($A38="", "",IFERROR(IF(VLOOKUP($A38, INDIRECT("'" &amp; 'Personalized Bill Menu'!$B$23 &amp; "'!" &amp;"$A$4:$CA$100"), VLOOKUP(VLOOKUP(Q$5,'Misc. Data &amp; Mechanisms'!$P$601:$S$632,HLOOKUP('Personalized Bill Menu'!$B$23, 'Misc. Data &amp; Mechanisms'!$P$599:$S$600, 2, FALSE), FALSE), 'Misc. Data &amp; Mechanisms'!$L$599:$N$659, 2, FALSE), FALSE) = "", "", VLOOKUP($A38, INDIRECT("'" &amp; 'Personalized Bill Menu'!$B$23 &amp; "'!" &amp;"$A$4:$CA$100"), VLOOKUP(VLOOKUP(Q$5,'Misc. Data &amp; Mechanisms'!$P$601:$S$632,HLOOKUP('Personalized Bill Menu'!$B$23, 'Misc. Data &amp; Mechanisms'!$P$599:$S$600, 2, FALSE), FALSE), 'Misc. Data &amp; Mechanisms'!$L$599:$N$659, 2, FALSE), FALSE)), ""))</f>
        <v>0.76500000000000001</v>
      </c>
      <c r="R38" s="72">
        <f t="shared" ca="1" si="11"/>
        <v>2.4390132875011683</v>
      </c>
      <c r="S38" s="70">
        <f t="shared" ca="1" si="12"/>
        <v>23.715</v>
      </c>
      <c r="T38" s="78">
        <f>IFERROR(IF(VLOOKUP($A38,'Misc. Data &amp; Mechanisms'!$A$63:$DY$152,HLOOKUP('Personalized Bill Menu'!$B$21&amp;"_"&amp;'Personalized Bill Menu'!$B$23&amp;"_NG_Y_1",'Misc. Data &amp; Mechanisms'!$A$55:$DY$62,8,FALSE), FALSE)="", "", VLOOKUP($A38,'Misc. Data &amp; Mechanisms'!$A$63:$DY$152,HLOOKUP('Personalized Bill Menu'!$B$21&amp;"_"&amp;'Personalized Bill Menu'!$B$23&amp;"_NG_Y_1",'Misc. Data &amp; Mechanisms'!$A$55:$DY$62,8,FALSE), FALSE)), "")</f>
        <v>0.1111</v>
      </c>
      <c r="U38" s="78" t="str">
        <f>IFERROR(IF(VLOOKUP($A38,'Misc. Data &amp; Mechanisms'!$A$63:$DY$152,HLOOKUP('Personalized Bill Menu'!$B$21&amp;"_"&amp;'Personalized Bill Menu'!$B$23&amp;"_NG_Y_2",'Misc. Data &amp; Mechanisms'!$A$55:$DY$62,8,FALSE), FALSE)="", "",VLOOKUP($A38,'Misc. Data &amp; Mechanisms'!$A$63:$DY$152,HLOOKUP('Personalized Bill Menu'!$B$21&amp;"_"&amp;'Personalized Bill Menu'!$B$23&amp;"_NG_Y_2",'Misc. Data &amp; Mechanisms'!$A$55:$DY$62,8,FALSE), FALSE)), "")</f>
        <v/>
      </c>
      <c r="V38" s="72">
        <f ca="1">IF($A38="", "", IFERROR(IF('Personalized Bill Menu'!$B$23="ATCO-N", IF(OR('Personalized Bill Menu'!$B$21="Fort McMurray",AND('Personalized Bill Menu'!$B$21="Spruce Grove", $A38&lt;DATE(2019, 5, 1))),$T38*($G38+$H38+$J38),$T38*($H38+$J38)), IF('Personalized Bill Menu'!$B$23="ATCO-S",IF(OR('Personalized Bill Menu'!$B$21="Calgary",AND('Personalized Bill Menu'!$B$21="Okotoks", $A38&lt;DATE(2019, 1, 1))),$T38*($G38+$H38+$J38), $T38*($H38+$J38-$AG38)),IF(AND('Personalized Bill Menu'!$B$21="Athabasca", $A38&lt;DATE(2019, 5, 1)),$T38*($G38+$H38+$J38+$K38),$T38*($H38+$J38+$K38)))),0))</f>
        <v>4.5847842433085013</v>
      </c>
      <c r="W38" s="72">
        <f ca="1">IF($A38="", "", IFERROR(IF('Personalized Bill Menu'!$B$23="ATCO-N", $U38*($H38+$J38), IF('Personalized Bill Menu'!$B$23="ATCO-S",$U38*($H38+$J38),$U38*($G38+$H38+$J38+$K38))),0))</f>
        <v>0</v>
      </c>
      <c r="X38" s="89" t="str">
        <f ca="1">IF($A38="", "",IFERROR(IF(VLOOKUP($A38, INDIRECT("'" &amp; 'Personalized Bill Menu'!$B$23 &amp; "'!" &amp;"$A$4:$CA$100"), VLOOKUP(VLOOKUP("RIDER RATE 1",'Misc. Data &amp; Mechanisms'!$P$601:$S$632,HLOOKUP('Personalized Bill Menu'!$B$23, 'Misc. Data &amp; Mechanisms'!$P$599:$S$600, 2, FALSE), FALSE), 'Misc. Data &amp; Mechanisms'!$L$599:$N$659, 2, FALSE), FALSE) = "", "", VLOOKUP($A38, INDIRECT("'" &amp; 'Personalized Bill Menu'!$B$23 &amp; "'!" &amp;"$A$4:$CA$100"), VLOOKUP(VLOOKUP("RIDER RATE 1",'Misc. Data &amp; Mechanisms'!$P$601:$S$632,HLOOKUP('Personalized Bill Menu'!$B$23, 'Misc. Data &amp; Mechanisms'!$P$599:$S$600, 2, FALSE), FALSE), 'Misc. Data &amp; Mechanisms'!$L$599:$N$659, 2, FALSE), FALSE)), ""))</f>
        <v/>
      </c>
      <c r="Y38" s="69" t="str">
        <f ca="1">IF($A38="", "",IFERROR(IF(VLOOKUP($A38, INDIRECT("'" &amp; 'Personalized Bill Menu'!$B$23 &amp; "'!" &amp;"$A$4:$CA$100"), VLOOKUP(VLOOKUP("RIDER RATE 2",'Misc. Data &amp; Mechanisms'!$P$601:$S$632,HLOOKUP('Personalized Bill Menu'!$B$23, 'Misc. Data &amp; Mechanisms'!$P$599:$S$600, 2, FALSE), FALSE), 'Misc. Data &amp; Mechanisms'!$L$599:$N$659, 2, FALSE), FALSE) = "", "", VLOOKUP($A38, INDIRECT("'" &amp; 'Personalized Bill Menu'!$B$23 &amp; "'!" &amp;"$A$4:$CA$100"), VLOOKUP(VLOOKUP("RIDER RATE 2",'Misc. Data &amp; Mechanisms'!$P$601:$S$632,HLOOKUP('Personalized Bill Menu'!$B$23, 'Misc. Data &amp; Mechanisms'!$P$599:$S$600, 2, FALSE), FALSE), 'Misc. Data &amp; Mechanisms'!$L$599:$N$659, 2, FALSE), FALSE)), ""))</f>
        <v/>
      </c>
      <c r="Z38" s="69" t="str">
        <f ca="1">IF($A38="", "",IFERROR(IF(VLOOKUP($A38, INDIRECT("'" &amp; 'Personalized Bill Menu'!$B$23 &amp; "'!" &amp;"$A$4:$CA$100"), VLOOKUP(VLOOKUP("RIDER RATE 3",'Misc. Data &amp; Mechanisms'!$P$601:$S$632,HLOOKUP('Personalized Bill Menu'!$B$23, 'Misc. Data &amp; Mechanisms'!$P$599:$S$600, 2, FALSE), FALSE), 'Misc. Data &amp; Mechanisms'!$L$599:$N$659, 2, FALSE), FALSE) = "", "", VLOOKUP($A38, INDIRECT("'" &amp; 'Personalized Bill Menu'!$B$23 &amp; "'!" &amp;"$A$4:$CA$100"), VLOOKUP(VLOOKUP("RIDER RATE 3",'Misc. Data &amp; Mechanisms'!$P$601:$S$632,HLOOKUP('Personalized Bill Menu'!$B$23, 'Misc. Data &amp; Mechanisms'!$P$599:$S$600, 2, FALSE), FALSE), 'Misc. Data &amp; Mechanisms'!$L$599:$N$659, 2, FALSE), FALSE)), ""))</f>
        <v/>
      </c>
      <c r="AA38" s="69" t="str">
        <f ca="1">IF($A38="", "",IFERROR(IF(VLOOKUP($A38, INDIRECT("'" &amp; 'Personalized Bill Menu'!$B$23 &amp; "'!" &amp;"$A$4:$CA$100"), VLOOKUP(VLOOKUP("RIDER RATE 4",'Misc. Data &amp; Mechanisms'!$P$601:$S$632,HLOOKUP('Personalized Bill Menu'!$B$23, 'Misc. Data &amp; Mechanisms'!$P$599:$S$600, 2, FALSE), FALSE), 'Misc. Data &amp; Mechanisms'!$L$599:$N$659, 2, FALSE), FALSE) = "", "", VLOOKUP($A38, INDIRECT("'" &amp; 'Personalized Bill Menu'!$B$23 &amp; "'!" &amp;"$A$4:$CA$100"), VLOOKUP(VLOOKUP("RIDER RATE 4",'Misc. Data &amp; Mechanisms'!$P$601:$S$632,HLOOKUP('Personalized Bill Menu'!$B$23, 'Misc. Data &amp; Mechanisms'!$P$599:$S$600, 2, FALSE), FALSE), 'Misc. Data &amp; Mechanisms'!$L$599:$N$659, 2, FALSE), FALSE)), ""))</f>
        <v/>
      </c>
      <c r="AB38" s="69">
        <f ca="1">IF($A38="", "",IFERROR(IF(VLOOKUP($A38, INDIRECT("'" &amp; 'Personalized Bill Menu'!$B$23 &amp; "'!" &amp;"$A$4:$CA$100"), VLOOKUP(VLOOKUP("RIDER RATE 5",'Misc. Data &amp; Mechanisms'!$P$601:$S$632,HLOOKUP('Personalized Bill Menu'!$B$23, 'Misc. Data &amp; Mechanisms'!$P$599:$S$600, 2, FALSE), FALSE), 'Misc. Data &amp; Mechanisms'!$L$599:$N$659, 2, FALSE), FALSE) = "", "", VLOOKUP($A38, INDIRECT("'" &amp; 'Personalized Bill Menu'!$B$23 &amp; "'!" &amp;"$A$4:$CA$100"), VLOOKUP(VLOOKUP("RIDER RATE 5",'Misc. Data &amp; Mechanisms'!$P$601:$S$632,HLOOKUP('Personalized Bill Menu'!$B$23, 'Misc. Data &amp; Mechanisms'!$P$599:$S$600, 2, FALSE), FALSE), 'Misc. Data &amp; Mechanisms'!$L$599:$N$659, 2, FALSE), FALSE)), ""))</f>
        <v>0.76200000000000001</v>
      </c>
      <c r="AC38" s="69" t="str">
        <f ca="1">IF($A38="", "",IFERROR(IF(VLOOKUP($A38, INDIRECT("'" &amp; 'Personalized Bill Menu'!$B$23 &amp; "'!" &amp;"$A$4:$CA$100"), VLOOKUP(VLOOKUP("RIDER RATE 6",'Misc. Data &amp; Mechanisms'!$P$601:$S$632,HLOOKUP('Personalized Bill Menu'!$B$23, 'Misc. Data &amp; Mechanisms'!$P$599:$S$600, 2, FALSE), FALSE), 'Misc. Data &amp; Mechanisms'!$L$599:$N$659, 2, FALSE), FALSE) = "", "", VLOOKUP($A38, INDIRECT("'" &amp; 'Personalized Bill Menu'!$B$23 &amp; "'!" &amp;"$A$4:$CA$100"), VLOOKUP(VLOOKUP("RIDER RATE 6",'Misc. Data &amp; Mechanisms'!$P$601:$S$632,HLOOKUP('Personalized Bill Menu'!$B$23, 'Misc. Data &amp; Mechanisms'!$P$599:$S$600, 2, FALSE), FALSE), 'Misc. Data &amp; Mechanisms'!$L$599:$N$659, 2, FALSE), FALSE)), ""))</f>
        <v/>
      </c>
      <c r="AD38" s="69" t="str">
        <f ca="1">IF($A38="", "",IFERROR(IF(VLOOKUP($A38, INDIRECT("'" &amp; 'Personalized Bill Menu'!$B$23 &amp; "'!" &amp;"$A$4:$CA$100"), VLOOKUP(VLOOKUP("RIDER RATE 7",'Misc. Data &amp; Mechanisms'!$P$601:$S$632,HLOOKUP('Personalized Bill Menu'!$B$23, 'Misc. Data &amp; Mechanisms'!$P$599:$S$600, 2, FALSE), FALSE), 'Misc. Data &amp; Mechanisms'!$L$599:$N$659, 2, FALSE), FALSE) = "", "", VLOOKUP($A38, INDIRECT("'" &amp; 'Personalized Bill Menu'!$B$23 &amp; "'!" &amp;"$A$4:$CA$100"), VLOOKUP(VLOOKUP("RIDER RATE 7",'Misc. Data &amp; Mechanisms'!$P$601:$S$632,HLOOKUP('Personalized Bill Menu'!$B$23, 'Misc. Data &amp; Mechanisms'!$P$599:$S$600, 2, FALSE), FALSE), 'Misc. Data &amp; Mechanisms'!$L$599:$N$659, 2, FALSE), FALSE)), ""))</f>
        <v/>
      </c>
      <c r="AE38" s="69" t="str">
        <f ca="1">IF($A38="", "",IFERROR(IF(VLOOKUP($A38, INDIRECT("'" &amp; 'Personalized Bill Menu'!$B$23 &amp; "'!" &amp;"$A$4:$CA$100"), VLOOKUP(VLOOKUP("RIDER RATE 8",'Misc. Data &amp; Mechanisms'!$P$601:$S$632,HLOOKUP('Personalized Bill Menu'!$B$23, 'Misc. Data &amp; Mechanisms'!$P$599:$S$600, 2, FALSE), FALSE), 'Misc. Data &amp; Mechanisms'!$L$599:$N$659, 2, FALSE), FALSE) = "", "", VLOOKUP($A38, INDIRECT("'" &amp; 'Personalized Bill Menu'!$B$23 &amp; "'!" &amp;"$A$4:$CA$100"), VLOOKUP(VLOOKUP("RIDER RATE 8",'Misc. Data &amp; Mechanisms'!$P$601:$S$632,HLOOKUP('Personalized Bill Menu'!$B$23, 'Misc. Data &amp; Mechanisms'!$P$599:$S$600, 2, FALSE), FALSE), 'Misc. Data &amp; Mechanisms'!$L$599:$N$659, 2, FALSE), FALSE)), ""))</f>
        <v/>
      </c>
      <c r="AF38" s="69" t="str">
        <f ca="1">IF($A38="", "",IFERROR(IF(VLOOKUP($A38, INDIRECT("'" &amp; 'Personalized Bill Menu'!$B$23 &amp; "'!" &amp;"$A$4:$CA$100"), VLOOKUP(VLOOKUP("RIDER RATE 9",'Misc. Data &amp; Mechanisms'!$P$601:$S$632,HLOOKUP('Personalized Bill Menu'!$B$23, 'Misc. Data &amp; Mechanisms'!$P$599:$S$600, 2, FALSE), FALSE), 'Misc. Data &amp; Mechanisms'!$L$599:$N$659, 2, FALSE), FALSE) = "", "", VLOOKUP($A38, INDIRECT("'" &amp; 'Personalized Bill Menu'!$B$23 &amp; "'!" &amp;"$A$4:$CA$100"), VLOOKUP(VLOOKUP("RIDER RATE 9",'Misc. Data &amp; Mechanisms'!$P$601:$S$632,HLOOKUP('Personalized Bill Menu'!$B$23, 'Misc. Data &amp; Mechanisms'!$P$599:$S$600, 2, FALSE), FALSE), 'Misc. Data &amp; Mechanisms'!$L$599:$N$659, 2, FALSE), FALSE)), ""))</f>
        <v/>
      </c>
      <c r="AG38" s="72">
        <f ca="1">IF($A38="", "", IFERROR(IF('Personalized Bill Menu'!$B$23="ATCO-N", ($X38*$B38) +($Y38*$C38), IF('Personalized Bill Menu'!$B$23="ATCO-S",$X38*$C38, IF($Y38="", ($X38*$H38), ($Y38*($H38+$K38))))), 0))</f>
        <v>0</v>
      </c>
      <c r="AH38" s="72">
        <f ca="1">IF($A38="", "", IFERROR(IF('Personalized Bill Menu'!$B$23="ATCO-S", $Y38*$C38, $Z38*$C38), 0))</f>
        <v>0</v>
      </c>
      <c r="AI38" s="72">
        <f ca="1">IF($A38="", "", IFERROR(IF('Personalized Bill Menu'!$B$23="ATCO-S", ($AA38*$C38)+($Z38*$B38), $AA38*$C38), 0))</f>
        <v>0</v>
      </c>
      <c r="AJ38" s="72">
        <f ca="1">IF($A38="", "", IFERROR(IF('Personalized Bill Menu'!$B$23&lt;&gt;"AltaGas",$AB38*$C38,""),0))</f>
        <v>2.5529232487306186</v>
      </c>
      <c r="AK38" s="72">
        <f ca="1">IF($A38="", "", IFERROR(IF('Personalized Bill Menu'!$B$23="ATCO-S",$AC38*$C38,IF('Personalized Bill Menu'!$B$23="ATCO-N",$AC38*1,"")),0))</f>
        <v>0</v>
      </c>
      <c r="AL38" s="72">
        <f ca="1">IF($A38="", "", IFERROR(IF('Personalized Bill Menu'!$B$23="ATCO-N",$AD38*$B38,IF('Personalized Bill Menu'!$B$23="ATCO-S",$AD38*1,"")),0))</f>
        <v>0</v>
      </c>
      <c r="AM38" s="72">
        <f ca="1">IF($A38="", "", IFERROR(IF('Personalized Bill Menu'!$B$23="ATCO-S",$AE38*$B38,IF('Personalized Bill Menu'!$B$23="ATCO-N",$AE38*$B38,"")),0))</f>
        <v>0</v>
      </c>
      <c r="AN38" s="70">
        <f ca="1">IF($A38="", "", IFERROR(IF('Personalized Bill Menu'!$B$23="ATCO-S",$AF38*$B38,""),0))</f>
        <v>0</v>
      </c>
      <c r="AO38" s="69">
        <f>IF('Personalized Bill Menu'!$B$34="Natural Gas", 'Personalized Bill Menu'!$K35, IF('Personalized Bill Menu'!$B$34="Both",'Personalized Bill Menu'!$O35,""))</f>
        <v>0.223</v>
      </c>
      <c r="AP38" s="72">
        <f t="shared" si="13"/>
        <v>6.9130000000000003</v>
      </c>
      <c r="AQ38" s="89" t="str">
        <f ca="1">IF($A38="", "",IF(VLOOKUP($A38, INDIRECT("'" &amp; 'Personalized Bill Menu'!$B$23 &amp; "'!" &amp;"$A$4:$CA$100"), VLOOKUP(VLOOKUP(AQ$5,'Misc. Data &amp; Mechanisms'!$P$601:$S$632,HLOOKUP('Personalized Bill Menu'!$B$23, 'Misc. Data &amp; Mechanisms'!$P$599:$S$600, 2, FALSE), FALSE), 'Misc. Data &amp; Mechanisms'!$L$599:$N$659, 2, FALSE), FALSE) = "", "", VLOOKUP($A38, INDIRECT("'" &amp; 'Personalized Bill Menu'!$B$23 &amp; "'!" &amp;"$A$4:$CA$100"), VLOOKUP(VLOOKUP(AQ$5,'Misc. Data &amp; Mechanisms'!$P$601:$S$632,HLOOKUP('Personalized Bill Menu'!$B$23, 'Misc. Data &amp; Mechanisms'!$P$599:$S$600, 2, FALSE), FALSE), 'Misc. Data &amp; Mechanisms'!$L$599:$N$659, 2, FALSE), FALSE)))</f>
        <v/>
      </c>
      <c r="AR38" s="72">
        <f t="shared" ca="1" si="14"/>
        <v>0</v>
      </c>
      <c r="AS38" s="91">
        <f ca="1">IF($A38="", "",IF(VLOOKUP($A38, INDIRECT("'" &amp; 'Personalized Bill Menu'!$B$23 &amp; "'!" &amp;"$A$4:$CA$100"), VLOOKUP(VLOOKUP(AS$5,'Misc. Data &amp; Mechanisms'!$P$601:$S$632,HLOOKUP('Personalized Bill Menu'!$B$23, 'Misc. Data &amp; Mechanisms'!$P$599:$S$600, 2, FALSE), FALSE), 'Misc. Data &amp; Mechanisms'!$L$599:$N$659, 2, FALSE), FALSE) = "", "", VLOOKUP($A38, INDIRECT("'" &amp; 'Personalized Bill Menu'!$B$23 &amp; "'!" &amp;"$A$4:$CA$100"), VLOOKUP(VLOOKUP(AS$5,'Misc. Data &amp; Mechanisms'!$P$601:$S$632,HLOOKUP('Personalized Bill Menu'!$B$23, 'Misc. Data &amp; Mechanisms'!$P$599:$S$600, 2, FALSE), FALSE), 'Misc. Data &amp; Mechanisms'!$L$599:$N$659, 2, FALSE), FALSE)))</f>
        <v>0.05</v>
      </c>
      <c r="AT38" s="116"/>
      <c r="AU38" s="116"/>
      <c r="AV38" s="116"/>
      <c r="AW38" s="116"/>
      <c r="AX38" s="116"/>
    </row>
    <row r="39" spans="1:50" s="117" customFormat="1" x14ac:dyDescent="0.3">
      <c r="A39" s="83">
        <f>'Personalized Bill Menu'!$H36</f>
        <v>41883</v>
      </c>
      <c r="B39" s="84">
        <f t="shared" si="3"/>
        <v>30</v>
      </c>
      <c r="C39" s="85">
        <f>IF('Personalized Bill Menu'!$B$34="Natural Gas", 'Personalized Bill Menu'!$I36, IF('Personalized Bill Menu'!$B$34="Both",'Personalized Bill Menu'!$M36,""))</f>
        <v>6.0677895827545711</v>
      </c>
      <c r="D39" s="66">
        <f t="shared" ca="1" si="4"/>
        <v>11.63454367402715</v>
      </c>
      <c r="E39" s="66">
        <f ca="1">IF($C39="Not Applicable", "", IFERROR(IFERROR((1+$AS39)*IF('Personalized Bill Menu'!$B$23="ATCO-N", IF(OR('Personalized Bill Menu'!$B$21="Fort McMurray",AND('Personalized Bill Menu'!$B$21="Spruce Grove", $A39&lt;DATE(2019, 5, 1) )),(((1+IF($T39="",0,$T39))*($N39+$P39))+ (IF($U39="", 0, $U39)*$P39)+(1+IF($T39="",0,$T39)+IF($U39="", 0, $U39))*(SUM($Y39:$AB39))),($N39+((1+IF($T39="",0,$T39)+IF($U39="", 0, $U39))*$P39)+(1+IF($T39="",0,$T39)+IF($U39="", 0, $U39))*(SUM($Y39:$AB39)))), IF('Personalized Bill Menu'!$B$23="ATCO-S",IF(OR('Personalized Bill Menu'!$B$21="Calgary",AND('Personalized Bill Menu'!$B$21="Okotoks", $A39&lt;DATE(2019, 1, 1))),((1+IF($T39="",0,$T39))*($N39+$P39+SUM($X39:$Y39,$AA39:$AC39)))+(IF($U39="",0, $U39)*($P39+SUM($X39:$Y39,$AA39:$AC39))), ((1+IF($T39="",0,$T39))*($P39+SUM($Y39,$AA39:$AC39)))+(IF($U39="",0, $U39)*($P39+SUM($X39:$Y39,$AA39:$AC39)))+$N39+IF($X39="", 0, $X39)),IF(AND('Personalized Bill Menu'!$B$21="Athabasca", $A39&lt;DATE(2019, 5, 1)),((1+IF($T39="",0,$T39)+IF($U39="", 0, $U39))*($N39+((1+SUM($X39:$Y39))*$P39)+SUM($Z39:$AA39))),((1+IF($U39="", 0, $U39))*($N39+((1+SUM($X39:$Y39))*$P39)+SUM($Z39:$AA39))) + (IF($T39="",0,$T39)*(((1+SUM($X39:$Y39))*$P39)+SUM($Z39:$AA39)))))), "")+ IF($AQ39="", 0,((1+$AS39)*$AQ39)), ""))</f>
        <v>6.0642726900000001</v>
      </c>
      <c r="F39" s="118">
        <f t="shared" ca="1" si="5"/>
        <v>70.595962905365027</v>
      </c>
      <c r="G39" s="115">
        <f t="shared" ref="G39:G96" si="15">IF($A39="", "", IFERROR(SUM($O39), ""))</f>
        <v>22.49936377285395</v>
      </c>
      <c r="H39" s="66">
        <f t="shared" ref="H39:H96" ca="1" si="16">IF($A39="", "",IFERROR(SUM($R39:$S39), ""))</f>
        <v>27.367350816245327</v>
      </c>
      <c r="I39" s="66">
        <f t="shared" ref="I39:I96" ca="1" si="17">IF($A39="", "", IFERROR(SUM($V39:$W39), ""))</f>
        <v>6.0538801349036824</v>
      </c>
      <c r="J39" s="66">
        <f t="shared" ca="1" si="6"/>
        <v>4.623655662058983</v>
      </c>
      <c r="K39" s="66">
        <f t="shared" ref="K39:K96" si="18">IF($A39="", "", IFERROR(SUM($AP39), ""))</f>
        <v>6.69</v>
      </c>
      <c r="L39" s="66">
        <f t="shared" ca="1" si="8"/>
        <v>0</v>
      </c>
      <c r="M39" s="68">
        <f t="shared" ca="1" si="9"/>
        <v>3.3617125193030968</v>
      </c>
      <c r="N39" s="1290">
        <f>IF('Personalized Bill Menu'!$B$34="Natural Gas", 'Personalized Bill Menu'!$J36, IF('Personalized Bill Menu'!$B$34="Both",'Personalized Bill Menu'!$N36,""))</f>
        <v>3.7080000000000002</v>
      </c>
      <c r="O39" s="70">
        <f t="shared" si="10"/>
        <v>22.49936377285395</v>
      </c>
      <c r="P39" s="89">
        <f ca="1">IF($A39="", "",IFERROR(IF(VLOOKUP($A39, INDIRECT("'" &amp; 'Personalized Bill Menu'!$B$23 &amp; "'!" &amp;"$A$4:$CA$100"), VLOOKUP(VLOOKUP(P$5,'Misc. Data &amp; Mechanisms'!$P$601:$S$632,HLOOKUP('Personalized Bill Menu'!$B$23, 'Misc. Data &amp; Mechanisms'!$P$599:$S$600, 2, FALSE), FALSE), 'Misc. Data &amp; Mechanisms'!$L$599:$N$659, 2, FALSE), FALSE) = "", "", VLOOKUP($A39, INDIRECT("'" &amp; 'Personalized Bill Menu'!$B$23 &amp; "'!" &amp;"$A$4:$CA$100"), VLOOKUP(VLOOKUP(P$5,'Misc. Data &amp; Mechanisms'!$P$601:$S$632,HLOOKUP('Personalized Bill Menu'!$B$23, 'Misc. Data &amp; Mechanisms'!$P$599:$S$600, 2, FALSE), FALSE), 'Misc. Data &amp; Mechanisms'!$L$599:$N$659, 2, FALSE), FALSE)), ""))</f>
        <v>0.72799999999999998</v>
      </c>
      <c r="Q39" s="69">
        <f ca="1">IF($A39="", "",IFERROR(IF(VLOOKUP($A39, INDIRECT("'" &amp; 'Personalized Bill Menu'!$B$23 &amp; "'!" &amp;"$A$4:$CA$100"), VLOOKUP(VLOOKUP(Q$5,'Misc. Data &amp; Mechanisms'!$P$601:$S$632,HLOOKUP('Personalized Bill Menu'!$B$23, 'Misc. Data &amp; Mechanisms'!$P$599:$S$600, 2, FALSE), FALSE), 'Misc. Data &amp; Mechanisms'!$L$599:$N$659, 2, FALSE), FALSE) = "", "", VLOOKUP($A39, INDIRECT("'" &amp; 'Personalized Bill Menu'!$B$23 &amp; "'!" &amp;"$A$4:$CA$100"), VLOOKUP(VLOOKUP(Q$5,'Misc. Data &amp; Mechanisms'!$P$601:$S$632,HLOOKUP('Personalized Bill Menu'!$B$23, 'Misc. Data &amp; Mechanisms'!$P$599:$S$600, 2, FALSE), FALSE), 'Misc. Data &amp; Mechanisms'!$L$599:$N$659, 2, FALSE), FALSE)), ""))</f>
        <v>0.76500000000000001</v>
      </c>
      <c r="R39" s="72">
        <f t="shared" ca="1" si="11"/>
        <v>4.4173508162453281</v>
      </c>
      <c r="S39" s="70">
        <f t="shared" ca="1" si="12"/>
        <v>22.95</v>
      </c>
      <c r="T39" s="78">
        <f>IFERROR(IF(VLOOKUP($A39,'Misc. Data &amp; Mechanisms'!$A$63:$DY$152,HLOOKUP('Personalized Bill Menu'!$B$21&amp;"_"&amp;'Personalized Bill Menu'!$B$23&amp;"_NG_Y_1",'Misc. Data &amp; Mechanisms'!$A$55:$DY$62,8,FALSE), FALSE)="", "", VLOOKUP($A39,'Misc. Data &amp; Mechanisms'!$A$63:$DY$152,HLOOKUP('Personalized Bill Menu'!$B$21&amp;"_"&amp;'Personalized Bill Menu'!$B$23&amp;"_NG_Y_1",'Misc. Data &amp; Mechanisms'!$A$55:$DY$62,8,FALSE), FALSE)), "")</f>
        <v>0.1111</v>
      </c>
      <c r="U39" s="78" t="str">
        <f>IFERROR(IF(VLOOKUP($A39,'Misc. Data &amp; Mechanisms'!$A$63:$DY$152,HLOOKUP('Personalized Bill Menu'!$B$21&amp;"_"&amp;'Personalized Bill Menu'!$B$23&amp;"_NG_Y_2",'Misc. Data &amp; Mechanisms'!$A$55:$DY$62,8,FALSE), FALSE)="", "",VLOOKUP($A39,'Misc. Data &amp; Mechanisms'!$A$63:$DY$152,HLOOKUP('Personalized Bill Menu'!$B$21&amp;"_"&amp;'Personalized Bill Menu'!$B$23&amp;"_NG_Y_2",'Misc. Data &amp; Mechanisms'!$A$55:$DY$62,8,FALSE), FALSE)), "")</f>
        <v/>
      </c>
      <c r="V39" s="72">
        <f ca="1">IF($A39="", "", IFERROR(IF('Personalized Bill Menu'!$B$23="ATCO-N", IF(OR('Personalized Bill Menu'!$B$21="Fort McMurray",AND('Personalized Bill Menu'!$B$21="Spruce Grove", $A39&lt;DATE(2019, 5, 1))),$T39*($G39+$H39+$J39),$T39*($H39+$J39)), IF('Personalized Bill Menu'!$B$23="ATCO-S",IF(OR('Personalized Bill Menu'!$B$21="Calgary",AND('Personalized Bill Menu'!$B$21="Okotoks", $A39&lt;DATE(2019, 1, 1))),$T39*($G39+$H39+$J39), $T39*($H39+$J39-$AG39)),IF(AND('Personalized Bill Menu'!$B$21="Athabasca", $A39&lt;DATE(2019, 5, 1)),$T39*($G39+$H39+$J39+$K39),$T39*($H39+$J39+$K39)))),0))</f>
        <v>6.0538801349036824</v>
      </c>
      <c r="W39" s="72">
        <f ca="1">IF($A39="", "", IFERROR(IF('Personalized Bill Menu'!$B$23="ATCO-N", $U39*($H39+$J39), IF('Personalized Bill Menu'!$B$23="ATCO-S",$U39*($H39+$J39),$U39*($G39+$H39+$J39+$K39))),0))</f>
        <v>0</v>
      </c>
      <c r="X39" s="89" t="str">
        <f ca="1">IF($A39="", "",IFERROR(IF(VLOOKUP($A39, INDIRECT("'" &amp; 'Personalized Bill Menu'!$B$23 &amp; "'!" &amp;"$A$4:$CA$100"), VLOOKUP(VLOOKUP("RIDER RATE 1",'Misc. Data &amp; Mechanisms'!$P$601:$S$632,HLOOKUP('Personalized Bill Menu'!$B$23, 'Misc. Data &amp; Mechanisms'!$P$599:$S$600, 2, FALSE), FALSE), 'Misc. Data &amp; Mechanisms'!$L$599:$N$659, 2, FALSE), FALSE) = "", "", VLOOKUP($A39, INDIRECT("'" &amp; 'Personalized Bill Menu'!$B$23 &amp; "'!" &amp;"$A$4:$CA$100"), VLOOKUP(VLOOKUP("RIDER RATE 1",'Misc. Data &amp; Mechanisms'!$P$601:$S$632,HLOOKUP('Personalized Bill Menu'!$B$23, 'Misc. Data &amp; Mechanisms'!$P$599:$S$600, 2, FALSE), FALSE), 'Misc. Data &amp; Mechanisms'!$L$599:$N$659, 2, FALSE), FALSE)), ""))</f>
        <v/>
      </c>
      <c r="Y39" s="69" t="str">
        <f ca="1">IF($A39="", "",IFERROR(IF(VLOOKUP($A39, INDIRECT("'" &amp; 'Personalized Bill Menu'!$B$23 &amp; "'!" &amp;"$A$4:$CA$100"), VLOOKUP(VLOOKUP("RIDER RATE 2",'Misc. Data &amp; Mechanisms'!$P$601:$S$632,HLOOKUP('Personalized Bill Menu'!$B$23, 'Misc. Data &amp; Mechanisms'!$P$599:$S$600, 2, FALSE), FALSE), 'Misc. Data &amp; Mechanisms'!$L$599:$N$659, 2, FALSE), FALSE) = "", "", VLOOKUP($A39, INDIRECT("'" &amp; 'Personalized Bill Menu'!$B$23 &amp; "'!" &amp;"$A$4:$CA$100"), VLOOKUP(VLOOKUP("RIDER RATE 2",'Misc. Data &amp; Mechanisms'!$P$601:$S$632,HLOOKUP('Personalized Bill Menu'!$B$23, 'Misc. Data &amp; Mechanisms'!$P$599:$S$600, 2, FALSE), FALSE), 'Misc. Data &amp; Mechanisms'!$L$599:$N$659, 2, FALSE), FALSE)), ""))</f>
        <v/>
      </c>
      <c r="Z39" s="69" t="str">
        <f ca="1">IF($A39="", "",IFERROR(IF(VLOOKUP($A39, INDIRECT("'" &amp; 'Personalized Bill Menu'!$B$23 &amp; "'!" &amp;"$A$4:$CA$100"), VLOOKUP(VLOOKUP("RIDER RATE 3",'Misc. Data &amp; Mechanisms'!$P$601:$S$632,HLOOKUP('Personalized Bill Menu'!$B$23, 'Misc. Data &amp; Mechanisms'!$P$599:$S$600, 2, FALSE), FALSE), 'Misc. Data &amp; Mechanisms'!$L$599:$N$659, 2, FALSE), FALSE) = "", "", VLOOKUP($A39, INDIRECT("'" &amp; 'Personalized Bill Menu'!$B$23 &amp; "'!" &amp;"$A$4:$CA$100"), VLOOKUP(VLOOKUP("RIDER RATE 3",'Misc. Data &amp; Mechanisms'!$P$601:$S$632,HLOOKUP('Personalized Bill Menu'!$B$23, 'Misc. Data &amp; Mechanisms'!$P$599:$S$600, 2, FALSE), FALSE), 'Misc. Data &amp; Mechanisms'!$L$599:$N$659, 2, FALSE), FALSE)), ""))</f>
        <v/>
      </c>
      <c r="AA39" s="69" t="str">
        <f ca="1">IF($A39="", "",IFERROR(IF(VLOOKUP($A39, INDIRECT("'" &amp; 'Personalized Bill Menu'!$B$23 &amp; "'!" &amp;"$A$4:$CA$100"), VLOOKUP(VLOOKUP("RIDER RATE 4",'Misc. Data &amp; Mechanisms'!$P$601:$S$632,HLOOKUP('Personalized Bill Menu'!$B$23, 'Misc. Data &amp; Mechanisms'!$P$599:$S$600, 2, FALSE), FALSE), 'Misc. Data &amp; Mechanisms'!$L$599:$N$659, 2, FALSE), FALSE) = "", "", VLOOKUP($A39, INDIRECT("'" &amp; 'Personalized Bill Menu'!$B$23 &amp; "'!" &amp;"$A$4:$CA$100"), VLOOKUP(VLOOKUP("RIDER RATE 4",'Misc. Data &amp; Mechanisms'!$P$601:$S$632,HLOOKUP('Personalized Bill Menu'!$B$23, 'Misc. Data &amp; Mechanisms'!$P$599:$S$600, 2, FALSE), FALSE), 'Misc. Data &amp; Mechanisms'!$L$599:$N$659, 2, FALSE), FALSE)), ""))</f>
        <v/>
      </c>
      <c r="AB39" s="69">
        <f ca="1">IF($A39="", "",IFERROR(IF(VLOOKUP($A39, INDIRECT("'" &amp; 'Personalized Bill Menu'!$B$23 &amp; "'!" &amp;"$A$4:$CA$100"), VLOOKUP(VLOOKUP("RIDER RATE 5",'Misc. Data &amp; Mechanisms'!$P$601:$S$632,HLOOKUP('Personalized Bill Menu'!$B$23, 'Misc. Data &amp; Mechanisms'!$P$599:$S$600, 2, FALSE), FALSE), 'Misc. Data &amp; Mechanisms'!$L$599:$N$659, 2, FALSE), FALSE) = "", "", VLOOKUP($A39, INDIRECT("'" &amp; 'Personalized Bill Menu'!$B$23 &amp; "'!" &amp;"$A$4:$CA$100"), VLOOKUP(VLOOKUP("RIDER RATE 5",'Misc. Data &amp; Mechanisms'!$P$601:$S$632,HLOOKUP('Personalized Bill Menu'!$B$23, 'Misc. Data &amp; Mechanisms'!$P$599:$S$600, 2, FALSE), FALSE), 'Misc. Data &amp; Mechanisms'!$L$599:$N$659, 2, FALSE), FALSE)), ""))</f>
        <v>0.76200000000000001</v>
      </c>
      <c r="AC39" s="69" t="str">
        <f ca="1">IF($A39="", "",IFERROR(IF(VLOOKUP($A39, INDIRECT("'" &amp; 'Personalized Bill Menu'!$B$23 &amp; "'!" &amp;"$A$4:$CA$100"), VLOOKUP(VLOOKUP("RIDER RATE 6",'Misc. Data &amp; Mechanisms'!$P$601:$S$632,HLOOKUP('Personalized Bill Menu'!$B$23, 'Misc. Data &amp; Mechanisms'!$P$599:$S$600, 2, FALSE), FALSE), 'Misc. Data &amp; Mechanisms'!$L$599:$N$659, 2, FALSE), FALSE) = "", "", VLOOKUP($A39, INDIRECT("'" &amp; 'Personalized Bill Menu'!$B$23 &amp; "'!" &amp;"$A$4:$CA$100"), VLOOKUP(VLOOKUP("RIDER RATE 6",'Misc. Data &amp; Mechanisms'!$P$601:$S$632,HLOOKUP('Personalized Bill Menu'!$B$23, 'Misc. Data &amp; Mechanisms'!$P$599:$S$600, 2, FALSE), FALSE), 'Misc. Data &amp; Mechanisms'!$L$599:$N$659, 2, FALSE), FALSE)), ""))</f>
        <v/>
      </c>
      <c r="AD39" s="69" t="str">
        <f ca="1">IF($A39="", "",IFERROR(IF(VLOOKUP($A39, INDIRECT("'" &amp; 'Personalized Bill Menu'!$B$23 &amp; "'!" &amp;"$A$4:$CA$100"), VLOOKUP(VLOOKUP("RIDER RATE 7",'Misc. Data &amp; Mechanisms'!$P$601:$S$632,HLOOKUP('Personalized Bill Menu'!$B$23, 'Misc. Data &amp; Mechanisms'!$P$599:$S$600, 2, FALSE), FALSE), 'Misc. Data &amp; Mechanisms'!$L$599:$N$659, 2, FALSE), FALSE) = "", "", VLOOKUP($A39, INDIRECT("'" &amp; 'Personalized Bill Menu'!$B$23 &amp; "'!" &amp;"$A$4:$CA$100"), VLOOKUP(VLOOKUP("RIDER RATE 7",'Misc. Data &amp; Mechanisms'!$P$601:$S$632,HLOOKUP('Personalized Bill Menu'!$B$23, 'Misc. Data &amp; Mechanisms'!$P$599:$S$600, 2, FALSE), FALSE), 'Misc. Data &amp; Mechanisms'!$L$599:$N$659, 2, FALSE), FALSE)), ""))</f>
        <v/>
      </c>
      <c r="AE39" s="69" t="str">
        <f ca="1">IF($A39="", "",IFERROR(IF(VLOOKUP($A39, INDIRECT("'" &amp; 'Personalized Bill Menu'!$B$23 &amp; "'!" &amp;"$A$4:$CA$100"), VLOOKUP(VLOOKUP("RIDER RATE 8",'Misc. Data &amp; Mechanisms'!$P$601:$S$632,HLOOKUP('Personalized Bill Menu'!$B$23, 'Misc. Data &amp; Mechanisms'!$P$599:$S$600, 2, FALSE), FALSE), 'Misc. Data &amp; Mechanisms'!$L$599:$N$659, 2, FALSE), FALSE) = "", "", VLOOKUP($A39, INDIRECT("'" &amp; 'Personalized Bill Menu'!$B$23 &amp; "'!" &amp;"$A$4:$CA$100"), VLOOKUP(VLOOKUP("RIDER RATE 8",'Misc. Data &amp; Mechanisms'!$P$601:$S$632,HLOOKUP('Personalized Bill Menu'!$B$23, 'Misc. Data &amp; Mechanisms'!$P$599:$S$600, 2, FALSE), FALSE), 'Misc. Data &amp; Mechanisms'!$L$599:$N$659, 2, FALSE), FALSE)), ""))</f>
        <v/>
      </c>
      <c r="AF39" s="69" t="str">
        <f ca="1">IF($A39="", "",IFERROR(IF(VLOOKUP($A39, INDIRECT("'" &amp; 'Personalized Bill Menu'!$B$23 &amp; "'!" &amp;"$A$4:$CA$100"), VLOOKUP(VLOOKUP("RIDER RATE 9",'Misc. Data &amp; Mechanisms'!$P$601:$S$632,HLOOKUP('Personalized Bill Menu'!$B$23, 'Misc. Data &amp; Mechanisms'!$P$599:$S$600, 2, FALSE), FALSE), 'Misc. Data &amp; Mechanisms'!$L$599:$N$659, 2, FALSE), FALSE) = "", "", VLOOKUP($A39, INDIRECT("'" &amp; 'Personalized Bill Menu'!$B$23 &amp; "'!" &amp;"$A$4:$CA$100"), VLOOKUP(VLOOKUP("RIDER RATE 9",'Misc. Data &amp; Mechanisms'!$P$601:$S$632,HLOOKUP('Personalized Bill Menu'!$B$23, 'Misc. Data &amp; Mechanisms'!$P$599:$S$600, 2, FALSE), FALSE), 'Misc. Data &amp; Mechanisms'!$L$599:$N$659, 2, FALSE), FALSE)), ""))</f>
        <v/>
      </c>
      <c r="AG39" s="72">
        <f ca="1">IF($A39="", "", IFERROR(IF('Personalized Bill Menu'!$B$23="ATCO-N", ($X39*$B39) +($Y39*$C39), IF('Personalized Bill Menu'!$B$23="ATCO-S",$X39*$C39, IF($Y39="", ($X39*$H39), ($Y39*($H39+$K39))))), 0))</f>
        <v>0</v>
      </c>
      <c r="AH39" s="72">
        <f ca="1">IF($A39="", "", IFERROR(IF('Personalized Bill Menu'!$B$23="ATCO-S", $Y39*$C39, $Z39*$C39), 0))</f>
        <v>0</v>
      </c>
      <c r="AI39" s="72">
        <f ca="1">IF($A39="", "", IFERROR(IF('Personalized Bill Menu'!$B$23="ATCO-S", ($AA39*$C39)+($Z39*$B39), $AA39*$C39), 0))</f>
        <v>0</v>
      </c>
      <c r="AJ39" s="72">
        <f ca="1">IF($A39="", "", IFERROR(IF('Personalized Bill Menu'!$B$23&lt;&gt;"AltaGas",$AB39*$C39,""),0))</f>
        <v>4.623655662058983</v>
      </c>
      <c r="AK39" s="72">
        <f ca="1">IF($A39="", "", IFERROR(IF('Personalized Bill Menu'!$B$23="ATCO-S",$AC39*$C39,IF('Personalized Bill Menu'!$B$23="ATCO-N",$AC39*1,"")),0))</f>
        <v>0</v>
      </c>
      <c r="AL39" s="72">
        <f ca="1">IF($A39="", "", IFERROR(IF('Personalized Bill Menu'!$B$23="ATCO-N",$AD39*$B39,IF('Personalized Bill Menu'!$B$23="ATCO-S",$AD39*1,"")),0))</f>
        <v>0</v>
      </c>
      <c r="AM39" s="72">
        <f ca="1">IF($A39="", "", IFERROR(IF('Personalized Bill Menu'!$B$23="ATCO-S",$AE39*$B39,IF('Personalized Bill Menu'!$B$23="ATCO-N",$AE39*$B39,"")),0))</f>
        <v>0</v>
      </c>
      <c r="AN39" s="70">
        <f ca="1">IF($A39="", "", IFERROR(IF('Personalized Bill Menu'!$B$23="ATCO-S",$AF39*$B39,""),0))</f>
        <v>0</v>
      </c>
      <c r="AO39" s="69">
        <f>IF('Personalized Bill Menu'!$B$34="Natural Gas", 'Personalized Bill Menu'!$K36, IF('Personalized Bill Menu'!$B$34="Both",'Personalized Bill Menu'!$O36,""))</f>
        <v>0.223</v>
      </c>
      <c r="AP39" s="72">
        <f t="shared" si="13"/>
        <v>6.69</v>
      </c>
      <c r="AQ39" s="89" t="str">
        <f ca="1">IF($A39="", "",IF(VLOOKUP($A39, INDIRECT("'" &amp; 'Personalized Bill Menu'!$B$23 &amp; "'!" &amp;"$A$4:$CA$100"), VLOOKUP(VLOOKUP(AQ$5,'Misc. Data &amp; Mechanisms'!$P$601:$S$632,HLOOKUP('Personalized Bill Menu'!$B$23, 'Misc. Data &amp; Mechanisms'!$P$599:$S$600, 2, FALSE), FALSE), 'Misc. Data &amp; Mechanisms'!$L$599:$N$659, 2, FALSE), FALSE) = "", "", VLOOKUP($A39, INDIRECT("'" &amp; 'Personalized Bill Menu'!$B$23 &amp; "'!" &amp;"$A$4:$CA$100"), VLOOKUP(VLOOKUP(AQ$5,'Misc. Data &amp; Mechanisms'!$P$601:$S$632,HLOOKUP('Personalized Bill Menu'!$B$23, 'Misc. Data &amp; Mechanisms'!$P$599:$S$600, 2, FALSE), FALSE), 'Misc. Data &amp; Mechanisms'!$L$599:$N$659, 2, FALSE), FALSE)))</f>
        <v/>
      </c>
      <c r="AR39" s="72">
        <f t="shared" ca="1" si="14"/>
        <v>0</v>
      </c>
      <c r="AS39" s="91">
        <f ca="1">IF($A39="", "",IF(VLOOKUP($A39, INDIRECT("'" &amp; 'Personalized Bill Menu'!$B$23 &amp; "'!" &amp;"$A$4:$CA$100"), VLOOKUP(VLOOKUP(AS$5,'Misc. Data &amp; Mechanisms'!$P$601:$S$632,HLOOKUP('Personalized Bill Menu'!$B$23, 'Misc. Data &amp; Mechanisms'!$P$599:$S$600, 2, FALSE), FALSE), 'Misc. Data &amp; Mechanisms'!$L$599:$N$659, 2, FALSE), FALSE) = "", "", VLOOKUP($A39, INDIRECT("'" &amp; 'Personalized Bill Menu'!$B$23 &amp; "'!" &amp;"$A$4:$CA$100"), VLOOKUP(VLOOKUP(AS$5,'Misc. Data &amp; Mechanisms'!$P$601:$S$632,HLOOKUP('Personalized Bill Menu'!$B$23, 'Misc. Data &amp; Mechanisms'!$P$599:$S$600, 2, FALSE), FALSE), 'Misc. Data &amp; Mechanisms'!$L$599:$N$659, 2, FALSE), FALSE)))</f>
        <v>0.05</v>
      </c>
      <c r="AT39" s="116"/>
      <c r="AU39" s="116"/>
      <c r="AV39" s="116"/>
      <c r="AW39" s="116"/>
      <c r="AX39" s="116"/>
    </row>
    <row r="40" spans="1:50" s="117" customFormat="1" x14ac:dyDescent="0.3">
      <c r="A40" s="83">
        <f>'Personalized Bill Menu'!$H37</f>
        <v>41913</v>
      </c>
      <c r="B40" s="84">
        <f t="shared" si="3"/>
        <v>31</v>
      </c>
      <c r="C40" s="85">
        <f>IF('Personalized Bill Menu'!$B$34="Natural Gas", 'Personalized Bill Menu'!$I37, IF('Personalized Bill Menu'!$B$34="Both",'Personalized Bill Menu'!$M37,""))</f>
        <v>8.4870216904286888</v>
      </c>
      <c r="D40" s="66">
        <f t="shared" ca="1" si="4"/>
        <v>11.035807082285745</v>
      </c>
      <c r="E40" s="66">
        <f ca="1">IF($C40="Not Applicable", "", IFERROR(IFERROR((1+$AS40)*IF('Personalized Bill Menu'!$B$23="ATCO-N", IF(OR('Personalized Bill Menu'!$B$21="Fort McMurray",AND('Personalized Bill Menu'!$B$21="Spruce Grove", $A40&lt;DATE(2019, 5, 1) )),(((1+IF($T40="",0,$T40))*($N40+$P40))+ (IF($U40="", 0, $U40)*$P40)+(1+IF($T40="",0,$T40)+IF($U40="", 0, $U40))*(SUM($Y40:$AB40))),($N40+((1+IF($T40="",0,$T40)+IF($U40="", 0, $U40))*$P40)+(1+IF($T40="",0,$T40)+IF($U40="", 0, $U40))*(SUM($Y40:$AB40)))), IF('Personalized Bill Menu'!$B$23="ATCO-S",IF(OR('Personalized Bill Menu'!$B$21="Calgary",AND('Personalized Bill Menu'!$B$21="Okotoks", $A40&lt;DATE(2019, 1, 1))),((1+IF($T40="",0,$T40))*($N40+$P40+SUM($X40:$Y40,$AA40:$AC40)))+(IF($U40="",0, $U40)*($P40+SUM($X40:$Y40,$AA40:$AC40))), ((1+IF($T40="",0,$T40))*($P40+SUM($Y40,$AA40:$AC40)))+(IF($U40="",0, $U40)*($P40+SUM($X40:$Y40,$AA40:$AC40)))+$N40+IF($X40="", 0, $X40)),IF(AND('Personalized Bill Menu'!$B$21="Athabasca", $A40&lt;DATE(2019, 5, 1)),((1+IF($T40="",0,$T40)+IF($U40="", 0, $U40))*($N40+((1+SUM($X40:$Y40))*$P40)+SUM($Z40:$AA40))),((1+IF($U40="", 0, $U40))*($N40+((1+SUM($X40:$Y40))*$P40)+SUM($Z40:$AA40))) + (IF($T40="",0,$T40)*(((1+SUM($X40:$Y40))*$P40)+SUM($Z40:$AA40)))))), "")+ IF($AQ40="", 0,((1+$AS40)*$AQ40)), ""))</f>
        <v>6.9205974599999989</v>
      </c>
      <c r="F40" s="118">
        <f t="shared" ca="1" si="5"/>
        <v>93.661134078745661</v>
      </c>
      <c r="G40" s="115">
        <f t="shared" si="15"/>
        <v>35.475750665991917</v>
      </c>
      <c r="H40" s="66">
        <f t="shared" ca="1" si="16"/>
        <v>29.893551790632085</v>
      </c>
      <c r="I40" s="66">
        <f t="shared" ca="1" si="17"/>
        <v>8.2280674073729116</v>
      </c>
      <c r="J40" s="66">
        <f t="shared" ca="1" si="6"/>
        <v>8.6907102109989776</v>
      </c>
      <c r="K40" s="66">
        <f t="shared" si="18"/>
        <v>6.9130000000000003</v>
      </c>
      <c r="L40" s="66">
        <f t="shared" ca="1" si="8"/>
        <v>0</v>
      </c>
      <c r="M40" s="68">
        <f t="shared" ca="1" si="9"/>
        <v>4.4600540037497938</v>
      </c>
      <c r="N40" s="1290">
        <f>IF('Personalized Bill Menu'!$B$34="Natural Gas", 'Personalized Bill Menu'!$J37, IF('Personalized Bill Menu'!$B$34="Both",'Personalized Bill Menu'!$N37,""))</f>
        <v>4.18</v>
      </c>
      <c r="O40" s="70">
        <f t="shared" si="10"/>
        <v>35.475750665991917</v>
      </c>
      <c r="P40" s="89">
        <f ca="1">IF($A40="", "",IFERROR(IF(VLOOKUP($A40, INDIRECT("'" &amp; 'Personalized Bill Menu'!$B$23 &amp; "'!" &amp;"$A$4:$CA$100"), VLOOKUP(VLOOKUP(P$5,'Misc. Data &amp; Mechanisms'!$P$601:$S$632,HLOOKUP('Personalized Bill Menu'!$B$23, 'Misc. Data &amp; Mechanisms'!$P$599:$S$600, 2, FALSE), FALSE), 'Misc. Data &amp; Mechanisms'!$L$599:$N$659, 2, FALSE), FALSE) = "", "", VLOOKUP($A40, INDIRECT("'" &amp; 'Personalized Bill Menu'!$B$23 &amp; "'!" &amp;"$A$4:$CA$100"), VLOOKUP(VLOOKUP(P$5,'Misc. Data &amp; Mechanisms'!$P$601:$S$632,HLOOKUP('Personalized Bill Menu'!$B$23, 'Misc. Data &amp; Mechanisms'!$P$599:$S$600, 2, FALSE), FALSE), 'Misc. Data &amp; Mechanisms'!$L$599:$N$659, 2, FALSE), FALSE)), ""))</f>
        <v>0.72799999999999998</v>
      </c>
      <c r="Q40" s="69">
        <f ca="1">IF($A40="", "",IFERROR(IF(VLOOKUP($A40, INDIRECT("'" &amp; 'Personalized Bill Menu'!$B$23 &amp; "'!" &amp;"$A$4:$CA$100"), VLOOKUP(VLOOKUP(Q$5,'Misc. Data &amp; Mechanisms'!$P$601:$S$632,HLOOKUP('Personalized Bill Menu'!$B$23, 'Misc. Data &amp; Mechanisms'!$P$599:$S$600, 2, FALSE), FALSE), 'Misc. Data &amp; Mechanisms'!$L$599:$N$659, 2, FALSE), FALSE) = "", "", VLOOKUP($A40, INDIRECT("'" &amp; 'Personalized Bill Menu'!$B$23 &amp; "'!" &amp;"$A$4:$CA$100"), VLOOKUP(VLOOKUP(Q$5,'Misc. Data &amp; Mechanisms'!$P$601:$S$632,HLOOKUP('Personalized Bill Menu'!$B$23, 'Misc. Data &amp; Mechanisms'!$P$599:$S$600, 2, FALSE), FALSE), 'Misc. Data &amp; Mechanisms'!$L$599:$N$659, 2, FALSE), FALSE)), ""))</f>
        <v>0.76500000000000001</v>
      </c>
      <c r="R40" s="72">
        <f t="shared" ca="1" si="11"/>
        <v>6.1785517906320857</v>
      </c>
      <c r="S40" s="70">
        <f t="shared" ca="1" si="12"/>
        <v>23.715</v>
      </c>
      <c r="T40" s="78">
        <f>IFERROR(IF(VLOOKUP($A40,'Misc. Data &amp; Mechanisms'!$A$63:$DY$152,HLOOKUP('Personalized Bill Menu'!$B$21&amp;"_"&amp;'Personalized Bill Menu'!$B$23&amp;"_NG_Y_1",'Misc. Data &amp; Mechanisms'!$A$55:$DY$62,8,FALSE), FALSE)="", "", VLOOKUP($A40,'Misc. Data &amp; Mechanisms'!$A$63:$DY$152,HLOOKUP('Personalized Bill Menu'!$B$21&amp;"_"&amp;'Personalized Bill Menu'!$B$23&amp;"_NG_Y_1",'Misc. Data &amp; Mechanisms'!$A$55:$DY$62,8,FALSE), FALSE)), "")</f>
        <v>0.1111</v>
      </c>
      <c r="U40" s="78" t="str">
        <f>IFERROR(IF(VLOOKUP($A40,'Misc. Data &amp; Mechanisms'!$A$63:$DY$152,HLOOKUP('Personalized Bill Menu'!$B$21&amp;"_"&amp;'Personalized Bill Menu'!$B$23&amp;"_NG_Y_2",'Misc. Data &amp; Mechanisms'!$A$55:$DY$62,8,FALSE), FALSE)="", "",VLOOKUP($A40,'Misc. Data &amp; Mechanisms'!$A$63:$DY$152,HLOOKUP('Personalized Bill Menu'!$B$21&amp;"_"&amp;'Personalized Bill Menu'!$B$23&amp;"_NG_Y_2",'Misc. Data &amp; Mechanisms'!$A$55:$DY$62,8,FALSE), FALSE)), "")</f>
        <v/>
      </c>
      <c r="V40" s="72">
        <f ca="1">IF($A40="", "", IFERROR(IF('Personalized Bill Menu'!$B$23="ATCO-N", IF(OR('Personalized Bill Menu'!$B$21="Fort McMurray",AND('Personalized Bill Menu'!$B$21="Spruce Grove", $A40&lt;DATE(2019, 5, 1))),$T40*($G40+$H40+$J40),$T40*($H40+$J40)), IF('Personalized Bill Menu'!$B$23="ATCO-S",IF(OR('Personalized Bill Menu'!$B$21="Calgary",AND('Personalized Bill Menu'!$B$21="Okotoks", $A40&lt;DATE(2019, 1, 1))),$T40*($G40+$H40+$J40), $T40*($H40+$J40-$AG40)),IF(AND('Personalized Bill Menu'!$B$21="Athabasca", $A40&lt;DATE(2019, 5, 1)),$T40*($G40+$H40+$J40+$K40),$T40*($H40+$J40+$K40)))),0))</f>
        <v>8.2280674073729116</v>
      </c>
      <c r="W40" s="72">
        <f ca="1">IF($A40="", "", IFERROR(IF('Personalized Bill Menu'!$B$23="ATCO-N", $U40*($H40+$J40), IF('Personalized Bill Menu'!$B$23="ATCO-S",$U40*($H40+$J40),$U40*($G40+$H40+$J40+$K40))),0))</f>
        <v>0</v>
      </c>
      <c r="X40" s="89" t="str">
        <f ca="1">IF($A40="", "",IFERROR(IF(VLOOKUP($A40, INDIRECT("'" &amp; 'Personalized Bill Menu'!$B$23 &amp; "'!" &amp;"$A$4:$CA$100"), VLOOKUP(VLOOKUP("RIDER RATE 1",'Misc. Data &amp; Mechanisms'!$P$601:$S$632,HLOOKUP('Personalized Bill Menu'!$B$23, 'Misc. Data &amp; Mechanisms'!$P$599:$S$600, 2, FALSE), FALSE), 'Misc. Data &amp; Mechanisms'!$L$599:$N$659, 2, FALSE), FALSE) = "", "", VLOOKUP($A40, INDIRECT("'" &amp; 'Personalized Bill Menu'!$B$23 &amp; "'!" &amp;"$A$4:$CA$100"), VLOOKUP(VLOOKUP("RIDER RATE 1",'Misc. Data &amp; Mechanisms'!$P$601:$S$632,HLOOKUP('Personalized Bill Menu'!$B$23, 'Misc. Data &amp; Mechanisms'!$P$599:$S$600, 2, FALSE), FALSE), 'Misc. Data &amp; Mechanisms'!$L$599:$N$659, 2, FALSE), FALSE)), ""))</f>
        <v/>
      </c>
      <c r="Y40" s="69">
        <f ca="1">IF($A40="", "",IFERROR(IF(VLOOKUP($A40, INDIRECT("'" &amp; 'Personalized Bill Menu'!$B$23 &amp; "'!" &amp;"$A$4:$CA$100"), VLOOKUP(VLOOKUP("RIDER RATE 2",'Misc. Data &amp; Mechanisms'!$P$601:$S$632,HLOOKUP('Personalized Bill Menu'!$B$23, 'Misc. Data &amp; Mechanisms'!$P$599:$S$600, 2, FALSE), FALSE), 'Misc. Data &amp; Mechanisms'!$L$599:$N$659, 2, FALSE), FALSE) = "", "", VLOOKUP($A40, INDIRECT("'" &amp; 'Personalized Bill Menu'!$B$23 &amp; "'!" &amp;"$A$4:$CA$100"), VLOOKUP(VLOOKUP("RIDER RATE 2",'Misc. Data &amp; Mechanisms'!$P$601:$S$632,HLOOKUP('Personalized Bill Menu'!$B$23, 'Misc. Data &amp; Mechanisms'!$P$599:$S$600, 2, FALSE), FALSE), 'Misc. Data &amp; Mechanisms'!$L$599:$N$659, 2, FALSE), FALSE)), ""))</f>
        <v>0.26200000000000001</v>
      </c>
      <c r="Z40" s="69" t="str">
        <f ca="1">IF($A40="", "",IFERROR(IF(VLOOKUP($A40, INDIRECT("'" &amp; 'Personalized Bill Menu'!$B$23 &amp; "'!" &amp;"$A$4:$CA$100"), VLOOKUP(VLOOKUP("RIDER RATE 3",'Misc. Data &amp; Mechanisms'!$P$601:$S$632,HLOOKUP('Personalized Bill Menu'!$B$23, 'Misc. Data &amp; Mechanisms'!$P$599:$S$600, 2, FALSE), FALSE), 'Misc. Data &amp; Mechanisms'!$L$599:$N$659, 2, FALSE), FALSE) = "", "", VLOOKUP($A40, INDIRECT("'" &amp; 'Personalized Bill Menu'!$B$23 &amp; "'!" &amp;"$A$4:$CA$100"), VLOOKUP(VLOOKUP("RIDER RATE 3",'Misc. Data &amp; Mechanisms'!$P$601:$S$632,HLOOKUP('Personalized Bill Menu'!$B$23, 'Misc. Data &amp; Mechanisms'!$P$599:$S$600, 2, FALSE), FALSE), 'Misc. Data &amp; Mechanisms'!$L$599:$N$659, 2, FALSE), FALSE)), ""))</f>
        <v/>
      </c>
      <c r="AA40" s="69" t="str">
        <f ca="1">IF($A40="", "",IFERROR(IF(VLOOKUP($A40, INDIRECT("'" &amp; 'Personalized Bill Menu'!$B$23 &amp; "'!" &amp;"$A$4:$CA$100"), VLOOKUP(VLOOKUP("RIDER RATE 4",'Misc. Data &amp; Mechanisms'!$P$601:$S$632,HLOOKUP('Personalized Bill Menu'!$B$23, 'Misc. Data &amp; Mechanisms'!$P$599:$S$600, 2, FALSE), FALSE), 'Misc. Data &amp; Mechanisms'!$L$599:$N$659, 2, FALSE), FALSE) = "", "", VLOOKUP($A40, INDIRECT("'" &amp; 'Personalized Bill Menu'!$B$23 &amp; "'!" &amp;"$A$4:$CA$100"), VLOOKUP(VLOOKUP("RIDER RATE 4",'Misc. Data &amp; Mechanisms'!$P$601:$S$632,HLOOKUP('Personalized Bill Menu'!$B$23, 'Misc. Data &amp; Mechanisms'!$P$599:$S$600, 2, FALSE), FALSE), 'Misc. Data &amp; Mechanisms'!$L$599:$N$659, 2, FALSE), FALSE)), ""))</f>
        <v/>
      </c>
      <c r="AB40" s="69">
        <f ca="1">IF($A40="", "",IFERROR(IF(VLOOKUP($A40, INDIRECT("'" &amp; 'Personalized Bill Menu'!$B$23 &amp; "'!" &amp;"$A$4:$CA$100"), VLOOKUP(VLOOKUP("RIDER RATE 5",'Misc. Data &amp; Mechanisms'!$P$601:$S$632,HLOOKUP('Personalized Bill Menu'!$B$23, 'Misc. Data &amp; Mechanisms'!$P$599:$S$600, 2, FALSE), FALSE), 'Misc. Data &amp; Mechanisms'!$L$599:$N$659, 2, FALSE), FALSE) = "", "", VLOOKUP($A40, INDIRECT("'" &amp; 'Personalized Bill Menu'!$B$23 &amp; "'!" &amp;"$A$4:$CA$100"), VLOOKUP(VLOOKUP("RIDER RATE 5",'Misc. Data &amp; Mechanisms'!$P$601:$S$632,HLOOKUP('Personalized Bill Menu'!$B$23, 'Misc. Data &amp; Mechanisms'!$P$599:$S$600, 2, FALSE), FALSE), 'Misc. Data &amp; Mechanisms'!$L$599:$N$659, 2, FALSE), FALSE)), ""))</f>
        <v>0.76200000000000001</v>
      </c>
      <c r="AC40" s="69" t="str">
        <f ca="1">IF($A40="", "",IFERROR(IF(VLOOKUP($A40, INDIRECT("'" &amp; 'Personalized Bill Menu'!$B$23 &amp; "'!" &amp;"$A$4:$CA$100"), VLOOKUP(VLOOKUP("RIDER RATE 6",'Misc. Data &amp; Mechanisms'!$P$601:$S$632,HLOOKUP('Personalized Bill Menu'!$B$23, 'Misc. Data &amp; Mechanisms'!$P$599:$S$600, 2, FALSE), FALSE), 'Misc. Data &amp; Mechanisms'!$L$599:$N$659, 2, FALSE), FALSE) = "", "", VLOOKUP($A40, INDIRECT("'" &amp; 'Personalized Bill Menu'!$B$23 &amp; "'!" &amp;"$A$4:$CA$100"), VLOOKUP(VLOOKUP("RIDER RATE 6",'Misc. Data &amp; Mechanisms'!$P$601:$S$632,HLOOKUP('Personalized Bill Menu'!$B$23, 'Misc. Data &amp; Mechanisms'!$P$599:$S$600, 2, FALSE), FALSE), 'Misc. Data &amp; Mechanisms'!$L$599:$N$659, 2, FALSE), FALSE)), ""))</f>
        <v/>
      </c>
      <c r="AD40" s="69" t="str">
        <f ca="1">IF($A40="", "",IFERROR(IF(VLOOKUP($A40, INDIRECT("'" &amp; 'Personalized Bill Menu'!$B$23 &amp; "'!" &amp;"$A$4:$CA$100"), VLOOKUP(VLOOKUP("RIDER RATE 7",'Misc. Data &amp; Mechanisms'!$P$601:$S$632,HLOOKUP('Personalized Bill Menu'!$B$23, 'Misc. Data &amp; Mechanisms'!$P$599:$S$600, 2, FALSE), FALSE), 'Misc. Data &amp; Mechanisms'!$L$599:$N$659, 2, FALSE), FALSE) = "", "", VLOOKUP($A40, INDIRECT("'" &amp; 'Personalized Bill Menu'!$B$23 &amp; "'!" &amp;"$A$4:$CA$100"), VLOOKUP(VLOOKUP("RIDER RATE 7",'Misc. Data &amp; Mechanisms'!$P$601:$S$632,HLOOKUP('Personalized Bill Menu'!$B$23, 'Misc. Data &amp; Mechanisms'!$P$599:$S$600, 2, FALSE), FALSE), 'Misc. Data &amp; Mechanisms'!$L$599:$N$659, 2, FALSE), FALSE)), ""))</f>
        <v/>
      </c>
      <c r="AE40" s="69" t="str">
        <f ca="1">IF($A40="", "",IFERROR(IF(VLOOKUP($A40, INDIRECT("'" &amp; 'Personalized Bill Menu'!$B$23 &amp; "'!" &amp;"$A$4:$CA$100"), VLOOKUP(VLOOKUP("RIDER RATE 8",'Misc. Data &amp; Mechanisms'!$P$601:$S$632,HLOOKUP('Personalized Bill Menu'!$B$23, 'Misc. Data &amp; Mechanisms'!$P$599:$S$600, 2, FALSE), FALSE), 'Misc. Data &amp; Mechanisms'!$L$599:$N$659, 2, FALSE), FALSE) = "", "", VLOOKUP($A40, INDIRECT("'" &amp; 'Personalized Bill Menu'!$B$23 &amp; "'!" &amp;"$A$4:$CA$100"), VLOOKUP(VLOOKUP("RIDER RATE 8",'Misc. Data &amp; Mechanisms'!$P$601:$S$632,HLOOKUP('Personalized Bill Menu'!$B$23, 'Misc. Data &amp; Mechanisms'!$P$599:$S$600, 2, FALSE), FALSE), 'Misc. Data &amp; Mechanisms'!$L$599:$N$659, 2, FALSE), FALSE)), ""))</f>
        <v/>
      </c>
      <c r="AF40" s="69" t="str">
        <f ca="1">IF($A40="", "",IFERROR(IF(VLOOKUP($A40, INDIRECT("'" &amp; 'Personalized Bill Menu'!$B$23 &amp; "'!" &amp;"$A$4:$CA$100"), VLOOKUP(VLOOKUP("RIDER RATE 9",'Misc. Data &amp; Mechanisms'!$P$601:$S$632,HLOOKUP('Personalized Bill Menu'!$B$23, 'Misc. Data &amp; Mechanisms'!$P$599:$S$600, 2, FALSE), FALSE), 'Misc. Data &amp; Mechanisms'!$L$599:$N$659, 2, FALSE), FALSE) = "", "", VLOOKUP($A40, INDIRECT("'" &amp; 'Personalized Bill Menu'!$B$23 &amp; "'!" &amp;"$A$4:$CA$100"), VLOOKUP(VLOOKUP("RIDER RATE 9",'Misc. Data &amp; Mechanisms'!$P$601:$S$632,HLOOKUP('Personalized Bill Menu'!$B$23, 'Misc. Data &amp; Mechanisms'!$P$599:$S$600, 2, FALSE), FALSE), 'Misc. Data &amp; Mechanisms'!$L$599:$N$659, 2, FALSE), FALSE)), ""))</f>
        <v/>
      </c>
      <c r="AG40" s="72">
        <f ca="1">IF($A40="", "", IFERROR(IF('Personalized Bill Menu'!$B$23="ATCO-N", ($X40*$B40) +($Y40*$C40), IF('Personalized Bill Menu'!$B$23="ATCO-S",$X40*$C40, IF($Y40="", ($X40*$H40), ($Y40*($H40+$K40))))), 0))</f>
        <v>0</v>
      </c>
      <c r="AH40" s="72">
        <f ca="1">IF($A40="", "", IFERROR(IF('Personalized Bill Menu'!$B$23="ATCO-S", $Y40*$C40, $Z40*$C40), 0))</f>
        <v>2.2235996828923166</v>
      </c>
      <c r="AI40" s="72">
        <f ca="1">IF($A40="", "", IFERROR(IF('Personalized Bill Menu'!$B$23="ATCO-S", ($AA40*$C40)+($Z40*$B40), $AA40*$C40), 0))</f>
        <v>0</v>
      </c>
      <c r="AJ40" s="72">
        <f ca="1">IF($A40="", "", IFERROR(IF('Personalized Bill Menu'!$B$23&lt;&gt;"AltaGas",$AB40*$C40,""),0))</f>
        <v>6.4671105281066605</v>
      </c>
      <c r="AK40" s="72">
        <f ca="1">IF($A40="", "", IFERROR(IF('Personalized Bill Menu'!$B$23="ATCO-S",$AC40*$C40,IF('Personalized Bill Menu'!$B$23="ATCO-N",$AC40*1,"")),0))</f>
        <v>0</v>
      </c>
      <c r="AL40" s="72">
        <f ca="1">IF($A40="", "", IFERROR(IF('Personalized Bill Menu'!$B$23="ATCO-N",$AD40*$B40,IF('Personalized Bill Menu'!$B$23="ATCO-S",$AD40*1,"")),0))</f>
        <v>0</v>
      </c>
      <c r="AM40" s="72">
        <f ca="1">IF($A40="", "", IFERROR(IF('Personalized Bill Menu'!$B$23="ATCO-S",$AE40*$B40,IF('Personalized Bill Menu'!$B$23="ATCO-N",$AE40*$B40,"")),0))</f>
        <v>0</v>
      </c>
      <c r="AN40" s="70">
        <f ca="1">IF($A40="", "", IFERROR(IF('Personalized Bill Menu'!$B$23="ATCO-S",$AF40*$B40,""),0))</f>
        <v>0</v>
      </c>
      <c r="AO40" s="69">
        <f>IF('Personalized Bill Menu'!$B$34="Natural Gas", 'Personalized Bill Menu'!$K37, IF('Personalized Bill Menu'!$B$34="Both",'Personalized Bill Menu'!$O37,""))</f>
        <v>0.223</v>
      </c>
      <c r="AP40" s="72">
        <f t="shared" si="13"/>
        <v>6.9130000000000003</v>
      </c>
      <c r="AQ40" s="89" t="str">
        <f ca="1">IF($A40="", "",IF(VLOOKUP($A40, INDIRECT("'" &amp; 'Personalized Bill Menu'!$B$23 &amp; "'!" &amp;"$A$4:$CA$100"), VLOOKUP(VLOOKUP(AQ$5,'Misc. Data &amp; Mechanisms'!$P$601:$S$632,HLOOKUP('Personalized Bill Menu'!$B$23, 'Misc. Data &amp; Mechanisms'!$P$599:$S$600, 2, FALSE), FALSE), 'Misc. Data &amp; Mechanisms'!$L$599:$N$659, 2, FALSE), FALSE) = "", "", VLOOKUP($A40, INDIRECT("'" &amp; 'Personalized Bill Menu'!$B$23 &amp; "'!" &amp;"$A$4:$CA$100"), VLOOKUP(VLOOKUP(AQ$5,'Misc. Data &amp; Mechanisms'!$P$601:$S$632,HLOOKUP('Personalized Bill Menu'!$B$23, 'Misc. Data &amp; Mechanisms'!$P$599:$S$600, 2, FALSE), FALSE), 'Misc. Data &amp; Mechanisms'!$L$599:$N$659, 2, FALSE), FALSE)))</f>
        <v/>
      </c>
      <c r="AR40" s="72">
        <f t="shared" ca="1" si="14"/>
        <v>0</v>
      </c>
      <c r="AS40" s="91">
        <f ca="1">IF($A40="", "",IF(VLOOKUP($A40, INDIRECT("'" &amp; 'Personalized Bill Menu'!$B$23 &amp; "'!" &amp;"$A$4:$CA$100"), VLOOKUP(VLOOKUP(AS$5,'Misc. Data &amp; Mechanisms'!$P$601:$S$632,HLOOKUP('Personalized Bill Menu'!$B$23, 'Misc. Data &amp; Mechanisms'!$P$599:$S$600, 2, FALSE), FALSE), 'Misc. Data &amp; Mechanisms'!$L$599:$N$659, 2, FALSE), FALSE) = "", "", VLOOKUP($A40, INDIRECT("'" &amp; 'Personalized Bill Menu'!$B$23 &amp; "'!" &amp;"$A$4:$CA$100"), VLOOKUP(VLOOKUP(AS$5,'Misc. Data &amp; Mechanisms'!$P$601:$S$632,HLOOKUP('Personalized Bill Menu'!$B$23, 'Misc. Data &amp; Mechanisms'!$P$599:$S$600, 2, FALSE), FALSE), 'Misc. Data &amp; Mechanisms'!$L$599:$N$659, 2, FALSE), FALSE)))</f>
        <v>0.05</v>
      </c>
      <c r="AT40" s="116"/>
      <c r="AU40" s="116"/>
      <c r="AV40" s="116"/>
      <c r="AW40" s="116"/>
      <c r="AX40" s="116"/>
    </row>
    <row r="41" spans="1:50" s="117" customFormat="1" x14ac:dyDescent="0.3">
      <c r="A41" s="83">
        <f>'Personalized Bill Menu'!$H38</f>
        <v>41944</v>
      </c>
      <c r="B41" s="84">
        <f t="shared" si="3"/>
        <v>30</v>
      </c>
      <c r="C41" s="85">
        <f>IF('Personalized Bill Menu'!$B$34="Natural Gas", 'Personalized Bill Menu'!$I38, IF('Personalized Bill Menu'!$B$34="Both",'Personalized Bill Menu'!$M38,""))</f>
        <v>16.328982044219593</v>
      </c>
      <c r="D41" s="66">
        <f t="shared" ca="1" si="4"/>
        <v>7.6398262532469312</v>
      </c>
      <c r="E41" s="66">
        <f ca="1">IF($C41="Not Applicable", "", IFERROR(IFERROR((1+$AS41)*IF('Personalized Bill Menu'!$B$23="ATCO-N", IF(OR('Personalized Bill Menu'!$B$21="Fort McMurray",AND('Personalized Bill Menu'!$B$21="Spruce Grove", $A41&lt;DATE(2019, 5, 1) )),(((1+IF($T41="",0,$T41))*($N41+$P41))+ (IF($U41="", 0, $U41)*$P41)+(1+IF($T41="",0,$T41)+IF($U41="", 0, $U41))*(SUM($Y41:$AB41))),($N41+((1+IF($T41="",0,$T41)+IF($U41="", 0, $U41))*$P41)+(1+IF($T41="",0,$T41)+IF($U41="", 0, $U41))*(SUM($Y41:$AB41)))), IF('Personalized Bill Menu'!$B$23="ATCO-S",IF(OR('Personalized Bill Menu'!$B$21="Calgary",AND('Personalized Bill Menu'!$B$21="Okotoks", $A41&lt;DATE(2019, 1, 1))),((1+IF($T41="",0,$T41))*($N41+$P41+SUM($X41:$Y41,$AA41:$AC41)))+(IF($U41="",0, $U41)*($P41+SUM($X41:$Y41,$AA41:$AC41))), ((1+IF($T41="",0,$T41))*($P41+SUM($Y41,$AA41:$AC41)))+(IF($U41="",0, $U41)*($P41+SUM($X41:$Y41,$AA41:$AC41)))+$N41+IF($X41="", 0, $X41)),IF(AND('Personalized Bill Menu'!$B$21="Athabasca", $A41&lt;DATE(2019, 5, 1)),((1+IF($T41="",0,$T41)+IF($U41="", 0, $U41))*($N41+((1+SUM($X41:$Y41))*$P41)+SUM($Z41:$AA41))),((1+IF($U41="", 0, $U41))*($N41+((1+SUM($X41:$Y41))*$P41)+SUM($Z41:$AA41))) + (IF($T41="",0,$T41)*(((1+SUM($X41:$Y41))*$P41)+SUM($Z41:$AA41)))))), "")+ IF($AQ41="", 0,((1+$AS41)*$AQ41)), ""))</f>
        <v>5.8764412349999997</v>
      </c>
      <c r="F41" s="118">
        <f t="shared" ca="1" si="5"/>
        <v>124.75058571022659</v>
      </c>
      <c r="G41" s="115">
        <f t="shared" si="15"/>
        <v>60.139640868860759</v>
      </c>
      <c r="H41" s="66">
        <f t="shared" ca="1" si="16"/>
        <v>34.837498928191863</v>
      </c>
      <c r="I41" s="66">
        <f t="shared" ca="1" si="17"/>
        <v>11.210999072053156</v>
      </c>
      <c r="J41" s="66">
        <f t="shared" ca="1" si="6"/>
        <v>5.9319427596814647</v>
      </c>
      <c r="K41" s="66">
        <f t="shared" si="18"/>
        <v>6.69</v>
      </c>
      <c r="L41" s="66">
        <f t="shared" ca="1" si="8"/>
        <v>0</v>
      </c>
      <c r="M41" s="68">
        <f t="shared" ca="1" si="9"/>
        <v>5.9405040814393617</v>
      </c>
      <c r="N41" s="1290">
        <f>IF('Personalized Bill Menu'!$B$34="Natural Gas", 'Personalized Bill Menu'!$J38, IF('Personalized Bill Menu'!$B$34="Both",'Personalized Bill Menu'!$N38,""))</f>
        <v>3.6829999999999998</v>
      </c>
      <c r="O41" s="70">
        <f t="shared" si="10"/>
        <v>60.139640868860759</v>
      </c>
      <c r="P41" s="89">
        <f ca="1">IF($A41="", "",IFERROR(IF(VLOOKUP($A41, INDIRECT("'" &amp; 'Personalized Bill Menu'!$B$23 &amp; "'!" &amp;"$A$4:$CA$100"), VLOOKUP(VLOOKUP(P$5,'Misc. Data &amp; Mechanisms'!$P$601:$S$632,HLOOKUP('Personalized Bill Menu'!$B$23, 'Misc. Data &amp; Mechanisms'!$P$599:$S$600, 2, FALSE), FALSE), 'Misc. Data &amp; Mechanisms'!$L$599:$N$659, 2, FALSE), FALSE) = "", "", VLOOKUP($A41, INDIRECT("'" &amp; 'Personalized Bill Menu'!$B$23 &amp; "'!" &amp;"$A$4:$CA$100"), VLOOKUP(VLOOKUP(P$5,'Misc. Data &amp; Mechanisms'!$P$601:$S$632,HLOOKUP('Personalized Bill Menu'!$B$23, 'Misc. Data &amp; Mechanisms'!$P$599:$S$600, 2, FALSE), FALSE), 'Misc. Data &amp; Mechanisms'!$L$599:$N$659, 2, FALSE), FALSE)), ""))</f>
        <v>0.72799999999999998</v>
      </c>
      <c r="Q41" s="69">
        <f ca="1">IF($A41="", "",IFERROR(IF(VLOOKUP($A41, INDIRECT("'" &amp; 'Personalized Bill Menu'!$B$23 &amp; "'!" &amp;"$A$4:$CA$100"), VLOOKUP(VLOOKUP(Q$5,'Misc. Data &amp; Mechanisms'!$P$601:$S$632,HLOOKUP('Personalized Bill Menu'!$B$23, 'Misc. Data &amp; Mechanisms'!$P$599:$S$600, 2, FALSE), FALSE), 'Misc. Data &amp; Mechanisms'!$L$599:$N$659, 2, FALSE), FALSE) = "", "", VLOOKUP($A41, INDIRECT("'" &amp; 'Personalized Bill Menu'!$B$23 &amp; "'!" &amp;"$A$4:$CA$100"), VLOOKUP(VLOOKUP(Q$5,'Misc. Data &amp; Mechanisms'!$P$601:$S$632,HLOOKUP('Personalized Bill Menu'!$B$23, 'Misc. Data &amp; Mechanisms'!$P$599:$S$600, 2, FALSE), FALSE), 'Misc. Data &amp; Mechanisms'!$L$599:$N$659, 2, FALSE), FALSE)), ""))</f>
        <v>0.76500000000000001</v>
      </c>
      <c r="R41" s="72">
        <f t="shared" ca="1" si="11"/>
        <v>11.887498928191864</v>
      </c>
      <c r="S41" s="70">
        <f t="shared" ca="1" si="12"/>
        <v>22.95</v>
      </c>
      <c r="T41" s="78">
        <f>IFERROR(IF(VLOOKUP($A41,'Misc. Data &amp; Mechanisms'!$A$63:$DY$152,HLOOKUP('Personalized Bill Menu'!$B$21&amp;"_"&amp;'Personalized Bill Menu'!$B$23&amp;"_NG_Y_1",'Misc. Data &amp; Mechanisms'!$A$55:$DY$62,8,FALSE), FALSE)="", "", VLOOKUP($A41,'Misc. Data &amp; Mechanisms'!$A$63:$DY$152,HLOOKUP('Personalized Bill Menu'!$B$21&amp;"_"&amp;'Personalized Bill Menu'!$B$23&amp;"_NG_Y_1",'Misc. Data &amp; Mechanisms'!$A$55:$DY$62,8,FALSE), FALSE)), "")</f>
        <v>0.1111</v>
      </c>
      <c r="U41" s="78" t="str">
        <f>IFERROR(IF(VLOOKUP($A41,'Misc. Data &amp; Mechanisms'!$A$63:$DY$152,HLOOKUP('Personalized Bill Menu'!$B$21&amp;"_"&amp;'Personalized Bill Menu'!$B$23&amp;"_NG_Y_2",'Misc. Data &amp; Mechanisms'!$A$55:$DY$62,8,FALSE), FALSE)="", "",VLOOKUP($A41,'Misc. Data &amp; Mechanisms'!$A$63:$DY$152,HLOOKUP('Personalized Bill Menu'!$B$21&amp;"_"&amp;'Personalized Bill Menu'!$B$23&amp;"_NG_Y_2",'Misc. Data &amp; Mechanisms'!$A$55:$DY$62,8,FALSE), FALSE)), "")</f>
        <v/>
      </c>
      <c r="V41" s="72">
        <f ca="1">IF($A41="", "", IFERROR(IF('Personalized Bill Menu'!$B$23="ATCO-N", IF(OR('Personalized Bill Menu'!$B$21="Fort McMurray",AND('Personalized Bill Menu'!$B$21="Spruce Grove", $A41&lt;DATE(2019, 5, 1))),$T41*($G41+$H41+$J41),$T41*($H41+$J41)), IF('Personalized Bill Menu'!$B$23="ATCO-S",IF(OR('Personalized Bill Menu'!$B$21="Calgary",AND('Personalized Bill Menu'!$B$21="Okotoks", $A41&lt;DATE(2019, 1, 1))),$T41*($G41+$H41+$J41), $T41*($H41+$J41-$AG41)),IF(AND('Personalized Bill Menu'!$B$21="Athabasca", $A41&lt;DATE(2019, 5, 1)),$T41*($G41+$H41+$J41+$K41),$T41*($H41+$J41+$K41)))),0))</f>
        <v>11.210999072053156</v>
      </c>
      <c r="W41" s="72">
        <f ca="1">IF($A41="", "", IFERROR(IF('Personalized Bill Menu'!$B$23="ATCO-N", $U41*($H41+$J41), IF('Personalized Bill Menu'!$B$23="ATCO-S",$U41*($H41+$J41),$U41*($G41+$H41+$J41+$K41))),0))</f>
        <v>0</v>
      </c>
      <c r="X41" s="89" t="str">
        <f ca="1">IF($A41="", "",IFERROR(IF(VLOOKUP($A41, INDIRECT("'" &amp; 'Personalized Bill Menu'!$B$23 &amp; "'!" &amp;"$A$4:$CA$100"), VLOOKUP(VLOOKUP("RIDER RATE 1",'Misc. Data &amp; Mechanisms'!$P$601:$S$632,HLOOKUP('Personalized Bill Menu'!$B$23, 'Misc. Data &amp; Mechanisms'!$P$599:$S$600, 2, FALSE), FALSE), 'Misc. Data &amp; Mechanisms'!$L$599:$N$659, 2, FALSE), FALSE) = "", "", VLOOKUP($A41, INDIRECT("'" &amp; 'Personalized Bill Menu'!$B$23 &amp; "'!" &amp;"$A$4:$CA$100"), VLOOKUP(VLOOKUP("RIDER RATE 1",'Misc. Data &amp; Mechanisms'!$P$601:$S$632,HLOOKUP('Personalized Bill Menu'!$B$23, 'Misc. Data &amp; Mechanisms'!$P$599:$S$600, 2, FALSE), FALSE), 'Misc. Data &amp; Mechanisms'!$L$599:$N$659, 2, FALSE), FALSE)), ""))</f>
        <v/>
      </c>
      <c r="Y41" s="69" t="str">
        <f ca="1">IF($A41="", "",IFERROR(IF(VLOOKUP($A41, INDIRECT("'" &amp; 'Personalized Bill Menu'!$B$23 &amp; "'!" &amp;"$A$4:$CA$100"), VLOOKUP(VLOOKUP("RIDER RATE 2",'Misc. Data &amp; Mechanisms'!$P$601:$S$632,HLOOKUP('Personalized Bill Menu'!$B$23, 'Misc. Data &amp; Mechanisms'!$P$599:$S$600, 2, FALSE), FALSE), 'Misc. Data &amp; Mechanisms'!$L$599:$N$659, 2, FALSE), FALSE) = "", "", VLOOKUP($A41, INDIRECT("'" &amp; 'Personalized Bill Menu'!$B$23 &amp; "'!" &amp;"$A$4:$CA$100"), VLOOKUP(VLOOKUP("RIDER RATE 2",'Misc. Data &amp; Mechanisms'!$P$601:$S$632,HLOOKUP('Personalized Bill Menu'!$B$23, 'Misc. Data &amp; Mechanisms'!$P$599:$S$600, 2, FALSE), FALSE), 'Misc. Data &amp; Mechanisms'!$L$599:$N$659, 2, FALSE), FALSE)), ""))</f>
        <v/>
      </c>
      <c r="Z41" s="69">
        <f ca="1">IF($A41="", "",IFERROR(IF(VLOOKUP($A41, INDIRECT("'" &amp; 'Personalized Bill Menu'!$B$23 &amp; "'!" &amp;"$A$4:$CA$100"), VLOOKUP(VLOOKUP("RIDER RATE 3",'Misc. Data &amp; Mechanisms'!$P$601:$S$632,HLOOKUP('Personalized Bill Menu'!$B$23, 'Misc. Data &amp; Mechanisms'!$P$599:$S$600, 2, FALSE), FALSE), 'Misc. Data &amp; Mechanisms'!$L$599:$N$659, 2, FALSE), FALSE) = "", "", VLOOKUP($A41, INDIRECT("'" &amp; 'Personalized Bill Menu'!$B$23 &amp; "'!" &amp;"$A$4:$CA$100"), VLOOKUP(VLOOKUP("RIDER RATE 3",'Misc. Data &amp; Mechanisms'!$P$601:$S$632,HLOOKUP('Personalized Bill Menu'!$B$23, 'Misc. Data &amp; Mechanisms'!$P$599:$S$600, 2, FALSE), FALSE), 'Misc. Data &amp; Mechanisms'!$L$599:$N$659, 2, FALSE), FALSE)), ""))</f>
        <v>-0.14299999999999999</v>
      </c>
      <c r="AA41" s="69">
        <f ca="1">IF($A41="", "",IFERROR(IF(VLOOKUP($A41, INDIRECT("'" &amp; 'Personalized Bill Menu'!$B$23 &amp; "'!" &amp;"$A$4:$CA$100"), VLOOKUP(VLOOKUP("RIDER RATE 4",'Misc. Data &amp; Mechanisms'!$P$601:$S$632,HLOOKUP('Personalized Bill Menu'!$B$23, 'Misc. Data &amp; Mechanisms'!$P$599:$S$600, 2, FALSE), FALSE), 'Misc. Data &amp; Mechanisms'!$L$599:$N$659, 2, FALSE), FALSE) = "", "", VLOOKUP($A41, INDIRECT("'" &amp; 'Personalized Bill Menu'!$B$23 &amp; "'!" &amp;"$A$4:$CA$100"), VLOOKUP(VLOOKUP("RIDER RATE 4",'Misc. Data &amp; Mechanisms'!$P$601:$S$632,HLOOKUP('Personalized Bill Menu'!$B$23, 'Misc. Data &amp; Mechanisms'!$P$599:$S$600, 2, FALSE), FALSE), 'Misc. Data &amp; Mechanisms'!$L$599:$N$659, 2, FALSE), FALSE)), ""))</f>
        <v>-0.13600000000000001</v>
      </c>
      <c r="AB41" s="69">
        <f ca="1">IF($A41="", "",IFERROR(IF(VLOOKUP($A41, INDIRECT("'" &amp; 'Personalized Bill Menu'!$B$23 &amp; "'!" &amp;"$A$4:$CA$100"), VLOOKUP(VLOOKUP("RIDER RATE 5",'Misc. Data &amp; Mechanisms'!$P$601:$S$632,HLOOKUP('Personalized Bill Menu'!$B$23, 'Misc. Data &amp; Mechanisms'!$P$599:$S$600, 2, FALSE), FALSE), 'Misc. Data &amp; Mechanisms'!$L$599:$N$659, 2, FALSE), FALSE) = "", "", VLOOKUP($A41, INDIRECT("'" &amp; 'Personalized Bill Menu'!$B$23 &amp; "'!" &amp;"$A$4:$CA$100"), VLOOKUP(VLOOKUP("RIDER RATE 5",'Misc. Data &amp; Mechanisms'!$P$601:$S$632,HLOOKUP('Personalized Bill Menu'!$B$23, 'Misc. Data &amp; Mechanisms'!$P$599:$S$600, 2, FALSE), FALSE), 'Misc. Data &amp; Mechanisms'!$L$599:$N$659, 2, FALSE), FALSE)), ""))</f>
        <v>0.76200000000000001</v>
      </c>
      <c r="AC41" s="69" t="str">
        <f ca="1">IF($A41="", "",IFERROR(IF(VLOOKUP($A41, INDIRECT("'" &amp; 'Personalized Bill Menu'!$B$23 &amp; "'!" &amp;"$A$4:$CA$100"), VLOOKUP(VLOOKUP("RIDER RATE 6",'Misc. Data &amp; Mechanisms'!$P$601:$S$632,HLOOKUP('Personalized Bill Menu'!$B$23, 'Misc. Data &amp; Mechanisms'!$P$599:$S$600, 2, FALSE), FALSE), 'Misc. Data &amp; Mechanisms'!$L$599:$N$659, 2, FALSE), FALSE) = "", "", VLOOKUP($A41, INDIRECT("'" &amp; 'Personalized Bill Menu'!$B$23 &amp; "'!" &amp;"$A$4:$CA$100"), VLOOKUP(VLOOKUP("RIDER RATE 6",'Misc. Data &amp; Mechanisms'!$P$601:$S$632,HLOOKUP('Personalized Bill Menu'!$B$23, 'Misc. Data &amp; Mechanisms'!$P$599:$S$600, 2, FALSE), FALSE), 'Misc. Data &amp; Mechanisms'!$L$599:$N$659, 2, FALSE), FALSE)), ""))</f>
        <v/>
      </c>
      <c r="AD41" s="69" t="str">
        <f ca="1">IF($A41="", "",IFERROR(IF(VLOOKUP($A41, INDIRECT("'" &amp; 'Personalized Bill Menu'!$B$23 &amp; "'!" &amp;"$A$4:$CA$100"), VLOOKUP(VLOOKUP("RIDER RATE 7",'Misc. Data &amp; Mechanisms'!$P$601:$S$632,HLOOKUP('Personalized Bill Menu'!$B$23, 'Misc. Data &amp; Mechanisms'!$P$599:$S$600, 2, FALSE), FALSE), 'Misc. Data &amp; Mechanisms'!$L$599:$N$659, 2, FALSE), FALSE) = "", "", VLOOKUP($A41, INDIRECT("'" &amp; 'Personalized Bill Menu'!$B$23 &amp; "'!" &amp;"$A$4:$CA$100"), VLOOKUP(VLOOKUP("RIDER RATE 7",'Misc. Data &amp; Mechanisms'!$P$601:$S$632,HLOOKUP('Personalized Bill Menu'!$B$23, 'Misc. Data &amp; Mechanisms'!$P$599:$S$600, 2, FALSE), FALSE), 'Misc. Data &amp; Mechanisms'!$L$599:$N$659, 2, FALSE), FALSE)), ""))</f>
        <v/>
      </c>
      <c r="AE41" s="69" t="str">
        <f ca="1">IF($A41="", "",IFERROR(IF(VLOOKUP($A41, INDIRECT("'" &amp; 'Personalized Bill Menu'!$B$23 &amp; "'!" &amp;"$A$4:$CA$100"), VLOOKUP(VLOOKUP("RIDER RATE 8",'Misc. Data &amp; Mechanisms'!$P$601:$S$632,HLOOKUP('Personalized Bill Menu'!$B$23, 'Misc. Data &amp; Mechanisms'!$P$599:$S$600, 2, FALSE), FALSE), 'Misc. Data &amp; Mechanisms'!$L$599:$N$659, 2, FALSE), FALSE) = "", "", VLOOKUP($A41, INDIRECT("'" &amp; 'Personalized Bill Menu'!$B$23 &amp; "'!" &amp;"$A$4:$CA$100"), VLOOKUP(VLOOKUP("RIDER RATE 8",'Misc. Data &amp; Mechanisms'!$P$601:$S$632,HLOOKUP('Personalized Bill Menu'!$B$23, 'Misc. Data &amp; Mechanisms'!$P$599:$S$600, 2, FALSE), FALSE), 'Misc. Data &amp; Mechanisms'!$L$599:$N$659, 2, FALSE), FALSE)), ""))</f>
        <v/>
      </c>
      <c r="AF41" s="69" t="str">
        <f ca="1">IF($A41="", "",IFERROR(IF(VLOOKUP($A41, INDIRECT("'" &amp; 'Personalized Bill Menu'!$B$23 &amp; "'!" &amp;"$A$4:$CA$100"), VLOOKUP(VLOOKUP("RIDER RATE 9",'Misc. Data &amp; Mechanisms'!$P$601:$S$632,HLOOKUP('Personalized Bill Menu'!$B$23, 'Misc. Data &amp; Mechanisms'!$P$599:$S$600, 2, FALSE), FALSE), 'Misc. Data &amp; Mechanisms'!$L$599:$N$659, 2, FALSE), FALSE) = "", "", VLOOKUP($A41, INDIRECT("'" &amp; 'Personalized Bill Menu'!$B$23 &amp; "'!" &amp;"$A$4:$CA$100"), VLOOKUP(VLOOKUP("RIDER RATE 9",'Misc. Data &amp; Mechanisms'!$P$601:$S$632,HLOOKUP('Personalized Bill Menu'!$B$23, 'Misc. Data &amp; Mechanisms'!$P$599:$S$600, 2, FALSE), FALSE), 'Misc. Data &amp; Mechanisms'!$L$599:$N$659, 2, FALSE), FALSE)), ""))</f>
        <v/>
      </c>
      <c r="AG41" s="72">
        <f ca="1">IF($A41="", "", IFERROR(IF('Personalized Bill Menu'!$B$23="ATCO-N", ($X41*$B41) +($Y41*$C41), IF('Personalized Bill Menu'!$B$23="ATCO-S",$X41*$C41, IF($Y41="", ($X41*$H41), ($Y41*($H41+$K41))))), 0))</f>
        <v>0</v>
      </c>
      <c r="AH41" s="72">
        <f ca="1">IF($A41="", "", IFERROR(IF('Personalized Bill Menu'!$B$23="ATCO-S", $Y41*$C41, $Z41*$C41), 0))</f>
        <v>0</v>
      </c>
      <c r="AI41" s="72">
        <f ca="1">IF($A41="", "", IFERROR(IF('Personalized Bill Menu'!$B$23="ATCO-S", ($AA41*$C41)+($Z41*$B41), $AA41*$C41), 0))</f>
        <v>-6.5107415580138648</v>
      </c>
      <c r="AJ41" s="72">
        <f ca="1">IF($A41="", "", IFERROR(IF('Personalized Bill Menu'!$B$23&lt;&gt;"AltaGas",$AB41*$C41,""),0))</f>
        <v>12.442684317695329</v>
      </c>
      <c r="AK41" s="72">
        <f ca="1">IF($A41="", "", IFERROR(IF('Personalized Bill Menu'!$B$23="ATCO-S",$AC41*$C41,IF('Personalized Bill Menu'!$B$23="ATCO-N",$AC41*1,"")),0))</f>
        <v>0</v>
      </c>
      <c r="AL41" s="72">
        <f ca="1">IF($A41="", "", IFERROR(IF('Personalized Bill Menu'!$B$23="ATCO-N",$AD41*$B41,IF('Personalized Bill Menu'!$B$23="ATCO-S",$AD41*1,"")),0))</f>
        <v>0</v>
      </c>
      <c r="AM41" s="72">
        <f ca="1">IF($A41="", "", IFERROR(IF('Personalized Bill Menu'!$B$23="ATCO-S",$AE41*$B41,IF('Personalized Bill Menu'!$B$23="ATCO-N",$AE41*$B41,"")),0))</f>
        <v>0</v>
      </c>
      <c r="AN41" s="70">
        <f ca="1">IF($A41="", "", IFERROR(IF('Personalized Bill Menu'!$B$23="ATCO-S",$AF41*$B41,""),0))</f>
        <v>0</v>
      </c>
      <c r="AO41" s="69">
        <f>IF('Personalized Bill Menu'!$B$34="Natural Gas", 'Personalized Bill Menu'!$K38, IF('Personalized Bill Menu'!$B$34="Both",'Personalized Bill Menu'!$O38,""))</f>
        <v>0.223</v>
      </c>
      <c r="AP41" s="72">
        <f t="shared" si="13"/>
        <v>6.69</v>
      </c>
      <c r="AQ41" s="89" t="str">
        <f ca="1">IF($A41="", "",IF(VLOOKUP($A41, INDIRECT("'" &amp; 'Personalized Bill Menu'!$B$23 &amp; "'!" &amp;"$A$4:$CA$100"), VLOOKUP(VLOOKUP(AQ$5,'Misc. Data &amp; Mechanisms'!$P$601:$S$632,HLOOKUP('Personalized Bill Menu'!$B$23, 'Misc. Data &amp; Mechanisms'!$P$599:$S$600, 2, FALSE), FALSE), 'Misc. Data &amp; Mechanisms'!$L$599:$N$659, 2, FALSE), FALSE) = "", "", VLOOKUP($A41, INDIRECT("'" &amp; 'Personalized Bill Menu'!$B$23 &amp; "'!" &amp;"$A$4:$CA$100"), VLOOKUP(VLOOKUP(AQ$5,'Misc. Data &amp; Mechanisms'!$P$601:$S$632,HLOOKUP('Personalized Bill Menu'!$B$23, 'Misc. Data &amp; Mechanisms'!$P$599:$S$600, 2, FALSE), FALSE), 'Misc. Data &amp; Mechanisms'!$L$599:$N$659, 2, FALSE), FALSE)))</f>
        <v/>
      </c>
      <c r="AR41" s="72">
        <f t="shared" ca="1" si="14"/>
        <v>0</v>
      </c>
      <c r="AS41" s="91">
        <f ca="1">IF($A41="", "",IF(VLOOKUP($A41, INDIRECT("'" &amp; 'Personalized Bill Menu'!$B$23 &amp; "'!" &amp;"$A$4:$CA$100"), VLOOKUP(VLOOKUP(AS$5,'Misc. Data &amp; Mechanisms'!$P$601:$S$632,HLOOKUP('Personalized Bill Menu'!$B$23, 'Misc. Data &amp; Mechanisms'!$P$599:$S$600, 2, FALSE), FALSE), 'Misc. Data &amp; Mechanisms'!$L$599:$N$659, 2, FALSE), FALSE) = "", "", VLOOKUP($A41, INDIRECT("'" &amp; 'Personalized Bill Menu'!$B$23 &amp; "'!" &amp;"$A$4:$CA$100"), VLOOKUP(VLOOKUP(AS$5,'Misc. Data &amp; Mechanisms'!$P$601:$S$632,HLOOKUP('Personalized Bill Menu'!$B$23, 'Misc. Data &amp; Mechanisms'!$P$599:$S$600, 2, FALSE), FALSE), 'Misc. Data &amp; Mechanisms'!$L$599:$N$659, 2, FALSE), FALSE)))</f>
        <v>0.05</v>
      </c>
      <c r="AT41" s="116"/>
      <c r="AU41" s="116"/>
      <c r="AV41" s="116"/>
      <c r="AW41" s="116"/>
      <c r="AX41" s="116"/>
    </row>
    <row r="42" spans="1:50" s="117" customFormat="1" x14ac:dyDescent="0.3">
      <c r="A42" s="83">
        <f>'Personalized Bill Menu'!$H39</f>
        <v>41974</v>
      </c>
      <c r="B42" s="84">
        <f t="shared" si="3"/>
        <v>31</v>
      </c>
      <c r="C42" s="85">
        <f>IF('Personalized Bill Menu'!$B$34="Natural Gas", 'Personalized Bill Menu'!$I39, IF('Personalized Bill Menu'!$B$34="Both",'Personalized Bill Menu'!$M39,""))</f>
        <v>17.155085931907376</v>
      </c>
      <c r="D42" s="66">
        <f t="shared" ca="1" si="4"/>
        <v>8.1930201894808317</v>
      </c>
      <c r="E42" s="66">
        <f ca="1">IF($C42="Not Applicable", "", IFERROR(IFERROR((1+$AS42)*IF('Personalized Bill Menu'!$B$23="ATCO-N", IF(OR('Personalized Bill Menu'!$B$21="Fort McMurray",AND('Personalized Bill Menu'!$B$21="Spruce Grove", $A42&lt;DATE(2019, 5, 1) )),(((1+IF($T42="",0,$T42))*($N42+$P42))+ (IF($U42="", 0, $U42)*$P42)+(1+IF($T42="",0,$T42)+IF($U42="", 0, $U42))*(SUM($Y42:$AB42))),($N42+((1+IF($T42="",0,$T42)+IF($U42="", 0, $U42))*$P42)+(1+IF($T42="",0,$T42)+IF($U42="", 0, $U42))*(SUM($Y42:$AB42)))), IF('Personalized Bill Menu'!$B$23="ATCO-S",IF(OR('Personalized Bill Menu'!$B$21="Calgary",AND('Personalized Bill Menu'!$B$21="Okotoks", $A42&lt;DATE(2019, 1, 1))),((1+IF($T42="",0,$T42))*($N42+$P42+SUM($X42:$Y42,$AA42:$AC42)))+(IF($U42="",0, $U42)*($P42+SUM($X42:$Y42,$AA42:$AC42))), ((1+IF($T42="",0,$T42))*($P42+SUM($Y42,$AA42:$AC42)))+(IF($U42="",0, $U42)*($P42+SUM($X42:$Y42,$AA42:$AC42)))+$N42+IF($X42="", 0, $X42)),IF(AND('Personalized Bill Menu'!$B$21="Athabasca", $A42&lt;DATE(2019, 5, 1)),((1+IF($T42="",0,$T42)+IF($U42="", 0, $U42))*($N42+((1+SUM($X42:$Y42))*$P42)+SUM($Z42:$AA42))),((1+IF($U42="", 0, $U42))*($N42+((1+SUM($X42:$Y42))*$P42)+SUM($Z42:$AA42))) + (IF($T42="",0,$T42)*(((1+SUM($X42:$Y42))*$P42)+SUM($Z42:$AA42)))))), "")+ IF($AQ42="", 0,((1+$AS42)*$AQ42)), ""))</f>
        <v>6.4586020800000004</v>
      </c>
      <c r="F42" s="118">
        <f t="shared" ca="1" si="5"/>
        <v>140.55196539239572</v>
      </c>
      <c r="G42" s="115">
        <f t="shared" si="15"/>
        <v>71.742569367236655</v>
      </c>
      <c r="H42" s="66">
        <f t="shared" ca="1" si="16"/>
        <v>36.203902558428567</v>
      </c>
      <c r="I42" s="66">
        <f t="shared" ca="1" si="17"/>
        <v>12.693458940385259</v>
      </c>
      <c r="J42" s="66">
        <f t="shared" ca="1" si="6"/>
        <v>6.3060837933740181</v>
      </c>
      <c r="K42" s="66">
        <f t="shared" si="18"/>
        <v>6.9130000000000003</v>
      </c>
      <c r="L42" s="66">
        <f t="shared" ca="1" si="8"/>
        <v>0</v>
      </c>
      <c r="M42" s="68">
        <f t="shared" ca="1" si="9"/>
        <v>6.6929507329712257</v>
      </c>
      <c r="N42" s="1290">
        <f>IF('Personalized Bill Menu'!$B$34="Natural Gas", 'Personalized Bill Menu'!$J39, IF('Personalized Bill Menu'!$B$34="Both",'Personalized Bill Menu'!$N39,""))</f>
        <v>4.1820000000000004</v>
      </c>
      <c r="O42" s="70">
        <f t="shared" si="10"/>
        <v>71.742569367236655</v>
      </c>
      <c r="P42" s="89">
        <f ca="1">IF($A42="", "",IFERROR(IF(VLOOKUP($A42, INDIRECT("'" &amp; 'Personalized Bill Menu'!$B$23 &amp; "'!" &amp;"$A$4:$CA$100"), VLOOKUP(VLOOKUP(P$5,'Misc. Data &amp; Mechanisms'!$P$601:$S$632,HLOOKUP('Personalized Bill Menu'!$B$23, 'Misc. Data &amp; Mechanisms'!$P$599:$S$600, 2, FALSE), FALSE), 'Misc. Data &amp; Mechanisms'!$L$599:$N$659, 2, FALSE), FALSE) = "", "", VLOOKUP($A42, INDIRECT("'" &amp; 'Personalized Bill Menu'!$B$23 &amp; "'!" &amp;"$A$4:$CA$100"), VLOOKUP(VLOOKUP(P$5,'Misc. Data &amp; Mechanisms'!$P$601:$S$632,HLOOKUP('Personalized Bill Menu'!$B$23, 'Misc. Data &amp; Mechanisms'!$P$599:$S$600, 2, FALSE), FALSE), 'Misc. Data &amp; Mechanisms'!$L$599:$N$659, 2, FALSE), FALSE)), ""))</f>
        <v>0.72799999999999998</v>
      </c>
      <c r="Q42" s="69">
        <f ca="1">IF($A42="", "",IFERROR(IF(VLOOKUP($A42, INDIRECT("'" &amp; 'Personalized Bill Menu'!$B$23 &amp; "'!" &amp;"$A$4:$CA$100"), VLOOKUP(VLOOKUP(Q$5,'Misc. Data &amp; Mechanisms'!$P$601:$S$632,HLOOKUP('Personalized Bill Menu'!$B$23, 'Misc. Data &amp; Mechanisms'!$P$599:$S$600, 2, FALSE), FALSE), 'Misc. Data &amp; Mechanisms'!$L$599:$N$659, 2, FALSE), FALSE) = "", "", VLOOKUP($A42, INDIRECT("'" &amp; 'Personalized Bill Menu'!$B$23 &amp; "'!" &amp;"$A$4:$CA$100"), VLOOKUP(VLOOKUP(Q$5,'Misc. Data &amp; Mechanisms'!$P$601:$S$632,HLOOKUP('Personalized Bill Menu'!$B$23, 'Misc. Data &amp; Mechanisms'!$P$599:$S$600, 2, FALSE), FALSE), 'Misc. Data &amp; Mechanisms'!$L$599:$N$659, 2, FALSE), FALSE)), ""))</f>
        <v>0.76500000000000001</v>
      </c>
      <c r="R42" s="72">
        <f t="shared" ca="1" si="11"/>
        <v>12.488902558428569</v>
      </c>
      <c r="S42" s="70">
        <f t="shared" ca="1" si="12"/>
        <v>23.715</v>
      </c>
      <c r="T42" s="78">
        <f>IFERROR(IF(VLOOKUP($A42,'Misc. Data &amp; Mechanisms'!$A$63:$DY$152,HLOOKUP('Personalized Bill Menu'!$B$21&amp;"_"&amp;'Personalized Bill Menu'!$B$23&amp;"_NG_Y_1",'Misc. Data &amp; Mechanisms'!$A$55:$DY$62,8,FALSE), FALSE)="", "", VLOOKUP($A42,'Misc. Data &amp; Mechanisms'!$A$63:$DY$152,HLOOKUP('Personalized Bill Menu'!$B$21&amp;"_"&amp;'Personalized Bill Menu'!$B$23&amp;"_NG_Y_1",'Misc. Data &amp; Mechanisms'!$A$55:$DY$62,8,FALSE), FALSE)), "")</f>
        <v>0.1111</v>
      </c>
      <c r="U42" s="78" t="str">
        <f>IFERROR(IF(VLOOKUP($A42,'Misc. Data &amp; Mechanisms'!$A$63:$DY$152,HLOOKUP('Personalized Bill Menu'!$B$21&amp;"_"&amp;'Personalized Bill Menu'!$B$23&amp;"_NG_Y_2",'Misc. Data &amp; Mechanisms'!$A$55:$DY$62,8,FALSE), FALSE)="", "",VLOOKUP($A42,'Misc. Data &amp; Mechanisms'!$A$63:$DY$152,HLOOKUP('Personalized Bill Menu'!$B$21&amp;"_"&amp;'Personalized Bill Menu'!$B$23&amp;"_NG_Y_2",'Misc. Data &amp; Mechanisms'!$A$55:$DY$62,8,FALSE), FALSE)), "")</f>
        <v/>
      </c>
      <c r="V42" s="72">
        <f ca="1">IF($A42="", "", IFERROR(IF('Personalized Bill Menu'!$B$23="ATCO-N", IF(OR('Personalized Bill Menu'!$B$21="Fort McMurray",AND('Personalized Bill Menu'!$B$21="Spruce Grove", $A42&lt;DATE(2019, 5, 1))),$T42*($G42+$H42+$J42),$T42*($H42+$J42)), IF('Personalized Bill Menu'!$B$23="ATCO-S",IF(OR('Personalized Bill Menu'!$B$21="Calgary",AND('Personalized Bill Menu'!$B$21="Okotoks", $A42&lt;DATE(2019, 1, 1))),$T42*($G42+$H42+$J42), $T42*($H42+$J42-$AG42)),IF(AND('Personalized Bill Menu'!$B$21="Athabasca", $A42&lt;DATE(2019, 5, 1)),$T42*($G42+$H42+$J42+$K42),$T42*($H42+$J42+$K42)))),0))</f>
        <v>12.693458940385259</v>
      </c>
      <c r="W42" s="72">
        <f ca="1">IF($A42="", "", IFERROR(IF('Personalized Bill Menu'!$B$23="ATCO-N", $U42*($H42+$J42), IF('Personalized Bill Menu'!$B$23="ATCO-S",$U42*($H42+$J42),$U42*($G42+$H42+$J42+$K42))),0))</f>
        <v>0</v>
      </c>
      <c r="X42" s="89" t="str">
        <f ca="1">IF($A42="", "",IFERROR(IF(VLOOKUP($A42, INDIRECT("'" &amp; 'Personalized Bill Menu'!$B$23 &amp; "'!" &amp;"$A$4:$CA$100"), VLOOKUP(VLOOKUP("RIDER RATE 1",'Misc. Data &amp; Mechanisms'!$P$601:$S$632,HLOOKUP('Personalized Bill Menu'!$B$23, 'Misc. Data &amp; Mechanisms'!$P$599:$S$600, 2, FALSE), FALSE), 'Misc. Data &amp; Mechanisms'!$L$599:$N$659, 2, FALSE), FALSE) = "", "", VLOOKUP($A42, INDIRECT("'" &amp; 'Personalized Bill Menu'!$B$23 &amp; "'!" &amp;"$A$4:$CA$100"), VLOOKUP(VLOOKUP("RIDER RATE 1",'Misc. Data &amp; Mechanisms'!$P$601:$S$632,HLOOKUP('Personalized Bill Menu'!$B$23, 'Misc. Data &amp; Mechanisms'!$P$599:$S$600, 2, FALSE), FALSE), 'Misc. Data &amp; Mechanisms'!$L$599:$N$659, 2, FALSE), FALSE)), ""))</f>
        <v/>
      </c>
      <c r="Y42" s="69" t="str">
        <f ca="1">IF($A42="", "",IFERROR(IF(VLOOKUP($A42, INDIRECT("'" &amp; 'Personalized Bill Menu'!$B$23 &amp; "'!" &amp;"$A$4:$CA$100"), VLOOKUP(VLOOKUP("RIDER RATE 2",'Misc. Data &amp; Mechanisms'!$P$601:$S$632,HLOOKUP('Personalized Bill Menu'!$B$23, 'Misc. Data &amp; Mechanisms'!$P$599:$S$600, 2, FALSE), FALSE), 'Misc. Data &amp; Mechanisms'!$L$599:$N$659, 2, FALSE), FALSE) = "", "", VLOOKUP($A42, INDIRECT("'" &amp; 'Personalized Bill Menu'!$B$23 &amp; "'!" &amp;"$A$4:$CA$100"), VLOOKUP(VLOOKUP("RIDER RATE 2",'Misc. Data &amp; Mechanisms'!$P$601:$S$632,HLOOKUP('Personalized Bill Menu'!$B$23, 'Misc. Data &amp; Mechanisms'!$P$599:$S$600, 2, FALSE), FALSE), 'Misc. Data &amp; Mechanisms'!$L$599:$N$659, 2, FALSE), FALSE)), ""))</f>
        <v/>
      </c>
      <c r="Z42" s="69">
        <f ca="1">IF($A42="", "",IFERROR(IF(VLOOKUP($A42, INDIRECT("'" &amp; 'Personalized Bill Menu'!$B$23 &amp; "'!" &amp;"$A$4:$CA$100"), VLOOKUP(VLOOKUP("RIDER RATE 3",'Misc. Data &amp; Mechanisms'!$P$601:$S$632,HLOOKUP('Personalized Bill Menu'!$B$23, 'Misc. Data &amp; Mechanisms'!$P$599:$S$600, 2, FALSE), FALSE), 'Misc. Data &amp; Mechanisms'!$L$599:$N$659, 2, FALSE), FALSE) = "", "", VLOOKUP($A42, INDIRECT("'" &amp; 'Personalized Bill Menu'!$B$23 &amp; "'!" &amp;"$A$4:$CA$100"), VLOOKUP(VLOOKUP("RIDER RATE 3",'Misc. Data &amp; Mechanisms'!$P$601:$S$632,HLOOKUP('Personalized Bill Menu'!$B$23, 'Misc. Data &amp; Mechanisms'!$P$599:$S$600, 2, FALSE), FALSE), 'Misc. Data &amp; Mechanisms'!$L$599:$N$659, 2, FALSE), FALSE)), ""))</f>
        <v>-0.14299999999999999</v>
      </c>
      <c r="AA42" s="69">
        <f ca="1">IF($A42="", "",IFERROR(IF(VLOOKUP($A42, INDIRECT("'" &amp; 'Personalized Bill Menu'!$B$23 &amp; "'!" &amp;"$A$4:$CA$100"), VLOOKUP(VLOOKUP("RIDER RATE 4",'Misc. Data &amp; Mechanisms'!$P$601:$S$632,HLOOKUP('Personalized Bill Menu'!$B$23, 'Misc. Data &amp; Mechanisms'!$P$599:$S$600, 2, FALSE), FALSE), 'Misc. Data &amp; Mechanisms'!$L$599:$N$659, 2, FALSE), FALSE) = "", "", VLOOKUP($A42, INDIRECT("'" &amp; 'Personalized Bill Menu'!$B$23 &amp; "'!" &amp;"$A$4:$CA$100"), VLOOKUP(VLOOKUP("RIDER RATE 4",'Misc. Data &amp; Mechanisms'!$P$601:$S$632,HLOOKUP('Personalized Bill Menu'!$B$23, 'Misc. Data &amp; Mechanisms'!$P$599:$S$600, 2, FALSE), FALSE), 'Misc. Data &amp; Mechanisms'!$L$599:$N$659, 2, FALSE), FALSE)), ""))</f>
        <v>-0.13600000000000001</v>
      </c>
      <c r="AB42" s="69">
        <f ca="1">IF($A42="", "",IFERROR(IF(VLOOKUP($A42, INDIRECT("'" &amp; 'Personalized Bill Menu'!$B$23 &amp; "'!" &amp;"$A$4:$CA$100"), VLOOKUP(VLOOKUP("RIDER RATE 5",'Misc. Data &amp; Mechanisms'!$P$601:$S$632,HLOOKUP('Personalized Bill Menu'!$B$23, 'Misc. Data &amp; Mechanisms'!$P$599:$S$600, 2, FALSE), FALSE), 'Misc. Data &amp; Mechanisms'!$L$599:$N$659, 2, FALSE), FALSE) = "", "", VLOOKUP($A42, INDIRECT("'" &amp; 'Personalized Bill Menu'!$B$23 &amp; "'!" &amp;"$A$4:$CA$100"), VLOOKUP(VLOOKUP("RIDER RATE 5",'Misc. Data &amp; Mechanisms'!$P$601:$S$632,HLOOKUP('Personalized Bill Menu'!$B$23, 'Misc. Data &amp; Mechanisms'!$P$599:$S$600, 2, FALSE), FALSE), 'Misc. Data &amp; Mechanisms'!$L$599:$N$659, 2, FALSE), FALSE)), ""))</f>
        <v>0.76200000000000001</v>
      </c>
      <c r="AC42" s="69" t="str">
        <f ca="1">IF($A42="", "",IFERROR(IF(VLOOKUP($A42, INDIRECT("'" &amp; 'Personalized Bill Menu'!$B$23 &amp; "'!" &amp;"$A$4:$CA$100"), VLOOKUP(VLOOKUP("RIDER RATE 6",'Misc. Data &amp; Mechanisms'!$P$601:$S$632,HLOOKUP('Personalized Bill Menu'!$B$23, 'Misc. Data &amp; Mechanisms'!$P$599:$S$600, 2, FALSE), FALSE), 'Misc. Data &amp; Mechanisms'!$L$599:$N$659, 2, FALSE), FALSE) = "", "", VLOOKUP($A42, INDIRECT("'" &amp; 'Personalized Bill Menu'!$B$23 &amp; "'!" &amp;"$A$4:$CA$100"), VLOOKUP(VLOOKUP("RIDER RATE 6",'Misc. Data &amp; Mechanisms'!$P$601:$S$632,HLOOKUP('Personalized Bill Menu'!$B$23, 'Misc. Data &amp; Mechanisms'!$P$599:$S$600, 2, FALSE), FALSE), 'Misc. Data &amp; Mechanisms'!$L$599:$N$659, 2, FALSE), FALSE)), ""))</f>
        <v/>
      </c>
      <c r="AD42" s="69" t="str">
        <f ca="1">IF($A42="", "",IFERROR(IF(VLOOKUP($A42, INDIRECT("'" &amp; 'Personalized Bill Menu'!$B$23 &amp; "'!" &amp;"$A$4:$CA$100"), VLOOKUP(VLOOKUP("RIDER RATE 7",'Misc. Data &amp; Mechanisms'!$P$601:$S$632,HLOOKUP('Personalized Bill Menu'!$B$23, 'Misc. Data &amp; Mechanisms'!$P$599:$S$600, 2, FALSE), FALSE), 'Misc. Data &amp; Mechanisms'!$L$599:$N$659, 2, FALSE), FALSE) = "", "", VLOOKUP($A42, INDIRECT("'" &amp; 'Personalized Bill Menu'!$B$23 &amp; "'!" &amp;"$A$4:$CA$100"), VLOOKUP(VLOOKUP("RIDER RATE 7",'Misc. Data &amp; Mechanisms'!$P$601:$S$632,HLOOKUP('Personalized Bill Menu'!$B$23, 'Misc. Data &amp; Mechanisms'!$P$599:$S$600, 2, FALSE), FALSE), 'Misc. Data &amp; Mechanisms'!$L$599:$N$659, 2, FALSE), FALSE)), ""))</f>
        <v/>
      </c>
      <c r="AE42" s="69" t="str">
        <f ca="1">IF($A42="", "",IFERROR(IF(VLOOKUP($A42, INDIRECT("'" &amp; 'Personalized Bill Menu'!$B$23 &amp; "'!" &amp;"$A$4:$CA$100"), VLOOKUP(VLOOKUP("RIDER RATE 8",'Misc. Data &amp; Mechanisms'!$P$601:$S$632,HLOOKUP('Personalized Bill Menu'!$B$23, 'Misc. Data &amp; Mechanisms'!$P$599:$S$600, 2, FALSE), FALSE), 'Misc. Data &amp; Mechanisms'!$L$599:$N$659, 2, FALSE), FALSE) = "", "", VLOOKUP($A42, INDIRECT("'" &amp; 'Personalized Bill Menu'!$B$23 &amp; "'!" &amp;"$A$4:$CA$100"), VLOOKUP(VLOOKUP("RIDER RATE 8",'Misc. Data &amp; Mechanisms'!$P$601:$S$632,HLOOKUP('Personalized Bill Menu'!$B$23, 'Misc. Data &amp; Mechanisms'!$P$599:$S$600, 2, FALSE), FALSE), 'Misc. Data &amp; Mechanisms'!$L$599:$N$659, 2, FALSE), FALSE)), ""))</f>
        <v/>
      </c>
      <c r="AF42" s="69" t="str">
        <f ca="1">IF($A42="", "",IFERROR(IF(VLOOKUP($A42, INDIRECT("'" &amp; 'Personalized Bill Menu'!$B$23 &amp; "'!" &amp;"$A$4:$CA$100"), VLOOKUP(VLOOKUP("RIDER RATE 9",'Misc. Data &amp; Mechanisms'!$P$601:$S$632,HLOOKUP('Personalized Bill Menu'!$B$23, 'Misc. Data &amp; Mechanisms'!$P$599:$S$600, 2, FALSE), FALSE), 'Misc. Data &amp; Mechanisms'!$L$599:$N$659, 2, FALSE), FALSE) = "", "", VLOOKUP($A42, INDIRECT("'" &amp; 'Personalized Bill Menu'!$B$23 &amp; "'!" &amp;"$A$4:$CA$100"), VLOOKUP(VLOOKUP("RIDER RATE 9",'Misc. Data &amp; Mechanisms'!$P$601:$S$632,HLOOKUP('Personalized Bill Menu'!$B$23, 'Misc. Data &amp; Mechanisms'!$P$599:$S$600, 2, FALSE), FALSE), 'Misc. Data &amp; Mechanisms'!$L$599:$N$659, 2, FALSE), FALSE)), ""))</f>
        <v/>
      </c>
      <c r="AG42" s="72">
        <f ca="1">IF($A42="", "", IFERROR(IF('Personalized Bill Menu'!$B$23="ATCO-N", ($X42*$B42) +($Y42*$C42), IF('Personalized Bill Menu'!$B$23="ATCO-S",$X42*$C42, IF($Y42="", ($X42*$H42), ($Y42*($H42+$K42))))), 0))</f>
        <v>0</v>
      </c>
      <c r="AH42" s="72">
        <f ca="1">IF($A42="", "", IFERROR(IF('Personalized Bill Menu'!$B$23="ATCO-S", $Y42*$C42, $Z42*$C42), 0))</f>
        <v>0</v>
      </c>
      <c r="AI42" s="72">
        <f ca="1">IF($A42="", "", IFERROR(IF('Personalized Bill Menu'!$B$23="ATCO-S", ($AA42*$C42)+($Z42*$B42), $AA42*$C42), 0))</f>
        <v>-6.7660916867394025</v>
      </c>
      <c r="AJ42" s="72">
        <f ca="1">IF($A42="", "", IFERROR(IF('Personalized Bill Menu'!$B$23&lt;&gt;"AltaGas",$AB42*$C42,""),0))</f>
        <v>13.072175480113421</v>
      </c>
      <c r="AK42" s="72">
        <f ca="1">IF($A42="", "", IFERROR(IF('Personalized Bill Menu'!$B$23="ATCO-S",$AC42*$C42,IF('Personalized Bill Menu'!$B$23="ATCO-N",$AC42*1,"")),0))</f>
        <v>0</v>
      </c>
      <c r="AL42" s="72">
        <f ca="1">IF($A42="", "", IFERROR(IF('Personalized Bill Menu'!$B$23="ATCO-N",$AD42*$B42,IF('Personalized Bill Menu'!$B$23="ATCO-S",$AD42*1,"")),0))</f>
        <v>0</v>
      </c>
      <c r="AM42" s="72">
        <f ca="1">IF($A42="", "", IFERROR(IF('Personalized Bill Menu'!$B$23="ATCO-S",$AE42*$B42,IF('Personalized Bill Menu'!$B$23="ATCO-N",$AE42*$B42,"")),0))</f>
        <v>0</v>
      </c>
      <c r="AN42" s="70">
        <f ca="1">IF($A42="", "", IFERROR(IF('Personalized Bill Menu'!$B$23="ATCO-S",$AF42*$B42,""),0))</f>
        <v>0</v>
      </c>
      <c r="AO42" s="69">
        <f>IF('Personalized Bill Menu'!$B$34="Natural Gas", 'Personalized Bill Menu'!$K39, IF('Personalized Bill Menu'!$B$34="Both",'Personalized Bill Menu'!$O39,""))</f>
        <v>0.223</v>
      </c>
      <c r="AP42" s="72">
        <f t="shared" si="13"/>
        <v>6.9130000000000003</v>
      </c>
      <c r="AQ42" s="89" t="str">
        <f ca="1">IF($A42="", "",IF(VLOOKUP($A42, INDIRECT("'" &amp; 'Personalized Bill Menu'!$B$23 &amp; "'!" &amp;"$A$4:$CA$100"), VLOOKUP(VLOOKUP(AQ$5,'Misc. Data &amp; Mechanisms'!$P$601:$S$632,HLOOKUP('Personalized Bill Menu'!$B$23, 'Misc. Data &amp; Mechanisms'!$P$599:$S$600, 2, FALSE), FALSE), 'Misc. Data &amp; Mechanisms'!$L$599:$N$659, 2, FALSE), FALSE) = "", "", VLOOKUP($A42, INDIRECT("'" &amp; 'Personalized Bill Menu'!$B$23 &amp; "'!" &amp;"$A$4:$CA$100"), VLOOKUP(VLOOKUP(AQ$5,'Misc. Data &amp; Mechanisms'!$P$601:$S$632,HLOOKUP('Personalized Bill Menu'!$B$23, 'Misc. Data &amp; Mechanisms'!$P$599:$S$600, 2, FALSE), FALSE), 'Misc. Data &amp; Mechanisms'!$L$599:$N$659, 2, FALSE), FALSE)))</f>
        <v/>
      </c>
      <c r="AR42" s="72">
        <f t="shared" ca="1" si="14"/>
        <v>0</v>
      </c>
      <c r="AS42" s="91">
        <f ca="1">IF($A42="", "",IF(VLOOKUP($A42, INDIRECT("'" &amp; 'Personalized Bill Menu'!$B$23 &amp; "'!" &amp;"$A$4:$CA$100"), VLOOKUP(VLOOKUP(AS$5,'Misc. Data &amp; Mechanisms'!$P$601:$S$632,HLOOKUP('Personalized Bill Menu'!$B$23, 'Misc. Data &amp; Mechanisms'!$P$599:$S$600, 2, FALSE), FALSE), 'Misc. Data &amp; Mechanisms'!$L$599:$N$659, 2, FALSE), FALSE) = "", "", VLOOKUP($A42, INDIRECT("'" &amp; 'Personalized Bill Menu'!$B$23 &amp; "'!" &amp;"$A$4:$CA$100"), VLOOKUP(VLOOKUP(AS$5,'Misc. Data &amp; Mechanisms'!$P$601:$S$632,HLOOKUP('Personalized Bill Menu'!$B$23, 'Misc. Data &amp; Mechanisms'!$P$599:$S$600, 2, FALSE), FALSE), 'Misc. Data &amp; Mechanisms'!$L$599:$N$659, 2, FALSE), FALSE)))</f>
        <v>0.05</v>
      </c>
      <c r="AT42" s="116"/>
      <c r="AU42" s="116"/>
      <c r="AV42" s="116"/>
      <c r="AW42" s="116"/>
      <c r="AX42" s="116"/>
    </row>
    <row r="43" spans="1:50" s="117" customFormat="1" x14ac:dyDescent="0.3">
      <c r="A43" s="83">
        <f>'Personalized Bill Menu'!$H40</f>
        <v>42005</v>
      </c>
      <c r="B43" s="84">
        <f t="shared" si="3"/>
        <v>31</v>
      </c>
      <c r="C43" s="85">
        <f>IF('Personalized Bill Menu'!$B$34="Natural Gas", 'Personalized Bill Menu'!$I40, IF('Personalized Bill Menu'!$B$34="Both",'Personalized Bill Menu'!$M40,""))</f>
        <v>17.023240041667705</v>
      </c>
      <c r="D43" s="66">
        <f t="shared" ca="1" si="4"/>
        <v>7.5682902504544423</v>
      </c>
      <c r="E43" s="66">
        <f ca="1">IF($C43="Not Applicable", "", IFERROR(IFERROR((1+$AS43)*IF('Personalized Bill Menu'!$B$23="ATCO-N", IF(OR('Personalized Bill Menu'!$B$21="Fort McMurray",AND('Personalized Bill Menu'!$B$21="Spruce Grove", $A43&lt;DATE(2019, 5, 1) )),(((1+IF($T43="",0,$T43))*($N43+$P43))+ (IF($U43="", 0, $U43)*$P43)+(1+IF($T43="",0,$T43)+IF($U43="", 0, $U43))*(SUM($Y43:$AB43))),($N43+((1+IF($T43="",0,$T43)+IF($U43="", 0, $U43))*$P43)+(1+IF($T43="",0,$T43)+IF($U43="", 0, $U43))*(SUM($Y43:$AB43)))), IF('Personalized Bill Menu'!$B$23="ATCO-S",IF(OR('Personalized Bill Menu'!$B$21="Calgary",AND('Personalized Bill Menu'!$B$21="Okotoks", $A43&lt;DATE(2019, 1, 1))),((1+IF($T43="",0,$T43))*($N43+$P43+SUM($X43:$Y43,$AA43:$AC43)))+(IF($U43="",0, $U43)*($P43+SUM($X43:$Y43,$AA43:$AC43))), ((1+IF($T43="",0,$T43))*($P43+SUM($Y43,$AA43:$AC43)))+(IF($U43="",0, $U43)*($P43+SUM($X43:$Y43,$AA43:$AC43)))+$N43+IF($X43="", 0, $X43)),IF(AND('Personalized Bill Menu'!$B$21="Athabasca", $A43&lt;DATE(2019, 5, 1)),((1+IF($T43="",0,$T43)+IF($U43="", 0, $U43))*($N43+((1+SUM($X43:$Y43))*$P43)+SUM($Z43:$AA43))),((1+IF($U43="", 0, $U43))*($N43+((1+SUM($X43:$Y43))*$P43)+SUM($Z43:$AA43))) + (IF($T43="",0,$T43)*(((1+SUM($X43:$Y43))*$P43)+SUM($Z43:$AA43)))))), "")+ IF($AQ43="", 0,((1+$AS43)*$AQ43)), ""))</f>
        <v>5.4167791650000003</v>
      </c>
      <c r="F43" s="118">
        <f t="shared" ca="1" si="5"/>
        <v>128.83682163849937</v>
      </c>
      <c r="G43" s="115">
        <f t="shared" si="15"/>
        <v>52.874183569419891</v>
      </c>
      <c r="H43" s="66">
        <f t="shared" ca="1" si="16"/>
        <v>38.365011032292472</v>
      </c>
      <c r="I43" s="66">
        <f t="shared" ca="1" si="17"/>
        <v>11.577831380345758</v>
      </c>
      <c r="J43" s="66">
        <f t="shared" ca="1" si="6"/>
        <v>12.971708911750792</v>
      </c>
      <c r="K43" s="66">
        <f t="shared" si="18"/>
        <v>6.9130000000000003</v>
      </c>
      <c r="L43" s="66">
        <f t="shared" ca="1" si="8"/>
        <v>0</v>
      </c>
      <c r="M43" s="68">
        <f t="shared" ca="1" si="9"/>
        <v>6.1350867446904465</v>
      </c>
      <c r="N43" s="1290">
        <f>IF('Personalized Bill Menu'!$B$34="Natural Gas", 'Personalized Bill Menu'!$J40, IF('Personalized Bill Menu'!$B$34="Both",'Personalized Bill Menu'!$N40,""))</f>
        <v>3.1059999999999999</v>
      </c>
      <c r="O43" s="70">
        <f t="shared" si="10"/>
        <v>52.874183569419891</v>
      </c>
      <c r="P43" s="89">
        <f ca="1">IF($A43="", "",IFERROR(IF(VLOOKUP($A43, INDIRECT("'" &amp; 'Personalized Bill Menu'!$B$23 &amp; "'!" &amp;"$A$4:$CA$100"), VLOOKUP(VLOOKUP(P$5,'Misc. Data &amp; Mechanisms'!$P$601:$S$632,HLOOKUP('Personalized Bill Menu'!$B$23, 'Misc. Data &amp; Mechanisms'!$P$599:$S$600, 2, FALSE), FALSE), 'Misc. Data &amp; Mechanisms'!$L$599:$N$659, 2, FALSE), FALSE) = "", "", VLOOKUP($A43, INDIRECT("'" &amp; 'Personalized Bill Menu'!$B$23 &amp; "'!" &amp;"$A$4:$CA$100"), VLOOKUP(VLOOKUP(P$5,'Misc. Data &amp; Mechanisms'!$P$601:$S$632,HLOOKUP('Personalized Bill Menu'!$B$23, 'Misc. Data &amp; Mechanisms'!$P$599:$S$600, 2, FALSE), FALSE), 'Misc. Data &amp; Mechanisms'!$L$599:$N$659, 2, FALSE), FALSE)), ""))</f>
        <v>0.77500000000000002</v>
      </c>
      <c r="Q43" s="69">
        <f ca="1">IF($A43="", "",IFERROR(IF(VLOOKUP($A43, INDIRECT("'" &amp; 'Personalized Bill Menu'!$B$23 &amp; "'!" &amp;"$A$4:$CA$100"), VLOOKUP(VLOOKUP(Q$5,'Misc. Data &amp; Mechanisms'!$P$601:$S$632,HLOOKUP('Personalized Bill Menu'!$B$23, 'Misc. Data &amp; Mechanisms'!$P$599:$S$600, 2, FALSE), FALSE), 'Misc. Data &amp; Mechanisms'!$L$599:$N$659, 2, FALSE), FALSE) = "", "", VLOOKUP($A43, INDIRECT("'" &amp; 'Personalized Bill Menu'!$B$23 &amp; "'!" &amp;"$A$4:$CA$100"), VLOOKUP(VLOOKUP(Q$5,'Misc. Data &amp; Mechanisms'!$P$601:$S$632,HLOOKUP('Personalized Bill Menu'!$B$23, 'Misc. Data &amp; Mechanisms'!$P$599:$S$600, 2, FALSE), FALSE), 'Misc. Data &amp; Mechanisms'!$L$599:$N$659, 2, FALSE), FALSE)), ""))</f>
        <v>0.81200000000000006</v>
      </c>
      <c r="R43" s="72">
        <f t="shared" ca="1" si="11"/>
        <v>13.193011032292471</v>
      </c>
      <c r="S43" s="70">
        <f t="shared" ca="1" si="12"/>
        <v>25.172000000000001</v>
      </c>
      <c r="T43" s="78">
        <f>IFERROR(IF(VLOOKUP($A43,'Misc. Data &amp; Mechanisms'!$A$63:$DY$152,HLOOKUP('Personalized Bill Menu'!$B$21&amp;"_"&amp;'Personalized Bill Menu'!$B$23&amp;"_NG_Y_1",'Misc. Data &amp; Mechanisms'!$A$55:$DY$62,8,FALSE), FALSE)="", "", VLOOKUP($A43,'Misc. Data &amp; Mechanisms'!$A$63:$DY$152,HLOOKUP('Personalized Bill Menu'!$B$21&amp;"_"&amp;'Personalized Bill Menu'!$B$23&amp;"_NG_Y_1",'Misc. Data &amp; Mechanisms'!$A$55:$DY$62,8,FALSE), FALSE)), "")</f>
        <v>0.1111</v>
      </c>
      <c r="U43" s="78" t="str">
        <f>IFERROR(IF(VLOOKUP($A43,'Misc. Data &amp; Mechanisms'!$A$63:$DY$152,HLOOKUP('Personalized Bill Menu'!$B$21&amp;"_"&amp;'Personalized Bill Menu'!$B$23&amp;"_NG_Y_2",'Misc. Data &amp; Mechanisms'!$A$55:$DY$62,8,FALSE), FALSE)="", "",VLOOKUP($A43,'Misc. Data &amp; Mechanisms'!$A$63:$DY$152,HLOOKUP('Personalized Bill Menu'!$B$21&amp;"_"&amp;'Personalized Bill Menu'!$B$23&amp;"_NG_Y_2",'Misc. Data &amp; Mechanisms'!$A$55:$DY$62,8,FALSE), FALSE)), "")</f>
        <v/>
      </c>
      <c r="V43" s="72">
        <f ca="1">IF($A43="", "", IFERROR(IF('Personalized Bill Menu'!$B$23="ATCO-N", IF(OR('Personalized Bill Menu'!$B$21="Fort McMurray",AND('Personalized Bill Menu'!$B$21="Spruce Grove", $A43&lt;DATE(2019, 5, 1))),$T43*($G43+$H43+$J43),$T43*($H43+$J43)), IF('Personalized Bill Menu'!$B$23="ATCO-S",IF(OR('Personalized Bill Menu'!$B$21="Calgary",AND('Personalized Bill Menu'!$B$21="Okotoks", $A43&lt;DATE(2019, 1, 1))),$T43*($G43+$H43+$J43), $T43*($H43+$J43-$AG43)),IF(AND('Personalized Bill Menu'!$B$21="Athabasca", $A43&lt;DATE(2019, 5, 1)),$T43*($G43+$H43+$J43+$K43),$T43*($H43+$J43+$K43)))),0))</f>
        <v>11.577831380345758</v>
      </c>
      <c r="W43" s="72">
        <f ca="1">IF($A43="", "", IFERROR(IF('Personalized Bill Menu'!$B$23="ATCO-N", $U43*($H43+$J43), IF('Personalized Bill Menu'!$B$23="ATCO-S",$U43*($H43+$J43),$U43*($G43+$H43+$J43+$K43))),0))</f>
        <v>0</v>
      </c>
      <c r="X43" s="89" t="str">
        <f ca="1">IF($A43="", "",IFERROR(IF(VLOOKUP($A43, INDIRECT("'" &amp; 'Personalized Bill Menu'!$B$23 &amp; "'!" &amp;"$A$4:$CA$100"), VLOOKUP(VLOOKUP("RIDER RATE 1",'Misc. Data &amp; Mechanisms'!$P$601:$S$632,HLOOKUP('Personalized Bill Menu'!$B$23, 'Misc. Data &amp; Mechanisms'!$P$599:$S$600, 2, FALSE), FALSE), 'Misc. Data &amp; Mechanisms'!$L$599:$N$659, 2, FALSE), FALSE) = "", "", VLOOKUP($A43, INDIRECT("'" &amp; 'Personalized Bill Menu'!$B$23 &amp; "'!" &amp;"$A$4:$CA$100"), VLOOKUP(VLOOKUP("RIDER RATE 1",'Misc. Data &amp; Mechanisms'!$P$601:$S$632,HLOOKUP('Personalized Bill Menu'!$B$23, 'Misc. Data &amp; Mechanisms'!$P$599:$S$600, 2, FALSE), FALSE), 'Misc. Data &amp; Mechanisms'!$L$599:$N$659, 2, FALSE), FALSE)), ""))</f>
        <v/>
      </c>
      <c r="Y43" s="69" t="str">
        <f ca="1">IF($A43="", "",IFERROR(IF(VLOOKUP($A43, INDIRECT("'" &amp; 'Personalized Bill Menu'!$B$23 &amp; "'!" &amp;"$A$4:$CA$100"), VLOOKUP(VLOOKUP("RIDER RATE 2",'Misc. Data &amp; Mechanisms'!$P$601:$S$632,HLOOKUP('Personalized Bill Menu'!$B$23, 'Misc. Data &amp; Mechanisms'!$P$599:$S$600, 2, FALSE), FALSE), 'Misc. Data &amp; Mechanisms'!$L$599:$N$659, 2, FALSE), FALSE) = "", "", VLOOKUP($A43, INDIRECT("'" &amp; 'Personalized Bill Menu'!$B$23 &amp; "'!" &amp;"$A$4:$CA$100"), VLOOKUP(VLOOKUP("RIDER RATE 2",'Misc. Data &amp; Mechanisms'!$P$601:$S$632,HLOOKUP('Personalized Bill Menu'!$B$23, 'Misc. Data &amp; Mechanisms'!$P$599:$S$600, 2, FALSE), FALSE), 'Misc. Data &amp; Mechanisms'!$L$599:$N$659, 2, FALSE), FALSE)), ""))</f>
        <v/>
      </c>
      <c r="Z43" s="69" t="str">
        <f ca="1">IF($A43="", "",IFERROR(IF(VLOOKUP($A43, INDIRECT("'" &amp; 'Personalized Bill Menu'!$B$23 &amp; "'!" &amp;"$A$4:$CA$100"), VLOOKUP(VLOOKUP("RIDER RATE 3",'Misc. Data &amp; Mechanisms'!$P$601:$S$632,HLOOKUP('Personalized Bill Menu'!$B$23, 'Misc. Data &amp; Mechanisms'!$P$599:$S$600, 2, FALSE), FALSE), 'Misc. Data &amp; Mechanisms'!$L$599:$N$659, 2, FALSE), FALSE) = "", "", VLOOKUP($A43, INDIRECT("'" &amp; 'Personalized Bill Menu'!$B$23 &amp; "'!" &amp;"$A$4:$CA$100"), VLOOKUP(VLOOKUP("RIDER RATE 3",'Misc. Data &amp; Mechanisms'!$P$601:$S$632,HLOOKUP('Personalized Bill Menu'!$B$23, 'Misc. Data &amp; Mechanisms'!$P$599:$S$600, 2, FALSE), FALSE), 'Misc. Data &amp; Mechanisms'!$L$599:$N$659, 2, FALSE), FALSE)), ""))</f>
        <v/>
      </c>
      <c r="AA43" s="69" t="str">
        <f ca="1">IF($A43="", "",IFERROR(IF(VLOOKUP($A43, INDIRECT("'" &amp; 'Personalized Bill Menu'!$B$23 &amp; "'!" &amp;"$A$4:$CA$100"), VLOOKUP(VLOOKUP("RIDER RATE 4",'Misc. Data &amp; Mechanisms'!$P$601:$S$632,HLOOKUP('Personalized Bill Menu'!$B$23, 'Misc. Data &amp; Mechanisms'!$P$599:$S$600, 2, FALSE), FALSE), 'Misc. Data &amp; Mechanisms'!$L$599:$N$659, 2, FALSE), FALSE) = "", "", VLOOKUP($A43, INDIRECT("'" &amp; 'Personalized Bill Menu'!$B$23 &amp; "'!" &amp;"$A$4:$CA$100"), VLOOKUP(VLOOKUP("RIDER RATE 4",'Misc. Data &amp; Mechanisms'!$P$601:$S$632,HLOOKUP('Personalized Bill Menu'!$B$23, 'Misc. Data &amp; Mechanisms'!$P$599:$S$600, 2, FALSE), FALSE), 'Misc. Data &amp; Mechanisms'!$L$599:$N$659, 2, FALSE), FALSE)), ""))</f>
        <v/>
      </c>
      <c r="AB43" s="69">
        <f ca="1">IF($A43="", "",IFERROR(IF(VLOOKUP($A43, INDIRECT("'" &amp; 'Personalized Bill Menu'!$B$23 &amp; "'!" &amp;"$A$4:$CA$100"), VLOOKUP(VLOOKUP("RIDER RATE 5",'Misc. Data &amp; Mechanisms'!$P$601:$S$632,HLOOKUP('Personalized Bill Menu'!$B$23, 'Misc. Data &amp; Mechanisms'!$P$599:$S$600, 2, FALSE), FALSE), 'Misc. Data &amp; Mechanisms'!$L$599:$N$659, 2, FALSE), FALSE) = "", "", VLOOKUP($A43, INDIRECT("'" &amp; 'Personalized Bill Menu'!$B$23 &amp; "'!" &amp;"$A$4:$CA$100"), VLOOKUP(VLOOKUP("RIDER RATE 5",'Misc. Data &amp; Mechanisms'!$P$601:$S$632,HLOOKUP('Personalized Bill Menu'!$B$23, 'Misc. Data &amp; Mechanisms'!$P$599:$S$600, 2, FALSE), FALSE), 'Misc. Data &amp; Mechanisms'!$L$599:$N$659, 2, FALSE), FALSE)), ""))</f>
        <v>0.76200000000000001</v>
      </c>
      <c r="AC43" s="69" t="str">
        <f ca="1">IF($A43="", "",IFERROR(IF(VLOOKUP($A43, INDIRECT("'" &amp; 'Personalized Bill Menu'!$B$23 &amp; "'!" &amp;"$A$4:$CA$100"), VLOOKUP(VLOOKUP("RIDER RATE 6",'Misc. Data &amp; Mechanisms'!$P$601:$S$632,HLOOKUP('Personalized Bill Menu'!$B$23, 'Misc. Data &amp; Mechanisms'!$P$599:$S$600, 2, FALSE), FALSE), 'Misc. Data &amp; Mechanisms'!$L$599:$N$659, 2, FALSE), FALSE) = "", "", VLOOKUP($A43, INDIRECT("'" &amp; 'Personalized Bill Menu'!$B$23 &amp; "'!" &amp;"$A$4:$CA$100"), VLOOKUP(VLOOKUP("RIDER RATE 6",'Misc. Data &amp; Mechanisms'!$P$601:$S$632,HLOOKUP('Personalized Bill Menu'!$B$23, 'Misc. Data &amp; Mechanisms'!$P$599:$S$600, 2, FALSE), FALSE), 'Misc. Data &amp; Mechanisms'!$L$599:$N$659, 2, FALSE), FALSE)), ""))</f>
        <v/>
      </c>
      <c r="AD43" s="69" t="str">
        <f ca="1">IF($A43="", "",IFERROR(IF(VLOOKUP($A43, INDIRECT("'" &amp; 'Personalized Bill Menu'!$B$23 &amp; "'!" &amp;"$A$4:$CA$100"), VLOOKUP(VLOOKUP("RIDER RATE 7",'Misc. Data &amp; Mechanisms'!$P$601:$S$632,HLOOKUP('Personalized Bill Menu'!$B$23, 'Misc. Data &amp; Mechanisms'!$P$599:$S$600, 2, FALSE), FALSE), 'Misc. Data &amp; Mechanisms'!$L$599:$N$659, 2, FALSE), FALSE) = "", "", VLOOKUP($A43, INDIRECT("'" &amp; 'Personalized Bill Menu'!$B$23 &amp; "'!" &amp;"$A$4:$CA$100"), VLOOKUP(VLOOKUP("RIDER RATE 7",'Misc. Data &amp; Mechanisms'!$P$601:$S$632,HLOOKUP('Personalized Bill Menu'!$B$23, 'Misc. Data &amp; Mechanisms'!$P$599:$S$600, 2, FALSE), FALSE), 'Misc. Data &amp; Mechanisms'!$L$599:$N$659, 2, FALSE), FALSE)), ""))</f>
        <v/>
      </c>
      <c r="AE43" s="69" t="str">
        <f ca="1">IF($A43="", "",IFERROR(IF(VLOOKUP($A43, INDIRECT("'" &amp; 'Personalized Bill Menu'!$B$23 &amp; "'!" &amp;"$A$4:$CA$100"), VLOOKUP(VLOOKUP("RIDER RATE 8",'Misc. Data &amp; Mechanisms'!$P$601:$S$632,HLOOKUP('Personalized Bill Menu'!$B$23, 'Misc. Data &amp; Mechanisms'!$P$599:$S$600, 2, FALSE), FALSE), 'Misc. Data &amp; Mechanisms'!$L$599:$N$659, 2, FALSE), FALSE) = "", "", VLOOKUP($A43, INDIRECT("'" &amp; 'Personalized Bill Menu'!$B$23 &amp; "'!" &amp;"$A$4:$CA$100"), VLOOKUP(VLOOKUP("RIDER RATE 8",'Misc. Data &amp; Mechanisms'!$P$601:$S$632,HLOOKUP('Personalized Bill Menu'!$B$23, 'Misc. Data &amp; Mechanisms'!$P$599:$S$600, 2, FALSE), FALSE), 'Misc. Data &amp; Mechanisms'!$L$599:$N$659, 2, FALSE), FALSE)), ""))</f>
        <v/>
      </c>
      <c r="AF43" s="69" t="str">
        <f ca="1">IF($A43="", "",IFERROR(IF(VLOOKUP($A43, INDIRECT("'" &amp; 'Personalized Bill Menu'!$B$23 &amp; "'!" &amp;"$A$4:$CA$100"), VLOOKUP(VLOOKUP("RIDER RATE 9",'Misc. Data &amp; Mechanisms'!$P$601:$S$632,HLOOKUP('Personalized Bill Menu'!$B$23, 'Misc. Data &amp; Mechanisms'!$P$599:$S$600, 2, FALSE), FALSE), 'Misc. Data &amp; Mechanisms'!$L$599:$N$659, 2, FALSE), FALSE) = "", "", VLOOKUP($A43, INDIRECT("'" &amp; 'Personalized Bill Menu'!$B$23 &amp; "'!" &amp;"$A$4:$CA$100"), VLOOKUP(VLOOKUP("RIDER RATE 9",'Misc. Data &amp; Mechanisms'!$P$601:$S$632,HLOOKUP('Personalized Bill Menu'!$B$23, 'Misc. Data &amp; Mechanisms'!$P$599:$S$600, 2, FALSE), FALSE), 'Misc. Data &amp; Mechanisms'!$L$599:$N$659, 2, FALSE), FALSE)), ""))</f>
        <v/>
      </c>
      <c r="AG43" s="72">
        <f ca="1">IF($A43="", "", IFERROR(IF('Personalized Bill Menu'!$B$23="ATCO-N", ($X43*$B43) +($Y43*$C43), IF('Personalized Bill Menu'!$B$23="ATCO-S",$X43*$C43, IF($Y43="", ($X43*$H43), ($Y43*($H43+$K43))))), 0))</f>
        <v>0</v>
      </c>
      <c r="AH43" s="72">
        <f ca="1">IF($A43="", "", IFERROR(IF('Personalized Bill Menu'!$B$23="ATCO-S", $Y43*$C43, $Z43*$C43), 0))</f>
        <v>0</v>
      </c>
      <c r="AI43" s="72">
        <f ca="1">IF($A43="", "", IFERROR(IF('Personalized Bill Menu'!$B$23="ATCO-S", ($AA43*$C43)+($Z43*$B43), $AA43*$C43), 0))</f>
        <v>0</v>
      </c>
      <c r="AJ43" s="72">
        <f ca="1">IF($A43="", "", IFERROR(IF('Personalized Bill Menu'!$B$23&lt;&gt;"AltaGas",$AB43*$C43,""),0))</f>
        <v>12.971708911750792</v>
      </c>
      <c r="AK43" s="72">
        <f ca="1">IF($A43="", "", IFERROR(IF('Personalized Bill Menu'!$B$23="ATCO-S",$AC43*$C43,IF('Personalized Bill Menu'!$B$23="ATCO-N",$AC43*1,"")),0))</f>
        <v>0</v>
      </c>
      <c r="AL43" s="72">
        <f ca="1">IF($A43="", "", IFERROR(IF('Personalized Bill Menu'!$B$23="ATCO-N",$AD43*$B43,IF('Personalized Bill Menu'!$B$23="ATCO-S",$AD43*1,"")),0))</f>
        <v>0</v>
      </c>
      <c r="AM43" s="72">
        <f ca="1">IF($A43="", "", IFERROR(IF('Personalized Bill Menu'!$B$23="ATCO-S",$AE43*$B43,IF('Personalized Bill Menu'!$B$23="ATCO-N",$AE43*$B43,"")),0))</f>
        <v>0</v>
      </c>
      <c r="AN43" s="70">
        <f ca="1">IF($A43="", "", IFERROR(IF('Personalized Bill Menu'!$B$23="ATCO-S",$AF43*$B43,""),0))</f>
        <v>0</v>
      </c>
      <c r="AO43" s="69">
        <f>IF('Personalized Bill Menu'!$B$34="Natural Gas", 'Personalized Bill Menu'!$K40, IF('Personalized Bill Menu'!$B$34="Both",'Personalized Bill Menu'!$O40,""))</f>
        <v>0.223</v>
      </c>
      <c r="AP43" s="72">
        <f t="shared" si="13"/>
        <v>6.9130000000000003</v>
      </c>
      <c r="AQ43" s="89" t="str">
        <f ca="1">IF($A43="", "",IF(VLOOKUP($A43, INDIRECT("'" &amp; 'Personalized Bill Menu'!$B$23 &amp; "'!" &amp;"$A$4:$CA$100"), VLOOKUP(VLOOKUP(AQ$5,'Misc. Data &amp; Mechanisms'!$P$601:$S$632,HLOOKUP('Personalized Bill Menu'!$B$23, 'Misc. Data &amp; Mechanisms'!$P$599:$S$600, 2, FALSE), FALSE), 'Misc. Data &amp; Mechanisms'!$L$599:$N$659, 2, FALSE), FALSE) = "", "", VLOOKUP($A43, INDIRECT("'" &amp; 'Personalized Bill Menu'!$B$23 &amp; "'!" &amp;"$A$4:$CA$100"), VLOOKUP(VLOOKUP(AQ$5,'Misc. Data &amp; Mechanisms'!$P$601:$S$632,HLOOKUP('Personalized Bill Menu'!$B$23, 'Misc. Data &amp; Mechanisms'!$P$599:$S$600, 2, FALSE), FALSE), 'Misc. Data &amp; Mechanisms'!$L$599:$N$659, 2, FALSE), FALSE)))</f>
        <v/>
      </c>
      <c r="AR43" s="72">
        <f t="shared" ca="1" si="14"/>
        <v>0</v>
      </c>
      <c r="AS43" s="91">
        <f ca="1">IF($A43="", "",IF(VLOOKUP($A43, INDIRECT("'" &amp; 'Personalized Bill Menu'!$B$23 &amp; "'!" &amp;"$A$4:$CA$100"), VLOOKUP(VLOOKUP(AS$5,'Misc. Data &amp; Mechanisms'!$P$601:$S$632,HLOOKUP('Personalized Bill Menu'!$B$23, 'Misc. Data &amp; Mechanisms'!$P$599:$S$600, 2, FALSE), FALSE), 'Misc. Data &amp; Mechanisms'!$L$599:$N$659, 2, FALSE), FALSE) = "", "", VLOOKUP($A43, INDIRECT("'" &amp; 'Personalized Bill Menu'!$B$23 &amp; "'!" &amp;"$A$4:$CA$100"), VLOOKUP(VLOOKUP(AS$5,'Misc. Data &amp; Mechanisms'!$P$601:$S$632,HLOOKUP('Personalized Bill Menu'!$B$23, 'Misc. Data &amp; Mechanisms'!$P$599:$S$600, 2, FALSE), FALSE), 'Misc. Data &amp; Mechanisms'!$L$599:$N$659, 2, FALSE), FALSE)))</f>
        <v>0.05</v>
      </c>
      <c r="AT43" s="116"/>
      <c r="AU43" s="116"/>
      <c r="AV43" s="116"/>
      <c r="AW43" s="116"/>
      <c r="AX43" s="116"/>
    </row>
    <row r="44" spans="1:50" s="117" customFormat="1" x14ac:dyDescent="0.3">
      <c r="A44" s="83">
        <f>'Personalized Bill Menu'!$H41</f>
        <v>42036</v>
      </c>
      <c r="B44" s="84">
        <f t="shared" si="3"/>
        <v>28</v>
      </c>
      <c r="C44" s="85">
        <f>IF('Personalized Bill Menu'!$B$34="Natural Gas", 'Personalized Bill Menu'!$I41, IF('Personalized Bill Menu'!$B$34="Both",'Personalized Bill Menu'!$M41,""))</f>
        <v>16.070433558291903</v>
      </c>
      <c r="D44" s="66">
        <f t="shared" ca="1" si="4"/>
        <v>6.8943024356525147</v>
      </c>
      <c r="E44" s="66">
        <f ca="1">IF($C44="Not Applicable", "", IFERROR(IFERROR((1+$AS44)*IF('Personalized Bill Menu'!$B$23="ATCO-N", IF(OR('Personalized Bill Menu'!$B$21="Fort McMurray",AND('Personalized Bill Menu'!$B$21="Spruce Grove", $A44&lt;DATE(2019, 5, 1) )),(((1+IF($T44="",0,$T44))*($N44+$P44))+ (IF($U44="", 0, $U44)*$P44)+(1+IF($T44="",0,$T44)+IF($U44="", 0, $U44))*(SUM($Y44:$AB44))),($N44+((1+IF($T44="",0,$T44)+IF($U44="", 0, $U44))*$P44)+(1+IF($T44="",0,$T44)+IF($U44="", 0, $U44))*(SUM($Y44:$AB44)))), IF('Personalized Bill Menu'!$B$23="ATCO-S",IF(OR('Personalized Bill Menu'!$B$21="Calgary",AND('Personalized Bill Menu'!$B$21="Okotoks", $A44&lt;DATE(2019, 1, 1))),((1+IF($T44="",0,$T44))*($N44+$P44+SUM($X44:$Y44,$AA44:$AC44)))+(IF($U44="",0, $U44)*($P44+SUM($X44:$Y44,$AA44:$AC44))), ((1+IF($T44="",0,$T44))*($P44+SUM($Y44,$AA44:$AC44)))+(IF($U44="",0, $U44)*($P44+SUM($X44:$Y44,$AA44:$AC44)))+$N44+IF($X44="", 0, $X44)),IF(AND('Personalized Bill Menu'!$B$21="Athabasca", $A44&lt;DATE(2019, 5, 1)),((1+IF($T44="",0,$T44)+IF($U44="", 0, $U44))*($N44+((1+SUM($X44:$Y44))*$P44)+SUM($Z44:$AA44))),((1+IF($U44="", 0, $U44))*($N44+((1+SUM($X44:$Y44))*$P44)+SUM($Z44:$AA44))) + (IF($T44="",0,$T44)*(((1+SUM($X44:$Y44))*$P44)+SUM($Z44:$AA44)))))), "")+ IF($AQ44="", 0,((1+$AS44)*$AQ44)), ""))</f>
        <v>4.8357849749999993</v>
      </c>
      <c r="F44" s="118">
        <f t="shared" ca="1" si="5"/>
        <v>110.79442922292377</v>
      </c>
      <c r="G44" s="115">
        <f t="shared" si="15"/>
        <v>41.911690720025284</v>
      </c>
      <c r="H44" s="66">
        <f t="shared" ca="1" si="16"/>
        <v>35.190586007676224</v>
      </c>
      <c r="I44" s="66">
        <f t="shared" ca="1" si="17"/>
        <v>9.9265569227122246</v>
      </c>
      <c r="J44" s="66">
        <f t="shared" ca="1" si="6"/>
        <v>12.245670371418431</v>
      </c>
      <c r="K44" s="66">
        <f t="shared" si="18"/>
        <v>6.2439999999999998</v>
      </c>
      <c r="L44" s="66">
        <f t="shared" ca="1" si="8"/>
        <v>0</v>
      </c>
      <c r="M44" s="68">
        <f t="shared" ca="1" si="9"/>
        <v>5.2759252010916082</v>
      </c>
      <c r="N44" s="1290">
        <f>IF('Personalized Bill Menu'!$B$34="Natural Gas", 'Personalized Bill Menu'!$J41, IF('Personalized Bill Menu'!$B$34="Both",'Personalized Bill Menu'!$N41,""))</f>
        <v>2.6080000000000001</v>
      </c>
      <c r="O44" s="70">
        <f t="shared" si="10"/>
        <v>41.911690720025284</v>
      </c>
      <c r="P44" s="89">
        <f ca="1">IF($A44="", "",IFERROR(IF(VLOOKUP($A44, INDIRECT("'" &amp; 'Personalized Bill Menu'!$B$23 &amp; "'!" &amp;"$A$4:$CA$100"), VLOOKUP(VLOOKUP(P$5,'Misc. Data &amp; Mechanisms'!$P$601:$S$632,HLOOKUP('Personalized Bill Menu'!$B$23, 'Misc. Data &amp; Mechanisms'!$P$599:$S$600, 2, FALSE), FALSE), 'Misc. Data &amp; Mechanisms'!$L$599:$N$659, 2, FALSE), FALSE) = "", "", VLOOKUP($A44, INDIRECT("'" &amp; 'Personalized Bill Menu'!$B$23 &amp; "'!" &amp;"$A$4:$CA$100"), VLOOKUP(VLOOKUP(P$5,'Misc. Data &amp; Mechanisms'!$P$601:$S$632,HLOOKUP('Personalized Bill Menu'!$B$23, 'Misc. Data &amp; Mechanisms'!$P$599:$S$600, 2, FALSE), FALSE), 'Misc. Data &amp; Mechanisms'!$L$599:$N$659, 2, FALSE), FALSE)), ""))</f>
        <v>0.77500000000000002</v>
      </c>
      <c r="Q44" s="69">
        <f ca="1">IF($A44="", "",IFERROR(IF(VLOOKUP($A44, INDIRECT("'" &amp; 'Personalized Bill Menu'!$B$23 &amp; "'!" &amp;"$A$4:$CA$100"), VLOOKUP(VLOOKUP(Q$5,'Misc. Data &amp; Mechanisms'!$P$601:$S$632,HLOOKUP('Personalized Bill Menu'!$B$23, 'Misc. Data &amp; Mechanisms'!$P$599:$S$600, 2, FALSE), FALSE), 'Misc. Data &amp; Mechanisms'!$L$599:$N$659, 2, FALSE), FALSE) = "", "", VLOOKUP($A44, INDIRECT("'" &amp; 'Personalized Bill Menu'!$B$23 &amp; "'!" &amp;"$A$4:$CA$100"), VLOOKUP(VLOOKUP(Q$5,'Misc. Data &amp; Mechanisms'!$P$601:$S$632,HLOOKUP('Personalized Bill Menu'!$B$23, 'Misc. Data &amp; Mechanisms'!$P$599:$S$600, 2, FALSE), FALSE), 'Misc. Data &amp; Mechanisms'!$L$599:$N$659, 2, FALSE), FALSE)), ""))</f>
        <v>0.81200000000000006</v>
      </c>
      <c r="R44" s="72">
        <f t="shared" ca="1" si="11"/>
        <v>12.454586007676225</v>
      </c>
      <c r="S44" s="70">
        <f t="shared" ca="1" si="12"/>
        <v>22.736000000000001</v>
      </c>
      <c r="T44" s="78">
        <f>IFERROR(IF(VLOOKUP($A44,'Misc. Data &amp; Mechanisms'!$A$63:$DY$152,HLOOKUP('Personalized Bill Menu'!$B$21&amp;"_"&amp;'Personalized Bill Menu'!$B$23&amp;"_NG_Y_1",'Misc. Data &amp; Mechanisms'!$A$55:$DY$62,8,FALSE), FALSE)="", "", VLOOKUP($A44,'Misc. Data &amp; Mechanisms'!$A$63:$DY$152,HLOOKUP('Personalized Bill Menu'!$B$21&amp;"_"&amp;'Personalized Bill Menu'!$B$23&amp;"_NG_Y_1",'Misc. Data &amp; Mechanisms'!$A$55:$DY$62,8,FALSE), FALSE)), "")</f>
        <v>0.1111</v>
      </c>
      <c r="U44" s="78" t="str">
        <f>IFERROR(IF(VLOOKUP($A44,'Misc. Data &amp; Mechanisms'!$A$63:$DY$152,HLOOKUP('Personalized Bill Menu'!$B$21&amp;"_"&amp;'Personalized Bill Menu'!$B$23&amp;"_NG_Y_2",'Misc. Data &amp; Mechanisms'!$A$55:$DY$62,8,FALSE), FALSE)="", "",VLOOKUP($A44,'Misc. Data &amp; Mechanisms'!$A$63:$DY$152,HLOOKUP('Personalized Bill Menu'!$B$21&amp;"_"&amp;'Personalized Bill Menu'!$B$23&amp;"_NG_Y_2",'Misc. Data &amp; Mechanisms'!$A$55:$DY$62,8,FALSE), FALSE)), "")</f>
        <v/>
      </c>
      <c r="V44" s="72">
        <f ca="1">IF($A44="", "", IFERROR(IF('Personalized Bill Menu'!$B$23="ATCO-N", IF(OR('Personalized Bill Menu'!$B$21="Fort McMurray",AND('Personalized Bill Menu'!$B$21="Spruce Grove", $A44&lt;DATE(2019, 5, 1))),$T44*($G44+$H44+$J44),$T44*($H44+$J44)), IF('Personalized Bill Menu'!$B$23="ATCO-S",IF(OR('Personalized Bill Menu'!$B$21="Calgary",AND('Personalized Bill Menu'!$B$21="Okotoks", $A44&lt;DATE(2019, 1, 1))),$T44*($G44+$H44+$J44), $T44*($H44+$J44-$AG44)),IF(AND('Personalized Bill Menu'!$B$21="Athabasca", $A44&lt;DATE(2019, 5, 1)),$T44*($G44+$H44+$J44+$K44),$T44*($H44+$J44+$K44)))),0))</f>
        <v>9.9265569227122246</v>
      </c>
      <c r="W44" s="72">
        <f ca="1">IF($A44="", "", IFERROR(IF('Personalized Bill Menu'!$B$23="ATCO-N", $U44*($H44+$J44), IF('Personalized Bill Menu'!$B$23="ATCO-S",$U44*($H44+$J44),$U44*($G44+$H44+$J44+$K44))),0))</f>
        <v>0</v>
      </c>
      <c r="X44" s="89" t="str">
        <f ca="1">IF($A44="", "",IFERROR(IF(VLOOKUP($A44, INDIRECT("'" &amp; 'Personalized Bill Menu'!$B$23 &amp; "'!" &amp;"$A$4:$CA$100"), VLOOKUP(VLOOKUP("RIDER RATE 1",'Misc. Data &amp; Mechanisms'!$P$601:$S$632,HLOOKUP('Personalized Bill Menu'!$B$23, 'Misc. Data &amp; Mechanisms'!$P$599:$S$600, 2, FALSE), FALSE), 'Misc. Data &amp; Mechanisms'!$L$599:$N$659, 2, FALSE), FALSE) = "", "", VLOOKUP($A44, INDIRECT("'" &amp; 'Personalized Bill Menu'!$B$23 &amp; "'!" &amp;"$A$4:$CA$100"), VLOOKUP(VLOOKUP("RIDER RATE 1",'Misc. Data &amp; Mechanisms'!$P$601:$S$632,HLOOKUP('Personalized Bill Menu'!$B$23, 'Misc. Data &amp; Mechanisms'!$P$599:$S$600, 2, FALSE), FALSE), 'Misc. Data &amp; Mechanisms'!$L$599:$N$659, 2, FALSE), FALSE)), ""))</f>
        <v/>
      </c>
      <c r="Y44" s="69" t="str">
        <f ca="1">IF($A44="", "",IFERROR(IF(VLOOKUP($A44, INDIRECT("'" &amp; 'Personalized Bill Menu'!$B$23 &amp; "'!" &amp;"$A$4:$CA$100"), VLOOKUP(VLOOKUP("RIDER RATE 2",'Misc. Data &amp; Mechanisms'!$P$601:$S$632,HLOOKUP('Personalized Bill Menu'!$B$23, 'Misc. Data &amp; Mechanisms'!$P$599:$S$600, 2, FALSE), FALSE), 'Misc. Data &amp; Mechanisms'!$L$599:$N$659, 2, FALSE), FALSE) = "", "", VLOOKUP($A44, INDIRECT("'" &amp; 'Personalized Bill Menu'!$B$23 &amp; "'!" &amp;"$A$4:$CA$100"), VLOOKUP(VLOOKUP("RIDER RATE 2",'Misc. Data &amp; Mechanisms'!$P$601:$S$632,HLOOKUP('Personalized Bill Menu'!$B$23, 'Misc. Data &amp; Mechanisms'!$P$599:$S$600, 2, FALSE), FALSE), 'Misc. Data &amp; Mechanisms'!$L$599:$N$659, 2, FALSE), FALSE)), ""))</f>
        <v/>
      </c>
      <c r="Z44" s="69" t="str">
        <f ca="1">IF($A44="", "",IFERROR(IF(VLOOKUP($A44, INDIRECT("'" &amp; 'Personalized Bill Menu'!$B$23 &amp; "'!" &amp;"$A$4:$CA$100"), VLOOKUP(VLOOKUP("RIDER RATE 3",'Misc. Data &amp; Mechanisms'!$P$601:$S$632,HLOOKUP('Personalized Bill Menu'!$B$23, 'Misc. Data &amp; Mechanisms'!$P$599:$S$600, 2, FALSE), FALSE), 'Misc. Data &amp; Mechanisms'!$L$599:$N$659, 2, FALSE), FALSE) = "", "", VLOOKUP($A44, INDIRECT("'" &amp; 'Personalized Bill Menu'!$B$23 &amp; "'!" &amp;"$A$4:$CA$100"), VLOOKUP(VLOOKUP("RIDER RATE 3",'Misc. Data &amp; Mechanisms'!$P$601:$S$632,HLOOKUP('Personalized Bill Menu'!$B$23, 'Misc. Data &amp; Mechanisms'!$P$599:$S$600, 2, FALSE), FALSE), 'Misc. Data &amp; Mechanisms'!$L$599:$N$659, 2, FALSE), FALSE)), ""))</f>
        <v/>
      </c>
      <c r="AA44" s="69" t="str">
        <f ca="1">IF($A44="", "",IFERROR(IF(VLOOKUP($A44, INDIRECT("'" &amp; 'Personalized Bill Menu'!$B$23 &amp; "'!" &amp;"$A$4:$CA$100"), VLOOKUP(VLOOKUP("RIDER RATE 4",'Misc. Data &amp; Mechanisms'!$P$601:$S$632,HLOOKUP('Personalized Bill Menu'!$B$23, 'Misc. Data &amp; Mechanisms'!$P$599:$S$600, 2, FALSE), FALSE), 'Misc. Data &amp; Mechanisms'!$L$599:$N$659, 2, FALSE), FALSE) = "", "", VLOOKUP($A44, INDIRECT("'" &amp; 'Personalized Bill Menu'!$B$23 &amp; "'!" &amp;"$A$4:$CA$100"), VLOOKUP(VLOOKUP("RIDER RATE 4",'Misc. Data &amp; Mechanisms'!$P$601:$S$632,HLOOKUP('Personalized Bill Menu'!$B$23, 'Misc. Data &amp; Mechanisms'!$P$599:$S$600, 2, FALSE), FALSE), 'Misc. Data &amp; Mechanisms'!$L$599:$N$659, 2, FALSE), FALSE)), ""))</f>
        <v/>
      </c>
      <c r="AB44" s="69">
        <f ca="1">IF($A44="", "",IFERROR(IF(VLOOKUP($A44, INDIRECT("'" &amp; 'Personalized Bill Menu'!$B$23 &amp; "'!" &amp;"$A$4:$CA$100"), VLOOKUP(VLOOKUP("RIDER RATE 5",'Misc. Data &amp; Mechanisms'!$P$601:$S$632,HLOOKUP('Personalized Bill Menu'!$B$23, 'Misc. Data &amp; Mechanisms'!$P$599:$S$600, 2, FALSE), FALSE), 'Misc. Data &amp; Mechanisms'!$L$599:$N$659, 2, FALSE), FALSE) = "", "", VLOOKUP($A44, INDIRECT("'" &amp; 'Personalized Bill Menu'!$B$23 &amp; "'!" &amp;"$A$4:$CA$100"), VLOOKUP(VLOOKUP("RIDER RATE 5",'Misc. Data &amp; Mechanisms'!$P$601:$S$632,HLOOKUP('Personalized Bill Menu'!$B$23, 'Misc. Data &amp; Mechanisms'!$P$599:$S$600, 2, FALSE), FALSE), 'Misc. Data &amp; Mechanisms'!$L$599:$N$659, 2, FALSE), FALSE)), ""))</f>
        <v>0.76200000000000001</v>
      </c>
      <c r="AC44" s="69" t="str">
        <f ca="1">IF($A44="", "",IFERROR(IF(VLOOKUP($A44, INDIRECT("'" &amp; 'Personalized Bill Menu'!$B$23 &amp; "'!" &amp;"$A$4:$CA$100"), VLOOKUP(VLOOKUP("RIDER RATE 6",'Misc. Data &amp; Mechanisms'!$P$601:$S$632,HLOOKUP('Personalized Bill Menu'!$B$23, 'Misc. Data &amp; Mechanisms'!$P$599:$S$600, 2, FALSE), FALSE), 'Misc. Data &amp; Mechanisms'!$L$599:$N$659, 2, FALSE), FALSE) = "", "", VLOOKUP($A44, INDIRECT("'" &amp; 'Personalized Bill Menu'!$B$23 &amp; "'!" &amp;"$A$4:$CA$100"), VLOOKUP(VLOOKUP("RIDER RATE 6",'Misc. Data &amp; Mechanisms'!$P$601:$S$632,HLOOKUP('Personalized Bill Menu'!$B$23, 'Misc. Data &amp; Mechanisms'!$P$599:$S$600, 2, FALSE), FALSE), 'Misc. Data &amp; Mechanisms'!$L$599:$N$659, 2, FALSE), FALSE)), ""))</f>
        <v/>
      </c>
      <c r="AD44" s="69" t="str">
        <f ca="1">IF($A44="", "",IFERROR(IF(VLOOKUP($A44, INDIRECT("'" &amp; 'Personalized Bill Menu'!$B$23 &amp; "'!" &amp;"$A$4:$CA$100"), VLOOKUP(VLOOKUP("RIDER RATE 7",'Misc. Data &amp; Mechanisms'!$P$601:$S$632,HLOOKUP('Personalized Bill Menu'!$B$23, 'Misc. Data &amp; Mechanisms'!$P$599:$S$600, 2, FALSE), FALSE), 'Misc. Data &amp; Mechanisms'!$L$599:$N$659, 2, FALSE), FALSE) = "", "", VLOOKUP($A44, INDIRECT("'" &amp; 'Personalized Bill Menu'!$B$23 &amp; "'!" &amp;"$A$4:$CA$100"), VLOOKUP(VLOOKUP("RIDER RATE 7",'Misc. Data &amp; Mechanisms'!$P$601:$S$632,HLOOKUP('Personalized Bill Menu'!$B$23, 'Misc. Data &amp; Mechanisms'!$P$599:$S$600, 2, FALSE), FALSE), 'Misc. Data &amp; Mechanisms'!$L$599:$N$659, 2, FALSE), FALSE)), ""))</f>
        <v/>
      </c>
      <c r="AE44" s="69" t="str">
        <f ca="1">IF($A44="", "",IFERROR(IF(VLOOKUP($A44, INDIRECT("'" &amp; 'Personalized Bill Menu'!$B$23 &amp; "'!" &amp;"$A$4:$CA$100"), VLOOKUP(VLOOKUP("RIDER RATE 8",'Misc. Data &amp; Mechanisms'!$P$601:$S$632,HLOOKUP('Personalized Bill Menu'!$B$23, 'Misc. Data &amp; Mechanisms'!$P$599:$S$600, 2, FALSE), FALSE), 'Misc. Data &amp; Mechanisms'!$L$599:$N$659, 2, FALSE), FALSE) = "", "", VLOOKUP($A44, INDIRECT("'" &amp; 'Personalized Bill Menu'!$B$23 &amp; "'!" &amp;"$A$4:$CA$100"), VLOOKUP(VLOOKUP("RIDER RATE 8",'Misc. Data &amp; Mechanisms'!$P$601:$S$632,HLOOKUP('Personalized Bill Menu'!$B$23, 'Misc. Data &amp; Mechanisms'!$P$599:$S$600, 2, FALSE), FALSE), 'Misc. Data &amp; Mechanisms'!$L$599:$N$659, 2, FALSE), FALSE)), ""))</f>
        <v/>
      </c>
      <c r="AF44" s="69" t="str">
        <f ca="1">IF($A44="", "",IFERROR(IF(VLOOKUP($A44, INDIRECT("'" &amp; 'Personalized Bill Menu'!$B$23 &amp; "'!" &amp;"$A$4:$CA$100"), VLOOKUP(VLOOKUP("RIDER RATE 9",'Misc. Data &amp; Mechanisms'!$P$601:$S$632,HLOOKUP('Personalized Bill Menu'!$B$23, 'Misc. Data &amp; Mechanisms'!$P$599:$S$600, 2, FALSE), FALSE), 'Misc. Data &amp; Mechanisms'!$L$599:$N$659, 2, FALSE), FALSE) = "", "", VLOOKUP($A44, INDIRECT("'" &amp; 'Personalized Bill Menu'!$B$23 &amp; "'!" &amp;"$A$4:$CA$100"), VLOOKUP(VLOOKUP("RIDER RATE 9",'Misc. Data &amp; Mechanisms'!$P$601:$S$632,HLOOKUP('Personalized Bill Menu'!$B$23, 'Misc. Data &amp; Mechanisms'!$P$599:$S$600, 2, FALSE), FALSE), 'Misc. Data &amp; Mechanisms'!$L$599:$N$659, 2, FALSE), FALSE)), ""))</f>
        <v/>
      </c>
      <c r="AG44" s="72">
        <f ca="1">IF($A44="", "", IFERROR(IF('Personalized Bill Menu'!$B$23="ATCO-N", ($X44*$B44) +($Y44*$C44), IF('Personalized Bill Menu'!$B$23="ATCO-S",$X44*$C44, IF($Y44="", ($X44*$H44), ($Y44*($H44+$K44))))), 0))</f>
        <v>0</v>
      </c>
      <c r="AH44" s="72">
        <f ca="1">IF($A44="", "", IFERROR(IF('Personalized Bill Menu'!$B$23="ATCO-S", $Y44*$C44, $Z44*$C44), 0))</f>
        <v>0</v>
      </c>
      <c r="AI44" s="72">
        <f ca="1">IF($A44="", "", IFERROR(IF('Personalized Bill Menu'!$B$23="ATCO-S", ($AA44*$C44)+($Z44*$B44), $AA44*$C44), 0))</f>
        <v>0</v>
      </c>
      <c r="AJ44" s="72">
        <f ca="1">IF($A44="", "", IFERROR(IF('Personalized Bill Menu'!$B$23&lt;&gt;"AltaGas",$AB44*$C44,""),0))</f>
        <v>12.245670371418431</v>
      </c>
      <c r="AK44" s="72">
        <f ca="1">IF($A44="", "", IFERROR(IF('Personalized Bill Menu'!$B$23="ATCO-S",$AC44*$C44,IF('Personalized Bill Menu'!$B$23="ATCO-N",$AC44*1,"")),0))</f>
        <v>0</v>
      </c>
      <c r="AL44" s="72">
        <f ca="1">IF($A44="", "", IFERROR(IF('Personalized Bill Menu'!$B$23="ATCO-N",$AD44*$B44,IF('Personalized Bill Menu'!$B$23="ATCO-S",$AD44*1,"")),0))</f>
        <v>0</v>
      </c>
      <c r="AM44" s="72">
        <f ca="1">IF($A44="", "", IFERROR(IF('Personalized Bill Menu'!$B$23="ATCO-S",$AE44*$B44,IF('Personalized Bill Menu'!$B$23="ATCO-N",$AE44*$B44,"")),0))</f>
        <v>0</v>
      </c>
      <c r="AN44" s="70">
        <f ca="1">IF($A44="", "", IFERROR(IF('Personalized Bill Menu'!$B$23="ATCO-S",$AF44*$B44,""),0))</f>
        <v>0</v>
      </c>
      <c r="AO44" s="69">
        <f>IF('Personalized Bill Menu'!$B$34="Natural Gas", 'Personalized Bill Menu'!$K41, IF('Personalized Bill Menu'!$B$34="Both",'Personalized Bill Menu'!$O41,""))</f>
        <v>0.223</v>
      </c>
      <c r="AP44" s="72">
        <f t="shared" si="13"/>
        <v>6.2439999999999998</v>
      </c>
      <c r="AQ44" s="89" t="str">
        <f ca="1">IF($A44="", "",IF(VLOOKUP($A44, INDIRECT("'" &amp; 'Personalized Bill Menu'!$B$23 &amp; "'!" &amp;"$A$4:$CA$100"), VLOOKUP(VLOOKUP(AQ$5,'Misc. Data &amp; Mechanisms'!$P$601:$S$632,HLOOKUP('Personalized Bill Menu'!$B$23, 'Misc. Data &amp; Mechanisms'!$P$599:$S$600, 2, FALSE), FALSE), 'Misc. Data &amp; Mechanisms'!$L$599:$N$659, 2, FALSE), FALSE) = "", "", VLOOKUP($A44, INDIRECT("'" &amp; 'Personalized Bill Menu'!$B$23 &amp; "'!" &amp;"$A$4:$CA$100"), VLOOKUP(VLOOKUP(AQ$5,'Misc. Data &amp; Mechanisms'!$P$601:$S$632,HLOOKUP('Personalized Bill Menu'!$B$23, 'Misc. Data &amp; Mechanisms'!$P$599:$S$600, 2, FALSE), FALSE), 'Misc. Data &amp; Mechanisms'!$L$599:$N$659, 2, FALSE), FALSE)))</f>
        <v/>
      </c>
      <c r="AR44" s="72">
        <f t="shared" ca="1" si="14"/>
        <v>0</v>
      </c>
      <c r="AS44" s="91">
        <f ca="1">IF($A44="", "",IF(VLOOKUP($A44, INDIRECT("'" &amp; 'Personalized Bill Menu'!$B$23 &amp; "'!" &amp;"$A$4:$CA$100"), VLOOKUP(VLOOKUP(AS$5,'Misc. Data &amp; Mechanisms'!$P$601:$S$632,HLOOKUP('Personalized Bill Menu'!$B$23, 'Misc. Data &amp; Mechanisms'!$P$599:$S$600, 2, FALSE), FALSE), 'Misc. Data &amp; Mechanisms'!$L$599:$N$659, 2, FALSE), FALSE) = "", "", VLOOKUP($A44, INDIRECT("'" &amp; 'Personalized Bill Menu'!$B$23 &amp; "'!" &amp;"$A$4:$CA$100"), VLOOKUP(VLOOKUP(AS$5,'Misc. Data &amp; Mechanisms'!$P$601:$S$632,HLOOKUP('Personalized Bill Menu'!$B$23, 'Misc. Data &amp; Mechanisms'!$P$599:$S$600, 2, FALSE), FALSE), 'Misc. Data &amp; Mechanisms'!$L$599:$N$659, 2, FALSE), FALSE)))</f>
        <v>0.05</v>
      </c>
      <c r="AT44" s="116"/>
      <c r="AU44" s="116"/>
      <c r="AV44" s="116"/>
      <c r="AW44" s="116"/>
      <c r="AX44" s="116"/>
    </row>
    <row r="45" spans="1:50" s="117" customFormat="1" x14ac:dyDescent="0.3">
      <c r="A45" s="83">
        <f>'Personalized Bill Menu'!$H42</f>
        <v>42064</v>
      </c>
      <c r="B45" s="84">
        <f t="shared" si="3"/>
        <v>31</v>
      </c>
      <c r="C45" s="85">
        <f>IF('Personalized Bill Menu'!$B$34="Natural Gas", 'Personalized Bill Menu'!$I42, IF('Personalized Bill Menu'!$B$34="Both",'Personalized Bill Menu'!$M42,""))</f>
        <v>12.142155132331677</v>
      </c>
      <c r="D45" s="66">
        <f t="shared" ca="1" si="4"/>
        <v>8.2465220175817464</v>
      </c>
      <c r="E45" s="66">
        <f ca="1">IF($C45="Not Applicable", "", IFERROR(IFERROR((1+$AS45)*IF('Personalized Bill Menu'!$B$23="ATCO-N", IF(OR('Personalized Bill Menu'!$B$21="Fort McMurray",AND('Personalized Bill Menu'!$B$21="Spruce Grove", $A45&lt;DATE(2019, 5, 1) )),(((1+IF($T45="",0,$T45))*($N45+$P45))+ (IF($U45="", 0, $U45)*$P45)+(1+IF($T45="",0,$T45)+IF($U45="", 0, $U45))*(SUM($Y45:$AB45))),($N45+((1+IF($T45="",0,$T45)+IF($U45="", 0, $U45))*$P45)+(1+IF($T45="",0,$T45)+IF($U45="", 0, $U45))*(SUM($Y45:$AB45)))), IF('Personalized Bill Menu'!$B$23="ATCO-S",IF(OR('Personalized Bill Menu'!$B$21="Calgary",AND('Personalized Bill Menu'!$B$21="Okotoks", $A45&lt;DATE(2019, 1, 1))),((1+IF($T45="",0,$T45))*($N45+$P45+SUM($X45:$Y45,$AA45:$AC45)))+(IF($U45="",0, $U45)*($P45+SUM($X45:$Y45,$AA45:$AC45))), ((1+IF($T45="",0,$T45))*($P45+SUM($Y45,$AA45:$AC45)))+(IF($U45="",0, $U45)*($P45+SUM($X45:$Y45,$AA45:$AC45)))+$N45+IF($X45="", 0, $X45)),IF(AND('Personalized Bill Menu'!$B$21="Athabasca", $A45&lt;DATE(2019, 5, 1)),((1+IF($T45="",0,$T45)+IF($U45="", 0, $U45))*($N45+((1+SUM($X45:$Y45))*$P45)+SUM($Z45:$AA45))),((1+IF($U45="", 0, $U45))*($N45+((1+SUM($X45:$Y45))*$P45)+SUM($Z45:$AA45))) + (IF($T45="",0,$T45)*(((1+SUM($X45:$Y45))*$P45)+SUM($Z45:$AA45)))))), "")+ IF($AQ45="", 0,((1+$AS45)*$AQ45)), ""))</f>
        <v>5.2301143650000004</v>
      </c>
      <c r="F45" s="118">
        <f t="shared" ca="1" si="5"/>
        <v>100.13054963966638</v>
      </c>
      <c r="G45" s="115">
        <f t="shared" si="15"/>
        <v>36.06220074302508</v>
      </c>
      <c r="H45" s="66">
        <f t="shared" ca="1" si="16"/>
        <v>34.58217022755705</v>
      </c>
      <c r="I45" s="66">
        <f t="shared" ca="1" si="17"/>
        <v>8.8441467700107879</v>
      </c>
      <c r="J45" s="66">
        <f t="shared" ca="1" si="6"/>
        <v>8.9609104876607777</v>
      </c>
      <c r="K45" s="66">
        <f t="shared" si="18"/>
        <v>6.9130000000000003</v>
      </c>
      <c r="L45" s="66">
        <f t="shared" ca="1" si="8"/>
        <v>0</v>
      </c>
      <c r="M45" s="68">
        <f t="shared" ca="1" si="9"/>
        <v>4.7681214114126851</v>
      </c>
      <c r="N45" s="1290">
        <f>IF('Personalized Bill Menu'!$B$34="Natural Gas", 'Personalized Bill Menu'!$J42, IF('Personalized Bill Menu'!$B$34="Both",'Personalized Bill Menu'!$N42,""))</f>
        <v>2.97</v>
      </c>
      <c r="O45" s="70">
        <f t="shared" si="10"/>
        <v>36.06220074302508</v>
      </c>
      <c r="P45" s="89">
        <f ca="1">IF($A45="", "",IFERROR(IF(VLOOKUP($A45, INDIRECT("'" &amp; 'Personalized Bill Menu'!$B$23 &amp; "'!" &amp;"$A$4:$CA$100"), VLOOKUP(VLOOKUP(P$5,'Misc. Data &amp; Mechanisms'!$P$601:$S$632,HLOOKUP('Personalized Bill Menu'!$B$23, 'Misc. Data &amp; Mechanisms'!$P$599:$S$600, 2, FALSE), FALSE), 'Misc. Data &amp; Mechanisms'!$L$599:$N$659, 2, FALSE), FALSE) = "", "", VLOOKUP($A45, INDIRECT("'" &amp; 'Personalized Bill Menu'!$B$23 &amp; "'!" &amp;"$A$4:$CA$100"), VLOOKUP(VLOOKUP(P$5,'Misc. Data &amp; Mechanisms'!$P$601:$S$632,HLOOKUP('Personalized Bill Menu'!$B$23, 'Misc. Data &amp; Mechanisms'!$P$599:$S$600, 2, FALSE), FALSE), 'Misc. Data &amp; Mechanisms'!$L$599:$N$659, 2, FALSE), FALSE)), ""))</f>
        <v>0.77500000000000002</v>
      </c>
      <c r="Q45" s="69">
        <f ca="1">IF($A45="", "",IFERROR(IF(VLOOKUP($A45, INDIRECT("'" &amp; 'Personalized Bill Menu'!$B$23 &amp; "'!" &amp;"$A$4:$CA$100"), VLOOKUP(VLOOKUP(Q$5,'Misc. Data &amp; Mechanisms'!$P$601:$S$632,HLOOKUP('Personalized Bill Menu'!$B$23, 'Misc. Data &amp; Mechanisms'!$P$599:$S$600, 2, FALSE), FALSE), 'Misc. Data &amp; Mechanisms'!$L$599:$N$659, 2, FALSE), FALSE) = "", "", VLOOKUP($A45, INDIRECT("'" &amp; 'Personalized Bill Menu'!$B$23 &amp; "'!" &amp;"$A$4:$CA$100"), VLOOKUP(VLOOKUP(Q$5,'Misc. Data &amp; Mechanisms'!$P$601:$S$632,HLOOKUP('Personalized Bill Menu'!$B$23, 'Misc. Data &amp; Mechanisms'!$P$599:$S$600, 2, FALSE), FALSE), 'Misc. Data &amp; Mechanisms'!$L$599:$N$659, 2, FALSE), FALSE)), ""))</f>
        <v>0.81200000000000006</v>
      </c>
      <c r="R45" s="72">
        <f t="shared" ca="1" si="11"/>
        <v>9.4101702275570496</v>
      </c>
      <c r="S45" s="70">
        <f t="shared" ca="1" si="12"/>
        <v>25.172000000000001</v>
      </c>
      <c r="T45" s="78">
        <f>IFERROR(IF(VLOOKUP($A45,'Misc. Data &amp; Mechanisms'!$A$63:$DY$152,HLOOKUP('Personalized Bill Menu'!$B$21&amp;"_"&amp;'Personalized Bill Menu'!$B$23&amp;"_NG_Y_1",'Misc. Data &amp; Mechanisms'!$A$55:$DY$62,8,FALSE), FALSE)="", "", VLOOKUP($A45,'Misc. Data &amp; Mechanisms'!$A$63:$DY$152,HLOOKUP('Personalized Bill Menu'!$B$21&amp;"_"&amp;'Personalized Bill Menu'!$B$23&amp;"_NG_Y_1",'Misc. Data &amp; Mechanisms'!$A$55:$DY$62,8,FALSE), FALSE)), "")</f>
        <v>0.1111</v>
      </c>
      <c r="U45" s="78" t="str">
        <f>IFERROR(IF(VLOOKUP($A45,'Misc. Data &amp; Mechanisms'!$A$63:$DY$152,HLOOKUP('Personalized Bill Menu'!$B$21&amp;"_"&amp;'Personalized Bill Menu'!$B$23&amp;"_NG_Y_2",'Misc. Data &amp; Mechanisms'!$A$55:$DY$62,8,FALSE), FALSE)="", "",VLOOKUP($A45,'Misc. Data &amp; Mechanisms'!$A$63:$DY$152,HLOOKUP('Personalized Bill Menu'!$B$21&amp;"_"&amp;'Personalized Bill Menu'!$B$23&amp;"_NG_Y_2",'Misc. Data &amp; Mechanisms'!$A$55:$DY$62,8,FALSE), FALSE)), "")</f>
        <v/>
      </c>
      <c r="V45" s="72">
        <f ca="1">IF($A45="", "", IFERROR(IF('Personalized Bill Menu'!$B$23="ATCO-N", IF(OR('Personalized Bill Menu'!$B$21="Fort McMurray",AND('Personalized Bill Menu'!$B$21="Spruce Grove", $A45&lt;DATE(2019, 5, 1))),$T45*($G45+$H45+$J45),$T45*($H45+$J45)), IF('Personalized Bill Menu'!$B$23="ATCO-S",IF(OR('Personalized Bill Menu'!$B$21="Calgary",AND('Personalized Bill Menu'!$B$21="Okotoks", $A45&lt;DATE(2019, 1, 1))),$T45*($G45+$H45+$J45), $T45*($H45+$J45-$AG45)),IF(AND('Personalized Bill Menu'!$B$21="Athabasca", $A45&lt;DATE(2019, 5, 1)),$T45*($G45+$H45+$J45+$K45),$T45*($H45+$J45+$K45)))),0))</f>
        <v>8.8441467700107879</v>
      </c>
      <c r="W45" s="72">
        <f ca="1">IF($A45="", "", IFERROR(IF('Personalized Bill Menu'!$B$23="ATCO-N", $U45*($H45+$J45), IF('Personalized Bill Menu'!$B$23="ATCO-S",$U45*($H45+$J45),$U45*($G45+$H45+$J45+$K45))),0))</f>
        <v>0</v>
      </c>
      <c r="X45" s="89" t="str">
        <f ca="1">IF($A45="", "",IFERROR(IF(VLOOKUP($A45, INDIRECT("'" &amp; 'Personalized Bill Menu'!$B$23 &amp; "'!" &amp;"$A$4:$CA$100"), VLOOKUP(VLOOKUP("RIDER RATE 1",'Misc. Data &amp; Mechanisms'!$P$601:$S$632,HLOOKUP('Personalized Bill Menu'!$B$23, 'Misc. Data &amp; Mechanisms'!$P$599:$S$600, 2, FALSE), FALSE), 'Misc. Data &amp; Mechanisms'!$L$599:$N$659, 2, FALSE), FALSE) = "", "", VLOOKUP($A45, INDIRECT("'" &amp; 'Personalized Bill Menu'!$B$23 &amp; "'!" &amp;"$A$4:$CA$100"), VLOOKUP(VLOOKUP("RIDER RATE 1",'Misc. Data &amp; Mechanisms'!$P$601:$S$632,HLOOKUP('Personalized Bill Menu'!$B$23, 'Misc. Data &amp; Mechanisms'!$P$599:$S$600, 2, FALSE), FALSE), 'Misc. Data &amp; Mechanisms'!$L$599:$N$659, 2, FALSE), FALSE)), ""))</f>
        <v/>
      </c>
      <c r="Y45" s="69" t="str">
        <f ca="1">IF($A45="", "",IFERROR(IF(VLOOKUP($A45, INDIRECT("'" &amp; 'Personalized Bill Menu'!$B$23 &amp; "'!" &amp;"$A$4:$CA$100"), VLOOKUP(VLOOKUP("RIDER RATE 2",'Misc. Data &amp; Mechanisms'!$P$601:$S$632,HLOOKUP('Personalized Bill Menu'!$B$23, 'Misc. Data &amp; Mechanisms'!$P$599:$S$600, 2, FALSE), FALSE), 'Misc. Data &amp; Mechanisms'!$L$599:$N$659, 2, FALSE), FALSE) = "", "", VLOOKUP($A45, INDIRECT("'" &amp; 'Personalized Bill Menu'!$B$23 &amp; "'!" &amp;"$A$4:$CA$100"), VLOOKUP(VLOOKUP("RIDER RATE 2",'Misc. Data &amp; Mechanisms'!$P$601:$S$632,HLOOKUP('Personalized Bill Menu'!$B$23, 'Misc. Data &amp; Mechanisms'!$P$599:$S$600, 2, FALSE), FALSE), 'Misc. Data &amp; Mechanisms'!$L$599:$N$659, 2, FALSE), FALSE)), ""))</f>
        <v/>
      </c>
      <c r="Z45" s="69" t="str">
        <f ca="1">IF($A45="", "",IFERROR(IF(VLOOKUP($A45, INDIRECT("'" &amp; 'Personalized Bill Menu'!$B$23 &amp; "'!" &amp;"$A$4:$CA$100"), VLOOKUP(VLOOKUP("RIDER RATE 3",'Misc. Data &amp; Mechanisms'!$P$601:$S$632,HLOOKUP('Personalized Bill Menu'!$B$23, 'Misc. Data &amp; Mechanisms'!$P$599:$S$600, 2, FALSE), FALSE), 'Misc. Data &amp; Mechanisms'!$L$599:$N$659, 2, FALSE), FALSE) = "", "", VLOOKUP($A45, INDIRECT("'" &amp; 'Personalized Bill Menu'!$B$23 &amp; "'!" &amp;"$A$4:$CA$100"), VLOOKUP(VLOOKUP("RIDER RATE 3",'Misc. Data &amp; Mechanisms'!$P$601:$S$632,HLOOKUP('Personalized Bill Menu'!$B$23, 'Misc. Data &amp; Mechanisms'!$P$599:$S$600, 2, FALSE), FALSE), 'Misc. Data &amp; Mechanisms'!$L$599:$N$659, 2, FALSE), FALSE)), ""))</f>
        <v/>
      </c>
      <c r="AA45" s="69" t="str">
        <f ca="1">IF($A45="", "",IFERROR(IF(VLOOKUP($A45, INDIRECT("'" &amp; 'Personalized Bill Menu'!$B$23 &amp; "'!" &amp;"$A$4:$CA$100"), VLOOKUP(VLOOKUP("RIDER RATE 4",'Misc. Data &amp; Mechanisms'!$P$601:$S$632,HLOOKUP('Personalized Bill Menu'!$B$23, 'Misc. Data &amp; Mechanisms'!$P$599:$S$600, 2, FALSE), FALSE), 'Misc. Data &amp; Mechanisms'!$L$599:$N$659, 2, FALSE), FALSE) = "", "", VLOOKUP($A45, INDIRECT("'" &amp; 'Personalized Bill Menu'!$B$23 &amp; "'!" &amp;"$A$4:$CA$100"), VLOOKUP(VLOOKUP("RIDER RATE 4",'Misc. Data &amp; Mechanisms'!$P$601:$S$632,HLOOKUP('Personalized Bill Menu'!$B$23, 'Misc. Data &amp; Mechanisms'!$P$599:$S$600, 2, FALSE), FALSE), 'Misc. Data &amp; Mechanisms'!$L$599:$N$659, 2, FALSE), FALSE)), ""))</f>
        <v/>
      </c>
      <c r="AB45" s="69">
        <f ca="1">IF($A45="", "",IFERROR(IF(VLOOKUP($A45, INDIRECT("'" &amp; 'Personalized Bill Menu'!$B$23 &amp; "'!" &amp;"$A$4:$CA$100"), VLOOKUP(VLOOKUP("RIDER RATE 5",'Misc. Data &amp; Mechanisms'!$P$601:$S$632,HLOOKUP('Personalized Bill Menu'!$B$23, 'Misc. Data &amp; Mechanisms'!$P$599:$S$600, 2, FALSE), FALSE), 'Misc. Data &amp; Mechanisms'!$L$599:$N$659, 2, FALSE), FALSE) = "", "", VLOOKUP($A45, INDIRECT("'" &amp; 'Personalized Bill Menu'!$B$23 &amp; "'!" &amp;"$A$4:$CA$100"), VLOOKUP(VLOOKUP("RIDER RATE 5",'Misc. Data &amp; Mechanisms'!$P$601:$S$632,HLOOKUP('Personalized Bill Menu'!$B$23, 'Misc. Data &amp; Mechanisms'!$P$599:$S$600, 2, FALSE), FALSE), 'Misc. Data &amp; Mechanisms'!$L$599:$N$659, 2, FALSE), FALSE)), ""))</f>
        <v>0.73799999999999999</v>
      </c>
      <c r="AC45" s="69" t="str">
        <f ca="1">IF($A45="", "",IFERROR(IF(VLOOKUP($A45, INDIRECT("'" &amp; 'Personalized Bill Menu'!$B$23 &amp; "'!" &amp;"$A$4:$CA$100"), VLOOKUP(VLOOKUP("RIDER RATE 6",'Misc. Data &amp; Mechanisms'!$P$601:$S$632,HLOOKUP('Personalized Bill Menu'!$B$23, 'Misc. Data &amp; Mechanisms'!$P$599:$S$600, 2, FALSE), FALSE), 'Misc. Data &amp; Mechanisms'!$L$599:$N$659, 2, FALSE), FALSE) = "", "", VLOOKUP($A45, INDIRECT("'" &amp; 'Personalized Bill Menu'!$B$23 &amp; "'!" &amp;"$A$4:$CA$100"), VLOOKUP(VLOOKUP("RIDER RATE 6",'Misc. Data &amp; Mechanisms'!$P$601:$S$632,HLOOKUP('Personalized Bill Menu'!$B$23, 'Misc. Data &amp; Mechanisms'!$P$599:$S$600, 2, FALSE), FALSE), 'Misc. Data &amp; Mechanisms'!$L$599:$N$659, 2, FALSE), FALSE)), ""))</f>
        <v/>
      </c>
      <c r="AD45" s="69" t="str">
        <f ca="1">IF($A45="", "",IFERROR(IF(VLOOKUP($A45, INDIRECT("'" &amp; 'Personalized Bill Menu'!$B$23 &amp; "'!" &amp;"$A$4:$CA$100"), VLOOKUP(VLOOKUP("RIDER RATE 7",'Misc. Data &amp; Mechanisms'!$P$601:$S$632,HLOOKUP('Personalized Bill Menu'!$B$23, 'Misc. Data &amp; Mechanisms'!$P$599:$S$600, 2, FALSE), FALSE), 'Misc. Data &amp; Mechanisms'!$L$599:$N$659, 2, FALSE), FALSE) = "", "", VLOOKUP($A45, INDIRECT("'" &amp; 'Personalized Bill Menu'!$B$23 &amp; "'!" &amp;"$A$4:$CA$100"), VLOOKUP(VLOOKUP("RIDER RATE 7",'Misc. Data &amp; Mechanisms'!$P$601:$S$632,HLOOKUP('Personalized Bill Menu'!$B$23, 'Misc. Data &amp; Mechanisms'!$P$599:$S$600, 2, FALSE), FALSE), 'Misc. Data &amp; Mechanisms'!$L$599:$N$659, 2, FALSE), FALSE)), ""))</f>
        <v/>
      </c>
      <c r="AE45" s="69" t="str">
        <f ca="1">IF($A45="", "",IFERROR(IF(VLOOKUP($A45, INDIRECT("'" &amp; 'Personalized Bill Menu'!$B$23 &amp; "'!" &amp;"$A$4:$CA$100"), VLOOKUP(VLOOKUP("RIDER RATE 8",'Misc. Data &amp; Mechanisms'!$P$601:$S$632,HLOOKUP('Personalized Bill Menu'!$B$23, 'Misc. Data &amp; Mechanisms'!$P$599:$S$600, 2, FALSE), FALSE), 'Misc. Data &amp; Mechanisms'!$L$599:$N$659, 2, FALSE), FALSE) = "", "", VLOOKUP($A45, INDIRECT("'" &amp; 'Personalized Bill Menu'!$B$23 &amp; "'!" &amp;"$A$4:$CA$100"), VLOOKUP(VLOOKUP("RIDER RATE 8",'Misc. Data &amp; Mechanisms'!$P$601:$S$632,HLOOKUP('Personalized Bill Menu'!$B$23, 'Misc. Data &amp; Mechanisms'!$P$599:$S$600, 2, FALSE), FALSE), 'Misc. Data &amp; Mechanisms'!$L$599:$N$659, 2, FALSE), FALSE)), ""))</f>
        <v/>
      </c>
      <c r="AF45" s="69" t="str">
        <f ca="1">IF($A45="", "",IFERROR(IF(VLOOKUP($A45, INDIRECT("'" &amp; 'Personalized Bill Menu'!$B$23 &amp; "'!" &amp;"$A$4:$CA$100"), VLOOKUP(VLOOKUP("RIDER RATE 9",'Misc. Data &amp; Mechanisms'!$P$601:$S$632,HLOOKUP('Personalized Bill Menu'!$B$23, 'Misc. Data &amp; Mechanisms'!$P$599:$S$600, 2, FALSE), FALSE), 'Misc. Data &amp; Mechanisms'!$L$599:$N$659, 2, FALSE), FALSE) = "", "", VLOOKUP($A45, INDIRECT("'" &amp; 'Personalized Bill Menu'!$B$23 &amp; "'!" &amp;"$A$4:$CA$100"), VLOOKUP(VLOOKUP("RIDER RATE 9",'Misc. Data &amp; Mechanisms'!$P$601:$S$632,HLOOKUP('Personalized Bill Menu'!$B$23, 'Misc. Data &amp; Mechanisms'!$P$599:$S$600, 2, FALSE), FALSE), 'Misc. Data &amp; Mechanisms'!$L$599:$N$659, 2, FALSE), FALSE)), ""))</f>
        <v/>
      </c>
      <c r="AG45" s="72">
        <f ca="1">IF($A45="", "", IFERROR(IF('Personalized Bill Menu'!$B$23="ATCO-N", ($X45*$B45) +($Y45*$C45), IF('Personalized Bill Menu'!$B$23="ATCO-S",$X45*$C45, IF($Y45="", ($X45*$H45), ($Y45*($H45+$K45))))), 0))</f>
        <v>0</v>
      </c>
      <c r="AH45" s="72">
        <f ca="1">IF($A45="", "", IFERROR(IF('Personalized Bill Menu'!$B$23="ATCO-S", $Y45*$C45, $Z45*$C45), 0))</f>
        <v>0</v>
      </c>
      <c r="AI45" s="72">
        <f ca="1">IF($A45="", "", IFERROR(IF('Personalized Bill Menu'!$B$23="ATCO-S", ($AA45*$C45)+($Z45*$B45), $AA45*$C45), 0))</f>
        <v>0</v>
      </c>
      <c r="AJ45" s="72">
        <f ca="1">IF($A45="", "", IFERROR(IF('Personalized Bill Menu'!$B$23&lt;&gt;"AltaGas",$AB45*$C45,""),0))</f>
        <v>8.9609104876607777</v>
      </c>
      <c r="AK45" s="72">
        <f ca="1">IF($A45="", "", IFERROR(IF('Personalized Bill Menu'!$B$23="ATCO-S",$AC45*$C45,IF('Personalized Bill Menu'!$B$23="ATCO-N",$AC45*1,"")),0))</f>
        <v>0</v>
      </c>
      <c r="AL45" s="72">
        <f ca="1">IF($A45="", "", IFERROR(IF('Personalized Bill Menu'!$B$23="ATCO-N",$AD45*$B45,IF('Personalized Bill Menu'!$B$23="ATCO-S",$AD45*1,"")),0))</f>
        <v>0</v>
      </c>
      <c r="AM45" s="72">
        <f ca="1">IF($A45="", "", IFERROR(IF('Personalized Bill Menu'!$B$23="ATCO-S",$AE45*$B45,IF('Personalized Bill Menu'!$B$23="ATCO-N",$AE45*$B45,"")),0))</f>
        <v>0</v>
      </c>
      <c r="AN45" s="70">
        <f ca="1">IF($A45="", "", IFERROR(IF('Personalized Bill Menu'!$B$23="ATCO-S",$AF45*$B45,""),0))</f>
        <v>0</v>
      </c>
      <c r="AO45" s="69">
        <f>IF('Personalized Bill Menu'!$B$34="Natural Gas", 'Personalized Bill Menu'!$K42, IF('Personalized Bill Menu'!$B$34="Both",'Personalized Bill Menu'!$O42,""))</f>
        <v>0.223</v>
      </c>
      <c r="AP45" s="72">
        <f t="shared" si="13"/>
        <v>6.9130000000000003</v>
      </c>
      <c r="AQ45" s="89" t="str">
        <f ca="1">IF($A45="", "",IF(VLOOKUP($A45, INDIRECT("'" &amp; 'Personalized Bill Menu'!$B$23 &amp; "'!" &amp;"$A$4:$CA$100"), VLOOKUP(VLOOKUP(AQ$5,'Misc. Data &amp; Mechanisms'!$P$601:$S$632,HLOOKUP('Personalized Bill Menu'!$B$23, 'Misc. Data &amp; Mechanisms'!$P$599:$S$600, 2, FALSE), FALSE), 'Misc. Data &amp; Mechanisms'!$L$599:$N$659, 2, FALSE), FALSE) = "", "", VLOOKUP($A45, INDIRECT("'" &amp; 'Personalized Bill Menu'!$B$23 &amp; "'!" &amp;"$A$4:$CA$100"), VLOOKUP(VLOOKUP(AQ$5,'Misc. Data &amp; Mechanisms'!$P$601:$S$632,HLOOKUP('Personalized Bill Menu'!$B$23, 'Misc. Data &amp; Mechanisms'!$P$599:$S$600, 2, FALSE), FALSE), 'Misc. Data &amp; Mechanisms'!$L$599:$N$659, 2, FALSE), FALSE)))</f>
        <v/>
      </c>
      <c r="AR45" s="72">
        <f t="shared" ca="1" si="14"/>
        <v>0</v>
      </c>
      <c r="AS45" s="91">
        <f ca="1">IF($A45="", "",IF(VLOOKUP($A45, INDIRECT("'" &amp; 'Personalized Bill Menu'!$B$23 &amp; "'!" &amp;"$A$4:$CA$100"), VLOOKUP(VLOOKUP(AS$5,'Misc. Data &amp; Mechanisms'!$P$601:$S$632,HLOOKUP('Personalized Bill Menu'!$B$23, 'Misc. Data &amp; Mechanisms'!$P$599:$S$600, 2, FALSE), FALSE), 'Misc. Data &amp; Mechanisms'!$L$599:$N$659, 2, FALSE), FALSE) = "", "", VLOOKUP($A45, INDIRECT("'" &amp; 'Personalized Bill Menu'!$B$23 &amp; "'!" &amp;"$A$4:$CA$100"), VLOOKUP(VLOOKUP(AS$5,'Misc. Data &amp; Mechanisms'!$P$601:$S$632,HLOOKUP('Personalized Bill Menu'!$B$23, 'Misc. Data &amp; Mechanisms'!$P$599:$S$600, 2, FALSE), FALSE), 'Misc. Data &amp; Mechanisms'!$L$599:$N$659, 2, FALSE), FALSE)))</f>
        <v>0.05</v>
      </c>
      <c r="AT45" s="116"/>
      <c r="AU45" s="116"/>
      <c r="AV45" s="116"/>
      <c r="AW45" s="116"/>
      <c r="AX45" s="116"/>
    </row>
    <row r="46" spans="1:50" s="117" customFormat="1" x14ac:dyDescent="0.3">
      <c r="A46" s="83">
        <f>'Personalized Bill Menu'!$H43</f>
        <v>42095</v>
      </c>
      <c r="B46" s="84">
        <f t="shared" si="3"/>
        <v>30</v>
      </c>
      <c r="C46" s="85">
        <f>IF('Personalized Bill Menu'!$B$34="Natural Gas", 'Personalized Bill Menu'!$I43, IF('Personalized Bill Menu'!$B$34="Both",'Personalized Bill Menu'!$M43,""))</f>
        <v>9.7936096292748651</v>
      </c>
      <c r="D46" s="66">
        <f t="shared" ca="1" si="4"/>
        <v>8.7710651429769317</v>
      </c>
      <c r="E46" s="66">
        <f ca="1">IF($C46="Not Applicable", "", IFERROR(IFERROR((1+$AS46)*IF('Personalized Bill Menu'!$B$23="ATCO-N", IF(OR('Personalized Bill Menu'!$B$21="Fort McMurray",AND('Personalized Bill Menu'!$B$21="Spruce Grove", $A46&lt;DATE(2019, 5, 1) )),(((1+IF($T46="",0,$T46))*($N46+$P46))+ (IF($U46="", 0, $U46)*$P46)+(1+IF($T46="",0,$T46)+IF($U46="", 0, $U46))*(SUM($Y46:$AB46))),($N46+((1+IF($T46="",0,$T46)+IF($U46="", 0, $U46))*$P46)+(1+IF($T46="",0,$T46)+IF($U46="", 0, $U46))*(SUM($Y46:$AB46)))), IF('Personalized Bill Menu'!$B$23="ATCO-S",IF(OR('Personalized Bill Menu'!$B$21="Calgary",AND('Personalized Bill Menu'!$B$21="Okotoks", $A46&lt;DATE(2019, 1, 1))),((1+IF($T46="",0,$T46))*($N46+$P46+SUM($X46:$Y46,$AA46:$AC46)))+(IF($U46="",0, $U46)*($P46+SUM($X46:$Y46,$AA46:$AC46))), ((1+IF($T46="",0,$T46))*($P46+SUM($Y46,$AA46:$AC46)))+(IF($U46="",0, $U46)*($P46+SUM($X46:$Y46,$AA46:$AC46)))+$N46+IF($X46="", 0, $X46)),IF(AND('Personalized Bill Menu'!$B$21="Athabasca", $A46&lt;DATE(2019, 5, 1)),((1+IF($T46="",0,$T46)+IF($U46="", 0, $U46))*($N46+((1+SUM($X46:$Y46))*$P46)+SUM($Z46:$AA46))),((1+IF($U46="", 0, $U46))*($N46+((1+SUM($X46:$Y46))*$P46)+SUM($Z46:$AA46))) + (IF($T46="",0,$T46)*(((1+SUM($X46:$Y46))*$P46)+SUM($Z46:$AA46)))))), "")+ IF($AQ46="", 0,((1+$AS46)*$AQ46)), ""))</f>
        <v>5.1519484800000006</v>
      </c>
      <c r="F46" s="118">
        <f t="shared" ca="1" si="5"/>
        <v>85.900388043256001</v>
      </c>
      <c r="G46" s="115">
        <f t="shared" si="15"/>
        <v>28.430848753784932</v>
      </c>
      <c r="H46" s="66">
        <f t="shared" ca="1" si="16"/>
        <v>31.950047462688023</v>
      </c>
      <c r="I46" s="66">
        <f t="shared" ca="1" si="17"/>
        <v>7.5113132516517247</v>
      </c>
      <c r="J46" s="66">
        <f t="shared" ca="1" si="6"/>
        <v>7.2276839064048506</v>
      </c>
      <c r="K46" s="66">
        <f t="shared" si="18"/>
        <v>6.69</v>
      </c>
      <c r="L46" s="66">
        <f t="shared" ca="1" si="8"/>
        <v>0</v>
      </c>
      <c r="M46" s="68">
        <f t="shared" ca="1" si="9"/>
        <v>4.0904946687264765</v>
      </c>
      <c r="N46" s="1290">
        <f>IF('Personalized Bill Menu'!$B$34="Natural Gas", 'Personalized Bill Menu'!$J43, IF('Personalized Bill Menu'!$B$34="Both",'Personalized Bill Menu'!$N43,""))</f>
        <v>2.903</v>
      </c>
      <c r="O46" s="70">
        <f t="shared" si="10"/>
        <v>28.430848753784932</v>
      </c>
      <c r="P46" s="89">
        <f ca="1">IF($A46="", "",IFERROR(IF(VLOOKUP($A46, INDIRECT("'" &amp; 'Personalized Bill Menu'!$B$23 &amp; "'!" &amp;"$A$4:$CA$100"), VLOOKUP(VLOOKUP(P$5,'Misc. Data &amp; Mechanisms'!$P$601:$S$632,HLOOKUP('Personalized Bill Menu'!$B$23, 'Misc. Data &amp; Mechanisms'!$P$599:$S$600, 2, FALSE), FALSE), 'Misc. Data &amp; Mechanisms'!$L$599:$N$659, 2, FALSE), FALSE) = "", "", VLOOKUP($A46, INDIRECT("'" &amp; 'Personalized Bill Menu'!$B$23 &amp; "'!" &amp;"$A$4:$CA$100"), VLOOKUP(VLOOKUP(P$5,'Misc. Data &amp; Mechanisms'!$P$601:$S$632,HLOOKUP('Personalized Bill Menu'!$B$23, 'Misc. Data &amp; Mechanisms'!$P$599:$S$600, 2, FALSE), FALSE), 'Misc. Data &amp; Mechanisms'!$L$599:$N$659, 2, FALSE), FALSE)), ""))</f>
        <v>0.77500000000000002</v>
      </c>
      <c r="Q46" s="69">
        <f ca="1">IF($A46="", "",IFERROR(IF(VLOOKUP($A46, INDIRECT("'" &amp; 'Personalized Bill Menu'!$B$23 &amp; "'!" &amp;"$A$4:$CA$100"), VLOOKUP(VLOOKUP(Q$5,'Misc. Data &amp; Mechanisms'!$P$601:$S$632,HLOOKUP('Personalized Bill Menu'!$B$23, 'Misc. Data &amp; Mechanisms'!$P$599:$S$600, 2, FALSE), FALSE), 'Misc. Data &amp; Mechanisms'!$L$599:$N$659, 2, FALSE), FALSE) = "", "", VLOOKUP($A46, INDIRECT("'" &amp; 'Personalized Bill Menu'!$B$23 &amp; "'!" &amp;"$A$4:$CA$100"), VLOOKUP(VLOOKUP(Q$5,'Misc. Data &amp; Mechanisms'!$P$601:$S$632,HLOOKUP('Personalized Bill Menu'!$B$23, 'Misc. Data &amp; Mechanisms'!$P$599:$S$600, 2, FALSE), FALSE), 'Misc. Data &amp; Mechanisms'!$L$599:$N$659, 2, FALSE), FALSE)), ""))</f>
        <v>0.81200000000000006</v>
      </c>
      <c r="R46" s="72">
        <f t="shared" ca="1" si="11"/>
        <v>7.5900474626880206</v>
      </c>
      <c r="S46" s="70">
        <f t="shared" ca="1" si="12"/>
        <v>24.360000000000003</v>
      </c>
      <c r="T46" s="78">
        <f>IFERROR(IF(VLOOKUP($A46,'Misc. Data &amp; Mechanisms'!$A$63:$DY$152,HLOOKUP('Personalized Bill Menu'!$B$21&amp;"_"&amp;'Personalized Bill Menu'!$B$23&amp;"_NG_Y_1",'Misc. Data &amp; Mechanisms'!$A$55:$DY$62,8,FALSE), FALSE)="", "", VLOOKUP($A46,'Misc. Data &amp; Mechanisms'!$A$63:$DY$152,HLOOKUP('Personalized Bill Menu'!$B$21&amp;"_"&amp;'Personalized Bill Menu'!$B$23&amp;"_NG_Y_1",'Misc. Data &amp; Mechanisms'!$A$55:$DY$62,8,FALSE), FALSE)), "")</f>
        <v>0.1111</v>
      </c>
      <c r="U46" s="78" t="str">
        <f>IFERROR(IF(VLOOKUP($A46,'Misc. Data &amp; Mechanisms'!$A$63:$DY$152,HLOOKUP('Personalized Bill Menu'!$B$21&amp;"_"&amp;'Personalized Bill Menu'!$B$23&amp;"_NG_Y_2",'Misc. Data &amp; Mechanisms'!$A$55:$DY$62,8,FALSE), FALSE)="", "",VLOOKUP($A46,'Misc. Data &amp; Mechanisms'!$A$63:$DY$152,HLOOKUP('Personalized Bill Menu'!$B$21&amp;"_"&amp;'Personalized Bill Menu'!$B$23&amp;"_NG_Y_2",'Misc. Data &amp; Mechanisms'!$A$55:$DY$62,8,FALSE), FALSE)), "")</f>
        <v/>
      </c>
      <c r="V46" s="72">
        <f ca="1">IF($A46="", "", IFERROR(IF('Personalized Bill Menu'!$B$23="ATCO-N", IF(OR('Personalized Bill Menu'!$B$21="Fort McMurray",AND('Personalized Bill Menu'!$B$21="Spruce Grove", $A46&lt;DATE(2019, 5, 1))),$T46*($G46+$H46+$J46),$T46*($H46+$J46)), IF('Personalized Bill Menu'!$B$23="ATCO-S",IF(OR('Personalized Bill Menu'!$B$21="Calgary",AND('Personalized Bill Menu'!$B$21="Okotoks", $A46&lt;DATE(2019, 1, 1))),$T46*($G46+$H46+$J46), $T46*($H46+$J46-$AG46)),IF(AND('Personalized Bill Menu'!$B$21="Athabasca", $A46&lt;DATE(2019, 5, 1)),$T46*($G46+$H46+$J46+$K46),$T46*($H46+$J46+$K46)))),0))</f>
        <v>7.5113132516517247</v>
      </c>
      <c r="W46" s="72">
        <f ca="1">IF($A46="", "", IFERROR(IF('Personalized Bill Menu'!$B$23="ATCO-N", $U46*($H46+$J46), IF('Personalized Bill Menu'!$B$23="ATCO-S",$U46*($H46+$J46),$U46*($G46+$H46+$J46+$K46))),0))</f>
        <v>0</v>
      </c>
      <c r="X46" s="89" t="str">
        <f ca="1">IF($A46="", "",IFERROR(IF(VLOOKUP($A46, INDIRECT("'" &amp; 'Personalized Bill Menu'!$B$23 &amp; "'!" &amp;"$A$4:$CA$100"), VLOOKUP(VLOOKUP("RIDER RATE 1",'Misc. Data &amp; Mechanisms'!$P$601:$S$632,HLOOKUP('Personalized Bill Menu'!$B$23, 'Misc. Data &amp; Mechanisms'!$P$599:$S$600, 2, FALSE), FALSE), 'Misc. Data &amp; Mechanisms'!$L$599:$N$659, 2, FALSE), FALSE) = "", "", VLOOKUP($A46, INDIRECT("'" &amp; 'Personalized Bill Menu'!$B$23 &amp; "'!" &amp;"$A$4:$CA$100"), VLOOKUP(VLOOKUP("RIDER RATE 1",'Misc. Data &amp; Mechanisms'!$P$601:$S$632,HLOOKUP('Personalized Bill Menu'!$B$23, 'Misc. Data &amp; Mechanisms'!$P$599:$S$600, 2, FALSE), FALSE), 'Misc. Data &amp; Mechanisms'!$L$599:$N$659, 2, FALSE), FALSE)), ""))</f>
        <v/>
      </c>
      <c r="Y46" s="69" t="str">
        <f ca="1">IF($A46="", "",IFERROR(IF(VLOOKUP($A46, INDIRECT("'" &amp; 'Personalized Bill Menu'!$B$23 &amp; "'!" &amp;"$A$4:$CA$100"), VLOOKUP(VLOOKUP("RIDER RATE 2",'Misc. Data &amp; Mechanisms'!$P$601:$S$632,HLOOKUP('Personalized Bill Menu'!$B$23, 'Misc. Data &amp; Mechanisms'!$P$599:$S$600, 2, FALSE), FALSE), 'Misc. Data &amp; Mechanisms'!$L$599:$N$659, 2, FALSE), FALSE) = "", "", VLOOKUP($A46, INDIRECT("'" &amp; 'Personalized Bill Menu'!$B$23 &amp; "'!" &amp;"$A$4:$CA$100"), VLOOKUP(VLOOKUP("RIDER RATE 2",'Misc. Data &amp; Mechanisms'!$P$601:$S$632,HLOOKUP('Personalized Bill Menu'!$B$23, 'Misc. Data &amp; Mechanisms'!$P$599:$S$600, 2, FALSE), FALSE), 'Misc. Data &amp; Mechanisms'!$L$599:$N$659, 2, FALSE), FALSE)), ""))</f>
        <v/>
      </c>
      <c r="Z46" s="69" t="str">
        <f ca="1">IF($A46="", "",IFERROR(IF(VLOOKUP($A46, INDIRECT("'" &amp; 'Personalized Bill Menu'!$B$23 &amp; "'!" &amp;"$A$4:$CA$100"), VLOOKUP(VLOOKUP("RIDER RATE 3",'Misc. Data &amp; Mechanisms'!$P$601:$S$632,HLOOKUP('Personalized Bill Menu'!$B$23, 'Misc. Data &amp; Mechanisms'!$P$599:$S$600, 2, FALSE), FALSE), 'Misc. Data &amp; Mechanisms'!$L$599:$N$659, 2, FALSE), FALSE) = "", "", VLOOKUP($A46, INDIRECT("'" &amp; 'Personalized Bill Menu'!$B$23 &amp; "'!" &amp;"$A$4:$CA$100"), VLOOKUP(VLOOKUP("RIDER RATE 3",'Misc. Data &amp; Mechanisms'!$P$601:$S$632,HLOOKUP('Personalized Bill Menu'!$B$23, 'Misc. Data &amp; Mechanisms'!$P$599:$S$600, 2, FALSE), FALSE), 'Misc. Data &amp; Mechanisms'!$L$599:$N$659, 2, FALSE), FALSE)), ""))</f>
        <v/>
      </c>
      <c r="AA46" s="69" t="str">
        <f ca="1">IF($A46="", "",IFERROR(IF(VLOOKUP($A46, INDIRECT("'" &amp; 'Personalized Bill Menu'!$B$23 &amp; "'!" &amp;"$A$4:$CA$100"), VLOOKUP(VLOOKUP("RIDER RATE 4",'Misc. Data &amp; Mechanisms'!$P$601:$S$632,HLOOKUP('Personalized Bill Menu'!$B$23, 'Misc. Data &amp; Mechanisms'!$P$599:$S$600, 2, FALSE), FALSE), 'Misc. Data &amp; Mechanisms'!$L$599:$N$659, 2, FALSE), FALSE) = "", "", VLOOKUP($A46, INDIRECT("'" &amp; 'Personalized Bill Menu'!$B$23 &amp; "'!" &amp;"$A$4:$CA$100"), VLOOKUP(VLOOKUP("RIDER RATE 4",'Misc. Data &amp; Mechanisms'!$P$601:$S$632,HLOOKUP('Personalized Bill Menu'!$B$23, 'Misc. Data &amp; Mechanisms'!$P$599:$S$600, 2, FALSE), FALSE), 'Misc. Data &amp; Mechanisms'!$L$599:$N$659, 2, FALSE), FALSE)), ""))</f>
        <v/>
      </c>
      <c r="AB46" s="69">
        <f ca="1">IF($A46="", "",IFERROR(IF(VLOOKUP($A46, INDIRECT("'" &amp; 'Personalized Bill Menu'!$B$23 &amp; "'!" &amp;"$A$4:$CA$100"), VLOOKUP(VLOOKUP("RIDER RATE 5",'Misc. Data &amp; Mechanisms'!$P$601:$S$632,HLOOKUP('Personalized Bill Menu'!$B$23, 'Misc. Data &amp; Mechanisms'!$P$599:$S$600, 2, FALSE), FALSE), 'Misc. Data &amp; Mechanisms'!$L$599:$N$659, 2, FALSE), FALSE) = "", "", VLOOKUP($A46, INDIRECT("'" &amp; 'Personalized Bill Menu'!$B$23 &amp; "'!" &amp;"$A$4:$CA$100"), VLOOKUP(VLOOKUP("RIDER RATE 5",'Misc. Data &amp; Mechanisms'!$P$601:$S$632,HLOOKUP('Personalized Bill Menu'!$B$23, 'Misc. Data &amp; Mechanisms'!$P$599:$S$600, 2, FALSE), FALSE), 'Misc. Data &amp; Mechanisms'!$L$599:$N$659, 2, FALSE), FALSE)), ""))</f>
        <v>0.73799999999999999</v>
      </c>
      <c r="AC46" s="69" t="str">
        <f ca="1">IF($A46="", "",IFERROR(IF(VLOOKUP($A46, INDIRECT("'" &amp; 'Personalized Bill Menu'!$B$23 &amp; "'!" &amp;"$A$4:$CA$100"), VLOOKUP(VLOOKUP("RIDER RATE 6",'Misc. Data &amp; Mechanisms'!$P$601:$S$632,HLOOKUP('Personalized Bill Menu'!$B$23, 'Misc. Data &amp; Mechanisms'!$P$599:$S$600, 2, FALSE), FALSE), 'Misc. Data &amp; Mechanisms'!$L$599:$N$659, 2, FALSE), FALSE) = "", "", VLOOKUP($A46, INDIRECT("'" &amp; 'Personalized Bill Menu'!$B$23 &amp; "'!" &amp;"$A$4:$CA$100"), VLOOKUP(VLOOKUP("RIDER RATE 6",'Misc. Data &amp; Mechanisms'!$P$601:$S$632,HLOOKUP('Personalized Bill Menu'!$B$23, 'Misc. Data &amp; Mechanisms'!$P$599:$S$600, 2, FALSE), FALSE), 'Misc. Data &amp; Mechanisms'!$L$599:$N$659, 2, FALSE), FALSE)), ""))</f>
        <v/>
      </c>
      <c r="AD46" s="69" t="str">
        <f ca="1">IF($A46="", "",IFERROR(IF(VLOOKUP($A46, INDIRECT("'" &amp; 'Personalized Bill Menu'!$B$23 &amp; "'!" &amp;"$A$4:$CA$100"), VLOOKUP(VLOOKUP("RIDER RATE 7",'Misc. Data &amp; Mechanisms'!$P$601:$S$632,HLOOKUP('Personalized Bill Menu'!$B$23, 'Misc. Data &amp; Mechanisms'!$P$599:$S$600, 2, FALSE), FALSE), 'Misc. Data &amp; Mechanisms'!$L$599:$N$659, 2, FALSE), FALSE) = "", "", VLOOKUP($A46, INDIRECT("'" &amp; 'Personalized Bill Menu'!$B$23 &amp; "'!" &amp;"$A$4:$CA$100"), VLOOKUP(VLOOKUP("RIDER RATE 7",'Misc. Data &amp; Mechanisms'!$P$601:$S$632,HLOOKUP('Personalized Bill Menu'!$B$23, 'Misc. Data &amp; Mechanisms'!$P$599:$S$600, 2, FALSE), FALSE), 'Misc. Data &amp; Mechanisms'!$L$599:$N$659, 2, FALSE), FALSE)), ""))</f>
        <v/>
      </c>
      <c r="AE46" s="69" t="str">
        <f ca="1">IF($A46="", "",IFERROR(IF(VLOOKUP($A46, INDIRECT("'" &amp; 'Personalized Bill Menu'!$B$23 &amp; "'!" &amp;"$A$4:$CA$100"), VLOOKUP(VLOOKUP("RIDER RATE 8",'Misc. Data &amp; Mechanisms'!$P$601:$S$632,HLOOKUP('Personalized Bill Menu'!$B$23, 'Misc. Data &amp; Mechanisms'!$P$599:$S$600, 2, FALSE), FALSE), 'Misc. Data &amp; Mechanisms'!$L$599:$N$659, 2, FALSE), FALSE) = "", "", VLOOKUP($A46, INDIRECT("'" &amp; 'Personalized Bill Menu'!$B$23 &amp; "'!" &amp;"$A$4:$CA$100"), VLOOKUP(VLOOKUP("RIDER RATE 8",'Misc. Data &amp; Mechanisms'!$P$601:$S$632,HLOOKUP('Personalized Bill Menu'!$B$23, 'Misc. Data &amp; Mechanisms'!$P$599:$S$600, 2, FALSE), FALSE), 'Misc. Data &amp; Mechanisms'!$L$599:$N$659, 2, FALSE), FALSE)), ""))</f>
        <v/>
      </c>
      <c r="AF46" s="69" t="str">
        <f ca="1">IF($A46="", "",IFERROR(IF(VLOOKUP($A46, INDIRECT("'" &amp; 'Personalized Bill Menu'!$B$23 &amp; "'!" &amp;"$A$4:$CA$100"), VLOOKUP(VLOOKUP("RIDER RATE 9",'Misc. Data &amp; Mechanisms'!$P$601:$S$632,HLOOKUP('Personalized Bill Menu'!$B$23, 'Misc. Data &amp; Mechanisms'!$P$599:$S$600, 2, FALSE), FALSE), 'Misc. Data &amp; Mechanisms'!$L$599:$N$659, 2, FALSE), FALSE) = "", "", VLOOKUP($A46, INDIRECT("'" &amp; 'Personalized Bill Menu'!$B$23 &amp; "'!" &amp;"$A$4:$CA$100"), VLOOKUP(VLOOKUP("RIDER RATE 9",'Misc. Data &amp; Mechanisms'!$P$601:$S$632,HLOOKUP('Personalized Bill Menu'!$B$23, 'Misc. Data &amp; Mechanisms'!$P$599:$S$600, 2, FALSE), FALSE), 'Misc. Data &amp; Mechanisms'!$L$599:$N$659, 2, FALSE), FALSE)), ""))</f>
        <v/>
      </c>
      <c r="AG46" s="72">
        <f ca="1">IF($A46="", "", IFERROR(IF('Personalized Bill Menu'!$B$23="ATCO-N", ($X46*$B46) +($Y46*$C46), IF('Personalized Bill Menu'!$B$23="ATCO-S",$X46*$C46, IF($Y46="", ($X46*$H46), ($Y46*($H46+$K46))))), 0))</f>
        <v>0</v>
      </c>
      <c r="AH46" s="72">
        <f ca="1">IF($A46="", "", IFERROR(IF('Personalized Bill Menu'!$B$23="ATCO-S", $Y46*$C46, $Z46*$C46), 0))</f>
        <v>0</v>
      </c>
      <c r="AI46" s="72">
        <f ca="1">IF($A46="", "", IFERROR(IF('Personalized Bill Menu'!$B$23="ATCO-S", ($AA46*$C46)+($Z46*$B46), $AA46*$C46), 0))</f>
        <v>0</v>
      </c>
      <c r="AJ46" s="72">
        <f ca="1">IF($A46="", "", IFERROR(IF('Personalized Bill Menu'!$B$23&lt;&gt;"AltaGas",$AB46*$C46,""),0))</f>
        <v>7.2276839064048506</v>
      </c>
      <c r="AK46" s="72">
        <f ca="1">IF($A46="", "", IFERROR(IF('Personalized Bill Menu'!$B$23="ATCO-S",$AC46*$C46,IF('Personalized Bill Menu'!$B$23="ATCO-N",$AC46*1,"")),0))</f>
        <v>0</v>
      </c>
      <c r="AL46" s="72">
        <f ca="1">IF($A46="", "", IFERROR(IF('Personalized Bill Menu'!$B$23="ATCO-N",$AD46*$B46,IF('Personalized Bill Menu'!$B$23="ATCO-S",$AD46*1,"")),0))</f>
        <v>0</v>
      </c>
      <c r="AM46" s="72">
        <f ca="1">IF($A46="", "", IFERROR(IF('Personalized Bill Menu'!$B$23="ATCO-S",$AE46*$B46,IF('Personalized Bill Menu'!$B$23="ATCO-N",$AE46*$B46,"")),0))</f>
        <v>0</v>
      </c>
      <c r="AN46" s="70">
        <f ca="1">IF($A46="", "", IFERROR(IF('Personalized Bill Menu'!$B$23="ATCO-S",$AF46*$B46,""),0))</f>
        <v>0</v>
      </c>
      <c r="AO46" s="69">
        <f>IF('Personalized Bill Menu'!$B$34="Natural Gas", 'Personalized Bill Menu'!$K43, IF('Personalized Bill Menu'!$B$34="Both",'Personalized Bill Menu'!$O43,""))</f>
        <v>0.223</v>
      </c>
      <c r="AP46" s="72">
        <f t="shared" si="13"/>
        <v>6.69</v>
      </c>
      <c r="AQ46" s="89" t="str">
        <f ca="1">IF($A46="", "",IF(VLOOKUP($A46, INDIRECT("'" &amp; 'Personalized Bill Menu'!$B$23 &amp; "'!" &amp;"$A$4:$CA$100"), VLOOKUP(VLOOKUP(AQ$5,'Misc. Data &amp; Mechanisms'!$P$601:$S$632,HLOOKUP('Personalized Bill Menu'!$B$23, 'Misc. Data &amp; Mechanisms'!$P$599:$S$600, 2, FALSE), FALSE), 'Misc. Data &amp; Mechanisms'!$L$599:$N$659, 2, FALSE), FALSE) = "", "", VLOOKUP($A46, INDIRECT("'" &amp; 'Personalized Bill Menu'!$B$23 &amp; "'!" &amp;"$A$4:$CA$100"), VLOOKUP(VLOOKUP(AQ$5,'Misc. Data &amp; Mechanisms'!$P$601:$S$632,HLOOKUP('Personalized Bill Menu'!$B$23, 'Misc. Data &amp; Mechanisms'!$P$599:$S$600, 2, FALSE), FALSE), 'Misc. Data &amp; Mechanisms'!$L$599:$N$659, 2, FALSE), FALSE)))</f>
        <v/>
      </c>
      <c r="AR46" s="72">
        <f t="shared" ca="1" si="14"/>
        <v>0</v>
      </c>
      <c r="AS46" s="91">
        <f ca="1">IF($A46="", "",IF(VLOOKUP($A46, INDIRECT("'" &amp; 'Personalized Bill Menu'!$B$23 &amp; "'!" &amp;"$A$4:$CA$100"), VLOOKUP(VLOOKUP(AS$5,'Misc. Data &amp; Mechanisms'!$P$601:$S$632,HLOOKUP('Personalized Bill Menu'!$B$23, 'Misc. Data &amp; Mechanisms'!$P$599:$S$600, 2, FALSE), FALSE), 'Misc. Data &amp; Mechanisms'!$L$599:$N$659, 2, FALSE), FALSE) = "", "", VLOOKUP($A46, INDIRECT("'" &amp; 'Personalized Bill Menu'!$B$23 &amp; "'!" &amp;"$A$4:$CA$100"), VLOOKUP(VLOOKUP(AS$5,'Misc. Data &amp; Mechanisms'!$P$601:$S$632,HLOOKUP('Personalized Bill Menu'!$B$23, 'Misc. Data &amp; Mechanisms'!$P$599:$S$600, 2, FALSE), FALSE), 'Misc. Data &amp; Mechanisms'!$L$599:$N$659, 2, FALSE), FALSE)))</f>
        <v>0.05</v>
      </c>
      <c r="AT46" s="116"/>
      <c r="AU46" s="116"/>
      <c r="AV46" s="116"/>
      <c r="AW46" s="116"/>
      <c r="AX46" s="116"/>
    </row>
    <row r="47" spans="1:50" s="117" customFormat="1" x14ac:dyDescent="0.3">
      <c r="A47" s="83">
        <f>'Personalized Bill Menu'!$H44</f>
        <v>42125</v>
      </c>
      <c r="B47" s="84">
        <f t="shared" si="3"/>
        <v>31</v>
      </c>
      <c r="C47" s="85">
        <f>IF('Personalized Bill Menu'!$B$34="Natural Gas", 'Personalized Bill Menu'!$I44, IF('Personalized Bill Menu'!$B$34="Both",'Personalized Bill Menu'!$M44,""))</f>
        <v>6.5541395721350089</v>
      </c>
      <c r="D47" s="66">
        <f t="shared" ca="1" si="4"/>
        <v>9.9514663411741502</v>
      </c>
      <c r="E47" s="66">
        <f ca="1">IF($C47="Not Applicable", "", IFERROR(IFERROR((1+$AS47)*IF('Personalized Bill Menu'!$B$23="ATCO-N", IF(OR('Personalized Bill Menu'!$B$21="Fort McMurray",AND('Personalized Bill Menu'!$B$21="Spruce Grove", $A47&lt;DATE(2019, 5, 1) )),(((1+IF($T47="",0,$T47))*($N47+$P47))+ (IF($U47="", 0, $U47)*$P47)+(1+IF($T47="",0,$T47)+IF($U47="", 0, $U47))*(SUM($Y47:$AB47))),($N47+((1+IF($T47="",0,$T47)+IF($U47="", 0, $U47))*$P47)+(1+IF($T47="",0,$T47)+IF($U47="", 0, $U47))*(SUM($Y47:$AB47)))), IF('Personalized Bill Menu'!$B$23="ATCO-S",IF(OR('Personalized Bill Menu'!$B$21="Calgary",AND('Personalized Bill Menu'!$B$21="Okotoks", $A47&lt;DATE(2019, 1, 1))),((1+IF($T47="",0,$T47))*($N47+$P47+SUM($X47:$Y47,$AA47:$AC47)))+(IF($U47="",0, $U47)*($P47+SUM($X47:$Y47,$AA47:$AC47))), ((1+IF($T47="",0,$T47))*($P47+SUM($Y47,$AA47:$AC47)))+(IF($U47="",0, $U47)*($P47+SUM($X47:$Y47,$AA47:$AC47)))+$N47+IF($X47="", 0, $X47)),IF(AND('Personalized Bill Menu'!$B$21="Athabasca", $A47&lt;DATE(2019, 5, 1)),((1+IF($T47="",0,$T47)+IF($U47="", 0, $U47))*($N47+((1+SUM($X47:$Y47))*$P47)+SUM($Z47:$AA47))),((1+IF($U47="", 0, $U47))*($N47+((1+SUM($X47:$Y47))*$P47)+SUM($Z47:$AA47))) + (IF($T47="",0,$T47)*(((1+SUM($X47:$Y47))*$P47)+SUM($Z47:$AA47)))))), "")+ IF($AQ47="", 0,((1+$AS47)*$AQ47)), ""))</f>
        <v>4.3632896999999993</v>
      </c>
      <c r="F47" s="118">
        <f t="shared" ca="1" si="5"/>
        <v>65.22329934745909</v>
      </c>
      <c r="G47" s="115">
        <f t="shared" si="15"/>
        <v>14.596068827144665</v>
      </c>
      <c r="H47" s="66">
        <f t="shared" ca="1" si="16"/>
        <v>30.251458168404632</v>
      </c>
      <c r="I47" s="66">
        <f t="shared" ca="1" si="17"/>
        <v>5.5199459501761057</v>
      </c>
      <c r="J47" s="66">
        <f t="shared" ca="1" si="6"/>
        <v>4.8369550042356364</v>
      </c>
      <c r="K47" s="66">
        <f t="shared" si="18"/>
        <v>6.9130000000000003</v>
      </c>
      <c r="L47" s="66">
        <f t="shared" ca="1" si="8"/>
        <v>0</v>
      </c>
      <c r="M47" s="68">
        <f t="shared" ca="1" si="9"/>
        <v>3.1058713974980523</v>
      </c>
      <c r="N47" s="1290">
        <f>IF('Personalized Bill Menu'!$B$34="Natural Gas", 'Personalized Bill Menu'!$J44, IF('Personalized Bill Menu'!$B$34="Both",'Personalized Bill Menu'!$N44,""))</f>
        <v>2.2269999999999999</v>
      </c>
      <c r="O47" s="70">
        <f t="shared" si="10"/>
        <v>14.596068827144665</v>
      </c>
      <c r="P47" s="89">
        <f ca="1">IF($A47="", "",IFERROR(IF(VLOOKUP($A47, INDIRECT("'" &amp; 'Personalized Bill Menu'!$B$23 &amp; "'!" &amp;"$A$4:$CA$100"), VLOOKUP(VLOOKUP(P$5,'Misc. Data &amp; Mechanisms'!$P$601:$S$632,HLOOKUP('Personalized Bill Menu'!$B$23, 'Misc. Data &amp; Mechanisms'!$P$599:$S$600, 2, FALSE), FALSE), 'Misc. Data &amp; Mechanisms'!$L$599:$N$659, 2, FALSE), FALSE) = "", "", VLOOKUP($A47, INDIRECT("'" &amp; 'Personalized Bill Menu'!$B$23 &amp; "'!" &amp;"$A$4:$CA$100"), VLOOKUP(VLOOKUP(P$5,'Misc. Data &amp; Mechanisms'!$P$601:$S$632,HLOOKUP('Personalized Bill Menu'!$B$23, 'Misc. Data &amp; Mechanisms'!$P$599:$S$600, 2, FALSE), FALSE), 'Misc. Data &amp; Mechanisms'!$L$599:$N$659, 2, FALSE), FALSE)), ""))</f>
        <v>0.77500000000000002</v>
      </c>
      <c r="Q47" s="69">
        <f ca="1">IF($A47="", "",IFERROR(IF(VLOOKUP($A47, INDIRECT("'" &amp; 'Personalized Bill Menu'!$B$23 &amp; "'!" &amp;"$A$4:$CA$100"), VLOOKUP(VLOOKUP(Q$5,'Misc. Data &amp; Mechanisms'!$P$601:$S$632,HLOOKUP('Personalized Bill Menu'!$B$23, 'Misc. Data &amp; Mechanisms'!$P$599:$S$600, 2, FALSE), FALSE), 'Misc. Data &amp; Mechanisms'!$L$599:$N$659, 2, FALSE), FALSE) = "", "", VLOOKUP($A47, INDIRECT("'" &amp; 'Personalized Bill Menu'!$B$23 &amp; "'!" &amp;"$A$4:$CA$100"), VLOOKUP(VLOOKUP(Q$5,'Misc. Data &amp; Mechanisms'!$P$601:$S$632,HLOOKUP('Personalized Bill Menu'!$B$23, 'Misc. Data &amp; Mechanisms'!$P$599:$S$600, 2, FALSE), FALSE), 'Misc. Data &amp; Mechanisms'!$L$599:$N$659, 2, FALSE), FALSE)), ""))</f>
        <v>0.81200000000000006</v>
      </c>
      <c r="R47" s="72">
        <f t="shared" ca="1" si="11"/>
        <v>5.0794581684046323</v>
      </c>
      <c r="S47" s="70">
        <f t="shared" ca="1" si="12"/>
        <v>25.172000000000001</v>
      </c>
      <c r="T47" s="78">
        <f>IFERROR(IF(VLOOKUP($A47,'Misc. Data &amp; Mechanisms'!$A$63:$DY$152,HLOOKUP('Personalized Bill Menu'!$B$21&amp;"_"&amp;'Personalized Bill Menu'!$B$23&amp;"_NG_Y_1",'Misc. Data &amp; Mechanisms'!$A$55:$DY$62,8,FALSE), FALSE)="", "", VLOOKUP($A47,'Misc. Data &amp; Mechanisms'!$A$63:$DY$152,HLOOKUP('Personalized Bill Menu'!$B$21&amp;"_"&amp;'Personalized Bill Menu'!$B$23&amp;"_NG_Y_1",'Misc. Data &amp; Mechanisms'!$A$55:$DY$62,8,FALSE), FALSE)), "")</f>
        <v>0.1111</v>
      </c>
      <c r="U47" s="78" t="str">
        <f>IFERROR(IF(VLOOKUP($A47,'Misc. Data &amp; Mechanisms'!$A$63:$DY$152,HLOOKUP('Personalized Bill Menu'!$B$21&amp;"_"&amp;'Personalized Bill Menu'!$B$23&amp;"_NG_Y_2",'Misc. Data &amp; Mechanisms'!$A$55:$DY$62,8,FALSE), FALSE)="", "",VLOOKUP($A47,'Misc. Data &amp; Mechanisms'!$A$63:$DY$152,HLOOKUP('Personalized Bill Menu'!$B$21&amp;"_"&amp;'Personalized Bill Menu'!$B$23&amp;"_NG_Y_2",'Misc. Data &amp; Mechanisms'!$A$55:$DY$62,8,FALSE), FALSE)), "")</f>
        <v/>
      </c>
      <c r="V47" s="72">
        <f ca="1">IF($A47="", "", IFERROR(IF('Personalized Bill Menu'!$B$23="ATCO-N", IF(OR('Personalized Bill Menu'!$B$21="Fort McMurray",AND('Personalized Bill Menu'!$B$21="Spruce Grove", $A47&lt;DATE(2019, 5, 1))),$T47*($G47+$H47+$J47),$T47*($H47+$J47)), IF('Personalized Bill Menu'!$B$23="ATCO-S",IF(OR('Personalized Bill Menu'!$B$21="Calgary",AND('Personalized Bill Menu'!$B$21="Okotoks", $A47&lt;DATE(2019, 1, 1))),$T47*($G47+$H47+$J47), $T47*($H47+$J47-$AG47)),IF(AND('Personalized Bill Menu'!$B$21="Athabasca", $A47&lt;DATE(2019, 5, 1)),$T47*($G47+$H47+$J47+$K47),$T47*($H47+$J47+$K47)))),0))</f>
        <v>5.5199459501761057</v>
      </c>
      <c r="W47" s="72">
        <f ca="1">IF($A47="", "", IFERROR(IF('Personalized Bill Menu'!$B$23="ATCO-N", $U47*($H47+$J47), IF('Personalized Bill Menu'!$B$23="ATCO-S",$U47*($H47+$J47),$U47*($G47+$H47+$J47+$K47))),0))</f>
        <v>0</v>
      </c>
      <c r="X47" s="89" t="str">
        <f ca="1">IF($A47="", "",IFERROR(IF(VLOOKUP($A47, INDIRECT("'" &amp; 'Personalized Bill Menu'!$B$23 &amp; "'!" &amp;"$A$4:$CA$100"), VLOOKUP(VLOOKUP("RIDER RATE 1",'Misc. Data &amp; Mechanisms'!$P$601:$S$632,HLOOKUP('Personalized Bill Menu'!$B$23, 'Misc. Data &amp; Mechanisms'!$P$599:$S$600, 2, FALSE), FALSE), 'Misc. Data &amp; Mechanisms'!$L$599:$N$659, 2, FALSE), FALSE) = "", "", VLOOKUP($A47, INDIRECT("'" &amp; 'Personalized Bill Menu'!$B$23 &amp; "'!" &amp;"$A$4:$CA$100"), VLOOKUP(VLOOKUP("RIDER RATE 1",'Misc. Data &amp; Mechanisms'!$P$601:$S$632,HLOOKUP('Personalized Bill Menu'!$B$23, 'Misc. Data &amp; Mechanisms'!$P$599:$S$600, 2, FALSE), FALSE), 'Misc. Data &amp; Mechanisms'!$L$599:$N$659, 2, FALSE), FALSE)), ""))</f>
        <v/>
      </c>
      <c r="Y47" s="69" t="str">
        <f ca="1">IF($A47="", "",IFERROR(IF(VLOOKUP($A47, INDIRECT("'" &amp; 'Personalized Bill Menu'!$B$23 &amp; "'!" &amp;"$A$4:$CA$100"), VLOOKUP(VLOOKUP("RIDER RATE 2",'Misc. Data &amp; Mechanisms'!$P$601:$S$632,HLOOKUP('Personalized Bill Menu'!$B$23, 'Misc. Data &amp; Mechanisms'!$P$599:$S$600, 2, FALSE), FALSE), 'Misc. Data &amp; Mechanisms'!$L$599:$N$659, 2, FALSE), FALSE) = "", "", VLOOKUP($A47, INDIRECT("'" &amp; 'Personalized Bill Menu'!$B$23 &amp; "'!" &amp;"$A$4:$CA$100"), VLOOKUP(VLOOKUP("RIDER RATE 2",'Misc. Data &amp; Mechanisms'!$P$601:$S$632,HLOOKUP('Personalized Bill Menu'!$B$23, 'Misc. Data &amp; Mechanisms'!$P$599:$S$600, 2, FALSE), FALSE), 'Misc. Data &amp; Mechanisms'!$L$599:$N$659, 2, FALSE), FALSE)), ""))</f>
        <v/>
      </c>
      <c r="Z47" s="69" t="str">
        <f ca="1">IF($A47="", "",IFERROR(IF(VLOOKUP($A47, INDIRECT("'" &amp; 'Personalized Bill Menu'!$B$23 &amp; "'!" &amp;"$A$4:$CA$100"), VLOOKUP(VLOOKUP("RIDER RATE 3",'Misc. Data &amp; Mechanisms'!$P$601:$S$632,HLOOKUP('Personalized Bill Menu'!$B$23, 'Misc. Data &amp; Mechanisms'!$P$599:$S$600, 2, FALSE), FALSE), 'Misc. Data &amp; Mechanisms'!$L$599:$N$659, 2, FALSE), FALSE) = "", "", VLOOKUP($A47, INDIRECT("'" &amp; 'Personalized Bill Menu'!$B$23 &amp; "'!" &amp;"$A$4:$CA$100"), VLOOKUP(VLOOKUP("RIDER RATE 3",'Misc. Data &amp; Mechanisms'!$P$601:$S$632,HLOOKUP('Personalized Bill Menu'!$B$23, 'Misc. Data &amp; Mechanisms'!$P$599:$S$600, 2, FALSE), FALSE), 'Misc. Data &amp; Mechanisms'!$L$599:$N$659, 2, FALSE), FALSE)), ""))</f>
        <v/>
      </c>
      <c r="AA47" s="69" t="str">
        <f ca="1">IF($A47="", "",IFERROR(IF(VLOOKUP($A47, INDIRECT("'" &amp; 'Personalized Bill Menu'!$B$23 &amp; "'!" &amp;"$A$4:$CA$100"), VLOOKUP(VLOOKUP("RIDER RATE 4",'Misc. Data &amp; Mechanisms'!$P$601:$S$632,HLOOKUP('Personalized Bill Menu'!$B$23, 'Misc. Data &amp; Mechanisms'!$P$599:$S$600, 2, FALSE), FALSE), 'Misc. Data &amp; Mechanisms'!$L$599:$N$659, 2, FALSE), FALSE) = "", "", VLOOKUP($A47, INDIRECT("'" &amp; 'Personalized Bill Menu'!$B$23 &amp; "'!" &amp;"$A$4:$CA$100"), VLOOKUP(VLOOKUP("RIDER RATE 4",'Misc. Data &amp; Mechanisms'!$P$601:$S$632,HLOOKUP('Personalized Bill Menu'!$B$23, 'Misc. Data &amp; Mechanisms'!$P$599:$S$600, 2, FALSE), FALSE), 'Misc. Data &amp; Mechanisms'!$L$599:$N$659, 2, FALSE), FALSE)), ""))</f>
        <v/>
      </c>
      <c r="AB47" s="69">
        <f ca="1">IF($A47="", "",IFERROR(IF(VLOOKUP($A47, INDIRECT("'" &amp; 'Personalized Bill Menu'!$B$23 &amp; "'!" &amp;"$A$4:$CA$100"), VLOOKUP(VLOOKUP("RIDER RATE 5",'Misc. Data &amp; Mechanisms'!$P$601:$S$632,HLOOKUP('Personalized Bill Menu'!$B$23, 'Misc. Data &amp; Mechanisms'!$P$599:$S$600, 2, FALSE), FALSE), 'Misc. Data &amp; Mechanisms'!$L$599:$N$659, 2, FALSE), FALSE) = "", "", VLOOKUP($A47, INDIRECT("'" &amp; 'Personalized Bill Menu'!$B$23 &amp; "'!" &amp;"$A$4:$CA$100"), VLOOKUP(VLOOKUP("RIDER RATE 5",'Misc. Data &amp; Mechanisms'!$P$601:$S$632,HLOOKUP('Personalized Bill Menu'!$B$23, 'Misc. Data &amp; Mechanisms'!$P$599:$S$600, 2, FALSE), FALSE), 'Misc. Data &amp; Mechanisms'!$L$599:$N$659, 2, FALSE), FALSE)), ""))</f>
        <v>0.73799999999999999</v>
      </c>
      <c r="AC47" s="69" t="str">
        <f ca="1">IF($A47="", "",IFERROR(IF(VLOOKUP($A47, INDIRECT("'" &amp; 'Personalized Bill Menu'!$B$23 &amp; "'!" &amp;"$A$4:$CA$100"), VLOOKUP(VLOOKUP("RIDER RATE 6",'Misc. Data &amp; Mechanisms'!$P$601:$S$632,HLOOKUP('Personalized Bill Menu'!$B$23, 'Misc. Data &amp; Mechanisms'!$P$599:$S$600, 2, FALSE), FALSE), 'Misc. Data &amp; Mechanisms'!$L$599:$N$659, 2, FALSE), FALSE) = "", "", VLOOKUP($A47, INDIRECT("'" &amp; 'Personalized Bill Menu'!$B$23 &amp; "'!" &amp;"$A$4:$CA$100"), VLOOKUP(VLOOKUP("RIDER RATE 6",'Misc. Data &amp; Mechanisms'!$P$601:$S$632,HLOOKUP('Personalized Bill Menu'!$B$23, 'Misc. Data &amp; Mechanisms'!$P$599:$S$600, 2, FALSE), FALSE), 'Misc. Data &amp; Mechanisms'!$L$599:$N$659, 2, FALSE), FALSE)), ""))</f>
        <v/>
      </c>
      <c r="AD47" s="69" t="str">
        <f ca="1">IF($A47="", "",IFERROR(IF(VLOOKUP($A47, INDIRECT("'" &amp; 'Personalized Bill Menu'!$B$23 &amp; "'!" &amp;"$A$4:$CA$100"), VLOOKUP(VLOOKUP("RIDER RATE 7",'Misc. Data &amp; Mechanisms'!$P$601:$S$632,HLOOKUP('Personalized Bill Menu'!$B$23, 'Misc. Data &amp; Mechanisms'!$P$599:$S$600, 2, FALSE), FALSE), 'Misc. Data &amp; Mechanisms'!$L$599:$N$659, 2, FALSE), FALSE) = "", "", VLOOKUP($A47, INDIRECT("'" &amp; 'Personalized Bill Menu'!$B$23 &amp; "'!" &amp;"$A$4:$CA$100"), VLOOKUP(VLOOKUP("RIDER RATE 7",'Misc. Data &amp; Mechanisms'!$P$601:$S$632,HLOOKUP('Personalized Bill Menu'!$B$23, 'Misc. Data &amp; Mechanisms'!$P$599:$S$600, 2, FALSE), FALSE), 'Misc. Data &amp; Mechanisms'!$L$599:$N$659, 2, FALSE), FALSE)), ""))</f>
        <v/>
      </c>
      <c r="AE47" s="69" t="str">
        <f ca="1">IF($A47="", "",IFERROR(IF(VLOOKUP($A47, INDIRECT("'" &amp; 'Personalized Bill Menu'!$B$23 &amp; "'!" &amp;"$A$4:$CA$100"), VLOOKUP(VLOOKUP("RIDER RATE 8",'Misc. Data &amp; Mechanisms'!$P$601:$S$632,HLOOKUP('Personalized Bill Menu'!$B$23, 'Misc. Data &amp; Mechanisms'!$P$599:$S$600, 2, FALSE), FALSE), 'Misc. Data &amp; Mechanisms'!$L$599:$N$659, 2, FALSE), FALSE) = "", "", VLOOKUP($A47, INDIRECT("'" &amp; 'Personalized Bill Menu'!$B$23 &amp; "'!" &amp;"$A$4:$CA$100"), VLOOKUP(VLOOKUP("RIDER RATE 8",'Misc. Data &amp; Mechanisms'!$P$601:$S$632,HLOOKUP('Personalized Bill Menu'!$B$23, 'Misc. Data &amp; Mechanisms'!$P$599:$S$600, 2, FALSE), FALSE), 'Misc. Data &amp; Mechanisms'!$L$599:$N$659, 2, FALSE), FALSE)), ""))</f>
        <v/>
      </c>
      <c r="AF47" s="69" t="str">
        <f ca="1">IF($A47="", "",IFERROR(IF(VLOOKUP($A47, INDIRECT("'" &amp; 'Personalized Bill Menu'!$B$23 &amp; "'!" &amp;"$A$4:$CA$100"), VLOOKUP(VLOOKUP("RIDER RATE 9",'Misc. Data &amp; Mechanisms'!$P$601:$S$632,HLOOKUP('Personalized Bill Menu'!$B$23, 'Misc. Data &amp; Mechanisms'!$P$599:$S$600, 2, FALSE), FALSE), 'Misc. Data &amp; Mechanisms'!$L$599:$N$659, 2, FALSE), FALSE) = "", "", VLOOKUP($A47, INDIRECT("'" &amp; 'Personalized Bill Menu'!$B$23 &amp; "'!" &amp;"$A$4:$CA$100"), VLOOKUP(VLOOKUP("RIDER RATE 9",'Misc. Data &amp; Mechanisms'!$P$601:$S$632,HLOOKUP('Personalized Bill Menu'!$B$23, 'Misc. Data &amp; Mechanisms'!$P$599:$S$600, 2, FALSE), FALSE), 'Misc. Data &amp; Mechanisms'!$L$599:$N$659, 2, FALSE), FALSE)), ""))</f>
        <v/>
      </c>
      <c r="AG47" s="72">
        <f ca="1">IF($A47="", "", IFERROR(IF('Personalized Bill Menu'!$B$23="ATCO-N", ($X47*$B47) +($Y47*$C47), IF('Personalized Bill Menu'!$B$23="ATCO-S",$X47*$C47, IF($Y47="", ($X47*$H47), ($Y47*($H47+$K47))))), 0))</f>
        <v>0</v>
      </c>
      <c r="AH47" s="72">
        <f ca="1">IF($A47="", "", IFERROR(IF('Personalized Bill Menu'!$B$23="ATCO-S", $Y47*$C47, $Z47*$C47), 0))</f>
        <v>0</v>
      </c>
      <c r="AI47" s="72">
        <f ca="1">IF($A47="", "", IFERROR(IF('Personalized Bill Menu'!$B$23="ATCO-S", ($AA47*$C47)+($Z47*$B47), $AA47*$C47), 0))</f>
        <v>0</v>
      </c>
      <c r="AJ47" s="72">
        <f ca="1">IF($A47="", "", IFERROR(IF('Personalized Bill Menu'!$B$23&lt;&gt;"AltaGas",$AB47*$C47,""),0))</f>
        <v>4.8369550042356364</v>
      </c>
      <c r="AK47" s="72">
        <f ca="1">IF($A47="", "", IFERROR(IF('Personalized Bill Menu'!$B$23="ATCO-S",$AC47*$C47,IF('Personalized Bill Menu'!$B$23="ATCO-N",$AC47*1,"")),0))</f>
        <v>0</v>
      </c>
      <c r="AL47" s="72">
        <f ca="1">IF($A47="", "", IFERROR(IF('Personalized Bill Menu'!$B$23="ATCO-N",$AD47*$B47,IF('Personalized Bill Menu'!$B$23="ATCO-S",$AD47*1,"")),0))</f>
        <v>0</v>
      </c>
      <c r="AM47" s="72">
        <f ca="1">IF($A47="", "", IFERROR(IF('Personalized Bill Menu'!$B$23="ATCO-S",$AE47*$B47,IF('Personalized Bill Menu'!$B$23="ATCO-N",$AE47*$B47,"")),0))</f>
        <v>0</v>
      </c>
      <c r="AN47" s="70">
        <f ca="1">IF($A47="", "", IFERROR(IF('Personalized Bill Menu'!$B$23="ATCO-S",$AF47*$B47,""),0))</f>
        <v>0</v>
      </c>
      <c r="AO47" s="69">
        <f>IF('Personalized Bill Menu'!$B$34="Natural Gas", 'Personalized Bill Menu'!$K44, IF('Personalized Bill Menu'!$B$34="Both",'Personalized Bill Menu'!$O44,""))</f>
        <v>0.223</v>
      </c>
      <c r="AP47" s="72">
        <f t="shared" si="13"/>
        <v>6.9130000000000003</v>
      </c>
      <c r="AQ47" s="89" t="str">
        <f ca="1">IF($A47="", "",IF(VLOOKUP($A47, INDIRECT("'" &amp; 'Personalized Bill Menu'!$B$23 &amp; "'!" &amp;"$A$4:$CA$100"), VLOOKUP(VLOOKUP(AQ$5,'Misc. Data &amp; Mechanisms'!$P$601:$S$632,HLOOKUP('Personalized Bill Menu'!$B$23, 'Misc. Data &amp; Mechanisms'!$P$599:$S$600, 2, FALSE), FALSE), 'Misc. Data &amp; Mechanisms'!$L$599:$N$659, 2, FALSE), FALSE) = "", "", VLOOKUP($A47, INDIRECT("'" &amp; 'Personalized Bill Menu'!$B$23 &amp; "'!" &amp;"$A$4:$CA$100"), VLOOKUP(VLOOKUP(AQ$5,'Misc. Data &amp; Mechanisms'!$P$601:$S$632,HLOOKUP('Personalized Bill Menu'!$B$23, 'Misc. Data &amp; Mechanisms'!$P$599:$S$600, 2, FALSE), FALSE), 'Misc. Data &amp; Mechanisms'!$L$599:$N$659, 2, FALSE), FALSE)))</f>
        <v/>
      </c>
      <c r="AR47" s="72">
        <f t="shared" ca="1" si="14"/>
        <v>0</v>
      </c>
      <c r="AS47" s="91">
        <f ca="1">IF($A47="", "",IF(VLOOKUP($A47, INDIRECT("'" &amp; 'Personalized Bill Menu'!$B$23 &amp; "'!" &amp;"$A$4:$CA$100"), VLOOKUP(VLOOKUP(AS$5,'Misc. Data &amp; Mechanisms'!$P$601:$S$632,HLOOKUP('Personalized Bill Menu'!$B$23, 'Misc. Data &amp; Mechanisms'!$P$599:$S$600, 2, FALSE), FALSE), 'Misc. Data &amp; Mechanisms'!$L$599:$N$659, 2, FALSE), FALSE) = "", "", VLOOKUP($A47, INDIRECT("'" &amp; 'Personalized Bill Menu'!$B$23 &amp; "'!" &amp;"$A$4:$CA$100"), VLOOKUP(VLOOKUP(AS$5,'Misc. Data &amp; Mechanisms'!$P$601:$S$632,HLOOKUP('Personalized Bill Menu'!$B$23, 'Misc. Data &amp; Mechanisms'!$P$599:$S$600, 2, FALSE), FALSE), 'Misc. Data &amp; Mechanisms'!$L$599:$N$659, 2, FALSE), FALSE)))</f>
        <v>0.05</v>
      </c>
      <c r="AT47" s="116"/>
      <c r="AU47" s="116"/>
      <c r="AV47" s="116"/>
      <c r="AW47" s="116"/>
      <c r="AX47" s="116"/>
    </row>
    <row r="48" spans="1:50" s="117" customFormat="1" x14ac:dyDescent="0.3">
      <c r="A48" s="83">
        <f>'Personalized Bill Menu'!$H45</f>
        <v>42156</v>
      </c>
      <c r="B48" s="84">
        <f t="shared" si="3"/>
        <v>30</v>
      </c>
      <c r="C48" s="85">
        <f>IF('Personalized Bill Menu'!$B$34="Natural Gas", 'Personalized Bill Menu'!$I45, IF('Personalized Bill Menu'!$B$34="Both",'Personalized Bill Menu'!$M45,""))</f>
        <v>3.4828054769975751</v>
      </c>
      <c r="D48" s="66">
        <f t="shared" ca="1" si="4"/>
        <v>16.306520513292877</v>
      </c>
      <c r="E48" s="66">
        <f ca="1">IF($C48="Not Applicable", "", IFERROR(IFERROR((1+$AS48)*IF('Personalized Bill Menu'!$B$23="ATCO-N", IF(OR('Personalized Bill Menu'!$B$21="Fort McMurray",AND('Personalized Bill Menu'!$B$21="Spruce Grove", $A48&lt;DATE(2019, 5, 1) )),(((1+IF($T48="",0,$T48))*($N48+$P48))+ (IF($U48="", 0, $U48)*$P48)+(1+IF($T48="",0,$T48)+IF($U48="", 0, $U48))*(SUM($Y48:$AB48))),($N48+((1+IF($T48="",0,$T48)+IF($U48="", 0, $U48))*$P48)+(1+IF($T48="",0,$T48)+IF($U48="", 0, $U48))*(SUM($Y48:$AB48)))), IF('Personalized Bill Menu'!$B$23="ATCO-S",IF(OR('Personalized Bill Menu'!$B$21="Calgary",AND('Personalized Bill Menu'!$B$21="Okotoks", $A48&lt;DATE(2019, 1, 1))),((1+IF($T48="",0,$T48))*($N48+$P48+SUM($X48:$Y48,$AA48:$AC48)))+(IF($U48="",0, $U48)*($P48+SUM($X48:$Y48,$AA48:$AC48))), ((1+IF($T48="",0,$T48))*($P48+SUM($Y48,$AA48:$AC48)))+(IF($U48="",0, $U48)*($P48+SUM($X48:$Y48,$AA48:$AC48)))+$N48+IF($X48="", 0, $X48)),IF(AND('Personalized Bill Menu'!$B$21="Athabasca", $A48&lt;DATE(2019, 5, 1)),((1+IF($T48="",0,$T48)+IF($U48="", 0, $U48))*($N48+((1+SUM($X48:$Y48))*$P48)+SUM($Z48:$AA48))),((1+IF($U48="", 0, $U48))*($N48+((1+SUM($X48:$Y48))*$P48)+SUM($Z48:$AA48))) + (IF($T48="",0,$T48)*(((1+SUM($X48:$Y48))*$P48)+SUM($Z48:$AA48)))))), "")+ IF($AQ48="", 0,((1+$AS48)*$AQ48)), ""))</f>
        <v>6.1296053699999993</v>
      </c>
      <c r="F48" s="118">
        <f t="shared" ca="1" si="5"/>
        <v>56.792438954469745</v>
      </c>
      <c r="G48" s="115">
        <f t="shared" si="15"/>
        <v>13.029175289447929</v>
      </c>
      <c r="H48" s="66">
        <f t="shared" ca="1" si="16"/>
        <v>27.059174244673123</v>
      </c>
      <c r="I48" s="66">
        <f t="shared" ca="1" si="17"/>
        <v>4.7393771233497386</v>
      </c>
      <c r="J48" s="66">
        <f t="shared" ca="1" si="6"/>
        <v>2.5703104420242102</v>
      </c>
      <c r="K48" s="66">
        <f t="shared" si="18"/>
        <v>6.69</v>
      </c>
      <c r="L48" s="66">
        <f t="shared" ca="1" si="8"/>
        <v>0</v>
      </c>
      <c r="M48" s="68">
        <f t="shared" ca="1" si="9"/>
        <v>2.7044018549747499</v>
      </c>
      <c r="N48" s="1290">
        <f>IF('Personalized Bill Menu'!$B$34="Natural Gas", 'Personalized Bill Menu'!$J45, IF('Personalized Bill Menu'!$B$34="Both",'Personalized Bill Menu'!$N45,""))</f>
        <v>3.7410000000000001</v>
      </c>
      <c r="O48" s="70">
        <f t="shared" si="10"/>
        <v>13.029175289447929</v>
      </c>
      <c r="P48" s="89">
        <f ca="1">IF($A48="", "",IFERROR(IF(VLOOKUP($A48, INDIRECT("'" &amp; 'Personalized Bill Menu'!$B$23 &amp; "'!" &amp;"$A$4:$CA$100"), VLOOKUP(VLOOKUP(P$5,'Misc. Data &amp; Mechanisms'!$P$601:$S$632,HLOOKUP('Personalized Bill Menu'!$B$23, 'Misc. Data &amp; Mechanisms'!$P$599:$S$600, 2, FALSE), FALSE), 'Misc. Data &amp; Mechanisms'!$L$599:$N$659, 2, FALSE), FALSE) = "", "", VLOOKUP($A48, INDIRECT("'" &amp; 'Personalized Bill Menu'!$B$23 &amp; "'!" &amp;"$A$4:$CA$100"), VLOOKUP(VLOOKUP(P$5,'Misc. Data &amp; Mechanisms'!$P$601:$S$632,HLOOKUP('Personalized Bill Menu'!$B$23, 'Misc. Data &amp; Mechanisms'!$P$599:$S$600, 2, FALSE), FALSE), 'Misc. Data &amp; Mechanisms'!$L$599:$N$659, 2, FALSE), FALSE)), ""))</f>
        <v>0.77500000000000002</v>
      </c>
      <c r="Q48" s="69">
        <f ca="1">IF($A48="", "",IFERROR(IF(VLOOKUP($A48, INDIRECT("'" &amp; 'Personalized Bill Menu'!$B$23 &amp; "'!" &amp;"$A$4:$CA$100"), VLOOKUP(VLOOKUP(Q$5,'Misc. Data &amp; Mechanisms'!$P$601:$S$632,HLOOKUP('Personalized Bill Menu'!$B$23, 'Misc. Data &amp; Mechanisms'!$P$599:$S$600, 2, FALSE), FALSE), 'Misc. Data &amp; Mechanisms'!$L$599:$N$659, 2, FALSE), FALSE) = "", "", VLOOKUP($A48, INDIRECT("'" &amp; 'Personalized Bill Menu'!$B$23 &amp; "'!" &amp;"$A$4:$CA$100"), VLOOKUP(VLOOKUP(Q$5,'Misc. Data &amp; Mechanisms'!$P$601:$S$632,HLOOKUP('Personalized Bill Menu'!$B$23, 'Misc. Data &amp; Mechanisms'!$P$599:$S$600, 2, FALSE), FALSE), 'Misc. Data &amp; Mechanisms'!$L$599:$N$659, 2, FALSE), FALSE)), ""))</f>
        <v>0.81200000000000006</v>
      </c>
      <c r="R48" s="72">
        <f t="shared" ca="1" si="11"/>
        <v>2.6991742446731206</v>
      </c>
      <c r="S48" s="70">
        <f t="shared" ca="1" si="12"/>
        <v>24.360000000000003</v>
      </c>
      <c r="T48" s="78">
        <f>IFERROR(IF(VLOOKUP($A48,'Misc. Data &amp; Mechanisms'!$A$63:$DY$152,HLOOKUP('Personalized Bill Menu'!$B$21&amp;"_"&amp;'Personalized Bill Menu'!$B$23&amp;"_NG_Y_1",'Misc. Data &amp; Mechanisms'!$A$55:$DY$62,8,FALSE), FALSE)="", "", VLOOKUP($A48,'Misc. Data &amp; Mechanisms'!$A$63:$DY$152,HLOOKUP('Personalized Bill Menu'!$B$21&amp;"_"&amp;'Personalized Bill Menu'!$B$23&amp;"_NG_Y_1",'Misc. Data &amp; Mechanisms'!$A$55:$DY$62,8,FALSE), FALSE)), "")</f>
        <v>0.1111</v>
      </c>
      <c r="U48" s="78" t="str">
        <f>IFERROR(IF(VLOOKUP($A48,'Misc. Data &amp; Mechanisms'!$A$63:$DY$152,HLOOKUP('Personalized Bill Menu'!$B$21&amp;"_"&amp;'Personalized Bill Menu'!$B$23&amp;"_NG_Y_2",'Misc. Data &amp; Mechanisms'!$A$55:$DY$62,8,FALSE), FALSE)="", "",VLOOKUP($A48,'Misc. Data &amp; Mechanisms'!$A$63:$DY$152,HLOOKUP('Personalized Bill Menu'!$B$21&amp;"_"&amp;'Personalized Bill Menu'!$B$23&amp;"_NG_Y_2",'Misc. Data &amp; Mechanisms'!$A$55:$DY$62,8,FALSE), FALSE)), "")</f>
        <v/>
      </c>
      <c r="V48" s="72">
        <f ca="1">IF($A48="", "", IFERROR(IF('Personalized Bill Menu'!$B$23="ATCO-N", IF(OR('Personalized Bill Menu'!$B$21="Fort McMurray",AND('Personalized Bill Menu'!$B$21="Spruce Grove", $A48&lt;DATE(2019, 5, 1))),$T48*($G48+$H48+$J48),$T48*($H48+$J48)), IF('Personalized Bill Menu'!$B$23="ATCO-S",IF(OR('Personalized Bill Menu'!$B$21="Calgary",AND('Personalized Bill Menu'!$B$21="Okotoks", $A48&lt;DATE(2019, 1, 1))),$T48*($G48+$H48+$J48), $T48*($H48+$J48-$AG48)),IF(AND('Personalized Bill Menu'!$B$21="Athabasca", $A48&lt;DATE(2019, 5, 1)),$T48*($G48+$H48+$J48+$K48),$T48*($H48+$J48+$K48)))),0))</f>
        <v>4.7393771233497386</v>
      </c>
      <c r="W48" s="72">
        <f ca="1">IF($A48="", "", IFERROR(IF('Personalized Bill Menu'!$B$23="ATCO-N", $U48*($H48+$J48), IF('Personalized Bill Menu'!$B$23="ATCO-S",$U48*($H48+$J48),$U48*($G48+$H48+$J48+$K48))),0))</f>
        <v>0</v>
      </c>
      <c r="X48" s="89" t="str">
        <f ca="1">IF($A48="", "",IFERROR(IF(VLOOKUP($A48, INDIRECT("'" &amp; 'Personalized Bill Menu'!$B$23 &amp; "'!" &amp;"$A$4:$CA$100"), VLOOKUP(VLOOKUP("RIDER RATE 1",'Misc. Data &amp; Mechanisms'!$P$601:$S$632,HLOOKUP('Personalized Bill Menu'!$B$23, 'Misc. Data &amp; Mechanisms'!$P$599:$S$600, 2, FALSE), FALSE), 'Misc. Data &amp; Mechanisms'!$L$599:$N$659, 2, FALSE), FALSE) = "", "", VLOOKUP($A48, INDIRECT("'" &amp; 'Personalized Bill Menu'!$B$23 &amp; "'!" &amp;"$A$4:$CA$100"), VLOOKUP(VLOOKUP("RIDER RATE 1",'Misc. Data &amp; Mechanisms'!$P$601:$S$632,HLOOKUP('Personalized Bill Menu'!$B$23, 'Misc. Data &amp; Mechanisms'!$P$599:$S$600, 2, FALSE), FALSE), 'Misc. Data &amp; Mechanisms'!$L$599:$N$659, 2, FALSE), FALSE)), ""))</f>
        <v/>
      </c>
      <c r="Y48" s="69" t="str">
        <f ca="1">IF($A48="", "",IFERROR(IF(VLOOKUP($A48, INDIRECT("'" &amp; 'Personalized Bill Menu'!$B$23 &amp; "'!" &amp;"$A$4:$CA$100"), VLOOKUP(VLOOKUP("RIDER RATE 2",'Misc. Data &amp; Mechanisms'!$P$601:$S$632,HLOOKUP('Personalized Bill Menu'!$B$23, 'Misc. Data &amp; Mechanisms'!$P$599:$S$600, 2, FALSE), FALSE), 'Misc. Data &amp; Mechanisms'!$L$599:$N$659, 2, FALSE), FALSE) = "", "", VLOOKUP($A48, INDIRECT("'" &amp; 'Personalized Bill Menu'!$B$23 &amp; "'!" &amp;"$A$4:$CA$100"), VLOOKUP(VLOOKUP("RIDER RATE 2",'Misc. Data &amp; Mechanisms'!$P$601:$S$632,HLOOKUP('Personalized Bill Menu'!$B$23, 'Misc. Data &amp; Mechanisms'!$P$599:$S$600, 2, FALSE), FALSE), 'Misc. Data &amp; Mechanisms'!$L$599:$N$659, 2, FALSE), FALSE)), ""))</f>
        <v/>
      </c>
      <c r="Z48" s="69" t="str">
        <f ca="1">IF($A48="", "",IFERROR(IF(VLOOKUP($A48, INDIRECT("'" &amp; 'Personalized Bill Menu'!$B$23 &amp; "'!" &amp;"$A$4:$CA$100"), VLOOKUP(VLOOKUP("RIDER RATE 3",'Misc. Data &amp; Mechanisms'!$P$601:$S$632,HLOOKUP('Personalized Bill Menu'!$B$23, 'Misc. Data &amp; Mechanisms'!$P$599:$S$600, 2, FALSE), FALSE), 'Misc. Data &amp; Mechanisms'!$L$599:$N$659, 2, FALSE), FALSE) = "", "", VLOOKUP($A48, INDIRECT("'" &amp; 'Personalized Bill Menu'!$B$23 &amp; "'!" &amp;"$A$4:$CA$100"), VLOOKUP(VLOOKUP("RIDER RATE 3",'Misc. Data &amp; Mechanisms'!$P$601:$S$632,HLOOKUP('Personalized Bill Menu'!$B$23, 'Misc. Data &amp; Mechanisms'!$P$599:$S$600, 2, FALSE), FALSE), 'Misc. Data &amp; Mechanisms'!$L$599:$N$659, 2, FALSE), FALSE)), ""))</f>
        <v/>
      </c>
      <c r="AA48" s="69" t="str">
        <f ca="1">IF($A48="", "",IFERROR(IF(VLOOKUP($A48, INDIRECT("'" &amp; 'Personalized Bill Menu'!$B$23 &amp; "'!" &amp;"$A$4:$CA$100"), VLOOKUP(VLOOKUP("RIDER RATE 4",'Misc. Data &amp; Mechanisms'!$P$601:$S$632,HLOOKUP('Personalized Bill Menu'!$B$23, 'Misc. Data &amp; Mechanisms'!$P$599:$S$600, 2, FALSE), FALSE), 'Misc. Data &amp; Mechanisms'!$L$599:$N$659, 2, FALSE), FALSE) = "", "", VLOOKUP($A48, INDIRECT("'" &amp; 'Personalized Bill Menu'!$B$23 &amp; "'!" &amp;"$A$4:$CA$100"), VLOOKUP(VLOOKUP("RIDER RATE 4",'Misc. Data &amp; Mechanisms'!$P$601:$S$632,HLOOKUP('Personalized Bill Menu'!$B$23, 'Misc. Data &amp; Mechanisms'!$P$599:$S$600, 2, FALSE), FALSE), 'Misc. Data &amp; Mechanisms'!$L$599:$N$659, 2, FALSE), FALSE)), ""))</f>
        <v/>
      </c>
      <c r="AB48" s="69">
        <f ca="1">IF($A48="", "",IFERROR(IF(VLOOKUP($A48, INDIRECT("'" &amp; 'Personalized Bill Menu'!$B$23 &amp; "'!" &amp;"$A$4:$CA$100"), VLOOKUP(VLOOKUP("RIDER RATE 5",'Misc. Data &amp; Mechanisms'!$P$601:$S$632,HLOOKUP('Personalized Bill Menu'!$B$23, 'Misc. Data &amp; Mechanisms'!$P$599:$S$600, 2, FALSE), FALSE), 'Misc. Data &amp; Mechanisms'!$L$599:$N$659, 2, FALSE), FALSE) = "", "", VLOOKUP($A48, INDIRECT("'" &amp; 'Personalized Bill Menu'!$B$23 &amp; "'!" &amp;"$A$4:$CA$100"), VLOOKUP(VLOOKUP("RIDER RATE 5",'Misc. Data &amp; Mechanisms'!$P$601:$S$632,HLOOKUP('Personalized Bill Menu'!$B$23, 'Misc. Data &amp; Mechanisms'!$P$599:$S$600, 2, FALSE), FALSE), 'Misc. Data &amp; Mechanisms'!$L$599:$N$659, 2, FALSE), FALSE)), ""))</f>
        <v>0.73799999999999999</v>
      </c>
      <c r="AC48" s="69" t="str">
        <f ca="1">IF($A48="", "",IFERROR(IF(VLOOKUP($A48, INDIRECT("'" &amp; 'Personalized Bill Menu'!$B$23 &amp; "'!" &amp;"$A$4:$CA$100"), VLOOKUP(VLOOKUP("RIDER RATE 6",'Misc. Data &amp; Mechanisms'!$P$601:$S$632,HLOOKUP('Personalized Bill Menu'!$B$23, 'Misc. Data &amp; Mechanisms'!$P$599:$S$600, 2, FALSE), FALSE), 'Misc. Data &amp; Mechanisms'!$L$599:$N$659, 2, FALSE), FALSE) = "", "", VLOOKUP($A48, INDIRECT("'" &amp; 'Personalized Bill Menu'!$B$23 &amp; "'!" &amp;"$A$4:$CA$100"), VLOOKUP(VLOOKUP("RIDER RATE 6",'Misc. Data &amp; Mechanisms'!$P$601:$S$632,HLOOKUP('Personalized Bill Menu'!$B$23, 'Misc. Data &amp; Mechanisms'!$P$599:$S$600, 2, FALSE), FALSE), 'Misc. Data &amp; Mechanisms'!$L$599:$N$659, 2, FALSE), FALSE)), ""))</f>
        <v/>
      </c>
      <c r="AD48" s="69" t="str">
        <f ca="1">IF($A48="", "",IFERROR(IF(VLOOKUP($A48, INDIRECT("'" &amp; 'Personalized Bill Menu'!$B$23 &amp; "'!" &amp;"$A$4:$CA$100"), VLOOKUP(VLOOKUP("RIDER RATE 7",'Misc. Data &amp; Mechanisms'!$P$601:$S$632,HLOOKUP('Personalized Bill Menu'!$B$23, 'Misc. Data &amp; Mechanisms'!$P$599:$S$600, 2, FALSE), FALSE), 'Misc. Data &amp; Mechanisms'!$L$599:$N$659, 2, FALSE), FALSE) = "", "", VLOOKUP($A48, INDIRECT("'" &amp; 'Personalized Bill Menu'!$B$23 &amp; "'!" &amp;"$A$4:$CA$100"), VLOOKUP(VLOOKUP("RIDER RATE 7",'Misc. Data &amp; Mechanisms'!$P$601:$S$632,HLOOKUP('Personalized Bill Menu'!$B$23, 'Misc. Data &amp; Mechanisms'!$P$599:$S$600, 2, FALSE), FALSE), 'Misc. Data &amp; Mechanisms'!$L$599:$N$659, 2, FALSE), FALSE)), ""))</f>
        <v/>
      </c>
      <c r="AE48" s="69" t="str">
        <f ca="1">IF($A48="", "",IFERROR(IF(VLOOKUP($A48, INDIRECT("'" &amp; 'Personalized Bill Menu'!$B$23 &amp; "'!" &amp;"$A$4:$CA$100"), VLOOKUP(VLOOKUP("RIDER RATE 8",'Misc. Data &amp; Mechanisms'!$P$601:$S$632,HLOOKUP('Personalized Bill Menu'!$B$23, 'Misc. Data &amp; Mechanisms'!$P$599:$S$600, 2, FALSE), FALSE), 'Misc. Data &amp; Mechanisms'!$L$599:$N$659, 2, FALSE), FALSE) = "", "", VLOOKUP($A48, INDIRECT("'" &amp; 'Personalized Bill Menu'!$B$23 &amp; "'!" &amp;"$A$4:$CA$100"), VLOOKUP(VLOOKUP("RIDER RATE 8",'Misc. Data &amp; Mechanisms'!$P$601:$S$632,HLOOKUP('Personalized Bill Menu'!$B$23, 'Misc. Data &amp; Mechanisms'!$P$599:$S$600, 2, FALSE), FALSE), 'Misc. Data &amp; Mechanisms'!$L$599:$N$659, 2, FALSE), FALSE)), ""))</f>
        <v/>
      </c>
      <c r="AF48" s="69" t="str">
        <f ca="1">IF($A48="", "",IFERROR(IF(VLOOKUP($A48, INDIRECT("'" &amp; 'Personalized Bill Menu'!$B$23 &amp; "'!" &amp;"$A$4:$CA$100"), VLOOKUP(VLOOKUP("RIDER RATE 9",'Misc. Data &amp; Mechanisms'!$P$601:$S$632,HLOOKUP('Personalized Bill Menu'!$B$23, 'Misc. Data &amp; Mechanisms'!$P$599:$S$600, 2, FALSE), FALSE), 'Misc. Data &amp; Mechanisms'!$L$599:$N$659, 2, FALSE), FALSE) = "", "", VLOOKUP($A48, INDIRECT("'" &amp; 'Personalized Bill Menu'!$B$23 &amp; "'!" &amp;"$A$4:$CA$100"), VLOOKUP(VLOOKUP("RIDER RATE 9",'Misc. Data &amp; Mechanisms'!$P$601:$S$632,HLOOKUP('Personalized Bill Menu'!$B$23, 'Misc. Data &amp; Mechanisms'!$P$599:$S$600, 2, FALSE), FALSE), 'Misc. Data &amp; Mechanisms'!$L$599:$N$659, 2, FALSE), FALSE)), ""))</f>
        <v/>
      </c>
      <c r="AG48" s="72">
        <f ca="1">IF($A48="", "", IFERROR(IF('Personalized Bill Menu'!$B$23="ATCO-N", ($X48*$B48) +($Y48*$C48), IF('Personalized Bill Menu'!$B$23="ATCO-S",$X48*$C48, IF($Y48="", ($X48*$H48), ($Y48*($H48+$K48))))), 0))</f>
        <v>0</v>
      </c>
      <c r="AH48" s="72">
        <f ca="1">IF($A48="", "", IFERROR(IF('Personalized Bill Menu'!$B$23="ATCO-S", $Y48*$C48, $Z48*$C48), 0))</f>
        <v>0</v>
      </c>
      <c r="AI48" s="72">
        <f ca="1">IF($A48="", "", IFERROR(IF('Personalized Bill Menu'!$B$23="ATCO-S", ($AA48*$C48)+($Z48*$B48), $AA48*$C48), 0))</f>
        <v>0</v>
      </c>
      <c r="AJ48" s="72">
        <f ca="1">IF($A48="", "", IFERROR(IF('Personalized Bill Menu'!$B$23&lt;&gt;"AltaGas",$AB48*$C48,""),0))</f>
        <v>2.5703104420242102</v>
      </c>
      <c r="AK48" s="72">
        <f ca="1">IF($A48="", "", IFERROR(IF('Personalized Bill Menu'!$B$23="ATCO-S",$AC48*$C48,IF('Personalized Bill Menu'!$B$23="ATCO-N",$AC48*1,"")),0))</f>
        <v>0</v>
      </c>
      <c r="AL48" s="72">
        <f ca="1">IF($A48="", "", IFERROR(IF('Personalized Bill Menu'!$B$23="ATCO-N",$AD48*$B48,IF('Personalized Bill Menu'!$B$23="ATCO-S",$AD48*1,"")),0))</f>
        <v>0</v>
      </c>
      <c r="AM48" s="72">
        <f ca="1">IF($A48="", "", IFERROR(IF('Personalized Bill Menu'!$B$23="ATCO-S",$AE48*$B48,IF('Personalized Bill Menu'!$B$23="ATCO-N",$AE48*$B48,"")),0))</f>
        <v>0</v>
      </c>
      <c r="AN48" s="70">
        <f ca="1">IF($A48="", "", IFERROR(IF('Personalized Bill Menu'!$B$23="ATCO-S",$AF48*$B48,""),0))</f>
        <v>0</v>
      </c>
      <c r="AO48" s="69">
        <f>IF('Personalized Bill Menu'!$B$34="Natural Gas", 'Personalized Bill Menu'!$K45, IF('Personalized Bill Menu'!$B$34="Both",'Personalized Bill Menu'!$O45,""))</f>
        <v>0.223</v>
      </c>
      <c r="AP48" s="72">
        <f t="shared" si="13"/>
        <v>6.69</v>
      </c>
      <c r="AQ48" s="89" t="str">
        <f ca="1">IF($A48="", "",IF(VLOOKUP($A48, INDIRECT("'" &amp; 'Personalized Bill Menu'!$B$23 &amp; "'!" &amp;"$A$4:$CA$100"), VLOOKUP(VLOOKUP(AQ$5,'Misc. Data &amp; Mechanisms'!$P$601:$S$632,HLOOKUP('Personalized Bill Menu'!$B$23, 'Misc. Data &amp; Mechanisms'!$P$599:$S$600, 2, FALSE), FALSE), 'Misc. Data &amp; Mechanisms'!$L$599:$N$659, 2, FALSE), FALSE) = "", "", VLOOKUP($A48, INDIRECT("'" &amp; 'Personalized Bill Menu'!$B$23 &amp; "'!" &amp;"$A$4:$CA$100"), VLOOKUP(VLOOKUP(AQ$5,'Misc. Data &amp; Mechanisms'!$P$601:$S$632,HLOOKUP('Personalized Bill Menu'!$B$23, 'Misc. Data &amp; Mechanisms'!$P$599:$S$600, 2, FALSE), FALSE), 'Misc. Data &amp; Mechanisms'!$L$599:$N$659, 2, FALSE), FALSE)))</f>
        <v/>
      </c>
      <c r="AR48" s="72">
        <f t="shared" ca="1" si="14"/>
        <v>0</v>
      </c>
      <c r="AS48" s="91">
        <f ca="1">IF($A48="", "",IF(VLOOKUP($A48, INDIRECT("'" &amp; 'Personalized Bill Menu'!$B$23 &amp; "'!" &amp;"$A$4:$CA$100"), VLOOKUP(VLOOKUP(AS$5,'Misc. Data &amp; Mechanisms'!$P$601:$S$632,HLOOKUP('Personalized Bill Menu'!$B$23, 'Misc. Data &amp; Mechanisms'!$P$599:$S$600, 2, FALSE), FALSE), 'Misc. Data &amp; Mechanisms'!$L$599:$N$659, 2, FALSE), FALSE) = "", "", VLOOKUP($A48, INDIRECT("'" &amp; 'Personalized Bill Menu'!$B$23 &amp; "'!" &amp;"$A$4:$CA$100"), VLOOKUP(VLOOKUP(AS$5,'Misc. Data &amp; Mechanisms'!$P$601:$S$632,HLOOKUP('Personalized Bill Menu'!$B$23, 'Misc. Data &amp; Mechanisms'!$P$599:$S$600, 2, FALSE), FALSE), 'Misc. Data &amp; Mechanisms'!$L$599:$N$659, 2, FALSE), FALSE)))</f>
        <v>0.05</v>
      </c>
      <c r="AT48" s="116"/>
      <c r="AU48" s="116"/>
      <c r="AV48" s="116"/>
      <c r="AW48" s="116"/>
      <c r="AX48" s="116"/>
    </row>
    <row r="49" spans="1:50" s="117" customFormat="1" x14ac:dyDescent="0.3">
      <c r="A49" s="83">
        <f>'Personalized Bill Menu'!$H46</f>
        <v>42186</v>
      </c>
      <c r="B49" s="84">
        <f t="shared" si="3"/>
        <v>31</v>
      </c>
      <c r="C49" s="85">
        <f>IF('Personalized Bill Menu'!$B$34="Natural Gas", 'Personalized Bill Menu'!$I46, IF('Personalized Bill Menu'!$B$34="Both",'Personalized Bill Menu'!$M46,""))</f>
        <v>2.6677858527249043</v>
      </c>
      <c r="D49" s="66">
        <f t="shared" ca="1" si="4"/>
        <v>17.982495816829786</v>
      </c>
      <c r="E49" s="66">
        <f ca="1">IF($C49="Not Applicable", "", IFERROR(IFERROR((1+$AS49)*IF('Personalized Bill Menu'!$B$23="ATCO-N", IF(OR('Personalized Bill Menu'!$B$21="Fort McMurray",AND('Personalized Bill Menu'!$B$21="Spruce Grove", $A49&lt;DATE(2019, 5, 1) )),(((1+IF($T49="",0,$T49))*($N49+$P49))+ (IF($U49="", 0, $U49)*$P49)+(1+IF($T49="",0,$T49)+IF($U49="", 0, $U49))*(SUM($Y49:$AB49))),($N49+((1+IF($T49="",0,$T49)+IF($U49="", 0, $U49))*$P49)+(1+IF($T49="",0,$T49)+IF($U49="", 0, $U49))*(SUM($Y49:$AB49)))), IF('Personalized Bill Menu'!$B$23="ATCO-S",IF(OR('Personalized Bill Menu'!$B$21="Calgary",AND('Personalized Bill Menu'!$B$21="Okotoks", $A49&lt;DATE(2019, 1, 1))),((1+IF($T49="",0,$T49))*($N49+$P49+SUM($X49:$Y49,$AA49:$AC49)))+(IF($U49="",0, $U49)*($P49+SUM($X49:$Y49,$AA49:$AC49))), ((1+IF($T49="",0,$T49))*($P49+SUM($Y49,$AA49:$AC49)))+(IF($U49="",0, $U49)*($P49+SUM($X49:$Y49,$AA49:$AC49)))+$N49+IF($X49="", 0, $X49)),IF(AND('Personalized Bill Menu'!$B$21="Athabasca", $A49&lt;DATE(2019, 5, 1)),((1+IF($T49="",0,$T49)+IF($U49="", 0, $U49))*($N49+((1+SUM($X49:$Y49))*$P49)+SUM($Z49:$AA49))),((1+IF($U49="", 0, $U49))*($N49+((1+SUM($X49:$Y49))*$P49)+SUM($Z49:$AA49))) + (IF($T49="",0,$T49)*(((1+SUM($X49:$Y49))*$P49)+SUM($Z49:$AA49)))))), "")+ IF($AQ49="", 0,((1+$AS49)*$AQ49)), ""))</f>
        <v>4.2536241300000004</v>
      </c>
      <c r="F49" s="118">
        <f t="shared" ca="1" si="5"/>
        <v>47.973447936823277</v>
      </c>
      <c r="G49" s="115">
        <f t="shared" si="15"/>
        <v>5.6903872238622206</v>
      </c>
      <c r="H49" s="66">
        <f t="shared" ca="1" si="16"/>
        <v>27.239534035861801</v>
      </c>
      <c r="I49" s="66">
        <f t="shared" ca="1" si="17"/>
        <v>3.8772508160347887</v>
      </c>
      <c r="J49" s="66">
        <f t="shared" ca="1" si="6"/>
        <v>1.9688259593109794</v>
      </c>
      <c r="K49" s="66">
        <f t="shared" si="18"/>
        <v>6.9130000000000003</v>
      </c>
      <c r="L49" s="66">
        <f t="shared" ca="1" si="8"/>
        <v>0</v>
      </c>
      <c r="M49" s="68">
        <f t="shared" ca="1" si="9"/>
        <v>2.2844499017534896</v>
      </c>
      <c r="N49" s="1290">
        <f>IF('Personalized Bill Menu'!$B$34="Natural Gas", 'Personalized Bill Menu'!$J46, IF('Personalized Bill Menu'!$B$34="Both",'Personalized Bill Menu'!$N46,""))</f>
        <v>2.133</v>
      </c>
      <c r="O49" s="70">
        <f t="shared" si="10"/>
        <v>5.6903872238622206</v>
      </c>
      <c r="P49" s="89">
        <f ca="1">IF($A49="", "",IFERROR(IF(VLOOKUP($A49, INDIRECT("'" &amp; 'Personalized Bill Menu'!$B$23 &amp; "'!" &amp;"$A$4:$CA$100"), VLOOKUP(VLOOKUP(P$5,'Misc. Data &amp; Mechanisms'!$P$601:$S$632,HLOOKUP('Personalized Bill Menu'!$B$23, 'Misc. Data &amp; Mechanisms'!$P$599:$S$600, 2, FALSE), FALSE), 'Misc. Data &amp; Mechanisms'!$L$599:$N$659, 2, FALSE), FALSE) = "", "", VLOOKUP($A49, INDIRECT("'" &amp; 'Personalized Bill Menu'!$B$23 &amp; "'!" &amp;"$A$4:$CA$100"), VLOOKUP(VLOOKUP(P$5,'Misc. Data &amp; Mechanisms'!$P$601:$S$632,HLOOKUP('Personalized Bill Menu'!$B$23, 'Misc. Data &amp; Mechanisms'!$P$599:$S$600, 2, FALSE), FALSE), 'Misc. Data &amp; Mechanisms'!$L$599:$N$659, 2, FALSE), FALSE)), ""))</f>
        <v>0.77500000000000002</v>
      </c>
      <c r="Q49" s="69">
        <f ca="1">IF($A49="", "",IFERROR(IF(VLOOKUP($A49, INDIRECT("'" &amp; 'Personalized Bill Menu'!$B$23 &amp; "'!" &amp;"$A$4:$CA$100"), VLOOKUP(VLOOKUP(Q$5,'Misc. Data &amp; Mechanisms'!$P$601:$S$632,HLOOKUP('Personalized Bill Menu'!$B$23, 'Misc. Data &amp; Mechanisms'!$P$599:$S$600, 2, FALSE), FALSE), 'Misc. Data &amp; Mechanisms'!$L$599:$N$659, 2, FALSE), FALSE) = "", "", VLOOKUP($A49, INDIRECT("'" &amp; 'Personalized Bill Menu'!$B$23 &amp; "'!" &amp;"$A$4:$CA$100"), VLOOKUP(VLOOKUP(Q$5,'Misc. Data &amp; Mechanisms'!$P$601:$S$632,HLOOKUP('Personalized Bill Menu'!$B$23, 'Misc. Data &amp; Mechanisms'!$P$599:$S$600, 2, FALSE), FALSE), 'Misc. Data &amp; Mechanisms'!$L$599:$N$659, 2, FALSE), FALSE)), ""))</f>
        <v>0.81200000000000006</v>
      </c>
      <c r="R49" s="72">
        <f t="shared" ca="1" si="11"/>
        <v>2.0675340358618008</v>
      </c>
      <c r="S49" s="70">
        <f t="shared" ca="1" si="12"/>
        <v>25.172000000000001</v>
      </c>
      <c r="T49" s="78">
        <f>IFERROR(IF(VLOOKUP($A49,'Misc. Data &amp; Mechanisms'!$A$63:$DY$152,HLOOKUP('Personalized Bill Menu'!$B$21&amp;"_"&amp;'Personalized Bill Menu'!$B$23&amp;"_NG_Y_1",'Misc. Data &amp; Mechanisms'!$A$55:$DY$62,8,FALSE), FALSE)="", "", VLOOKUP($A49,'Misc. Data &amp; Mechanisms'!$A$63:$DY$152,HLOOKUP('Personalized Bill Menu'!$B$21&amp;"_"&amp;'Personalized Bill Menu'!$B$23&amp;"_NG_Y_1",'Misc. Data &amp; Mechanisms'!$A$55:$DY$62,8,FALSE), FALSE)), "")</f>
        <v>0.1111</v>
      </c>
      <c r="U49" s="78" t="str">
        <f>IFERROR(IF(VLOOKUP($A49,'Misc. Data &amp; Mechanisms'!$A$63:$DY$152,HLOOKUP('Personalized Bill Menu'!$B$21&amp;"_"&amp;'Personalized Bill Menu'!$B$23&amp;"_NG_Y_2",'Misc. Data &amp; Mechanisms'!$A$55:$DY$62,8,FALSE), FALSE)="", "",VLOOKUP($A49,'Misc. Data &amp; Mechanisms'!$A$63:$DY$152,HLOOKUP('Personalized Bill Menu'!$B$21&amp;"_"&amp;'Personalized Bill Menu'!$B$23&amp;"_NG_Y_2",'Misc. Data &amp; Mechanisms'!$A$55:$DY$62,8,FALSE), FALSE)), "")</f>
        <v/>
      </c>
      <c r="V49" s="72">
        <f ca="1">IF($A49="", "", IFERROR(IF('Personalized Bill Menu'!$B$23="ATCO-N", IF(OR('Personalized Bill Menu'!$B$21="Fort McMurray",AND('Personalized Bill Menu'!$B$21="Spruce Grove", $A49&lt;DATE(2019, 5, 1))),$T49*($G49+$H49+$J49),$T49*($H49+$J49)), IF('Personalized Bill Menu'!$B$23="ATCO-S",IF(OR('Personalized Bill Menu'!$B$21="Calgary",AND('Personalized Bill Menu'!$B$21="Okotoks", $A49&lt;DATE(2019, 1, 1))),$T49*($G49+$H49+$J49), $T49*($H49+$J49-$AG49)),IF(AND('Personalized Bill Menu'!$B$21="Athabasca", $A49&lt;DATE(2019, 5, 1)),$T49*($G49+$H49+$J49+$K49),$T49*($H49+$J49+$K49)))),0))</f>
        <v>3.8772508160347887</v>
      </c>
      <c r="W49" s="72">
        <f ca="1">IF($A49="", "", IFERROR(IF('Personalized Bill Menu'!$B$23="ATCO-N", $U49*($H49+$J49), IF('Personalized Bill Menu'!$B$23="ATCO-S",$U49*($H49+$J49),$U49*($G49+$H49+$J49+$K49))),0))</f>
        <v>0</v>
      </c>
      <c r="X49" s="89" t="str">
        <f ca="1">IF($A49="", "",IFERROR(IF(VLOOKUP($A49, INDIRECT("'" &amp; 'Personalized Bill Menu'!$B$23 &amp; "'!" &amp;"$A$4:$CA$100"), VLOOKUP(VLOOKUP("RIDER RATE 1",'Misc. Data &amp; Mechanisms'!$P$601:$S$632,HLOOKUP('Personalized Bill Menu'!$B$23, 'Misc. Data &amp; Mechanisms'!$P$599:$S$600, 2, FALSE), FALSE), 'Misc. Data &amp; Mechanisms'!$L$599:$N$659, 2, FALSE), FALSE) = "", "", VLOOKUP($A49, INDIRECT("'" &amp; 'Personalized Bill Menu'!$B$23 &amp; "'!" &amp;"$A$4:$CA$100"), VLOOKUP(VLOOKUP("RIDER RATE 1",'Misc. Data &amp; Mechanisms'!$P$601:$S$632,HLOOKUP('Personalized Bill Menu'!$B$23, 'Misc. Data &amp; Mechanisms'!$P$599:$S$600, 2, FALSE), FALSE), 'Misc. Data &amp; Mechanisms'!$L$599:$N$659, 2, FALSE), FALSE)), ""))</f>
        <v/>
      </c>
      <c r="Y49" s="69" t="str">
        <f ca="1">IF($A49="", "",IFERROR(IF(VLOOKUP($A49, INDIRECT("'" &amp; 'Personalized Bill Menu'!$B$23 &amp; "'!" &amp;"$A$4:$CA$100"), VLOOKUP(VLOOKUP("RIDER RATE 2",'Misc. Data &amp; Mechanisms'!$P$601:$S$632,HLOOKUP('Personalized Bill Menu'!$B$23, 'Misc. Data &amp; Mechanisms'!$P$599:$S$600, 2, FALSE), FALSE), 'Misc. Data &amp; Mechanisms'!$L$599:$N$659, 2, FALSE), FALSE) = "", "", VLOOKUP($A49, INDIRECT("'" &amp; 'Personalized Bill Menu'!$B$23 &amp; "'!" &amp;"$A$4:$CA$100"), VLOOKUP(VLOOKUP("RIDER RATE 2",'Misc. Data &amp; Mechanisms'!$P$601:$S$632,HLOOKUP('Personalized Bill Menu'!$B$23, 'Misc. Data &amp; Mechanisms'!$P$599:$S$600, 2, FALSE), FALSE), 'Misc. Data &amp; Mechanisms'!$L$599:$N$659, 2, FALSE), FALSE)), ""))</f>
        <v/>
      </c>
      <c r="Z49" s="69" t="str">
        <f ca="1">IF($A49="", "",IFERROR(IF(VLOOKUP($A49, INDIRECT("'" &amp; 'Personalized Bill Menu'!$B$23 &amp; "'!" &amp;"$A$4:$CA$100"), VLOOKUP(VLOOKUP("RIDER RATE 3",'Misc. Data &amp; Mechanisms'!$P$601:$S$632,HLOOKUP('Personalized Bill Menu'!$B$23, 'Misc. Data &amp; Mechanisms'!$P$599:$S$600, 2, FALSE), FALSE), 'Misc. Data &amp; Mechanisms'!$L$599:$N$659, 2, FALSE), FALSE) = "", "", VLOOKUP($A49, INDIRECT("'" &amp; 'Personalized Bill Menu'!$B$23 &amp; "'!" &amp;"$A$4:$CA$100"), VLOOKUP(VLOOKUP("RIDER RATE 3",'Misc. Data &amp; Mechanisms'!$P$601:$S$632,HLOOKUP('Personalized Bill Menu'!$B$23, 'Misc. Data &amp; Mechanisms'!$P$599:$S$600, 2, FALSE), FALSE), 'Misc. Data &amp; Mechanisms'!$L$599:$N$659, 2, FALSE), FALSE)), ""))</f>
        <v/>
      </c>
      <c r="AA49" s="69" t="str">
        <f ca="1">IF($A49="", "",IFERROR(IF(VLOOKUP($A49, INDIRECT("'" &amp; 'Personalized Bill Menu'!$B$23 &amp; "'!" &amp;"$A$4:$CA$100"), VLOOKUP(VLOOKUP("RIDER RATE 4",'Misc. Data &amp; Mechanisms'!$P$601:$S$632,HLOOKUP('Personalized Bill Menu'!$B$23, 'Misc. Data &amp; Mechanisms'!$P$599:$S$600, 2, FALSE), FALSE), 'Misc. Data &amp; Mechanisms'!$L$599:$N$659, 2, FALSE), FALSE) = "", "", VLOOKUP($A49, INDIRECT("'" &amp; 'Personalized Bill Menu'!$B$23 &amp; "'!" &amp;"$A$4:$CA$100"), VLOOKUP(VLOOKUP("RIDER RATE 4",'Misc. Data &amp; Mechanisms'!$P$601:$S$632,HLOOKUP('Personalized Bill Menu'!$B$23, 'Misc. Data &amp; Mechanisms'!$P$599:$S$600, 2, FALSE), FALSE), 'Misc. Data &amp; Mechanisms'!$L$599:$N$659, 2, FALSE), FALSE)), ""))</f>
        <v/>
      </c>
      <c r="AB49" s="69">
        <f ca="1">IF($A49="", "",IFERROR(IF(VLOOKUP($A49, INDIRECT("'" &amp; 'Personalized Bill Menu'!$B$23 &amp; "'!" &amp;"$A$4:$CA$100"), VLOOKUP(VLOOKUP("RIDER RATE 5",'Misc. Data &amp; Mechanisms'!$P$601:$S$632,HLOOKUP('Personalized Bill Menu'!$B$23, 'Misc. Data &amp; Mechanisms'!$P$599:$S$600, 2, FALSE), FALSE), 'Misc. Data &amp; Mechanisms'!$L$599:$N$659, 2, FALSE), FALSE) = "", "", VLOOKUP($A49, INDIRECT("'" &amp; 'Personalized Bill Menu'!$B$23 &amp; "'!" &amp;"$A$4:$CA$100"), VLOOKUP(VLOOKUP("RIDER RATE 5",'Misc. Data &amp; Mechanisms'!$P$601:$S$632,HLOOKUP('Personalized Bill Menu'!$B$23, 'Misc. Data &amp; Mechanisms'!$P$599:$S$600, 2, FALSE), FALSE), 'Misc. Data &amp; Mechanisms'!$L$599:$N$659, 2, FALSE), FALSE)), ""))</f>
        <v>0.73799999999999999</v>
      </c>
      <c r="AC49" s="69" t="str">
        <f ca="1">IF($A49="", "",IFERROR(IF(VLOOKUP($A49, INDIRECT("'" &amp; 'Personalized Bill Menu'!$B$23 &amp; "'!" &amp;"$A$4:$CA$100"), VLOOKUP(VLOOKUP("RIDER RATE 6",'Misc. Data &amp; Mechanisms'!$P$601:$S$632,HLOOKUP('Personalized Bill Menu'!$B$23, 'Misc. Data &amp; Mechanisms'!$P$599:$S$600, 2, FALSE), FALSE), 'Misc. Data &amp; Mechanisms'!$L$599:$N$659, 2, FALSE), FALSE) = "", "", VLOOKUP($A49, INDIRECT("'" &amp; 'Personalized Bill Menu'!$B$23 &amp; "'!" &amp;"$A$4:$CA$100"), VLOOKUP(VLOOKUP("RIDER RATE 6",'Misc. Data &amp; Mechanisms'!$P$601:$S$632,HLOOKUP('Personalized Bill Menu'!$B$23, 'Misc. Data &amp; Mechanisms'!$P$599:$S$600, 2, FALSE), FALSE), 'Misc. Data &amp; Mechanisms'!$L$599:$N$659, 2, FALSE), FALSE)), ""))</f>
        <v/>
      </c>
      <c r="AD49" s="69" t="str">
        <f ca="1">IF($A49="", "",IFERROR(IF(VLOOKUP($A49, INDIRECT("'" &amp; 'Personalized Bill Menu'!$B$23 &amp; "'!" &amp;"$A$4:$CA$100"), VLOOKUP(VLOOKUP("RIDER RATE 7",'Misc. Data &amp; Mechanisms'!$P$601:$S$632,HLOOKUP('Personalized Bill Menu'!$B$23, 'Misc. Data &amp; Mechanisms'!$P$599:$S$600, 2, FALSE), FALSE), 'Misc. Data &amp; Mechanisms'!$L$599:$N$659, 2, FALSE), FALSE) = "", "", VLOOKUP($A49, INDIRECT("'" &amp; 'Personalized Bill Menu'!$B$23 &amp; "'!" &amp;"$A$4:$CA$100"), VLOOKUP(VLOOKUP("RIDER RATE 7",'Misc. Data &amp; Mechanisms'!$P$601:$S$632,HLOOKUP('Personalized Bill Menu'!$B$23, 'Misc. Data &amp; Mechanisms'!$P$599:$S$600, 2, FALSE), FALSE), 'Misc. Data &amp; Mechanisms'!$L$599:$N$659, 2, FALSE), FALSE)), ""))</f>
        <v/>
      </c>
      <c r="AE49" s="69" t="str">
        <f ca="1">IF($A49="", "",IFERROR(IF(VLOOKUP($A49, INDIRECT("'" &amp; 'Personalized Bill Menu'!$B$23 &amp; "'!" &amp;"$A$4:$CA$100"), VLOOKUP(VLOOKUP("RIDER RATE 8",'Misc. Data &amp; Mechanisms'!$P$601:$S$632,HLOOKUP('Personalized Bill Menu'!$B$23, 'Misc. Data &amp; Mechanisms'!$P$599:$S$600, 2, FALSE), FALSE), 'Misc. Data &amp; Mechanisms'!$L$599:$N$659, 2, FALSE), FALSE) = "", "", VLOOKUP($A49, INDIRECT("'" &amp; 'Personalized Bill Menu'!$B$23 &amp; "'!" &amp;"$A$4:$CA$100"), VLOOKUP(VLOOKUP("RIDER RATE 8",'Misc. Data &amp; Mechanisms'!$P$601:$S$632,HLOOKUP('Personalized Bill Menu'!$B$23, 'Misc. Data &amp; Mechanisms'!$P$599:$S$600, 2, FALSE), FALSE), 'Misc. Data &amp; Mechanisms'!$L$599:$N$659, 2, FALSE), FALSE)), ""))</f>
        <v/>
      </c>
      <c r="AF49" s="69" t="str">
        <f ca="1">IF($A49="", "",IFERROR(IF(VLOOKUP($A49, INDIRECT("'" &amp; 'Personalized Bill Menu'!$B$23 &amp; "'!" &amp;"$A$4:$CA$100"), VLOOKUP(VLOOKUP("RIDER RATE 9",'Misc. Data &amp; Mechanisms'!$P$601:$S$632,HLOOKUP('Personalized Bill Menu'!$B$23, 'Misc. Data &amp; Mechanisms'!$P$599:$S$600, 2, FALSE), FALSE), 'Misc. Data &amp; Mechanisms'!$L$599:$N$659, 2, FALSE), FALSE) = "", "", VLOOKUP($A49, INDIRECT("'" &amp; 'Personalized Bill Menu'!$B$23 &amp; "'!" &amp;"$A$4:$CA$100"), VLOOKUP(VLOOKUP("RIDER RATE 9",'Misc. Data &amp; Mechanisms'!$P$601:$S$632,HLOOKUP('Personalized Bill Menu'!$B$23, 'Misc. Data &amp; Mechanisms'!$P$599:$S$600, 2, FALSE), FALSE), 'Misc. Data &amp; Mechanisms'!$L$599:$N$659, 2, FALSE), FALSE)), ""))</f>
        <v/>
      </c>
      <c r="AG49" s="72">
        <f ca="1">IF($A49="", "", IFERROR(IF('Personalized Bill Menu'!$B$23="ATCO-N", ($X49*$B49) +($Y49*$C49), IF('Personalized Bill Menu'!$B$23="ATCO-S",$X49*$C49, IF($Y49="", ($X49*$H49), ($Y49*($H49+$K49))))), 0))</f>
        <v>0</v>
      </c>
      <c r="AH49" s="72">
        <f ca="1">IF($A49="", "", IFERROR(IF('Personalized Bill Menu'!$B$23="ATCO-S", $Y49*$C49, $Z49*$C49), 0))</f>
        <v>0</v>
      </c>
      <c r="AI49" s="72">
        <f ca="1">IF($A49="", "", IFERROR(IF('Personalized Bill Menu'!$B$23="ATCO-S", ($AA49*$C49)+($Z49*$B49), $AA49*$C49), 0))</f>
        <v>0</v>
      </c>
      <c r="AJ49" s="72">
        <f ca="1">IF($A49="", "", IFERROR(IF('Personalized Bill Menu'!$B$23&lt;&gt;"AltaGas",$AB49*$C49,""),0))</f>
        <v>1.9688259593109794</v>
      </c>
      <c r="AK49" s="72">
        <f ca="1">IF($A49="", "", IFERROR(IF('Personalized Bill Menu'!$B$23="ATCO-S",$AC49*$C49,IF('Personalized Bill Menu'!$B$23="ATCO-N",$AC49*1,"")),0))</f>
        <v>0</v>
      </c>
      <c r="AL49" s="72">
        <f ca="1">IF($A49="", "", IFERROR(IF('Personalized Bill Menu'!$B$23="ATCO-N",$AD49*$B49,IF('Personalized Bill Menu'!$B$23="ATCO-S",$AD49*1,"")),0))</f>
        <v>0</v>
      </c>
      <c r="AM49" s="72">
        <f ca="1">IF($A49="", "", IFERROR(IF('Personalized Bill Menu'!$B$23="ATCO-S",$AE49*$B49,IF('Personalized Bill Menu'!$B$23="ATCO-N",$AE49*$B49,"")),0))</f>
        <v>0</v>
      </c>
      <c r="AN49" s="70">
        <f ca="1">IF($A49="", "", IFERROR(IF('Personalized Bill Menu'!$B$23="ATCO-S",$AF49*$B49,""),0))</f>
        <v>0</v>
      </c>
      <c r="AO49" s="69">
        <f>IF('Personalized Bill Menu'!$B$34="Natural Gas", 'Personalized Bill Menu'!$K46, IF('Personalized Bill Menu'!$B$34="Both",'Personalized Bill Menu'!$O46,""))</f>
        <v>0.223</v>
      </c>
      <c r="AP49" s="72">
        <f t="shared" si="13"/>
        <v>6.9130000000000003</v>
      </c>
      <c r="AQ49" s="89" t="str">
        <f ca="1">IF($A49="", "",IF(VLOOKUP($A49, INDIRECT("'" &amp; 'Personalized Bill Menu'!$B$23 &amp; "'!" &amp;"$A$4:$CA$100"), VLOOKUP(VLOOKUP(AQ$5,'Misc. Data &amp; Mechanisms'!$P$601:$S$632,HLOOKUP('Personalized Bill Menu'!$B$23, 'Misc. Data &amp; Mechanisms'!$P$599:$S$600, 2, FALSE), FALSE), 'Misc. Data &amp; Mechanisms'!$L$599:$N$659, 2, FALSE), FALSE) = "", "", VLOOKUP($A49, INDIRECT("'" &amp; 'Personalized Bill Menu'!$B$23 &amp; "'!" &amp;"$A$4:$CA$100"), VLOOKUP(VLOOKUP(AQ$5,'Misc. Data &amp; Mechanisms'!$P$601:$S$632,HLOOKUP('Personalized Bill Menu'!$B$23, 'Misc. Data &amp; Mechanisms'!$P$599:$S$600, 2, FALSE), FALSE), 'Misc. Data &amp; Mechanisms'!$L$599:$N$659, 2, FALSE), FALSE)))</f>
        <v/>
      </c>
      <c r="AR49" s="72">
        <f t="shared" ca="1" si="14"/>
        <v>0</v>
      </c>
      <c r="AS49" s="91">
        <f ca="1">IF($A49="", "",IF(VLOOKUP($A49, INDIRECT("'" &amp; 'Personalized Bill Menu'!$B$23 &amp; "'!" &amp;"$A$4:$CA$100"), VLOOKUP(VLOOKUP(AS$5,'Misc. Data &amp; Mechanisms'!$P$601:$S$632,HLOOKUP('Personalized Bill Menu'!$B$23, 'Misc. Data &amp; Mechanisms'!$P$599:$S$600, 2, FALSE), FALSE), 'Misc. Data &amp; Mechanisms'!$L$599:$N$659, 2, FALSE), FALSE) = "", "", VLOOKUP($A49, INDIRECT("'" &amp; 'Personalized Bill Menu'!$B$23 &amp; "'!" &amp;"$A$4:$CA$100"), VLOOKUP(VLOOKUP(AS$5,'Misc. Data &amp; Mechanisms'!$P$601:$S$632,HLOOKUP('Personalized Bill Menu'!$B$23, 'Misc. Data &amp; Mechanisms'!$P$599:$S$600, 2, FALSE), FALSE), 'Misc. Data &amp; Mechanisms'!$L$599:$N$659, 2, FALSE), FALSE)))</f>
        <v>0.05</v>
      </c>
      <c r="AT49" s="116"/>
      <c r="AU49" s="116"/>
      <c r="AV49" s="116"/>
      <c r="AW49" s="116"/>
      <c r="AX49" s="116"/>
    </row>
    <row r="50" spans="1:50" s="117" customFormat="1" x14ac:dyDescent="0.3">
      <c r="A50" s="83">
        <f>'Personalized Bill Menu'!$H47</f>
        <v>42217</v>
      </c>
      <c r="B50" s="84">
        <f t="shared" si="3"/>
        <v>31</v>
      </c>
      <c r="C50" s="85">
        <f>IF('Personalized Bill Menu'!$B$34="Natural Gas", 'Personalized Bill Menu'!$I47, IF('Personalized Bill Menu'!$B$34="Both",'Personalized Bill Menu'!$M47,""))</f>
        <v>3.1336200677179931</v>
      </c>
      <c r="D50" s="66">
        <f t="shared" ca="1" si="4"/>
        <v>16.305600803028842</v>
      </c>
      <c r="E50" s="66">
        <f ca="1">IF($C50="Not Applicable", "", IFERROR(IFERROR((1+$AS50)*IF('Personalized Bill Menu'!$B$23="ATCO-N", IF(OR('Personalized Bill Menu'!$B$21="Fort McMurray",AND('Personalized Bill Menu'!$B$21="Spruce Grove", $A50&lt;DATE(2019, 5, 1) )),(((1+IF($T50="",0,$T50))*($N50+$P50))+ (IF($U50="", 0, $U50)*$P50)+(1+IF($T50="",0,$T50)+IF($U50="", 0, $U50))*(SUM($Y50:$AB50))),($N50+((1+IF($T50="",0,$T50)+IF($U50="", 0, $U50))*$P50)+(1+IF($T50="",0,$T50)+IF($U50="", 0, $U50))*(SUM($Y50:$AB50)))), IF('Personalized Bill Menu'!$B$23="ATCO-S",IF(OR('Personalized Bill Menu'!$B$21="Calgary",AND('Personalized Bill Menu'!$B$21="Okotoks", $A50&lt;DATE(2019, 1, 1))),((1+IF($T50="",0,$T50))*($N50+$P50+SUM($X50:$Y50,$AA50:$AC50)))+(IF($U50="",0, $U50)*($P50+SUM($X50:$Y50,$AA50:$AC50))), ((1+IF($T50="",0,$T50))*($P50+SUM($Y50,$AA50:$AC50)))+(IF($U50="",0, $U50)*($P50+SUM($X50:$Y50,$AA50:$AC50)))+$N50+IF($X50="", 0, $X50)),IF(AND('Personalized Bill Menu'!$B$21="Athabasca", $A50&lt;DATE(2019, 5, 1)),((1+IF($T50="",0,$T50)+IF($U50="", 0, $U50))*($N50+((1+SUM($X50:$Y50))*$P50)+SUM($Z50:$AA50))),((1+IF($U50="", 0, $U50))*($N50+((1+SUM($X50:$Y50))*$P50)+SUM($Z50:$AA50))) + (IF($T50="",0,$T50)*(((1+SUM($X50:$Y50))*$P50)+SUM($Z50:$AA50)))))), "")+ IF($AQ50="", 0,((1+$AS50)*$AQ50)), ""))</f>
        <v>4.6176204899999993</v>
      </c>
      <c r="F50" s="118">
        <f t="shared" ca="1" si="5"/>
        <v>51.095557892569801</v>
      </c>
      <c r="G50" s="115">
        <f t="shared" si="15"/>
        <v>7.6617010655704929</v>
      </c>
      <c r="H50" s="66">
        <f t="shared" ca="1" si="16"/>
        <v>27.600555552481445</v>
      </c>
      <c r="I50" s="66">
        <f t="shared" ca="1" si="17"/>
        <v>4.1745678601338909</v>
      </c>
      <c r="J50" s="66">
        <f t="shared" ca="1" si="6"/>
        <v>2.3126116099758787</v>
      </c>
      <c r="K50" s="66">
        <f t="shared" si="18"/>
        <v>6.9130000000000003</v>
      </c>
      <c r="L50" s="66">
        <f t="shared" ca="1" si="8"/>
        <v>0</v>
      </c>
      <c r="M50" s="68">
        <f t="shared" ca="1" si="9"/>
        <v>2.4331218044080858</v>
      </c>
      <c r="N50" s="1290">
        <f>IF('Personalized Bill Menu'!$B$34="Natural Gas", 'Personalized Bill Menu'!$J47, IF('Personalized Bill Menu'!$B$34="Both",'Personalized Bill Menu'!$N47,""))</f>
        <v>2.4449999999999998</v>
      </c>
      <c r="O50" s="70">
        <f t="shared" si="10"/>
        <v>7.6617010655704929</v>
      </c>
      <c r="P50" s="89">
        <f ca="1">IF($A50="", "",IFERROR(IF(VLOOKUP($A50, INDIRECT("'" &amp; 'Personalized Bill Menu'!$B$23 &amp; "'!" &amp;"$A$4:$CA$100"), VLOOKUP(VLOOKUP(P$5,'Misc. Data &amp; Mechanisms'!$P$601:$S$632,HLOOKUP('Personalized Bill Menu'!$B$23, 'Misc. Data &amp; Mechanisms'!$P$599:$S$600, 2, FALSE), FALSE), 'Misc. Data &amp; Mechanisms'!$L$599:$N$659, 2, FALSE), FALSE) = "", "", VLOOKUP($A50, INDIRECT("'" &amp; 'Personalized Bill Menu'!$B$23 &amp; "'!" &amp;"$A$4:$CA$100"), VLOOKUP(VLOOKUP(P$5,'Misc. Data &amp; Mechanisms'!$P$601:$S$632,HLOOKUP('Personalized Bill Menu'!$B$23, 'Misc. Data &amp; Mechanisms'!$P$599:$S$600, 2, FALSE), FALSE), 'Misc. Data &amp; Mechanisms'!$L$599:$N$659, 2, FALSE), FALSE)), ""))</f>
        <v>0.77500000000000002</v>
      </c>
      <c r="Q50" s="69">
        <f ca="1">IF($A50="", "",IFERROR(IF(VLOOKUP($A50, INDIRECT("'" &amp; 'Personalized Bill Menu'!$B$23 &amp; "'!" &amp;"$A$4:$CA$100"), VLOOKUP(VLOOKUP(Q$5,'Misc. Data &amp; Mechanisms'!$P$601:$S$632,HLOOKUP('Personalized Bill Menu'!$B$23, 'Misc. Data &amp; Mechanisms'!$P$599:$S$600, 2, FALSE), FALSE), 'Misc. Data &amp; Mechanisms'!$L$599:$N$659, 2, FALSE), FALSE) = "", "", VLOOKUP($A50, INDIRECT("'" &amp; 'Personalized Bill Menu'!$B$23 &amp; "'!" &amp;"$A$4:$CA$100"), VLOOKUP(VLOOKUP(Q$5,'Misc. Data &amp; Mechanisms'!$P$601:$S$632,HLOOKUP('Personalized Bill Menu'!$B$23, 'Misc. Data &amp; Mechanisms'!$P$599:$S$600, 2, FALSE), FALSE), 'Misc. Data &amp; Mechanisms'!$L$599:$N$659, 2, FALSE), FALSE)), ""))</f>
        <v>0.81200000000000006</v>
      </c>
      <c r="R50" s="72">
        <f t="shared" ca="1" si="11"/>
        <v>2.4285555524814448</v>
      </c>
      <c r="S50" s="70">
        <f t="shared" ca="1" si="12"/>
        <v>25.172000000000001</v>
      </c>
      <c r="T50" s="78">
        <f>IFERROR(IF(VLOOKUP($A50,'Misc. Data &amp; Mechanisms'!$A$63:$DY$152,HLOOKUP('Personalized Bill Menu'!$B$21&amp;"_"&amp;'Personalized Bill Menu'!$B$23&amp;"_NG_Y_1",'Misc. Data &amp; Mechanisms'!$A$55:$DY$62,8,FALSE), FALSE)="", "", VLOOKUP($A50,'Misc. Data &amp; Mechanisms'!$A$63:$DY$152,HLOOKUP('Personalized Bill Menu'!$B$21&amp;"_"&amp;'Personalized Bill Menu'!$B$23&amp;"_NG_Y_1",'Misc. Data &amp; Mechanisms'!$A$55:$DY$62,8,FALSE), FALSE)), "")</f>
        <v>0.1111</v>
      </c>
      <c r="U50" s="78" t="str">
        <f>IFERROR(IF(VLOOKUP($A50,'Misc. Data &amp; Mechanisms'!$A$63:$DY$152,HLOOKUP('Personalized Bill Menu'!$B$21&amp;"_"&amp;'Personalized Bill Menu'!$B$23&amp;"_NG_Y_2",'Misc. Data &amp; Mechanisms'!$A$55:$DY$62,8,FALSE), FALSE)="", "",VLOOKUP($A50,'Misc. Data &amp; Mechanisms'!$A$63:$DY$152,HLOOKUP('Personalized Bill Menu'!$B$21&amp;"_"&amp;'Personalized Bill Menu'!$B$23&amp;"_NG_Y_2",'Misc. Data &amp; Mechanisms'!$A$55:$DY$62,8,FALSE), FALSE)), "")</f>
        <v/>
      </c>
      <c r="V50" s="72">
        <f ca="1">IF($A50="", "", IFERROR(IF('Personalized Bill Menu'!$B$23="ATCO-N", IF(OR('Personalized Bill Menu'!$B$21="Fort McMurray",AND('Personalized Bill Menu'!$B$21="Spruce Grove", $A50&lt;DATE(2019, 5, 1))),$T50*($G50+$H50+$J50),$T50*($H50+$J50)), IF('Personalized Bill Menu'!$B$23="ATCO-S",IF(OR('Personalized Bill Menu'!$B$21="Calgary",AND('Personalized Bill Menu'!$B$21="Okotoks", $A50&lt;DATE(2019, 1, 1))),$T50*($G50+$H50+$J50), $T50*($H50+$J50-$AG50)),IF(AND('Personalized Bill Menu'!$B$21="Athabasca", $A50&lt;DATE(2019, 5, 1)),$T50*($G50+$H50+$J50+$K50),$T50*($H50+$J50+$K50)))),0))</f>
        <v>4.1745678601338909</v>
      </c>
      <c r="W50" s="72">
        <f ca="1">IF($A50="", "", IFERROR(IF('Personalized Bill Menu'!$B$23="ATCO-N", $U50*($H50+$J50), IF('Personalized Bill Menu'!$B$23="ATCO-S",$U50*($H50+$J50),$U50*($G50+$H50+$J50+$K50))),0))</f>
        <v>0</v>
      </c>
      <c r="X50" s="89" t="str">
        <f ca="1">IF($A50="", "",IFERROR(IF(VLOOKUP($A50, INDIRECT("'" &amp; 'Personalized Bill Menu'!$B$23 &amp; "'!" &amp;"$A$4:$CA$100"), VLOOKUP(VLOOKUP("RIDER RATE 1",'Misc. Data &amp; Mechanisms'!$P$601:$S$632,HLOOKUP('Personalized Bill Menu'!$B$23, 'Misc. Data &amp; Mechanisms'!$P$599:$S$600, 2, FALSE), FALSE), 'Misc. Data &amp; Mechanisms'!$L$599:$N$659, 2, FALSE), FALSE) = "", "", VLOOKUP($A50, INDIRECT("'" &amp; 'Personalized Bill Menu'!$B$23 &amp; "'!" &amp;"$A$4:$CA$100"), VLOOKUP(VLOOKUP("RIDER RATE 1",'Misc. Data &amp; Mechanisms'!$P$601:$S$632,HLOOKUP('Personalized Bill Menu'!$B$23, 'Misc. Data &amp; Mechanisms'!$P$599:$S$600, 2, FALSE), FALSE), 'Misc. Data &amp; Mechanisms'!$L$599:$N$659, 2, FALSE), FALSE)), ""))</f>
        <v/>
      </c>
      <c r="Y50" s="69" t="str">
        <f ca="1">IF($A50="", "",IFERROR(IF(VLOOKUP($A50, INDIRECT("'" &amp; 'Personalized Bill Menu'!$B$23 &amp; "'!" &amp;"$A$4:$CA$100"), VLOOKUP(VLOOKUP("RIDER RATE 2",'Misc. Data &amp; Mechanisms'!$P$601:$S$632,HLOOKUP('Personalized Bill Menu'!$B$23, 'Misc. Data &amp; Mechanisms'!$P$599:$S$600, 2, FALSE), FALSE), 'Misc. Data &amp; Mechanisms'!$L$599:$N$659, 2, FALSE), FALSE) = "", "", VLOOKUP($A50, INDIRECT("'" &amp; 'Personalized Bill Menu'!$B$23 &amp; "'!" &amp;"$A$4:$CA$100"), VLOOKUP(VLOOKUP("RIDER RATE 2",'Misc. Data &amp; Mechanisms'!$P$601:$S$632,HLOOKUP('Personalized Bill Menu'!$B$23, 'Misc. Data &amp; Mechanisms'!$P$599:$S$600, 2, FALSE), FALSE), 'Misc. Data &amp; Mechanisms'!$L$599:$N$659, 2, FALSE), FALSE)), ""))</f>
        <v/>
      </c>
      <c r="Z50" s="69" t="str">
        <f ca="1">IF($A50="", "",IFERROR(IF(VLOOKUP($A50, INDIRECT("'" &amp; 'Personalized Bill Menu'!$B$23 &amp; "'!" &amp;"$A$4:$CA$100"), VLOOKUP(VLOOKUP("RIDER RATE 3",'Misc. Data &amp; Mechanisms'!$P$601:$S$632,HLOOKUP('Personalized Bill Menu'!$B$23, 'Misc. Data &amp; Mechanisms'!$P$599:$S$600, 2, FALSE), FALSE), 'Misc. Data &amp; Mechanisms'!$L$599:$N$659, 2, FALSE), FALSE) = "", "", VLOOKUP($A50, INDIRECT("'" &amp; 'Personalized Bill Menu'!$B$23 &amp; "'!" &amp;"$A$4:$CA$100"), VLOOKUP(VLOOKUP("RIDER RATE 3",'Misc. Data &amp; Mechanisms'!$P$601:$S$632,HLOOKUP('Personalized Bill Menu'!$B$23, 'Misc. Data &amp; Mechanisms'!$P$599:$S$600, 2, FALSE), FALSE), 'Misc. Data &amp; Mechanisms'!$L$599:$N$659, 2, FALSE), FALSE)), ""))</f>
        <v/>
      </c>
      <c r="AA50" s="69" t="str">
        <f ca="1">IF($A50="", "",IFERROR(IF(VLOOKUP($A50, INDIRECT("'" &amp; 'Personalized Bill Menu'!$B$23 &amp; "'!" &amp;"$A$4:$CA$100"), VLOOKUP(VLOOKUP("RIDER RATE 4",'Misc. Data &amp; Mechanisms'!$P$601:$S$632,HLOOKUP('Personalized Bill Menu'!$B$23, 'Misc. Data &amp; Mechanisms'!$P$599:$S$600, 2, FALSE), FALSE), 'Misc. Data &amp; Mechanisms'!$L$599:$N$659, 2, FALSE), FALSE) = "", "", VLOOKUP($A50, INDIRECT("'" &amp; 'Personalized Bill Menu'!$B$23 &amp; "'!" &amp;"$A$4:$CA$100"), VLOOKUP(VLOOKUP("RIDER RATE 4",'Misc. Data &amp; Mechanisms'!$P$601:$S$632,HLOOKUP('Personalized Bill Menu'!$B$23, 'Misc. Data &amp; Mechanisms'!$P$599:$S$600, 2, FALSE), FALSE), 'Misc. Data &amp; Mechanisms'!$L$599:$N$659, 2, FALSE), FALSE)), ""))</f>
        <v/>
      </c>
      <c r="AB50" s="69">
        <f ca="1">IF($A50="", "",IFERROR(IF(VLOOKUP($A50, INDIRECT("'" &amp; 'Personalized Bill Menu'!$B$23 &amp; "'!" &amp;"$A$4:$CA$100"), VLOOKUP(VLOOKUP("RIDER RATE 5",'Misc. Data &amp; Mechanisms'!$P$601:$S$632,HLOOKUP('Personalized Bill Menu'!$B$23, 'Misc. Data &amp; Mechanisms'!$P$599:$S$600, 2, FALSE), FALSE), 'Misc. Data &amp; Mechanisms'!$L$599:$N$659, 2, FALSE), FALSE) = "", "", VLOOKUP($A50, INDIRECT("'" &amp; 'Personalized Bill Menu'!$B$23 &amp; "'!" &amp;"$A$4:$CA$100"), VLOOKUP(VLOOKUP("RIDER RATE 5",'Misc. Data &amp; Mechanisms'!$P$601:$S$632,HLOOKUP('Personalized Bill Menu'!$B$23, 'Misc. Data &amp; Mechanisms'!$P$599:$S$600, 2, FALSE), FALSE), 'Misc. Data &amp; Mechanisms'!$L$599:$N$659, 2, FALSE), FALSE)), ""))</f>
        <v>0.73799999999999999</v>
      </c>
      <c r="AC50" s="69" t="str">
        <f ca="1">IF($A50="", "",IFERROR(IF(VLOOKUP($A50, INDIRECT("'" &amp; 'Personalized Bill Menu'!$B$23 &amp; "'!" &amp;"$A$4:$CA$100"), VLOOKUP(VLOOKUP("RIDER RATE 6",'Misc. Data &amp; Mechanisms'!$P$601:$S$632,HLOOKUP('Personalized Bill Menu'!$B$23, 'Misc. Data &amp; Mechanisms'!$P$599:$S$600, 2, FALSE), FALSE), 'Misc. Data &amp; Mechanisms'!$L$599:$N$659, 2, FALSE), FALSE) = "", "", VLOOKUP($A50, INDIRECT("'" &amp; 'Personalized Bill Menu'!$B$23 &amp; "'!" &amp;"$A$4:$CA$100"), VLOOKUP(VLOOKUP("RIDER RATE 6",'Misc. Data &amp; Mechanisms'!$P$601:$S$632,HLOOKUP('Personalized Bill Menu'!$B$23, 'Misc. Data &amp; Mechanisms'!$P$599:$S$600, 2, FALSE), FALSE), 'Misc. Data &amp; Mechanisms'!$L$599:$N$659, 2, FALSE), FALSE)), ""))</f>
        <v/>
      </c>
      <c r="AD50" s="69" t="str">
        <f ca="1">IF($A50="", "",IFERROR(IF(VLOOKUP($A50, INDIRECT("'" &amp; 'Personalized Bill Menu'!$B$23 &amp; "'!" &amp;"$A$4:$CA$100"), VLOOKUP(VLOOKUP("RIDER RATE 7",'Misc. Data &amp; Mechanisms'!$P$601:$S$632,HLOOKUP('Personalized Bill Menu'!$B$23, 'Misc. Data &amp; Mechanisms'!$P$599:$S$600, 2, FALSE), FALSE), 'Misc. Data &amp; Mechanisms'!$L$599:$N$659, 2, FALSE), FALSE) = "", "", VLOOKUP($A50, INDIRECT("'" &amp; 'Personalized Bill Menu'!$B$23 &amp; "'!" &amp;"$A$4:$CA$100"), VLOOKUP(VLOOKUP("RIDER RATE 7",'Misc. Data &amp; Mechanisms'!$P$601:$S$632,HLOOKUP('Personalized Bill Menu'!$B$23, 'Misc. Data &amp; Mechanisms'!$P$599:$S$600, 2, FALSE), FALSE), 'Misc. Data &amp; Mechanisms'!$L$599:$N$659, 2, FALSE), FALSE)), ""))</f>
        <v/>
      </c>
      <c r="AE50" s="69" t="str">
        <f ca="1">IF($A50="", "",IFERROR(IF(VLOOKUP($A50, INDIRECT("'" &amp; 'Personalized Bill Menu'!$B$23 &amp; "'!" &amp;"$A$4:$CA$100"), VLOOKUP(VLOOKUP("RIDER RATE 8",'Misc. Data &amp; Mechanisms'!$P$601:$S$632,HLOOKUP('Personalized Bill Menu'!$B$23, 'Misc. Data &amp; Mechanisms'!$P$599:$S$600, 2, FALSE), FALSE), 'Misc. Data &amp; Mechanisms'!$L$599:$N$659, 2, FALSE), FALSE) = "", "", VLOOKUP($A50, INDIRECT("'" &amp; 'Personalized Bill Menu'!$B$23 &amp; "'!" &amp;"$A$4:$CA$100"), VLOOKUP(VLOOKUP("RIDER RATE 8",'Misc. Data &amp; Mechanisms'!$P$601:$S$632,HLOOKUP('Personalized Bill Menu'!$B$23, 'Misc. Data &amp; Mechanisms'!$P$599:$S$600, 2, FALSE), FALSE), 'Misc. Data &amp; Mechanisms'!$L$599:$N$659, 2, FALSE), FALSE)), ""))</f>
        <v/>
      </c>
      <c r="AF50" s="69" t="str">
        <f ca="1">IF($A50="", "",IFERROR(IF(VLOOKUP($A50, INDIRECT("'" &amp; 'Personalized Bill Menu'!$B$23 &amp; "'!" &amp;"$A$4:$CA$100"), VLOOKUP(VLOOKUP("RIDER RATE 9",'Misc. Data &amp; Mechanisms'!$P$601:$S$632,HLOOKUP('Personalized Bill Menu'!$B$23, 'Misc. Data &amp; Mechanisms'!$P$599:$S$600, 2, FALSE), FALSE), 'Misc. Data &amp; Mechanisms'!$L$599:$N$659, 2, FALSE), FALSE) = "", "", VLOOKUP($A50, INDIRECT("'" &amp; 'Personalized Bill Menu'!$B$23 &amp; "'!" &amp;"$A$4:$CA$100"), VLOOKUP(VLOOKUP("RIDER RATE 9",'Misc. Data &amp; Mechanisms'!$P$601:$S$632,HLOOKUP('Personalized Bill Menu'!$B$23, 'Misc. Data &amp; Mechanisms'!$P$599:$S$600, 2, FALSE), FALSE), 'Misc. Data &amp; Mechanisms'!$L$599:$N$659, 2, FALSE), FALSE)), ""))</f>
        <v/>
      </c>
      <c r="AG50" s="72">
        <f ca="1">IF($A50="", "", IFERROR(IF('Personalized Bill Menu'!$B$23="ATCO-N", ($X50*$B50) +($Y50*$C50), IF('Personalized Bill Menu'!$B$23="ATCO-S",$X50*$C50, IF($Y50="", ($X50*$H50), ($Y50*($H50+$K50))))), 0))</f>
        <v>0</v>
      </c>
      <c r="AH50" s="72">
        <f ca="1">IF($A50="", "", IFERROR(IF('Personalized Bill Menu'!$B$23="ATCO-S", $Y50*$C50, $Z50*$C50), 0))</f>
        <v>0</v>
      </c>
      <c r="AI50" s="72">
        <f ca="1">IF($A50="", "", IFERROR(IF('Personalized Bill Menu'!$B$23="ATCO-S", ($AA50*$C50)+($Z50*$B50), $AA50*$C50), 0))</f>
        <v>0</v>
      </c>
      <c r="AJ50" s="72">
        <f ca="1">IF($A50="", "", IFERROR(IF('Personalized Bill Menu'!$B$23&lt;&gt;"AltaGas",$AB50*$C50,""),0))</f>
        <v>2.3126116099758787</v>
      </c>
      <c r="AK50" s="72">
        <f ca="1">IF($A50="", "", IFERROR(IF('Personalized Bill Menu'!$B$23="ATCO-S",$AC50*$C50,IF('Personalized Bill Menu'!$B$23="ATCO-N",$AC50*1,"")),0))</f>
        <v>0</v>
      </c>
      <c r="AL50" s="72">
        <f ca="1">IF($A50="", "", IFERROR(IF('Personalized Bill Menu'!$B$23="ATCO-N",$AD50*$B50,IF('Personalized Bill Menu'!$B$23="ATCO-S",$AD50*1,"")),0))</f>
        <v>0</v>
      </c>
      <c r="AM50" s="72">
        <f ca="1">IF($A50="", "", IFERROR(IF('Personalized Bill Menu'!$B$23="ATCO-S",$AE50*$B50,IF('Personalized Bill Menu'!$B$23="ATCO-N",$AE50*$B50,"")),0))</f>
        <v>0</v>
      </c>
      <c r="AN50" s="70">
        <f ca="1">IF($A50="", "", IFERROR(IF('Personalized Bill Menu'!$B$23="ATCO-S",$AF50*$B50,""),0))</f>
        <v>0</v>
      </c>
      <c r="AO50" s="69">
        <f>IF('Personalized Bill Menu'!$B$34="Natural Gas", 'Personalized Bill Menu'!$K47, IF('Personalized Bill Menu'!$B$34="Both",'Personalized Bill Menu'!$O47,""))</f>
        <v>0.223</v>
      </c>
      <c r="AP50" s="72">
        <f t="shared" si="13"/>
        <v>6.9130000000000003</v>
      </c>
      <c r="AQ50" s="89" t="str">
        <f ca="1">IF($A50="", "",IF(VLOOKUP($A50, INDIRECT("'" &amp; 'Personalized Bill Menu'!$B$23 &amp; "'!" &amp;"$A$4:$CA$100"), VLOOKUP(VLOOKUP(AQ$5,'Misc. Data &amp; Mechanisms'!$P$601:$S$632,HLOOKUP('Personalized Bill Menu'!$B$23, 'Misc. Data &amp; Mechanisms'!$P$599:$S$600, 2, FALSE), FALSE), 'Misc. Data &amp; Mechanisms'!$L$599:$N$659, 2, FALSE), FALSE) = "", "", VLOOKUP($A50, INDIRECT("'" &amp; 'Personalized Bill Menu'!$B$23 &amp; "'!" &amp;"$A$4:$CA$100"), VLOOKUP(VLOOKUP(AQ$5,'Misc. Data &amp; Mechanisms'!$P$601:$S$632,HLOOKUP('Personalized Bill Menu'!$B$23, 'Misc. Data &amp; Mechanisms'!$P$599:$S$600, 2, FALSE), FALSE), 'Misc. Data &amp; Mechanisms'!$L$599:$N$659, 2, FALSE), FALSE)))</f>
        <v/>
      </c>
      <c r="AR50" s="72">
        <f t="shared" ca="1" si="14"/>
        <v>0</v>
      </c>
      <c r="AS50" s="91">
        <f ca="1">IF($A50="", "",IF(VLOOKUP($A50, INDIRECT("'" &amp; 'Personalized Bill Menu'!$B$23 &amp; "'!" &amp;"$A$4:$CA$100"), VLOOKUP(VLOOKUP(AS$5,'Misc. Data &amp; Mechanisms'!$P$601:$S$632,HLOOKUP('Personalized Bill Menu'!$B$23, 'Misc. Data &amp; Mechanisms'!$P$599:$S$600, 2, FALSE), FALSE), 'Misc. Data &amp; Mechanisms'!$L$599:$N$659, 2, FALSE), FALSE) = "", "", VLOOKUP($A50, INDIRECT("'" &amp; 'Personalized Bill Menu'!$B$23 &amp; "'!" &amp;"$A$4:$CA$100"), VLOOKUP(VLOOKUP(AS$5,'Misc. Data &amp; Mechanisms'!$P$601:$S$632,HLOOKUP('Personalized Bill Menu'!$B$23, 'Misc. Data &amp; Mechanisms'!$P$599:$S$600, 2, FALSE), FALSE), 'Misc. Data &amp; Mechanisms'!$L$599:$N$659, 2, FALSE), FALSE)))</f>
        <v>0.05</v>
      </c>
      <c r="AT50" s="116"/>
      <c r="AU50" s="116"/>
      <c r="AV50" s="116"/>
      <c r="AW50" s="116"/>
      <c r="AX50" s="116"/>
    </row>
    <row r="51" spans="1:50" s="117" customFormat="1" x14ac:dyDescent="0.3">
      <c r="A51" s="83">
        <f>'Personalized Bill Menu'!$H48</f>
        <v>42248</v>
      </c>
      <c r="B51" s="84">
        <f t="shared" si="3"/>
        <v>30</v>
      </c>
      <c r="C51" s="85">
        <f>IF('Personalized Bill Menu'!$B$34="Natural Gas", 'Personalized Bill Menu'!$I48, IF('Personalized Bill Menu'!$B$34="Both",'Personalized Bill Menu'!$M48,""))</f>
        <v>6.2236099217630061</v>
      </c>
      <c r="D51" s="66">
        <f t="shared" ca="1" si="4"/>
        <v>10.824855224314257</v>
      </c>
      <c r="E51" s="66">
        <f ca="1">IF($C51="Not Applicable", "", IFERROR(IFERROR((1+$AS51)*IF('Personalized Bill Menu'!$B$23="ATCO-N", IF(OR('Personalized Bill Menu'!$B$21="Fort McMurray",AND('Personalized Bill Menu'!$B$21="Spruce Grove", $A51&lt;DATE(2019, 5, 1) )),(((1+IF($T51="",0,$T51))*($N51+$P51))+ (IF($U51="", 0, $U51)*$P51)+(1+IF($T51="",0,$T51)+IF($U51="", 0, $U51))*(SUM($Y51:$AB51))),($N51+((1+IF($T51="",0,$T51)+IF($U51="", 0, $U51))*$P51)+(1+IF($T51="",0,$T51)+IF($U51="", 0, $U51))*(SUM($Y51:$AB51)))), IF('Personalized Bill Menu'!$B$23="ATCO-S",IF(OR('Personalized Bill Menu'!$B$21="Calgary",AND('Personalized Bill Menu'!$B$21="Okotoks", $A51&lt;DATE(2019, 1, 1))),((1+IF($T51="",0,$T51))*($N51+$P51+SUM($X51:$Y51,$AA51:$AC51)))+(IF($U51="",0, $U51)*($P51+SUM($X51:$Y51,$AA51:$AC51))), ((1+IF($T51="",0,$T51))*($P51+SUM($Y51,$AA51:$AC51)))+(IF($U51="",0, $U51)*($P51+SUM($X51:$Y51,$AA51:$AC51)))+$N51+IF($X51="", 0, $X51)),IF(AND('Personalized Bill Menu'!$B$21="Athabasca", $A51&lt;DATE(2019, 5, 1)),((1+IF($T51="",0,$T51)+IF($U51="", 0, $U51))*($N51+((1+SUM($X51:$Y51))*$P51)+SUM($Z51:$AA51))),((1+IF($U51="", 0, $U51))*($N51+((1+SUM($X51:$Y51))*$P51)+SUM($Z51:$AA51))) + (IF($T51="",0,$T51)*(((1+SUM($X51:$Y51))*$P51)+SUM($Z51:$AA51)))))), "")+ IF($AQ51="", 0,((1+$AS51)*$AQ51)), ""))</f>
        <v>5.4727786050000002</v>
      </c>
      <c r="F51" s="118">
        <f t="shared" ca="1" si="5"/>
        <v>67.369676375690318</v>
      </c>
      <c r="G51" s="115">
        <f t="shared" si="15"/>
        <v>19.112706069734191</v>
      </c>
      <c r="H51" s="66">
        <f t="shared" ca="1" si="16"/>
        <v>29.183297689366334</v>
      </c>
      <c r="I51" s="66">
        <f t="shared" ca="1" si="17"/>
        <v>5.7466424052862193</v>
      </c>
      <c r="J51" s="66">
        <f t="shared" ca="1" si="6"/>
        <v>3.4289503838897404</v>
      </c>
      <c r="K51" s="66">
        <f t="shared" si="18"/>
        <v>6.69</v>
      </c>
      <c r="L51" s="66">
        <f t="shared" ca="1" si="8"/>
        <v>0</v>
      </c>
      <c r="M51" s="68">
        <f t="shared" ca="1" si="9"/>
        <v>3.2080798274138247</v>
      </c>
      <c r="N51" s="1290">
        <f>IF('Personalized Bill Menu'!$B$34="Natural Gas", 'Personalized Bill Menu'!$J48, IF('Personalized Bill Menu'!$B$34="Both",'Personalized Bill Menu'!$N48,""))</f>
        <v>3.0710000000000002</v>
      </c>
      <c r="O51" s="70">
        <f t="shared" si="10"/>
        <v>19.112706069734191</v>
      </c>
      <c r="P51" s="89">
        <f ca="1">IF($A51="", "",IFERROR(IF(VLOOKUP($A51, INDIRECT("'" &amp; 'Personalized Bill Menu'!$B$23 &amp; "'!" &amp;"$A$4:$CA$100"), VLOOKUP(VLOOKUP(P$5,'Misc. Data &amp; Mechanisms'!$P$601:$S$632,HLOOKUP('Personalized Bill Menu'!$B$23, 'Misc. Data &amp; Mechanisms'!$P$599:$S$600, 2, FALSE), FALSE), 'Misc. Data &amp; Mechanisms'!$L$599:$N$659, 2, FALSE), FALSE) = "", "", VLOOKUP($A51, INDIRECT("'" &amp; 'Personalized Bill Menu'!$B$23 &amp; "'!" &amp;"$A$4:$CA$100"), VLOOKUP(VLOOKUP(P$5,'Misc. Data &amp; Mechanisms'!$P$601:$S$632,HLOOKUP('Personalized Bill Menu'!$B$23, 'Misc. Data &amp; Mechanisms'!$P$599:$S$600, 2, FALSE), FALSE), 'Misc. Data &amp; Mechanisms'!$L$599:$N$659, 2, FALSE), FALSE)), ""))</f>
        <v>0.77500000000000002</v>
      </c>
      <c r="Q51" s="69">
        <f ca="1">IF($A51="", "",IFERROR(IF(VLOOKUP($A51, INDIRECT("'" &amp; 'Personalized Bill Menu'!$B$23 &amp; "'!" &amp;"$A$4:$CA$100"), VLOOKUP(VLOOKUP(Q$5,'Misc. Data &amp; Mechanisms'!$P$601:$S$632,HLOOKUP('Personalized Bill Menu'!$B$23, 'Misc. Data &amp; Mechanisms'!$P$599:$S$600, 2, FALSE), FALSE), 'Misc. Data &amp; Mechanisms'!$L$599:$N$659, 2, FALSE), FALSE) = "", "", VLOOKUP($A51, INDIRECT("'" &amp; 'Personalized Bill Menu'!$B$23 &amp; "'!" &amp;"$A$4:$CA$100"), VLOOKUP(VLOOKUP(Q$5,'Misc. Data &amp; Mechanisms'!$P$601:$S$632,HLOOKUP('Personalized Bill Menu'!$B$23, 'Misc. Data &amp; Mechanisms'!$P$599:$S$600, 2, FALSE), FALSE), 'Misc. Data &amp; Mechanisms'!$L$599:$N$659, 2, FALSE), FALSE)), ""))</f>
        <v>0.81200000000000006</v>
      </c>
      <c r="R51" s="72">
        <f t="shared" ca="1" si="11"/>
        <v>4.8232976893663295</v>
      </c>
      <c r="S51" s="70">
        <f t="shared" ca="1" si="12"/>
        <v>24.360000000000003</v>
      </c>
      <c r="T51" s="78">
        <f>IFERROR(IF(VLOOKUP($A51,'Misc. Data &amp; Mechanisms'!$A$63:$DY$152,HLOOKUP('Personalized Bill Menu'!$B$21&amp;"_"&amp;'Personalized Bill Menu'!$B$23&amp;"_NG_Y_1",'Misc. Data &amp; Mechanisms'!$A$55:$DY$62,8,FALSE), FALSE)="", "", VLOOKUP($A51,'Misc. Data &amp; Mechanisms'!$A$63:$DY$152,HLOOKUP('Personalized Bill Menu'!$B$21&amp;"_"&amp;'Personalized Bill Menu'!$B$23&amp;"_NG_Y_1",'Misc. Data &amp; Mechanisms'!$A$55:$DY$62,8,FALSE), FALSE)), "")</f>
        <v>0.1111</v>
      </c>
      <c r="U51" s="78" t="str">
        <f>IFERROR(IF(VLOOKUP($A51,'Misc. Data &amp; Mechanisms'!$A$63:$DY$152,HLOOKUP('Personalized Bill Menu'!$B$21&amp;"_"&amp;'Personalized Bill Menu'!$B$23&amp;"_NG_Y_2",'Misc. Data &amp; Mechanisms'!$A$55:$DY$62,8,FALSE), FALSE)="", "",VLOOKUP($A51,'Misc. Data &amp; Mechanisms'!$A$63:$DY$152,HLOOKUP('Personalized Bill Menu'!$B$21&amp;"_"&amp;'Personalized Bill Menu'!$B$23&amp;"_NG_Y_2",'Misc. Data &amp; Mechanisms'!$A$55:$DY$62,8,FALSE), FALSE)), "")</f>
        <v/>
      </c>
      <c r="V51" s="72">
        <f ca="1">IF($A51="", "", IFERROR(IF('Personalized Bill Menu'!$B$23="ATCO-N", IF(OR('Personalized Bill Menu'!$B$21="Fort McMurray",AND('Personalized Bill Menu'!$B$21="Spruce Grove", $A51&lt;DATE(2019, 5, 1))),$T51*($G51+$H51+$J51),$T51*($H51+$J51)), IF('Personalized Bill Menu'!$B$23="ATCO-S",IF(OR('Personalized Bill Menu'!$B$21="Calgary",AND('Personalized Bill Menu'!$B$21="Okotoks", $A51&lt;DATE(2019, 1, 1))),$T51*($G51+$H51+$J51), $T51*($H51+$J51-$AG51)),IF(AND('Personalized Bill Menu'!$B$21="Athabasca", $A51&lt;DATE(2019, 5, 1)),$T51*($G51+$H51+$J51+$K51),$T51*($H51+$J51+$K51)))),0))</f>
        <v>5.7466424052862193</v>
      </c>
      <c r="W51" s="72">
        <f ca="1">IF($A51="", "", IFERROR(IF('Personalized Bill Menu'!$B$23="ATCO-N", $U51*($H51+$J51), IF('Personalized Bill Menu'!$B$23="ATCO-S",$U51*($H51+$J51),$U51*($G51+$H51+$J51+$K51))),0))</f>
        <v>0</v>
      </c>
      <c r="X51" s="89" t="str">
        <f ca="1">IF($A51="", "",IFERROR(IF(VLOOKUP($A51, INDIRECT("'" &amp; 'Personalized Bill Menu'!$B$23 &amp; "'!" &amp;"$A$4:$CA$100"), VLOOKUP(VLOOKUP("RIDER RATE 1",'Misc. Data &amp; Mechanisms'!$P$601:$S$632,HLOOKUP('Personalized Bill Menu'!$B$23, 'Misc. Data &amp; Mechanisms'!$P$599:$S$600, 2, FALSE), FALSE), 'Misc. Data &amp; Mechanisms'!$L$599:$N$659, 2, FALSE), FALSE) = "", "", VLOOKUP($A51, INDIRECT("'" &amp; 'Personalized Bill Menu'!$B$23 &amp; "'!" &amp;"$A$4:$CA$100"), VLOOKUP(VLOOKUP("RIDER RATE 1",'Misc. Data &amp; Mechanisms'!$P$601:$S$632,HLOOKUP('Personalized Bill Menu'!$B$23, 'Misc. Data &amp; Mechanisms'!$P$599:$S$600, 2, FALSE), FALSE), 'Misc. Data &amp; Mechanisms'!$L$599:$N$659, 2, FALSE), FALSE)), ""))</f>
        <v/>
      </c>
      <c r="Y51" s="69" t="str">
        <f ca="1">IF($A51="", "",IFERROR(IF(VLOOKUP($A51, INDIRECT("'" &amp; 'Personalized Bill Menu'!$B$23 &amp; "'!" &amp;"$A$4:$CA$100"), VLOOKUP(VLOOKUP("RIDER RATE 2",'Misc. Data &amp; Mechanisms'!$P$601:$S$632,HLOOKUP('Personalized Bill Menu'!$B$23, 'Misc. Data &amp; Mechanisms'!$P$599:$S$600, 2, FALSE), FALSE), 'Misc. Data &amp; Mechanisms'!$L$599:$N$659, 2, FALSE), FALSE) = "", "", VLOOKUP($A51, INDIRECT("'" &amp; 'Personalized Bill Menu'!$B$23 &amp; "'!" &amp;"$A$4:$CA$100"), VLOOKUP(VLOOKUP("RIDER RATE 2",'Misc. Data &amp; Mechanisms'!$P$601:$S$632,HLOOKUP('Personalized Bill Menu'!$B$23, 'Misc. Data &amp; Mechanisms'!$P$599:$S$600, 2, FALSE), FALSE), 'Misc. Data &amp; Mechanisms'!$L$599:$N$659, 2, FALSE), FALSE)), ""))</f>
        <v/>
      </c>
      <c r="Z51" s="69">
        <f ca="1">IF($A51="", "",IFERROR(IF(VLOOKUP($A51, INDIRECT("'" &amp; 'Personalized Bill Menu'!$B$23 &amp; "'!" &amp;"$A$4:$CA$100"), VLOOKUP(VLOOKUP("RIDER RATE 3",'Misc. Data &amp; Mechanisms'!$P$601:$S$632,HLOOKUP('Personalized Bill Menu'!$B$23, 'Misc. Data &amp; Mechanisms'!$P$599:$S$600, 2, FALSE), FALSE), 'Misc. Data &amp; Mechanisms'!$L$599:$N$659, 2, FALSE), FALSE) = "", "", VLOOKUP($A51, INDIRECT("'" &amp; 'Personalized Bill Menu'!$B$23 &amp; "'!" &amp;"$A$4:$CA$100"), VLOOKUP(VLOOKUP("RIDER RATE 3",'Misc. Data &amp; Mechanisms'!$P$601:$S$632,HLOOKUP('Personalized Bill Menu'!$B$23, 'Misc. Data &amp; Mechanisms'!$P$599:$S$600, 2, FALSE), FALSE), 'Misc. Data &amp; Mechanisms'!$L$599:$N$659, 2, FALSE), FALSE)), ""))</f>
        <v>-6.0999999999999999E-2</v>
      </c>
      <c r="AA51" s="69">
        <f ca="1">IF($A51="", "",IFERROR(IF(VLOOKUP($A51, INDIRECT("'" &amp; 'Personalized Bill Menu'!$B$23 &amp; "'!" &amp;"$A$4:$CA$100"), VLOOKUP(VLOOKUP("RIDER RATE 4",'Misc. Data &amp; Mechanisms'!$P$601:$S$632,HLOOKUP('Personalized Bill Menu'!$B$23, 'Misc. Data &amp; Mechanisms'!$P$599:$S$600, 2, FALSE), FALSE), 'Misc. Data &amp; Mechanisms'!$L$599:$N$659, 2, FALSE), FALSE) = "", "", VLOOKUP($A51, INDIRECT("'" &amp; 'Personalized Bill Menu'!$B$23 &amp; "'!" &amp;"$A$4:$CA$100"), VLOOKUP(VLOOKUP("RIDER RATE 4",'Misc. Data &amp; Mechanisms'!$P$601:$S$632,HLOOKUP('Personalized Bill Menu'!$B$23, 'Misc. Data &amp; Mechanisms'!$P$599:$S$600, 2, FALSE), FALSE), 'Misc. Data &amp; Mechanisms'!$L$599:$N$659, 2, FALSE), FALSE)), ""))</f>
        <v>-3.1E-2</v>
      </c>
      <c r="AB51" s="69">
        <f ca="1">IF($A51="", "",IFERROR(IF(VLOOKUP($A51, INDIRECT("'" &amp; 'Personalized Bill Menu'!$B$23 &amp; "'!" &amp;"$A$4:$CA$100"), VLOOKUP(VLOOKUP("RIDER RATE 5",'Misc. Data &amp; Mechanisms'!$P$601:$S$632,HLOOKUP('Personalized Bill Menu'!$B$23, 'Misc. Data &amp; Mechanisms'!$P$599:$S$600, 2, FALSE), FALSE), 'Misc. Data &amp; Mechanisms'!$L$599:$N$659, 2, FALSE), FALSE) = "", "", VLOOKUP($A51, INDIRECT("'" &amp; 'Personalized Bill Menu'!$B$23 &amp; "'!" &amp;"$A$4:$CA$100"), VLOOKUP(VLOOKUP("RIDER RATE 5",'Misc. Data &amp; Mechanisms'!$P$601:$S$632,HLOOKUP('Personalized Bill Menu'!$B$23, 'Misc. Data &amp; Mechanisms'!$P$599:$S$600, 2, FALSE), FALSE), 'Misc. Data &amp; Mechanisms'!$L$599:$N$659, 2, FALSE), FALSE)), ""))</f>
        <v>0.73799999999999999</v>
      </c>
      <c r="AC51" s="69">
        <f ca="1">IF($A51="", "",IFERROR(IF(VLOOKUP($A51, INDIRECT("'" &amp; 'Personalized Bill Menu'!$B$23 &amp; "'!" &amp;"$A$4:$CA$100"), VLOOKUP(VLOOKUP("RIDER RATE 6",'Misc. Data &amp; Mechanisms'!$P$601:$S$632,HLOOKUP('Personalized Bill Menu'!$B$23, 'Misc. Data &amp; Mechanisms'!$P$599:$S$600, 2, FALSE), FALSE), 'Misc. Data &amp; Mechanisms'!$L$599:$N$659, 2, FALSE), FALSE) = "", "", VLOOKUP($A51, INDIRECT("'" &amp; 'Personalized Bill Menu'!$B$23 &amp; "'!" &amp;"$A$4:$CA$100"), VLOOKUP(VLOOKUP("RIDER RATE 6",'Misc. Data &amp; Mechanisms'!$P$601:$S$632,HLOOKUP('Personalized Bill Menu'!$B$23, 'Misc. Data &amp; Mechanisms'!$P$599:$S$600, 2, FALSE), FALSE), 'Misc. Data &amp; Mechanisms'!$L$599:$N$659, 2, FALSE), FALSE)), ""))</f>
        <v>0.13800000000000001</v>
      </c>
      <c r="AD51" s="69" t="str">
        <f ca="1">IF($A51="", "",IFERROR(IF(VLOOKUP($A51, INDIRECT("'" &amp; 'Personalized Bill Menu'!$B$23 &amp; "'!" &amp;"$A$4:$CA$100"), VLOOKUP(VLOOKUP("RIDER RATE 7",'Misc. Data &amp; Mechanisms'!$P$601:$S$632,HLOOKUP('Personalized Bill Menu'!$B$23, 'Misc. Data &amp; Mechanisms'!$P$599:$S$600, 2, FALSE), FALSE), 'Misc. Data &amp; Mechanisms'!$L$599:$N$659, 2, FALSE), FALSE) = "", "", VLOOKUP($A51, INDIRECT("'" &amp; 'Personalized Bill Menu'!$B$23 &amp; "'!" &amp;"$A$4:$CA$100"), VLOOKUP(VLOOKUP("RIDER RATE 7",'Misc. Data &amp; Mechanisms'!$P$601:$S$632,HLOOKUP('Personalized Bill Menu'!$B$23, 'Misc. Data &amp; Mechanisms'!$P$599:$S$600, 2, FALSE), FALSE), 'Misc. Data &amp; Mechanisms'!$L$599:$N$659, 2, FALSE), FALSE)), ""))</f>
        <v/>
      </c>
      <c r="AE51" s="69" t="str">
        <f ca="1">IF($A51="", "",IFERROR(IF(VLOOKUP($A51, INDIRECT("'" &amp; 'Personalized Bill Menu'!$B$23 &amp; "'!" &amp;"$A$4:$CA$100"), VLOOKUP(VLOOKUP("RIDER RATE 8",'Misc. Data &amp; Mechanisms'!$P$601:$S$632,HLOOKUP('Personalized Bill Menu'!$B$23, 'Misc. Data &amp; Mechanisms'!$P$599:$S$600, 2, FALSE), FALSE), 'Misc. Data &amp; Mechanisms'!$L$599:$N$659, 2, FALSE), FALSE) = "", "", VLOOKUP($A51, INDIRECT("'" &amp; 'Personalized Bill Menu'!$B$23 &amp; "'!" &amp;"$A$4:$CA$100"), VLOOKUP(VLOOKUP("RIDER RATE 8",'Misc. Data &amp; Mechanisms'!$P$601:$S$632,HLOOKUP('Personalized Bill Menu'!$B$23, 'Misc. Data &amp; Mechanisms'!$P$599:$S$600, 2, FALSE), FALSE), 'Misc. Data &amp; Mechanisms'!$L$599:$N$659, 2, FALSE), FALSE)), ""))</f>
        <v/>
      </c>
      <c r="AF51" s="69" t="str">
        <f ca="1">IF($A51="", "",IFERROR(IF(VLOOKUP($A51, INDIRECT("'" &amp; 'Personalized Bill Menu'!$B$23 &amp; "'!" &amp;"$A$4:$CA$100"), VLOOKUP(VLOOKUP("RIDER RATE 9",'Misc. Data &amp; Mechanisms'!$P$601:$S$632,HLOOKUP('Personalized Bill Menu'!$B$23, 'Misc. Data &amp; Mechanisms'!$P$599:$S$600, 2, FALSE), FALSE), 'Misc. Data &amp; Mechanisms'!$L$599:$N$659, 2, FALSE), FALSE) = "", "", VLOOKUP($A51, INDIRECT("'" &amp; 'Personalized Bill Menu'!$B$23 &amp; "'!" &amp;"$A$4:$CA$100"), VLOOKUP(VLOOKUP("RIDER RATE 9",'Misc. Data &amp; Mechanisms'!$P$601:$S$632,HLOOKUP('Personalized Bill Menu'!$B$23, 'Misc. Data &amp; Mechanisms'!$P$599:$S$600, 2, FALSE), FALSE), 'Misc. Data &amp; Mechanisms'!$L$599:$N$659, 2, FALSE), FALSE)), ""))</f>
        <v/>
      </c>
      <c r="AG51" s="72">
        <f ca="1">IF($A51="", "", IFERROR(IF('Personalized Bill Menu'!$B$23="ATCO-N", ($X51*$B51) +($Y51*$C51), IF('Personalized Bill Menu'!$B$23="ATCO-S",$X51*$C51, IF($Y51="", ($X51*$H51), ($Y51*($H51+$K51))))), 0))</f>
        <v>0</v>
      </c>
      <c r="AH51" s="72">
        <f ca="1">IF($A51="", "", IFERROR(IF('Personalized Bill Menu'!$B$23="ATCO-S", $Y51*$C51, $Z51*$C51), 0))</f>
        <v>0</v>
      </c>
      <c r="AI51" s="72">
        <f ca="1">IF($A51="", "", IFERROR(IF('Personalized Bill Menu'!$B$23="ATCO-S", ($AA51*$C51)+($Z51*$B51), $AA51*$C51), 0))</f>
        <v>-2.0229319075746535</v>
      </c>
      <c r="AJ51" s="72">
        <f ca="1">IF($A51="", "", IFERROR(IF('Personalized Bill Menu'!$B$23&lt;&gt;"AltaGas",$AB51*$C51,""),0))</f>
        <v>4.5930241222610988</v>
      </c>
      <c r="AK51" s="72">
        <f ca="1">IF($A51="", "", IFERROR(IF('Personalized Bill Menu'!$B$23="ATCO-S",$AC51*$C51,IF('Personalized Bill Menu'!$B$23="ATCO-N",$AC51*1,"")),0))</f>
        <v>0.85885816920329494</v>
      </c>
      <c r="AL51" s="72">
        <f ca="1">IF($A51="", "", IFERROR(IF('Personalized Bill Menu'!$B$23="ATCO-N",$AD51*$B51,IF('Personalized Bill Menu'!$B$23="ATCO-S",$AD51*1,"")),0))</f>
        <v>0</v>
      </c>
      <c r="AM51" s="72">
        <f ca="1">IF($A51="", "", IFERROR(IF('Personalized Bill Menu'!$B$23="ATCO-S",$AE51*$B51,IF('Personalized Bill Menu'!$B$23="ATCO-N",$AE51*$B51,"")),0))</f>
        <v>0</v>
      </c>
      <c r="AN51" s="70">
        <f ca="1">IF($A51="", "", IFERROR(IF('Personalized Bill Menu'!$B$23="ATCO-S",$AF51*$B51,""),0))</f>
        <v>0</v>
      </c>
      <c r="AO51" s="69">
        <f>IF('Personalized Bill Menu'!$B$34="Natural Gas", 'Personalized Bill Menu'!$K48, IF('Personalized Bill Menu'!$B$34="Both",'Personalized Bill Menu'!$O48,""))</f>
        <v>0.223</v>
      </c>
      <c r="AP51" s="72">
        <f t="shared" si="13"/>
        <v>6.69</v>
      </c>
      <c r="AQ51" s="89" t="str">
        <f ca="1">IF($A51="", "",IF(VLOOKUP($A51, INDIRECT("'" &amp; 'Personalized Bill Menu'!$B$23 &amp; "'!" &amp;"$A$4:$CA$100"), VLOOKUP(VLOOKUP(AQ$5,'Misc. Data &amp; Mechanisms'!$P$601:$S$632,HLOOKUP('Personalized Bill Menu'!$B$23, 'Misc. Data &amp; Mechanisms'!$P$599:$S$600, 2, FALSE), FALSE), 'Misc. Data &amp; Mechanisms'!$L$599:$N$659, 2, FALSE), FALSE) = "", "", VLOOKUP($A51, INDIRECT("'" &amp; 'Personalized Bill Menu'!$B$23 &amp; "'!" &amp;"$A$4:$CA$100"), VLOOKUP(VLOOKUP(AQ$5,'Misc. Data &amp; Mechanisms'!$P$601:$S$632,HLOOKUP('Personalized Bill Menu'!$B$23, 'Misc. Data &amp; Mechanisms'!$P$599:$S$600, 2, FALSE), FALSE), 'Misc. Data &amp; Mechanisms'!$L$599:$N$659, 2, FALSE), FALSE)))</f>
        <v/>
      </c>
      <c r="AR51" s="72">
        <f t="shared" ca="1" si="14"/>
        <v>0</v>
      </c>
      <c r="AS51" s="91">
        <f ca="1">IF($A51="", "",IF(VLOOKUP($A51, INDIRECT("'" &amp; 'Personalized Bill Menu'!$B$23 &amp; "'!" &amp;"$A$4:$CA$100"), VLOOKUP(VLOOKUP(AS$5,'Misc. Data &amp; Mechanisms'!$P$601:$S$632,HLOOKUP('Personalized Bill Menu'!$B$23, 'Misc. Data &amp; Mechanisms'!$P$599:$S$600, 2, FALSE), FALSE), 'Misc. Data &amp; Mechanisms'!$L$599:$N$659, 2, FALSE), FALSE) = "", "", VLOOKUP($A51, INDIRECT("'" &amp; 'Personalized Bill Menu'!$B$23 &amp; "'!" &amp;"$A$4:$CA$100"), VLOOKUP(VLOOKUP(AS$5,'Misc. Data &amp; Mechanisms'!$P$601:$S$632,HLOOKUP('Personalized Bill Menu'!$B$23, 'Misc. Data &amp; Mechanisms'!$P$599:$S$600, 2, FALSE), FALSE), 'Misc. Data &amp; Mechanisms'!$L$599:$N$659, 2, FALSE), FALSE)))</f>
        <v>0.05</v>
      </c>
      <c r="AT51" s="116"/>
      <c r="AU51" s="116"/>
      <c r="AV51" s="116"/>
      <c r="AW51" s="116"/>
      <c r="AX51" s="116"/>
    </row>
    <row r="52" spans="1:50" s="117" customFormat="1" x14ac:dyDescent="0.3">
      <c r="A52" s="83">
        <f>'Personalized Bill Menu'!$H49</f>
        <v>42278</v>
      </c>
      <c r="B52" s="84">
        <f t="shared" si="3"/>
        <v>31</v>
      </c>
      <c r="C52" s="85">
        <f>IF('Personalized Bill Menu'!$B$34="Natural Gas", 'Personalized Bill Menu'!$I49, IF('Personalized Bill Menu'!$B$34="Both",'Personalized Bill Menu'!$M49,""))</f>
        <v>8.3430798977230474</v>
      </c>
      <c r="D52" s="66">
        <f t="shared" ca="1" si="4"/>
        <v>9.3148016887505385</v>
      </c>
      <c r="E52" s="66">
        <f ca="1">IF($C52="Not Applicable", "", IFERROR(IFERROR((1+$AS52)*IF('Personalized Bill Menu'!$B$23="ATCO-N", IF(OR('Personalized Bill Menu'!$B$21="Fort McMurray",AND('Personalized Bill Menu'!$B$21="Spruce Grove", $A52&lt;DATE(2019, 5, 1) )),(((1+IF($T52="",0,$T52))*($N52+$P52))+ (IF($U52="", 0, $U52)*$P52)+(1+IF($T52="",0,$T52)+IF($U52="", 0, $U52))*(SUM($Y52:$AB52))),($N52+((1+IF($T52="",0,$T52)+IF($U52="", 0, $U52))*$P52)+(1+IF($T52="",0,$T52)+IF($U52="", 0, $U52))*(SUM($Y52:$AB52)))), IF('Personalized Bill Menu'!$B$23="ATCO-S",IF(OR('Personalized Bill Menu'!$B$21="Calgary",AND('Personalized Bill Menu'!$B$21="Okotoks", $A52&lt;DATE(2019, 1, 1))),((1+IF($T52="",0,$T52))*($N52+$P52+SUM($X52:$Y52,$AA52:$AC52)))+(IF($U52="",0, $U52)*($P52+SUM($X52:$Y52,$AA52:$AC52))), ((1+IF($T52="",0,$T52))*($P52+SUM($Y52,$AA52:$AC52)))+(IF($U52="",0, $U52)*($P52+SUM($X52:$Y52,$AA52:$AC52)))+$N52+IF($X52="", 0, $X52)),IF(AND('Personalized Bill Menu'!$B$21="Athabasca", $A52&lt;DATE(2019, 5, 1)),((1+IF($T52="",0,$T52)+IF($U52="", 0, $U52))*($N52+((1+SUM($X52:$Y52))*$P52)+SUM($Z52:$AA52))),((1+IF($U52="", 0, $U52))*($N52+((1+SUM($X52:$Y52))*$P52)+SUM($Z52:$AA52))) + (IF($T52="",0,$T52)*(((1+SUM($X52:$Y52))*$P52)+SUM($Z52:$AA52)))))), "")+ IF($AQ52="", 0,((1+$AS52)*$AQ52)), ""))</f>
        <v>5.1892814399999994</v>
      </c>
      <c r="F52" s="118">
        <f t="shared" ca="1" si="5"/>
        <v>77.714134720691305</v>
      </c>
      <c r="G52" s="115">
        <f t="shared" si="15"/>
        <v>23.594229950760777</v>
      </c>
      <c r="H52" s="66">
        <f t="shared" ca="1" si="16"/>
        <v>31.637886920735362</v>
      </c>
      <c r="I52" s="66">
        <f t="shared" ca="1" si="17"/>
        <v>6.7094422536815124</v>
      </c>
      <c r="J52" s="66">
        <f t="shared" ca="1" si="6"/>
        <v>5.158902513575975</v>
      </c>
      <c r="K52" s="66">
        <f t="shared" si="18"/>
        <v>6.9130000000000003</v>
      </c>
      <c r="L52" s="66">
        <f t="shared" ca="1" si="8"/>
        <v>0</v>
      </c>
      <c r="M52" s="68">
        <f t="shared" ca="1" si="9"/>
        <v>3.7006730819376816</v>
      </c>
      <c r="N52" s="1290">
        <f>IF('Personalized Bill Menu'!$B$34="Natural Gas", 'Personalized Bill Menu'!$J49, IF('Personalized Bill Menu'!$B$34="Both",'Personalized Bill Menu'!$N49,""))</f>
        <v>2.8279999999999998</v>
      </c>
      <c r="O52" s="70">
        <f t="shared" si="10"/>
        <v>23.594229950760777</v>
      </c>
      <c r="P52" s="89">
        <f ca="1">IF($A52="", "",IFERROR(IF(VLOOKUP($A52, INDIRECT("'" &amp; 'Personalized Bill Menu'!$B$23 &amp; "'!" &amp;"$A$4:$CA$100"), VLOOKUP(VLOOKUP(P$5,'Misc. Data &amp; Mechanisms'!$P$601:$S$632,HLOOKUP('Personalized Bill Menu'!$B$23, 'Misc. Data &amp; Mechanisms'!$P$599:$S$600, 2, FALSE), FALSE), 'Misc. Data &amp; Mechanisms'!$L$599:$N$659, 2, FALSE), FALSE) = "", "", VLOOKUP($A52, INDIRECT("'" &amp; 'Personalized Bill Menu'!$B$23 &amp; "'!" &amp;"$A$4:$CA$100"), VLOOKUP(VLOOKUP(P$5,'Misc. Data &amp; Mechanisms'!$P$601:$S$632,HLOOKUP('Personalized Bill Menu'!$B$23, 'Misc. Data &amp; Mechanisms'!$P$599:$S$600, 2, FALSE), FALSE), 'Misc. Data &amp; Mechanisms'!$L$599:$N$659, 2, FALSE), FALSE)), ""))</f>
        <v>0.77500000000000002</v>
      </c>
      <c r="Q52" s="69">
        <f ca="1">IF($A52="", "",IFERROR(IF(VLOOKUP($A52, INDIRECT("'" &amp; 'Personalized Bill Menu'!$B$23 &amp; "'!" &amp;"$A$4:$CA$100"), VLOOKUP(VLOOKUP(Q$5,'Misc. Data &amp; Mechanisms'!$P$601:$S$632,HLOOKUP('Personalized Bill Menu'!$B$23, 'Misc. Data &amp; Mechanisms'!$P$599:$S$600, 2, FALSE), FALSE), 'Misc. Data &amp; Mechanisms'!$L$599:$N$659, 2, FALSE), FALSE) = "", "", VLOOKUP($A52, INDIRECT("'" &amp; 'Personalized Bill Menu'!$B$23 &amp; "'!" &amp;"$A$4:$CA$100"), VLOOKUP(VLOOKUP(Q$5,'Misc. Data &amp; Mechanisms'!$P$601:$S$632,HLOOKUP('Personalized Bill Menu'!$B$23, 'Misc. Data &amp; Mechanisms'!$P$599:$S$600, 2, FALSE), FALSE), 'Misc. Data &amp; Mechanisms'!$L$599:$N$659, 2, FALSE), FALSE)), ""))</f>
        <v>0.81200000000000006</v>
      </c>
      <c r="R52" s="72">
        <f t="shared" ca="1" si="11"/>
        <v>6.465886920735362</v>
      </c>
      <c r="S52" s="70">
        <f t="shared" ca="1" si="12"/>
        <v>25.172000000000001</v>
      </c>
      <c r="T52" s="78">
        <f>IFERROR(IF(VLOOKUP($A52,'Misc. Data &amp; Mechanisms'!$A$63:$DY$152,HLOOKUP('Personalized Bill Menu'!$B$21&amp;"_"&amp;'Personalized Bill Menu'!$B$23&amp;"_NG_Y_1",'Misc. Data &amp; Mechanisms'!$A$55:$DY$62,8,FALSE), FALSE)="", "", VLOOKUP($A52,'Misc. Data &amp; Mechanisms'!$A$63:$DY$152,HLOOKUP('Personalized Bill Menu'!$B$21&amp;"_"&amp;'Personalized Bill Menu'!$B$23&amp;"_NG_Y_1",'Misc. Data &amp; Mechanisms'!$A$55:$DY$62,8,FALSE), FALSE)), "")</f>
        <v>0.1111</v>
      </c>
      <c r="U52" s="78" t="str">
        <f>IFERROR(IF(VLOOKUP($A52,'Misc. Data &amp; Mechanisms'!$A$63:$DY$152,HLOOKUP('Personalized Bill Menu'!$B$21&amp;"_"&amp;'Personalized Bill Menu'!$B$23&amp;"_NG_Y_2",'Misc. Data &amp; Mechanisms'!$A$55:$DY$62,8,FALSE), FALSE)="", "",VLOOKUP($A52,'Misc. Data &amp; Mechanisms'!$A$63:$DY$152,HLOOKUP('Personalized Bill Menu'!$B$21&amp;"_"&amp;'Personalized Bill Menu'!$B$23&amp;"_NG_Y_2",'Misc. Data &amp; Mechanisms'!$A$55:$DY$62,8,FALSE), FALSE)), "")</f>
        <v/>
      </c>
      <c r="V52" s="72">
        <f ca="1">IF($A52="", "", IFERROR(IF('Personalized Bill Menu'!$B$23="ATCO-N", IF(OR('Personalized Bill Menu'!$B$21="Fort McMurray",AND('Personalized Bill Menu'!$B$21="Spruce Grove", $A52&lt;DATE(2019, 5, 1))),$T52*($G52+$H52+$J52),$T52*($H52+$J52)), IF('Personalized Bill Menu'!$B$23="ATCO-S",IF(OR('Personalized Bill Menu'!$B$21="Calgary",AND('Personalized Bill Menu'!$B$21="Okotoks", $A52&lt;DATE(2019, 1, 1))),$T52*($G52+$H52+$J52), $T52*($H52+$J52-$AG52)),IF(AND('Personalized Bill Menu'!$B$21="Athabasca", $A52&lt;DATE(2019, 5, 1)),$T52*($G52+$H52+$J52+$K52),$T52*($H52+$J52+$K52)))),0))</f>
        <v>6.7094422536815124</v>
      </c>
      <c r="W52" s="72">
        <f ca="1">IF($A52="", "", IFERROR(IF('Personalized Bill Menu'!$B$23="ATCO-N", $U52*($H52+$J52), IF('Personalized Bill Menu'!$B$23="ATCO-S",$U52*($H52+$J52),$U52*($G52+$H52+$J52+$K52))),0))</f>
        <v>0</v>
      </c>
      <c r="X52" s="89" t="str">
        <f ca="1">IF($A52="", "",IFERROR(IF(VLOOKUP($A52, INDIRECT("'" &amp; 'Personalized Bill Menu'!$B$23 &amp; "'!" &amp;"$A$4:$CA$100"), VLOOKUP(VLOOKUP("RIDER RATE 1",'Misc. Data &amp; Mechanisms'!$P$601:$S$632,HLOOKUP('Personalized Bill Menu'!$B$23, 'Misc. Data &amp; Mechanisms'!$P$599:$S$600, 2, FALSE), FALSE), 'Misc. Data &amp; Mechanisms'!$L$599:$N$659, 2, FALSE), FALSE) = "", "", VLOOKUP($A52, INDIRECT("'" &amp; 'Personalized Bill Menu'!$B$23 &amp; "'!" &amp;"$A$4:$CA$100"), VLOOKUP(VLOOKUP("RIDER RATE 1",'Misc. Data &amp; Mechanisms'!$P$601:$S$632,HLOOKUP('Personalized Bill Menu'!$B$23, 'Misc. Data &amp; Mechanisms'!$P$599:$S$600, 2, FALSE), FALSE), 'Misc. Data &amp; Mechanisms'!$L$599:$N$659, 2, FALSE), FALSE)), ""))</f>
        <v/>
      </c>
      <c r="Y52" s="69" t="str">
        <f ca="1">IF($A52="", "",IFERROR(IF(VLOOKUP($A52, INDIRECT("'" &amp; 'Personalized Bill Menu'!$B$23 &amp; "'!" &amp;"$A$4:$CA$100"), VLOOKUP(VLOOKUP("RIDER RATE 2",'Misc. Data &amp; Mechanisms'!$P$601:$S$632,HLOOKUP('Personalized Bill Menu'!$B$23, 'Misc. Data &amp; Mechanisms'!$P$599:$S$600, 2, FALSE), FALSE), 'Misc. Data &amp; Mechanisms'!$L$599:$N$659, 2, FALSE), FALSE) = "", "", VLOOKUP($A52, INDIRECT("'" &amp; 'Personalized Bill Menu'!$B$23 &amp; "'!" &amp;"$A$4:$CA$100"), VLOOKUP(VLOOKUP("RIDER RATE 2",'Misc. Data &amp; Mechanisms'!$P$601:$S$632,HLOOKUP('Personalized Bill Menu'!$B$23, 'Misc. Data &amp; Mechanisms'!$P$599:$S$600, 2, FALSE), FALSE), 'Misc. Data &amp; Mechanisms'!$L$599:$N$659, 2, FALSE), FALSE)), ""))</f>
        <v/>
      </c>
      <c r="Z52" s="69">
        <f ca="1">IF($A52="", "",IFERROR(IF(VLOOKUP($A52, INDIRECT("'" &amp; 'Personalized Bill Menu'!$B$23 &amp; "'!" &amp;"$A$4:$CA$100"), VLOOKUP(VLOOKUP("RIDER RATE 3",'Misc. Data &amp; Mechanisms'!$P$601:$S$632,HLOOKUP('Personalized Bill Menu'!$B$23, 'Misc. Data &amp; Mechanisms'!$P$599:$S$600, 2, FALSE), FALSE), 'Misc. Data &amp; Mechanisms'!$L$599:$N$659, 2, FALSE), FALSE) = "", "", VLOOKUP($A52, INDIRECT("'" &amp; 'Personalized Bill Menu'!$B$23 &amp; "'!" &amp;"$A$4:$CA$100"), VLOOKUP(VLOOKUP("RIDER RATE 3",'Misc. Data &amp; Mechanisms'!$P$601:$S$632,HLOOKUP('Personalized Bill Menu'!$B$23, 'Misc. Data &amp; Mechanisms'!$P$599:$S$600, 2, FALSE), FALSE), 'Misc. Data &amp; Mechanisms'!$L$599:$N$659, 2, FALSE), FALSE)), ""))</f>
        <v>-6.0999999999999999E-2</v>
      </c>
      <c r="AA52" s="69">
        <f ca="1">IF($A52="", "",IFERROR(IF(VLOOKUP($A52, INDIRECT("'" &amp; 'Personalized Bill Menu'!$B$23 &amp; "'!" &amp;"$A$4:$CA$100"), VLOOKUP(VLOOKUP("RIDER RATE 4",'Misc. Data &amp; Mechanisms'!$P$601:$S$632,HLOOKUP('Personalized Bill Menu'!$B$23, 'Misc. Data &amp; Mechanisms'!$P$599:$S$600, 2, FALSE), FALSE), 'Misc. Data &amp; Mechanisms'!$L$599:$N$659, 2, FALSE), FALSE) = "", "", VLOOKUP($A52, INDIRECT("'" &amp; 'Personalized Bill Menu'!$B$23 &amp; "'!" &amp;"$A$4:$CA$100"), VLOOKUP(VLOOKUP("RIDER RATE 4",'Misc. Data &amp; Mechanisms'!$P$601:$S$632,HLOOKUP('Personalized Bill Menu'!$B$23, 'Misc. Data &amp; Mechanisms'!$P$599:$S$600, 2, FALSE), FALSE), 'Misc. Data &amp; Mechanisms'!$L$599:$N$659, 2, FALSE), FALSE)), ""))</f>
        <v>-3.1E-2</v>
      </c>
      <c r="AB52" s="69">
        <f ca="1">IF($A52="", "",IFERROR(IF(VLOOKUP($A52, INDIRECT("'" &amp; 'Personalized Bill Menu'!$B$23 &amp; "'!" &amp;"$A$4:$CA$100"), VLOOKUP(VLOOKUP("RIDER RATE 5",'Misc. Data &amp; Mechanisms'!$P$601:$S$632,HLOOKUP('Personalized Bill Menu'!$B$23, 'Misc. Data &amp; Mechanisms'!$P$599:$S$600, 2, FALSE), FALSE), 'Misc. Data &amp; Mechanisms'!$L$599:$N$659, 2, FALSE), FALSE) = "", "", VLOOKUP($A52, INDIRECT("'" &amp; 'Personalized Bill Menu'!$B$23 &amp; "'!" &amp;"$A$4:$CA$100"), VLOOKUP(VLOOKUP("RIDER RATE 5",'Misc. Data &amp; Mechanisms'!$P$601:$S$632,HLOOKUP('Personalized Bill Menu'!$B$23, 'Misc. Data &amp; Mechanisms'!$P$599:$S$600, 2, FALSE), FALSE), 'Misc. Data &amp; Mechanisms'!$L$599:$N$659, 2, FALSE), FALSE)), ""))</f>
        <v>0.73799999999999999</v>
      </c>
      <c r="AC52" s="69">
        <f ca="1">IF($A52="", "",IFERROR(IF(VLOOKUP($A52, INDIRECT("'" &amp; 'Personalized Bill Menu'!$B$23 &amp; "'!" &amp;"$A$4:$CA$100"), VLOOKUP(VLOOKUP("RIDER RATE 6",'Misc. Data &amp; Mechanisms'!$P$601:$S$632,HLOOKUP('Personalized Bill Menu'!$B$23, 'Misc. Data &amp; Mechanisms'!$P$599:$S$600, 2, FALSE), FALSE), 'Misc. Data &amp; Mechanisms'!$L$599:$N$659, 2, FALSE), FALSE) = "", "", VLOOKUP($A52, INDIRECT("'" &amp; 'Personalized Bill Menu'!$B$23 &amp; "'!" &amp;"$A$4:$CA$100"), VLOOKUP(VLOOKUP("RIDER RATE 6",'Misc. Data &amp; Mechanisms'!$P$601:$S$632,HLOOKUP('Personalized Bill Menu'!$B$23, 'Misc. Data &amp; Mechanisms'!$P$599:$S$600, 2, FALSE), FALSE), 'Misc. Data &amp; Mechanisms'!$L$599:$N$659, 2, FALSE), FALSE)), ""))</f>
        <v>0.13800000000000001</v>
      </c>
      <c r="AD52" s="69" t="str">
        <f ca="1">IF($A52="", "",IFERROR(IF(VLOOKUP($A52, INDIRECT("'" &amp; 'Personalized Bill Menu'!$B$23 &amp; "'!" &amp;"$A$4:$CA$100"), VLOOKUP(VLOOKUP("RIDER RATE 7",'Misc. Data &amp; Mechanisms'!$P$601:$S$632,HLOOKUP('Personalized Bill Menu'!$B$23, 'Misc. Data &amp; Mechanisms'!$P$599:$S$600, 2, FALSE), FALSE), 'Misc. Data &amp; Mechanisms'!$L$599:$N$659, 2, FALSE), FALSE) = "", "", VLOOKUP($A52, INDIRECT("'" &amp; 'Personalized Bill Menu'!$B$23 &amp; "'!" &amp;"$A$4:$CA$100"), VLOOKUP(VLOOKUP("RIDER RATE 7",'Misc. Data &amp; Mechanisms'!$P$601:$S$632,HLOOKUP('Personalized Bill Menu'!$B$23, 'Misc. Data &amp; Mechanisms'!$P$599:$S$600, 2, FALSE), FALSE), 'Misc. Data &amp; Mechanisms'!$L$599:$N$659, 2, FALSE), FALSE)), ""))</f>
        <v/>
      </c>
      <c r="AE52" s="69" t="str">
        <f ca="1">IF($A52="", "",IFERROR(IF(VLOOKUP($A52, INDIRECT("'" &amp; 'Personalized Bill Menu'!$B$23 &amp; "'!" &amp;"$A$4:$CA$100"), VLOOKUP(VLOOKUP("RIDER RATE 8",'Misc. Data &amp; Mechanisms'!$P$601:$S$632,HLOOKUP('Personalized Bill Menu'!$B$23, 'Misc. Data &amp; Mechanisms'!$P$599:$S$600, 2, FALSE), FALSE), 'Misc. Data &amp; Mechanisms'!$L$599:$N$659, 2, FALSE), FALSE) = "", "", VLOOKUP($A52, INDIRECT("'" &amp; 'Personalized Bill Menu'!$B$23 &amp; "'!" &amp;"$A$4:$CA$100"), VLOOKUP(VLOOKUP("RIDER RATE 8",'Misc. Data &amp; Mechanisms'!$P$601:$S$632,HLOOKUP('Personalized Bill Menu'!$B$23, 'Misc. Data &amp; Mechanisms'!$P$599:$S$600, 2, FALSE), FALSE), 'Misc. Data &amp; Mechanisms'!$L$599:$N$659, 2, FALSE), FALSE)), ""))</f>
        <v/>
      </c>
      <c r="AF52" s="69" t="str">
        <f ca="1">IF($A52="", "",IFERROR(IF(VLOOKUP($A52, INDIRECT("'" &amp; 'Personalized Bill Menu'!$B$23 &amp; "'!" &amp;"$A$4:$CA$100"), VLOOKUP(VLOOKUP("RIDER RATE 9",'Misc. Data &amp; Mechanisms'!$P$601:$S$632,HLOOKUP('Personalized Bill Menu'!$B$23, 'Misc. Data &amp; Mechanisms'!$P$599:$S$600, 2, FALSE), FALSE), 'Misc. Data &amp; Mechanisms'!$L$599:$N$659, 2, FALSE), FALSE) = "", "", VLOOKUP($A52, INDIRECT("'" &amp; 'Personalized Bill Menu'!$B$23 &amp; "'!" &amp;"$A$4:$CA$100"), VLOOKUP(VLOOKUP("RIDER RATE 9",'Misc. Data &amp; Mechanisms'!$P$601:$S$632,HLOOKUP('Personalized Bill Menu'!$B$23, 'Misc. Data &amp; Mechanisms'!$P$599:$S$600, 2, FALSE), FALSE), 'Misc. Data &amp; Mechanisms'!$L$599:$N$659, 2, FALSE), FALSE)), ""))</f>
        <v/>
      </c>
      <c r="AG52" s="72">
        <f ca="1">IF($A52="", "", IFERROR(IF('Personalized Bill Menu'!$B$23="ATCO-N", ($X52*$B52) +($Y52*$C52), IF('Personalized Bill Menu'!$B$23="ATCO-S",$X52*$C52, IF($Y52="", ($X52*$H52), ($Y52*($H52+$K52))))), 0))</f>
        <v>0</v>
      </c>
      <c r="AH52" s="72">
        <f ca="1">IF($A52="", "", IFERROR(IF('Personalized Bill Menu'!$B$23="ATCO-S", $Y52*$C52, $Z52*$C52), 0))</f>
        <v>0</v>
      </c>
      <c r="AI52" s="72">
        <f ca="1">IF($A52="", "", IFERROR(IF('Personalized Bill Menu'!$B$23="ATCO-S", ($AA52*$C52)+($Z52*$B52), $AA52*$C52), 0))</f>
        <v>-2.1496354768294146</v>
      </c>
      <c r="AJ52" s="72">
        <f ca="1">IF($A52="", "", IFERROR(IF('Personalized Bill Menu'!$B$23&lt;&gt;"AltaGas",$AB52*$C52,""),0))</f>
        <v>6.1571929645196093</v>
      </c>
      <c r="AK52" s="72">
        <f ca="1">IF($A52="", "", IFERROR(IF('Personalized Bill Menu'!$B$23="ATCO-S",$AC52*$C52,IF('Personalized Bill Menu'!$B$23="ATCO-N",$AC52*1,"")),0))</f>
        <v>1.1513450258857807</v>
      </c>
      <c r="AL52" s="72">
        <f ca="1">IF($A52="", "", IFERROR(IF('Personalized Bill Menu'!$B$23="ATCO-N",$AD52*$B52,IF('Personalized Bill Menu'!$B$23="ATCO-S",$AD52*1,"")),0))</f>
        <v>0</v>
      </c>
      <c r="AM52" s="72">
        <f ca="1">IF($A52="", "", IFERROR(IF('Personalized Bill Menu'!$B$23="ATCO-S",$AE52*$B52,IF('Personalized Bill Menu'!$B$23="ATCO-N",$AE52*$B52,"")),0))</f>
        <v>0</v>
      </c>
      <c r="AN52" s="70">
        <f ca="1">IF($A52="", "", IFERROR(IF('Personalized Bill Menu'!$B$23="ATCO-S",$AF52*$B52,""),0))</f>
        <v>0</v>
      </c>
      <c r="AO52" s="69">
        <f>IF('Personalized Bill Menu'!$B$34="Natural Gas", 'Personalized Bill Menu'!$K49, IF('Personalized Bill Menu'!$B$34="Both",'Personalized Bill Menu'!$O49,""))</f>
        <v>0.223</v>
      </c>
      <c r="AP52" s="72">
        <f t="shared" si="13"/>
        <v>6.9130000000000003</v>
      </c>
      <c r="AQ52" s="89" t="str">
        <f ca="1">IF($A52="", "",IF(VLOOKUP($A52, INDIRECT("'" &amp; 'Personalized Bill Menu'!$B$23 &amp; "'!" &amp;"$A$4:$CA$100"), VLOOKUP(VLOOKUP(AQ$5,'Misc. Data &amp; Mechanisms'!$P$601:$S$632,HLOOKUP('Personalized Bill Menu'!$B$23, 'Misc. Data &amp; Mechanisms'!$P$599:$S$600, 2, FALSE), FALSE), 'Misc. Data &amp; Mechanisms'!$L$599:$N$659, 2, FALSE), FALSE) = "", "", VLOOKUP($A52, INDIRECT("'" &amp; 'Personalized Bill Menu'!$B$23 &amp; "'!" &amp;"$A$4:$CA$100"), VLOOKUP(VLOOKUP(AQ$5,'Misc. Data &amp; Mechanisms'!$P$601:$S$632,HLOOKUP('Personalized Bill Menu'!$B$23, 'Misc. Data &amp; Mechanisms'!$P$599:$S$600, 2, FALSE), FALSE), 'Misc. Data &amp; Mechanisms'!$L$599:$N$659, 2, FALSE), FALSE)))</f>
        <v/>
      </c>
      <c r="AR52" s="72">
        <f t="shared" ca="1" si="14"/>
        <v>0</v>
      </c>
      <c r="AS52" s="91">
        <f ca="1">IF($A52="", "",IF(VLOOKUP($A52, INDIRECT("'" &amp; 'Personalized Bill Menu'!$B$23 &amp; "'!" &amp;"$A$4:$CA$100"), VLOOKUP(VLOOKUP(AS$5,'Misc. Data &amp; Mechanisms'!$P$601:$S$632,HLOOKUP('Personalized Bill Menu'!$B$23, 'Misc. Data &amp; Mechanisms'!$P$599:$S$600, 2, FALSE), FALSE), 'Misc. Data &amp; Mechanisms'!$L$599:$N$659, 2, FALSE), FALSE) = "", "", VLOOKUP($A52, INDIRECT("'" &amp; 'Personalized Bill Menu'!$B$23 &amp; "'!" &amp;"$A$4:$CA$100"), VLOOKUP(VLOOKUP(AS$5,'Misc. Data &amp; Mechanisms'!$P$601:$S$632,HLOOKUP('Personalized Bill Menu'!$B$23, 'Misc. Data &amp; Mechanisms'!$P$599:$S$600, 2, FALSE), FALSE), 'Misc. Data &amp; Mechanisms'!$L$599:$N$659, 2, FALSE), FALSE)))</f>
        <v>0.05</v>
      </c>
      <c r="AT52" s="116"/>
      <c r="AU52" s="116"/>
      <c r="AV52" s="116"/>
      <c r="AW52" s="116"/>
      <c r="AX52" s="116"/>
    </row>
    <row r="53" spans="1:50" s="117" customFormat="1" x14ac:dyDescent="0.3">
      <c r="A53" s="83">
        <f>'Personalized Bill Menu'!$H50</f>
        <v>42309</v>
      </c>
      <c r="B53" s="84">
        <f t="shared" si="3"/>
        <v>30</v>
      </c>
      <c r="C53" s="85">
        <f>IF('Personalized Bill Menu'!$B$34="Natural Gas", 'Personalized Bill Menu'!$I50, IF('Personalized Bill Menu'!$B$34="Both",'Personalized Bill Menu'!$M50,""))</f>
        <v>15.114799129282089</v>
      </c>
      <c r="D53" s="66">
        <f t="shared" ca="1" si="4"/>
        <v>7.0733678753142959</v>
      </c>
      <c r="E53" s="66">
        <f ca="1">IF($C53="Not Applicable", "", IFERROR(IFERROR((1+$AS53)*IF('Personalized Bill Menu'!$B$23="ATCO-N", IF(OR('Personalized Bill Menu'!$B$21="Fort McMurray",AND('Personalized Bill Menu'!$B$21="Spruce Grove", $A53&lt;DATE(2019, 5, 1) )),(((1+IF($T53="",0,$T53))*($N53+$P53))+ (IF($U53="", 0, $U53)*$P53)+(1+IF($T53="",0,$T53)+IF($U53="", 0, $U53))*(SUM($Y53:$AB53))),($N53+((1+IF($T53="",0,$T53)+IF($U53="", 0, $U53))*$P53)+(1+IF($T53="",0,$T53)+IF($U53="", 0, $U53))*(SUM($Y53:$AB53)))), IF('Personalized Bill Menu'!$B$23="ATCO-S",IF(OR('Personalized Bill Menu'!$B$21="Calgary",AND('Personalized Bill Menu'!$B$21="Okotoks", $A53&lt;DATE(2019, 1, 1))),((1+IF($T53="",0,$T53))*($N53+$P53+SUM($X53:$Y53,$AA53:$AC53)))+(IF($U53="",0, $U53)*($P53+SUM($X53:$Y53,$AA53:$AC53))), ((1+IF($T53="",0,$T53))*($P53+SUM($Y53,$AA53:$AC53)))+(IF($U53="",0, $U53)*($P53+SUM($X53:$Y53,$AA53:$AC53)))+$N53+IF($X53="", 0, $X53)),IF(AND('Personalized Bill Menu'!$B$21="Athabasca", $A53&lt;DATE(2019, 5, 1)),((1+IF($T53="",0,$T53)+IF($U53="", 0, $U53))*($N53+((1+SUM($X53:$Y53))*$P53)+SUM($Z53:$AA53))),((1+IF($U53="", 0, $U53))*($N53+((1+SUM($X53:$Y53))*$P53)+SUM($Z53:$AA53))) + (IF($T53="",0,$T53)*(((1+SUM($X53:$Y53))*$P53)+SUM($Z53:$AA53)))))), "")+ IF($AQ53="", 0,((1+$AS53)*$AQ53)), ""))</f>
        <v>4.8696179699999993</v>
      </c>
      <c r="F53" s="118">
        <f t="shared" ca="1" si="5"/>
        <v>106.91253460289242</v>
      </c>
      <c r="G53" s="115">
        <f t="shared" si="15"/>
        <v>38.603196976186453</v>
      </c>
      <c r="H53" s="66">
        <f t="shared" ca="1" si="16"/>
        <v>36.073969325193623</v>
      </c>
      <c r="I53" s="66">
        <f t="shared" ca="1" si="17"/>
        <v>9.5122899609407661</v>
      </c>
      <c r="J53" s="66">
        <f t="shared" ca="1" si="6"/>
        <v>10.942005264243365</v>
      </c>
      <c r="K53" s="66">
        <f t="shared" si="18"/>
        <v>6.69</v>
      </c>
      <c r="L53" s="66">
        <f t="shared" ca="1" si="8"/>
        <v>0</v>
      </c>
      <c r="M53" s="68">
        <f t="shared" ca="1" si="9"/>
        <v>5.091073076328211</v>
      </c>
      <c r="N53" s="1290">
        <f>IF('Personalized Bill Menu'!$B$34="Natural Gas", 'Personalized Bill Menu'!$J50, IF('Personalized Bill Menu'!$B$34="Both",'Personalized Bill Menu'!$N50,""))</f>
        <v>2.5539999999999998</v>
      </c>
      <c r="O53" s="70">
        <f t="shared" si="10"/>
        <v>38.603196976186453</v>
      </c>
      <c r="P53" s="89">
        <f ca="1">IF($A53="", "",IFERROR(IF(VLOOKUP($A53, INDIRECT("'" &amp; 'Personalized Bill Menu'!$B$23 &amp; "'!" &amp;"$A$4:$CA$100"), VLOOKUP(VLOOKUP(P$5,'Misc. Data &amp; Mechanisms'!$P$601:$S$632,HLOOKUP('Personalized Bill Menu'!$B$23, 'Misc. Data &amp; Mechanisms'!$P$599:$S$600, 2, FALSE), FALSE), 'Misc. Data &amp; Mechanisms'!$L$599:$N$659, 2, FALSE), FALSE) = "", "", VLOOKUP($A53, INDIRECT("'" &amp; 'Personalized Bill Menu'!$B$23 &amp; "'!" &amp;"$A$4:$CA$100"), VLOOKUP(VLOOKUP(P$5,'Misc. Data &amp; Mechanisms'!$P$601:$S$632,HLOOKUP('Personalized Bill Menu'!$B$23, 'Misc. Data &amp; Mechanisms'!$P$599:$S$600, 2, FALSE), FALSE), 'Misc. Data &amp; Mechanisms'!$L$599:$N$659, 2, FALSE), FALSE)), ""))</f>
        <v>0.77500000000000002</v>
      </c>
      <c r="Q53" s="69">
        <f ca="1">IF($A53="", "",IFERROR(IF(VLOOKUP($A53, INDIRECT("'" &amp; 'Personalized Bill Menu'!$B$23 &amp; "'!" &amp;"$A$4:$CA$100"), VLOOKUP(VLOOKUP(Q$5,'Misc. Data &amp; Mechanisms'!$P$601:$S$632,HLOOKUP('Personalized Bill Menu'!$B$23, 'Misc. Data &amp; Mechanisms'!$P$599:$S$600, 2, FALSE), FALSE), 'Misc. Data &amp; Mechanisms'!$L$599:$N$659, 2, FALSE), FALSE) = "", "", VLOOKUP($A53, INDIRECT("'" &amp; 'Personalized Bill Menu'!$B$23 &amp; "'!" &amp;"$A$4:$CA$100"), VLOOKUP(VLOOKUP(Q$5,'Misc. Data &amp; Mechanisms'!$P$601:$S$632,HLOOKUP('Personalized Bill Menu'!$B$23, 'Misc. Data &amp; Mechanisms'!$P$599:$S$600, 2, FALSE), FALSE), 'Misc. Data &amp; Mechanisms'!$L$599:$N$659, 2, FALSE), FALSE)), ""))</f>
        <v>0.81200000000000006</v>
      </c>
      <c r="R53" s="72">
        <f t="shared" ca="1" si="11"/>
        <v>11.713969325193618</v>
      </c>
      <c r="S53" s="70">
        <f t="shared" ca="1" si="12"/>
        <v>24.360000000000003</v>
      </c>
      <c r="T53" s="78">
        <f>IFERROR(IF(VLOOKUP($A53,'Misc. Data &amp; Mechanisms'!$A$63:$DY$152,HLOOKUP('Personalized Bill Menu'!$B$21&amp;"_"&amp;'Personalized Bill Menu'!$B$23&amp;"_NG_Y_1",'Misc. Data &amp; Mechanisms'!$A$55:$DY$62,8,FALSE), FALSE)="", "", VLOOKUP($A53,'Misc. Data &amp; Mechanisms'!$A$63:$DY$152,HLOOKUP('Personalized Bill Menu'!$B$21&amp;"_"&amp;'Personalized Bill Menu'!$B$23&amp;"_NG_Y_1",'Misc. Data &amp; Mechanisms'!$A$55:$DY$62,8,FALSE), FALSE)), "")</f>
        <v>0.1111</v>
      </c>
      <c r="U53" s="78" t="str">
        <f>IFERROR(IF(VLOOKUP($A53,'Misc. Data &amp; Mechanisms'!$A$63:$DY$152,HLOOKUP('Personalized Bill Menu'!$B$21&amp;"_"&amp;'Personalized Bill Menu'!$B$23&amp;"_NG_Y_2",'Misc. Data &amp; Mechanisms'!$A$55:$DY$62,8,FALSE), FALSE)="", "",VLOOKUP($A53,'Misc. Data &amp; Mechanisms'!$A$63:$DY$152,HLOOKUP('Personalized Bill Menu'!$B$21&amp;"_"&amp;'Personalized Bill Menu'!$B$23&amp;"_NG_Y_2",'Misc. Data &amp; Mechanisms'!$A$55:$DY$62,8,FALSE), FALSE)), "")</f>
        <v/>
      </c>
      <c r="V53" s="72">
        <f ca="1">IF($A53="", "", IFERROR(IF('Personalized Bill Menu'!$B$23="ATCO-N", IF(OR('Personalized Bill Menu'!$B$21="Fort McMurray",AND('Personalized Bill Menu'!$B$21="Spruce Grove", $A53&lt;DATE(2019, 5, 1))),$T53*($G53+$H53+$J53),$T53*($H53+$J53)), IF('Personalized Bill Menu'!$B$23="ATCO-S",IF(OR('Personalized Bill Menu'!$B$21="Calgary",AND('Personalized Bill Menu'!$B$21="Okotoks", $A53&lt;DATE(2019, 1, 1))),$T53*($G53+$H53+$J53), $T53*($H53+$J53-$AG53)),IF(AND('Personalized Bill Menu'!$B$21="Athabasca", $A53&lt;DATE(2019, 5, 1)),$T53*($G53+$H53+$J53+$K53),$T53*($H53+$J53+$K53)))),0))</f>
        <v>9.5122899609407661</v>
      </c>
      <c r="W53" s="72">
        <f ca="1">IF($A53="", "", IFERROR(IF('Personalized Bill Menu'!$B$23="ATCO-N", $U53*($H53+$J53), IF('Personalized Bill Menu'!$B$23="ATCO-S",$U53*($H53+$J53),$U53*($G53+$H53+$J53+$K53))),0))</f>
        <v>0</v>
      </c>
      <c r="X53" s="89" t="str">
        <f ca="1">IF($A53="", "",IFERROR(IF(VLOOKUP($A53, INDIRECT("'" &amp; 'Personalized Bill Menu'!$B$23 &amp; "'!" &amp;"$A$4:$CA$100"), VLOOKUP(VLOOKUP("RIDER RATE 1",'Misc. Data &amp; Mechanisms'!$P$601:$S$632,HLOOKUP('Personalized Bill Menu'!$B$23, 'Misc. Data &amp; Mechanisms'!$P$599:$S$600, 2, FALSE), FALSE), 'Misc. Data &amp; Mechanisms'!$L$599:$N$659, 2, FALSE), FALSE) = "", "", VLOOKUP($A53, INDIRECT("'" &amp; 'Personalized Bill Menu'!$B$23 &amp; "'!" &amp;"$A$4:$CA$100"), VLOOKUP(VLOOKUP("RIDER RATE 1",'Misc. Data &amp; Mechanisms'!$P$601:$S$632,HLOOKUP('Personalized Bill Menu'!$B$23, 'Misc. Data &amp; Mechanisms'!$P$599:$S$600, 2, FALSE), FALSE), 'Misc. Data &amp; Mechanisms'!$L$599:$N$659, 2, FALSE), FALSE)), ""))</f>
        <v/>
      </c>
      <c r="Y53" s="69" t="str">
        <f ca="1">IF($A53="", "",IFERROR(IF(VLOOKUP($A53, INDIRECT("'" &amp; 'Personalized Bill Menu'!$B$23 &amp; "'!" &amp;"$A$4:$CA$100"), VLOOKUP(VLOOKUP("RIDER RATE 2",'Misc. Data &amp; Mechanisms'!$P$601:$S$632,HLOOKUP('Personalized Bill Menu'!$B$23, 'Misc. Data &amp; Mechanisms'!$P$599:$S$600, 2, FALSE), FALSE), 'Misc. Data &amp; Mechanisms'!$L$599:$N$659, 2, FALSE), FALSE) = "", "", VLOOKUP($A53, INDIRECT("'" &amp; 'Personalized Bill Menu'!$B$23 &amp; "'!" &amp;"$A$4:$CA$100"), VLOOKUP(VLOOKUP("RIDER RATE 2",'Misc. Data &amp; Mechanisms'!$P$601:$S$632,HLOOKUP('Personalized Bill Menu'!$B$23, 'Misc. Data &amp; Mechanisms'!$P$599:$S$600, 2, FALSE), FALSE), 'Misc. Data &amp; Mechanisms'!$L$599:$N$659, 2, FALSE), FALSE)), ""))</f>
        <v/>
      </c>
      <c r="Z53" s="69">
        <f ca="1">IF($A53="", "",IFERROR(IF(VLOOKUP($A53, INDIRECT("'" &amp; 'Personalized Bill Menu'!$B$23 &amp; "'!" &amp;"$A$4:$CA$100"), VLOOKUP(VLOOKUP("RIDER RATE 3",'Misc. Data &amp; Mechanisms'!$P$601:$S$632,HLOOKUP('Personalized Bill Menu'!$B$23, 'Misc. Data &amp; Mechanisms'!$P$599:$S$600, 2, FALSE), FALSE), 'Misc. Data &amp; Mechanisms'!$L$599:$N$659, 2, FALSE), FALSE) = "", "", VLOOKUP($A53, INDIRECT("'" &amp; 'Personalized Bill Menu'!$B$23 &amp; "'!" &amp;"$A$4:$CA$100"), VLOOKUP(VLOOKUP("RIDER RATE 3",'Misc. Data &amp; Mechanisms'!$P$601:$S$632,HLOOKUP('Personalized Bill Menu'!$B$23, 'Misc. Data &amp; Mechanisms'!$P$599:$S$600, 2, FALSE), FALSE), 'Misc. Data &amp; Mechanisms'!$L$599:$N$659, 2, FALSE), FALSE)), ""))</f>
        <v>-6.0999999999999999E-2</v>
      </c>
      <c r="AA53" s="69">
        <f ca="1">IF($A53="", "",IFERROR(IF(VLOOKUP($A53, INDIRECT("'" &amp; 'Personalized Bill Menu'!$B$23 &amp; "'!" &amp;"$A$4:$CA$100"), VLOOKUP(VLOOKUP("RIDER RATE 4",'Misc. Data &amp; Mechanisms'!$P$601:$S$632,HLOOKUP('Personalized Bill Menu'!$B$23, 'Misc. Data &amp; Mechanisms'!$P$599:$S$600, 2, FALSE), FALSE), 'Misc. Data &amp; Mechanisms'!$L$599:$N$659, 2, FALSE), FALSE) = "", "", VLOOKUP($A53, INDIRECT("'" &amp; 'Personalized Bill Menu'!$B$23 &amp; "'!" &amp;"$A$4:$CA$100"), VLOOKUP(VLOOKUP("RIDER RATE 4",'Misc. Data &amp; Mechanisms'!$P$601:$S$632,HLOOKUP('Personalized Bill Menu'!$B$23, 'Misc. Data &amp; Mechanisms'!$P$599:$S$600, 2, FALSE), FALSE), 'Misc. Data &amp; Mechanisms'!$L$599:$N$659, 2, FALSE), FALSE)), ""))</f>
        <v>-3.1E-2</v>
      </c>
      <c r="AB53" s="69">
        <f ca="1">IF($A53="", "",IFERROR(IF(VLOOKUP($A53, INDIRECT("'" &amp; 'Personalized Bill Menu'!$B$23 &amp; "'!" &amp;"$A$4:$CA$100"), VLOOKUP(VLOOKUP("RIDER RATE 5",'Misc. Data &amp; Mechanisms'!$P$601:$S$632,HLOOKUP('Personalized Bill Menu'!$B$23, 'Misc. Data &amp; Mechanisms'!$P$599:$S$600, 2, FALSE), FALSE), 'Misc. Data &amp; Mechanisms'!$L$599:$N$659, 2, FALSE), FALSE) = "", "", VLOOKUP($A53, INDIRECT("'" &amp; 'Personalized Bill Menu'!$B$23 &amp; "'!" &amp;"$A$4:$CA$100"), VLOOKUP(VLOOKUP("RIDER RATE 5",'Misc. Data &amp; Mechanisms'!$P$601:$S$632,HLOOKUP('Personalized Bill Menu'!$B$23, 'Misc. Data &amp; Mechanisms'!$P$599:$S$600, 2, FALSE), FALSE), 'Misc. Data &amp; Mechanisms'!$L$599:$N$659, 2, FALSE), FALSE)), ""))</f>
        <v>0.73799999999999999</v>
      </c>
      <c r="AC53" s="69">
        <f ca="1">IF($A53="", "",IFERROR(IF(VLOOKUP($A53, INDIRECT("'" &amp; 'Personalized Bill Menu'!$B$23 &amp; "'!" &amp;"$A$4:$CA$100"), VLOOKUP(VLOOKUP("RIDER RATE 6",'Misc. Data &amp; Mechanisms'!$P$601:$S$632,HLOOKUP('Personalized Bill Menu'!$B$23, 'Misc. Data &amp; Mechanisms'!$P$599:$S$600, 2, FALSE), FALSE), 'Misc. Data &amp; Mechanisms'!$L$599:$N$659, 2, FALSE), FALSE) = "", "", VLOOKUP($A53, INDIRECT("'" &amp; 'Personalized Bill Menu'!$B$23 &amp; "'!" &amp;"$A$4:$CA$100"), VLOOKUP(VLOOKUP("RIDER RATE 6",'Misc. Data &amp; Mechanisms'!$P$601:$S$632,HLOOKUP('Personalized Bill Menu'!$B$23, 'Misc. Data &amp; Mechanisms'!$P$599:$S$600, 2, FALSE), FALSE), 'Misc. Data &amp; Mechanisms'!$L$599:$N$659, 2, FALSE), FALSE)), ""))</f>
        <v>0.13800000000000001</v>
      </c>
      <c r="AD53" s="69" t="str">
        <f ca="1">IF($A53="", "",IFERROR(IF(VLOOKUP($A53, INDIRECT("'" &amp; 'Personalized Bill Menu'!$B$23 &amp; "'!" &amp;"$A$4:$CA$100"), VLOOKUP(VLOOKUP("RIDER RATE 7",'Misc. Data &amp; Mechanisms'!$P$601:$S$632,HLOOKUP('Personalized Bill Menu'!$B$23, 'Misc. Data &amp; Mechanisms'!$P$599:$S$600, 2, FALSE), FALSE), 'Misc. Data &amp; Mechanisms'!$L$599:$N$659, 2, FALSE), FALSE) = "", "", VLOOKUP($A53, INDIRECT("'" &amp; 'Personalized Bill Menu'!$B$23 &amp; "'!" &amp;"$A$4:$CA$100"), VLOOKUP(VLOOKUP("RIDER RATE 7",'Misc. Data &amp; Mechanisms'!$P$601:$S$632,HLOOKUP('Personalized Bill Menu'!$B$23, 'Misc. Data &amp; Mechanisms'!$P$599:$S$600, 2, FALSE), FALSE), 'Misc. Data &amp; Mechanisms'!$L$599:$N$659, 2, FALSE), FALSE)), ""))</f>
        <v/>
      </c>
      <c r="AE53" s="69" t="str">
        <f ca="1">IF($A53="", "",IFERROR(IF(VLOOKUP($A53, INDIRECT("'" &amp; 'Personalized Bill Menu'!$B$23 &amp; "'!" &amp;"$A$4:$CA$100"), VLOOKUP(VLOOKUP("RIDER RATE 8",'Misc. Data &amp; Mechanisms'!$P$601:$S$632,HLOOKUP('Personalized Bill Menu'!$B$23, 'Misc. Data &amp; Mechanisms'!$P$599:$S$600, 2, FALSE), FALSE), 'Misc. Data &amp; Mechanisms'!$L$599:$N$659, 2, FALSE), FALSE) = "", "", VLOOKUP($A53, INDIRECT("'" &amp; 'Personalized Bill Menu'!$B$23 &amp; "'!" &amp;"$A$4:$CA$100"), VLOOKUP(VLOOKUP("RIDER RATE 8",'Misc. Data &amp; Mechanisms'!$P$601:$S$632,HLOOKUP('Personalized Bill Menu'!$B$23, 'Misc. Data &amp; Mechanisms'!$P$599:$S$600, 2, FALSE), FALSE), 'Misc. Data &amp; Mechanisms'!$L$599:$N$659, 2, FALSE), FALSE)), ""))</f>
        <v/>
      </c>
      <c r="AF53" s="69" t="str">
        <f ca="1">IF($A53="", "",IFERROR(IF(VLOOKUP($A53, INDIRECT("'" &amp; 'Personalized Bill Menu'!$B$23 &amp; "'!" &amp;"$A$4:$CA$100"), VLOOKUP(VLOOKUP("RIDER RATE 9",'Misc. Data &amp; Mechanisms'!$P$601:$S$632,HLOOKUP('Personalized Bill Menu'!$B$23, 'Misc. Data &amp; Mechanisms'!$P$599:$S$600, 2, FALSE), FALSE), 'Misc. Data &amp; Mechanisms'!$L$599:$N$659, 2, FALSE), FALSE) = "", "", VLOOKUP($A53, INDIRECT("'" &amp; 'Personalized Bill Menu'!$B$23 &amp; "'!" &amp;"$A$4:$CA$100"), VLOOKUP(VLOOKUP("RIDER RATE 9",'Misc. Data &amp; Mechanisms'!$P$601:$S$632,HLOOKUP('Personalized Bill Menu'!$B$23, 'Misc. Data &amp; Mechanisms'!$P$599:$S$600, 2, FALSE), FALSE), 'Misc. Data &amp; Mechanisms'!$L$599:$N$659, 2, FALSE), FALSE)), ""))</f>
        <v/>
      </c>
      <c r="AG53" s="72">
        <f ca="1">IF($A53="", "", IFERROR(IF('Personalized Bill Menu'!$B$23="ATCO-N", ($X53*$B53) +($Y53*$C53), IF('Personalized Bill Menu'!$B$23="ATCO-S",$X53*$C53, IF($Y53="", ($X53*$H53), ($Y53*($H53+$K53))))), 0))</f>
        <v>0</v>
      </c>
      <c r="AH53" s="72">
        <f ca="1">IF($A53="", "", IFERROR(IF('Personalized Bill Menu'!$B$23="ATCO-S", $Y53*$C53, $Z53*$C53), 0))</f>
        <v>0</v>
      </c>
      <c r="AI53" s="72">
        <f ca="1">IF($A53="", "", IFERROR(IF('Personalized Bill Menu'!$B$23="ATCO-S", ($AA53*$C53)+($Z53*$B53), $AA53*$C53), 0))</f>
        <v>-2.2985587730077448</v>
      </c>
      <c r="AJ53" s="72">
        <f ca="1">IF($A53="", "", IFERROR(IF('Personalized Bill Menu'!$B$23&lt;&gt;"AltaGas",$AB53*$C53,""),0))</f>
        <v>11.154721757410181</v>
      </c>
      <c r="AK53" s="72">
        <f ca="1">IF($A53="", "", IFERROR(IF('Personalized Bill Menu'!$B$23="ATCO-S",$AC53*$C53,IF('Personalized Bill Menu'!$B$23="ATCO-N",$AC53*1,"")),0))</f>
        <v>2.0858422798409286</v>
      </c>
      <c r="AL53" s="72">
        <f ca="1">IF($A53="", "", IFERROR(IF('Personalized Bill Menu'!$B$23="ATCO-N",$AD53*$B53,IF('Personalized Bill Menu'!$B$23="ATCO-S",$AD53*1,"")),0))</f>
        <v>0</v>
      </c>
      <c r="AM53" s="72">
        <f ca="1">IF($A53="", "", IFERROR(IF('Personalized Bill Menu'!$B$23="ATCO-S",$AE53*$B53,IF('Personalized Bill Menu'!$B$23="ATCO-N",$AE53*$B53,"")),0))</f>
        <v>0</v>
      </c>
      <c r="AN53" s="70">
        <f ca="1">IF($A53="", "", IFERROR(IF('Personalized Bill Menu'!$B$23="ATCO-S",$AF53*$B53,""),0))</f>
        <v>0</v>
      </c>
      <c r="AO53" s="69">
        <f>IF('Personalized Bill Menu'!$B$34="Natural Gas", 'Personalized Bill Menu'!$K50, IF('Personalized Bill Menu'!$B$34="Both",'Personalized Bill Menu'!$O50,""))</f>
        <v>0.223</v>
      </c>
      <c r="AP53" s="72">
        <f t="shared" si="13"/>
        <v>6.69</v>
      </c>
      <c r="AQ53" s="89" t="str">
        <f ca="1">IF($A53="", "",IF(VLOOKUP($A53, INDIRECT("'" &amp; 'Personalized Bill Menu'!$B$23 &amp; "'!" &amp;"$A$4:$CA$100"), VLOOKUP(VLOOKUP(AQ$5,'Misc. Data &amp; Mechanisms'!$P$601:$S$632,HLOOKUP('Personalized Bill Menu'!$B$23, 'Misc. Data &amp; Mechanisms'!$P$599:$S$600, 2, FALSE), FALSE), 'Misc. Data &amp; Mechanisms'!$L$599:$N$659, 2, FALSE), FALSE) = "", "", VLOOKUP($A53, INDIRECT("'" &amp; 'Personalized Bill Menu'!$B$23 &amp; "'!" &amp;"$A$4:$CA$100"), VLOOKUP(VLOOKUP(AQ$5,'Misc. Data &amp; Mechanisms'!$P$601:$S$632,HLOOKUP('Personalized Bill Menu'!$B$23, 'Misc. Data &amp; Mechanisms'!$P$599:$S$600, 2, FALSE), FALSE), 'Misc. Data &amp; Mechanisms'!$L$599:$N$659, 2, FALSE), FALSE)))</f>
        <v/>
      </c>
      <c r="AR53" s="72">
        <f t="shared" ca="1" si="14"/>
        <v>0</v>
      </c>
      <c r="AS53" s="91">
        <f ca="1">IF($A53="", "",IF(VLOOKUP($A53, INDIRECT("'" &amp; 'Personalized Bill Menu'!$B$23 &amp; "'!" &amp;"$A$4:$CA$100"), VLOOKUP(VLOOKUP(AS$5,'Misc. Data &amp; Mechanisms'!$P$601:$S$632,HLOOKUP('Personalized Bill Menu'!$B$23, 'Misc. Data &amp; Mechanisms'!$P$599:$S$600, 2, FALSE), FALSE), 'Misc. Data &amp; Mechanisms'!$L$599:$N$659, 2, FALSE), FALSE) = "", "", VLOOKUP($A53, INDIRECT("'" &amp; 'Personalized Bill Menu'!$B$23 &amp; "'!" &amp;"$A$4:$CA$100"), VLOOKUP(VLOOKUP(AS$5,'Misc. Data &amp; Mechanisms'!$P$601:$S$632,HLOOKUP('Personalized Bill Menu'!$B$23, 'Misc. Data &amp; Mechanisms'!$P$599:$S$600, 2, FALSE), FALSE), 'Misc. Data &amp; Mechanisms'!$L$599:$N$659, 2, FALSE), FALSE)))</f>
        <v>0.05</v>
      </c>
      <c r="AT53" s="116"/>
      <c r="AU53" s="116"/>
      <c r="AV53" s="116"/>
      <c r="AW53" s="116"/>
      <c r="AX53" s="116"/>
    </row>
    <row r="54" spans="1:50" s="117" customFormat="1" x14ac:dyDescent="0.3">
      <c r="A54" s="83">
        <f>'Personalized Bill Menu'!$H51</f>
        <v>42339</v>
      </c>
      <c r="B54" s="84">
        <f t="shared" si="3"/>
        <v>31</v>
      </c>
      <c r="C54" s="85">
        <f>IF('Personalized Bill Menu'!$B$34="Natural Gas", 'Personalized Bill Menu'!$I51, IF('Personalized Bill Menu'!$B$34="Both",'Personalized Bill Menu'!$M51,""))</f>
        <v>19.538732956479862</v>
      </c>
      <c r="D54" s="66">
        <f t="shared" ca="1" si="4"/>
        <v>6.2182278874205732</v>
      </c>
      <c r="E54" s="66">
        <f ca="1">IF($C54="Not Applicable", "", IFERROR(IFERROR((1+$AS54)*IF('Personalized Bill Menu'!$B$23="ATCO-N", IF(OR('Personalized Bill Menu'!$B$21="Fort McMurray",AND('Personalized Bill Menu'!$B$21="Spruce Grove", $A54&lt;DATE(2019, 5, 1) )),(((1+IF($T54="",0,$T54))*($N54+$P54))+ (IF($U54="", 0, $U54)*$P54)+(1+IF($T54="",0,$T54)+IF($U54="", 0, $U54))*(SUM($Y54:$AB54))),($N54+((1+IF($T54="",0,$T54)+IF($U54="", 0, $U54))*$P54)+(1+IF($T54="",0,$T54)+IF($U54="", 0, $U54))*(SUM($Y54:$AB54)))), IF('Personalized Bill Menu'!$B$23="ATCO-S",IF(OR('Personalized Bill Menu'!$B$21="Calgary",AND('Personalized Bill Menu'!$B$21="Okotoks", $A54&lt;DATE(2019, 1, 1))),((1+IF($T54="",0,$T54))*($N54+$P54+SUM($X54:$Y54,$AA54:$AC54)))+(IF($U54="",0, $U54)*($P54+SUM($X54:$Y54,$AA54:$AC54))), ((1+IF($T54="",0,$T54))*($P54+SUM($Y54,$AA54:$AC54)))+(IF($U54="",0, $U54)*($P54+SUM($X54:$Y54,$AA54:$AC54)))+$N54+IF($X54="", 0, $X54)),IF(AND('Personalized Bill Menu'!$B$21="Athabasca", $A54&lt;DATE(2019, 5, 1)),((1+IF($T54="",0,$T54)+IF($U54="", 0, $U54))*($N54+((1+SUM($X54:$Y54))*$P54)+SUM($Z54:$AA54))),((1+IF($U54="", 0, $U54))*($N54+((1+SUM($X54:$Y54))*$P54)+SUM($Z54:$AA54))) + (IF($T54="",0,$T54)*(((1+SUM($X54:$Y54))*$P54)+SUM($Z54:$AA54)))))), "")+ IF($AQ54="", 0,((1+$AS54)*$AQ54)), ""))</f>
        <v>4.4566221000000006</v>
      </c>
      <c r="F54" s="118">
        <f t="shared" ca="1" si="5"/>
        <v>121.49629415484651</v>
      </c>
      <c r="G54" s="115">
        <f t="shared" si="15"/>
        <v>42.985212504255699</v>
      </c>
      <c r="H54" s="66">
        <f t="shared" ca="1" si="16"/>
        <v>40.314518041271896</v>
      </c>
      <c r="I54" s="66">
        <f t="shared" ca="1" si="17"/>
        <v>10.878796444195968</v>
      </c>
      <c r="J54" s="66">
        <f t="shared" ca="1" si="6"/>
        <v>14.619229348225485</v>
      </c>
      <c r="K54" s="66">
        <f t="shared" si="18"/>
        <v>6.9130000000000003</v>
      </c>
      <c r="L54" s="66">
        <f t="shared" ca="1" si="8"/>
        <v>0</v>
      </c>
      <c r="M54" s="68">
        <f t="shared" ca="1" si="9"/>
        <v>5.7855378168974525</v>
      </c>
      <c r="N54" s="1290">
        <f>IF('Personalized Bill Menu'!$B$34="Natural Gas", 'Personalized Bill Menu'!$J51, IF('Personalized Bill Menu'!$B$34="Both",'Personalized Bill Menu'!$N51,""))</f>
        <v>2.2000000000000002</v>
      </c>
      <c r="O54" s="70">
        <f t="shared" si="10"/>
        <v>42.985212504255699</v>
      </c>
      <c r="P54" s="89">
        <f ca="1">IF($A54="", "",IFERROR(IF(VLOOKUP($A54, INDIRECT("'" &amp; 'Personalized Bill Menu'!$B$23 &amp; "'!" &amp;"$A$4:$CA$100"), VLOOKUP(VLOOKUP(P$5,'Misc. Data &amp; Mechanisms'!$P$601:$S$632,HLOOKUP('Personalized Bill Menu'!$B$23, 'Misc. Data &amp; Mechanisms'!$P$599:$S$600, 2, FALSE), FALSE), 'Misc. Data &amp; Mechanisms'!$L$599:$N$659, 2, FALSE), FALSE) = "", "", VLOOKUP($A54, INDIRECT("'" &amp; 'Personalized Bill Menu'!$B$23 &amp; "'!" &amp;"$A$4:$CA$100"), VLOOKUP(VLOOKUP(P$5,'Misc. Data &amp; Mechanisms'!$P$601:$S$632,HLOOKUP('Personalized Bill Menu'!$B$23, 'Misc. Data &amp; Mechanisms'!$P$599:$S$600, 2, FALSE), FALSE), 'Misc. Data &amp; Mechanisms'!$L$599:$N$659, 2, FALSE), FALSE)), ""))</f>
        <v>0.77500000000000002</v>
      </c>
      <c r="Q54" s="69">
        <f ca="1">IF($A54="", "",IFERROR(IF(VLOOKUP($A54, INDIRECT("'" &amp; 'Personalized Bill Menu'!$B$23 &amp; "'!" &amp;"$A$4:$CA$100"), VLOOKUP(VLOOKUP(Q$5,'Misc. Data &amp; Mechanisms'!$P$601:$S$632,HLOOKUP('Personalized Bill Menu'!$B$23, 'Misc. Data &amp; Mechanisms'!$P$599:$S$600, 2, FALSE), FALSE), 'Misc. Data &amp; Mechanisms'!$L$599:$N$659, 2, FALSE), FALSE) = "", "", VLOOKUP($A54, INDIRECT("'" &amp; 'Personalized Bill Menu'!$B$23 &amp; "'!" &amp;"$A$4:$CA$100"), VLOOKUP(VLOOKUP(Q$5,'Misc. Data &amp; Mechanisms'!$P$601:$S$632,HLOOKUP('Personalized Bill Menu'!$B$23, 'Misc. Data &amp; Mechanisms'!$P$599:$S$600, 2, FALSE), FALSE), 'Misc. Data &amp; Mechanisms'!$L$599:$N$659, 2, FALSE), FALSE)), ""))</f>
        <v>0.81200000000000006</v>
      </c>
      <c r="R54" s="72">
        <f t="shared" ca="1" si="11"/>
        <v>15.142518041271893</v>
      </c>
      <c r="S54" s="70">
        <f t="shared" ca="1" si="12"/>
        <v>25.172000000000001</v>
      </c>
      <c r="T54" s="78">
        <f>IFERROR(IF(VLOOKUP($A54,'Misc. Data &amp; Mechanisms'!$A$63:$DY$152,HLOOKUP('Personalized Bill Menu'!$B$21&amp;"_"&amp;'Personalized Bill Menu'!$B$23&amp;"_NG_Y_1",'Misc. Data &amp; Mechanisms'!$A$55:$DY$62,8,FALSE), FALSE)="", "", VLOOKUP($A54,'Misc. Data &amp; Mechanisms'!$A$63:$DY$152,HLOOKUP('Personalized Bill Menu'!$B$21&amp;"_"&amp;'Personalized Bill Menu'!$B$23&amp;"_NG_Y_1",'Misc. Data &amp; Mechanisms'!$A$55:$DY$62,8,FALSE), FALSE)), "")</f>
        <v>0.1111</v>
      </c>
      <c r="U54" s="78" t="str">
        <f>IFERROR(IF(VLOOKUP($A54,'Misc. Data &amp; Mechanisms'!$A$63:$DY$152,HLOOKUP('Personalized Bill Menu'!$B$21&amp;"_"&amp;'Personalized Bill Menu'!$B$23&amp;"_NG_Y_2",'Misc. Data &amp; Mechanisms'!$A$55:$DY$62,8,FALSE), FALSE)="", "",VLOOKUP($A54,'Misc. Data &amp; Mechanisms'!$A$63:$DY$152,HLOOKUP('Personalized Bill Menu'!$B$21&amp;"_"&amp;'Personalized Bill Menu'!$B$23&amp;"_NG_Y_2",'Misc. Data &amp; Mechanisms'!$A$55:$DY$62,8,FALSE), FALSE)), "")</f>
        <v/>
      </c>
      <c r="V54" s="72">
        <f ca="1">IF($A54="", "", IFERROR(IF('Personalized Bill Menu'!$B$23="ATCO-N", IF(OR('Personalized Bill Menu'!$B$21="Fort McMurray",AND('Personalized Bill Menu'!$B$21="Spruce Grove", $A54&lt;DATE(2019, 5, 1))),$T54*($G54+$H54+$J54),$T54*($H54+$J54)), IF('Personalized Bill Menu'!$B$23="ATCO-S",IF(OR('Personalized Bill Menu'!$B$21="Calgary",AND('Personalized Bill Menu'!$B$21="Okotoks", $A54&lt;DATE(2019, 1, 1))),$T54*($G54+$H54+$J54), $T54*($H54+$J54-$AG54)),IF(AND('Personalized Bill Menu'!$B$21="Athabasca", $A54&lt;DATE(2019, 5, 1)),$T54*($G54+$H54+$J54+$K54),$T54*($H54+$J54+$K54)))),0))</f>
        <v>10.878796444195968</v>
      </c>
      <c r="W54" s="72">
        <f ca="1">IF($A54="", "", IFERROR(IF('Personalized Bill Menu'!$B$23="ATCO-N", $U54*($H54+$J54), IF('Personalized Bill Menu'!$B$23="ATCO-S",$U54*($H54+$J54),$U54*($G54+$H54+$J54+$K54))),0))</f>
        <v>0</v>
      </c>
      <c r="X54" s="89" t="str">
        <f ca="1">IF($A54="", "",IFERROR(IF(VLOOKUP($A54, INDIRECT("'" &amp; 'Personalized Bill Menu'!$B$23 &amp; "'!" &amp;"$A$4:$CA$100"), VLOOKUP(VLOOKUP("RIDER RATE 1",'Misc. Data &amp; Mechanisms'!$P$601:$S$632,HLOOKUP('Personalized Bill Menu'!$B$23, 'Misc. Data &amp; Mechanisms'!$P$599:$S$600, 2, FALSE), FALSE), 'Misc. Data &amp; Mechanisms'!$L$599:$N$659, 2, FALSE), FALSE) = "", "", VLOOKUP($A54, INDIRECT("'" &amp; 'Personalized Bill Menu'!$B$23 &amp; "'!" &amp;"$A$4:$CA$100"), VLOOKUP(VLOOKUP("RIDER RATE 1",'Misc. Data &amp; Mechanisms'!$P$601:$S$632,HLOOKUP('Personalized Bill Menu'!$B$23, 'Misc. Data &amp; Mechanisms'!$P$599:$S$600, 2, FALSE), FALSE), 'Misc. Data &amp; Mechanisms'!$L$599:$N$659, 2, FALSE), FALSE)), ""))</f>
        <v/>
      </c>
      <c r="Y54" s="69" t="str">
        <f ca="1">IF($A54="", "",IFERROR(IF(VLOOKUP($A54, INDIRECT("'" &amp; 'Personalized Bill Menu'!$B$23 &amp; "'!" &amp;"$A$4:$CA$100"), VLOOKUP(VLOOKUP("RIDER RATE 2",'Misc. Data &amp; Mechanisms'!$P$601:$S$632,HLOOKUP('Personalized Bill Menu'!$B$23, 'Misc. Data &amp; Mechanisms'!$P$599:$S$600, 2, FALSE), FALSE), 'Misc. Data &amp; Mechanisms'!$L$599:$N$659, 2, FALSE), FALSE) = "", "", VLOOKUP($A54, INDIRECT("'" &amp; 'Personalized Bill Menu'!$B$23 &amp; "'!" &amp;"$A$4:$CA$100"), VLOOKUP(VLOOKUP("RIDER RATE 2",'Misc. Data &amp; Mechanisms'!$P$601:$S$632,HLOOKUP('Personalized Bill Menu'!$B$23, 'Misc. Data &amp; Mechanisms'!$P$599:$S$600, 2, FALSE), FALSE), 'Misc. Data &amp; Mechanisms'!$L$599:$N$659, 2, FALSE), FALSE)), ""))</f>
        <v/>
      </c>
      <c r="Z54" s="69">
        <f ca="1">IF($A54="", "",IFERROR(IF(VLOOKUP($A54, INDIRECT("'" &amp; 'Personalized Bill Menu'!$B$23 &amp; "'!" &amp;"$A$4:$CA$100"), VLOOKUP(VLOOKUP("RIDER RATE 3",'Misc. Data &amp; Mechanisms'!$P$601:$S$632,HLOOKUP('Personalized Bill Menu'!$B$23, 'Misc. Data &amp; Mechanisms'!$P$599:$S$600, 2, FALSE), FALSE), 'Misc. Data &amp; Mechanisms'!$L$599:$N$659, 2, FALSE), FALSE) = "", "", VLOOKUP($A54, INDIRECT("'" &amp; 'Personalized Bill Menu'!$B$23 &amp; "'!" &amp;"$A$4:$CA$100"), VLOOKUP(VLOOKUP("RIDER RATE 3",'Misc. Data &amp; Mechanisms'!$P$601:$S$632,HLOOKUP('Personalized Bill Menu'!$B$23, 'Misc. Data &amp; Mechanisms'!$P$599:$S$600, 2, FALSE), FALSE), 'Misc. Data &amp; Mechanisms'!$L$599:$N$659, 2, FALSE), FALSE)), ""))</f>
        <v>-6.0999999999999999E-2</v>
      </c>
      <c r="AA54" s="69">
        <f ca="1">IF($A54="", "",IFERROR(IF(VLOOKUP($A54, INDIRECT("'" &amp; 'Personalized Bill Menu'!$B$23 &amp; "'!" &amp;"$A$4:$CA$100"), VLOOKUP(VLOOKUP("RIDER RATE 4",'Misc. Data &amp; Mechanisms'!$P$601:$S$632,HLOOKUP('Personalized Bill Menu'!$B$23, 'Misc. Data &amp; Mechanisms'!$P$599:$S$600, 2, FALSE), FALSE), 'Misc. Data &amp; Mechanisms'!$L$599:$N$659, 2, FALSE), FALSE) = "", "", VLOOKUP($A54, INDIRECT("'" &amp; 'Personalized Bill Menu'!$B$23 &amp; "'!" &amp;"$A$4:$CA$100"), VLOOKUP(VLOOKUP("RIDER RATE 4",'Misc. Data &amp; Mechanisms'!$P$601:$S$632,HLOOKUP('Personalized Bill Menu'!$B$23, 'Misc. Data &amp; Mechanisms'!$P$599:$S$600, 2, FALSE), FALSE), 'Misc. Data &amp; Mechanisms'!$L$599:$N$659, 2, FALSE), FALSE)), ""))</f>
        <v>-3.1E-2</v>
      </c>
      <c r="AB54" s="69">
        <f ca="1">IF($A54="", "",IFERROR(IF(VLOOKUP($A54, INDIRECT("'" &amp; 'Personalized Bill Menu'!$B$23 &amp; "'!" &amp;"$A$4:$CA$100"), VLOOKUP(VLOOKUP("RIDER RATE 5",'Misc. Data &amp; Mechanisms'!$P$601:$S$632,HLOOKUP('Personalized Bill Menu'!$B$23, 'Misc. Data &amp; Mechanisms'!$P$599:$S$600, 2, FALSE), FALSE), 'Misc. Data &amp; Mechanisms'!$L$599:$N$659, 2, FALSE), FALSE) = "", "", VLOOKUP($A54, INDIRECT("'" &amp; 'Personalized Bill Menu'!$B$23 &amp; "'!" &amp;"$A$4:$CA$100"), VLOOKUP(VLOOKUP("RIDER RATE 5",'Misc. Data &amp; Mechanisms'!$P$601:$S$632,HLOOKUP('Personalized Bill Menu'!$B$23, 'Misc. Data &amp; Mechanisms'!$P$599:$S$600, 2, FALSE), FALSE), 'Misc. Data &amp; Mechanisms'!$L$599:$N$659, 2, FALSE), FALSE)), ""))</f>
        <v>0.73799999999999999</v>
      </c>
      <c r="AC54" s="69">
        <f ca="1">IF($A54="", "",IFERROR(IF(VLOOKUP($A54, INDIRECT("'" &amp; 'Personalized Bill Menu'!$B$23 &amp; "'!" &amp;"$A$4:$CA$100"), VLOOKUP(VLOOKUP("RIDER RATE 6",'Misc. Data &amp; Mechanisms'!$P$601:$S$632,HLOOKUP('Personalized Bill Menu'!$B$23, 'Misc. Data &amp; Mechanisms'!$P$599:$S$600, 2, FALSE), FALSE), 'Misc. Data &amp; Mechanisms'!$L$599:$N$659, 2, FALSE), FALSE) = "", "", VLOOKUP($A54, INDIRECT("'" &amp; 'Personalized Bill Menu'!$B$23 &amp; "'!" &amp;"$A$4:$CA$100"), VLOOKUP(VLOOKUP("RIDER RATE 6",'Misc. Data &amp; Mechanisms'!$P$601:$S$632,HLOOKUP('Personalized Bill Menu'!$B$23, 'Misc. Data &amp; Mechanisms'!$P$599:$S$600, 2, FALSE), FALSE), 'Misc. Data &amp; Mechanisms'!$L$599:$N$659, 2, FALSE), FALSE)), ""))</f>
        <v>0.13800000000000001</v>
      </c>
      <c r="AD54" s="69" t="str">
        <f ca="1">IF($A54="", "",IFERROR(IF(VLOOKUP($A54, INDIRECT("'" &amp; 'Personalized Bill Menu'!$B$23 &amp; "'!" &amp;"$A$4:$CA$100"), VLOOKUP(VLOOKUP("RIDER RATE 7",'Misc. Data &amp; Mechanisms'!$P$601:$S$632,HLOOKUP('Personalized Bill Menu'!$B$23, 'Misc. Data &amp; Mechanisms'!$P$599:$S$600, 2, FALSE), FALSE), 'Misc. Data &amp; Mechanisms'!$L$599:$N$659, 2, FALSE), FALSE) = "", "", VLOOKUP($A54, INDIRECT("'" &amp; 'Personalized Bill Menu'!$B$23 &amp; "'!" &amp;"$A$4:$CA$100"), VLOOKUP(VLOOKUP("RIDER RATE 7",'Misc. Data &amp; Mechanisms'!$P$601:$S$632,HLOOKUP('Personalized Bill Menu'!$B$23, 'Misc. Data &amp; Mechanisms'!$P$599:$S$600, 2, FALSE), FALSE), 'Misc. Data &amp; Mechanisms'!$L$599:$N$659, 2, FALSE), FALSE)), ""))</f>
        <v/>
      </c>
      <c r="AE54" s="69" t="str">
        <f ca="1">IF($A54="", "",IFERROR(IF(VLOOKUP($A54, INDIRECT("'" &amp; 'Personalized Bill Menu'!$B$23 &amp; "'!" &amp;"$A$4:$CA$100"), VLOOKUP(VLOOKUP("RIDER RATE 8",'Misc. Data &amp; Mechanisms'!$P$601:$S$632,HLOOKUP('Personalized Bill Menu'!$B$23, 'Misc. Data &amp; Mechanisms'!$P$599:$S$600, 2, FALSE), FALSE), 'Misc. Data &amp; Mechanisms'!$L$599:$N$659, 2, FALSE), FALSE) = "", "", VLOOKUP($A54, INDIRECT("'" &amp; 'Personalized Bill Menu'!$B$23 &amp; "'!" &amp;"$A$4:$CA$100"), VLOOKUP(VLOOKUP("RIDER RATE 8",'Misc. Data &amp; Mechanisms'!$P$601:$S$632,HLOOKUP('Personalized Bill Menu'!$B$23, 'Misc. Data &amp; Mechanisms'!$P$599:$S$600, 2, FALSE), FALSE), 'Misc. Data &amp; Mechanisms'!$L$599:$N$659, 2, FALSE), FALSE)), ""))</f>
        <v/>
      </c>
      <c r="AF54" s="69" t="str">
        <f ca="1">IF($A54="", "",IFERROR(IF(VLOOKUP($A54, INDIRECT("'" &amp; 'Personalized Bill Menu'!$B$23 &amp; "'!" &amp;"$A$4:$CA$100"), VLOOKUP(VLOOKUP("RIDER RATE 9",'Misc. Data &amp; Mechanisms'!$P$601:$S$632,HLOOKUP('Personalized Bill Menu'!$B$23, 'Misc. Data &amp; Mechanisms'!$P$599:$S$600, 2, FALSE), FALSE), 'Misc. Data &amp; Mechanisms'!$L$599:$N$659, 2, FALSE), FALSE) = "", "", VLOOKUP($A54, INDIRECT("'" &amp; 'Personalized Bill Menu'!$B$23 &amp; "'!" &amp;"$A$4:$CA$100"), VLOOKUP(VLOOKUP("RIDER RATE 9",'Misc. Data &amp; Mechanisms'!$P$601:$S$632,HLOOKUP('Personalized Bill Menu'!$B$23, 'Misc. Data &amp; Mechanisms'!$P$599:$S$600, 2, FALSE), FALSE), 'Misc. Data &amp; Mechanisms'!$L$599:$N$659, 2, FALSE), FALSE)), ""))</f>
        <v/>
      </c>
      <c r="AG54" s="72">
        <f ca="1">IF($A54="", "", IFERROR(IF('Personalized Bill Menu'!$B$23="ATCO-N", ($X54*$B54) +($Y54*$C54), IF('Personalized Bill Menu'!$B$23="ATCO-S",$X54*$C54, IF($Y54="", ($X54*$H54), ($Y54*($H54+$K54))))), 0))</f>
        <v>0</v>
      </c>
      <c r="AH54" s="72">
        <f ca="1">IF($A54="", "", IFERROR(IF('Personalized Bill Menu'!$B$23="ATCO-S", $Y54*$C54, $Z54*$C54), 0))</f>
        <v>0</v>
      </c>
      <c r="AI54" s="72">
        <f ca="1">IF($A54="", "", IFERROR(IF('Personalized Bill Menu'!$B$23="ATCO-S", ($AA54*$C54)+($Z54*$B54), $AA54*$C54), 0))</f>
        <v>-2.4967007216508756</v>
      </c>
      <c r="AJ54" s="72">
        <f ca="1">IF($A54="", "", IFERROR(IF('Personalized Bill Menu'!$B$23&lt;&gt;"AltaGas",$AB54*$C54,""),0))</f>
        <v>14.419584921882137</v>
      </c>
      <c r="AK54" s="72">
        <f ca="1">IF($A54="", "", IFERROR(IF('Personalized Bill Menu'!$B$23="ATCO-S",$AC54*$C54,IF('Personalized Bill Menu'!$B$23="ATCO-N",$AC54*1,"")),0))</f>
        <v>2.6963451479942213</v>
      </c>
      <c r="AL54" s="72">
        <f ca="1">IF($A54="", "", IFERROR(IF('Personalized Bill Menu'!$B$23="ATCO-N",$AD54*$B54,IF('Personalized Bill Menu'!$B$23="ATCO-S",$AD54*1,"")),0))</f>
        <v>0</v>
      </c>
      <c r="AM54" s="72">
        <f ca="1">IF($A54="", "", IFERROR(IF('Personalized Bill Menu'!$B$23="ATCO-S",$AE54*$B54,IF('Personalized Bill Menu'!$B$23="ATCO-N",$AE54*$B54,"")),0))</f>
        <v>0</v>
      </c>
      <c r="AN54" s="70">
        <f ca="1">IF($A54="", "", IFERROR(IF('Personalized Bill Menu'!$B$23="ATCO-S",$AF54*$B54,""),0))</f>
        <v>0</v>
      </c>
      <c r="AO54" s="69">
        <f>IF('Personalized Bill Menu'!$B$34="Natural Gas", 'Personalized Bill Menu'!$K51, IF('Personalized Bill Menu'!$B$34="Both",'Personalized Bill Menu'!$O51,""))</f>
        <v>0.223</v>
      </c>
      <c r="AP54" s="72">
        <f t="shared" si="13"/>
        <v>6.9130000000000003</v>
      </c>
      <c r="AQ54" s="89" t="str">
        <f ca="1">IF($A54="", "",IF(VLOOKUP($A54, INDIRECT("'" &amp; 'Personalized Bill Menu'!$B$23 &amp; "'!" &amp;"$A$4:$CA$100"), VLOOKUP(VLOOKUP(AQ$5,'Misc. Data &amp; Mechanisms'!$P$601:$S$632,HLOOKUP('Personalized Bill Menu'!$B$23, 'Misc. Data &amp; Mechanisms'!$P$599:$S$600, 2, FALSE), FALSE), 'Misc. Data &amp; Mechanisms'!$L$599:$N$659, 2, FALSE), FALSE) = "", "", VLOOKUP($A54, INDIRECT("'" &amp; 'Personalized Bill Menu'!$B$23 &amp; "'!" &amp;"$A$4:$CA$100"), VLOOKUP(VLOOKUP(AQ$5,'Misc. Data &amp; Mechanisms'!$P$601:$S$632,HLOOKUP('Personalized Bill Menu'!$B$23, 'Misc. Data &amp; Mechanisms'!$P$599:$S$600, 2, FALSE), FALSE), 'Misc. Data &amp; Mechanisms'!$L$599:$N$659, 2, FALSE), FALSE)))</f>
        <v/>
      </c>
      <c r="AR54" s="72">
        <f t="shared" ca="1" si="14"/>
        <v>0</v>
      </c>
      <c r="AS54" s="91">
        <f ca="1">IF($A54="", "",IF(VLOOKUP($A54, INDIRECT("'" &amp; 'Personalized Bill Menu'!$B$23 &amp; "'!" &amp;"$A$4:$CA$100"), VLOOKUP(VLOOKUP(AS$5,'Misc. Data &amp; Mechanisms'!$P$601:$S$632,HLOOKUP('Personalized Bill Menu'!$B$23, 'Misc. Data &amp; Mechanisms'!$P$599:$S$600, 2, FALSE), FALSE), 'Misc. Data &amp; Mechanisms'!$L$599:$N$659, 2, FALSE), FALSE) = "", "", VLOOKUP($A54, INDIRECT("'" &amp; 'Personalized Bill Menu'!$B$23 &amp; "'!" &amp;"$A$4:$CA$100"), VLOOKUP(VLOOKUP(AS$5,'Misc. Data &amp; Mechanisms'!$P$601:$S$632,HLOOKUP('Personalized Bill Menu'!$B$23, 'Misc. Data &amp; Mechanisms'!$P$599:$S$600, 2, FALSE), FALSE), 'Misc. Data &amp; Mechanisms'!$L$599:$N$659, 2, FALSE), FALSE)))</f>
        <v>0.05</v>
      </c>
      <c r="AT54" s="116"/>
      <c r="AU54" s="116"/>
      <c r="AV54" s="116"/>
      <c r="AW54" s="116"/>
      <c r="AX54" s="116"/>
    </row>
    <row r="55" spans="1:50" s="117" customFormat="1" x14ac:dyDescent="0.3">
      <c r="A55" s="83">
        <f>'Personalized Bill Menu'!$H52</f>
        <v>42370</v>
      </c>
      <c r="B55" s="84">
        <f t="shared" si="3"/>
        <v>31</v>
      </c>
      <c r="C55" s="85">
        <f>IF('Personalized Bill Menu'!$B$34="Natural Gas", 'Personalized Bill Menu'!$I52, IF('Personalized Bill Menu'!$B$34="Both",'Personalized Bill Menu'!$M52,""))</f>
        <v>18.105874123716191</v>
      </c>
      <c r="D55" s="66">
        <f t="shared" ca="1" si="4"/>
        <v>6.2778122520576218</v>
      </c>
      <c r="E55" s="66">
        <f ca="1">IF($C55="Not Applicable", "", IFERROR(IFERROR((1+$AS55)*IF('Personalized Bill Menu'!$B$23="ATCO-N", IF(OR('Personalized Bill Menu'!$B$21="Fort McMurray",AND('Personalized Bill Menu'!$B$21="Spruce Grove", $A55&lt;DATE(2019, 5, 1) )),(((1+IF($T55="",0,$T55))*($N55+$P55))+ (IF($U55="", 0, $U55)*$P55)+(1+IF($T55="",0,$T55)+IF($U55="", 0, $U55))*(SUM($Y55:$AB55))),($N55+((1+IF($T55="",0,$T55)+IF($U55="", 0, $U55))*$P55)+(1+IF($T55="",0,$T55)+IF($U55="", 0, $U55))*(SUM($Y55:$AB55)))), IF('Personalized Bill Menu'!$B$23="ATCO-S",IF(OR('Personalized Bill Menu'!$B$21="Calgary",AND('Personalized Bill Menu'!$B$21="Okotoks", $A55&lt;DATE(2019, 1, 1))),((1+IF($T55="",0,$T55))*($N55+$P55+SUM($X55:$Y55,$AA55:$AC55)))+(IF($U55="",0, $U55)*($P55+SUM($X55:$Y55,$AA55:$AC55))), ((1+IF($T55="",0,$T55))*($P55+SUM($Y55,$AA55:$AC55)))+(IF($U55="",0, $U55)*($P55+SUM($X55:$Y55,$AA55:$AC55)))+$N55+IF($X55="", 0, $X55)),IF(AND('Personalized Bill Menu'!$B$21="Athabasca", $A55&lt;DATE(2019, 5, 1)),((1+IF($T55="",0,$T55)+IF($U55="", 0, $U55))*($N55+((1+SUM($X55:$Y55))*$P55)+SUM($Z55:$AA55))),((1+IF($U55="", 0, $U55))*($N55+((1+SUM($X55:$Y55))*$P55)+SUM($Z55:$AA55))) + (IF($T55="",0,$T55)*(((1+SUM($X55:$Y55))*$P55)+SUM($Z55:$AA55)))))), "")+ IF($AQ55="", 0,((1+$AS55)*$AQ55)), ""))</f>
        <v>4.2489575099999994</v>
      </c>
      <c r="F55" s="118">
        <f t="shared" ca="1" si="5"/>
        <v>113.66527840807856</v>
      </c>
      <c r="G55" s="115">
        <f t="shared" si="15"/>
        <v>36.284171743927246</v>
      </c>
      <c r="H55" s="66">
        <f t="shared" ca="1" si="16"/>
        <v>39.061676082271731</v>
      </c>
      <c r="I55" s="66">
        <f t="shared" ca="1" si="17"/>
        <v>10.133052544357611</v>
      </c>
      <c r="J55" s="66">
        <f t="shared" ca="1" si="6"/>
        <v>15.860745732375383</v>
      </c>
      <c r="K55" s="66">
        <f t="shared" si="18"/>
        <v>6.9130000000000003</v>
      </c>
      <c r="L55" s="66">
        <f t="shared" ca="1" si="8"/>
        <v>0</v>
      </c>
      <c r="M55" s="68">
        <f t="shared" ca="1" si="9"/>
        <v>5.4126323051465981</v>
      </c>
      <c r="N55" s="1290">
        <f>IF('Personalized Bill Menu'!$B$34="Natural Gas", 'Personalized Bill Menu'!$J52, IF('Personalized Bill Menu'!$B$34="Both",'Personalized Bill Menu'!$N52,""))</f>
        <v>2.004</v>
      </c>
      <c r="O55" s="70">
        <f t="shared" si="10"/>
        <v>36.284171743927246</v>
      </c>
      <c r="P55" s="89">
        <f ca="1">IF($A55="", "",IFERROR(IF(VLOOKUP($A55, INDIRECT("'" &amp; 'Personalized Bill Menu'!$B$23 &amp; "'!" &amp;"$A$4:$CA$100"), VLOOKUP(VLOOKUP(P$5,'Misc. Data &amp; Mechanisms'!$P$601:$S$632,HLOOKUP('Personalized Bill Menu'!$B$23, 'Misc. Data &amp; Mechanisms'!$P$599:$S$600, 2, FALSE), FALSE), 'Misc. Data &amp; Mechanisms'!$L$599:$N$659, 2, FALSE), FALSE) = "", "", VLOOKUP($A55, INDIRECT("'" &amp; 'Personalized Bill Menu'!$B$23 &amp; "'!" &amp;"$A$4:$CA$100"), VLOOKUP(VLOOKUP(P$5,'Misc. Data &amp; Mechanisms'!$P$601:$S$632,HLOOKUP('Personalized Bill Menu'!$B$23, 'Misc. Data &amp; Mechanisms'!$P$599:$S$600, 2, FALSE), FALSE), 'Misc. Data &amp; Mechanisms'!$L$599:$N$659, 2, FALSE), FALSE)), ""))</f>
        <v>0.76200000000000001</v>
      </c>
      <c r="Q55" s="69">
        <f ca="1">IF($A55="", "",IFERROR(IF(VLOOKUP($A55, INDIRECT("'" &amp; 'Personalized Bill Menu'!$B$23 &amp; "'!" &amp;"$A$4:$CA$100"), VLOOKUP(VLOOKUP(Q$5,'Misc. Data &amp; Mechanisms'!$P$601:$S$632,HLOOKUP('Personalized Bill Menu'!$B$23, 'Misc. Data &amp; Mechanisms'!$P$599:$S$600, 2, FALSE), FALSE), 'Misc. Data &amp; Mechanisms'!$L$599:$N$659, 2, FALSE), FALSE) = "", "", VLOOKUP($A55, INDIRECT("'" &amp; 'Personalized Bill Menu'!$B$23 &amp; "'!" &amp;"$A$4:$CA$100"), VLOOKUP(VLOOKUP(Q$5,'Misc. Data &amp; Mechanisms'!$P$601:$S$632,HLOOKUP('Personalized Bill Menu'!$B$23, 'Misc. Data &amp; Mechanisms'!$P$599:$S$600, 2, FALSE), FALSE), 'Misc. Data &amp; Mechanisms'!$L$599:$N$659, 2, FALSE), FALSE)), ""))</f>
        <v>0.81499999999999995</v>
      </c>
      <c r="R55" s="72">
        <f t="shared" ca="1" si="11"/>
        <v>13.796676082271738</v>
      </c>
      <c r="S55" s="70">
        <f t="shared" ca="1" si="12"/>
        <v>25.264999999999997</v>
      </c>
      <c r="T55" s="78">
        <f>IFERROR(IF(VLOOKUP($A55,'Misc. Data &amp; Mechanisms'!$A$63:$DY$152,HLOOKUP('Personalized Bill Menu'!$B$21&amp;"_"&amp;'Personalized Bill Menu'!$B$23&amp;"_NG_Y_1",'Misc. Data &amp; Mechanisms'!$A$55:$DY$62,8,FALSE), FALSE)="", "", VLOOKUP($A55,'Misc. Data &amp; Mechanisms'!$A$63:$DY$152,HLOOKUP('Personalized Bill Menu'!$B$21&amp;"_"&amp;'Personalized Bill Menu'!$B$23&amp;"_NG_Y_1",'Misc. Data &amp; Mechanisms'!$A$55:$DY$62,8,FALSE), FALSE)), "")</f>
        <v>0.1111</v>
      </c>
      <c r="U55" s="78" t="str">
        <f>IFERROR(IF(VLOOKUP($A55,'Misc. Data &amp; Mechanisms'!$A$63:$DY$152,HLOOKUP('Personalized Bill Menu'!$B$21&amp;"_"&amp;'Personalized Bill Menu'!$B$23&amp;"_NG_Y_2",'Misc. Data &amp; Mechanisms'!$A$55:$DY$62,8,FALSE), FALSE)="", "",VLOOKUP($A55,'Misc. Data &amp; Mechanisms'!$A$63:$DY$152,HLOOKUP('Personalized Bill Menu'!$B$21&amp;"_"&amp;'Personalized Bill Menu'!$B$23&amp;"_NG_Y_2",'Misc. Data &amp; Mechanisms'!$A$55:$DY$62,8,FALSE), FALSE)), "")</f>
        <v/>
      </c>
      <c r="V55" s="72">
        <f ca="1">IF($A55="", "", IFERROR(IF('Personalized Bill Menu'!$B$23="ATCO-N", IF(OR('Personalized Bill Menu'!$B$21="Fort McMurray",AND('Personalized Bill Menu'!$B$21="Spruce Grove", $A55&lt;DATE(2019, 5, 1))),$T55*($G55+$H55+$J55),$T55*($H55+$J55)), IF('Personalized Bill Menu'!$B$23="ATCO-S",IF(OR('Personalized Bill Menu'!$B$21="Calgary",AND('Personalized Bill Menu'!$B$21="Okotoks", $A55&lt;DATE(2019, 1, 1))),$T55*($G55+$H55+$J55), $T55*($H55+$J55-$AG55)),IF(AND('Personalized Bill Menu'!$B$21="Athabasca", $A55&lt;DATE(2019, 5, 1)),$T55*($G55+$H55+$J55+$K55),$T55*($H55+$J55+$K55)))),0))</f>
        <v>10.133052544357611</v>
      </c>
      <c r="W55" s="72">
        <f ca="1">IF($A55="", "", IFERROR(IF('Personalized Bill Menu'!$B$23="ATCO-N", $U55*($H55+$J55), IF('Personalized Bill Menu'!$B$23="ATCO-S",$U55*($H55+$J55),$U55*($G55+$H55+$J55+$K55))),0))</f>
        <v>0</v>
      </c>
      <c r="X55" s="89" t="str">
        <f ca="1">IF($A55="", "",IFERROR(IF(VLOOKUP($A55, INDIRECT("'" &amp; 'Personalized Bill Menu'!$B$23 &amp; "'!" &amp;"$A$4:$CA$100"), VLOOKUP(VLOOKUP("RIDER RATE 1",'Misc. Data &amp; Mechanisms'!$P$601:$S$632,HLOOKUP('Personalized Bill Menu'!$B$23, 'Misc. Data &amp; Mechanisms'!$P$599:$S$600, 2, FALSE), FALSE), 'Misc. Data &amp; Mechanisms'!$L$599:$N$659, 2, FALSE), FALSE) = "", "", VLOOKUP($A55, INDIRECT("'" &amp; 'Personalized Bill Menu'!$B$23 &amp; "'!" &amp;"$A$4:$CA$100"), VLOOKUP(VLOOKUP("RIDER RATE 1",'Misc. Data &amp; Mechanisms'!$P$601:$S$632,HLOOKUP('Personalized Bill Menu'!$B$23, 'Misc. Data &amp; Mechanisms'!$P$599:$S$600, 2, FALSE), FALSE), 'Misc. Data &amp; Mechanisms'!$L$599:$N$659, 2, FALSE), FALSE)), ""))</f>
        <v/>
      </c>
      <c r="Y55" s="69" t="str">
        <f ca="1">IF($A55="", "",IFERROR(IF(VLOOKUP($A55, INDIRECT("'" &amp; 'Personalized Bill Menu'!$B$23 &amp; "'!" &amp;"$A$4:$CA$100"), VLOOKUP(VLOOKUP("RIDER RATE 2",'Misc. Data &amp; Mechanisms'!$P$601:$S$632,HLOOKUP('Personalized Bill Menu'!$B$23, 'Misc. Data &amp; Mechanisms'!$P$599:$S$600, 2, FALSE), FALSE), 'Misc. Data &amp; Mechanisms'!$L$599:$N$659, 2, FALSE), FALSE) = "", "", VLOOKUP($A55, INDIRECT("'" &amp; 'Personalized Bill Menu'!$B$23 &amp; "'!" &amp;"$A$4:$CA$100"), VLOOKUP(VLOOKUP("RIDER RATE 2",'Misc. Data &amp; Mechanisms'!$P$601:$S$632,HLOOKUP('Personalized Bill Menu'!$B$23, 'Misc. Data &amp; Mechanisms'!$P$599:$S$600, 2, FALSE), FALSE), 'Misc. Data &amp; Mechanisms'!$L$599:$N$659, 2, FALSE), FALSE)), ""))</f>
        <v/>
      </c>
      <c r="Z55" s="69" t="str">
        <f ca="1">IF($A55="", "",IFERROR(IF(VLOOKUP($A55, INDIRECT("'" &amp; 'Personalized Bill Menu'!$B$23 &amp; "'!" &amp;"$A$4:$CA$100"), VLOOKUP(VLOOKUP("RIDER RATE 3",'Misc. Data &amp; Mechanisms'!$P$601:$S$632,HLOOKUP('Personalized Bill Menu'!$B$23, 'Misc. Data &amp; Mechanisms'!$P$599:$S$600, 2, FALSE), FALSE), 'Misc. Data &amp; Mechanisms'!$L$599:$N$659, 2, FALSE), FALSE) = "", "", VLOOKUP($A55, INDIRECT("'" &amp; 'Personalized Bill Menu'!$B$23 &amp; "'!" &amp;"$A$4:$CA$100"), VLOOKUP(VLOOKUP("RIDER RATE 3",'Misc. Data &amp; Mechanisms'!$P$601:$S$632,HLOOKUP('Personalized Bill Menu'!$B$23, 'Misc. Data &amp; Mechanisms'!$P$599:$S$600, 2, FALSE), FALSE), 'Misc. Data &amp; Mechanisms'!$L$599:$N$659, 2, FALSE), FALSE)), ""))</f>
        <v/>
      </c>
      <c r="AA55" s="69" t="str">
        <f ca="1">IF($A55="", "",IFERROR(IF(VLOOKUP($A55, INDIRECT("'" &amp; 'Personalized Bill Menu'!$B$23 &amp; "'!" &amp;"$A$4:$CA$100"), VLOOKUP(VLOOKUP("RIDER RATE 4",'Misc. Data &amp; Mechanisms'!$P$601:$S$632,HLOOKUP('Personalized Bill Menu'!$B$23, 'Misc. Data &amp; Mechanisms'!$P$599:$S$600, 2, FALSE), FALSE), 'Misc. Data &amp; Mechanisms'!$L$599:$N$659, 2, FALSE), FALSE) = "", "", VLOOKUP($A55, INDIRECT("'" &amp; 'Personalized Bill Menu'!$B$23 &amp; "'!" &amp;"$A$4:$CA$100"), VLOOKUP(VLOOKUP("RIDER RATE 4",'Misc. Data &amp; Mechanisms'!$P$601:$S$632,HLOOKUP('Personalized Bill Menu'!$B$23, 'Misc. Data &amp; Mechanisms'!$P$599:$S$600, 2, FALSE), FALSE), 'Misc. Data &amp; Mechanisms'!$L$599:$N$659, 2, FALSE), FALSE)), ""))</f>
        <v/>
      </c>
      <c r="AB55" s="69">
        <f ca="1">IF($A55="", "",IFERROR(IF(VLOOKUP($A55, INDIRECT("'" &amp; 'Personalized Bill Menu'!$B$23 &amp; "'!" &amp;"$A$4:$CA$100"), VLOOKUP(VLOOKUP("RIDER RATE 5",'Misc. Data &amp; Mechanisms'!$P$601:$S$632,HLOOKUP('Personalized Bill Menu'!$B$23, 'Misc. Data &amp; Mechanisms'!$P$599:$S$600, 2, FALSE), FALSE), 'Misc. Data &amp; Mechanisms'!$L$599:$N$659, 2, FALSE), FALSE) = "", "", VLOOKUP($A55, INDIRECT("'" &amp; 'Personalized Bill Menu'!$B$23 &amp; "'!" &amp;"$A$4:$CA$100"), VLOOKUP(VLOOKUP("RIDER RATE 5",'Misc. Data &amp; Mechanisms'!$P$601:$S$632,HLOOKUP('Personalized Bill Menu'!$B$23, 'Misc. Data &amp; Mechanisms'!$P$599:$S$600, 2, FALSE), FALSE), 'Misc. Data &amp; Mechanisms'!$L$599:$N$659, 2, FALSE), FALSE)), ""))</f>
        <v>0.73799999999999999</v>
      </c>
      <c r="AC55" s="69">
        <f ca="1">IF($A55="", "",IFERROR(IF(VLOOKUP($A55, INDIRECT("'" &amp; 'Personalized Bill Menu'!$B$23 &amp; "'!" &amp;"$A$4:$CA$100"), VLOOKUP(VLOOKUP("RIDER RATE 6",'Misc. Data &amp; Mechanisms'!$P$601:$S$632,HLOOKUP('Personalized Bill Menu'!$B$23, 'Misc. Data &amp; Mechanisms'!$P$599:$S$600, 2, FALSE), FALSE), 'Misc. Data &amp; Mechanisms'!$L$599:$N$659, 2, FALSE), FALSE) = "", "", VLOOKUP($A55, INDIRECT("'" &amp; 'Personalized Bill Menu'!$B$23 &amp; "'!" &amp;"$A$4:$CA$100"), VLOOKUP(VLOOKUP("RIDER RATE 6",'Misc. Data &amp; Mechanisms'!$P$601:$S$632,HLOOKUP('Personalized Bill Menu'!$B$23, 'Misc. Data &amp; Mechanisms'!$P$599:$S$600, 2, FALSE), FALSE), 'Misc. Data &amp; Mechanisms'!$L$599:$N$659, 2, FALSE), FALSE)), ""))</f>
        <v>0.13800000000000001</v>
      </c>
      <c r="AD55" s="69" t="str">
        <f ca="1">IF($A55="", "",IFERROR(IF(VLOOKUP($A55, INDIRECT("'" &amp; 'Personalized Bill Menu'!$B$23 &amp; "'!" &amp;"$A$4:$CA$100"), VLOOKUP(VLOOKUP("RIDER RATE 7",'Misc. Data &amp; Mechanisms'!$P$601:$S$632,HLOOKUP('Personalized Bill Menu'!$B$23, 'Misc. Data &amp; Mechanisms'!$P$599:$S$600, 2, FALSE), FALSE), 'Misc. Data &amp; Mechanisms'!$L$599:$N$659, 2, FALSE), FALSE) = "", "", VLOOKUP($A55, INDIRECT("'" &amp; 'Personalized Bill Menu'!$B$23 &amp; "'!" &amp;"$A$4:$CA$100"), VLOOKUP(VLOOKUP("RIDER RATE 7",'Misc. Data &amp; Mechanisms'!$P$601:$S$632,HLOOKUP('Personalized Bill Menu'!$B$23, 'Misc. Data &amp; Mechanisms'!$P$599:$S$600, 2, FALSE), FALSE), 'Misc. Data &amp; Mechanisms'!$L$599:$N$659, 2, FALSE), FALSE)), ""))</f>
        <v/>
      </c>
      <c r="AE55" s="69" t="str">
        <f ca="1">IF($A55="", "",IFERROR(IF(VLOOKUP($A55, INDIRECT("'" &amp; 'Personalized Bill Menu'!$B$23 &amp; "'!" &amp;"$A$4:$CA$100"), VLOOKUP(VLOOKUP("RIDER RATE 8",'Misc. Data &amp; Mechanisms'!$P$601:$S$632,HLOOKUP('Personalized Bill Menu'!$B$23, 'Misc. Data &amp; Mechanisms'!$P$599:$S$600, 2, FALSE), FALSE), 'Misc. Data &amp; Mechanisms'!$L$599:$N$659, 2, FALSE), FALSE) = "", "", VLOOKUP($A55, INDIRECT("'" &amp; 'Personalized Bill Menu'!$B$23 &amp; "'!" &amp;"$A$4:$CA$100"), VLOOKUP(VLOOKUP("RIDER RATE 8",'Misc. Data &amp; Mechanisms'!$P$601:$S$632,HLOOKUP('Personalized Bill Menu'!$B$23, 'Misc. Data &amp; Mechanisms'!$P$599:$S$600, 2, FALSE), FALSE), 'Misc. Data &amp; Mechanisms'!$L$599:$N$659, 2, FALSE), FALSE)), ""))</f>
        <v/>
      </c>
      <c r="AF55" s="69" t="str">
        <f ca="1">IF($A55="", "",IFERROR(IF(VLOOKUP($A55, INDIRECT("'" &amp; 'Personalized Bill Menu'!$B$23 &amp; "'!" &amp;"$A$4:$CA$100"), VLOOKUP(VLOOKUP("RIDER RATE 9",'Misc. Data &amp; Mechanisms'!$P$601:$S$632,HLOOKUP('Personalized Bill Menu'!$B$23, 'Misc. Data &amp; Mechanisms'!$P$599:$S$600, 2, FALSE), FALSE), 'Misc. Data &amp; Mechanisms'!$L$599:$N$659, 2, FALSE), FALSE) = "", "", VLOOKUP($A55, INDIRECT("'" &amp; 'Personalized Bill Menu'!$B$23 &amp; "'!" &amp;"$A$4:$CA$100"), VLOOKUP(VLOOKUP("RIDER RATE 9",'Misc. Data &amp; Mechanisms'!$P$601:$S$632,HLOOKUP('Personalized Bill Menu'!$B$23, 'Misc. Data &amp; Mechanisms'!$P$599:$S$600, 2, FALSE), FALSE), 'Misc. Data &amp; Mechanisms'!$L$599:$N$659, 2, FALSE), FALSE)), ""))</f>
        <v/>
      </c>
      <c r="AG55" s="72">
        <f ca="1">IF($A55="", "", IFERROR(IF('Personalized Bill Menu'!$B$23="ATCO-N", ($X55*$B55) +($Y55*$C55), IF('Personalized Bill Menu'!$B$23="ATCO-S",$X55*$C55, IF($Y55="", ($X55*$H55), ($Y55*($H55+$K55))))), 0))</f>
        <v>0</v>
      </c>
      <c r="AH55" s="72">
        <f ca="1">IF($A55="", "", IFERROR(IF('Personalized Bill Menu'!$B$23="ATCO-S", $Y55*$C55, $Z55*$C55), 0))</f>
        <v>0</v>
      </c>
      <c r="AI55" s="72">
        <f ca="1">IF($A55="", "", IFERROR(IF('Personalized Bill Menu'!$B$23="ATCO-S", ($AA55*$C55)+($Z55*$B55), $AA55*$C55), 0))</f>
        <v>0</v>
      </c>
      <c r="AJ55" s="72">
        <f ca="1">IF($A55="", "", IFERROR(IF('Personalized Bill Menu'!$B$23&lt;&gt;"AltaGas",$AB55*$C55,""),0))</f>
        <v>13.362135103302549</v>
      </c>
      <c r="AK55" s="72">
        <f ca="1">IF($A55="", "", IFERROR(IF('Personalized Bill Menu'!$B$23="ATCO-S",$AC55*$C55,IF('Personalized Bill Menu'!$B$23="ATCO-N",$AC55*1,"")),0))</f>
        <v>2.4986106290728345</v>
      </c>
      <c r="AL55" s="72">
        <f ca="1">IF($A55="", "", IFERROR(IF('Personalized Bill Menu'!$B$23="ATCO-N",$AD55*$B55,IF('Personalized Bill Menu'!$B$23="ATCO-S",$AD55*1,"")),0))</f>
        <v>0</v>
      </c>
      <c r="AM55" s="72">
        <f ca="1">IF($A55="", "", IFERROR(IF('Personalized Bill Menu'!$B$23="ATCO-S",$AE55*$B55,IF('Personalized Bill Menu'!$B$23="ATCO-N",$AE55*$B55,"")),0))</f>
        <v>0</v>
      </c>
      <c r="AN55" s="70">
        <f ca="1">IF($A55="", "", IFERROR(IF('Personalized Bill Menu'!$B$23="ATCO-S",$AF55*$B55,""),0))</f>
        <v>0</v>
      </c>
      <c r="AO55" s="69">
        <f>IF('Personalized Bill Menu'!$B$34="Natural Gas", 'Personalized Bill Menu'!$K52, IF('Personalized Bill Menu'!$B$34="Both",'Personalized Bill Menu'!$O52,""))</f>
        <v>0.223</v>
      </c>
      <c r="AP55" s="72">
        <f t="shared" si="13"/>
        <v>6.9130000000000003</v>
      </c>
      <c r="AQ55" s="89" t="str">
        <f ca="1">IF($A55="", "",IF(VLOOKUP($A55, INDIRECT("'" &amp; 'Personalized Bill Menu'!$B$23 &amp; "'!" &amp;"$A$4:$CA$100"), VLOOKUP(VLOOKUP(AQ$5,'Misc. Data &amp; Mechanisms'!$P$601:$S$632,HLOOKUP('Personalized Bill Menu'!$B$23, 'Misc. Data &amp; Mechanisms'!$P$599:$S$600, 2, FALSE), FALSE), 'Misc. Data &amp; Mechanisms'!$L$599:$N$659, 2, FALSE), FALSE) = "", "", VLOOKUP($A55, INDIRECT("'" &amp; 'Personalized Bill Menu'!$B$23 &amp; "'!" &amp;"$A$4:$CA$100"), VLOOKUP(VLOOKUP(AQ$5,'Misc. Data &amp; Mechanisms'!$P$601:$S$632,HLOOKUP('Personalized Bill Menu'!$B$23, 'Misc. Data &amp; Mechanisms'!$P$599:$S$600, 2, FALSE), FALSE), 'Misc. Data &amp; Mechanisms'!$L$599:$N$659, 2, FALSE), FALSE)))</f>
        <v/>
      </c>
      <c r="AR55" s="72">
        <f t="shared" ca="1" si="14"/>
        <v>0</v>
      </c>
      <c r="AS55" s="91">
        <f ca="1">IF($A55="", "",IF(VLOOKUP($A55, INDIRECT("'" &amp; 'Personalized Bill Menu'!$B$23 &amp; "'!" &amp;"$A$4:$CA$100"), VLOOKUP(VLOOKUP(AS$5,'Misc. Data &amp; Mechanisms'!$P$601:$S$632,HLOOKUP('Personalized Bill Menu'!$B$23, 'Misc. Data &amp; Mechanisms'!$P$599:$S$600, 2, FALSE), FALSE), 'Misc. Data &amp; Mechanisms'!$L$599:$N$659, 2, FALSE), FALSE) = "", "", VLOOKUP($A55, INDIRECT("'" &amp; 'Personalized Bill Menu'!$B$23 &amp; "'!" &amp;"$A$4:$CA$100"), VLOOKUP(VLOOKUP(AS$5,'Misc. Data &amp; Mechanisms'!$P$601:$S$632,HLOOKUP('Personalized Bill Menu'!$B$23, 'Misc. Data &amp; Mechanisms'!$P$599:$S$600, 2, FALSE), FALSE), 'Misc. Data &amp; Mechanisms'!$L$599:$N$659, 2, FALSE), FALSE)))</f>
        <v>0.05</v>
      </c>
      <c r="AT55" s="116"/>
      <c r="AU55" s="116"/>
      <c r="AV55" s="116"/>
      <c r="AW55" s="116"/>
      <c r="AX55" s="116"/>
    </row>
    <row r="56" spans="1:50" s="117" customFormat="1" x14ac:dyDescent="0.3">
      <c r="A56" s="83">
        <f>'Personalized Bill Menu'!$H53</f>
        <v>42401</v>
      </c>
      <c r="B56" s="84">
        <f t="shared" si="3"/>
        <v>29</v>
      </c>
      <c r="C56" s="85">
        <f>IF('Personalized Bill Menu'!$B$34="Natural Gas", 'Personalized Bill Menu'!$I53, IF('Personalized Bill Menu'!$B$34="Both",'Personalized Bill Menu'!$M53,""))</f>
        <v>12.609699558786209</v>
      </c>
      <c r="D56" s="66">
        <f t="shared" ca="1" si="4"/>
        <v>8.1011690547700503</v>
      </c>
      <c r="E56" s="66">
        <f ca="1">IF($C56="Not Applicable", "", IFERROR(IFERROR((1+$AS56)*IF('Personalized Bill Menu'!$B$23="ATCO-N", IF(OR('Personalized Bill Menu'!$B$21="Fort McMurray",AND('Personalized Bill Menu'!$B$21="Spruce Grove", $A56&lt;DATE(2019, 5, 1) )),(((1+IF($T56="",0,$T56))*($N56+$P56))+ (IF($U56="", 0, $U56)*$P56)+(1+IF($T56="",0,$T56)+IF($U56="", 0, $U56))*(SUM($Y56:$AB56))),($N56+((1+IF($T56="",0,$T56)+IF($U56="", 0, $U56))*$P56)+(1+IF($T56="",0,$T56)+IF($U56="", 0, $U56))*(SUM($Y56:$AB56)))), IF('Personalized Bill Menu'!$B$23="ATCO-S",IF(OR('Personalized Bill Menu'!$B$21="Calgary",AND('Personalized Bill Menu'!$B$21="Okotoks", $A56&lt;DATE(2019, 1, 1))),((1+IF($T56="",0,$T56))*($N56+$P56+SUM($X56:$Y56,$AA56:$AC56)))+(IF($U56="",0, $U56)*($P56+SUM($X56:$Y56,$AA56:$AC56))), ((1+IF($T56="",0,$T56))*($P56+SUM($Y56,$AA56:$AC56)))+(IF($U56="",0, $U56)*($P56+SUM($X56:$Y56,$AA56:$AC56)))+$N56+IF($X56="", 0, $X56)),IF(AND('Personalized Bill Menu'!$B$21="Athabasca", $A56&lt;DATE(2019, 5, 1)),((1+IF($T56="",0,$T56)+IF($U56="", 0, $U56))*($N56+((1+SUM($X56:$Y56))*$P56)+SUM($Z56:$AA56))),((1+IF($U56="", 0, $U56))*($N56+((1+SUM($X56:$Y56))*$P56)+SUM($Z56:$AA56))) + (IF($T56="",0,$T56)*(((1+SUM($X56:$Y56))*$P56)+SUM($Z56:$AA56)))))), "")+ IF($AQ56="", 0,((1+$AS56)*$AQ56)), ""))</f>
        <v>5.3759462400000011</v>
      </c>
      <c r="F56" s="118">
        <f t="shared" ca="1" si="5"/>
        <v>102.15330785558639</v>
      </c>
      <c r="G56" s="115">
        <f t="shared" si="15"/>
        <v>37.450807689595045</v>
      </c>
      <c r="H56" s="66">
        <f t="shared" ca="1" si="16"/>
        <v>33.243591063795094</v>
      </c>
      <c r="I56" s="66">
        <f t="shared" ca="1" si="17"/>
        <v>9.0813690574811314</v>
      </c>
      <c r="J56" s="66">
        <f t="shared" ca="1" si="6"/>
        <v>11.046096813496719</v>
      </c>
      <c r="K56" s="66">
        <f t="shared" si="18"/>
        <v>6.4670000000000005</v>
      </c>
      <c r="L56" s="66">
        <f t="shared" ca="1" si="8"/>
        <v>0</v>
      </c>
      <c r="M56" s="68">
        <f t="shared" ca="1" si="9"/>
        <v>4.8644432312183996</v>
      </c>
      <c r="N56" s="1290">
        <f>IF('Personalized Bill Menu'!$B$34="Natural Gas", 'Personalized Bill Menu'!$J53, IF('Personalized Bill Menu'!$B$34="Both",'Personalized Bill Menu'!$N53,""))</f>
        <v>2.97</v>
      </c>
      <c r="O56" s="70">
        <f t="shared" si="10"/>
        <v>37.450807689595045</v>
      </c>
      <c r="P56" s="89">
        <f ca="1">IF($A56="", "",IFERROR(IF(VLOOKUP($A56, INDIRECT("'" &amp; 'Personalized Bill Menu'!$B$23 &amp; "'!" &amp;"$A$4:$CA$100"), VLOOKUP(VLOOKUP(P$5,'Misc. Data &amp; Mechanisms'!$P$601:$S$632,HLOOKUP('Personalized Bill Menu'!$B$23, 'Misc. Data &amp; Mechanisms'!$P$599:$S$600, 2, FALSE), FALSE), 'Misc. Data &amp; Mechanisms'!$L$599:$N$659, 2, FALSE), FALSE) = "", "", VLOOKUP($A56, INDIRECT("'" &amp; 'Personalized Bill Menu'!$B$23 &amp; "'!" &amp;"$A$4:$CA$100"), VLOOKUP(VLOOKUP(P$5,'Misc. Data &amp; Mechanisms'!$P$601:$S$632,HLOOKUP('Personalized Bill Menu'!$B$23, 'Misc. Data &amp; Mechanisms'!$P$599:$S$600, 2, FALSE), FALSE), 'Misc. Data &amp; Mechanisms'!$L$599:$N$659, 2, FALSE), FALSE)), ""))</f>
        <v>0.76200000000000001</v>
      </c>
      <c r="Q56" s="69">
        <f ca="1">IF($A56="", "",IFERROR(IF(VLOOKUP($A56, INDIRECT("'" &amp; 'Personalized Bill Menu'!$B$23 &amp; "'!" &amp;"$A$4:$CA$100"), VLOOKUP(VLOOKUP(Q$5,'Misc. Data &amp; Mechanisms'!$P$601:$S$632,HLOOKUP('Personalized Bill Menu'!$B$23, 'Misc. Data &amp; Mechanisms'!$P$599:$S$600, 2, FALSE), FALSE), 'Misc. Data &amp; Mechanisms'!$L$599:$N$659, 2, FALSE), FALSE) = "", "", VLOOKUP($A56, INDIRECT("'" &amp; 'Personalized Bill Menu'!$B$23 &amp; "'!" &amp;"$A$4:$CA$100"), VLOOKUP(VLOOKUP(Q$5,'Misc. Data &amp; Mechanisms'!$P$601:$S$632,HLOOKUP('Personalized Bill Menu'!$B$23, 'Misc. Data &amp; Mechanisms'!$P$599:$S$600, 2, FALSE), FALSE), 'Misc. Data &amp; Mechanisms'!$L$599:$N$659, 2, FALSE), FALSE)), ""))</f>
        <v>0.81499999999999995</v>
      </c>
      <c r="R56" s="72">
        <f t="shared" ca="1" si="11"/>
        <v>9.6085910637950924</v>
      </c>
      <c r="S56" s="70">
        <f t="shared" ca="1" si="12"/>
        <v>23.634999999999998</v>
      </c>
      <c r="T56" s="78">
        <f>IFERROR(IF(VLOOKUP($A56,'Misc. Data &amp; Mechanisms'!$A$63:$DY$152,HLOOKUP('Personalized Bill Menu'!$B$21&amp;"_"&amp;'Personalized Bill Menu'!$B$23&amp;"_NG_Y_1",'Misc. Data &amp; Mechanisms'!$A$55:$DY$62,8,FALSE), FALSE)="", "", VLOOKUP($A56,'Misc. Data &amp; Mechanisms'!$A$63:$DY$152,HLOOKUP('Personalized Bill Menu'!$B$21&amp;"_"&amp;'Personalized Bill Menu'!$B$23&amp;"_NG_Y_1",'Misc. Data &amp; Mechanisms'!$A$55:$DY$62,8,FALSE), FALSE)), "")</f>
        <v>0.1111</v>
      </c>
      <c r="U56" s="78" t="str">
        <f>IFERROR(IF(VLOOKUP($A56,'Misc. Data &amp; Mechanisms'!$A$63:$DY$152,HLOOKUP('Personalized Bill Menu'!$B$21&amp;"_"&amp;'Personalized Bill Menu'!$B$23&amp;"_NG_Y_2",'Misc. Data &amp; Mechanisms'!$A$55:$DY$62,8,FALSE), FALSE)="", "",VLOOKUP($A56,'Misc. Data &amp; Mechanisms'!$A$63:$DY$152,HLOOKUP('Personalized Bill Menu'!$B$21&amp;"_"&amp;'Personalized Bill Menu'!$B$23&amp;"_NG_Y_2",'Misc. Data &amp; Mechanisms'!$A$55:$DY$62,8,FALSE), FALSE)), "")</f>
        <v/>
      </c>
      <c r="V56" s="72">
        <f ca="1">IF($A56="", "", IFERROR(IF('Personalized Bill Menu'!$B$23="ATCO-N", IF(OR('Personalized Bill Menu'!$B$21="Fort McMurray",AND('Personalized Bill Menu'!$B$21="Spruce Grove", $A56&lt;DATE(2019, 5, 1))),$T56*($G56+$H56+$J56),$T56*($H56+$J56)), IF('Personalized Bill Menu'!$B$23="ATCO-S",IF(OR('Personalized Bill Menu'!$B$21="Calgary",AND('Personalized Bill Menu'!$B$21="Okotoks", $A56&lt;DATE(2019, 1, 1))),$T56*($G56+$H56+$J56), $T56*($H56+$J56-$AG56)),IF(AND('Personalized Bill Menu'!$B$21="Athabasca", $A56&lt;DATE(2019, 5, 1)),$T56*($G56+$H56+$J56+$K56),$T56*($H56+$J56+$K56)))),0))</f>
        <v>9.0813690574811314</v>
      </c>
      <c r="W56" s="72">
        <f ca="1">IF($A56="", "", IFERROR(IF('Personalized Bill Menu'!$B$23="ATCO-N", $U56*($H56+$J56), IF('Personalized Bill Menu'!$B$23="ATCO-S",$U56*($H56+$J56),$U56*($G56+$H56+$J56+$K56))),0))</f>
        <v>0</v>
      </c>
      <c r="X56" s="89" t="str">
        <f ca="1">IF($A56="", "",IFERROR(IF(VLOOKUP($A56, INDIRECT("'" &amp; 'Personalized Bill Menu'!$B$23 &amp; "'!" &amp;"$A$4:$CA$100"), VLOOKUP(VLOOKUP("RIDER RATE 1",'Misc. Data &amp; Mechanisms'!$P$601:$S$632,HLOOKUP('Personalized Bill Menu'!$B$23, 'Misc. Data &amp; Mechanisms'!$P$599:$S$600, 2, FALSE), FALSE), 'Misc. Data &amp; Mechanisms'!$L$599:$N$659, 2, FALSE), FALSE) = "", "", VLOOKUP($A56, INDIRECT("'" &amp; 'Personalized Bill Menu'!$B$23 &amp; "'!" &amp;"$A$4:$CA$100"), VLOOKUP(VLOOKUP("RIDER RATE 1",'Misc. Data &amp; Mechanisms'!$P$601:$S$632,HLOOKUP('Personalized Bill Menu'!$B$23, 'Misc. Data &amp; Mechanisms'!$P$599:$S$600, 2, FALSE), FALSE), 'Misc. Data &amp; Mechanisms'!$L$599:$N$659, 2, FALSE), FALSE)), ""))</f>
        <v/>
      </c>
      <c r="Y56" s="69" t="str">
        <f ca="1">IF($A56="", "",IFERROR(IF(VLOOKUP($A56, INDIRECT("'" &amp; 'Personalized Bill Menu'!$B$23 &amp; "'!" &amp;"$A$4:$CA$100"), VLOOKUP(VLOOKUP("RIDER RATE 2",'Misc. Data &amp; Mechanisms'!$P$601:$S$632,HLOOKUP('Personalized Bill Menu'!$B$23, 'Misc. Data &amp; Mechanisms'!$P$599:$S$600, 2, FALSE), FALSE), 'Misc. Data &amp; Mechanisms'!$L$599:$N$659, 2, FALSE), FALSE) = "", "", VLOOKUP($A56, INDIRECT("'" &amp; 'Personalized Bill Menu'!$B$23 &amp; "'!" &amp;"$A$4:$CA$100"), VLOOKUP(VLOOKUP("RIDER RATE 2",'Misc. Data &amp; Mechanisms'!$P$601:$S$632,HLOOKUP('Personalized Bill Menu'!$B$23, 'Misc. Data &amp; Mechanisms'!$P$599:$S$600, 2, FALSE), FALSE), 'Misc. Data &amp; Mechanisms'!$L$599:$N$659, 2, FALSE), FALSE)), ""))</f>
        <v/>
      </c>
      <c r="Z56" s="69" t="str">
        <f ca="1">IF($A56="", "",IFERROR(IF(VLOOKUP($A56, INDIRECT("'" &amp; 'Personalized Bill Menu'!$B$23 &amp; "'!" &amp;"$A$4:$CA$100"), VLOOKUP(VLOOKUP("RIDER RATE 3",'Misc. Data &amp; Mechanisms'!$P$601:$S$632,HLOOKUP('Personalized Bill Menu'!$B$23, 'Misc. Data &amp; Mechanisms'!$P$599:$S$600, 2, FALSE), FALSE), 'Misc. Data &amp; Mechanisms'!$L$599:$N$659, 2, FALSE), FALSE) = "", "", VLOOKUP($A56, INDIRECT("'" &amp; 'Personalized Bill Menu'!$B$23 &amp; "'!" &amp;"$A$4:$CA$100"), VLOOKUP(VLOOKUP("RIDER RATE 3",'Misc. Data &amp; Mechanisms'!$P$601:$S$632,HLOOKUP('Personalized Bill Menu'!$B$23, 'Misc. Data &amp; Mechanisms'!$P$599:$S$600, 2, FALSE), FALSE), 'Misc. Data &amp; Mechanisms'!$L$599:$N$659, 2, FALSE), FALSE)), ""))</f>
        <v/>
      </c>
      <c r="AA56" s="69" t="str">
        <f ca="1">IF($A56="", "",IFERROR(IF(VLOOKUP($A56, INDIRECT("'" &amp; 'Personalized Bill Menu'!$B$23 &amp; "'!" &amp;"$A$4:$CA$100"), VLOOKUP(VLOOKUP("RIDER RATE 4",'Misc. Data &amp; Mechanisms'!$P$601:$S$632,HLOOKUP('Personalized Bill Menu'!$B$23, 'Misc. Data &amp; Mechanisms'!$P$599:$S$600, 2, FALSE), FALSE), 'Misc. Data &amp; Mechanisms'!$L$599:$N$659, 2, FALSE), FALSE) = "", "", VLOOKUP($A56, INDIRECT("'" &amp; 'Personalized Bill Menu'!$B$23 &amp; "'!" &amp;"$A$4:$CA$100"), VLOOKUP(VLOOKUP("RIDER RATE 4",'Misc. Data &amp; Mechanisms'!$P$601:$S$632,HLOOKUP('Personalized Bill Menu'!$B$23, 'Misc. Data &amp; Mechanisms'!$P$599:$S$600, 2, FALSE), FALSE), 'Misc. Data &amp; Mechanisms'!$L$599:$N$659, 2, FALSE), FALSE)), ""))</f>
        <v/>
      </c>
      <c r="AB56" s="69">
        <f ca="1">IF($A56="", "",IFERROR(IF(VLOOKUP($A56, INDIRECT("'" &amp; 'Personalized Bill Menu'!$B$23 &amp; "'!" &amp;"$A$4:$CA$100"), VLOOKUP(VLOOKUP("RIDER RATE 5",'Misc. Data &amp; Mechanisms'!$P$601:$S$632,HLOOKUP('Personalized Bill Menu'!$B$23, 'Misc. Data &amp; Mechanisms'!$P$599:$S$600, 2, FALSE), FALSE), 'Misc. Data &amp; Mechanisms'!$L$599:$N$659, 2, FALSE), FALSE) = "", "", VLOOKUP($A56, INDIRECT("'" &amp; 'Personalized Bill Menu'!$B$23 &amp; "'!" &amp;"$A$4:$CA$100"), VLOOKUP(VLOOKUP("RIDER RATE 5",'Misc. Data &amp; Mechanisms'!$P$601:$S$632,HLOOKUP('Personalized Bill Menu'!$B$23, 'Misc. Data &amp; Mechanisms'!$P$599:$S$600, 2, FALSE), FALSE), 'Misc. Data &amp; Mechanisms'!$L$599:$N$659, 2, FALSE), FALSE)), ""))</f>
        <v>0.73799999999999999</v>
      </c>
      <c r="AC56" s="69">
        <f ca="1">IF($A56="", "",IFERROR(IF(VLOOKUP($A56, INDIRECT("'" &amp; 'Personalized Bill Menu'!$B$23 &amp; "'!" &amp;"$A$4:$CA$100"), VLOOKUP(VLOOKUP("RIDER RATE 6",'Misc. Data &amp; Mechanisms'!$P$601:$S$632,HLOOKUP('Personalized Bill Menu'!$B$23, 'Misc. Data &amp; Mechanisms'!$P$599:$S$600, 2, FALSE), FALSE), 'Misc. Data &amp; Mechanisms'!$L$599:$N$659, 2, FALSE), FALSE) = "", "", VLOOKUP($A56, INDIRECT("'" &amp; 'Personalized Bill Menu'!$B$23 &amp; "'!" &amp;"$A$4:$CA$100"), VLOOKUP(VLOOKUP("RIDER RATE 6",'Misc. Data &amp; Mechanisms'!$P$601:$S$632,HLOOKUP('Personalized Bill Menu'!$B$23, 'Misc. Data &amp; Mechanisms'!$P$599:$S$600, 2, FALSE), FALSE), 'Misc. Data &amp; Mechanisms'!$L$599:$N$659, 2, FALSE), FALSE)), ""))</f>
        <v>0.13800000000000001</v>
      </c>
      <c r="AD56" s="69" t="str">
        <f ca="1">IF($A56="", "",IFERROR(IF(VLOOKUP($A56, INDIRECT("'" &amp; 'Personalized Bill Menu'!$B$23 &amp; "'!" &amp;"$A$4:$CA$100"), VLOOKUP(VLOOKUP("RIDER RATE 7",'Misc. Data &amp; Mechanisms'!$P$601:$S$632,HLOOKUP('Personalized Bill Menu'!$B$23, 'Misc. Data &amp; Mechanisms'!$P$599:$S$600, 2, FALSE), FALSE), 'Misc. Data &amp; Mechanisms'!$L$599:$N$659, 2, FALSE), FALSE) = "", "", VLOOKUP($A56, INDIRECT("'" &amp; 'Personalized Bill Menu'!$B$23 &amp; "'!" &amp;"$A$4:$CA$100"), VLOOKUP(VLOOKUP("RIDER RATE 7",'Misc. Data &amp; Mechanisms'!$P$601:$S$632,HLOOKUP('Personalized Bill Menu'!$B$23, 'Misc. Data &amp; Mechanisms'!$P$599:$S$600, 2, FALSE), FALSE), 'Misc. Data &amp; Mechanisms'!$L$599:$N$659, 2, FALSE), FALSE)), ""))</f>
        <v/>
      </c>
      <c r="AE56" s="69" t="str">
        <f ca="1">IF($A56="", "",IFERROR(IF(VLOOKUP($A56, INDIRECT("'" &amp; 'Personalized Bill Menu'!$B$23 &amp; "'!" &amp;"$A$4:$CA$100"), VLOOKUP(VLOOKUP("RIDER RATE 8",'Misc. Data &amp; Mechanisms'!$P$601:$S$632,HLOOKUP('Personalized Bill Menu'!$B$23, 'Misc. Data &amp; Mechanisms'!$P$599:$S$600, 2, FALSE), FALSE), 'Misc. Data &amp; Mechanisms'!$L$599:$N$659, 2, FALSE), FALSE) = "", "", VLOOKUP($A56, INDIRECT("'" &amp; 'Personalized Bill Menu'!$B$23 &amp; "'!" &amp;"$A$4:$CA$100"), VLOOKUP(VLOOKUP("RIDER RATE 8",'Misc. Data &amp; Mechanisms'!$P$601:$S$632,HLOOKUP('Personalized Bill Menu'!$B$23, 'Misc. Data &amp; Mechanisms'!$P$599:$S$600, 2, FALSE), FALSE), 'Misc. Data &amp; Mechanisms'!$L$599:$N$659, 2, FALSE), FALSE)), ""))</f>
        <v/>
      </c>
      <c r="AF56" s="69" t="str">
        <f ca="1">IF($A56="", "",IFERROR(IF(VLOOKUP($A56, INDIRECT("'" &amp; 'Personalized Bill Menu'!$B$23 &amp; "'!" &amp;"$A$4:$CA$100"), VLOOKUP(VLOOKUP("RIDER RATE 9",'Misc. Data &amp; Mechanisms'!$P$601:$S$632,HLOOKUP('Personalized Bill Menu'!$B$23, 'Misc. Data &amp; Mechanisms'!$P$599:$S$600, 2, FALSE), FALSE), 'Misc. Data &amp; Mechanisms'!$L$599:$N$659, 2, FALSE), FALSE) = "", "", VLOOKUP($A56, INDIRECT("'" &amp; 'Personalized Bill Menu'!$B$23 &amp; "'!" &amp;"$A$4:$CA$100"), VLOOKUP(VLOOKUP("RIDER RATE 9",'Misc. Data &amp; Mechanisms'!$P$601:$S$632,HLOOKUP('Personalized Bill Menu'!$B$23, 'Misc. Data &amp; Mechanisms'!$P$599:$S$600, 2, FALSE), FALSE), 'Misc. Data &amp; Mechanisms'!$L$599:$N$659, 2, FALSE), FALSE)), ""))</f>
        <v/>
      </c>
      <c r="AG56" s="72">
        <f ca="1">IF($A56="", "", IFERROR(IF('Personalized Bill Menu'!$B$23="ATCO-N", ($X56*$B56) +($Y56*$C56), IF('Personalized Bill Menu'!$B$23="ATCO-S",$X56*$C56, IF($Y56="", ($X56*$H56), ($Y56*($H56+$K56))))), 0))</f>
        <v>0</v>
      </c>
      <c r="AH56" s="72">
        <f ca="1">IF($A56="", "", IFERROR(IF('Personalized Bill Menu'!$B$23="ATCO-S", $Y56*$C56, $Z56*$C56), 0))</f>
        <v>0</v>
      </c>
      <c r="AI56" s="72">
        <f ca="1">IF($A56="", "", IFERROR(IF('Personalized Bill Menu'!$B$23="ATCO-S", ($AA56*$C56)+($Z56*$B56), $AA56*$C56), 0))</f>
        <v>0</v>
      </c>
      <c r="AJ56" s="72">
        <f ca="1">IF($A56="", "", IFERROR(IF('Personalized Bill Menu'!$B$23&lt;&gt;"AltaGas",$AB56*$C56,""),0))</f>
        <v>9.3059582743842224</v>
      </c>
      <c r="AK56" s="72">
        <f ca="1">IF($A56="", "", IFERROR(IF('Personalized Bill Menu'!$B$23="ATCO-S",$AC56*$C56,IF('Personalized Bill Menu'!$B$23="ATCO-N",$AC56*1,"")),0))</f>
        <v>1.7401385391124971</v>
      </c>
      <c r="AL56" s="72">
        <f ca="1">IF($A56="", "", IFERROR(IF('Personalized Bill Menu'!$B$23="ATCO-N",$AD56*$B56,IF('Personalized Bill Menu'!$B$23="ATCO-S",$AD56*1,"")),0))</f>
        <v>0</v>
      </c>
      <c r="AM56" s="72">
        <f ca="1">IF($A56="", "", IFERROR(IF('Personalized Bill Menu'!$B$23="ATCO-S",$AE56*$B56,IF('Personalized Bill Menu'!$B$23="ATCO-N",$AE56*$B56,"")),0))</f>
        <v>0</v>
      </c>
      <c r="AN56" s="70">
        <f ca="1">IF($A56="", "", IFERROR(IF('Personalized Bill Menu'!$B$23="ATCO-S",$AF56*$B56,""),0))</f>
        <v>0</v>
      </c>
      <c r="AO56" s="69">
        <f>IF('Personalized Bill Menu'!$B$34="Natural Gas", 'Personalized Bill Menu'!$K53, IF('Personalized Bill Menu'!$B$34="Both",'Personalized Bill Menu'!$O53,""))</f>
        <v>0.223</v>
      </c>
      <c r="AP56" s="72">
        <f t="shared" si="13"/>
        <v>6.4670000000000005</v>
      </c>
      <c r="AQ56" s="89" t="str">
        <f ca="1">IF($A56="", "",IF(VLOOKUP($A56, INDIRECT("'" &amp; 'Personalized Bill Menu'!$B$23 &amp; "'!" &amp;"$A$4:$CA$100"), VLOOKUP(VLOOKUP(AQ$5,'Misc. Data &amp; Mechanisms'!$P$601:$S$632,HLOOKUP('Personalized Bill Menu'!$B$23, 'Misc. Data &amp; Mechanisms'!$P$599:$S$600, 2, FALSE), FALSE), 'Misc. Data &amp; Mechanisms'!$L$599:$N$659, 2, FALSE), FALSE) = "", "", VLOOKUP($A56, INDIRECT("'" &amp; 'Personalized Bill Menu'!$B$23 &amp; "'!" &amp;"$A$4:$CA$100"), VLOOKUP(VLOOKUP(AQ$5,'Misc. Data &amp; Mechanisms'!$P$601:$S$632,HLOOKUP('Personalized Bill Menu'!$B$23, 'Misc. Data &amp; Mechanisms'!$P$599:$S$600, 2, FALSE), FALSE), 'Misc. Data &amp; Mechanisms'!$L$599:$N$659, 2, FALSE), FALSE)))</f>
        <v/>
      </c>
      <c r="AR56" s="72">
        <f t="shared" ca="1" si="14"/>
        <v>0</v>
      </c>
      <c r="AS56" s="91">
        <f ca="1">IF($A56="", "",IF(VLOOKUP($A56, INDIRECT("'" &amp; 'Personalized Bill Menu'!$B$23 &amp; "'!" &amp;"$A$4:$CA$100"), VLOOKUP(VLOOKUP(AS$5,'Misc. Data &amp; Mechanisms'!$P$601:$S$632,HLOOKUP('Personalized Bill Menu'!$B$23, 'Misc. Data &amp; Mechanisms'!$P$599:$S$600, 2, FALSE), FALSE), 'Misc. Data &amp; Mechanisms'!$L$599:$N$659, 2, FALSE), FALSE) = "", "", VLOOKUP($A56, INDIRECT("'" &amp; 'Personalized Bill Menu'!$B$23 &amp; "'!" &amp;"$A$4:$CA$100"), VLOOKUP(VLOOKUP(AS$5,'Misc. Data &amp; Mechanisms'!$P$601:$S$632,HLOOKUP('Personalized Bill Menu'!$B$23, 'Misc. Data &amp; Mechanisms'!$P$599:$S$600, 2, FALSE), FALSE), 'Misc. Data &amp; Mechanisms'!$L$599:$N$659, 2, FALSE), FALSE)))</f>
        <v>0.05</v>
      </c>
      <c r="AT56" s="116"/>
      <c r="AU56" s="116"/>
      <c r="AV56" s="116"/>
      <c r="AW56" s="116"/>
      <c r="AX56" s="116"/>
    </row>
    <row r="57" spans="1:50" s="117" customFormat="1" x14ac:dyDescent="0.3">
      <c r="A57" s="83">
        <f>'Personalized Bill Menu'!$H54</f>
        <v>42430</v>
      </c>
      <c r="B57" s="84">
        <f t="shared" si="3"/>
        <v>31</v>
      </c>
      <c r="C57" s="85">
        <f>IF('Personalized Bill Menu'!$B$34="Natural Gas", 'Personalized Bill Menu'!$I54, IF('Personalized Bill Menu'!$B$34="Both",'Personalized Bill Menu'!$M54,""))</f>
        <v>12.219487123971039</v>
      </c>
      <c r="D57" s="66">
        <f t="shared" ca="1" si="4"/>
        <v>7.5316519938958484</v>
      </c>
      <c r="E57" s="66">
        <f ca="1">IF($C57="Not Applicable", "", IFERROR(IFERROR((1+$AS57)*IF('Personalized Bill Menu'!$B$23="ATCO-N", IF(OR('Personalized Bill Menu'!$B$21="Fort McMurray",AND('Personalized Bill Menu'!$B$21="Spruce Grove", $A57&lt;DATE(2019, 5, 1) )),(((1+IF($T57="",0,$T57))*($N57+$P57))+ (IF($U57="", 0, $U57)*$P57)+(1+IF($T57="",0,$T57)+IF($U57="", 0, $U57))*(SUM($Y57:$AB57))),($N57+((1+IF($T57="",0,$T57)+IF($U57="", 0, $U57))*$P57)+(1+IF($T57="",0,$T57)+IF($U57="", 0, $U57))*(SUM($Y57:$AB57)))), IF('Personalized Bill Menu'!$B$23="ATCO-S",IF(OR('Personalized Bill Menu'!$B$21="Calgary",AND('Personalized Bill Menu'!$B$21="Okotoks", $A57&lt;DATE(2019, 1, 1))),((1+IF($T57="",0,$T57))*($N57+$P57+SUM($X57:$Y57,$AA57:$AC57)))+(IF($U57="",0, $U57)*($P57+SUM($X57:$Y57,$AA57:$AC57))), ((1+IF($T57="",0,$T57))*($P57+SUM($Y57,$AA57:$AC57)))+(IF($U57="",0, $U57)*($P57+SUM($X57:$Y57,$AA57:$AC57)))+$N57+IF($X57="", 0, $X57)),IF(AND('Personalized Bill Menu'!$B$21="Athabasca", $A57&lt;DATE(2019, 5, 1)),((1+IF($T57="",0,$T57)+IF($U57="", 0, $U57))*($N57+((1+SUM($X57:$Y57))*$P57)+SUM($Z57:$AA57))),((1+IF($U57="", 0, $U57))*($N57+((1+SUM($X57:$Y57))*$P57)+SUM($Z57:$AA57))) + (IF($T57="",0,$T57)*(((1+SUM($X57:$Y57))*$P57)+SUM($Z57:$AA57)))))), "")+ IF($AQ57="", 0,((1+$AS57)*$AQ57)), ""))</f>
        <v>4.5254547449999993</v>
      </c>
      <c r="F57" s="118">
        <f t="shared" ca="1" si="5"/>
        <v>92.032924561641124</v>
      </c>
      <c r="G57" s="115">
        <f t="shared" si="15"/>
        <v>26.455189623397299</v>
      </c>
      <c r="H57" s="66">
        <f t="shared" ca="1" si="16"/>
        <v>34.57624918846593</v>
      </c>
      <c r="I57" s="66">
        <f t="shared" ca="1" si="17"/>
        <v>8.0730137905364732</v>
      </c>
      <c r="J57" s="66">
        <f t="shared" ca="1" si="6"/>
        <v>11.632951742020428</v>
      </c>
      <c r="K57" s="66">
        <f t="shared" si="18"/>
        <v>6.9130000000000003</v>
      </c>
      <c r="L57" s="66">
        <f t="shared" ca="1" si="8"/>
        <v>0</v>
      </c>
      <c r="M57" s="68">
        <f t="shared" ca="1" si="9"/>
        <v>4.382520217221006</v>
      </c>
      <c r="N57" s="1290">
        <f>IF('Personalized Bill Menu'!$B$34="Natural Gas", 'Personalized Bill Menu'!$J54, IF('Personalized Bill Menu'!$B$34="Both",'Personalized Bill Menu'!$N54,""))</f>
        <v>2.165</v>
      </c>
      <c r="O57" s="70">
        <f t="shared" si="10"/>
        <v>26.455189623397299</v>
      </c>
      <c r="P57" s="89">
        <f ca="1">IF($A57="", "",IFERROR(IF(VLOOKUP($A57, INDIRECT("'" &amp; 'Personalized Bill Menu'!$B$23 &amp; "'!" &amp;"$A$4:$CA$100"), VLOOKUP(VLOOKUP(P$5,'Misc. Data &amp; Mechanisms'!$P$601:$S$632,HLOOKUP('Personalized Bill Menu'!$B$23, 'Misc. Data &amp; Mechanisms'!$P$599:$S$600, 2, FALSE), FALSE), 'Misc. Data &amp; Mechanisms'!$L$599:$N$659, 2, FALSE), FALSE) = "", "", VLOOKUP($A57, INDIRECT("'" &amp; 'Personalized Bill Menu'!$B$23 &amp; "'!" &amp;"$A$4:$CA$100"), VLOOKUP(VLOOKUP(P$5,'Misc. Data &amp; Mechanisms'!$P$601:$S$632,HLOOKUP('Personalized Bill Menu'!$B$23, 'Misc. Data &amp; Mechanisms'!$P$599:$S$600, 2, FALSE), FALSE), 'Misc. Data &amp; Mechanisms'!$L$599:$N$659, 2, FALSE), FALSE)), ""))</f>
        <v>0.76200000000000001</v>
      </c>
      <c r="Q57" s="69">
        <f ca="1">IF($A57="", "",IFERROR(IF(VLOOKUP($A57, INDIRECT("'" &amp; 'Personalized Bill Menu'!$B$23 &amp; "'!" &amp;"$A$4:$CA$100"), VLOOKUP(VLOOKUP(Q$5,'Misc. Data &amp; Mechanisms'!$P$601:$S$632,HLOOKUP('Personalized Bill Menu'!$B$23, 'Misc. Data &amp; Mechanisms'!$P$599:$S$600, 2, FALSE), FALSE), 'Misc. Data &amp; Mechanisms'!$L$599:$N$659, 2, FALSE), FALSE) = "", "", VLOOKUP($A57, INDIRECT("'" &amp; 'Personalized Bill Menu'!$B$23 &amp; "'!" &amp;"$A$4:$CA$100"), VLOOKUP(VLOOKUP(Q$5,'Misc. Data &amp; Mechanisms'!$P$601:$S$632,HLOOKUP('Personalized Bill Menu'!$B$23, 'Misc. Data &amp; Mechanisms'!$P$599:$S$600, 2, FALSE), FALSE), 'Misc. Data &amp; Mechanisms'!$L$599:$N$659, 2, FALSE), FALSE)), ""))</f>
        <v>0.81499999999999995</v>
      </c>
      <c r="R57" s="72">
        <f t="shared" ca="1" si="11"/>
        <v>9.311249188465931</v>
      </c>
      <c r="S57" s="70">
        <f t="shared" ca="1" si="12"/>
        <v>25.264999999999997</v>
      </c>
      <c r="T57" s="78">
        <f>IFERROR(IF(VLOOKUP($A57,'Misc. Data &amp; Mechanisms'!$A$63:$DY$152,HLOOKUP('Personalized Bill Menu'!$B$21&amp;"_"&amp;'Personalized Bill Menu'!$B$23&amp;"_NG_Y_1",'Misc. Data &amp; Mechanisms'!$A$55:$DY$62,8,FALSE), FALSE)="", "", VLOOKUP($A57,'Misc. Data &amp; Mechanisms'!$A$63:$DY$152,HLOOKUP('Personalized Bill Menu'!$B$21&amp;"_"&amp;'Personalized Bill Menu'!$B$23&amp;"_NG_Y_1",'Misc. Data &amp; Mechanisms'!$A$55:$DY$62,8,FALSE), FALSE)), "")</f>
        <v>0.1111</v>
      </c>
      <c r="U57" s="78" t="str">
        <f>IFERROR(IF(VLOOKUP($A57,'Misc. Data &amp; Mechanisms'!$A$63:$DY$152,HLOOKUP('Personalized Bill Menu'!$B$21&amp;"_"&amp;'Personalized Bill Menu'!$B$23&amp;"_NG_Y_2",'Misc. Data &amp; Mechanisms'!$A$55:$DY$62,8,FALSE), FALSE)="", "",VLOOKUP($A57,'Misc. Data &amp; Mechanisms'!$A$63:$DY$152,HLOOKUP('Personalized Bill Menu'!$B$21&amp;"_"&amp;'Personalized Bill Menu'!$B$23&amp;"_NG_Y_2",'Misc. Data &amp; Mechanisms'!$A$55:$DY$62,8,FALSE), FALSE)), "")</f>
        <v/>
      </c>
      <c r="V57" s="72">
        <f ca="1">IF($A57="", "", IFERROR(IF('Personalized Bill Menu'!$B$23="ATCO-N", IF(OR('Personalized Bill Menu'!$B$21="Fort McMurray",AND('Personalized Bill Menu'!$B$21="Spruce Grove", $A57&lt;DATE(2019, 5, 1))),$T57*($G57+$H57+$J57),$T57*($H57+$J57)), IF('Personalized Bill Menu'!$B$23="ATCO-S",IF(OR('Personalized Bill Menu'!$B$21="Calgary",AND('Personalized Bill Menu'!$B$21="Okotoks", $A57&lt;DATE(2019, 1, 1))),$T57*($G57+$H57+$J57), $T57*($H57+$J57-$AG57)),IF(AND('Personalized Bill Menu'!$B$21="Athabasca", $A57&lt;DATE(2019, 5, 1)),$T57*($G57+$H57+$J57+$K57),$T57*($H57+$J57+$K57)))),0))</f>
        <v>8.0730137905364732</v>
      </c>
      <c r="W57" s="72">
        <f ca="1">IF($A57="", "", IFERROR(IF('Personalized Bill Menu'!$B$23="ATCO-N", $U57*($H57+$J57), IF('Personalized Bill Menu'!$B$23="ATCO-S",$U57*($H57+$J57),$U57*($G57+$H57+$J57+$K57))),0))</f>
        <v>0</v>
      </c>
      <c r="X57" s="89" t="str">
        <f ca="1">IF($A57="", "",IFERROR(IF(VLOOKUP($A57, INDIRECT("'" &amp; 'Personalized Bill Menu'!$B$23 &amp; "'!" &amp;"$A$4:$CA$100"), VLOOKUP(VLOOKUP("RIDER RATE 1",'Misc. Data &amp; Mechanisms'!$P$601:$S$632,HLOOKUP('Personalized Bill Menu'!$B$23, 'Misc. Data &amp; Mechanisms'!$P$599:$S$600, 2, FALSE), FALSE), 'Misc. Data &amp; Mechanisms'!$L$599:$N$659, 2, FALSE), FALSE) = "", "", VLOOKUP($A57, INDIRECT("'" &amp; 'Personalized Bill Menu'!$B$23 &amp; "'!" &amp;"$A$4:$CA$100"), VLOOKUP(VLOOKUP("RIDER RATE 1",'Misc. Data &amp; Mechanisms'!$P$601:$S$632,HLOOKUP('Personalized Bill Menu'!$B$23, 'Misc. Data &amp; Mechanisms'!$P$599:$S$600, 2, FALSE), FALSE), 'Misc. Data &amp; Mechanisms'!$L$599:$N$659, 2, FALSE), FALSE)), ""))</f>
        <v/>
      </c>
      <c r="Y57" s="69" t="str">
        <f ca="1">IF($A57="", "",IFERROR(IF(VLOOKUP($A57, INDIRECT("'" &amp; 'Personalized Bill Menu'!$B$23 &amp; "'!" &amp;"$A$4:$CA$100"), VLOOKUP(VLOOKUP("RIDER RATE 2",'Misc. Data &amp; Mechanisms'!$P$601:$S$632,HLOOKUP('Personalized Bill Menu'!$B$23, 'Misc. Data &amp; Mechanisms'!$P$599:$S$600, 2, FALSE), FALSE), 'Misc. Data &amp; Mechanisms'!$L$599:$N$659, 2, FALSE), FALSE) = "", "", VLOOKUP($A57, INDIRECT("'" &amp; 'Personalized Bill Menu'!$B$23 &amp; "'!" &amp;"$A$4:$CA$100"), VLOOKUP(VLOOKUP("RIDER RATE 2",'Misc. Data &amp; Mechanisms'!$P$601:$S$632,HLOOKUP('Personalized Bill Menu'!$B$23, 'Misc. Data &amp; Mechanisms'!$P$599:$S$600, 2, FALSE), FALSE), 'Misc. Data &amp; Mechanisms'!$L$599:$N$659, 2, FALSE), FALSE)), ""))</f>
        <v/>
      </c>
      <c r="Z57" s="69" t="str">
        <f ca="1">IF($A57="", "",IFERROR(IF(VLOOKUP($A57, INDIRECT("'" &amp; 'Personalized Bill Menu'!$B$23 &amp; "'!" &amp;"$A$4:$CA$100"), VLOOKUP(VLOOKUP("RIDER RATE 3",'Misc. Data &amp; Mechanisms'!$P$601:$S$632,HLOOKUP('Personalized Bill Menu'!$B$23, 'Misc. Data &amp; Mechanisms'!$P$599:$S$600, 2, FALSE), FALSE), 'Misc. Data &amp; Mechanisms'!$L$599:$N$659, 2, FALSE), FALSE) = "", "", VLOOKUP($A57, INDIRECT("'" &amp; 'Personalized Bill Menu'!$B$23 &amp; "'!" &amp;"$A$4:$CA$100"), VLOOKUP(VLOOKUP("RIDER RATE 3",'Misc. Data &amp; Mechanisms'!$P$601:$S$632,HLOOKUP('Personalized Bill Menu'!$B$23, 'Misc. Data &amp; Mechanisms'!$P$599:$S$600, 2, FALSE), FALSE), 'Misc. Data &amp; Mechanisms'!$L$599:$N$659, 2, FALSE), FALSE)), ""))</f>
        <v/>
      </c>
      <c r="AA57" s="69" t="str">
        <f ca="1">IF($A57="", "",IFERROR(IF(VLOOKUP($A57, INDIRECT("'" &amp; 'Personalized Bill Menu'!$B$23 &amp; "'!" &amp;"$A$4:$CA$100"), VLOOKUP(VLOOKUP("RIDER RATE 4",'Misc. Data &amp; Mechanisms'!$P$601:$S$632,HLOOKUP('Personalized Bill Menu'!$B$23, 'Misc. Data &amp; Mechanisms'!$P$599:$S$600, 2, FALSE), FALSE), 'Misc. Data &amp; Mechanisms'!$L$599:$N$659, 2, FALSE), FALSE) = "", "", VLOOKUP($A57, INDIRECT("'" &amp; 'Personalized Bill Menu'!$B$23 &amp; "'!" &amp;"$A$4:$CA$100"), VLOOKUP(VLOOKUP("RIDER RATE 4",'Misc. Data &amp; Mechanisms'!$P$601:$S$632,HLOOKUP('Personalized Bill Menu'!$B$23, 'Misc. Data &amp; Mechanisms'!$P$599:$S$600, 2, FALSE), FALSE), 'Misc. Data &amp; Mechanisms'!$L$599:$N$659, 2, FALSE), FALSE)), ""))</f>
        <v/>
      </c>
      <c r="AB57" s="69">
        <f ca="1">IF($A57="", "",IFERROR(IF(VLOOKUP($A57, INDIRECT("'" &amp; 'Personalized Bill Menu'!$B$23 &amp; "'!" &amp;"$A$4:$CA$100"), VLOOKUP(VLOOKUP("RIDER RATE 5",'Misc. Data &amp; Mechanisms'!$P$601:$S$632,HLOOKUP('Personalized Bill Menu'!$B$23, 'Misc. Data &amp; Mechanisms'!$P$599:$S$600, 2, FALSE), FALSE), 'Misc. Data &amp; Mechanisms'!$L$599:$N$659, 2, FALSE), FALSE) = "", "", VLOOKUP($A57, INDIRECT("'" &amp; 'Personalized Bill Menu'!$B$23 &amp; "'!" &amp;"$A$4:$CA$100"), VLOOKUP(VLOOKUP("RIDER RATE 5",'Misc. Data &amp; Mechanisms'!$P$601:$S$632,HLOOKUP('Personalized Bill Menu'!$B$23, 'Misc. Data &amp; Mechanisms'!$P$599:$S$600, 2, FALSE), FALSE), 'Misc. Data &amp; Mechanisms'!$L$599:$N$659, 2, FALSE), FALSE)), ""))</f>
        <v>0.81399999999999995</v>
      </c>
      <c r="AC57" s="69">
        <f ca="1">IF($A57="", "",IFERROR(IF(VLOOKUP($A57, INDIRECT("'" &amp; 'Personalized Bill Menu'!$B$23 &amp; "'!" &amp;"$A$4:$CA$100"), VLOOKUP(VLOOKUP("RIDER RATE 6",'Misc. Data &amp; Mechanisms'!$P$601:$S$632,HLOOKUP('Personalized Bill Menu'!$B$23, 'Misc. Data &amp; Mechanisms'!$P$599:$S$600, 2, FALSE), FALSE), 'Misc. Data &amp; Mechanisms'!$L$599:$N$659, 2, FALSE), FALSE) = "", "", VLOOKUP($A57, INDIRECT("'" &amp; 'Personalized Bill Menu'!$B$23 &amp; "'!" &amp;"$A$4:$CA$100"), VLOOKUP(VLOOKUP("RIDER RATE 6",'Misc. Data &amp; Mechanisms'!$P$601:$S$632,HLOOKUP('Personalized Bill Menu'!$B$23, 'Misc. Data &amp; Mechanisms'!$P$599:$S$600, 2, FALSE), FALSE), 'Misc. Data &amp; Mechanisms'!$L$599:$N$659, 2, FALSE), FALSE)), ""))</f>
        <v>0.13800000000000001</v>
      </c>
      <c r="AD57" s="69" t="str">
        <f ca="1">IF($A57="", "",IFERROR(IF(VLOOKUP($A57, INDIRECT("'" &amp; 'Personalized Bill Menu'!$B$23 &amp; "'!" &amp;"$A$4:$CA$100"), VLOOKUP(VLOOKUP("RIDER RATE 7",'Misc. Data &amp; Mechanisms'!$P$601:$S$632,HLOOKUP('Personalized Bill Menu'!$B$23, 'Misc. Data &amp; Mechanisms'!$P$599:$S$600, 2, FALSE), FALSE), 'Misc. Data &amp; Mechanisms'!$L$599:$N$659, 2, FALSE), FALSE) = "", "", VLOOKUP($A57, INDIRECT("'" &amp; 'Personalized Bill Menu'!$B$23 &amp; "'!" &amp;"$A$4:$CA$100"), VLOOKUP(VLOOKUP("RIDER RATE 7",'Misc. Data &amp; Mechanisms'!$P$601:$S$632,HLOOKUP('Personalized Bill Menu'!$B$23, 'Misc. Data &amp; Mechanisms'!$P$599:$S$600, 2, FALSE), FALSE), 'Misc. Data &amp; Mechanisms'!$L$599:$N$659, 2, FALSE), FALSE)), ""))</f>
        <v/>
      </c>
      <c r="AE57" s="69" t="str">
        <f ca="1">IF($A57="", "",IFERROR(IF(VLOOKUP($A57, INDIRECT("'" &amp; 'Personalized Bill Menu'!$B$23 &amp; "'!" &amp;"$A$4:$CA$100"), VLOOKUP(VLOOKUP("RIDER RATE 8",'Misc. Data &amp; Mechanisms'!$P$601:$S$632,HLOOKUP('Personalized Bill Menu'!$B$23, 'Misc. Data &amp; Mechanisms'!$P$599:$S$600, 2, FALSE), FALSE), 'Misc. Data &amp; Mechanisms'!$L$599:$N$659, 2, FALSE), FALSE) = "", "", VLOOKUP($A57, INDIRECT("'" &amp; 'Personalized Bill Menu'!$B$23 &amp; "'!" &amp;"$A$4:$CA$100"), VLOOKUP(VLOOKUP("RIDER RATE 8",'Misc. Data &amp; Mechanisms'!$P$601:$S$632,HLOOKUP('Personalized Bill Menu'!$B$23, 'Misc. Data &amp; Mechanisms'!$P$599:$S$600, 2, FALSE), FALSE), 'Misc. Data &amp; Mechanisms'!$L$599:$N$659, 2, FALSE), FALSE)), ""))</f>
        <v/>
      </c>
      <c r="AF57" s="69" t="str">
        <f ca="1">IF($A57="", "",IFERROR(IF(VLOOKUP($A57, INDIRECT("'" &amp; 'Personalized Bill Menu'!$B$23 &amp; "'!" &amp;"$A$4:$CA$100"), VLOOKUP(VLOOKUP("RIDER RATE 9",'Misc. Data &amp; Mechanisms'!$P$601:$S$632,HLOOKUP('Personalized Bill Menu'!$B$23, 'Misc. Data &amp; Mechanisms'!$P$599:$S$600, 2, FALSE), FALSE), 'Misc. Data &amp; Mechanisms'!$L$599:$N$659, 2, FALSE), FALSE) = "", "", VLOOKUP($A57, INDIRECT("'" &amp; 'Personalized Bill Menu'!$B$23 &amp; "'!" &amp;"$A$4:$CA$100"), VLOOKUP(VLOOKUP("RIDER RATE 9",'Misc. Data &amp; Mechanisms'!$P$601:$S$632,HLOOKUP('Personalized Bill Menu'!$B$23, 'Misc. Data &amp; Mechanisms'!$P$599:$S$600, 2, FALSE), FALSE), 'Misc. Data &amp; Mechanisms'!$L$599:$N$659, 2, FALSE), FALSE)), ""))</f>
        <v/>
      </c>
      <c r="AG57" s="72">
        <f ca="1">IF($A57="", "", IFERROR(IF('Personalized Bill Menu'!$B$23="ATCO-N", ($X57*$B57) +($Y57*$C57), IF('Personalized Bill Menu'!$B$23="ATCO-S",$X57*$C57, IF($Y57="", ($X57*$H57), ($Y57*($H57+$K57))))), 0))</f>
        <v>0</v>
      </c>
      <c r="AH57" s="72">
        <f ca="1">IF($A57="", "", IFERROR(IF('Personalized Bill Menu'!$B$23="ATCO-S", $Y57*$C57, $Z57*$C57), 0))</f>
        <v>0</v>
      </c>
      <c r="AI57" s="72">
        <f ca="1">IF($A57="", "", IFERROR(IF('Personalized Bill Menu'!$B$23="ATCO-S", ($AA57*$C57)+($Z57*$B57), $AA57*$C57), 0))</f>
        <v>0</v>
      </c>
      <c r="AJ57" s="72">
        <f ca="1">IF($A57="", "", IFERROR(IF('Personalized Bill Menu'!$B$23&lt;&gt;"AltaGas",$AB57*$C57,""),0))</f>
        <v>9.946662518912424</v>
      </c>
      <c r="AK57" s="72">
        <f ca="1">IF($A57="", "", IFERROR(IF('Personalized Bill Menu'!$B$23="ATCO-S",$AC57*$C57,IF('Personalized Bill Menu'!$B$23="ATCO-N",$AC57*1,"")),0))</f>
        <v>1.6862892231080036</v>
      </c>
      <c r="AL57" s="72">
        <f ca="1">IF($A57="", "", IFERROR(IF('Personalized Bill Menu'!$B$23="ATCO-N",$AD57*$B57,IF('Personalized Bill Menu'!$B$23="ATCO-S",$AD57*1,"")),0))</f>
        <v>0</v>
      </c>
      <c r="AM57" s="72">
        <f ca="1">IF($A57="", "", IFERROR(IF('Personalized Bill Menu'!$B$23="ATCO-S",$AE57*$B57,IF('Personalized Bill Menu'!$B$23="ATCO-N",$AE57*$B57,"")),0))</f>
        <v>0</v>
      </c>
      <c r="AN57" s="70">
        <f ca="1">IF($A57="", "", IFERROR(IF('Personalized Bill Menu'!$B$23="ATCO-S",$AF57*$B57,""),0))</f>
        <v>0</v>
      </c>
      <c r="AO57" s="69">
        <f>IF('Personalized Bill Menu'!$B$34="Natural Gas", 'Personalized Bill Menu'!$K54, IF('Personalized Bill Menu'!$B$34="Both",'Personalized Bill Menu'!$O54,""))</f>
        <v>0.223</v>
      </c>
      <c r="AP57" s="72">
        <f t="shared" si="13"/>
        <v>6.9130000000000003</v>
      </c>
      <c r="AQ57" s="89" t="str">
        <f ca="1">IF($A57="", "",IF(VLOOKUP($A57, INDIRECT("'" &amp; 'Personalized Bill Menu'!$B$23 &amp; "'!" &amp;"$A$4:$CA$100"), VLOOKUP(VLOOKUP(AQ$5,'Misc. Data &amp; Mechanisms'!$P$601:$S$632,HLOOKUP('Personalized Bill Menu'!$B$23, 'Misc. Data &amp; Mechanisms'!$P$599:$S$600, 2, FALSE), FALSE), 'Misc. Data &amp; Mechanisms'!$L$599:$N$659, 2, FALSE), FALSE) = "", "", VLOOKUP($A57, INDIRECT("'" &amp; 'Personalized Bill Menu'!$B$23 &amp; "'!" &amp;"$A$4:$CA$100"), VLOOKUP(VLOOKUP(AQ$5,'Misc. Data &amp; Mechanisms'!$P$601:$S$632,HLOOKUP('Personalized Bill Menu'!$B$23, 'Misc. Data &amp; Mechanisms'!$P$599:$S$600, 2, FALSE), FALSE), 'Misc. Data &amp; Mechanisms'!$L$599:$N$659, 2, FALSE), FALSE)))</f>
        <v/>
      </c>
      <c r="AR57" s="72">
        <f t="shared" ca="1" si="14"/>
        <v>0</v>
      </c>
      <c r="AS57" s="91">
        <f ca="1">IF($A57="", "",IF(VLOOKUP($A57, INDIRECT("'" &amp; 'Personalized Bill Menu'!$B$23 &amp; "'!" &amp;"$A$4:$CA$100"), VLOOKUP(VLOOKUP(AS$5,'Misc. Data &amp; Mechanisms'!$P$601:$S$632,HLOOKUP('Personalized Bill Menu'!$B$23, 'Misc. Data &amp; Mechanisms'!$P$599:$S$600, 2, FALSE), FALSE), 'Misc. Data &amp; Mechanisms'!$L$599:$N$659, 2, FALSE), FALSE) = "", "", VLOOKUP($A57, INDIRECT("'" &amp; 'Personalized Bill Menu'!$B$23 &amp; "'!" &amp;"$A$4:$CA$100"), VLOOKUP(VLOOKUP(AS$5,'Misc. Data &amp; Mechanisms'!$P$601:$S$632,HLOOKUP('Personalized Bill Menu'!$B$23, 'Misc. Data &amp; Mechanisms'!$P$599:$S$600, 2, FALSE), FALSE), 'Misc. Data &amp; Mechanisms'!$L$599:$N$659, 2, FALSE), FALSE)))</f>
        <v>0.05</v>
      </c>
      <c r="AT57" s="116"/>
      <c r="AU57" s="116"/>
      <c r="AV57" s="116"/>
      <c r="AW57" s="116"/>
      <c r="AX57" s="116"/>
    </row>
    <row r="58" spans="1:50" s="117" customFormat="1" x14ac:dyDescent="0.3">
      <c r="A58" s="83">
        <f>'Personalized Bill Menu'!$H55</f>
        <v>42461</v>
      </c>
      <c r="B58" s="84">
        <f t="shared" si="3"/>
        <v>30</v>
      </c>
      <c r="C58" s="85">
        <f>IF('Personalized Bill Menu'!$B$34="Natural Gas", 'Personalized Bill Menu'!$I55, IF('Personalized Bill Menu'!$B$34="Both",'Personalized Bill Menu'!$M55,""))</f>
        <v>6.9950986930345893</v>
      </c>
      <c r="D58" s="66">
        <f t="shared" ca="1" si="4"/>
        <v>8.2044028704337784</v>
      </c>
      <c r="E58" s="66">
        <f ca="1">IF($C58="Not Applicable", "", IFERROR(IFERROR((1+$AS58)*IF('Personalized Bill Menu'!$B$23="ATCO-N", IF(OR('Personalized Bill Menu'!$B$21="Fort McMurray",AND('Personalized Bill Menu'!$B$21="Spruce Grove", $A58&lt;DATE(2019, 5, 1) )),(((1+IF($T58="",0,$T58))*($N58+$P58))+ (IF($U58="", 0, $U58)*$P58)+(1+IF($T58="",0,$T58)+IF($U58="", 0, $U58))*(SUM($Y58:$AB58))),($N58+((1+IF($T58="",0,$T58)+IF($U58="", 0, $U58))*$P58)+(1+IF($T58="",0,$T58)+IF($U58="", 0, $U58))*(SUM($Y58:$AB58)))), IF('Personalized Bill Menu'!$B$23="ATCO-S",IF(OR('Personalized Bill Menu'!$B$21="Calgary",AND('Personalized Bill Menu'!$B$21="Okotoks", $A58&lt;DATE(2019, 1, 1))),((1+IF($T58="",0,$T58))*($N58+$P58+SUM($X58:$Y58,$AA58:$AC58)))+(IF($U58="",0, $U58)*($P58+SUM($X58:$Y58,$AA58:$AC58))), ((1+IF($T58="",0,$T58))*($P58+SUM($Y58,$AA58:$AC58)))+(IF($U58="",0, $U58)*($P58+SUM($X58:$Y58,$AA58:$AC58)))+$N58+IF($X58="", 0, $X58)),IF(AND('Personalized Bill Menu'!$B$21="Athabasca", $A58&lt;DATE(2019, 5, 1)),((1+IF($T58="",0,$T58)+IF($U58="", 0, $U58))*($N58+((1+SUM($X58:$Y58))*$P58)+SUM($Z58:$AA58))),((1+IF($U58="", 0, $U58))*($N58+((1+SUM($X58:$Y58))*$P58)+SUM($Z58:$AA58))) + (IF($T58="",0,$T58)*(((1+SUM($X58:$Y58))*$P58)+SUM($Z58:$AA58)))))), "")+ IF($AQ58="", 0,((1+$AS58)*$AQ58)), ""))</f>
        <v>3.0053032800000001</v>
      </c>
      <c r="F58" s="118">
        <f t="shared" ca="1" si="5"/>
        <v>57.390607796100561</v>
      </c>
      <c r="G58" s="115">
        <f t="shared" si="15"/>
        <v>6.0297750733958155</v>
      </c>
      <c r="H58" s="66">
        <f t="shared" ca="1" si="16"/>
        <v>29.780265204092355</v>
      </c>
      <c r="I58" s="66">
        <f t="shared" ca="1" si="17"/>
        <v>4.7183474773148637</v>
      </c>
      <c r="J58" s="66">
        <f t="shared" ca="1" si="6"/>
        <v>6.6593339557689291</v>
      </c>
      <c r="K58" s="66">
        <f t="shared" si="18"/>
        <v>7.47</v>
      </c>
      <c r="L58" s="66">
        <f t="shared" ca="1" si="8"/>
        <v>0</v>
      </c>
      <c r="M58" s="68">
        <f t="shared" ca="1" si="9"/>
        <v>2.7328860855285981</v>
      </c>
      <c r="N58" s="1290">
        <f>IF('Personalized Bill Menu'!$B$34="Natural Gas", 'Personalized Bill Menu'!$J55, IF('Personalized Bill Menu'!$B$34="Both",'Personalized Bill Menu'!$N55,""))</f>
        <v>0.86199999999999999</v>
      </c>
      <c r="O58" s="70">
        <f t="shared" si="10"/>
        <v>6.0297750733958155</v>
      </c>
      <c r="P58" s="89">
        <f ca="1">IF($A58="", "",IFERROR(IF(VLOOKUP($A58, INDIRECT("'" &amp; 'Personalized Bill Menu'!$B$23 &amp; "'!" &amp;"$A$4:$CA$100"), VLOOKUP(VLOOKUP(P$5,'Misc. Data &amp; Mechanisms'!$P$601:$S$632,HLOOKUP('Personalized Bill Menu'!$B$23, 'Misc. Data &amp; Mechanisms'!$P$599:$S$600, 2, FALSE), FALSE), 'Misc. Data &amp; Mechanisms'!$L$599:$N$659, 2, FALSE), FALSE) = "", "", VLOOKUP($A58, INDIRECT("'" &amp; 'Personalized Bill Menu'!$B$23 &amp; "'!" &amp;"$A$4:$CA$100"), VLOOKUP(VLOOKUP(P$5,'Misc. Data &amp; Mechanisms'!$P$601:$S$632,HLOOKUP('Personalized Bill Menu'!$B$23, 'Misc. Data &amp; Mechanisms'!$P$599:$S$600, 2, FALSE), FALSE), 'Misc. Data &amp; Mechanisms'!$L$599:$N$659, 2, FALSE), FALSE)), ""))</f>
        <v>0.76200000000000001</v>
      </c>
      <c r="Q58" s="69">
        <f ca="1">IF($A58="", "",IFERROR(IF(VLOOKUP($A58, INDIRECT("'" &amp; 'Personalized Bill Menu'!$B$23 &amp; "'!" &amp;"$A$4:$CA$100"), VLOOKUP(VLOOKUP(Q$5,'Misc. Data &amp; Mechanisms'!$P$601:$S$632,HLOOKUP('Personalized Bill Menu'!$B$23, 'Misc. Data &amp; Mechanisms'!$P$599:$S$600, 2, FALSE), FALSE), 'Misc. Data &amp; Mechanisms'!$L$599:$N$659, 2, FALSE), FALSE) = "", "", VLOOKUP($A58, INDIRECT("'" &amp; 'Personalized Bill Menu'!$B$23 &amp; "'!" &amp;"$A$4:$CA$100"), VLOOKUP(VLOOKUP(Q$5,'Misc. Data &amp; Mechanisms'!$P$601:$S$632,HLOOKUP('Personalized Bill Menu'!$B$23, 'Misc. Data &amp; Mechanisms'!$P$599:$S$600, 2, FALSE), FALSE), 'Misc. Data &amp; Mechanisms'!$L$599:$N$659, 2, FALSE), FALSE)), ""))</f>
        <v>0.81499999999999995</v>
      </c>
      <c r="R58" s="72">
        <f t="shared" ca="1" si="11"/>
        <v>5.330265204092357</v>
      </c>
      <c r="S58" s="70">
        <f t="shared" ca="1" si="12"/>
        <v>24.45</v>
      </c>
      <c r="T58" s="78">
        <f>IFERROR(IF(VLOOKUP($A58,'Misc. Data &amp; Mechanisms'!$A$63:$DY$152,HLOOKUP('Personalized Bill Menu'!$B$21&amp;"_"&amp;'Personalized Bill Menu'!$B$23&amp;"_NG_Y_1",'Misc. Data &amp; Mechanisms'!$A$55:$DY$62,8,FALSE), FALSE)="", "", VLOOKUP($A58,'Misc. Data &amp; Mechanisms'!$A$63:$DY$152,HLOOKUP('Personalized Bill Menu'!$B$21&amp;"_"&amp;'Personalized Bill Menu'!$B$23&amp;"_NG_Y_1",'Misc. Data &amp; Mechanisms'!$A$55:$DY$62,8,FALSE), FALSE)), "")</f>
        <v>0.1111</v>
      </c>
      <c r="U58" s="78" t="str">
        <f>IFERROR(IF(VLOOKUP($A58,'Misc. Data &amp; Mechanisms'!$A$63:$DY$152,HLOOKUP('Personalized Bill Menu'!$B$21&amp;"_"&amp;'Personalized Bill Menu'!$B$23&amp;"_NG_Y_2",'Misc. Data &amp; Mechanisms'!$A$55:$DY$62,8,FALSE), FALSE)="", "",VLOOKUP($A58,'Misc. Data &amp; Mechanisms'!$A$63:$DY$152,HLOOKUP('Personalized Bill Menu'!$B$21&amp;"_"&amp;'Personalized Bill Menu'!$B$23&amp;"_NG_Y_2",'Misc. Data &amp; Mechanisms'!$A$55:$DY$62,8,FALSE), FALSE)), "")</f>
        <v/>
      </c>
      <c r="V58" s="72">
        <f ca="1">IF($A58="", "", IFERROR(IF('Personalized Bill Menu'!$B$23="ATCO-N", IF(OR('Personalized Bill Menu'!$B$21="Fort McMurray",AND('Personalized Bill Menu'!$B$21="Spruce Grove", $A58&lt;DATE(2019, 5, 1))),$T58*($G58+$H58+$J58),$T58*($H58+$J58)), IF('Personalized Bill Menu'!$B$23="ATCO-S",IF(OR('Personalized Bill Menu'!$B$21="Calgary",AND('Personalized Bill Menu'!$B$21="Okotoks", $A58&lt;DATE(2019, 1, 1))),$T58*($G58+$H58+$J58), $T58*($H58+$J58-$AG58)),IF(AND('Personalized Bill Menu'!$B$21="Athabasca", $A58&lt;DATE(2019, 5, 1)),$T58*($G58+$H58+$J58+$K58),$T58*($H58+$J58+$K58)))),0))</f>
        <v>4.7183474773148637</v>
      </c>
      <c r="W58" s="72">
        <f ca="1">IF($A58="", "", IFERROR(IF('Personalized Bill Menu'!$B$23="ATCO-N", $U58*($H58+$J58), IF('Personalized Bill Menu'!$B$23="ATCO-S",$U58*($H58+$J58),$U58*($G58+$H58+$J58+$K58))),0))</f>
        <v>0</v>
      </c>
      <c r="X58" s="89" t="str">
        <f ca="1">IF($A58="", "",IFERROR(IF(VLOOKUP($A58, INDIRECT("'" &amp; 'Personalized Bill Menu'!$B$23 &amp; "'!" &amp;"$A$4:$CA$100"), VLOOKUP(VLOOKUP("RIDER RATE 1",'Misc. Data &amp; Mechanisms'!$P$601:$S$632,HLOOKUP('Personalized Bill Menu'!$B$23, 'Misc. Data &amp; Mechanisms'!$P$599:$S$600, 2, FALSE), FALSE), 'Misc. Data &amp; Mechanisms'!$L$599:$N$659, 2, FALSE), FALSE) = "", "", VLOOKUP($A58, INDIRECT("'" &amp; 'Personalized Bill Menu'!$B$23 &amp; "'!" &amp;"$A$4:$CA$100"), VLOOKUP(VLOOKUP("RIDER RATE 1",'Misc. Data &amp; Mechanisms'!$P$601:$S$632,HLOOKUP('Personalized Bill Menu'!$B$23, 'Misc. Data &amp; Mechanisms'!$P$599:$S$600, 2, FALSE), FALSE), 'Misc. Data &amp; Mechanisms'!$L$599:$N$659, 2, FALSE), FALSE)), ""))</f>
        <v/>
      </c>
      <c r="Y58" s="69" t="str">
        <f ca="1">IF($A58="", "",IFERROR(IF(VLOOKUP($A58, INDIRECT("'" &amp; 'Personalized Bill Menu'!$B$23 &amp; "'!" &amp;"$A$4:$CA$100"), VLOOKUP(VLOOKUP("RIDER RATE 2",'Misc. Data &amp; Mechanisms'!$P$601:$S$632,HLOOKUP('Personalized Bill Menu'!$B$23, 'Misc. Data &amp; Mechanisms'!$P$599:$S$600, 2, FALSE), FALSE), 'Misc. Data &amp; Mechanisms'!$L$599:$N$659, 2, FALSE), FALSE) = "", "", VLOOKUP($A58, INDIRECT("'" &amp; 'Personalized Bill Menu'!$B$23 &amp; "'!" &amp;"$A$4:$CA$100"), VLOOKUP(VLOOKUP("RIDER RATE 2",'Misc. Data &amp; Mechanisms'!$P$601:$S$632,HLOOKUP('Personalized Bill Menu'!$B$23, 'Misc. Data &amp; Mechanisms'!$P$599:$S$600, 2, FALSE), FALSE), 'Misc. Data &amp; Mechanisms'!$L$599:$N$659, 2, FALSE), FALSE)), ""))</f>
        <v/>
      </c>
      <c r="Z58" s="69" t="str">
        <f ca="1">IF($A58="", "",IFERROR(IF(VLOOKUP($A58, INDIRECT("'" &amp; 'Personalized Bill Menu'!$B$23 &amp; "'!" &amp;"$A$4:$CA$100"), VLOOKUP(VLOOKUP("RIDER RATE 3",'Misc. Data &amp; Mechanisms'!$P$601:$S$632,HLOOKUP('Personalized Bill Menu'!$B$23, 'Misc. Data &amp; Mechanisms'!$P$599:$S$600, 2, FALSE), FALSE), 'Misc. Data &amp; Mechanisms'!$L$599:$N$659, 2, FALSE), FALSE) = "", "", VLOOKUP($A58, INDIRECT("'" &amp; 'Personalized Bill Menu'!$B$23 &amp; "'!" &amp;"$A$4:$CA$100"), VLOOKUP(VLOOKUP("RIDER RATE 3",'Misc. Data &amp; Mechanisms'!$P$601:$S$632,HLOOKUP('Personalized Bill Menu'!$B$23, 'Misc. Data &amp; Mechanisms'!$P$599:$S$600, 2, FALSE), FALSE), 'Misc. Data &amp; Mechanisms'!$L$599:$N$659, 2, FALSE), FALSE)), ""))</f>
        <v/>
      </c>
      <c r="AA58" s="69" t="str">
        <f ca="1">IF($A58="", "",IFERROR(IF(VLOOKUP($A58, INDIRECT("'" &amp; 'Personalized Bill Menu'!$B$23 &amp; "'!" &amp;"$A$4:$CA$100"), VLOOKUP(VLOOKUP("RIDER RATE 4",'Misc. Data &amp; Mechanisms'!$P$601:$S$632,HLOOKUP('Personalized Bill Menu'!$B$23, 'Misc. Data &amp; Mechanisms'!$P$599:$S$600, 2, FALSE), FALSE), 'Misc. Data &amp; Mechanisms'!$L$599:$N$659, 2, FALSE), FALSE) = "", "", VLOOKUP($A58, INDIRECT("'" &amp; 'Personalized Bill Menu'!$B$23 &amp; "'!" &amp;"$A$4:$CA$100"), VLOOKUP(VLOOKUP("RIDER RATE 4",'Misc. Data &amp; Mechanisms'!$P$601:$S$632,HLOOKUP('Personalized Bill Menu'!$B$23, 'Misc. Data &amp; Mechanisms'!$P$599:$S$600, 2, FALSE), FALSE), 'Misc. Data &amp; Mechanisms'!$L$599:$N$659, 2, FALSE), FALSE)), ""))</f>
        <v/>
      </c>
      <c r="AB58" s="69">
        <f ca="1">IF($A58="", "",IFERROR(IF(VLOOKUP($A58, INDIRECT("'" &amp; 'Personalized Bill Menu'!$B$23 &amp; "'!" &amp;"$A$4:$CA$100"), VLOOKUP(VLOOKUP("RIDER RATE 5",'Misc. Data &amp; Mechanisms'!$P$601:$S$632,HLOOKUP('Personalized Bill Menu'!$B$23, 'Misc. Data &amp; Mechanisms'!$P$599:$S$600, 2, FALSE), FALSE), 'Misc. Data &amp; Mechanisms'!$L$599:$N$659, 2, FALSE), FALSE) = "", "", VLOOKUP($A58, INDIRECT("'" &amp; 'Personalized Bill Menu'!$B$23 &amp; "'!" &amp;"$A$4:$CA$100"), VLOOKUP(VLOOKUP("RIDER RATE 5",'Misc. Data &amp; Mechanisms'!$P$601:$S$632,HLOOKUP('Personalized Bill Menu'!$B$23, 'Misc. Data &amp; Mechanisms'!$P$599:$S$600, 2, FALSE), FALSE), 'Misc. Data &amp; Mechanisms'!$L$599:$N$659, 2, FALSE), FALSE)), ""))</f>
        <v>0.81399999999999995</v>
      </c>
      <c r="AC58" s="69">
        <f ca="1">IF($A58="", "",IFERROR(IF(VLOOKUP($A58, INDIRECT("'" &amp; 'Personalized Bill Menu'!$B$23 &amp; "'!" &amp;"$A$4:$CA$100"), VLOOKUP(VLOOKUP("RIDER RATE 6",'Misc. Data &amp; Mechanisms'!$P$601:$S$632,HLOOKUP('Personalized Bill Menu'!$B$23, 'Misc. Data &amp; Mechanisms'!$P$599:$S$600, 2, FALSE), FALSE), 'Misc. Data &amp; Mechanisms'!$L$599:$N$659, 2, FALSE), FALSE) = "", "", VLOOKUP($A58, INDIRECT("'" &amp; 'Personalized Bill Menu'!$B$23 &amp; "'!" &amp;"$A$4:$CA$100"), VLOOKUP(VLOOKUP("RIDER RATE 6",'Misc. Data &amp; Mechanisms'!$P$601:$S$632,HLOOKUP('Personalized Bill Menu'!$B$23, 'Misc. Data &amp; Mechanisms'!$P$599:$S$600, 2, FALSE), FALSE), 'Misc. Data &amp; Mechanisms'!$L$599:$N$659, 2, FALSE), FALSE)), ""))</f>
        <v>0.13800000000000001</v>
      </c>
      <c r="AD58" s="69" t="str">
        <f ca="1">IF($A58="", "",IFERROR(IF(VLOOKUP($A58, INDIRECT("'" &amp; 'Personalized Bill Menu'!$B$23 &amp; "'!" &amp;"$A$4:$CA$100"), VLOOKUP(VLOOKUP("RIDER RATE 7",'Misc. Data &amp; Mechanisms'!$P$601:$S$632,HLOOKUP('Personalized Bill Menu'!$B$23, 'Misc. Data &amp; Mechanisms'!$P$599:$S$600, 2, FALSE), FALSE), 'Misc. Data &amp; Mechanisms'!$L$599:$N$659, 2, FALSE), FALSE) = "", "", VLOOKUP($A58, INDIRECT("'" &amp; 'Personalized Bill Menu'!$B$23 &amp; "'!" &amp;"$A$4:$CA$100"), VLOOKUP(VLOOKUP("RIDER RATE 7",'Misc. Data &amp; Mechanisms'!$P$601:$S$632,HLOOKUP('Personalized Bill Menu'!$B$23, 'Misc. Data &amp; Mechanisms'!$P$599:$S$600, 2, FALSE), FALSE), 'Misc. Data &amp; Mechanisms'!$L$599:$N$659, 2, FALSE), FALSE)), ""))</f>
        <v/>
      </c>
      <c r="AE58" s="69" t="str">
        <f ca="1">IF($A58="", "",IFERROR(IF(VLOOKUP($A58, INDIRECT("'" &amp; 'Personalized Bill Menu'!$B$23 &amp; "'!" &amp;"$A$4:$CA$100"), VLOOKUP(VLOOKUP("RIDER RATE 8",'Misc. Data &amp; Mechanisms'!$P$601:$S$632,HLOOKUP('Personalized Bill Menu'!$B$23, 'Misc. Data &amp; Mechanisms'!$P$599:$S$600, 2, FALSE), FALSE), 'Misc. Data &amp; Mechanisms'!$L$599:$N$659, 2, FALSE), FALSE) = "", "", VLOOKUP($A58, INDIRECT("'" &amp; 'Personalized Bill Menu'!$B$23 &amp; "'!" &amp;"$A$4:$CA$100"), VLOOKUP(VLOOKUP("RIDER RATE 8",'Misc. Data &amp; Mechanisms'!$P$601:$S$632,HLOOKUP('Personalized Bill Menu'!$B$23, 'Misc. Data &amp; Mechanisms'!$P$599:$S$600, 2, FALSE), FALSE), 'Misc. Data &amp; Mechanisms'!$L$599:$N$659, 2, FALSE), FALSE)), ""))</f>
        <v/>
      </c>
      <c r="AF58" s="69" t="str">
        <f ca="1">IF($A58="", "",IFERROR(IF(VLOOKUP($A58, INDIRECT("'" &amp; 'Personalized Bill Menu'!$B$23 &amp; "'!" &amp;"$A$4:$CA$100"), VLOOKUP(VLOOKUP("RIDER RATE 9",'Misc. Data &amp; Mechanisms'!$P$601:$S$632,HLOOKUP('Personalized Bill Menu'!$B$23, 'Misc. Data &amp; Mechanisms'!$P$599:$S$600, 2, FALSE), FALSE), 'Misc. Data &amp; Mechanisms'!$L$599:$N$659, 2, FALSE), FALSE) = "", "", VLOOKUP($A58, INDIRECT("'" &amp; 'Personalized Bill Menu'!$B$23 &amp; "'!" &amp;"$A$4:$CA$100"), VLOOKUP(VLOOKUP("RIDER RATE 9",'Misc. Data &amp; Mechanisms'!$P$601:$S$632,HLOOKUP('Personalized Bill Menu'!$B$23, 'Misc. Data &amp; Mechanisms'!$P$599:$S$600, 2, FALSE), FALSE), 'Misc. Data &amp; Mechanisms'!$L$599:$N$659, 2, FALSE), FALSE)), ""))</f>
        <v/>
      </c>
      <c r="AG58" s="72">
        <f ca="1">IF($A58="", "", IFERROR(IF('Personalized Bill Menu'!$B$23="ATCO-N", ($X58*$B58) +($Y58*$C58), IF('Personalized Bill Menu'!$B$23="ATCO-S",$X58*$C58, IF($Y58="", ($X58*$H58), ($Y58*($H58+$K58))))), 0))</f>
        <v>0</v>
      </c>
      <c r="AH58" s="72">
        <f ca="1">IF($A58="", "", IFERROR(IF('Personalized Bill Menu'!$B$23="ATCO-S", $Y58*$C58, $Z58*$C58), 0))</f>
        <v>0</v>
      </c>
      <c r="AI58" s="72">
        <f ca="1">IF($A58="", "", IFERROR(IF('Personalized Bill Menu'!$B$23="ATCO-S", ($AA58*$C58)+($Z58*$B58), $AA58*$C58), 0))</f>
        <v>0</v>
      </c>
      <c r="AJ58" s="72">
        <f ca="1">IF($A58="", "", IFERROR(IF('Personalized Bill Menu'!$B$23&lt;&gt;"AltaGas",$AB58*$C58,""),0))</f>
        <v>5.6940103361301553</v>
      </c>
      <c r="AK58" s="72">
        <f ca="1">IF($A58="", "", IFERROR(IF('Personalized Bill Menu'!$B$23="ATCO-S",$AC58*$C58,IF('Personalized Bill Menu'!$B$23="ATCO-N",$AC58*1,"")),0))</f>
        <v>0.96532361963877344</v>
      </c>
      <c r="AL58" s="72">
        <f ca="1">IF($A58="", "", IFERROR(IF('Personalized Bill Menu'!$B$23="ATCO-N",$AD58*$B58,IF('Personalized Bill Menu'!$B$23="ATCO-S",$AD58*1,"")),0))</f>
        <v>0</v>
      </c>
      <c r="AM58" s="72">
        <f ca="1">IF($A58="", "", IFERROR(IF('Personalized Bill Menu'!$B$23="ATCO-S",$AE58*$B58,IF('Personalized Bill Menu'!$B$23="ATCO-N",$AE58*$B58,"")),0))</f>
        <v>0</v>
      </c>
      <c r="AN58" s="70">
        <f ca="1">IF($A58="", "", IFERROR(IF('Personalized Bill Menu'!$B$23="ATCO-S",$AF58*$B58,""),0))</f>
        <v>0</v>
      </c>
      <c r="AO58" s="69">
        <f>IF('Personalized Bill Menu'!$B$34="Natural Gas", 'Personalized Bill Menu'!$K55, IF('Personalized Bill Menu'!$B$34="Both",'Personalized Bill Menu'!$O55,""))</f>
        <v>0.249</v>
      </c>
      <c r="AP58" s="72">
        <f t="shared" si="13"/>
        <v>7.47</v>
      </c>
      <c r="AQ58" s="89" t="str">
        <f ca="1">IF($A58="", "",IF(VLOOKUP($A58, INDIRECT("'" &amp; 'Personalized Bill Menu'!$B$23 &amp; "'!" &amp;"$A$4:$CA$100"), VLOOKUP(VLOOKUP(AQ$5,'Misc. Data &amp; Mechanisms'!$P$601:$S$632,HLOOKUP('Personalized Bill Menu'!$B$23, 'Misc. Data &amp; Mechanisms'!$P$599:$S$600, 2, FALSE), FALSE), 'Misc. Data &amp; Mechanisms'!$L$599:$N$659, 2, FALSE), FALSE) = "", "", VLOOKUP($A58, INDIRECT("'" &amp; 'Personalized Bill Menu'!$B$23 &amp; "'!" &amp;"$A$4:$CA$100"), VLOOKUP(VLOOKUP(AQ$5,'Misc. Data &amp; Mechanisms'!$P$601:$S$632,HLOOKUP('Personalized Bill Menu'!$B$23, 'Misc. Data &amp; Mechanisms'!$P$599:$S$600, 2, FALSE), FALSE), 'Misc. Data &amp; Mechanisms'!$L$599:$N$659, 2, FALSE), FALSE)))</f>
        <v/>
      </c>
      <c r="AR58" s="72">
        <f t="shared" ca="1" si="14"/>
        <v>0</v>
      </c>
      <c r="AS58" s="91">
        <f ca="1">IF($A58="", "",IF(VLOOKUP($A58, INDIRECT("'" &amp; 'Personalized Bill Menu'!$B$23 &amp; "'!" &amp;"$A$4:$CA$100"), VLOOKUP(VLOOKUP(AS$5,'Misc. Data &amp; Mechanisms'!$P$601:$S$632,HLOOKUP('Personalized Bill Menu'!$B$23, 'Misc. Data &amp; Mechanisms'!$P$599:$S$600, 2, FALSE), FALSE), 'Misc. Data &amp; Mechanisms'!$L$599:$N$659, 2, FALSE), FALSE) = "", "", VLOOKUP($A58, INDIRECT("'" &amp; 'Personalized Bill Menu'!$B$23 &amp; "'!" &amp;"$A$4:$CA$100"), VLOOKUP(VLOOKUP(AS$5,'Misc. Data &amp; Mechanisms'!$P$601:$S$632,HLOOKUP('Personalized Bill Menu'!$B$23, 'Misc. Data &amp; Mechanisms'!$P$599:$S$600, 2, FALSE), FALSE), 'Misc. Data &amp; Mechanisms'!$L$599:$N$659, 2, FALSE), FALSE)))</f>
        <v>0.05</v>
      </c>
      <c r="AT58" s="116"/>
      <c r="AU58" s="116"/>
      <c r="AV58" s="116"/>
      <c r="AW58" s="116"/>
      <c r="AX58" s="116"/>
    </row>
    <row r="59" spans="1:50" x14ac:dyDescent="0.3">
      <c r="A59" s="83">
        <f>'Personalized Bill Menu'!$H56</f>
        <v>42491</v>
      </c>
      <c r="B59" s="84">
        <f t="shared" si="3"/>
        <v>31</v>
      </c>
      <c r="C59" s="85">
        <f>IF('Personalized Bill Menu'!$B$34="Natural Gas", 'Personalized Bill Menu'!$I56, IF('Personalized Bill Menu'!$B$34="Both",'Personalized Bill Menu'!$M56,""))</f>
        <v>6.1900362861615976</v>
      </c>
      <c r="D59" s="66">
        <f t="shared" ca="1" si="4"/>
        <v>8.9982631263652078</v>
      </c>
      <c r="E59" s="66">
        <f ca="1">IF($C59="Not Applicable", "", IFERROR(IFERROR((1+$AS59)*IF('Personalized Bill Menu'!$B$23="ATCO-N", IF(OR('Personalized Bill Menu'!$B$21="Fort McMurray",AND('Personalized Bill Menu'!$B$21="Spruce Grove", $A59&lt;DATE(2019, 5, 1) )),(((1+IF($T59="",0,$T59))*($N59+$P59))+ (IF($U59="", 0, $U59)*$P59)+(1+IF($T59="",0,$T59)+IF($U59="", 0, $U59))*(SUM($Y59:$AB59))),($N59+((1+IF($T59="",0,$T59)+IF($U59="", 0, $U59))*$P59)+(1+IF($T59="",0,$T59)+IF($U59="", 0, $U59))*(SUM($Y59:$AB59)))), IF('Personalized Bill Menu'!$B$23="ATCO-S",IF(OR('Personalized Bill Menu'!$B$21="Calgary",AND('Personalized Bill Menu'!$B$21="Okotoks", $A59&lt;DATE(2019, 1, 1))),((1+IF($T59="",0,$T59))*($N59+$P59+SUM($X59:$Y59,$AA59:$AC59)))+(IF($U59="",0, $U59)*($P59+SUM($X59:$Y59,$AA59:$AC59))), ((1+IF($T59="",0,$T59))*($P59+SUM($Y59,$AA59:$AC59)))+(IF($U59="",0, $U59)*($P59+SUM($X59:$Y59,$AA59:$AC59)))+$N59+IF($X59="", 0, $X59)),IF(AND('Personalized Bill Menu'!$B$21="Athabasca", $A59&lt;DATE(2019, 5, 1)),((1+IF($T59="",0,$T59)+IF($U59="", 0, $U59))*($N59+((1+SUM($X59:$Y59))*$P59)+SUM($Z59:$AA59))),((1+IF($U59="", 0, $U59))*($N59+((1+SUM($X59:$Y59))*$P59)+SUM($Z59:$AA59))) + (IF($T59="",0,$T59)*(((1+SUM($X59:$Y59))*$P59)+SUM($Z59:$AA59)))))), "")+ IF($AQ59="", 0,((1+$AS59)*$AQ59)), ""))</f>
        <v>2.9271373949999999</v>
      </c>
      <c r="F59" s="118">
        <f t="shared" ca="1" si="5"/>
        <v>55.699575264630532</v>
      </c>
      <c r="G59" s="115">
        <f t="shared" si="15"/>
        <v>4.9210788474984701</v>
      </c>
      <c r="H59" s="66">
        <f t="shared" ca="1" si="16"/>
        <v>29.981807650055135</v>
      </c>
      <c r="I59" s="66">
        <f t="shared" ca="1" si="17"/>
        <v>4.5324134957639162</v>
      </c>
      <c r="J59" s="66">
        <f t="shared" ca="1" si="6"/>
        <v>5.8929145444258406</v>
      </c>
      <c r="K59" s="66">
        <f t="shared" si="18"/>
        <v>7.7190000000000003</v>
      </c>
      <c r="L59" s="66">
        <f t="shared" ca="1" si="8"/>
        <v>0</v>
      </c>
      <c r="M59" s="68">
        <f t="shared" ca="1" si="9"/>
        <v>2.6523607268871685</v>
      </c>
      <c r="N59" s="1290">
        <f>IF('Personalized Bill Menu'!$B$34="Natural Gas", 'Personalized Bill Menu'!$J56, IF('Personalized Bill Menu'!$B$34="Both",'Personalized Bill Menu'!$N56,""))</f>
        <v>0.79500000000000004</v>
      </c>
      <c r="O59" s="70">
        <f t="shared" si="10"/>
        <v>4.9210788474984701</v>
      </c>
      <c r="P59" s="89">
        <f ca="1">IF($A59="", "",IFERROR(IF(VLOOKUP($A59, INDIRECT("'" &amp; 'Personalized Bill Menu'!$B$23 &amp; "'!" &amp;"$A$4:$CA$100"), VLOOKUP(VLOOKUP(P$5,'Misc. Data &amp; Mechanisms'!$P$601:$S$632,HLOOKUP('Personalized Bill Menu'!$B$23, 'Misc. Data &amp; Mechanisms'!$P$599:$S$600, 2, FALSE), FALSE), 'Misc. Data &amp; Mechanisms'!$L$599:$N$659, 2, FALSE), FALSE) = "", "", VLOOKUP($A59, INDIRECT("'" &amp; 'Personalized Bill Menu'!$B$23 &amp; "'!" &amp;"$A$4:$CA$100"), VLOOKUP(VLOOKUP(P$5,'Misc. Data &amp; Mechanisms'!$P$601:$S$632,HLOOKUP('Personalized Bill Menu'!$B$23, 'Misc. Data &amp; Mechanisms'!$P$599:$S$600, 2, FALSE), FALSE), 'Misc. Data &amp; Mechanisms'!$L$599:$N$659, 2, FALSE), FALSE)), ""))</f>
        <v>0.76200000000000001</v>
      </c>
      <c r="Q59" s="69">
        <f ca="1">IF($A59="", "",IFERROR(IF(VLOOKUP($A59, INDIRECT("'" &amp; 'Personalized Bill Menu'!$B$23 &amp; "'!" &amp;"$A$4:$CA$100"), VLOOKUP(VLOOKUP(Q$5,'Misc. Data &amp; Mechanisms'!$P$601:$S$632,HLOOKUP('Personalized Bill Menu'!$B$23, 'Misc. Data &amp; Mechanisms'!$P$599:$S$600, 2, FALSE), FALSE), 'Misc. Data &amp; Mechanisms'!$L$599:$N$659, 2, FALSE), FALSE) = "", "", VLOOKUP($A59, INDIRECT("'" &amp; 'Personalized Bill Menu'!$B$23 &amp; "'!" &amp;"$A$4:$CA$100"), VLOOKUP(VLOOKUP(Q$5,'Misc. Data &amp; Mechanisms'!$P$601:$S$632,HLOOKUP('Personalized Bill Menu'!$B$23, 'Misc. Data &amp; Mechanisms'!$P$599:$S$600, 2, FALSE), FALSE), 'Misc. Data &amp; Mechanisms'!$L$599:$N$659, 2, FALSE), FALSE)), ""))</f>
        <v>0.81499999999999995</v>
      </c>
      <c r="R59" s="72">
        <f t="shared" ca="1" si="11"/>
        <v>4.716807650055137</v>
      </c>
      <c r="S59" s="70">
        <f t="shared" ca="1" si="12"/>
        <v>25.264999999999997</v>
      </c>
      <c r="T59" s="78">
        <f>IFERROR(IF(VLOOKUP($A59,'Misc. Data &amp; Mechanisms'!$A$63:$DY$152,HLOOKUP('Personalized Bill Menu'!$B$21&amp;"_"&amp;'Personalized Bill Menu'!$B$23&amp;"_NG_Y_1",'Misc. Data &amp; Mechanisms'!$A$55:$DY$62,8,FALSE), FALSE)="", "", VLOOKUP($A59,'Misc. Data &amp; Mechanisms'!$A$63:$DY$152,HLOOKUP('Personalized Bill Menu'!$B$21&amp;"_"&amp;'Personalized Bill Menu'!$B$23&amp;"_NG_Y_1",'Misc. Data &amp; Mechanisms'!$A$55:$DY$62,8,FALSE), FALSE)), "")</f>
        <v>0.1111</v>
      </c>
      <c r="U59" s="78" t="str">
        <f>IFERROR(IF(VLOOKUP($A59,'Misc. Data &amp; Mechanisms'!$A$63:$DY$152,HLOOKUP('Personalized Bill Menu'!$B$21&amp;"_"&amp;'Personalized Bill Menu'!$B$23&amp;"_NG_Y_2",'Misc. Data &amp; Mechanisms'!$A$55:$DY$62,8,FALSE), FALSE)="", "",VLOOKUP($A59,'Misc. Data &amp; Mechanisms'!$A$63:$DY$152,HLOOKUP('Personalized Bill Menu'!$B$21&amp;"_"&amp;'Personalized Bill Menu'!$B$23&amp;"_NG_Y_2",'Misc. Data &amp; Mechanisms'!$A$55:$DY$62,8,FALSE), FALSE)), "")</f>
        <v/>
      </c>
      <c r="V59" s="72">
        <f ca="1">IF($A59="", "", IFERROR(IF('Personalized Bill Menu'!$B$23="ATCO-N", IF(OR('Personalized Bill Menu'!$B$21="Fort McMurray",AND('Personalized Bill Menu'!$B$21="Spruce Grove", $A59&lt;DATE(2019, 5, 1))),$T59*($G59+$H59+$J59),$T59*($H59+$J59)), IF('Personalized Bill Menu'!$B$23="ATCO-S",IF(OR('Personalized Bill Menu'!$B$21="Calgary",AND('Personalized Bill Menu'!$B$21="Okotoks", $A59&lt;DATE(2019, 1, 1))),$T59*($G59+$H59+$J59), $T59*($H59+$J59-$AG59)),IF(AND('Personalized Bill Menu'!$B$21="Athabasca", $A59&lt;DATE(2019, 5, 1)),$T59*($G59+$H59+$J59+$K59),$T59*($H59+$J59+$K59)))),0))</f>
        <v>4.5324134957639162</v>
      </c>
      <c r="W59" s="72">
        <f ca="1">IF($A59="", "", IFERROR(IF('Personalized Bill Menu'!$B$23="ATCO-N", $U59*($H59+$J59), IF('Personalized Bill Menu'!$B$23="ATCO-S",$U59*($H59+$J59),$U59*($G59+$H59+$J59+$K59))),0))</f>
        <v>0</v>
      </c>
      <c r="X59" s="89" t="str">
        <f ca="1">IF($A59="", "",IFERROR(IF(VLOOKUP($A59, INDIRECT("'" &amp; 'Personalized Bill Menu'!$B$23 &amp; "'!" &amp;"$A$4:$CA$100"), VLOOKUP(VLOOKUP("RIDER RATE 1",'Misc. Data &amp; Mechanisms'!$P$601:$S$632,HLOOKUP('Personalized Bill Menu'!$B$23, 'Misc. Data &amp; Mechanisms'!$P$599:$S$600, 2, FALSE), FALSE), 'Misc. Data &amp; Mechanisms'!$L$599:$N$659, 2, FALSE), FALSE) = "", "", VLOOKUP($A59, INDIRECT("'" &amp; 'Personalized Bill Menu'!$B$23 &amp; "'!" &amp;"$A$4:$CA$100"), VLOOKUP(VLOOKUP("RIDER RATE 1",'Misc. Data &amp; Mechanisms'!$P$601:$S$632,HLOOKUP('Personalized Bill Menu'!$B$23, 'Misc. Data &amp; Mechanisms'!$P$599:$S$600, 2, FALSE), FALSE), 'Misc. Data &amp; Mechanisms'!$L$599:$N$659, 2, FALSE), FALSE)), ""))</f>
        <v/>
      </c>
      <c r="Y59" s="69" t="str">
        <f ca="1">IF($A59="", "",IFERROR(IF(VLOOKUP($A59, INDIRECT("'" &amp; 'Personalized Bill Menu'!$B$23 &amp; "'!" &amp;"$A$4:$CA$100"), VLOOKUP(VLOOKUP("RIDER RATE 2",'Misc. Data &amp; Mechanisms'!$P$601:$S$632,HLOOKUP('Personalized Bill Menu'!$B$23, 'Misc. Data &amp; Mechanisms'!$P$599:$S$600, 2, FALSE), FALSE), 'Misc. Data &amp; Mechanisms'!$L$599:$N$659, 2, FALSE), FALSE) = "", "", VLOOKUP($A59, INDIRECT("'" &amp; 'Personalized Bill Menu'!$B$23 &amp; "'!" &amp;"$A$4:$CA$100"), VLOOKUP(VLOOKUP("RIDER RATE 2",'Misc. Data &amp; Mechanisms'!$P$601:$S$632,HLOOKUP('Personalized Bill Menu'!$B$23, 'Misc. Data &amp; Mechanisms'!$P$599:$S$600, 2, FALSE), FALSE), 'Misc. Data &amp; Mechanisms'!$L$599:$N$659, 2, FALSE), FALSE)), ""))</f>
        <v/>
      </c>
      <c r="Z59" s="69" t="str">
        <f ca="1">IF($A59="", "",IFERROR(IF(VLOOKUP($A59, INDIRECT("'" &amp; 'Personalized Bill Menu'!$B$23 &amp; "'!" &amp;"$A$4:$CA$100"), VLOOKUP(VLOOKUP("RIDER RATE 3",'Misc. Data &amp; Mechanisms'!$P$601:$S$632,HLOOKUP('Personalized Bill Menu'!$B$23, 'Misc. Data &amp; Mechanisms'!$P$599:$S$600, 2, FALSE), FALSE), 'Misc. Data &amp; Mechanisms'!$L$599:$N$659, 2, FALSE), FALSE) = "", "", VLOOKUP($A59, INDIRECT("'" &amp; 'Personalized Bill Menu'!$B$23 &amp; "'!" &amp;"$A$4:$CA$100"), VLOOKUP(VLOOKUP("RIDER RATE 3",'Misc. Data &amp; Mechanisms'!$P$601:$S$632,HLOOKUP('Personalized Bill Menu'!$B$23, 'Misc. Data &amp; Mechanisms'!$P$599:$S$600, 2, FALSE), FALSE), 'Misc. Data &amp; Mechanisms'!$L$599:$N$659, 2, FALSE), FALSE)), ""))</f>
        <v/>
      </c>
      <c r="AA59" s="69" t="str">
        <f ca="1">IF($A59="", "",IFERROR(IF(VLOOKUP($A59, INDIRECT("'" &amp; 'Personalized Bill Menu'!$B$23 &amp; "'!" &amp;"$A$4:$CA$100"), VLOOKUP(VLOOKUP("RIDER RATE 4",'Misc. Data &amp; Mechanisms'!$P$601:$S$632,HLOOKUP('Personalized Bill Menu'!$B$23, 'Misc. Data &amp; Mechanisms'!$P$599:$S$600, 2, FALSE), FALSE), 'Misc. Data &amp; Mechanisms'!$L$599:$N$659, 2, FALSE), FALSE) = "", "", VLOOKUP($A59, INDIRECT("'" &amp; 'Personalized Bill Menu'!$B$23 &amp; "'!" &amp;"$A$4:$CA$100"), VLOOKUP(VLOOKUP("RIDER RATE 4",'Misc. Data &amp; Mechanisms'!$P$601:$S$632,HLOOKUP('Personalized Bill Menu'!$B$23, 'Misc. Data &amp; Mechanisms'!$P$599:$S$600, 2, FALSE), FALSE), 'Misc. Data &amp; Mechanisms'!$L$599:$N$659, 2, FALSE), FALSE)), ""))</f>
        <v/>
      </c>
      <c r="AB59" s="69">
        <f ca="1">IF($A59="", "",IFERROR(IF(VLOOKUP($A59, INDIRECT("'" &amp; 'Personalized Bill Menu'!$B$23 &amp; "'!" &amp;"$A$4:$CA$100"), VLOOKUP(VLOOKUP("RIDER RATE 5",'Misc. Data &amp; Mechanisms'!$P$601:$S$632,HLOOKUP('Personalized Bill Menu'!$B$23, 'Misc. Data &amp; Mechanisms'!$P$599:$S$600, 2, FALSE), FALSE), 'Misc. Data &amp; Mechanisms'!$L$599:$N$659, 2, FALSE), FALSE) = "", "", VLOOKUP($A59, INDIRECT("'" &amp; 'Personalized Bill Menu'!$B$23 &amp; "'!" &amp;"$A$4:$CA$100"), VLOOKUP(VLOOKUP("RIDER RATE 5",'Misc. Data &amp; Mechanisms'!$P$601:$S$632,HLOOKUP('Personalized Bill Menu'!$B$23, 'Misc. Data &amp; Mechanisms'!$P$599:$S$600, 2, FALSE), FALSE), 'Misc. Data &amp; Mechanisms'!$L$599:$N$659, 2, FALSE), FALSE)), ""))</f>
        <v>0.81399999999999995</v>
      </c>
      <c r="AC59" s="69">
        <f ca="1">IF($A59="", "",IFERROR(IF(VLOOKUP($A59, INDIRECT("'" &amp; 'Personalized Bill Menu'!$B$23 &amp; "'!" &amp;"$A$4:$CA$100"), VLOOKUP(VLOOKUP("RIDER RATE 6",'Misc. Data &amp; Mechanisms'!$P$601:$S$632,HLOOKUP('Personalized Bill Menu'!$B$23, 'Misc. Data &amp; Mechanisms'!$P$599:$S$600, 2, FALSE), FALSE), 'Misc. Data &amp; Mechanisms'!$L$599:$N$659, 2, FALSE), FALSE) = "", "", VLOOKUP($A59, INDIRECT("'" &amp; 'Personalized Bill Menu'!$B$23 &amp; "'!" &amp;"$A$4:$CA$100"), VLOOKUP(VLOOKUP("RIDER RATE 6",'Misc. Data &amp; Mechanisms'!$P$601:$S$632,HLOOKUP('Personalized Bill Menu'!$B$23, 'Misc. Data &amp; Mechanisms'!$P$599:$S$600, 2, FALSE), FALSE), 'Misc. Data &amp; Mechanisms'!$L$599:$N$659, 2, FALSE), FALSE)), ""))</f>
        <v>0.13800000000000001</v>
      </c>
      <c r="AD59" s="69" t="str">
        <f ca="1">IF($A59="", "",IFERROR(IF(VLOOKUP($A59, INDIRECT("'" &amp; 'Personalized Bill Menu'!$B$23 &amp; "'!" &amp;"$A$4:$CA$100"), VLOOKUP(VLOOKUP("RIDER RATE 7",'Misc. Data &amp; Mechanisms'!$P$601:$S$632,HLOOKUP('Personalized Bill Menu'!$B$23, 'Misc. Data &amp; Mechanisms'!$P$599:$S$600, 2, FALSE), FALSE), 'Misc. Data &amp; Mechanisms'!$L$599:$N$659, 2, FALSE), FALSE) = "", "", VLOOKUP($A59, INDIRECT("'" &amp; 'Personalized Bill Menu'!$B$23 &amp; "'!" &amp;"$A$4:$CA$100"), VLOOKUP(VLOOKUP("RIDER RATE 7",'Misc. Data &amp; Mechanisms'!$P$601:$S$632,HLOOKUP('Personalized Bill Menu'!$B$23, 'Misc. Data &amp; Mechanisms'!$P$599:$S$600, 2, FALSE), FALSE), 'Misc. Data &amp; Mechanisms'!$L$599:$N$659, 2, FALSE), FALSE)), ""))</f>
        <v/>
      </c>
      <c r="AE59" s="69" t="str">
        <f ca="1">IF($A59="", "",IFERROR(IF(VLOOKUP($A59, INDIRECT("'" &amp; 'Personalized Bill Menu'!$B$23 &amp; "'!" &amp;"$A$4:$CA$100"), VLOOKUP(VLOOKUP("RIDER RATE 8",'Misc. Data &amp; Mechanisms'!$P$601:$S$632,HLOOKUP('Personalized Bill Menu'!$B$23, 'Misc. Data &amp; Mechanisms'!$P$599:$S$600, 2, FALSE), FALSE), 'Misc. Data &amp; Mechanisms'!$L$599:$N$659, 2, FALSE), FALSE) = "", "", VLOOKUP($A59, INDIRECT("'" &amp; 'Personalized Bill Menu'!$B$23 &amp; "'!" &amp;"$A$4:$CA$100"), VLOOKUP(VLOOKUP("RIDER RATE 8",'Misc. Data &amp; Mechanisms'!$P$601:$S$632,HLOOKUP('Personalized Bill Menu'!$B$23, 'Misc. Data &amp; Mechanisms'!$P$599:$S$600, 2, FALSE), FALSE), 'Misc. Data &amp; Mechanisms'!$L$599:$N$659, 2, FALSE), FALSE)), ""))</f>
        <v/>
      </c>
      <c r="AF59" s="69" t="str">
        <f ca="1">IF($A59="", "",IFERROR(IF(VLOOKUP($A59, INDIRECT("'" &amp; 'Personalized Bill Menu'!$B$23 &amp; "'!" &amp;"$A$4:$CA$100"), VLOOKUP(VLOOKUP("RIDER RATE 9",'Misc. Data &amp; Mechanisms'!$P$601:$S$632,HLOOKUP('Personalized Bill Menu'!$B$23, 'Misc. Data &amp; Mechanisms'!$P$599:$S$600, 2, FALSE), FALSE), 'Misc. Data &amp; Mechanisms'!$L$599:$N$659, 2, FALSE), FALSE) = "", "", VLOOKUP($A59, INDIRECT("'" &amp; 'Personalized Bill Menu'!$B$23 &amp; "'!" &amp;"$A$4:$CA$100"), VLOOKUP(VLOOKUP("RIDER RATE 9",'Misc. Data &amp; Mechanisms'!$P$601:$S$632,HLOOKUP('Personalized Bill Menu'!$B$23, 'Misc. Data &amp; Mechanisms'!$P$599:$S$600, 2, FALSE), FALSE), 'Misc. Data &amp; Mechanisms'!$L$599:$N$659, 2, FALSE), FALSE)), ""))</f>
        <v/>
      </c>
      <c r="AG59" s="72">
        <f ca="1">IF($A59="", "", IFERROR(IF('Personalized Bill Menu'!$B$23="ATCO-N", ($X59*$B59) +($Y59*$C59), IF('Personalized Bill Menu'!$B$23="ATCO-S",$X59*$C59, IF($Y59="", ($X59*$H59), ($Y59*($H59+$K59))))), 0))</f>
        <v>0</v>
      </c>
      <c r="AH59" s="72">
        <f ca="1">IF($A59="", "", IFERROR(IF('Personalized Bill Menu'!$B$23="ATCO-S", $Y59*$C59, $Z59*$C59), 0))</f>
        <v>0</v>
      </c>
      <c r="AI59" s="72">
        <f ca="1">IF($A59="", "", IFERROR(IF('Personalized Bill Menu'!$B$23="ATCO-S", ($AA59*$C59)+($Z59*$B59), $AA59*$C59), 0))</f>
        <v>0</v>
      </c>
      <c r="AJ59" s="72">
        <f ca="1">IF($A59="", "", IFERROR(IF('Personalized Bill Menu'!$B$23&lt;&gt;"AltaGas",$AB59*$C59,""),0))</f>
        <v>5.0386895369355402</v>
      </c>
      <c r="AK59" s="72">
        <f ca="1">IF($A59="", "", IFERROR(IF('Personalized Bill Menu'!$B$23="ATCO-S",$AC59*$C59,IF('Personalized Bill Menu'!$B$23="ATCO-N",$AC59*1,"")),0))</f>
        <v>0.8542250074903005</v>
      </c>
      <c r="AL59" s="72">
        <f ca="1">IF($A59="", "", IFERROR(IF('Personalized Bill Menu'!$B$23="ATCO-N",$AD59*$B59,IF('Personalized Bill Menu'!$B$23="ATCO-S",$AD59*1,"")),0))</f>
        <v>0</v>
      </c>
      <c r="AM59" s="72">
        <f ca="1">IF($A59="", "", IFERROR(IF('Personalized Bill Menu'!$B$23="ATCO-S",$AE59*$B59,IF('Personalized Bill Menu'!$B$23="ATCO-N",$AE59*$B59,"")),0))</f>
        <v>0</v>
      </c>
      <c r="AN59" s="70">
        <f ca="1">IF($A59="", "", IFERROR(IF('Personalized Bill Menu'!$B$23="ATCO-S",$AF59*$B59,""),0))</f>
        <v>0</v>
      </c>
      <c r="AO59" s="69">
        <f>IF('Personalized Bill Menu'!$B$34="Natural Gas", 'Personalized Bill Menu'!$K56, IF('Personalized Bill Menu'!$B$34="Both",'Personalized Bill Menu'!$O56,""))</f>
        <v>0.249</v>
      </c>
      <c r="AP59" s="72">
        <f t="shared" si="13"/>
        <v>7.7190000000000003</v>
      </c>
      <c r="AQ59" s="89" t="str">
        <f ca="1">IF($A59="", "",IF(VLOOKUP($A59, INDIRECT("'" &amp; 'Personalized Bill Menu'!$B$23 &amp; "'!" &amp;"$A$4:$CA$100"), VLOOKUP(VLOOKUP(AQ$5,'Misc. Data &amp; Mechanisms'!$P$601:$S$632,HLOOKUP('Personalized Bill Menu'!$B$23, 'Misc. Data &amp; Mechanisms'!$P$599:$S$600, 2, FALSE), FALSE), 'Misc. Data &amp; Mechanisms'!$L$599:$N$659, 2, FALSE), FALSE) = "", "", VLOOKUP($A59, INDIRECT("'" &amp; 'Personalized Bill Menu'!$B$23 &amp; "'!" &amp;"$A$4:$CA$100"), VLOOKUP(VLOOKUP(AQ$5,'Misc. Data &amp; Mechanisms'!$P$601:$S$632,HLOOKUP('Personalized Bill Menu'!$B$23, 'Misc. Data &amp; Mechanisms'!$P$599:$S$600, 2, FALSE), FALSE), 'Misc. Data &amp; Mechanisms'!$L$599:$N$659, 2, FALSE), FALSE)))</f>
        <v/>
      </c>
      <c r="AR59" s="72">
        <f t="shared" ca="1" si="14"/>
        <v>0</v>
      </c>
      <c r="AS59" s="91">
        <f ca="1">IF($A59="", "",IF(VLOOKUP($A59, INDIRECT("'" &amp; 'Personalized Bill Menu'!$B$23 &amp; "'!" &amp;"$A$4:$CA$100"), VLOOKUP(VLOOKUP(AS$5,'Misc. Data &amp; Mechanisms'!$P$601:$S$632,HLOOKUP('Personalized Bill Menu'!$B$23, 'Misc. Data &amp; Mechanisms'!$P$599:$S$600, 2, FALSE), FALSE), 'Misc. Data &amp; Mechanisms'!$L$599:$N$659, 2, FALSE), FALSE) = "", "", VLOOKUP($A59, INDIRECT("'" &amp; 'Personalized Bill Menu'!$B$23 &amp; "'!" &amp;"$A$4:$CA$100"), VLOOKUP(VLOOKUP(AS$5,'Misc. Data &amp; Mechanisms'!$P$601:$S$632,HLOOKUP('Personalized Bill Menu'!$B$23, 'Misc. Data &amp; Mechanisms'!$P$599:$S$600, 2, FALSE), FALSE), 'Misc. Data &amp; Mechanisms'!$L$599:$N$659, 2, FALSE), FALSE)))</f>
        <v>0.05</v>
      </c>
    </row>
    <row r="60" spans="1:50" x14ac:dyDescent="0.3">
      <c r="A60" s="83">
        <f>'Personalized Bill Menu'!$H57</f>
        <v>42522</v>
      </c>
      <c r="B60" s="84">
        <f t="shared" si="3"/>
        <v>30</v>
      </c>
      <c r="C60" s="85">
        <f>IF('Personalized Bill Menu'!$B$34="Natural Gas", 'Personalized Bill Menu'!$I57, IF('Personalized Bill Menu'!$B$34="Both",'Personalized Bill Menu'!$M57,""))</f>
        <v>2.6287907600549798</v>
      </c>
      <c r="D60" s="66">
        <f t="shared" ca="1" si="4"/>
        <v>17.437210136634938</v>
      </c>
      <c r="E60" s="66">
        <f ca="1">IF($C60="Not Applicable", "", IFERROR(IFERROR((1+$AS60)*IF('Personalized Bill Menu'!$B$23="ATCO-N", IF(OR('Personalized Bill Menu'!$B$21="Fort McMurray",AND('Personalized Bill Menu'!$B$21="Spruce Grove", $A60&lt;DATE(2019, 5, 1) )),(((1+IF($T60="",0,$T60))*($N60+$P60))+ (IF($U60="", 0, $U60)*$P60)+(1+IF($T60="",0,$T60)+IF($U60="", 0, $U60))*(SUM($Y60:$AB60))),($N60+((1+IF($T60="",0,$T60)+IF($U60="", 0, $U60))*$P60)+(1+IF($T60="",0,$T60)+IF($U60="", 0, $U60))*(SUM($Y60:$AB60)))), IF('Personalized Bill Menu'!$B$23="ATCO-S",IF(OR('Personalized Bill Menu'!$B$21="Calgary",AND('Personalized Bill Menu'!$B$21="Okotoks", $A60&lt;DATE(2019, 1, 1))),((1+IF($T60="",0,$T60))*($N60+$P60+SUM($X60:$Y60,$AA60:$AC60)))+(IF($U60="",0, $U60)*($P60+SUM($X60:$Y60,$AA60:$AC60))), ((1+IF($T60="",0,$T60))*($P60+SUM($Y60,$AA60:$AC60)))+(IF($U60="",0, $U60)*($P60+SUM($X60:$Y60,$AA60:$AC60)))+$N60+IF($X60="", 0, $X60)),IF(AND('Personalized Bill Menu'!$B$21="Athabasca", $A60&lt;DATE(2019, 5, 1)),((1+IF($T60="",0,$T60)+IF($U60="", 0, $U60))*($N60+((1+SUM($X60:$Y60))*$P60)+SUM($Z60:$AA60))),((1+IF($U60="", 0, $U60))*($N60+((1+SUM($X60:$Y60))*$P60)+SUM($Z60:$AA60))) + (IF($T60="",0,$T60)*(((1+SUM($X60:$Y60))*$P60)+SUM($Z60:$AA60)))))), "")+ IF($AQ60="", 0,((1+$AS60)*$AQ60)), ""))</f>
        <v>3.6026306400000001</v>
      </c>
      <c r="F60" s="118">
        <f t="shared" ca="1" si="5"/>
        <v>45.838776888322961</v>
      </c>
      <c r="G60" s="115">
        <f t="shared" si="15"/>
        <v>3.6119585043155427</v>
      </c>
      <c r="H60" s="66">
        <f t="shared" ca="1" si="16"/>
        <v>26.453138559161893</v>
      </c>
      <c r="I60" s="66">
        <f t="shared" ca="1" si="17"/>
        <v>3.61827212182923</v>
      </c>
      <c r="J60" s="66">
        <f t="shared" ca="1" si="6"/>
        <v>2.5026088035723406</v>
      </c>
      <c r="K60" s="66">
        <f t="shared" si="18"/>
        <v>7.47</v>
      </c>
      <c r="L60" s="66">
        <f t="shared" ca="1" si="8"/>
        <v>0</v>
      </c>
      <c r="M60" s="68">
        <f t="shared" ca="1" si="9"/>
        <v>2.1827988994439504</v>
      </c>
      <c r="N60" s="1290">
        <f>IF('Personalized Bill Menu'!$B$34="Natural Gas", 'Personalized Bill Menu'!$J57, IF('Personalized Bill Menu'!$B$34="Both",'Personalized Bill Menu'!$N57,""))</f>
        <v>1.3740000000000001</v>
      </c>
      <c r="O60" s="70">
        <f t="shared" si="10"/>
        <v>3.6119585043155427</v>
      </c>
      <c r="P60" s="89">
        <f ca="1">IF($A60="", "",IFERROR(IF(VLOOKUP($A60, INDIRECT("'" &amp; 'Personalized Bill Menu'!$B$23 &amp; "'!" &amp;"$A$4:$CA$100"), VLOOKUP(VLOOKUP(P$5,'Misc. Data &amp; Mechanisms'!$P$601:$S$632,HLOOKUP('Personalized Bill Menu'!$B$23, 'Misc. Data &amp; Mechanisms'!$P$599:$S$600, 2, FALSE), FALSE), 'Misc. Data &amp; Mechanisms'!$L$599:$N$659, 2, FALSE), FALSE) = "", "", VLOOKUP($A60, INDIRECT("'" &amp; 'Personalized Bill Menu'!$B$23 &amp; "'!" &amp;"$A$4:$CA$100"), VLOOKUP(VLOOKUP(P$5,'Misc. Data &amp; Mechanisms'!$P$601:$S$632,HLOOKUP('Personalized Bill Menu'!$B$23, 'Misc. Data &amp; Mechanisms'!$P$599:$S$600, 2, FALSE), FALSE), 'Misc. Data &amp; Mechanisms'!$L$599:$N$659, 2, FALSE), FALSE)), ""))</f>
        <v>0.76200000000000001</v>
      </c>
      <c r="Q60" s="69">
        <f ca="1">IF($A60="", "",IFERROR(IF(VLOOKUP($A60, INDIRECT("'" &amp; 'Personalized Bill Menu'!$B$23 &amp; "'!" &amp;"$A$4:$CA$100"), VLOOKUP(VLOOKUP(Q$5,'Misc. Data &amp; Mechanisms'!$P$601:$S$632,HLOOKUP('Personalized Bill Menu'!$B$23, 'Misc. Data &amp; Mechanisms'!$P$599:$S$600, 2, FALSE), FALSE), 'Misc. Data &amp; Mechanisms'!$L$599:$N$659, 2, FALSE), FALSE) = "", "", VLOOKUP($A60, INDIRECT("'" &amp; 'Personalized Bill Menu'!$B$23 &amp; "'!" &amp;"$A$4:$CA$100"), VLOOKUP(VLOOKUP(Q$5,'Misc. Data &amp; Mechanisms'!$P$601:$S$632,HLOOKUP('Personalized Bill Menu'!$B$23, 'Misc. Data &amp; Mechanisms'!$P$599:$S$600, 2, FALSE), FALSE), 'Misc. Data &amp; Mechanisms'!$L$599:$N$659, 2, FALSE), FALSE)), ""))</f>
        <v>0.81499999999999995</v>
      </c>
      <c r="R60" s="72">
        <f t="shared" ca="1" si="11"/>
        <v>2.0031385591618944</v>
      </c>
      <c r="S60" s="70">
        <f t="shared" ca="1" si="12"/>
        <v>24.45</v>
      </c>
      <c r="T60" s="78">
        <f>IFERROR(IF(VLOOKUP($A60,'Misc. Data &amp; Mechanisms'!$A$63:$DY$152,HLOOKUP('Personalized Bill Menu'!$B$21&amp;"_"&amp;'Personalized Bill Menu'!$B$23&amp;"_NG_Y_1",'Misc. Data &amp; Mechanisms'!$A$55:$DY$62,8,FALSE), FALSE)="", "", VLOOKUP($A60,'Misc. Data &amp; Mechanisms'!$A$63:$DY$152,HLOOKUP('Personalized Bill Menu'!$B$21&amp;"_"&amp;'Personalized Bill Menu'!$B$23&amp;"_NG_Y_1",'Misc. Data &amp; Mechanisms'!$A$55:$DY$62,8,FALSE), FALSE)), "")</f>
        <v>0.1111</v>
      </c>
      <c r="U60" s="78" t="str">
        <f>IFERROR(IF(VLOOKUP($A60,'Misc. Data &amp; Mechanisms'!$A$63:$DY$152,HLOOKUP('Personalized Bill Menu'!$B$21&amp;"_"&amp;'Personalized Bill Menu'!$B$23&amp;"_NG_Y_2",'Misc. Data &amp; Mechanisms'!$A$55:$DY$62,8,FALSE), FALSE)="", "",VLOOKUP($A60,'Misc. Data &amp; Mechanisms'!$A$63:$DY$152,HLOOKUP('Personalized Bill Menu'!$B$21&amp;"_"&amp;'Personalized Bill Menu'!$B$23&amp;"_NG_Y_2",'Misc. Data &amp; Mechanisms'!$A$55:$DY$62,8,FALSE), FALSE)), "")</f>
        <v/>
      </c>
      <c r="V60" s="72">
        <f ca="1">IF($A60="", "", IFERROR(IF('Personalized Bill Menu'!$B$23="ATCO-N", IF(OR('Personalized Bill Menu'!$B$21="Fort McMurray",AND('Personalized Bill Menu'!$B$21="Spruce Grove", $A60&lt;DATE(2019, 5, 1))),$T60*($G60+$H60+$J60),$T60*($H60+$J60)), IF('Personalized Bill Menu'!$B$23="ATCO-S",IF(OR('Personalized Bill Menu'!$B$21="Calgary",AND('Personalized Bill Menu'!$B$21="Okotoks", $A60&lt;DATE(2019, 1, 1))),$T60*($G60+$H60+$J60), $T60*($H60+$J60-$AG60)),IF(AND('Personalized Bill Menu'!$B$21="Athabasca", $A60&lt;DATE(2019, 5, 1)),$T60*($G60+$H60+$J60+$K60),$T60*($H60+$J60+$K60)))),0))</f>
        <v>3.61827212182923</v>
      </c>
      <c r="W60" s="72">
        <f ca="1">IF($A60="", "", IFERROR(IF('Personalized Bill Menu'!$B$23="ATCO-N", $U60*($H60+$J60), IF('Personalized Bill Menu'!$B$23="ATCO-S",$U60*($H60+$J60),$U60*($G60+$H60+$J60+$K60))),0))</f>
        <v>0</v>
      </c>
      <c r="X60" s="89" t="str">
        <f ca="1">IF($A60="", "",IFERROR(IF(VLOOKUP($A60, INDIRECT("'" &amp; 'Personalized Bill Menu'!$B$23 &amp; "'!" &amp;"$A$4:$CA$100"), VLOOKUP(VLOOKUP("RIDER RATE 1",'Misc. Data &amp; Mechanisms'!$P$601:$S$632,HLOOKUP('Personalized Bill Menu'!$B$23, 'Misc. Data &amp; Mechanisms'!$P$599:$S$600, 2, FALSE), FALSE), 'Misc. Data &amp; Mechanisms'!$L$599:$N$659, 2, FALSE), FALSE) = "", "", VLOOKUP($A60, INDIRECT("'" &amp; 'Personalized Bill Menu'!$B$23 &amp; "'!" &amp;"$A$4:$CA$100"), VLOOKUP(VLOOKUP("RIDER RATE 1",'Misc. Data &amp; Mechanisms'!$P$601:$S$632,HLOOKUP('Personalized Bill Menu'!$B$23, 'Misc. Data &amp; Mechanisms'!$P$599:$S$600, 2, FALSE), FALSE), 'Misc. Data &amp; Mechanisms'!$L$599:$N$659, 2, FALSE), FALSE)), ""))</f>
        <v/>
      </c>
      <c r="Y60" s="69" t="str">
        <f ca="1">IF($A60="", "",IFERROR(IF(VLOOKUP($A60, INDIRECT("'" &amp; 'Personalized Bill Menu'!$B$23 &amp; "'!" &amp;"$A$4:$CA$100"), VLOOKUP(VLOOKUP("RIDER RATE 2",'Misc. Data &amp; Mechanisms'!$P$601:$S$632,HLOOKUP('Personalized Bill Menu'!$B$23, 'Misc. Data &amp; Mechanisms'!$P$599:$S$600, 2, FALSE), FALSE), 'Misc. Data &amp; Mechanisms'!$L$599:$N$659, 2, FALSE), FALSE) = "", "", VLOOKUP($A60, INDIRECT("'" &amp; 'Personalized Bill Menu'!$B$23 &amp; "'!" &amp;"$A$4:$CA$100"), VLOOKUP(VLOOKUP("RIDER RATE 2",'Misc. Data &amp; Mechanisms'!$P$601:$S$632,HLOOKUP('Personalized Bill Menu'!$B$23, 'Misc. Data &amp; Mechanisms'!$P$599:$S$600, 2, FALSE), FALSE), 'Misc. Data &amp; Mechanisms'!$L$599:$N$659, 2, FALSE), FALSE)), ""))</f>
        <v/>
      </c>
      <c r="Z60" s="69" t="str">
        <f ca="1">IF($A60="", "",IFERROR(IF(VLOOKUP($A60, INDIRECT("'" &amp; 'Personalized Bill Menu'!$B$23 &amp; "'!" &amp;"$A$4:$CA$100"), VLOOKUP(VLOOKUP("RIDER RATE 3",'Misc. Data &amp; Mechanisms'!$P$601:$S$632,HLOOKUP('Personalized Bill Menu'!$B$23, 'Misc. Data &amp; Mechanisms'!$P$599:$S$600, 2, FALSE), FALSE), 'Misc. Data &amp; Mechanisms'!$L$599:$N$659, 2, FALSE), FALSE) = "", "", VLOOKUP($A60, INDIRECT("'" &amp; 'Personalized Bill Menu'!$B$23 &amp; "'!" &amp;"$A$4:$CA$100"), VLOOKUP(VLOOKUP("RIDER RATE 3",'Misc. Data &amp; Mechanisms'!$P$601:$S$632,HLOOKUP('Personalized Bill Menu'!$B$23, 'Misc. Data &amp; Mechanisms'!$P$599:$S$600, 2, FALSE), FALSE), 'Misc. Data &amp; Mechanisms'!$L$599:$N$659, 2, FALSE), FALSE)), ""))</f>
        <v/>
      </c>
      <c r="AA60" s="69" t="str">
        <f ca="1">IF($A60="", "",IFERROR(IF(VLOOKUP($A60, INDIRECT("'" &amp; 'Personalized Bill Menu'!$B$23 &amp; "'!" &amp;"$A$4:$CA$100"), VLOOKUP(VLOOKUP("RIDER RATE 4",'Misc. Data &amp; Mechanisms'!$P$601:$S$632,HLOOKUP('Personalized Bill Menu'!$B$23, 'Misc. Data &amp; Mechanisms'!$P$599:$S$600, 2, FALSE), FALSE), 'Misc. Data &amp; Mechanisms'!$L$599:$N$659, 2, FALSE), FALSE) = "", "", VLOOKUP($A60, INDIRECT("'" &amp; 'Personalized Bill Menu'!$B$23 &amp; "'!" &amp;"$A$4:$CA$100"), VLOOKUP(VLOOKUP("RIDER RATE 4",'Misc. Data &amp; Mechanisms'!$P$601:$S$632,HLOOKUP('Personalized Bill Menu'!$B$23, 'Misc. Data &amp; Mechanisms'!$P$599:$S$600, 2, FALSE), FALSE), 'Misc. Data &amp; Mechanisms'!$L$599:$N$659, 2, FALSE), FALSE)), ""))</f>
        <v/>
      </c>
      <c r="AB60" s="69">
        <f ca="1">IF($A60="", "",IFERROR(IF(VLOOKUP($A60, INDIRECT("'" &amp; 'Personalized Bill Menu'!$B$23 &amp; "'!" &amp;"$A$4:$CA$100"), VLOOKUP(VLOOKUP("RIDER RATE 5",'Misc. Data &amp; Mechanisms'!$P$601:$S$632,HLOOKUP('Personalized Bill Menu'!$B$23, 'Misc. Data &amp; Mechanisms'!$P$599:$S$600, 2, FALSE), FALSE), 'Misc. Data &amp; Mechanisms'!$L$599:$N$659, 2, FALSE), FALSE) = "", "", VLOOKUP($A60, INDIRECT("'" &amp; 'Personalized Bill Menu'!$B$23 &amp; "'!" &amp;"$A$4:$CA$100"), VLOOKUP(VLOOKUP("RIDER RATE 5",'Misc. Data &amp; Mechanisms'!$P$601:$S$632,HLOOKUP('Personalized Bill Menu'!$B$23, 'Misc. Data &amp; Mechanisms'!$P$599:$S$600, 2, FALSE), FALSE), 'Misc. Data &amp; Mechanisms'!$L$599:$N$659, 2, FALSE), FALSE)), ""))</f>
        <v>0.81399999999999995</v>
      </c>
      <c r="AC60" s="69">
        <f ca="1">IF($A60="", "",IFERROR(IF(VLOOKUP($A60, INDIRECT("'" &amp; 'Personalized Bill Menu'!$B$23 &amp; "'!" &amp;"$A$4:$CA$100"), VLOOKUP(VLOOKUP("RIDER RATE 6",'Misc. Data &amp; Mechanisms'!$P$601:$S$632,HLOOKUP('Personalized Bill Menu'!$B$23, 'Misc. Data &amp; Mechanisms'!$P$599:$S$600, 2, FALSE), FALSE), 'Misc. Data &amp; Mechanisms'!$L$599:$N$659, 2, FALSE), FALSE) = "", "", VLOOKUP($A60, INDIRECT("'" &amp; 'Personalized Bill Menu'!$B$23 &amp; "'!" &amp;"$A$4:$CA$100"), VLOOKUP(VLOOKUP("RIDER RATE 6",'Misc. Data &amp; Mechanisms'!$P$601:$S$632,HLOOKUP('Personalized Bill Menu'!$B$23, 'Misc. Data &amp; Mechanisms'!$P$599:$S$600, 2, FALSE), FALSE), 'Misc. Data &amp; Mechanisms'!$L$599:$N$659, 2, FALSE), FALSE)), ""))</f>
        <v>0.13800000000000001</v>
      </c>
      <c r="AD60" s="69" t="str">
        <f ca="1">IF($A60="", "",IFERROR(IF(VLOOKUP($A60, INDIRECT("'" &amp; 'Personalized Bill Menu'!$B$23 &amp; "'!" &amp;"$A$4:$CA$100"), VLOOKUP(VLOOKUP("RIDER RATE 7",'Misc. Data &amp; Mechanisms'!$P$601:$S$632,HLOOKUP('Personalized Bill Menu'!$B$23, 'Misc. Data &amp; Mechanisms'!$P$599:$S$600, 2, FALSE), FALSE), 'Misc. Data &amp; Mechanisms'!$L$599:$N$659, 2, FALSE), FALSE) = "", "", VLOOKUP($A60, INDIRECT("'" &amp; 'Personalized Bill Menu'!$B$23 &amp; "'!" &amp;"$A$4:$CA$100"), VLOOKUP(VLOOKUP("RIDER RATE 7",'Misc. Data &amp; Mechanisms'!$P$601:$S$632,HLOOKUP('Personalized Bill Menu'!$B$23, 'Misc. Data &amp; Mechanisms'!$P$599:$S$600, 2, FALSE), FALSE), 'Misc. Data &amp; Mechanisms'!$L$599:$N$659, 2, FALSE), FALSE)), ""))</f>
        <v/>
      </c>
      <c r="AE60" s="69" t="str">
        <f ca="1">IF($A60="", "",IFERROR(IF(VLOOKUP($A60, INDIRECT("'" &amp; 'Personalized Bill Menu'!$B$23 &amp; "'!" &amp;"$A$4:$CA$100"), VLOOKUP(VLOOKUP("RIDER RATE 8",'Misc. Data &amp; Mechanisms'!$P$601:$S$632,HLOOKUP('Personalized Bill Menu'!$B$23, 'Misc. Data &amp; Mechanisms'!$P$599:$S$600, 2, FALSE), FALSE), 'Misc. Data &amp; Mechanisms'!$L$599:$N$659, 2, FALSE), FALSE) = "", "", VLOOKUP($A60, INDIRECT("'" &amp; 'Personalized Bill Menu'!$B$23 &amp; "'!" &amp;"$A$4:$CA$100"), VLOOKUP(VLOOKUP("RIDER RATE 8",'Misc. Data &amp; Mechanisms'!$P$601:$S$632,HLOOKUP('Personalized Bill Menu'!$B$23, 'Misc. Data &amp; Mechanisms'!$P$599:$S$600, 2, FALSE), FALSE), 'Misc. Data &amp; Mechanisms'!$L$599:$N$659, 2, FALSE), FALSE)), ""))</f>
        <v/>
      </c>
      <c r="AF60" s="69" t="str">
        <f ca="1">IF($A60="", "",IFERROR(IF(VLOOKUP($A60, INDIRECT("'" &amp; 'Personalized Bill Menu'!$B$23 &amp; "'!" &amp;"$A$4:$CA$100"), VLOOKUP(VLOOKUP("RIDER RATE 9",'Misc. Data &amp; Mechanisms'!$P$601:$S$632,HLOOKUP('Personalized Bill Menu'!$B$23, 'Misc. Data &amp; Mechanisms'!$P$599:$S$600, 2, FALSE), FALSE), 'Misc. Data &amp; Mechanisms'!$L$599:$N$659, 2, FALSE), FALSE) = "", "", VLOOKUP($A60, INDIRECT("'" &amp; 'Personalized Bill Menu'!$B$23 &amp; "'!" &amp;"$A$4:$CA$100"), VLOOKUP(VLOOKUP("RIDER RATE 9",'Misc. Data &amp; Mechanisms'!$P$601:$S$632,HLOOKUP('Personalized Bill Menu'!$B$23, 'Misc. Data &amp; Mechanisms'!$P$599:$S$600, 2, FALSE), FALSE), 'Misc. Data &amp; Mechanisms'!$L$599:$N$659, 2, FALSE), FALSE)), ""))</f>
        <v/>
      </c>
      <c r="AG60" s="72">
        <f ca="1">IF($A60="", "", IFERROR(IF('Personalized Bill Menu'!$B$23="ATCO-N", ($X60*$B60) +($Y60*$C60), IF('Personalized Bill Menu'!$B$23="ATCO-S",$X60*$C60, IF($Y60="", ($X60*$H60), ($Y60*($H60+$K60))))), 0))</f>
        <v>0</v>
      </c>
      <c r="AH60" s="72">
        <f ca="1">IF($A60="", "", IFERROR(IF('Personalized Bill Menu'!$B$23="ATCO-S", $Y60*$C60, $Z60*$C60), 0))</f>
        <v>0</v>
      </c>
      <c r="AI60" s="72">
        <f ca="1">IF($A60="", "", IFERROR(IF('Personalized Bill Menu'!$B$23="ATCO-S", ($AA60*$C60)+($Z60*$B60), $AA60*$C60), 0))</f>
        <v>0</v>
      </c>
      <c r="AJ60" s="72">
        <f ca="1">IF($A60="", "", IFERROR(IF('Personalized Bill Menu'!$B$23&lt;&gt;"AltaGas",$AB60*$C60,""),0))</f>
        <v>2.1398356786847534</v>
      </c>
      <c r="AK60" s="72">
        <f ca="1">IF($A60="", "", IFERROR(IF('Personalized Bill Menu'!$B$23="ATCO-S",$AC60*$C60,IF('Personalized Bill Menu'!$B$23="ATCO-N",$AC60*1,"")),0))</f>
        <v>0.36277312488758723</v>
      </c>
      <c r="AL60" s="72">
        <f ca="1">IF($A60="", "", IFERROR(IF('Personalized Bill Menu'!$B$23="ATCO-N",$AD60*$B60,IF('Personalized Bill Menu'!$B$23="ATCO-S",$AD60*1,"")),0))</f>
        <v>0</v>
      </c>
      <c r="AM60" s="72">
        <f ca="1">IF($A60="", "", IFERROR(IF('Personalized Bill Menu'!$B$23="ATCO-S",$AE60*$B60,IF('Personalized Bill Menu'!$B$23="ATCO-N",$AE60*$B60,"")),0))</f>
        <v>0</v>
      </c>
      <c r="AN60" s="70">
        <f ca="1">IF($A60="", "", IFERROR(IF('Personalized Bill Menu'!$B$23="ATCO-S",$AF60*$B60,""),0))</f>
        <v>0</v>
      </c>
      <c r="AO60" s="69">
        <f>IF('Personalized Bill Menu'!$B$34="Natural Gas", 'Personalized Bill Menu'!$K57, IF('Personalized Bill Menu'!$B$34="Both",'Personalized Bill Menu'!$O57,""))</f>
        <v>0.249</v>
      </c>
      <c r="AP60" s="72">
        <f t="shared" si="13"/>
        <v>7.47</v>
      </c>
      <c r="AQ60" s="89" t="str">
        <f ca="1">IF($A60="", "",IF(VLOOKUP($A60, INDIRECT("'" &amp; 'Personalized Bill Menu'!$B$23 &amp; "'!" &amp;"$A$4:$CA$100"), VLOOKUP(VLOOKUP(AQ$5,'Misc. Data &amp; Mechanisms'!$P$601:$S$632,HLOOKUP('Personalized Bill Menu'!$B$23, 'Misc. Data &amp; Mechanisms'!$P$599:$S$600, 2, FALSE), FALSE), 'Misc. Data &amp; Mechanisms'!$L$599:$N$659, 2, FALSE), FALSE) = "", "", VLOOKUP($A60, INDIRECT("'" &amp; 'Personalized Bill Menu'!$B$23 &amp; "'!" &amp;"$A$4:$CA$100"), VLOOKUP(VLOOKUP(AQ$5,'Misc. Data &amp; Mechanisms'!$P$601:$S$632,HLOOKUP('Personalized Bill Menu'!$B$23, 'Misc. Data &amp; Mechanisms'!$P$599:$S$600, 2, FALSE), FALSE), 'Misc. Data &amp; Mechanisms'!$L$599:$N$659, 2, FALSE), FALSE)))</f>
        <v/>
      </c>
      <c r="AR60" s="72">
        <f t="shared" ca="1" si="14"/>
        <v>0</v>
      </c>
      <c r="AS60" s="91">
        <f ca="1">IF($A60="", "",IF(VLOOKUP($A60, INDIRECT("'" &amp; 'Personalized Bill Menu'!$B$23 &amp; "'!" &amp;"$A$4:$CA$100"), VLOOKUP(VLOOKUP(AS$5,'Misc. Data &amp; Mechanisms'!$P$601:$S$632,HLOOKUP('Personalized Bill Menu'!$B$23, 'Misc. Data &amp; Mechanisms'!$P$599:$S$600, 2, FALSE), FALSE), 'Misc. Data &amp; Mechanisms'!$L$599:$N$659, 2, FALSE), FALSE) = "", "", VLOOKUP($A60, INDIRECT("'" &amp; 'Personalized Bill Menu'!$B$23 &amp; "'!" &amp;"$A$4:$CA$100"), VLOOKUP(VLOOKUP(AS$5,'Misc. Data &amp; Mechanisms'!$P$601:$S$632,HLOOKUP('Personalized Bill Menu'!$B$23, 'Misc. Data &amp; Mechanisms'!$P$599:$S$600, 2, FALSE), FALSE), 'Misc. Data &amp; Mechanisms'!$L$599:$N$659, 2, FALSE), FALSE)))</f>
        <v>0.05</v>
      </c>
    </row>
    <row r="61" spans="1:50" x14ac:dyDescent="0.3">
      <c r="A61" s="83">
        <f>'Personalized Bill Menu'!$H58</f>
        <v>42552</v>
      </c>
      <c r="B61" s="84">
        <f t="shared" si="3"/>
        <v>31</v>
      </c>
      <c r="C61" s="85">
        <f>IF('Personalized Bill Menu'!$B$34="Natural Gas", 'Personalized Bill Menu'!$I58, IF('Personalized Bill Menu'!$B$34="Both",'Personalized Bill Menu'!$M58,""))</f>
        <v>2.4285142831424009</v>
      </c>
      <c r="D61" s="66">
        <f t="shared" ca="1" si="4"/>
        <v>19.690974121574957</v>
      </c>
      <c r="E61" s="66">
        <f ca="1">IF($C61="Not Applicable", "", IFERROR(IFERROR((1+$AS61)*IF('Personalized Bill Menu'!$B$23="ATCO-N", IF(OR('Personalized Bill Menu'!$B$21="Fort McMurray",AND('Personalized Bill Menu'!$B$21="Spruce Grove", $A61&lt;DATE(2019, 5, 1) )),(((1+IF($T61="",0,$T61))*($N61+$P61))+ (IF($U61="", 0, $U61)*$P61)+(1+IF($T61="",0,$T61)+IF($U61="", 0, $U61))*(SUM($Y61:$AB61))),($N61+((1+IF($T61="",0,$T61)+IF($U61="", 0, $U61))*$P61)+(1+IF($T61="",0,$T61)+IF($U61="", 0, $U61))*(SUM($Y61:$AB61)))), IF('Personalized Bill Menu'!$B$23="ATCO-S",IF(OR('Personalized Bill Menu'!$B$21="Calgary",AND('Personalized Bill Menu'!$B$21="Okotoks", $A61&lt;DATE(2019, 1, 1))),((1+IF($T61="",0,$T61))*($N61+$P61+SUM($X61:$Y61,$AA61:$AC61)))+(IF($U61="",0, $U61)*($P61+SUM($X61:$Y61,$AA61:$AC61))), ((1+IF($T61="",0,$T61))*($P61+SUM($Y61,$AA61:$AC61)))+(IF($U61="",0, $U61)*($P61+SUM($X61:$Y61,$AA61:$AC61)))+$N61+IF($X61="", 0, $X61)),IF(AND('Personalized Bill Menu'!$B$21="Athabasca", $A61&lt;DATE(2019, 5, 1)),((1+IF($T61="",0,$T61)+IF($U61="", 0, $U61))*($N61+((1+SUM($X61:$Y61))*$P61)+SUM($Z61:$AA61))),((1+IF($U61="", 0, $U61))*($N61+((1+SUM($X61:$Y61))*$P61)+SUM($Z61:$AA61))) + (IF($T61="",0,$T61)*(((1+SUM($X61:$Y61))*$P61)+SUM($Z61:$AA61)))))), "")+ IF($AQ61="", 0,((1+$AS61)*$AQ61)), ""))</f>
        <v>4.2162911699999999</v>
      </c>
      <c r="F61" s="118">
        <f t="shared" ca="1" si="5"/>
        <v>47.819811903232178</v>
      </c>
      <c r="G61" s="115">
        <f t="shared" si="15"/>
        <v>3.960906795805256</v>
      </c>
      <c r="H61" s="66">
        <f t="shared" ca="1" si="16"/>
        <v>27.115527883754506</v>
      </c>
      <c r="I61" s="66">
        <f t="shared" ca="1" si="17"/>
        <v>3.7820273838016338</v>
      </c>
      <c r="J61" s="66">
        <f t="shared" ca="1" si="6"/>
        <v>2.9652159397168711</v>
      </c>
      <c r="K61" s="66">
        <f t="shared" si="18"/>
        <v>7.7190000000000003</v>
      </c>
      <c r="L61" s="66">
        <f t="shared" ca="1" si="8"/>
        <v>0</v>
      </c>
      <c r="M61" s="68">
        <f t="shared" ca="1" si="9"/>
        <v>2.2771339001539133</v>
      </c>
      <c r="N61" s="1290">
        <f>IF('Personalized Bill Menu'!$B$34="Natural Gas", 'Personalized Bill Menu'!$J58, IF('Personalized Bill Menu'!$B$34="Both",'Personalized Bill Menu'!$N58,""))</f>
        <v>1.631</v>
      </c>
      <c r="O61" s="70">
        <f t="shared" si="10"/>
        <v>3.960906795805256</v>
      </c>
      <c r="P61" s="89">
        <f ca="1">IF($A61="", "",IFERROR(IF(VLOOKUP($A61, INDIRECT("'" &amp; 'Personalized Bill Menu'!$B$23 &amp; "'!" &amp;"$A$4:$CA$100"), VLOOKUP(VLOOKUP(P$5,'Misc. Data &amp; Mechanisms'!$P$601:$S$632,HLOOKUP('Personalized Bill Menu'!$B$23, 'Misc. Data &amp; Mechanisms'!$P$599:$S$600, 2, FALSE), FALSE), 'Misc. Data &amp; Mechanisms'!$L$599:$N$659, 2, FALSE), FALSE) = "", "", VLOOKUP($A61, INDIRECT("'" &amp; 'Personalized Bill Menu'!$B$23 &amp; "'!" &amp;"$A$4:$CA$100"), VLOOKUP(VLOOKUP(P$5,'Misc. Data &amp; Mechanisms'!$P$601:$S$632,HLOOKUP('Personalized Bill Menu'!$B$23, 'Misc. Data &amp; Mechanisms'!$P$599:$S$600, 2, FALSE), FALSE), 'Misc. Data &amp; Mechanisms'!$L$599:$N$659, 2, FALSE), FALSE)), ""))</f>
        <v>0.76200000000000001</v>
      </c>
      <c r="Q61" s="69">
        <f ca="1">IF($A61="", "",IFERROR(IF(VLOOKUP($A61, INDIRECT("'" &amp; 'Personalized Bill Menu'!$B$23 &amp; "'!" &amp;"$A$4:$CA$100"), VLOOKUP(VLOOKUP(Q$5,'Misc. Data &amp; Mechanisms'!$P$601:$S$632,HLOOKUP('Personalized Bill Menu'!$B$23, 'Misc. Data &amp; Mechanisms'!$P$599:$S$600, 2, FALSE), FALSE), 'Misc. Data &amp; Mechanisms'!$L$599:$N$659, 2, FALSE), FALSE) = "", "", VLOOKUP($A61, INDIRECT("'" &amp; 'Personalized Bill Menu'!$B$23 &amp; "'!" &amp;"$A$4:$CA$100"), VLOOKUP(VLOOKUP(Q$5,'Misc. Data &amp; Mechanisms'!$P$601:$S$632,HLOOKUP('Personalized Bill Menu'!$B$23, 'Misc. Data &amp; Mechanisms'!$P$599:$S$600, 2, FALSE), FALSE), 'Misc. Data &amp; Mechanisms'!$L$599:$N$659, 2, FALSE), FALSE)), ""))</f>
        <v>0.81499999999999995</v>
      </c>
      <c r="R61" s="72">
        <f t="shared" ca="1" si="11"/>
        <v>1.8505278837545096</v>
      </c>
      <c r="S61" s="70">
        <f t="shared" ca="1" si="12"/>
        <v>25.264999999999997</v>
      </c>
      <c r="T61" s="78">
        <f>IFERROR(IF(VLOOKUP($A61,'Misc. Data &amp; Mechanisms'!$A$63:$DY$152,HLOOKUP('Personalized Bill Menu'!$B$21&amp;"_"&amp;'Personalized Bill Menu'!$B$23&amp;"_NG_Y_1",'Misc. Data &amp; Mechanisms'!$A$55:$DY$62,8,FALSE), FALSE)="", "", VLOOKUP($A61,'Misc. Data &amp; Mechanisms'!$A$63:$DY$152,HLOOKUP('Personalized Bill Menu'!$B$21&amp;"_"&amp;'Personalized Bill Menu'!$B$23&amp;"_NG_Y_1",'Misc. Data &amp; Mechanisms'!$A$55:$DY$62,8,FALSE), FALSE)), "")</f>
        <v>0.1111</v>
      </c>
      <c r="U61" s="78" t="str">
        <f>IFERROR(IF(VLOOKUP($A61,'Misc. Data &amp; Mechanisms'!$A$63:$DY$152,HLOOKUP('Personalized Bill Menu'!$B$21&amp;"_"&amp;'Personalized Bill Menu'!$B$23&amp;"_NG_Y_2",'Misc. Data &amp; Mechanisms'!$A$55:$DY$62,8,FALSE), FALSE)="", "",VLOOKUP($A61,'Misc. Data &amp; Mechanisms'!$A$63:$DY$152,HLOOKUP('Personalized Bill Menu'!$B$21&amp;"_"&amp;'Personalized Bill Menu'!$B$23&amp;"_NG_Y_2",'Misc. Data &amp; Mechanisms'!$A$55:$DY$62,8,FALSE), FALSE)), "")</f>
        <v/>
      </c>
      <c r="V61" s="72">
        <f ca="1">IF($A61="", "", IFERROR(IF('Personalized Bill Menu'!$B$23="ATCO-N", IF(OR('Personalized Bill Menu'!$B$21="Fort McMurray",AND('Personalized Bill Menu'!$B$21="Spruce Grove", $A61&lt;DATE(2019, 5, 1))),$T61*($G61+$H61+$J61),$T61*($H61+$J61)), IF('Personalized Bill Menu'!$B$23="ATCO-S",IF(OR('Personalized Bill Menu'!$B$21="Calgary",AND('Personalized Bill Menu'!$B$21="Okotoks", $A61&lt;DATE(2019, 1, 1))),$T61*($G61+$H61+$J61), $T61*($H61+$J61-$AG61)),IF(AND('Personalized Bill Menu'!$B$21="Athabasca", $A61&lt;DATE(2019, 5, 1)),$T61*($G61+$H61+$J61+$K61),$T61*($H61+$J61+$K61)))),0))</f>
        <v>3.7820273838016338</v>
      </c>
      <c r="W61" s="72">
        <f ca="1">IF($A61="", "", IFERROR(IF('Personalized Bill Menu'!$B$23="ATCO-N", $U61*($H61+$J61), IF('Personalized Bill Menu'!$B$23="ATCO-S",$U61*($H61+$J61),$U61*($G61+$H61+$J61+$K61))),0))</f>
        <v>0</v>
      </c>
      <c r="X61" s="89" t="str">
        <f ca="1">IF($A61="", "",IFERROR(IF(VLOOKUP($A61, INDIRECT("'" &amp; 'Personalized Bill Menu'!$B$23 &amp; "'!" &amp;"$A$4:$CA$100"), VLOOKUP(VLOOKUP("RIDER RATE 1",'Misc. Data &amp; Mechanisms'!$P$601:$S$632,HLOOKUP('Personalized Bill Menu'!$B$23, 'Misc. Data &amp; Mechanisms'!$P$599:$S$600, 2, FALSE), FALSE), 'Misc. Data &amp; Mechanisms'!$L$599:$N$659, 2, FALSE), FALSE) = "", "", VLOOKUP($A61, INDIRECT("'" &amp; 'Personalized Bill Menu'!$B$23 &amp; "'!" &amp;"$A$4:$CA$100"), VLOOKUP(VLOOKUP("RIDER RATE 1",'Misc. Data &amp; Mechanisms'!$P$601:$S$632,HLOOKUP('Personalized Bill Menu'!$B$23, 'Misc. Data &amp; Mechanisms'!$P$599:$S$600, 2, FALSE), FALSE), 'Misc. Data &amp; Mechanisms'!$L$599:$N$659, 2, FALSE), FALSE)), ""))</f>
        <v/>
      </c>
      <c r="Y61" s="69" t="str">
        <f ca="1">IF($A61="", "",IFERROR(IF(VLOOKUP($A61, INDIRECT("'" &amp; 'Personalized Bill Menu'!$B$23 &amp; "'!" &amp;"$A$4:$CA$100"), VLOOKUP(VLOOKUP("RIDER RATE 2",'Misc. Data &amp; Mechanisms'!$P$601:$S$632,HLOOKUP('Personalized Bill Menu'!$B$23, 'Misc. Data &amp; Mechanisms'!$P$599:$S$600, 2, FALSE), FALSE), 'Misc. Data &amp; Mechanisms'!$L$599:$N$659, 2, FALSE), FALSE) = "", "", VLOOKUP($A61, INDIRECT("'" &amp; 'Personalized Bill Menu'!$B$23 &amp; "'!" &amp;"$A$4:$CA$100"), VLOOKUP(VLOOKUP("RIDER RATE 2",'Misc. Data &amp; Mechanisms'!$P$601:$S$632,HLOOKUP('Personalized Bill Menu'!$B$23, 'Misc. Data &amp; Mechanisms'!$P$599:$S$600, 2, FALSE), FALSE), 'Misc. Data &amp; Mechanisms'!$L$599:$N$659, 2, FALSE), FALSE)), ""))</f>
        <v/>
      </c>
      <c r="Z61" s="69" t="str">
        <f ca="1">IF($A61="", "",IFERROR(IF(VLOOKUP($A61, INDIRECT("'" &amp; 'Personalized Bill Menu'!$B$23 &amp; "'!" &amp;"$A$4:$CA$100"), VLOOKUP(VLOOKUP("RIDER RATE 3",'Misc. Data &amp; Mechanisms'!$P$601:$S$632,HLOOKUP('Personalized Bill Menu'!$B$23, 'Misc. Data &amp; Mechanisms'!$P$599:$S$600, 2, FALSE), FALSE), 'Misc. Data &amp; Mechanisms'!$L$599:$N$659, 2, FALSE), FALSE) = "", "", VLOOKUP($A61, INDIRECT("'" &amp; 'Personalized Bill Menu'!$B$23 &amp; "'!" &amp;"$A$4:$CA$100"), VLOOKUP(VLOOKUP("RIDER RATE 3",'Misc. Data &amp; Mechanisms'!$P$601:$S$632,HLOOKUP('Personalized Bill Menu'!$B$23, 'Misc. Data &amp; Mechanisms'!$P$599:$S$600, 2, FALSE), FALSE), 'Misc. Data &amp; Mechanisms'!$L$599:$N$659, 2, FALSE), FALSE)), ""))</f>
        <v/>
      </c>
      <c r="AA61" s="69" t="str">
        <f ca="1">IF($A61="", "",IFERROR(IF(VLOOKUP($A61, INDIRECT("'" &amp; 'Personalized Bill Menu'!$B$23 &amp; "'!" &amp;"$A$4:$CA$100"), VLOOKUP(VLOOKUP("RIDER RATE 4",'Misc. Data &amp; Mechanisms'!$P$601:$S$632,HLOOKUP('Personalized Bill Menu'!$B$23, 'Misc. Data &amp; Mechanisms'!$P$599:$S$600, 2, FALSE), FALSE), 'Misc. Data &amp; Mechanisms'!$L$599:$N$659, 2, FALSE), FALSE) = "", "", VLOOKUP($A61, INDIRECT("'" &amp; 'Personalized Bill Menu'!$B$23 &amp; "'!" &amp;"$A$4:$CA$100"), VLOOKUP(VLOOKUP("RIDER RATE 4",'Misc. Data &amp; Mechanisms'!$P$601:$S$632,HLOOKUP('Personalized Bill Menu'!$B$23, 'Misc. Data &amp; Mechanisms'!$P$599:$S$600, 2, FALSE), FALSE), 'Misc. Data &amp; Mechanisms'!$L$599:$N$659, 2, FALSE), FALSE)), ""))</f>
        <v/>
      </c>
      <c r="AB61" s="69">
        <f ca="1">IF($A61="", "",IFERROR(IF(VLOOKUP($A61, INDIRECT("'" &amp; 'Personalized Bill Menu'!$B$23 &amp; "'!" &amp;"$A$4:$CA$100"), VLOOKUP(VLOOKUP("RIDER RATE 5",'Misc. Data &amp; Mechanisms'!$P$601:$S$632,HLOOKUP('Personalized Bill Menu'!$B$23, 'Misc. Data &amp; Mechanisms'!$P$599:$S$600, 2, FALSE), FALSE), 'Misc. Data &amp; Mechanisms'!$L$599:$N$659, 2, FALSE), FALSE) = "", "", VLOOKUP($A61, INDIRECT("'" &amp; 'Personalized Bill Menu'!$B$23 &amp; "'!" &amp;"$A$4:$CA$100"), VLOOKUP(VLOOKUP("RIDER RATE 5",'Misc. Data &amp; Mechanisms'!$P$601:$S$632,HLOOKUP('Personalized Bill Menu'!$B$23, 'Misc. Data &amp; Mechanisms'!$P$599:$S$600, 2, FALSE), FALSE), 'Misc. Data &amp; Mechanisms'!$L$599:$N$659, 2, FALSE), FALSE)), ""))</f>
        <v>0.81399999999999995</v>
      </c>
      <c r="AC61" s="69">
        <f ca="1">IF($A61="", "",IFERROR(IF(VLOOKUP($A61, INDIRECT("'" &amp; 'Personalized Bill Menu'!$B$23 &amp; "'!" &amp;"$A$4:$CA$100"), VLOOKUP(VLOOKUP("RIDER RATE 6",'Misc. Data &amp; Mechanisms'!$P$601:$S$632,HLOOKUP('Personalized Bill Menu'!$B$23, 'Misc. Data &amp; Mechanisms'!$P$599:$S$600, 2, FALSE), FALSE), 'Misc. Data &amp; Mechanisms'!$L$599:$N$659, 2, FALSE), FALSE) = "", "", VLOOKUP($A61, INDIRECT("'" &amp; 'Personalized Bill Menu'!$B$23 &amp; "'!" &amp;"$A$4:$CA$100"), VLOOKUP(VLOOKUP("RIDER RATE 6",'Misc. Data &amp; Mechanisms'!$P$601:$S$632,HLOOKUP('Personalized Bill Menu'!$B$23, 'Misc. Data &amp; Mechanisms'!$P$599:$S$600, 2, FALSE), FALSE), 'Misc. Data &amp; Mechanisms'!$L$599:$N$659, 2, FALSE), FALSE)), ""))</f>
        <v>0.40699999999999997</v>
      </c>
      <c r="AD61" s="69" t="str">
        <f ca="1">IF($A61="", "",IFERROR(IF(VLOOKUP($A61, INDIRECT("'" &amp; 'Personalized Bill Menu'!$B$23 &amp; "'!" &amp;"$A$4:$CA$100"), VLOOKUP(VLOOKUP("RIDER RATE 7",'Misc. Data &amp; Mechanisms'!$P$601:$S$632,HLOOKUP('Personalized Bill Menu'!$B$23, 'Misc. Data &amp; Mechanisms'!$P$599:$S$600, 2, FALSE), FALSE), 'Misc. Data &amp; Mechanisms'!$L$599:$N$659, 2, FALSE), FALSE) = "", "", VLOOKUP($A61, INDIRECT("'" &amp; 'Personalized Bill Menu'!$B$23 &amp; "'!" &amp;"$A$4:$CA$100"), VLOOKUP(VLOOKUP("RIDER RATE 7",'Misc. Data &amp; Mechanisms'!$P$601:$S$632,HLOOKUP('Personalized Bill Menu'!$B$23, 'Misc. Data &amp; Mechanisms'!$P$599:$S$600, 2, FALSE), FALSE), 'Misc. Data &amp; Mechanisms'!$L$599:$N$659, 2, FALSE), FALSE)), ""))</f>
        <v/>
      </c>
      <c r="AE61" s="69" t="str">
        <f ca="1">IF($A61="", "",IFERROR(IF(VLOOKUP($A61, INDIRECT("'" &amp; 'Personalized Bill Menu'!$B$23 &amp; "'!" &amp;"$A$4:$CA$100"), VLOOKUP(VLOOKUP("RIDER RATE 8",'Misc. Data &amp; Mechanisms'!$P$601:$S$632,HLOOKUP('Personalized Bill Menu'!$B$23, 'Misc. Data &amp; Mechanisms'!$P$599:$S$600, 2, FALSE), FALSE), 'Misc. Data &amp; Mechanisms'!$L$599:$N$659, 2, FALSE), FALSE) = "", "", VLOOKUP($A61, INDIRECT("'" &amp; 'Personalized Bill Menu'!$B$23 &amp; "'!" &amp;"$A$4:$CA$100"), VLOOKUP(VLOOKUP("RIDER RATE 8",'Misc. Data &amp; Mechanisms'!$P$601:$S$632,HLOOKUP('Personalized Bill Menu'!$B$23, 'Misc. Data &amp; Mechanisms'!$P$599:$S$600, 2, FALSE), FALSE), 'Misc. Data &amp; Mechanisms'!$L$599:$N$659, 2, FALSE), FALSE)), ""))</f>
        <v/>
      </c>
      <c r="AF61" s="69" t="str">
        <f ca="1">IF($A61="", "",IFERROR(IF(VLOOKUP($A61, INDIRECT("'" &amp; 'Personalized Bill Menu'!$B$23 &amp; "'!" &amp;"$A$4:$CA$100"), VLOOKUP(VLOOKUP("RIDER RATE 9",'Misc. Data &amp; Mechanisms'!$P$601:$S$632,HLOOKUP('Personalized Bill Menu'!$B$23, 'Misc. Data &amp; Mechanisms'!$P$599:$S$600, 2, FALSE), FALSE), 'Misc. Data &amp; Mechanisms'!$L$599:$N$659, 2, FALSE), FALSE) = "", "", VLOOKUP($A61, INDIRECT("'" &amp; 'Personalized Bill Menu'!$B$23 &amp; "'!" &amp;"$A$4:$CA$100"), VLOOKUP(VLOOKUP("RIDER RATE 9",'Misc. Data &amp; Mechanisms'!$P$601:$S$632,HLOOKUP('Personalized Bill Menu'!$B$23, 'Misc. Data &amp; Mechanisms'!$P$599:$S$600, 2, FALSE), FALSE), 'Misc. Data &amp; Mechanisms'!$L$599:$N$659, 2, FALSE), FALSE)), ""))</f>
        <v/>
      </c>
      <c r="AG61" s="72">
        <f ca="1">IF($A61="", "", IFERROR(IF('Personalized Bill Menu'!$B$23="ATCO-N", ($X61*$B61) +($Y61*$C61), IF('Personalized Bill Menu'!$B$23="ATCO-S",$X61*$C61, IF($Y61="", ($X61*$H61), ($Y61*($H61+$K61))))), 0))</f>
        <v>0</v>
      </c>
      <c r="AH61" s="72">
        <f ca="1">IF($A61="", "", IFERROR(IF('Personalized Bill Menu'!$B$23="ATCO-S", $Y61*$C61, $Z61*$C61), 0))</f>
        <v>0</v>
      </c>
      <c r="AI61" s="72">
        <f ca="1">IF($A61="", "", IFERROR(IF('Personalized Bill Menu'!$B$23="ATCO-S", ($AA61*$C61)+($Z61*$B61), $AA61*$C61), 0))</f>
        <v>0</v>
      </c>
      <c r="AJ61" s="72">
        <f ca="1">IF($A61="", "", IFERROR(IF('Personalized Bill Menu'!$B$23&lt;&gt;"AltaGas",$AB61*$C61,""),0))</f>
        <v>1.9768106264779142</v>
      </c>
      <c r="AK61" s="72">
        <f ca="1">IF($A61="", "", IFERROR(IF('Personalized Bill Menu'!$B$23="ATCO-S",$AC61*$C61,IF('Personalized Bill Menu'!$B$23="ATCO-N",$AC61*1,"")),0))</f>
        <v>0.98840531323895708</v>
      </c>
      <c r="AL61" s="72">
        <f ca="1">IF($A61="", "", IFERROR(IF('Personalized Bill Menu'!$B$23="ATCO-N",$AD61*$B61,IF('Personalized Bill Menu'!$B$23="ATCO-S",$AD61*1,"")),0))</f>
        <v>0</v>
      </c>
      <c r="AM61" s="72">
        <f ca="1">IF($A61="", "", IFERROR(IF('Personalized Bill Menu'!$B$23="ATCO-S",$AE61*$B61,IF('Personalized Bill Menu'!$B$23="ATCO-N",$AE61*$B61,"")),0))</f>
        <v>0</v>
      </c>
      <c r="AN61" s="70">
        <f ca="1">IF($A61="", "", IFERROR(IF('Personalized Bill Menu'!$B$23="ATCO-S",$AF61*$B61,""),0))</f>
        <v>0</v>
      </c>
      <c r="AO61" s="69">
        <f>IF('Personalized Bill Menu'!$B$34="Natural Gas", 'Personalized Bill Menu'!$K58, IF('Personalized Bill Menu'!$B$34="Both",'Personalized Bill Menu'!$O58,""))</f>
        <v>0.249</v>
      </c>
      <c r="AP61" s="72">
        <f t="shared" si="13"/>
        <v>7.7190000000000003</v>
      </c>
      <c r="AQ61" s="89" t="str">
        <f ca="1">IF($A61="", "",IF(VLOOKUP($A61, INDIRECT("'" &amp; 'Personalized Bill Menu'!$B$23 &amp; "'!" &amp;"$A$4:$CA$100"), VLOOKUP(VLOOKUP(AQ$5,'Misc. Data &amp; Mechanisms'!$P$601:$S$632,HLOOKUP('Personalized Bill Menu'!$B$23, 'Misc. Data &amp; Mechanisms'!$P$599:$S$600, 2, FALSE), FALSE), 'Misc. Data &amp; Mechanisms'!$L$599:$N$659, 2, FALSE), FALSE) = "", "", VLOOKUP($A61, INDIRECT("'" &amp; 'Personalized Bill Menu'!$B$23 &amp; "'!" &amp;"$A$4:$CA$100"), VLOOKUP(VLOOKUP(AQ$5,'Misc. Data &amp; Mechanisms'!$P$601:$S$632,HLOOKUP('Personalized Bill Menu'!$B$23, 'Misc. Data &amp; Mechanisms'!$P$599:$S$600, 2, FALSE), FALSE), 'Misc. Data &amp; Mechanisms'!$L$599:$N$659, 2, FALSE), FALSE)))</f>
        <v/>
      </c>
      <c r="AR61" s="72">
        <f t="shared" ca="1" si="14"/>
        <v>0</v>
      </c>
      <c r="AS61" s="91">
        <f ca="1">IF($A61="", "",IF(VLOOKUP($A61, INDIRECT("'" &amp; 'Personalized Bill Menu'!$B$23 &amp; "'!" &amp;"$A$4:$CA$100"), VLOOKUP(VLOOKUP(AS$5,'Misc. Data &amp; Mechanisms'!$P$601:$S$632,HLOOKUP('Personalized Bill Menu'!$B$23, 'Misc. Data &amp; Mechanisms'!$P$599:$S$600, 2, FALSE), FALSE), 'Misc. Data &amp; Mechanisms'!$L$599:$N$659, 2, FALSE), FALSE) = "", "", VLOOKUP($A61, INDIRECT("'" &amp; 'Personalized Bill Menu'!$B$23 &amp; "'!" &amp;"$A$4:$CA$100"), VLOOKUP(VLOOKUP(AS$5,'Misc. Data &amp; Mechanisms'!$P$601:$S$632,HLOOKUP('Personalized Bill Menu'!$B$23, 'Misc. Data &amp; Mechanisms'!$P$599:$S$600, 2, FALSE), FALSE), 'Misc. Data &amp; Mechanisms'!$L$599:$N$659, 2, FALSE), FALSE)))</f>
        <v>0.05</v>
      </c>
    </row>
    <row r="62" spans="1:50" x14ac:dyDescent="0.3">
      <c r="A62" s="83">
        <f>'Personalized Bill Menu'!$H59</f>
        <v>42583</v>
      </c>
      <c r="B62" s="84">
        <f t="shared" si="3"/>
        <v>31</v>
      </c>
      <c r="C62" s="85">
        <f>IF('Personalized Bill Menu'!$B$34="Natural Gas", 'Personalized Bill Menu'!$I59, IF('Personalized Bill Menu'!$B$34="Both",'Personalized Bill Menu'!$M59,""))</f>
        <v>2.7213645106571978</v>
      </c>
      <c r="D62" s="66">
        <f t="shared" ca="1" si="4"/>
        <v>18.880877763923053</v>
      </c>
      <c r="E62" s="66">
        <f ca="1">IF($C62="Not Applicable", "", IFERROR(IFERROR((1+$AS62)*IF('Personalized Bill Menu'!$B$23="ATCO-N", IF(OR('Personalized Bill Menu'!$B$21="Fort McMurray",AND('Personalized Bill Menu'!$B$21="Spruce Grove", $A62&lt;DATE(2019, 5, 1) )),(((1+IF($T62="",0,$T62))*($N62+$P62))+ (IF($U62="", 0, $U62)*$P62)+(1+IF($T62="",0,$T62)+IF($U62="", 0, $U62))*(SUM($Y62:$AB62))),($N62+((1+IF($T62="",0,$T62)+IF($U62="", 0, $U62))*$P62)+(1+IF($T62="",0,$T62)+IF($U62="", 0, $U62))*(SUM($Y62:$AB62)))), IF('Personalized Bill Menu'!$B$23="ATCO-S",IF(OR('Personalized Bill Menu'!$B$21="Calgary",AND('Personalized Bill Menu'!$B$21="Okotoks", $A62&lt;DATE(2019, 1, 1))),((1+IF($T62="",0,$T62))*($N62+$P62+SUM($X62:$Y62,$AA62:$AC62)))+(IF($U62="",0, $U62)*($P62+SUM($X62:$Y62,$AA62:$AC62))), ((1+IF($T62="",0,$T62))*($P62+SUM($Y62,$AA62:$AC62)))+(IF($U62="",0, $U62)*($P62+SUM($X62:$Y62,$AA62:$AC62)))+$N62+IF($X62="", 0, $X62)),IF(AND('Personalized Bill Menu'!$B$21="Athabasca", $A62&lt;DATE(2019, 5, 1)),((1+IF($T62="",0,$T62)+IF($U62="", 0, $U62))*($N62+((1+SUM($X62:$Y62))*$P62)+SUM($Z62:$AA62))),((1+IF($U62="", 0, $U62))*($N62+((1+SUM($X62:$Y62))*$P62)+SUM($Z62:$AA62))) + (IF($T62="",0,$T62)*(((1+SUM($X62:$Y62))*$P62)+SUM($Z62:$AA62)))))), "")+ IF($AQ62="", 0,((1+$AS62)*$AQ62)), ""))</f>
        <v>5.0714492849999999</v>
      </c>
      <c r="F62" s="118">
        <f t="shared" ca="1" si="5"/>
        <v>51.38175067679682</v>
      </c>
      <c r="G62" s="115">
        <f t="shared" si="15"/>
        <v>6.4333057031936152</v>
      </c>
      <c r="H62" s="66">
        <f t="shared" ca="1" si="16"/>
        <v>27.338679757120783</v>
      </c>
      <c r="I62" s="66">
        <f t="shared" ca="1" si="17"/>
        <v>4.1212291167415618</v>
      </c>
      <c r="J62" s="66">
        <f t="shared" ca="1" si="6"/>
        <v>3.3227860675124381</v>
      </c>
      <c r="K62" s="66">
        <f t="shared" si="18"/>
        <v>7.7190000000000003</v>
      </c>
      <c r="L62" s="66">
        <f t="shared" ca="1" si="8"/>
        <v>0</v>
      </c>
      <c r="M62" s="68">
        <f t="shared" ca="1" si="9"/>
        <v>2.4467500322284201</v>
      </c>
      <c r="N62" s="1290">
        <f>IF('Personalized Bill Menu'!$B$34="Natural Gas", 'Personalized Bill Menu'!$J59, IF('Personalized Bill Menu'!$B$34="Both",'Personalized Bill Menu'!$N59,""))</f>
        <v>2.3639999999999999</v>
      </c>
      <c r="O62" s="70">
        <f t="shared" si="10"/>
        <v>6.4333057031936152</v>
      </c>
      <c r="P62" s="89">
        <f ca="1">IF($A62="", "",IFERROR(IF(VLOOKUP($A62, INDIRECT("'" &amp; 'Personalized Bill Menu'!$B$23 &amp; "'!" &amp;"$A$4:$CA$100"), VLOOKUP(VLOOKUP(P$5,'Misc. Data &amp; Mechanisms'!$P$601:$S$632,HLOOKUP('Personalized Bill Menu'!$B$23, 'Misc. Data &amp; Mechanisms'!$P$599:$S$600, 2, FALSE), FALSE), 'Misc. Data &amp; Mechanisms'!$L$599:$N$659, 2, FALSE), FALSE) = "", "", VLOOKUP($A62, INDIRECT("'" &amp; 'Personalized Bill Menu'!$B$23 &amp; "'!" &amp;"$A$4:$CA$100"), VLOOKUP(VLOOKUP(P$5,'Misc. Data &amp; Mechanisms'!$P$601:$S$632,HLOOKUP('Personalized Bill Menu'!$B$23, 'Misc. Data &amp; Mechanisms'!$P$599:$S$600, 2, FALSE), FALSE), 'Misc. Data &amp; Mechanisms'!$L$599:$N$659, 2, FALSE), FALSE)), ""))</f>
        <v>0.76200000000000001</v>
      </c>
      <c r="Q62" s="69">
        <f ca="1">IF($A62="", "",IFERROR(IF(VLOOKUP($A62, INDIRECT("'" &amp; 'Personalized Bill Menu'!$B$23 &amp; "'!" &amp;"$A$4:$CA$100"), VLOOKUP(VLOOKUP(Q$5,'Misc. Data &amp; Mechanisms'!$P$601:$S$632,HLOOKUP('Personalized Bill Menu'!$B$23, 'Misc. Data &amp; Mechanisms'!$P$599:$S$600, 2, FALSE), FALSE), 'Misc. Data &amp; Mechanisms'!$L$599:$N$659, 2, FALSE), FALSE) = "", "", VLOOKUP($A62, INDIRECT("'" &amp; 'Personalized Bill Menu'!$B$23 &amp; "'!" &amp;"$A$4:$CA$100"), VLOOKUP(VLOOKUP(Q$5,'Misc. Data &amp; Mechanisms'!$P$601:$S$632,HLOOKUP('Personalized Bill Menu'!$B$23, 'Misc. Data &amp; Mechanisms'!$P$599:$S$600, 2, FALSE), FALSE), 'Misc. Data &amp; Mechanisms'!$L$599:$N$659, 2, FALSE), FALSE)), ""))</f>
        <v>0.81499999999999995</v>
      </c>
      <c r="R62" s="72">
        <f t="shared" ca="1" si="11"/>
        <v>2.0736797571207846</v>
      </c>
      <c r="S62" s="70">
        <f t="shared" ca="1" si="12"/>
        <v>25.264999999999997</v>
      </c>
      <c r="T62" s="78">
        <f>IFERROR(IF(VLOOKUP($A62,'Misc. Data &amp; Mechanisms'!$A$63:$DY$152,HLOOKUP('Personalized Bill Menu'!$B$21&amp;"_"&amp;'Personalized Bill Menu'!$B$23&amp;"_NG_Y_1",'Misc. Data &amp; Mechanisms'!$A$55:$DY$62,8,FALSE), FALSE)="", "", VLOOKUP($A62,'Misc. Data &amp; Mechanisms'!$A$63:$DY$152,HLOOKUP('Personalized Bill Menu'!$B$21&amp;"_"&amp;'Personalized Bill Menu'!$B$23&amp;"_NG_Y_1",'Misc. Data &amp; Mechanisms'!$A$55:$DY$62,8,FALSE), FALSE)), "")</f>
        <v>0.1111</v>
      </c>
      <c r="U62" s="78" t="str">
        <f>IFERROR(IF(VLOOKUP($A62,'Misc. Data &amp; Mechanisms'!$A$63:$DY$152,HLOOKUP('Personalized Bill Menu'!$B$21&amp;"_"&amp;'Personalized Bill Menu'!$B$23&amp;"_NG_Y_2",'Misc. Data &amp; Mechanisms'!$A$55:$DY$62,8,FALSE), FALSE)="", "",VLOOKUP($A62,'Misc. Data &amp; Mechanisms'!$A$63:$DY$152,HLOOKUP('Personalized Bill Menu'!$B$21&amp;"_"&amp;'Personalized Bill Menu'!$B$23&amp;"_NG_Y_2",'Misc. Data &amp; Mechanisms'!$A$55:$DY$62,8,FALSE), FALSE)), "")</f>
        <v/>
      </c>
      <c r="V62" s="72">
        <f ca="1">IF($A62="", "", IFERROR(IF('Personalized Bill Menu'!$B$23="ATCO-N", IF(OR('Personalized Bill Menu'!$B$21="Fort McMurray",AND('Personalized Bill Menu'!$B$21="Spruce Grove", $A62&lt;DATE(2019, 5, 1))),$T62*($G62+$H62+$J62),$T62*($H62+$J62)), IF('Personalized Bill Menu'!$B$23="ATCO-S",IF(OR('Personalized Bill Menu'!$B$21="Calgary",AND('Personalized Bill Menu'!$B$21="Okotoks", $A62&lt;DATE(2019, 1, 1))),$T62*($G62+$H62+$J62), $T62*($H62+$J62-$AG62)),IF(AND('Personalized Bill Menu'!$B$21="Athabasca", $A62&lt;DATE(2019, 5, 1)),$T62*($G62+$H62+$J62+$K62),$T62*($H62+$J62+$K62)))),0))</f>
        <v>4.1212291167415618</v>
      </c>
      <c r="W62" s="72">
        <f ca="1">IF($A62="", "", IFERROR(IF('Personalized Bill Menu'!$B$23="ATCO-N", $U62*($H62+$J62), IF('Personalized Bill Menu'!$B$23="ATCO-S",$U62*($H62+$J62),$U62*($G62+$H62+$J62+$K62))),0))</f>
        <v>0</v>
      </c>
      <c r="X62" s="89" t="str">
        <f ca="1">IF($A62="", "",IFERROR(IF(VLOOKUP($A62, INDIRECT("'" &amp; 'Personalized Bill Menu'!$B$23 &amp; "'!" &amp;"$A$4:$CA$100"), VLOOKUP(VLOOKUP("RIDER RATE 1",'Misc. Data &amp; Mechanisms'!$P$601:$S$632,HLOOKUP('Personalized Bill Menu'!$B$23, 'Misc. Data &amp; Mechanisms'!$P$599:$S$600, 2, FALSE), FALSE), 'Misc. Data &amp; Mechanisms'!$L$599:$N$659, 2, FALSE), FALSE) = "", "", VLOOKUP($A62, INDIRECT("'" &amp; 'Personalized Bill Menu'!$B$23 &amp; "'!" &amp;"$A$4:$CA$100"), VLOOKUP(VLOOKUP("RIDER RATE 1",'Misc. Data &amp; Mechanisms'!$P$601:$S$632,HLOOKUP('Personalized Bill Menu'!$B$23, 'Misc. Data &amp; Mechanisms'!$P$599:$S$600, 2, FALSE), FALSE), 'Misc. Data &amp; Mechanisms'!$L$599:$N$659, 2, FALSE), FALSE)), ""))</f>
        <v/>
      </c>
      <c r="Y62" s="69" t="str">
        <f ca="1">IF($A62="", "",IFERROR(IF(VLOOKUP($A62, INDIRECT("'" &amp; 'Personalized Bill Menu'!$B$23 &amp; "'!" &amp;"$A$4:$CA$100"), VLOOKUP(VLOOKUP("RIDER RATE 2",'Misc. Data &amp; Mechanisms'!$P$601:$S$632,HLOOKUP('Personalized Bill Menu'!$B$23, 'Misc. Data &amp; Mechanisms'!$P$599:$S$600, 2, FALSE), FALSE), 'Misc. Data &amp; Mechanisms'!$L$599:$N$659, 2, FALSE), FALSE) = "", "", VLOOKUP($A62, INDIRECT("'" &amp; 'Personalized Bill Menu'!$B$23 &amp; "'!" &amp;"$A$4:$CA$100"), VLOOKUP(VLOOKUP("RIDER RATE 2",'Misc. Data &amp; Mechanisms'!$P$601:$S$632,HLOOKUP('Personalized Bill Menu'!$B$23, 'Misc. Data &amp; Mechanisms'!$P$599:$S$600, 2, FALSE), FALSE), 'Misc. Data &amp; Mechanisms'!$L$599:$N$659, 2, FALSE), FALSE)), ""))</f>
        <v/>
      </c>
      <c r="Z62" s="69" t="str">
        <f ca="1">IF($A62="", "",IFERROR(IF(VLOOKUP($A62, INDIRECT("'" &amp; 'Personalized Bill Menu'!$B$23 &amp; "'!" &amp;"$A$4:$CA$100"), VLOOKUP(VLOOKUP("RIDER RATE 3",'Misc. Data &amp; Mechanisms'!$P$601:$S$632,HLOOKUP('Personalized Bill Menu'!$B$23, 'Misc. Data &amp; Mechanisms'!$P$599:$S$600, 2, FALSE), FALSE), 'Misc. Data &amp; Mechanisms'!$L$599:$N$659, 2, FALSE), FALSE) = "", "", VLOOKUP($A62, INDIRECT("'" &amp; 'Personalized Bill Menu'!$B$23 &amp; "'!" &amp;"$A$4:$CA$100"), VLOOKUP(VLOOKUP("RIDER RATE 3",'Misc. Data &amp; Mechanisms'!$P$601:$S$632,HLOOKUP('Personalized Bill Menu'!$B$23, 'Misc. Data &amp; Mechanisms'!$P$599:$S$600, 2, FALSE), FALSE), 'Misc. Data &amp; Mechanisms'!$L$599:$N$659, 2, FALSE), FALSE)), ""))</f>
        <v/>
      </c>
      <c r="AA62" s="69" t="str">
        <f ca="1">IF($A62="", "",IFERROR(IF(VLOOKUP($A62, INDIRECT("'" &amp; 'Personalized Bill Menu'!$B$23 &amp; "'!" &amp;"$A$4:$CA$100"), VLOOKUP(VLOOKUP("RIDER RATE 4",'Misc. Data &amp; Mechanisms'!$P$601:$S$632,HLOOKUP('Personalized Bill Menu'!$B$23, 'Misc. Data &amp; Mechanisms'!$P$599:$S$600, 2, FALSE), FALSE), 'Misc. Data &amp; Mechanisms'!$L$599:$N$659, 2, FALSE), FALSE) = "", "", VLOOKUP($A62, INDIRECT("'" &amp; 'Personalized Bill Menu'!$B$23 &amp; "'!" &amp;"$A$4:$CA$100"), VLOOKUP(VLOOKUP("RIDER RATE 4",'Misc. Data &amp; Mechanisms'!$P$601:$S$632,HLOOKUP('Personalized Bill Menu'!$B$23, 'Misc. Data &amp; Mechanisms'!$P$599:$S$600, 2, FALSE), FALSE), 'Misc. Data &amp; Mechanisms'!$L$599:$N$659, 2, FALSE), FALSE)), ""))</f>
        <v/>
      </c>
      <c r="AB62" s="69">
        <f ca="1">IF($A62="", "",IFERROR(IF(VLOOKUP($A62, INDIRECT("'" &amp; 'Personalized Bill Menu'!$B$23 &amp; "'!" &amp;"$A$4:$CA$100"), VLOOKUP(VLOOKUP("RIDER RATE 5",'Misc. Data &amp; Mechanisms'!$P$601:$S$632,HLOOKUP('Personalized Bill Menu'!$B$23, 'Misc. Data &amp; Mechanisms'!$P$599:$S$600, 2, FALSE), FALSE), 'Misc. Data &amp; Mechanisms'!$L$599:$N$659, 2, FALSE), FALSE) = "", "", VLOOKUP($A62, INDIRECT("'" &amp; 'Personalized Bill Menu'!$B$23 &amp; "'!" &amp;"$A$4:$CA$100"), VLOOKUP(VLOOKUP("RIDER RATE 5",'Misc. Data &amp; Mechanisms'!$P$601:$S$632,HLOOKUP('Personalized Bill Menu'!$B$23, 'Misc. Data &amp; Mechanisms'!$P$599:$S$600, 2, FALSE), FALSE), 'Misc. Data &amp; Mechanisms'!$L$599:$N$659, 2, FALSE), FALSE)), ""))</f>
        <v>0.81399999999999995</v>
      </c>
      <c r="AC62" s="69">
        <f ca="1">IF($A62="", "",IFERROR(IF(VLOOKUP($A62, INDIRECT("'" &amp; 'Personalized Bill Menu'!$B$23 &amp; "'!" &amp;"$A$4:$CA$100"), VLOOKUP(VLOOKUP("RIDER RATE 6",'Misc. Data &amp; Mechanisms'!$P$601:$S$632,HLOOKUP('Personalized Bill Menu'!$B$23, 'Misc. Data &amp; Mechanisms'!$P$599:$S$600, 2, FALSE), FALSE), 'Misc. Data &amp; Mechanisms'!$L$599:$N$659, 2, FALSE), FALSE) = "", "", VLOOKUP($A62, INDIRECT("'" &amp; 'Personalized Bill Menu'!$B$23 &amp; "'!" &amp;"$A$4:$CA$100"), VLOOKUP(VLOOKUP("RIDER RATE 6",'Misc. Data &amp; Mechanisms'!$P$601:$S$632,HLOOKUP('Personalized Bill Menu'!$B$23, 'Misc. Data &amp; Mechanisms'!$P$599:$S$600, 2, FALSE), FALSE), 'Misc. Data &amp; Mechanisms'!$L$599:$N$659, 2, FALSE), FALSE)), ""))</f>
        <v>0.40699999999999997</v>
      </c>
      <c r="AD62" s="69" t="str">
        <f ca="1">IF($A62="", "",IFERROR(IF(VLOOKUP($A62, INDIRECT("'" &amp; 'Personalized Bill Menu'!$B$23 &amp; "'!" &amp;"$A$4:$CA$100"), VLOOKUP(VLOOKUP("RIDER RATE 7",'Misc. Data &amp; Mechanisms'!$P$601:$S$632,HLOOKUP('Personalized Bill Menu'!$B$23, 'Misc. Data &amp; Mechanisms'!$P$599:$S$600, 2, FALSE), FALSE), 'Misc. Data &amp; Mechanisms'!$L$599:$N$659, 2, FALSE), FALSE) = "", "", VLOOKUP($A62, INDIRECT("'" &amp; 'Personalized Bill Menu'!$B$23 &amp; "'!" &amp;"$A$4:$CA$100"), VLOOKUP(VLOOKUP("RIDER RATE 7",'Misc. Data &amp; Mechanisms'!$P$601:$S$632,HLOOKUP('Personalized Bill Menu'!$B$23, 'Misc. Data &amp; Mechanisms'!$P$599:$S$600, 2, FALSE), FALSE), 'Misc. Data &amp; Mechanisms'!$L$599:$N$659, 2, FALSE), FALSE)), ""))</f>
        <v/>
      </c>
      <c r="AE62" s="69" t="str">
        <f ca="1">IF($A62="", "",IFERROR(IF(VLOOKUP($A62, INDIRECT("'" &amp; 'Personalized Bill Menu'!$B$23 &amp; "'!" &amp;"$A$4:$CA$100"), VLOOKUP(VLOOKUP("RIDER RATE 8",'Misc. Data &amp; Mechanisms'!$P$601:$S$632,HLOOKUP('Personalized Bill Menu'!$B$23, 'Misc. Data &amp; Mechanisms'!$P$599:$S$600, 2, FALSE), FALSE), 'Misc. Data &amp; Mechanisms'!$L$599:$N$659, 2, FALSE), FALSE) = "", "", VLOOKUP($A62, INDIRECT("'" &amp; 'Personalized Bill Menu'!$B$23 &amp; "'!" &amp;"$A$4:$CA$100"), VLOOKUP(VLOOKUP("RIDER RATE 8",'Misc. Data &amp; Mechanisms'!$P$601:$S$632,HLOOKUP('Personalized Bill Menu'!$B$23, 'Misc. Data &amp; Mechanisms'!$P$599:$S$600, 2, FALSE), FALSE), 'Misc. Data &amp; Mechanisms'!$L$599:$N$659, 2, FALSE), FALSE)), ""))</f>
        <v/>
      </c>
      <c r="AF62" s="69" t="str">
        <f ca="1">IF($A62="", "",IFERROR(IF(VLOOKUP($A62, INDIRECT("'" &amp; 'Personalized Bill Menu'!$B$23 &amp; "'!" &amp;"$A$4:$CA$100"), VLOOKUP(VLOOKUP("RIDER RATE 9",'Misc. Data &amp; Mechanisms'!$P$601:$S$632,HLOOKUP('Personalized Bill Menu'!$B$23, 'Misc. Data &amp; Mechanisms'!$P$599:$S$600, 2, FALSE), FALSE), 'Misc. Data &amp; Mechanisms'!$L$599:$N$659, 2, FALSE), FALSE) = "", "", VLOOKUP($A62, INDIRECT("'" &amp; 'Personalized Bill Menu'!$B$23 &amp; "'!" &amp;"$A$4:$CA$100"), VLOOKUP(VLOOKUP("RIDER RATE 9",'Misc. Data &amp; Mechanisms'!$P$601:$S$632,HLOOKUP('Personalized Bill Menu'!$B$23, 'Misc. Data &amp; Mechanisms'!$P$599:$S$600, 2, FALSE), FALSE), 'Misc. Data &amp; Mechanisms'!$L$599:$N$659, 2, FALSE), FALSE)), ""))</f>
        <v/>
      </c>
      <c r="AG62" s="72">
        <f ca="1">IF($A62="", "", IFERROR(IF('Personalized Bill Menu'!$B$23="ATCO-N", ($X62*$B62) +($Y62*$C62), IF('Personalized Bill Menu'!$B$23="ATCO-S",$X62*$C62, IF($Y62="", ($X62*$H62), ($Y62*($H62+$K62))))), 0))</f>
        <v>0</v>
      </c>
      <c r="AH62" s="72">
        <f ca="1">IF($A62="", "", IFERROR(IF('Personalized Bill Menu'!$B$23="ATCO-S", $Y62*$C62, $Z62*$C62), 0))</f>
        <v>0</v>
      </c>
      <c r="AI62" s="72">
        <f ca="1">IF($A62="", "", IFERROR(IF('Personalized Bill Menu'!$B$23="ATCO-S", ($AA62*$C62)+($Z62*$B62), $AA62*$C62), 0))</f>
        <v>0</v>
      </c>
      <c r="AJ62" s="72">
        <f ca="1">IF($A62="", "", IFERROR(IF('Personalized Bill Menu'!$B$23&lt;&gt;"AltaGas",$AB62*$C62,""),0))</f>
        <v>2.2151907116749587</v>
      </c>
      <c r="AK62" s="72">
        <f ca="1">IF($A62="", "", IFERROR(IF('Personalized Bill Menu'!$B$23="ATCO-S",$AC62*$C62,IF('Personalized Bill Menu'!$B$23="ATCO-N",$AC62*1,"")),0))</f>
        <v>1.1075953558374794</v>
      </c>
      <c r="AL62" s="72">
        <f ca="1">IF($A62="", "", IFERROR(IF('Personalized Bill Menu'!$B$23="ATCO-N",$AD62*$B62,IF('Personalized Bill Menu'!$B$23="ATCO-S",$AD62*1,"")),0))</f>
        <v>0</v>
      </c>
      <c r="AM62" s="72">
        <f ca="1">IF($A62="", "", IFERROR(IF('Personalized Bill Menu'!$B$23="ATCO-S",$AE62*$B62,IF('Personalized Bill Menu'!$B$23="ATCO-N",$AE62*$B62,"")),0))</f>
        <v>0</v>
      </c>
      <c r="AN62" s="70">
        <f ca="1">IF($A62="", "", IFERROR(IF('Personalized Bill Menu'!$B$23="ATCO-S",$AF62*$B62,""),0))</f>
        <v>0</v>
      </c>
      <c r="AO62" s="69">
        <f>IF('Personalized Bill Menu'!$B$34="Natural Gas", 'Personalized Bill Menu'!$K59, IF('Personalized Bill Menu'!$B$34="Both",'Personalized Bill Menu'!$O59,""))</f>
        <v>0.249</v>
      </c>
      <c r="AP62" s="72">
        <f t="shared" si="13"/>
        <v>7.7190000000000003</v>
      </c>
      <c r="AQ62" s="89" t="str">
        <f ca="1">IF($A62="", "",IF(VLOOKUP($A62, INDIRECT("'" &amp; 'Personalized Bill Menu'!$B$23 &amp; "'!" &amp;"$A$4:$CA$100"), VLOOKUP(VLOOKUP(AQ$5,'Misc. Data &amp; Mechanisms'!$P$601:$S$632,HLOOKUP('Personalized Bill Menu'!$B$23, 'Misc. Data &amp; Mechanisms'!$P$599:$S$600, 2, FALSE), FALSE), 'Misc. Data &amp; Mechanisms'!$L$599:$N$659, 2, FALSE), FALSE) = "", "", VLOOKUP($A62, INDIRECT("'" &amp; 'Personalized Bill Menu'!$B$23 &amp; "'!" &amp;"$A$4:$CA$100"), VLOOKUP(VLOOKUP(AQ$5,'Misc. Data &amp; Mechanisms'!$P$601:$S$632,HLOOKUP('Personalized Bill Menu'!$B$23, 'Misc. Data &amp; Mechanisms'!$P$599:$S$600, 2, FALSE), FALSE), 'Misc. Data &amp; Mechanisms'!$L$599:$N$659, 2, FALSE), FALSE)))</f>
        <v/>
      </c>
      <c r="AR62" s="72">
        <f t="shared" ca="1" si="14"/>
        <v>0</v>
      </c>
      <c r="AS62" s="91">
        <f ca="1">IF($A62="", "",IF(VLOOKUP($A62, INDIRECT("'" &amp; 'Personalized Bill Menu'!$B$23 &amp; "'!" &amp;"$A$4:$CA$100"), VLOOKUP(VLOOKUP(AS$5,'Misc. Data &amp; Mechanisms'!$P$601:$S$632,HLOOKUP('Personalized Bill Menu'!$B$23, 'Misc. Data &amp; Mechanisms'!$P$599:$S$600, 2, FALSE), FALSE), 'Misc. Data &amp; Mechanisms'!$L$599:$N$659, 2, FALSE), FALSE) = "", "", VLOOKUP($A62, INDIRECT("'" &amp; 'Personalized Bill Menu'!$B$23 &amp; "'!" &amp;"$A$4:$CA$100"), VLOOKUP(VLOOKUP(AS$5,'Misc. Data &amp; Mechanisms'!$P$601:$S$632,HLOOKUP('Personalized Bill Menu'!$B$23, 'Misc. Data &amp; Mechanisms'!$P$599:$S$600, 2, FALSE), FALSE), 'Misc. Data &amp; Mechanisms'!$L$599:$N$659, 2, FALSE), FALSE)))</f>
        <v>0.05</v>
      </c>
    </row>
    <row r="63" spans="1:50" x14ac:dyDescent="0.3">
      <c r="A63" s="83">
        <f>'Personalized Bill Menu'!$H60</f>
        <v>42614</v>
      </c>
      <c r="B63" s="84">
        <f t="shared" si="3"/>
        <v>30</v>
      </c>
      <c r="C63" s="85">
        <f>IF('Personalized Bill Menu'!$B$34="Natural Gas", 'Personalized Bill Menu'!$I60, IF('Personalized Bill Menu'!$B$34="Both",'Personalized Bill Menu'!$M60,""))</f>
        <v>5.6569072059323897</v>
      </c>
      <c r="D63" s="66">
        <f t="shared" ca="1" si="4"/>
        <v>11.602905489755974</v>
      </c>
      <c r="E63" s="66">
        <f ca="1">IF($C63="Not Applicable", "", IFERROR(IFERROR((1+$AS63)*IF('Personalized Bill Menu'!$B$23="ATCO-N", IF(OR('Personalized Bill Menu'!$B$21="Fort McMurray",AND('Personalized Bill Menu'!$B$21="Spruce Grove", $A63&lt;DATE(2019, 5, 1) )),(((1+IF($T63="",0,$T63))*($N63+$P63))+ (IF($U63="", 0, $U63)*$P63)+(1+IF($T63="",0,$T63)+IF($U63="", 0, $U63))*(SUM($Y63:$AB63))),($N63+((1+IF($T63="",0,$T63)+IF($U63="", 0, $U63))*$P63)+(1+IF($T63="",0,$T63)+IF($U63="", 0, $U63))*(SUM($Y63:$AB63)))), IF('Personalized Bill Menu'!$B$23="ATCO-S",IF(OR('Personalized Bill Menu'!$B$21="Calgary",AND('Personalized Bill Menu'!$B$21="Okotoks", $A63&lt;DATE(2019, 1, 1))),((1+IF($T63="",0,$T63))*($N63+$P63+SUM($X63:$Y63,$AA63:$AC63)))+(IF($U63="",0, $U63)*($P63+SUM($X63:$Y63,$AA63:$AC63))), ((1+IF($T63="",0,$T63))*($P63+SUM($Y63,$AA63:$AC63)))+(IF($U63="",0, $U63)*($P63+SUM($X63:$Y63,$AA63:$AC63)))+$N63+IF($X63="", 0, $X63)),IF(AND('Personalized Bill Menu'!$B$21="Athabasca", $A63&lt;DATE(2019, 5, 1)),((1+IF($T63="",0,$T63)+IF($U63="", 0, $U63))*($N63+((1+SUM($X63:$Y63))*$P63)+SUM($Z63:$AA63))),((1+IF($U63="", 0, $U63))*($N63+((1+SUM($X63:$Y63))*$P63)+SUM($Z63:$AA63))) + (IF($T63="",0,$T63)*(((1+SUM($X63:$Y63))*$P63)+SUM($Z63:$AA63)))))), "")+ IF($AQ63="", 0,((1+$AS63)*$AQ63)), ""))</f>
        <v>4.9326173399999993</v>
      </c>
      <c r="F63" s="118">
        <f t="shared" ca="1" si="5"/>
        <v>65.636559674753059</v>
      </c>
      <c r="G63" s="115">
        <f t="shared" si="15"/>
        <v>13.299388841147048</v>
      </c>
      <c r="H63" s="66">
        <f t="shared" ca="1" si="16"/>
        <v>28.76056329092048</v>
      </c>
      <c r="I63" s="66">
        <f t="shared" ca="1" si="17"/>
        <v>5.5036055473683865</v>
      </c>
      <c r="J63" s="66">
        <f t="shared" ca="1" si="6"/>
        <v>7.4774515346146142</v>
      </c>
      <c r="K63" s="66">
        <f t="shared" si="18"/>
        <v>7.47</v>
      </c>
      <c r="L63" s="66">
        <f t="shared" ca="1" si="8"/>
        <v>0</v>
      </c>
      <c r="M63" s="68">
        <f t="shared" ca="1" si="9"/>
        <v>3.1255504607025268</v>
      </c>
      <c r="N63" s="1290">
        <f>IF('Personalized Bill Menu'!$B$34="Natural Gas", 'Personalized Bill Menu'!$J60, IF('Personalized Bill Menu'!$B$34="Both",'Personalized Bill Menu'!$N60,""))</f>
        <v>2.351</v>
      </c>
      <c r="O63" s="70">
        <f t="shared" si="10"/>
        <v>13.299388841147048</v>
      </c>
      <c r="P63" s="89">
        <f ca="1">IF($A63="", "",IFERROR(IF(VLOOKUP($A63, INDIRECT("'" &amp; 'Personalized Bill Menu'!$B$23 &amp; "'!" &amp;"$A$4:$CA$100"), VLOOKUP(VLOOKUP(P$5,'Misc. Data &amp; Mechanisms'!$P$601:$S$632,HLOOKUP('Personalized Bill Menu'!$B$23, 'Misc. Data &amp; Mechanisms'!$P$599:$S$600, 2, FALSE), FALSE), 'Misc. Data &amp; Mechanisms'!$L$599:$N$659, 2, FALSE), FALSE) = "", "", VLOOKUP($A63, INDIRECT("'" &amp; 'Personalized Bill Menu'!$B$23 &amp; "'!" &amp;"$A$4:$CA$100"), VLOOKUP(VLOOKUP(P$5,'Misc. Data &amp; Mechanisms'!$P$601:$S$632,HLOOKUP('Personalized Bill Menu'!$B$23, 'Misc. Data &amp; Mechanisms'!$P$599:$S$600, 2, FALSE), FALSE), 'Misc. Data &amp; Mechanisms'!$L$599:$N$659, 2, FALSE), FALSE)), ""))</f>
        <v>0.76200000000000001</v>
      </c>
      <c r="Q63" s="69">
        <f ca="1">IF($A63="", "",IFERROR(IF(VLOOKUP($A63, INDIRECT("'" &amp; 'Personalized Bill Menu'!$B$23 &amp; "'!" &amp;"$A$4:$CA$100"), VLOOKUP(VLOOKUP(Q$5,'Misc. Data &amp; Mechanisms'!$P$601:$S$632,HLOOKUP('Personalized Bill Menu'!$B$23, 'Misc. Data &amp; Mechanisms'!$P$599:$S$600, 2, FALSE), FALSE), 'Misc. Data &amp; Mechanisms'!$L$599:$N$659, 2, FALSE), FALSE) = "", "", VLOOKUP($A63, INDIRECT("'" &amp; 'Personalized Bill Menu'!$B$23 &amp; "'!" &amp;"$A$4:$CA$100"), VLOOKUP(VLOOKUP(Q$5,'Misc. Data &amp; Mechanisms'!$P$601:$S$632,HLOOKUP('Personalized Bill Menu'!$B$23, 'Misc. Data &amp; Mechanisms'!$P$599:$S$600, 2, FALSE), FALSE), 'Misc. Data &amp; Mechanisms'!$L$599:$N$659, 2, FALSE), FALSE)), ""))</f>
        <v>0.81499999999999995</v>
      </c>
      <c r="R63" s="72">
        <f t="shared" ca="1" si="11"/>
        <v>4.3105632909204807</v>
      </c>
      <c r="S63" s="70">
        <f t="shared" ca="1" si="12"/>
        <v>24.45</v>
      </c>
      <c r="T63" s="78">
        <f>IFERROR(IF(VLOOKUP($A63,'Misc. Data &amp; Mechanisms'!$A$63:$DY$152,HLOOKUP('Personalized Bill Menu'!$B$21&amp;"_"&amp;'Personalized Bill Menu'!$B$23&amp;"_NG_Y_1",'Misc. Data &amp; Mechanisms'!$A$55:$DY$62,8,FALSE), FALSE)="", "", VLOOKUP($A63,'Misc. Data &amp; Mechanisms'!$A$63:$DY$152,HLOOKUP('Personalized Bill Menu'!$B$21&amp;"_"&amp;'Personalized Bill Menu'!$B$23&amp;"_NG_Y_1",'Misc. Data &amp; Mechanisms'!$A$55:$DY$62,8,FALSE), FALSE)), "")</f>
        <v>0.1111</v>
      </c>
      <c r="U63" s="78" t="str">
        <f>IFERROR(IF(VLOOKUP($A63,'Misc. Data &amp; Mechanisms'!$A$63:$DY$152,HLOOKUP('Personalized Bill Menu'!$B$21&amp;"_"&amp;'Personalized Bill Menu'!$B$23&amp;"_NG_Y_2",'Misc. Data &amp; Mechanisms'!$A$55:$DY$62,8,FALSE), FALSE)="", "",VLOOKUP($A63,'Misc. Data &amp; Mechanisms'!$A$63:$DY$152,HLOOKUP('Personalized Bill Menu'!$B$21&amp;"_"&amp;'Personalized Bill Menu'!$B$23&amp;"_NG_Y_2",'Misc. Data &amp; Mechanisms'!$A$55:$DY$62,8,FALSE), FALSE)), "")</f>
        <v/>
      </c>
      <c r="V63" s="72">
        <f ca="1">IF($A63="", "", IFERROR(IF('Personalized Bill Menu'!$B$23="ATCO-N", IF(OR('Personalized Bill Menu'!$B$21="Fort McMurray",AND('Personalized Bill Menu'!$B$21="Spruce Grove", $A63&lt;DATE(2019, 5, 1))),$T63*($G63+$H63+$J63),$T63*($H63+$J63)), IF('Personalized Bill Menu'!$B$23="ATCO-S",IF(OR('Personalized Bill Menu'!$B$21="Calgary",AND('Personalized Bill Menu'!$B$21="Okotoks", $A63&lt;DATE(2019, 1, 1))),$T63*($G63+$H63+$J63), $T63*($H63+$J63-$AG63)),IF(AND('Personalized Bill Menu'!$B$21="Athabasca", $A63&lt;DATE(2019, 5, 1)),$T63*($G63+$H63+$J63+$K63),$T63*($H63+$J63+$K63)))),0))</f>
        <v>5.5036055473683865</v>
      </c>
      <c r="W63" s="72">
        <f ca="1">IF($A63="", "", IFERROR(IF('Personalized Bill Menu'!$B$23="ATCO-N", $U63*($H63+$J63), IF('Personalized Bill Menu'!$B$23="ATCO-S",$U63*($H63+$J63),$U63*($G63+$H63+$J63+$K63))),0))</f>
        <v>0</v>
      </c>
      <c r="X63" s="89" t="str">
        <f ca="1">IF($A63="", "",IFERROR(IF(VLOOKUP($A63, INDIRECT("'" &amp; 'Personalized Bill Menu'!$B$23 &amp; "'!" &amp;"$A$4:$CA$100"), VLOOKUP(VLOOKUP("RIDER RATE 1",'Misc. Data &amp; Mechanisms'!$P$601:$S$632,HLOOKUP('Personalized Bill Menu'!$B$23, 'Misc. Data &amp; Mechanisms'!$P$599:$S$600, 2, FALSE), FALSE), 'Misc. Data &amp; Mechanisms'!$L$599:$N$659, 2, FALSE), FALSE) = "", "", VLOOKUP($A63, INDIRECT("'" &amp; 'Personalized Bill Menu'!$B$23 &amp; "'!" &amp;"$A$4:$CA$100"), VLOOKUP(VLOOKUP("RIDER RATE 1",'Misc. Data &amp; Mechanisms'!$P$601:$S$632,HLOOKUP('Personalized Bill Menu'!$B$23, 'Misc. Data &amp; Mechanisms'!$P$599:$S$600, 2, FALSE), FALSE), 'Misc. Data &amp; Mechanisms'!$L$599:$N$659, 2, FALSE), FALSE)), ""))</f>
        <v/>
      </c>
      <c r="Y63" s="69" t="str">
        <f ca="1">IF($A63="", "",IFERROR(IF(VLOOKUP($A63, INDIRECT("'" &amp; 'Personalized Bill Menu'!$B$23 &amp; "'!" &amp;"$A$4:$CA$100"), VLOOKUP(VLOOKUP("RIDER RATE 2",'Misc. Data &amp; Mechanisms'!$P$601:$S$632,HLOOKUP('Personalized Bill Menu'!$B$23, 'Misc. Data &amp; Mechanisms'!$P$599:$S$600, 2, FALSE), FALSE), 'Misc. Data &amp; Mechanisms'!$L$599:$N$659, 2, FALSE), FALSE) = "", "", VLOOKUP($A63, INDIRECT("'" &amp; 'Personalized Bill Menu'!$B$23 &amp; "'!" &amp;"$A$4:$CA$100"), VLOOKUP(VLOOKUP("RIDER RATE 2",'Misc. Data &amp; Mechanisms'!$P$601:$S$632,HLOOKUP('Personalized Bill Menu'!$B$23, 'Misc. Data &amp; Mechanisms'!$P$599:$S$600, 2, FALSE), FALSE), 'Misc. Data &amp; Mechanisms'!$L$599:$N$659, 2, FALSE), FALSE)), ""))</f>
        <v/>
      </c>
      <c r="Z63" s="69">
        <f ca="1">IF($A63="", "",IFERROR(IF(VLOOKUP($A63, INDIRECT("'" &amp; 'Personalized Bill Menu'!$B$23 &amp; "'!" &amp;"$A$4:$CA$100"), VLOOKUP(VLOOKUP("RIDER RATE 3",'Misc. Data &amp; Mechanisms'!$P$601:$S$632,HLOOKUP('Personalized Bill Menu'!$B$23, 'Misc. Data &amp; Mechanisms'!$P$599:$S$600, 2, FALSE), FALSE), 'Misc. Data &amp; Mechanisms'!$L$599:$N$659, 2, FALSE), FALSE) = "", "", VLOOKUP($A63, INDIRECT("'" &amp; 'Personalized Bill Menu'!$B$23 &amp; "'!" &amp;"$A$4:$CA$100"), VLOOKUP(VLOOKUP("RIDER RATE 3",'Misc. Data &amp; Mechanisms'!$P$601:$S$632,HLOOKUP('Personalized Bill Menu'!$B$23, 'Misc. Data &amp; Mechanisms'!$P$599:$S$600, 2, FALSE), FALSE), 'Misc. Data &amp; Mechanisms'!$L$599:$N$659, 2, FALSE), FALSE)), ""))</f>
        <v>3.9E-2</v>
      </c>
      <c r="AA63" s="69">
        <f ca="1">IF($A63="", "",IFERROR(IF(VLOOKUP($A63, INDIRECT("'" &amp; 'Personalized Bill Menu'!$B$23 &amp; "'!" &amp;"$A$4:$CA$100"), VLOOKUP(VLOOKUP("RIDER RATE 4",'Misc. Data &amp; Mechanisms'!$P$601:$S$632,HLOOKUP('Personalized Bill Menu'!$B$23, 'Misc. Data &amp; Mechanisms'!$P$599:$S$600, 2, FALSE), FALSE), 'Misc. Data &amp; Mechanisms'!$L$599:$N$659, 2, FALSE), FALSE) = "", "", VLOOKUP($A63, INDIRECT("'" &amp; 'Personalized Bill Menu'!$B$23 &amp; "'!" &amp;"$A$4:$CA$100"), VLOOKUP(VLOOKUP("RIDER RATE 4",'Misc. Data &amp; Mechanisms'!$P$601:$S$632,HLOOKUP('Personalized Bill Menu'!$B$23, 'Misc. Data &amp; Mechanisms'!$P$599:$S$600, 2, FALSE), FALSE), 'Misc. Data &amp; Mechanisms'!$L$599:$N$659, 2, FALSE), FALSE)), ""))</f>
        <v>3.2000000000000001E-2</v>
      </c>
      <c r="AB63" s="69">
        <f ca="1">IF($A63="", "",IFERROR(IF(VLOOKUP($A63, INDIRECT("'" &amp; 'Personalized Bill Menu'!$B$23 &amp; "'!" &amp;"$A$4:$CA$100"), VLOOKUP(VLOOKUP("RIDER RATE 5",'Misc. Data &amp; Mechanisms'!$P$601:$S$632,HLOOKUP('Personalized Bill Menu'!$B$23, 'Misc. Data &amp; Mechanisms'!$P$599:$S$600, 2, FALSE), FALSE), 'Misc. Data &amp; Mechanisms'!$L$599:$N$659, 2, FALSE), FALSE) = "", "", VLOOKUP($A63, INDIRECT("'" &amp; 'Personalized Bill Menu'!$B$23 &amp; "'!" &amp;"$A$4:$CA$100"), VLOOKUP(VLOOKUP("RIDER RATE 5",'Misc. Data &amp; Mechanisms'!$P$601:$S$632,HLOOKUP('Personalized Bill Menu'!$B$23, 'Misc. Data &amp; Mechanisms'!$P$599:$S$600, 2, FALSE), FALSE), 'Misc. Data &amp; Mechanisms'!$L$599:$N$659, 2, FALSE), FALSE)), ""))</f>
        <v>0.81399999999999995</v>
      </c>
      <c r="AC63" s="69">
        <f ca="1">IF($A63="", "",IFERROR(IF(VLOOKUP($A63, INDIRECT("'" &amp; 'Personalized Bill Menu'!$B$23 &amp; "'!" &amp;"$A$4:$CA$100"), VLOOKUP(VLOOKUP("RIDER RATE 6",'Misc. Data &amp; Mechanisms'!$P$601:$S$632,HLOOKUP('Personalized Bill Menu'!$B$23, 'Misc. Data &amp; Mechanisms'!$P$599:$S$600, 2, FALSE), FALSE), 'Misc. Data &amp; Mechanisms'!$L$599:$N$659, 2, FALSE), FALSE) = "", "", VLOOKUP($A63, INDIRECT("'" &amp; 'Personalized Bill Menu'!$B$23 &amp; "'!" &amp;"$A$4:$CA$100"), VLOOKUP(VLOOKUP("RIDER RATE 6",'Misc. Data &amp; Mechanisms'!$P$601:$S$632,HLOOKUP('Personalized Bill Menu'!$B$23, 'Misc. Data &amp; Mechanisms'!$P$599:$S$600, 2, FALSE), FALSE), 'Misc. Data &amp; Mechanisms'!$L$599:$N$659, 2, FALSE), FALSE)), ""))</f>
        <v>0.26900000000000002</v>
      </c>
      <c r="AD63" s="69" t="str">
        <f ca="1">IF($A63="", "",IFERROR(IF(VLOOKUP($A63, INDIRECT("'" &amp; 'Personalized Bill Menu'!$B$23 &amp; "'!" &amp;"$A$4:$CA$100"), VLOOKUP(VLOOKUP("RIDER RATE 7",'Misc. Data &amp; Mechanisms'!$P$601:$S$632,HLOOKUP('Personalized Bill Menu'!$B$23, 'Misc. Data &amp; Mechanisms'!$P$599:$S$600, 2, FALSE), FALSE), 'Misc. Data &amp; Mechanisms'!$L$599:$N$659, 2, FALSE), FALSE) = "", "", VLOOKUP($A63, INDIRECT("'" &amp; 'Personalized Bill Menu'!$B$23 &amp; "'!" &amp;"$A$4:$CA$100"), VLOOKUP(VLOOKUP("RIDER RATE 7",'Misc. Data &amp; Mechanisms'!$P$601:$S$632,HLOOKUP('Personalized Bill Menu'!$B$23, 'Misc. Data &amp; Mechanisms'!$P$599:$S$600, 2, FALSE), FALSE), 'Misc. Data &amp; Mechanisms'!$L$599:$N$659, 2, FALSE), FALSE)), ""))</f>
        <v/>
      </c>
      <c r="AE63" s="69" t="str">
        <f ca="1">IF($A63="", "",IFERROR(IF(VLOOKUP($A63, INDIRECT("'" &amp; 'Personalized Bill Menu'!$B$23 &amp; "'!" &amp;"$A$4:$CA$100"), VLOOKUP(VLOOKUP("RIDER RATE 8",'Misc. Data &amp; Mechanisms'!$P$601:$S$632,HLOOKUP('Personalized Bill Menu'!$B$23, 'Misc. Data &amp; Mechanisms'!$P$599:$S$600, 2, FALSE), FALSE), 'Misc. Data &amp; Mechanisms'!$L$599:$N$659, 2, FALSE), FALSE) = "", "", VLOOKUP($A63, INDIRECT("'" &amp; 'Personalized Bill Menu'!$B$23 &amp; "'!" &amp;"$A$4:$CA$100"), VLOOKUP(VLOOKUP("RIDER RATE 8",'Misc. Data &amp; Mechanisms'!$P$601:$S$632,HLOOKUP('Personalized Bill Menu'!$B$23, 'Misc. Data &amp; Mechanisms'!$P$599:$S$600, 2, FALSE), FALSE), 'Misc. Data &amp; Mechanisms'!$L$599:$N$659, 2, FALSE), FALSE)), ""))</f>
        <v/>
      </c>
      <c r="AF63" s="69" t="str">
        <f ca="1">IF($A63="", "",IFERROR(IF(VLOOKUP($A63, INDIRECT("'" &amp; 'Personalized Bill Menu'!$B$23 &amp; "'!" &amp;"$A$4:$CA$100"), VLOOKUP(VLOOKUP("RIDER RATE 9",'Misc. Data &amp; Mechanisms'!$P$601:$S$632,HLOOKUP('Personalized Bill Menu'!$B$23, 'Misc. Data &amp; Mechanisms'!$P$599:$S$600, 2, FALSE), FALSE), 'Misc. Data &amp; Mechanisms'!$L$599:$N$659, 2, FALSE), FALSE) = "", "", VLOOKUP($A63, INDIRECT("'" &amp; 'Personalized Bill Menu'!$B$23 &amp; "'!" &amp;"$A$4:$CA$100"), VLOOKUP(VLOOKUP("RIDER RATE 9",'Misc. Data &amp; Mechanisms'!$P$601:$S$632,HLOOKUP('Personalized Bill Menu'!$B$23, 'Misc. Data &amp; Mechanisms'!$P$599:$S$600, 2, FALSE), FALSE), 'Misc. Data &amp; Mechanisms'!$L$599:$N$659, 2, FALSE), FALSE)), ""))</f>
        <v/>
      </c>
      <c r="AG63" s="72">
        <f ca="1">IF($A63="", "", IFERROR(IF('Personalized Bill Menu'!$B$23="ATCO-N", ($X63*$B63) +($Y63*$C63), IF('Personalized Bill Menu'!$B$23="ATCO-S",$X63*$C63, IF($Y63="", ($X63*$H63), ($Y63*($H63+$K63))))), 0))</f>
        <v>0</v>
      </c>
      <c r="AH63" s="72">
        <f ca="1">IF($A63="", "", IFERROR(IF('Personalized Bill Menu'!$B$23="ATCO-S", $Y63*$C63, $Z63*$C63), 0))</f>
        <v>0</v>
      </c>
      <c r="AI63" s="72">
        <f ca="1">IF($A63="", "", IFERROR(IF('Personalized Bill Menu'!$B$23="ATCO-S", ($AA63*$C63)+($Z63*$B63), $AA63*$C63), 0))</f>
        <v>1.3510210305898365</v>
      </c>
      <c r="AJ63" s="72">
        <f ca="1">IF($A63="", "", IFERROR(IF('Personalized Bill Menu'!$B$23&lt;&gt;"AltaGas",$AB63*$C63,""),0))</f>
        <v>4.6047224656289645</v>
      </c>
      <c r="AK63" s="72">
        <f ca="1">IF($A63="", "", IFERROR(IF('Personalized Bill Menu'!$B$23="ATCO-S",$AC63*$C63,IF('Personalized Bill Menu'!$B$23="ATCO-N",$AC63*1,"")),0))</f>
        <v>1.521708038395813</v>
      </c>
      <c r="AL63" s="72">
        <f ca="1">IF($A63="", "", IFERROR(IF('Personalized Bill Menu'!$B$23="ATCO-N",$AD63*$B63,IF('Personalized Bill Menu'!$B$23="ATCO-S",$AD63*1,"")),0))</f>
        <v>0</v>
      </c>
      <c r="AM63" s="72">
        <f ca="1">IF($A63="", "", IFERROR(IF('Personalized Bill Menu'!$B$23="ATCO-S",$AE63*$B63,IF('Personalized Bill Menu'!$B$23="ATCO-N",$AE63*$B63,"")),0))</f>
        <v>0</v>
      </c>
      <c r="AN63" s="70">
        <f ca="1">IF($A63="", "", IFERROR(IF('Personalized Bill Menu'!$B$23="ATCO-S",$AF63*$B63,""),0))</f>
        <v>0</v>
      </c>
      <c r="AO63" s="69">
        <f>IF('Personalized Bill Menu'!$B$34="Natural Gas", 'Personalized Bill Menu'!$K60, IF('Personalized Bill Menu'!$B$34="Both",'Personalized Bill Menu'!$O60,""))</f>
        <v>0.249</v>
      </c>
      <c r="AP63" s="72">
        <f t="shared" si="13"/>
        <v>7.47</v>
      </c>
      <c r="AQ63" s="89" t="str">
        <f ca="1">IF($A63="", "",IF(VLOOKUP($A63, INDIRECT("'" &amp; 'Personalized Bill Menu'!$B$23 &amp; "'!" &amp;"$A$4:$CA$100"), VLOOKUP(VLOOKUP(AQ$5,'Misc. Data &amp; Mechanisms'!$P$601:$S$632,HLOOKUP('Personalized Bill Menu'!$B$23, 'Misc. Data &amp; Mechanisms'!$P$599:$S$600, 2, FALSE), FALSE), 'Misc. Data &amp; Mechanisms'!$L$599:$N$659, 2, FALSE), FALSE) = "", "", VLOOKUP($A63, INDIRECT("'" &amp; 'Personalized Bill Menu'!$B$23 &amp; "'!" &amp;"$A$4:$CA$100"), VLOOKUP(VLOOKUP(AQ$5,'Misc. Data &amp; Mechanisms'!$P$601:$S$632,HLOOKUP('Personalized Bill Menu'!$B$23, 'Misc. Data &amp; Mechanisms'!$P$599:$S$600, 2, FALSE), FALSE), 'Misc. Data &amp; Mechanisms'!$L$599:$N$659, 2, FALSE), FALSE)))</f>
        <v/>
      </c>
      <c r="AR63" s="72">
        <f t="shared" ca="1" si="14"/>
        <v>0</v>
      </c>
      <c r="AS63" s="91">
        <f ca="1">IF($A63="", "",IF(VLOOKUP($A63, INDIRECT("'" &amp; 'Personalized Bill Menu'!$B$23 &amp; "'!" &amp;"$A$4:$CA$100"), VLOOKUP(VLOOKUP(AS$5,'Misc. Data &amp; Mechanisms'!$P$601:$S$632,HLOOKUP('Personalized Bill Menu'!$B$23, 'Misc. Data &amp; Mechanisms'!$P$599:$S$600, 2, FALSE), FALSE), 'Misc. Data &amp; Mechanisms'!$L$599:$N$659, 2, FALSE), FALSE) = "", "", VLOOKUP($A63, INDIRECT("'" &amp; 'Personalized Bill Menu'!$B$23 &amp; "'!" &amp;"$A$4:$CA$100"), VLOOKUP(VLOOKUP(AS$5,'Misc. Data &amp; Mechanisms'!$P$601:$S$632,HLOOKUP('Personalized Bill Menu'!$B$23, 'Misc. Data &amp; Mechanisms'!$P$599:$S$600, 2, FALSE), FALSE), 'Misc. Data &amp; Mechanisms'!$L$599:$N$659, 2, FALSE), FALSE)))</f>
        <v>0.05</v>
      </c>
    </row>
    <row r="64" spans="1:50" x14ac:dyDescent="0.3">
      <c r="A64" s="83">
        <f>'Personalized Bill Menu'!$H61</f>
        <v>42644</v>
      </c>
      <c r="B64" s="84">
        <f t="shared" si="3"/>
        <v>31</v>
      </c>
      <c r="C64" s="85">
        <f>IF('Personalized Bill Menu'!$B$34="Natural Gas", 'Personalized Bill Menu'!$I61, IF('Personalized Bill Menu'!$B$34="Both",'Personalized Bill Menu'!$M61,""))</f>
        <v>12.778760927886029</v>
      </c>
      <c r="D64" s="66">
        <f t="shared" ca="1" si="4"/>
        <v>8.3431798787068931</v>
      </c>
      <c r="E64" s="66">
        <f ca="1">IF($C64="Not Applicable", "", IFERROR(IFERROR((1+$AS64)*IF('Personalized Bill Menu'!$B$23="ATCO-N", IF(OR('Personalized Bill Menu'!$B$21="Fort McMurray",AND('Personalized Bill Menu'!$B$21="Spruce Grove", $A64&lt;DATE(2019, 5, 1) )),(((1+IF($T64="",0,$T64))*($N64+$P64))+ (IF($U64="", 0, $U64)*$P64)+(1+IF($T64="",0,$T64)+IF($U64="", 0, $U64))*(SUM($Y64:$AB64))),($N64+((1+IF($T64="",0,$T64)+IF($U64="", 0, $U64))*$P64)+(1+IF($T64="",0,$T64)+IF($U64="", 0, $U64))*(SUM($Y64:$AB64)))), IF('Personalized Bill Menu'!$B$23="ATCO-S",IF(OR('Personalized Bill Menu'!$B$21="Calgary",AND('Personalized Bill Menu'!$B$21="Okotoks", $A64&lt;DATE(2019, 1, 1))),((1+IF($T64="",0,$T64))*($N64+$P64+SUM($X64:$Y64,$AA64:$AC64)))+(IF($U64="",0, $U64)*($P64+SUM($X64:$Y64,$AA64:$AC64))), ((1+IF($T64="",0,$T64))*($P64+SUM($Y64,$AA64:$AC64)))+(IF($U64="",0, $U64)*($P64+SUM($X64:$Y64,$AA64:$AC64)))+$N64+IF($X64="", 0, $X64)),IF(AND('Personalized Bill Menu'!$B$21="Athabasca", $A64&lt;DATE(2019, 5, 1)),((1+IF($T64="",0,$T64)+IF($U64="", 0, $U64))*($N64+((1+SUM($X64:$Y64))*$P64)+SUM($Z64:$AA64))),((1+IF($U64="", 0, $U64))*($N64+((1+SUM($X64:$Y64))*$P64)+SUM($Z64:$AA64))) + (IF($T64="",0,$T64)*(((1+SUM($X64:$Y64))*$P64)+SUM($Z64:$AA64)))))), "")+ IF($AQ64="", 0,((1+$AS64)*$AQ64)), ""))</f>
        <v>5.291947079999999</v>
      </c>
      <c r="F64" s="118">
        <f t="shared" ca="1" si="5"/>
        <v>106.61550104834454</v>
      </c>
      <c r="G64" s="115">
        <f t="shared" si="15"/>
        <v>33.978725307248951</v>
      </c>
      <c r="H64" s="66">
        <f t="shared" ca="1" si="16"/>
        <v>35.002415827049148</v>
      </c>
      <c r="I64" s="66">
        <f t="shared" ca="1" si="17"/>
        <v>9.3811128581037924</v>
      </c>
      <c r="J64" s="66">
        <f t="shared" ca="1" si="6"/>
        <v>15.457318434592924</v>
      </c>
      <c r="K64" s="66">
        <f t="shared" si="18"/>
        <v>7.7190000000000003</v>
      </c>
      <c r="L64" s="66">
        <f t="shared" ca="1" si="8"/>
        <v>0</v>
      </c>
      <c r="M64" s="68">
        <f t="shared" ca="1" si="9"/>
        <v>5.0769286213497402</v>
      </c>
      <c r="N64" s="1290">
        <f>IF('Personalized Bill Menu'!$B$34="Natural Gas", 'Personalized Bill Menu'!$J61, IF('Personalized Bill Menu'!$B$34="Both",'Personalized Bill Menu'!$N61,""))</f>
        <v>2.6589999999999998</v>
      </c>
      <c r="O64" s="70">
        <f t="shared" si="10"/>
        <v>33.978725307248951</v>
      </c>
      <c r="P64" s="89">
        <f ca="1">IF($A64="", "",IFERROR(IF(VLOOKUP($A64, INDIRECT("'" &amp; 'Personalized Bill Menu'!$B$23 &amp; "'!" &amp;"$A$4:$CA$100"), VLOOKUP(VLOOKUP(P$5,'Misc. Data &amp; Mechanisms'!$P$601:$S$632,HLOOKUP('Personalized Bill Menu'!$B$23, 'Misc. Data &amp; Mechanisms'!$P$599:$S$600, 2, FALSE), FALSE), 'Misc. Data &amp; Mechanisms'!$L$599:$N$659, 2, FALSE), FALSE) = "", "", VLOOKUP($A64, INDIRECT("'" &amp; 'Personalized Bill Menu'!$B$23 &amp; "'!" &amp;"$A$4:$CA$100"), VLOOKUP(VLOOKUP(P$5,'Misc. Data &amp; Mechanisms'!$P$601:$S$632,HLOOKUP('Personalized Bill Menu'!$B$23, 'Misc. Data &amp; Mechanisms'!$P$599:$S$600, 2, FALSE), FALSE), 'Misc. Data &amp; Mechanisms'!$L$599:$N$659, 2, FALSE), FALSE)), ""))</f>
        <v>0.76200000000000001</v>
      </c>
      <c r="Q64" s="69">
        <f ca="1">IF($A64="", "",IFERROR(IF(VLOOKUP($A64, INDIRECT("'" &amp; 'Personalized Bill Menu'!$B$23 &amp; "'!" &amp;"$A$4:$CA$100"), VLOOKUP(VLOOKUP(Q$5,'Misc. Data &amp; Mechanisms'!$P$601:$S$632,HLOOKUP('Personalized Bill Menu'!$B$23, 'Misc. Data &amp; Mechanisms'!$P$599:$S$600, 2, FALSE), FALSE), 'Misc. Data &amp; Mechanisms'!$L$599:$N$659, 2, FALSE), FALSE) = "", "", VLOOKUP($A64, INDIRECT("'" &amp; 'Personalized Bill Menu'!$B$23 &amp; "'!" &amp;"$A$4:$CA$100"), VLOOKUP(VLOOKUP(Q$5,'Misc. Data &amp; Mechanisms'!$P$601:$S$632,HLOOKUP('Personalized Bill Menu'!$B$23, 'Misc. Data &amp; Mechanisms'!$P$599:$S$600, 2, FALSE), FALSE), 'Misc. Data &amp; Mechanisms'!$L$599:$N$659, 2, FALSE), FALSE)), ""))</f>
        <v>0.81499999999999995</v>
      </c>
      <c r="R64" s="72">
        <f t="shared" ca="1" si="11"/>
        <v>9.7374158270491549</v>
      </c>
      <c r="S64" s="70">
        <f t="shared" ca="1" si="12"/>
        <v>25.264999999999997</v>
      </c>
      <c r="T64" s="78">
        <f>IFERROR(IF(VLOOKUP($A64,'Misc. Data &amp; Mechanisms'!$A$63:$DY$152,HLOOKUP('Personalized Bill Menu'!$B$21&amp;"_"&amp;'Personalized Bill Menu'!$B$23&amp;"_NG_Y_1",'Misc. Data &amp; Mechanisms'!$A$55:$DY$62,8,FALSE), FALSE)="", "", VLOOKUP($A64,'Misc. Data &amp; Mechanisms'!$A$63:$DY$152,HLOOKUP('Personalized Bill Menu'!$B$21&amp;"_"&amp;'Personalized Bill Menu'!$B$23&amp;"_NG_Y_1",'Misc. Data &amp; Mechanisms'!$A$55:$DY$62,8,FALSE), FALSE)), "")</f>
        <v>0.1111</v>
      </c>
      <c r="U64" s="78" t="str">
        <f>IFERROR(IF(VLOOKUP($A64,'Misc. Data &amp; Mechanisms'!$A$63:$DY$152,HLOOKUP('Personalized Bill Menu'!$B$21&amp;"_"&amp;'Personalized Bill Menu'!$B$23&amp;"_NG_Y_2",'Misc. Data &amp; Mechanisms'!$A$55:$DY$62,8,FALSE), FALSE)="", "",VLOOKUP($A64,'Misc. Data &amp; Mechanisms'!$A$63:$DY$152,HLOOKUP('Personalized Bill Menu'!$B$21&amp;"_"&amp;'Personalized Bill Menu'!$B$23&amp;"_NG_Y_2",'Misc. Data &amp; Mechanisms'!$A$55:$DY$62,8,FALSE), FALSE)), "")</f>
        <v/>
      </c>
      <c r="V64" s="72">
        <f ca="1">IF($A64="", "", IFERROR(IF('Personalized Bill Menu'!$B$23="ATCO-N", IF(OR('Personalized Bill Menu'!$B$21="Fort McMurray",AND('Personalized Bill Menu'!$B$21="Spruce Grove", $A64&lt;DATE(2019, 5, 1))),$T64*($G64+$H64+$J64),$T64*($H64+$J64)), IF('Personalized Bill Menu'!$B$23="ATCO-S",IF(OR('Personalized Bill Menu'!$B$21="Calgary",AND('Personalized Bill Menu'!$B$21="Okotoks", $A64&lt;DATE(2019, 1, 1))),$T64*($G64+$H64+$J64), $T64*($H64+$J64-$AG64)),IF(AND('Personalized Bill Menu'!$B$21="Athabasca", $A64&lt;DATE(2019, 5, 1)),$T64*($G64+$H64+$J64+$K64),$T64*($H64+$J64+$K64)))),0))</f>
        <v>9.3811128581037924</v>
      </c>
      <c r="W64" s="72">
        <f ca="1">IF($A64="", "", IFERROR(IF('Personalized Bill Menu'!$B$23="ATCO-N", $U64*($H64+$J64), IF('Personalized Bill Menu'!$B$23="ATCO-S",$U64*($H64+$J64),$U64*($G64+$H64+$J64+$K64))),0))</f>
        <v>0</v>
      </c>
      <c r="X64" s="89" t="str">
        <f ca="1">IF($A64="", "",IFERROR(IF(VLOOKUP($A64, INDIRECT("'" &amp; 'Personalized Bill Menu'!$B$23 &amp; "'!" &amp;"$A$4:$CA$100"), VLOOKUP(VLOOKUP("RIDER RATE 1",'Misc. Data &amp; Mechanisms'!$P$601:$S$632,HLOOKUP('Personalized Bill Menu'!$B$23, 'Misc. Data &amp; Mechanisms'!$P$599:$S$600, 2, FALSE), FALSE), 'Misc. Data &amp; Mechanisms'!$L$599:$N$659, 2, FALSE), FALSE) = "", "", VLOOKUP($A64, INDIRECT("'" &amp; 'Personalized Bill Menu'!$B$23 &amp; "'!" &amp;"$A$4:$CA$100"), VLOOKUP(VLOOKUP("RIDER RATE 1",'Misc. Data &amp; Mechanisms'!$P$601:$S$632,HLOOKUP('Personalized Bill Menu'!$B$23, 'Misc. Data &amp; Mechanisms'!$P$599:$S$600, 2, FALSE), FALSE), 'Misc. Data &amp; Mechanisms'!$L$599:$N$659, 2, FALSE), FALSE)), ""))</f>
        <v/>
      </c>
      <c r="Y64" s="69" t="str">
        <f ca="1">IF($A64="", "",IFERROR(IF(VLOOKUP($A64, INDIRECT("'" &amp; 'Personalized Bill Menu'!$B$23 &amp; "'!" &amp;"$A$4:$CA$100"), VLOOKUP(VLOOKUP("RIDER RATE 2",'Misc. Data &amp; Mechanisms'!$P$601:$S$632,HLOOKUP('Personalized Bill Menu'!$B$23, 'Misc. Data &amp; Mechanisms'!$P$599:$S$600, 2, FALSE), FALSE), 'Misc. Data &amp; Mechanisms'!$L$599:$N$659, 2, FALSE), FALSE) = "", "", VLOOKUP($A64, INDIRECT("'" &amp; 'Personalized Bill Menu'!$B$23 &amp; "'!" &amp;"$A$4:$CA$100"), VLOOKUP(VLOOKUP("RIDER RATE 2",'Misc. Data &amp; Mechanisms'!$P$601:$S$632,HLOOKUP('Personalized Bill Menu'!$B$23, 'Misc. Data &amp; Mechanisms'!$P$599:$S$600, 2, FALSE), FALSE), 'Misc. Data &amp; Mechanisms'!$L$599:$N$659, 2, FALSE), FALSE)), ""))</f>
        <v/>
      </c>
      <c r="Z64" s="69">
        <f ca="1">IF($A64="", "",IFERROR(IF(VLOOKUP($A64, INDIRECT("'" &amp; 'Personalized Bill Menu'!$B$23 &amp; "'!" &amp;"$A$4:$CA$100"), VLOOKUP(VLOOKUP("RIDER RATE 3",'Misc. Data &amp; Mechanisms'!$P$601:$S$632,HLOOKUP('Personalized Bill Menu'!$B$23, 'Misc. Data &amp; Mechanisms'!$P$599:$S$600, 2, FALSE), FALSE), 'Misc. Data &amp; Mechanisms'!$L$599:$N$659, 2, FALSE), FALSE) = "", "", VLOOKUP($A64, INDIRECT("'" &amp; 'Personalized Bill Menu'!$B$23 &amp; "'!" &amp;"$A$4:$CA$100"), VLOOKUP(VLOOKUP("RIDER RATE 3",'Misc. Data &amp; Mechanisms'!$P$601:$S$632,HLOOKUP('Personalized Bill Menu'!$B$23, 'Misc. Data &amp; Mechanisms'!$P$599:$S$600, 2, FALSE), FALSE), 'Misc. Data &amp; Mechanisms'!$L$599:$N$659, 2, FALSE), FALSE)), ""))</f>
        <v>3.9E-2</v>
      </c>
      <c r="AA64" s="69">
        <f ca="1">IF($A64="", "",IFERROR(IF(VLOOKUP($A64, INDIRECT("'" &amp; 'Personalized Bill Menu'!$B$23 &amp; "'!" &amp;"$A$4:$CA$100"), VLOOKUP(VLOOKUP("RIDER RATE 4",'Misc. Data &amp; Mechanisms'!$P$601:$S$632,HLOOKUP('Personalized Bill Menu'!$B$23, 'Misc. Data &amp; Mechanisms'!$P$599:$S$600, 2, FALSE), FALSE), 'Misc. Data &amp; Mechanisms'!$L$599:$N$659, 2, FALSE), FALSE) = "", "", VLOOKUP($A64, INDIRECT("'" &amp; 'Personalized Bill Menu'!$B$23 &amp; "'!" &amp;"$A$4:$CA$100"), VLOOKUP(VLOOKUP("RIDER RATE 4",'Misc. Data &amp; Mechanisms'!$P$601:$S$632,HLOOKUP('Personalized Bill Menu'!$B$23, 'Misc. Data &amp; Mechanisms'!$P$599:$S$600, 2, FALSE), FALSE), 'Misc. Data &amp; Mechanisms'!$L$599:$N$659, 2, FALSE), FALSE)), ""))</f>
        <v>3.2000000000000001E-2</v>
      </c>
      <c r="AB64" s="69">
        <f ca="1">IF($A64="", "",IFERROR(IF(VLOOKUP($A64, INDIRECT("'" &amp; 'Personalized Bill Menu'!$B$23 &amp; "'!" &amp;"$A$4:$CA$100"), VLOOKUP(VLOOKUP("RIDER RATE 5",'Misc. Data &amp; Mechanisms'!$P$601:$S$632,HLOOKUP('Personalized Bill Menu'!$B$23, 'Misc. Data &amp; Mechanisms'!$P$599:$S$600, 2, FALSE), FALSE), 'Misc. Data &amp; Mechanisms'!$L$599:$N$659, 2, FALSE), FALSE) = "", "", VLOOKUP($A64, INDIRECT("'" &amp; 'Personalized Bill Menu'!$B$23 &amp; "'!" &amp;"$A$4:$CA$100"), VLOOKUP(VLOOKUP("RIDER RATE 5",'Misc. Data &amp; Mechanisms'!$P$601:$S$632,HLOOKUP('Personalized Bill Menu'!$B$23, 'Misc. Data &amp; Mechanisms'!$P$599:$S$600, 2, FALSE), FALSE), 'Misc. Data &amp; Mechanisms'!$L$599:$N$659, 2, FALSE), FALSE)), ""))</f>
        <v>0.81399999999999995</v>
      </c>
      <c r="AC64" s="69">
        <f ca="1">IF($A64="", "",IFERROR(IF(VLOOKUP($A64, INDIRECT("'" &amp; 'Personalized Bill Menu'!$B$23 &amp; "'!" &amp;"$A$4:$CA$100"), VLOOKUP(VLOOKUP("RIDER RATE 6",'Misc. Data &amp; Mechanisms'!$P$601:$S$632,HLOOKUP('Personalized Bill Menu'!$B$23, 'Misc. Data &amp; Mechanisms'!$P$599:$S$600, 2, FALSE), FALSE), 'Misc. Data &amp; Mechanisms'!$L$599:$N$659, 2, FALSE), FALSE) = "", "", VLOOKUP($A64, INDIRECT("'" &amp; 'Personalized Bill Menu'!$B$23 &amp; "'!" &amp;"$A$4:$CA$100"), VLOOKUP(VLOOKUP("RIDER RATE 6",'Misc. Data &amp; Mechanisms'!$P$601:$S$632,HLOOKUP('Personalized Bill Menu'!$B$23, 'Misc. Data &amp; Mechanisms'!$P$599:$S$600, 2, FALSE), FALSE), 'Misc. Data &amp; Mechanisms'!$L$599:$N$659, 2, FALSE), FALSE)), ""))</f>
        <v>0.26900000000000002</v>
      </c>
      <c r="AD64" s="69" t="str">
        <f ca="1">IF($A64="", "",IFERROR(IF(VLOOKUP($A64, INDIRECT("'" &amp; 'Personalized Bill Menu'!$B$23 &amp; "'!" &amp;"$A$4:$CA$100"), VLOOKUP(VLOOKUP("RIDER RATE 7",'Misc. Data &amp; Mechanisms'!$P$601:$S$632,HLOOKUP('Personalized Bill Menu'!$B$23, 'Misc. Data &amp; Mechanisms'!$P$599:$S$600, 2, FALSE), FALSE), 'Misc. Data &amp; Mechanisms'!$L$599:$N$659, 2, FALSE), FALSE) = "", "", VLOOKUP($A64, INDIRECT("'" &amp; 'Personalized Bill Menu'!$B$23 &amp; "'!" &amp;"$A$4:$CA$100"), VLOOKUP(VLOOKUP("RIDER RATE 7",'Misc. Data &amp; Mechanisms'!$P$601:$S$632,HLOOKUP('Personalized Bill Menu'!$B$23, 'Misc. Data &amp; Mechanisms'!$P$599:$S$600, 2, FALSE), FALSE), 'Misc. Data &amp; Mechanisms'!$L$599:$N$659, 2, FALSE), FALSE)), ""))</f>
        <v/>
      </c>
      <c r="AE64" s="69" t="str">
        <f ca="1">IF($A64="", "",IFERROR(IF(VLOOKUP($A64, INDIRECT("'" &amp; 'Personalized Bill Menu'!$B$23 &amp; "'!" &amp;"$A$4:$CA$100"), VLOOKUP(VLOOKUP("RIDER RATE 8",'Misc. Data &amp; Mechanisms'!$P$601:$S$632,HLOOKUP('Personalized Bill Menu'!$B$23, 'Misc. Data &amp; Mechanisms'!$P$599:$S$600, 2, FALSE), FALSE), 'Misc. Data &amp; Mechanisms'!$L$599:$N$659, 2, FALSE), FALSE) = "", "", VLOOKUP($A64, INDIRECT("'" &amp; 'Personalized Bill Menu'!$B$23 &amp; "'!" &amp;"$A$4:$CA$100"), VLOOKUP(VLOOKUP("RIDER RATE 8",'Misc. Data &amp; Mechanisms'!$P$601:$S$632,HLOOKUP('Personalized Bill Menu'!$B$23, 'Misc. Data &amp; Mechanisms'!$P$599:$S$600, 2, FALSE), FALSE), 'Misc. Data &amp; Mechanisms'!$L$599:$N$659, 2, FALSE), FALSE)), ""))</f>
        <v/>
      </c>
      <c r="AF64" s="69" t="str">
        <f ca="1">IF($A64="", "",IFERROR(IF(VLOOKUP($A64, INDIRECT("'" &amp; 'Personalized Bill Menu'!$B$23 &amp; "'!" &amp;"$A$4:$CA$100"), VLOOKUP(VLOOKUP("RIDER RATE 9",'Misc. Data &amp; Mechanisms'!$P$601:$S$632,HLOOKUP('Personalized Bill Menu'!$B$23, 'Misc. Data &amp; Mechanisms'!$P$599:$S$600, 2, FALSE), FALSE), 'Misc. Data &amp; Mechanisms'!$L$599:$N$659, 2, FALSE), FALSE) = "", "", VLOOKUP($A64, INDIRECT("'" &amp; 'Personalized Bill Menu'!$B$23 &amp; "'!" &amp;"$A$4:$CA$100"), VLOOKUP(VLOOKUP("RIDER RATE 9",'Misc. Data &amp; Mechanisms'!$P$601:$S$632,HLOOKUP('Personalized Bill Menu'!$B$23, 'Misc. Data &amp; Mechanisms'!$P$599:$S$600, 2, FALSE), FALSE), 'Misc. Data &amp; Mechanisms'!$L$599:$N$659, 2, FALSE), FALSE)), ""))</f>
        <v/>
      </c>
      <c r="AG64" s="72">
        <f ca="1">IF($A64="", "", IFERROR(IF('Personalized Bill Menu'!$B$23="ATCO-N", ($X64*$B64) +($Y64*$C64), IF('Personalized Bill Menu'!$B$23="ATCO-S",$X64*$C64, IF($Y64="", ($X64*$H64), ($Y64*($H64+$K64))))), 0))</f>
        <v>0</v>
      </c>
      <c r="AH64" s="72">
        <f ca="1">IF($A64="", "", IFERROR(IF('Personalized Bill Menu'!$B$23="ATCO-S", $Y64*$C64, $Z64*$C64), 0))</f>
        <v>0</v>
      </c>
      <c r="AI64" s="72">
        <f ca="1">IF($A64="", "", IFERROR(IF('Personalized Bill Menu'!$B$23="ATCO-S", ($AA64*$C64)+($Z64*$B64), $AA64*$C64), 0))</f>
        <v>1.6179203496923531</v>
      </c>
      <c r="AJ64" s="72">
        <f ca="1">IF($A64="", "", IFERROR(IF('Personalized Bill Menu'!$B$23&lt;&gt;"AltaGas",$AB64*$C64,""),0))</f>
        <v>10.401911395299228</v>
      </c>
      <c r="AK64" s="72">
        <f ca="1">IF($A64="", "", IFERROR(IF('Personalized Bill Menu'!$B$23="ATCO-S",$AC64*$C64,IF('Personalized Bill Menu'!$B$23="ATCO-N",$AC64*1,"")),0))</f>
        <v>3.4374866896013421</v>
      </c>
      <c r="AL64" s="72">
        <f ca="1">IF($A64="", "", IFERROR(IF('Personalized Bill Menu'!$B$23="ATCO-N",$AD64*$B64,IF('Personalized Bill Menu'!$B$23="ATCO-S",$AD64*1,"")),0))</f>
        <v>0</v>
      </c>
      <c r="AM64" s="72">
        <f ca="1">IF($A64="", "", IFERROR(IF('Personalized Bill Menu'!$B$23="ATCO-S",$AE64*$B64,IF('Personalized Bill Menu'!$B$23="ATCO-N",$AE64*$B64,"")),0))</f>
        <v>0</v>
      </c>
      <c r="AN64" s="70">
        <f ca="1">IF($A64="", "", IFERROR(IF('Personalized Bill Menu'!$B$23="ATCO-S",$AF64*$B64,""),0))</f>
        <v>0</v>
      </c>
      <c r="AO64" s="69">
        <f>IF('Personalized Bill Menu'!$B$34="Natural Gas", 'Personalized Bill Menu'!$K61, IF('Personalized Bill Menu'!$B$34="Both",'Personalized Bill Menu'!$O61,""))</f>
        <v>0.249</v>
      </c>
      <c r="AP64" s="72">
        <f t="shared" si="13"/>
        <v>7.7190000000000003</v>
      </c>
      <c r="AQ64" s="89" t="str">
        <f ca="1">IF($A64="", "",IF(VLOOKUP($A64, INDIRECT("'" &amp; 'Personalized Bill Menu'!$B$23 &amp; "'!" &amp;"$A$4:$CA$100"), VLOOKUP(VLOOKUP(AQ$5,'Misc. Data &amp; Mechanisms'!$P$601:$S$632,HLOOKUP('Personalized Bill Menu'!$B$23, 'Misc. Data &amp; Mechanisms'!$P$599:$S$600, 2, FALSE), FALSE), 'Misc. Data &amp; Mechanisms'!$L$599:$N$659, 2, FALSE), FALSE) = "", "", VLOOKUP($A64, INDIRECT("'" &amp; 'Personalized Bill Menu'!$B$23 &amp; "'!" &amp;"$A$4:$CA$100"), VLOOKUP(VLOOKUP(AQ$5,'Misc. Data &amp; Mechanisms'!$P$601:$S$632,HLOOKUP('Personalized Bill Menu'!$B$23, 'Misc. Data &amp; Mechanisms'!$P$599:$S$600, 2, FALSE), FALSE), 'Misc. Data &amp; Mechanisms'!$L$599:$N$659, 2, FALSE), FALSE)))</f>
        <v/>
      </c>
      <c r="AR64" s="72">
        <f t="shared" ca="1" si="14"/>
        <v>0</v>
      </c>
      <c r="AS64" s="91">
        <f ca="1">IF($A64="", "",IF(VLOOKUP($A64, INDIRECT("'" &amp; 'Personalized Bill Menu'!$B$23 &amp; "'!" &amp;"$A$4:$CA$100"), VLOOKUP(VLOOKUP(AS$5,'Misc. Data &amp; Mechanisms'!$P$601:$S$632,HLOOKUP('Personalized Bill Menu'!$B$23, 'Misc. Data &amp; Mechanisms'!$P$599:$S$600, 2, FALSE), FALSE), 'Misc. Data &amp; Mechanisms'!$L$599:$N$659, 2, FALSE), FALSE) = "", "", VLOOKUP($A64, INDIRECT("'" &amp; 'Personalized Bill Menu'!$B$23 &amp; "'!" &amp;"$A$4:$CA$100"), VLOOKUP(VLOOKUP(AS$5,'Misc. Data &amp; Mechanisms'!$P$601:$S$632,HLOOKUP('Personalized Bill Menu'!$B$23, 'Misc. Data &amp; Mechanisms'!$P$599:$S$600, 2, FALSE), FALSE), 'Misc. Data &amp; Mechanisms'!$L$599:$N$659, 2, FALSE), FALSE)))</f>
        <v>0.05</v>
      </c>
    </row>
    <row r="65" spans="1:45" x14ac:dyDescent="0.3">
      <c r="A65" s="83">
        <f>'Personalized Bill Menu'!$H62</f>
        <v>42675</v>
      </c>
      <c r="B65" s="84">
        <f t="shared" si="3"/>
        <v>30</v>
      </c>
      <c r="C65" s="85">
        <f>IF('Personalized Bill Menu'!$B$34="Natural Gas", 'Personalized Bill Menu'!$I62, IF('Personalized Bill Menu'!$B$34="Both",'Personalized Bill Menu'!$M62,""))</f>
        <v>11.923103326329612</v>
      </c>
      <c r="D65" s="66">
        <f t="shared" ca="1" si="4"/>
        <v>9.2079859841074185</v>
      </c>
      <c r="E65" s="66">
        <f ca="1">IF($C65="Not Applicable", "", IFERROR(IFERROR((1+$AS65)*IF('Personalized Bill Menu'!$B$23="ATCO-N", IF(OR('Personalized Bill Menu'!$B$21="Fort McMurray",AND('Personalized Bill Menu'!$B$21="Spruce Grove", $A65&lt;DATE(2019, 5, 1) )),(((1+IF($T65="",0,$T65))*($N65+$P65))+ (IF($U65="", 0, $U65)*$P65)+(1+IF($T65="",0,$T65)+IF($U65="", 0, $U65))*(SUM($Y65:$AB65))),($N65+((1+IF($T65="",0,$T65)+IF($U65="", 0, $U65))*$P65)+(1+IF($T65="",0,$T65)+IF($U65="", 0, $U65))*(SUM($Y65:$AB65)))), IF('Personalized Bill Menu'!$B$23="ATCO-S",IF(OR('Personalized Bill Menu'!$B$21="Calgary",AND('Personalized Bill Menu'!$B$21="Okotoks", $A65&lt;DATE(2019, 1, 1))),((1+IF($T65="",0,$T65))*($N65+$P65+SUM($X65:$Y65,$AA65:$AC65)))+(IF($U65="",0, $U65)*($P65+SUM($X65:$Y65,$AA65:$AC65))), ((1+IF($T65="",0,$T65))*($P65+SUM($Y65,$AA65:$AC65)))+(IF($U65="",0, $U65)*($P65+SUM($X65:$Y65,$AA65:$AC65)))+$N65+IF($X65="", 0, $X65)),IF(AND('Personalized Bill Menu'!$B$21="Athabasca", $A65&lt;DATE(2019, 5, 1)),((1+IF($T65="",0,$T65)+IF($U65="", 0, $U65))*($N65+((1+SUM($X65:$Y65))*$P65)+SUM($Z65:$AA65))),((1+IF($U65="", 0, $U65))*($N65+((1+SUM($X65:$Y65))*$P65)+SUM($Z65:$AA65))) + (IF($T65="",0,$T65)*(((1+SUM($X65:$Y65))*$P65)+SUM($Z65:$AA65)))))), "")+ IF($AQ65="", 0,((1+$AS65)*$AQ65)), ""))</f>
        <v>6.0432728999999998</v>
      </c>
      <c r="F65" s="118">
        <f t="shared" ca="1" si="5"/>
        <v>109.7877683159076</v>
      </c>
      <c r="G65" s="115">
        <f t="shared" si="15"/>
        <v>39.382010286866709</v>
      </c>
      <c r="H65" s="66">
        <f t="shared" ca="1" si="16"/>
        <v>33.53540473466316</v>
      </c>
      <c r="I65" s="66">
        <f t="shared" ca="1" si="17"/>
        <v>9.7081041180960401</v>
      </c>
      <c r="J65" s="66">
        <f t="shared" ca="1" si="6"/>
        <v>14.464260208857517</v>
      </c>
      <c r="K65" s="66">
        <f t="shared" si="18"/>
        <v>7.47</v>
      </c>
      <c r="L65" s="66">
        <f t="shared" ca="1" si="8"/>
        <v>0</v>
      </c>
      <c r="M65" s="68">
        <f t="shared" ca="1" si="9"/>
        <v>5.2279889674241717</v>
      </c>
      <c r="N65" s="1290">
        <f>IF('Personalized Bill Menu'!$B$34="Natural Gas", 'Personalized Bill Menu'!$J62, IF('Personalized Bill Menu'!$B$34="Both",'Personalized Bill Menu'!$N62,""))</f>
        <v>3.3029999999999999</v>
      </c>
      <c r="O65" s="70">
        <f t="shared" si="10"/>
        <v>39.382010286866709</v>
      </c>
      <c r="P65" s="89">
        <f ca="1">IF($A65="", "",IFERROR(IF(VLOOKUP($A65, INDIRECT("'" &amp; 'Personalized Bill Menu'!$B$23 &amp; "'!" &amp;"$A$4:$CA$100"), VLOOKUP(VLOOKUP(P$5,'Misc. Data &amp; Mechanisms'!$P$601:$S$632,HLOOKUP('Personalized Bill Menu'!$B$23, 'Misc. Data &amp; Mechanisms'!$P$599:$S$600, 2, FALSE), FALSE), 'Misc. Data &amp; Mechanisms'!$L$599:$N$659, 2, FALSE), FALSE) = "", "", VLOOKUP($A65, INDIRECT("'" &amp; 'Personalized Bill Menu'!$B$23 &amp; "'!" &amp;"$A$4:$CA$100"), VLOOKUP(VLOOKUP(P$5,'Misc. Data &amp; Mechanisms'!$P$601:$S$632,HLOOKUP('Personalized Bill Menu'!$B$23, 'Misc. Data &amp; Mechanisms'!$P$599:$S$600, 2, FALSE), FALSE), 'Misc. Data &amp; Mechanisms'!$L$599:$N$659, 2, FALSE), FALSE)), ""))</f>
        <v>0.76200000000000001</v>
      </c>
      <c r="Q65" s="69">
        <f ca="1">IF($A65="", "",IFERROR(IF(VLOOKUP($A65, INDIRECT("'" &amp; 'Personalized Bill Menu'!$B$23 &amp; "'!" &amp;"$A$4:$CA$100"), VLOOKUP(VLOOKUP(Q$5,'Misc. Data &amp; Mechanisms'!$P$601:$S$632,HLOOKUP('Personalized Bill Menu'!$B$23, 'Misc. Data &amp; Mechanisms'!$P$599:$S$600, 2, FALSE), FALSE), 'Misc. Data &amp; Mechanisms'!$L$599:$N$659, 2, FALSE), FALSE) = "", "", VLOOKUP($A65, INDIRECT("'" &amp; 'Personalized Bill Menu'!$B$23 &amp; "'!" &amp;"$A$4:$CA$100"), VLOOKUP(VLOOKUP(Q$5,'Misc. Data &amp; Mechanisms'!$P$601:$S$632,HLOOKUP('Personalized Bill Menu'!$B$23, 'Misc. Data &amp; Mechanisms'!$P$599:$S$600, 2, FALSE), FALSE), 'Misc. Data &amp; Mechanisms'!$L$599:$N$659, 2, FALSE), FALSE)), ""))</f>
        <v>0.81499999999999995</v>
      </c>
      <c r="R65" s="72">
        <f t="shared" ca="1" si="11"/>
        <v>9.0854047346631646</v>
      </c>
      <c r="S65" s="70">
        <f t="shared" ca="1" si="12"/>
        <v>24.45</v>
      </c>
      <c r="T65" s="78">
        <f>IFERROR(IF(VLOOKUP($A65,'Misc. Data &amp; Mechanisms'!$A$63:$DY$152,HLOOKUP('Personalized Bill Menu'!$B$21&amp;"_"&amp;'Personalized Bill Menu'!$B$23&amp;"_NG_Y_1",'Misc. Data &amp; Mechanisms'!$A$55:$DY$62,8,FALSE), FALSE)="", "", VLOOKUP($A65,'Misc. Data &amp; Mechanisms'!$A$63:$DY$152,HLOOKUP('Personalized Bill Menu'!$B$21&amp;"_"&amp;'Personalized Bill Menu'!$B$23&amp;"_NG_Y_1",'Misc. Data &amp; Mechanisms'!$A$55:$DY$62,8,FALSE), FALSE)), "")</f>
        <v>0.1111</v>
      </c>
      <c r="U65" s="78" t="str">
        <f>IFERROR(IF(VLOOKUP($A65,'Misc. Data &amp; Mechanisms'!$A$63:$DY$152,HLOOKUP('Personalized Bill Menu'!$B$21&amp;"_"&amp;'Personalized Bill Menu'!$B$23&amp;"_NG_Y_2",'Misc. Data &amp; Mechanisms'!$A$55:$DY$62,8,FALSE), FALSE)="", "",VLOOKUP($A65,'Misc. Data &amp; Mechanisms'!$A$63:$DY$152,HLOOKUP('Personalized Bill Menu'!$B$21&amp;"_"&amp;'Personalized Bill Menu'!$B$23&amp;"_NG_Y_2",'Misc. Data &amp; Mechanisms'!$A$55:$DY$62,8,FALSE), FALSE)), "")</f>
        <v/>
      </c>
      <c r="V65" s="72">
        <f ca="1">IF($A65="", "", IFERROR(IF('Personalized Bill Menu'!$B$23="ATCO-N", IF(OR('Personalized Bill Menu'!$B$21="Fort McMurray",AND('Personalized Bill Menu'!$B$21="Spruce Grove", $A65&lt;DATE(2019, 5, 1))),$T65*($G65+$H65+$J65),$T65*($H65+$J65)), IF('Personalized Bill Menu'!$B$23="ATCO-S",IF(OR('Personalized Bill Menu'!$B$21="Calgary",AND('Personalized Bill Menu'!$B$21="Okotoks", $A65&lt;DATE(2019, 1, 1))),$T65*($G65+$H65+$J65), $T65*($H65+$J65-$AG65)),IF(AND('Personalized Bill Menu'!$B$21="Athabasca", $A65&lt;DATE(2019, 5, 1)),$T65*($G65+$H65+$J65+$K65),$T65*($H65+$J65+$K65)))),0))</f>
        <v>9.7081041180960401</v>
      </c>
      <c r="W65" s="72">
        <f ca="1">IF($A65="", "", IFERROR(IF('Personalized Bill Menu'!$B$23="ATCO-N", $U65*($H65+$J65), IF('Personalized Bill Menu'!$B$23="ATCO-S",$U65*($H65+$J65),$U65*($G65+$H65+$J65+$K65))),0))</f>
        <v>0</v>
      </c>
      <c r="X65" s="89" t="str">
        <f ca="1">IF($A65="", "",IFERROR(IF(VLOOKUP($A65, INDIRECT("'" &amp; 'Personalized Bill Menu'!$B$23 &amp; "'!" &amp;"$A$4:$CA$100"), VLOOKUP(VLOOKUP("RIDER RATE 1",'Misc. Data &amp; Mechanisms'!$P$601:$S$632,HLOOKUP('Personalized Bill Menu'!$B$23, 'Misc. Data &amp; Mechanisms'!$P$599:$S$600, 2, FALSE), FALSE), 'Misc. Data &amp; Mechanisms'!$L$599:$N$659, 2, FALSE), FALSE) = "", "", VLOOKUP($A65, INDIRECT("'" &amp; 'Personalized Bill Menu'!$B$23 &amp; "'!" &amp;"$A$4:$CA$100"), VLOOKUP(VLOOKUP("RIDER RATE 1",'Misc. Data &amp; Mechanisms'!$P$601:$S$632,HLOOKUP('Personalized Bill Menu'!$B$23, 'Misc. Data &amp; Mechanisms'!$P$599:$S$600, 2, FALSE), FALSE), 'Misc. Data &amp; Mechanisms'!$L$599:$N$659, 2, FALSE), FALSE)), ""))</f>
        <v/>
      </c>
      <c r="Y65" s="69" t="str">
        <f ca="1">IF($A65="", "",IFERROR(IF(VLOOKUP($A65, INDIRECT("'" &amp; 'Personalized Bill Menu'!$B$23 &amp; "'!" &amp;"$A$4:$CA$100"), VLOOKUP(VLOOKUP("RIDER RATE 2",'Misc. Data &amp; Mechanisms'!$P$601:$S$632,HLOOKUP('Personalized Bill Menu'!$B$23, 'Misc. Data &amp; Mechanisms'!$P$599:$S$600, 2, FALSE), FALSE), 'Misc. Data &amp; Mechanisms'!$L$599:$N$659, 2, FALSE), FALSE) = "", "", VLOOKUP($A65, INDIRECT("'" &amp; 'Personalized Bill Menu'!$B$23 &amp; "'!" &amp;"$A$4:$CA$100"), VLOOKUP(VLOOKUP("RIDER RATE 2",'Misc. Data &amp; Mechanisms'!$P$601:$S$632,HLOOKUP('Personalized Bill Menu'!$B$23, 'Misc. Data &amp; Mechanisms'!$P$599:$S$600, 2, FALSE), FALSE), 'Misc. Data &amp; Mechanisms'!$L$599:$N$659, 2, FALSE), FALSE)), ""))</f>
        <v/>
      </c>
      <c r="Z65" s="69">
        <f ca="1">IF($A65="", "",IFERROR(IF(VLOOKUP($A65, INDIRECT("'" &amp; 'Personalized Bill Menu'!$B$23 &amp; "'!" &amp;"$A$4:$CA$100"), VLOOKUP(VLOOKUP("RIDER RATE 3",'Misc. Data &amp; Mechanisms'!$P$601:$S$632,HLOOKUP('Personalized Bill Menu'!$B$23, 'Misc. Data &amp; Mechanisms'!$P$599:$S$600, 2, FALSE), FALSE), 'Misc. Data &amp; Mechanisms'!$L$599:$N$659, 2, FALSE), FALSE) = "", "", VLOOKUP($A65, INDIRECT("'" &amp; 'Personalized Bill Menu'!$B$23 &amp; "'!" &amp;"$A$4:$CA$100"), VLOOKUP(VLOOKUP("RIDER RATE 3",'Misc. Data &amp; Mechanisms'!$P$601:$S$632,HLOOKUP('Personalized Bill Menu'!$B$23, 'Misc. Data &amp; Mechanisms'!$P$599:$S$600, 2, FALSE), FALSE), 'Misc. Data &amp; Mechanisms'!$L$599:$N$659, 2, FALSE), FALSE)), ""))</f>
        <v>3.9E-2</v>
      </c>
      <c r="AA65" s="69">
        <f ca="1">IF($A65="", "",IFERROR(IF(VLOOKUP($A65, INDIRECT("'" &amp; 'Personalized Bill Menu'!$B$23 &amp; "'!" &amp;"$A$4:$CA$100"), VLOOKUP(VLOOKUP("RIDER RATE 4",'Misc. Data &amp; Mechanisms'!$P$601:$S$632,HLOOKUP('Personalized Bill Menu'!$B$23, 'Misc. Data &amp; Mechanisms'!$P$599:$S$600, 2, FALSE), FALSE), 'Misc. Data &amp; Mechanisms'!$L$599:$N$659, 2, FALSE), FALSE) = "", "", VLOOKUP($A65, INDIRECT("'" &amp; 'Personalized Bill Menu'!$B$23 &amp; "'!" &amp;"$A$4:$CA$100"), VLOOKUP(VLOOKUP("RIDER RATE 4",'Misc. Data &amp; Mechanisms'!$P$601:$S$632,HLOOKUP('Personalized Bill Menu'!$B$23, 'Misc. Data &amp; Mechanisms'!$P$599:$S$600, 2, FALSE), FALSE), 'Misc. Data &amp; Mechanisms'!$L$599:$N$659, 2, FALSE), FALSE)), ""))</f>
        <v>3.2000000000000001E-2</v>
      </c>
      <c r="AB65" s="69">
        <f ca="1">IF($A65="", "",IFERROR(IF(VLOOKUP($A65, INDIRECT("'" &amp; 'Personalized Bill Menu'!$B$23 &amp; "'!" &amp;"$A$4:$CA$100"), VLOOKUP(VLOOKUP("RIDER RATE 5",'Misc. Data &amp; Mechanisms'!$P$601:$S$632,HLOOKUP('Personalized Bill Menu'!$B$23, 'Misc. Data &amp; Mechanisms'!$P$599:$S$600, 2, FALSE), FALSE), 'Misc. Data &amp; Mechanisms'!$L$599:$N$659, 2, FALSE), FALSE) = "", "", VLOOKUP($A65, INDIRECT("'" &amp; 'Personalized Bill Menu'!$B$23 &amp; "'!" &amp;"$A$4:$CA$100"), VLOOKUP(VLOOKUP("RIDER RATE 5",'Misc. Data &amp; Mechanisms'!$P$601:$S$632,HLOOKUP('Personalized Bill Menu'!$B$23, 'Misc. Data &amp; Mechanisms'!$P$599:$S$600, 2, FALSE), FALSE), 'Misc. Data &amp; Mechanisms'!$L$599:$N$659, 2, FALSE), FALSE)), ""))</f>
        <v>0.81399999999999995</v>
      </c>
      <c r="AC65" s="69">
        <f ca="1">IF($A65="", "",IFERROR(IF(VLOOKUP($A65, INDIRECT("'" &amp; 'Personalized Bill Menu'!$B$23 &amp; "'!" &amp;"$A$4:$CA$100"), VLOOKUP(VLOOKUP("RIDER RATE 6",'Misc. Data &amp; Mechanisms'!$P$601:$S$632,HLOOKUP('Personalized Bill Menu'!$B$23, 'Misc. Data &amp; Mechanisms'!$P$599:$S$600, 2, FALSE), FALSE), 'Misc. Data &amp; Mechanisms'!$L$599:$N$659, 2, FALSE), FALSE) = "", "", VLOOKUP($A65, INDIRECT("'" &amp; 'Personalized Bill Menu'!$B$23 &amp; "'!" &amp;"$A$4:$CA$100"), VLOOKUP(VLOOKUP("RIDER RATE 6",'Misc. Data &amp; Mechanisms'!$P$601:$S$632,HLOOKUP('Personalized Bill Menu'!$B$23, 'Misc. Data &amp; Mechanisms'!$P$599:$S$600, 2, FALSE), FALSE), 'Misc. Data &amp; Mechanisms'!$L$599:$N$659, 2, FALSE), FALSE)), ""))</f>
        <v>0.26900000000000002</v>
      </c>
      <c r="AD65" s="69" t="str">
        <f ca="1">IF($A65="", "",IFERROR(IF(VLOOKUP($A65, INDIRECT("'" &amp; 'Personalized Bill Menu'!$B$23 &amp; "'!" &amp;"$A$4:$CA$100"), VLOOKUP(VLOOKUP("RIDER RATE 7",'Misc. Data &amp; Mechanisms'!$P$601:$S$632,HLOOKUP('Personalized Bill Menu'!$B$23, 'Misc. Data &amp; Mechanisms'!$P$599:$S$600, 2, FALSE), FALSE), 'Misc. Data &amp; Mechanisms'!$L$599:$N$659, 2, FALSE), FALSE) = "", "", VLOOKUP($A65, INDIRECT("'" &amp; 'Personalized Bill Menu'!$B$23 &amp; "'!" &amp;"$A$4:$CA$100"), VLOOKUP(VLOOKUP("RIDER RATE 7",'Misc. Data &amp; Mechanisms'!$P$601:$S$632,HLOOKUP('Personalized Bill Menu'!$B$23, 'Misc. Data &amp; Mechanisms'!$P$599:$S$600, 2, FALSE), FALSE), 'Misc. Data &amp; Mechanisms'!$L$599:$N$659, 2, FALSE), FALSE)), ""))</f>
        <v/>
      </c>
      <c r="AE65" s="69" t="str">
        <f ca="1">IF($A65="", "",IFERROR(IF(VLOOKUP($A65, INDIRECT("'" &amp; 'Personalized Bill Menu'!$B$23 &amp; "'!" &amp;"$A$4:$CA$100"), VLOOKUP(VLOOKUP("RIDER RATE 8",'Misc. Data &amp; Mechanisms'!$P$601:$S$632,HLOOKUP('Personalized Bill Menu'!$B$23, 'Misc. Data &amp; Mechanisms'!$P$599:$S$600, 2, FALSE), FALSE), 'Misc. Data &amp; Mechanisms'!$L$599:$N$659, 2, FALSE), FALSE) = "", "", VLOOKUP($A65, INDIRECT("'" &amp; 'Personalized Bill Menu'!$B$23 &amp; "'!" &amp;"$A$4:$CA$100"), VLOOKUP(VLOOKUP("RIDER RATE 8",'Misc. Data &amp; Mechanisms'!$P$601:$S$632,HLOOKUP('Personalized Bill Menu'!$B$23, 'Misc. Data &amp; Mechanisms'!$P$599:$S$600, 2, FALSE), FALSE), 'Misc. Data &amp; Mechanisms'!$L$599:$N$659, 2, FALSE), FALSE)), ""))</f>
        <v/>
      </c>
      <c r="AF65" s="69" t="str">
        <f ca="1">IF($A65="", "",IFERROR(IF(VLOOKUP($A65, INDIRECT("'" &amp; 'Personalized Bill Menu'!$B$23 &amp; "'!" &amp;"$A$4:$CA$100"), VLOOKUP(VLOOKUP("RIDER RATE 9",'Misc. Data &amp; Mechanisms'!$P$601:$S$632,HLOOKUP('Personalized Bill Menu'!$B$23, 'Misc. Data &amp; Mechanisms'!$P$599:$S$600, 2, FALSE), FALSE), 'Misc. Data &amp; Mechanisms'!$L$599:$N$659, 2, FALSE), FALSE) = "", "", VLOOKUP($A65, INDIRECT("'" &amp; 'Personalized Bill Menu'!$B$23 &amp; "'!" &amp;"$A$4:$CA$100"), VLOOKUP(VLOOKUP("RIDER RATE 9",'Misc. Data &amp; Mechanisms'!$P$601:$S$632,HLOOKUP('Personalized Bill Menu'!$B$23, 'Misc. Data &amp; Mechanisms'!$P$599:$S$600, 2, FALSE), FALSE), 'Misc. Data &amp; Mechanisms'!$L$599:$N$659, 2, FALSE), FALSE)), ""))</f>
        <v/>
      </c>
      <c r="AG65" s="72">
        <f ca="1">IF($A65="", "", IFERROR(IF('Personalized Bill Menu'!$B$23="ATCO-N", ($X65*$B65) +($Y65*$C65), IF('Personalized Bill Menu'!$B$23="ATCO-S",$X65*$C65, IF($Y65="", ($X65*$H65), ($Y65*($H65+$K65))))), 0))</f>
        <v>0</v>
      </c>
      <c r="AH65" s="72">
        <f ca="1">IF($A65="", "", IFERROR(IF('Personalized Bill Menu'!$B$23="ATCO-S", $Y65*$C65, $Z65*$C65), 0))</f>
        <v>0</v>
      </c>
      <c r="AI65" s="72">
        <f ca="1">IF($A65="", "", IFERROR(IF('Personalized Bill Menu'!$B$23="ATCO-S", ($AA65*$C65)+($Z65*$B65), $AA65*$C65), 0))</f>
        <v>1.5515393064425476</v>
      </c>
      <c r="AJ65" s="72">
        <f ca="1">IF($A65="", "", IFERROR(IF('Personalized Bill Menu'!$B$23&lt;&gt;"AltaGas",$AB65*$C65,""),0))</f>
        <v>9.705406107632303</v>
      </c>
      <c r="AK65" s="72">
        <f ca="1">IF($A65="", "", IFERROR(IF('Personalized Bill Menu'!$B$23="ATCO-S",$AC65*$C65,IF('Personalized Bill Menu'!$B$23="ATCO-N",$AC65*1,"")),0))</f>
        <v>3.2073147947826657</v>
      </c>
      <c r="AL65" s="72">
        <f ca="1">IF($A65="", "", IFERROR(IF('Personalized Bill Menu'!$B$23="ATCO-N",$AD65*$B65,IF('Personalized Bill Menu'!$B$23="ATCO-S",$AD65*1,"")),0))</f>
        <v>0</v>
      </c>
      <c r="AM65" s="72">
        <f ca="1">IF($A65="", "", IFERROR(IF('Personalized Bill Menu'!$B$23="ATCO-S",$AE65*$B65,IF('Personalized Bill Menu'!$B$23="ATCO-N",$AE65*$B65,"")),0))</f>
        <v>0</v>
      </c>
      <c r="AN65" s="70">
        <f ca="1">IF($A65="", "", IFERROR(IF('Personalized Bill Menu'!$B$23="ATCO-S",$AF65*$B65,""),0))</f>
        <v>0</v>
      </c>
      <c r="AO65" s="69">
        <f>IF('Personalized Bill Menu'!$B$34="Natural Gas", 'Personalized Bill Menu'!$K62, IF('Personalized Bill Menu'!$B$34="Both",'Personalized Bill Menu'!$O62,""))</f>
        <v>0.249</v>
      </c>
      <c r="AP65" s="72">
        <f t="shared" si="13"/>
        <v>7.47</v>
      </c>
      <c r="AQ65" s="89" t="str">
        <f ca="1">IF($A65="", "",IF(VLOOKUP($A65, INDIRECT("'" &amp; 'Personalized Bill Menu'!$B$23 &amp; "'!" &amp;"$A$4:$CA$100"), VLOOKUP(VLOOKUP(AQ$5,'Misc. Data &amp; Mechanisms'!$P$601:$S$632,HLOOKUP('Personalized Bill Menu'!$B$23, 'Misc. Data &amp; Mechanisms'!$P$599:$S$600, 2, FALSE), FALSE), 'Misc. Data &amp; Mechanisms'!$L$599:$N$659, 2, FALSE), FALSE) = "", "", VLOOKUP($A65, INDIRECT("'" &amp; 'Personalized Bill Menu'!$B$23 &amp; "'!" &amp;"$A$4:$CA$100"), VLOOKUP(VLOOKUP(AQ$5,'Misc. Data &amp; Mechanisms'!$P$601:$S$632,HLOOKUP('Personalized Bill Menu'!$B$23, 'Misc. Data &amp; Mechanisms'!$P$599:$S$600, 2, FALSE), FALSE), 'Misc. Data &amp; Mechanisms'!$L$599:$N$659, 2, FALSE), FALSE)))</f>
        <v/>
      </c>
      <c r="AR65" s="72">
        <f t="shared" ca="1" si="14"/>
        <v>0</v>
      </c>
      <c r="AS65" s="91">
        <f ca="1">IF($A65="", "",IF(VLOOKUP($A65, INDIRECT("'" &amp; 'Personalized Bill Menu'!$B$23 &amp; "'!" &amp;"$A$4:$CA$100"), VLOOKUP(VLOOKUP(AS$5,'Misc. Data &amp; Mechanisms'!$P$601:$S$632,HLOOKUP('Personalized Bill Menu'!$B$23, 'Misc. Data &amp; Mechanisms'!$P$599:$S$600, 2, FALSE), FALSE), 'Misc. Data &amp; Mechanisms'!$L$599:$N$659, 2, FALSE), FALSE) = "", "", VLOOKUP($A65, INDIRECT("'" &amp; 'Personalized Bill Menu'!$B$23 &amp; "'!" &amp;"$A$4:$CA$100"), VLOOKUP(VLOOKUP(AS$5,'Misc. Data &amp; Mechanisms'!$P$601:$S$632,HLOOKUP('Personalized Bill Menu'!$B$23, 'Misc. Data &amp; Mechanisms'!$P$599:$S$600, 2, FALSE), FALSE), 'Misc. Data &amp; Mechanisms'!$L$599:$N$659, 2, FALSE), FALSE)))</f>
        <v>0.05</v>
      </c>
    </row>
    <row r="66" spans="1:45" x14ac:dyDescent="0.3">
      <c r="A66" s="83">
        <f>'Personalized Bill Menu'!$H63</f>
        <v>42705</v>
      </c>
      <c r="B66" s="84">
        <f t="shared" si="3"/>
        <v>31</v>
      </c>
      <c r="C66" s="85">
        <f>IF('Personalized Bill Menu'!$B$34="Natural Gas", 'Personalized Bill Menu'!$I63, IF('Personalized Bill Menu'!$B$34="Both",'Personalized Bill Menu'!$M63,""))</f>
        <v>22.975462335017482</v>
      </c>
      <c r="D66" s="66">
        <f t="shared" ca="1" si="4"/>
        <v>6.8956849674854821</v>
      </c>
      <c r="E66" s="66">
        <f ca="1">IF($C66="Not Applicable", "", IFERROR(IFERROR((1+$AS66)*IF('Personalized Bill Menu'!$B$23="ATCO-N", IF(OR('Personalized Bill Menu'!$B$21="Fort McMurray",AND('Personalized Bill Menu'!$B$21="Spruce Grove", $A66&lt;DATE(2019, 5, 1) )),(((1+IF($T66="",0,$T66))*($N66+$P66))+ (IF($U66="", 0, $U66)*$P66)+(1+IF($T66="",0,$T66)+IF($U66="", 0, $U66))*(SUM($Y66:$AB66))),($N66+((1+IF($T66="",0,$T66)+IF($U66="", 0, $U66))*$P66)+(1+IF($T66="",0,$T66)+IF($U66="", 0, $U66))*(SUM($Y66:$AB66)))), IF('Personalized Bill Menu'!$B$23="ATCO-S",IF(OR('Personalized Bill Menu'!$B$21="Calgary",AND('Personalized Bill Menu'!$B$21="Okotoks", $A66&lt;DATE(2019, 1, 1))),((1+IF($T66="",0,$T66))*($N66+$P66+SUM($X66:$Y66,$AA66:$AC66)))+(IF($U66="",0, $U66)*($P66+SUM($X66:$Y66,$AA66:$AC66))), ((1+IF($T66="",0,$T66))*($P66+SUM($Y66,$AA66:$AC66)))+(IF($U66="",0, $U66)*($P66+SUM($X66:$Y66,$AA66:$AC66)))+$N66+IF($X66="", 0, $X66)),IF(AND('Personalized Bill Menu'!$B$21="Athabasca", $A66&lt;DATE(2019, 5, 1)),((1+IF($T66="",0,$T66)+IF($U66="", 0, $U66))*($N66+((1+SUM($X66:$Y66))*$P66)+SUM($Z66:$AA66))),((1+IF($U66="", 0, $U66))*($N66+((1+SUM($X66:$Y66))*$P66)+SUM($Z66:$AA66))) + (IF($T66="",0,$T66)*(((1+SUM($X66:$Y66))*$P66)+SUM($Z66:$AA66)))))), "")+ IF($AQ66="", 0,((1+$AS66)*$AQ66)), ""))</f>
        <v>5.1986146800000004</v>
      </c>
      <c r="F66" s="118">
        <f t="shared" ca="1" si="5"/>
        <v>158.43155024460896</v>
      </c>
      <c r="G66" s="115">
        <f t="shared" si="15"/>
        <v>59.253717362010093</v>
      </c>
      <c r="H66" s="66">
        <f t="shared" ca="1" si="16"/>
        <v>42.772302299283318</v>
      </c>
      <c r="I66" s="66">
        <f t="shared" ca="1" si="17"/>
        <v>14.315530544313493</v>
      </c>
      <c r="J66" s="66">
        <f t="shared" ca="1" si="6"/>
        <v>26.826640503544489</v>
      </c>
      <c r="K66" s="66">
        <f t="shared" si="18"/>
        <v>7.7190000000000003</v>
      </c>
      <c r="L66" s="66">
        <f t="shared" ca="1" si="8"/>
        <v>0</v>
      </c>
      <c r="M66" s="68">
        <f t="shared" ca="1" si="9"/>
        <v>7.5443595354575699</v>
      </c>
      <c r="N66" s="1290">
        <f>IF('Personalized Bill Menu'!$B$34="Natural Gas", 'Personalized Bill Menu'!$J63, IF('Personalized Bill Menu'!$B$34="Both",'Personalized Bill Menu'!$N63,""))</f>
        <v>2.5790000000000002</v>
      </c>
      <c r="O66" s="70">
        <f t="shared" si="10"/>
        <v>59.253717362010093</v>
      </c>
      <c r="P66" s="89">
        <f ca="1">IF($A66="", "",IFERROR(IF(VLOOKUP($A66, INDIRECT("'" &amp; 'Personalized Bill Menu'!$B$23 &amp; "'!" &amp;"$A$4:$CA$100"), VLOOKUP(VLOOKUP(P$5,'Misc. Data &amp; Mechanisms'!$P$601:$S$632,HLOOKUP('Personalized Bill Menu'!$B$23, 'Misc. Data &amp; Mechanisms'!$P$599:$S$600, 2, FALSE), FALSE), 'Misc. Data &amp; Mechanisms'!$L$599:$N$659, 2, FALSE), FALSE) = "", "", VLOOKUP($A66, INDIRECT("'" &amp; 'Personalized Bill Menu'!$B$23 &amp; "'!" &amp;"$A$4:$CA$100"), VLOOKUP(VLOOKUP(P$5,'Misc. Data &amp; Mechanisms'!$P$601:$S$632,HLOOKUP('Personalized Bill Menu'!$B$23, 'Misc. Data &amp; Mechanisms'!$P$599:$S$600, 2, FALSE), FALSE), 'Misc. Data &amp; Mechanisms'!$L$599:$N$659, 2, FALSE), FALSE)), ""))</f>
        <v>0.76200000000000001</v>
      </c>
      <c r="Q66" s="69">
        <f ca="1">IF($A66="", "",IFERROR(IF(VLOOKUP($A66, INDIRECT("'" &amp; 'Personalized Bill Menu'!$B$23 &amp; "'!" &amp;"$A$4:$CA$100"), VLOOKUP(VLOOKUP(Q$5,'Misc. Data &amp; Mechanisms'!$P$601:$S$632,HLOOKUP('Personalized Bill Menu'!$B$23, 'Misc. Data &amp; Mechanisms'!$P$599:$S$600, 2, FALSE), FALSE), 'Misc. Data &amp; Mechanisms'!$L$599:$N$659, 2, FALSE), FALSE) = "", "", VLOOKUP($A66, INDIRECT("'" &amp; 'Personalized Bill Menu'!$B$23 &amp; "'!" &amp;"$A$4:$CA$100"), VLOOKUP(VLOOKUP(Q$5,'Misc. Data &amp; Mechanisms'!$P$601:$S$632,HLOOKUP('Personalized Bill Menu'!$B$23, 'Misc. Data &amp; Mechanisms'!$P$599:$S$600, 2, FALSE), FALSE), 'Misc. Data &amp; Mechanisms'!$L$599:$N$659, 2, FALSE), FALSE)), ""))</f>
        <v>0.81499999999999995</v>
      </c>
      <c r="R66" s="72">
        <f t="shared" ca="1" si="11"/>
        <v>17.507302299283321</v>
      </c>
      <c r="S66" s="70">
        <f t="shared" ca="1" si="12"/>
        <v>25.264999999999997</v>
      </c>
      <c r="T66" s="78">
        <f>IFERROR(IF(VLOOKUP($A66,'Misc. Data &amp; Mechanisms'!$A$63:$DY$152,HLOOKUP('Personalized Bill Menu'!$B$21&amp;"_"&amp;'Personalized Bill Menu'!$B$23&amp;"_NG_Y_1",'Misc. Data &amp; Mechanisms'!$A$55:$DY$62,8,FALSE), FALSE)="", "", VLOOKUP($A66,'Misc. Data &amp; Mechanisms'!$A$63:$DY$152,HLOOKUP('Personalized Bill Menu'!$B$21&amp;"_"&amp;'Personalized Bill Menu'!$B$23&amp;"_NG_Y_1",'Misc. Data &amp; Mechanisms'!$A$55:$DY$62,8,FALSE), FALSE)), "")</f>
        <v>0.1111</v>
      </c>
      <c r="U66" s="78" t="str">
        <f>IFERROR(IF(VLOOKUP($A66,'Misc. Data &amp; Mechanisms'!$A$63:$DY$152,HLOOKUP('Personalized Bill Menu'!$B$21&amp;"_"&amp;'Personalized Bill Menu'!$B$23&amp;"_NG_Y_2",'Misc. Data &amp; Mechanisms'!$A$55:$DY$62,8,FALSE), FALSE)="", "",VLOOKUP($A66,'Misc. Data &amp; Mechanisms'!$A$63:$DY$152,HLOOKUP('Personalized Bill Menu'!$B$21&amp;"_"&amp;'Personalized Bill Menu'!$B$23&amp;"_NG_Y_2",'Misc. Data &amp; Mechanisms'!$A$55:$DY$62,8,FALSE), FALSE)), "")</f>
        <v/>
      </c>
      <c r="V66" s="72">
        <f ca="1">IF($A66="", "", IFERROR(IF('Personalized Bill Menu'!$B$23="ATCO-N", IF(OR('Personalized Bill Menu'!$B$21="Fort McMurray",AND('Personalized Bill Menu'!$B$21="Spruce Grove", $A66&lt;DATE(2019, 5, 1))),$T66*($G66+$H66+$J66),$T66*($H66+$J66)), IF('Personalized Bill Menu'!$B$23="ATCO-S",IF(OR('Personalized Bill Menu'!$B$21="Calgary",AND('Personalized Bill Menu'!$B$21="Okotoks", $A66&lt;DATE(2019, 1, 1))),$T66*($G66+$H66+$J66), $T66*($H66+$J66-$AG66)),IF(AND('Personalized Bill Menu'!$B$21="Athabasca", $A66&lt;DATE(2019, 5, 1)),$T66*($G66+$H66+$J66+$K66),$T66*($H66+$J66+$K66)))),0))</f>
        <v>14.315530544313493</v>
      </c>
      <c r="W66" s="72">
        <f ca="1">IF($A66="", "", IFERROR(IF('Personalized Bill Menu'!$B$23="ATCO-N", $U66*($H66+$J66), IF('Personalized Bill Menu'!$B$23="ATCO-S",$U66*($H66+$J66),$U66*($G66+$H66+$J66+$K66))),0))</f>
        <v>0</v>
      </c>
      <c r="X66" s="89" t="str">
        <f ca="1">IF($A66="", "",IFERROR(IF(VLOOKUP($A66, INDIRECT("'" &amp; 'Personalized Bill Menu'!$B$23 &amp; "'!" &amp;"$A$4:$CA$100"), VLOOKUP(VLOOKUP("RIDER RATE 1",'Misc. Data &amp; Mechanisms'!$P$601:$S$632,HLOOKUP('Personalized Bill Menu'!$B$23, 'Misc. Data &amp; Mechanisms'!$P$599:$S$600, 2, FALSE), FALSE), 'Misc. Data &amp; Mechanisms'!$L$599:$N$659, 2, FALSE), FALSE) = "", "", VLOOKUP($A66, INDIRECT("'" &amp; 'Personalized Bill Menu'!$B$23 &amp; "'!" &amp;"$A$4:$CA$100"), VLOOKUP(VLOOKUP("RIDER RATE 1",'Misc. Data &amp; Mechanisms'!$P$601:$S$632,HLOOKUP('Personalized Bill Menu'!$B$23, 'Misc. Data &amp; Mechanisms'!$P$599:$S$600, 2, FALSE), FALSE), 'Misc. Data &amp; Mechanisms'!$L$599:$N$659, 2, FALSE), FALSE)), ""))</f>
        <v/>
      </c>
      <c r="Y66" s="69" t="str">
        <f ca="1">IF($A66="", "",IFERROR(IF(VLOOKUP($A66, INDIRECT("'" &amp; 'Personalized Bill Menu'!$B$23 &amp; "'!" &amp;"$A$4:$CA$100"), VLOOKUP(VLOOKUP("RIDER RATE 2",'Misc. Data &amp; Mechanisms'!$P$601:$S$632,HLOOKUP('Personalized Bill Menu'!$B$23, 'Misc. Data &amp; Mechanisms'!$P$599:$S$600, 2, FALSE), FALSE), 'Misc. Data &amp; Mechanisms'!$L$599:$N$659, 2, FALSE), FALSE) = "", "", VLOOKUP($A66, INDIRECT("'" &amp; 'Personalized Bill Menu'!$B$23 &amp; "'!" &amp;"$A$4:$CA$100"), VLOOKUP(VLOOKUP("RIDER RATE 2",'Misc. Data &amp; Mechanisms'!$P$601:$S$632,HLOOKUP('Personalized Bill Menu'!$B$23, 'Misc. Data &amp; Mechanisms'!$P$599:$S$600, 2, FALSE), FALSE), 'Misc. Data &amp; Mechanisms'!$L$599:$N$659, 2, FALSE), FALSE)), ""))</f>
        <v/>
      </c>
      <c r="Z66" s="69">
        <f ca="1">IF($A66="", "",IFERROR(IF(VLOOKUP($A66, INDIRECT("'" &amp; 'Personalized Bill Menu'!$B$23 &amp; "'!" &amp;"$A$4:$CA$100"), VLOOKUP(VLOOKUP("RIDER RATE 3",'Misc. Data &amp; Mechanisms'!$P$601:$S$632,HLOOKUP('Personalized Bill Menu'!$B$23, 'Misc. Data &amp; Mechanisms'!$P$599:$S$600, 2, FALSE), FALSE), 'Misc. Data &amp; Mechanisms'!$L$599:$N$659, 2, FALSE), FALSE) = "", "", VLOOKUP($A66, INDIRECT("'" &amp; 'Personalized Bill Menu'!$B$23 &amp; "'!" &amp;"$A$4:$CA$100"), VLOOKUP(VLOOKUP("RIDER RATE 3",'Misc. Data &amp; Mechanisms'!$P$601:$S$632,HLOOKUP('Personalized Bill Menu'!$B$23, 'Misc. Data &amp; Mechanisms'!$P$599:$S$600, 2, FALSE), FALSE), 'Misc. Data &amp; Mechanisms'!$L$599:$N$659, 2, FALSE), FALSE)), ""))</f>
        <v>3.9E-2</v>
      </c>
      <c r="AA66" s="69">
        <f ca="1">IF($A66="", "",IFERROR(IF(VLOOKUP($A66, INDIRECT("'" &amp; 'Personalized Bill Menu'!$B$23 &amp; "'!" &amp;"$A$4:$CA$100"), VLOOKUP(VLOOKUP("RIDER RATE 4",'Misc. Data &amp; Mechanisms'!$P$601:$S$632,HLOOKUP('Personalized Bill Menu'!$B$23, 'Misc. Data &amp; Mechanisms'!$P$599:$S$600, 2, FALSE), FALSE), 'Misc. Data &amp; Mechanisms'!$L$599:$N$659, 2, FALSE), FALSE) = "", "", VLOOKUP($A66, INDIRECT("'" &amp; 'Personalized Bill Menu'!$B$23 &amp; "'!" &amp;"$A$4:$CA$100"), VLOOKUP(VLOOKUP("RIDER RATE 4",'Misc. Data &amp; Mechanisms'!$P$601:$S$632,HLOOKUP('Personalized Bill Menu'!$B$23, 'Misc. Data &amp; Mechanisms'!$P$599:$S$600, 2, FALSE), FALSE), 'Misc. Data &amp; Mechanisms'!$L$599:$N$659, 2, FALSE), FALSE)), ""))</f>
        <v>3.2000000000000001E-2</v>
      </c>
      <c r="AB66" s="69">
        <f ca="1">IF($A66="", "",IFERROR(IF(VLOOKUP($A66, INDIRECT("'" &amp; 'Personalized Bill Menu'!$B$23 &amp; "'!" &amp;"$A$4:$CA$100"), VLOOKUP(VLOOKUP("RIDER RATE 5",'Misc. Data &amp; Mechanisms'!$P$601:$S$632,HLOOKUP('Personalized Bill Menu'!$B$23, 'Misc. Data &amp; Mechanisms'!$P$599:$S$600, 2, FALSE), FALSE), 'Misc. Data &amp; Mechanisms'!$L$599:$N$659, 2, FALSE), FALSE) = "", "", VLOOKUP($A66, INDIRECT("'" &amp; 'Personalized Bill Menu'!$B$23 &amp; "'!" &amp;"$A$4:$CA$100"), VLOOKUP(VLOOKUP("RIDER RATE 5",'Misc. Data &amp; Mechanisms'!$P$601:$S$632,HLOOKUP('Personalized Bill Menu'!$B$23, 'Misc. Data &amp; Mechanisms'!$P$599:$S$600, 2, FALSE), FALSE), 'Misc. Data &amp; Mechanisms'!$L$599:$N$659, 2, FALSE), FALSE)), ""))</f>
        <v>0.81399999999999995</v>
      </c>
      <c r="AC66" s="69">
        <f ca="1">IF($A66="", "",IFERROR(IF(VLOOKUP($A66, INDIRECT("'" &amp; 'Personalized Bill Menu'!$B$23 &amp; "'!" &amp;"$A$4:$CA$100"), VLOOKUP(VLOOKUP("RIDER RATE 6",'Misc. Data &amp; Mechanisms'!$P$601:$S$632,HLOOKUP('Personalized Bill Menu'!$B$23, 'Misc. Data &amp; Mechanisms'!$P$599:$S$600, 2, FALSE), FALSE), 'Misc. Data &amp; Mechanisms'!$L$599:$N$659, 2, FALSE), FALSE) = "", "", VLOOKUP($A66, INDIRECT("'" &amp; 'Personalized Bill Menu'!$B$23 &amp; "'!" &amp;"$A$4:$CA$100"), VLOOKUP(VLOOKUP("RIDER RATE 6",'Misc. Data &amp; Mechanisms'!$P$601:$S$632,HLOOKUP('Personalized Bill Menu'!$B$23, 'Misc. Data &amp; Mechanisms'!$P$599:$S$600, 2, FALSE), FALSE), 'Misc. Data &amp; Mechanisms'!$L$599:$N$659, 2, FALSE), FALSE)), ""))</f>
        <v>0.26900000000000002</v>
      </c>
      <c r="AD66" s="69" t="str">
        <f ca="1">IF($A66="", "",IFERROR(IF(VLOOKUP($A66, INDIRECT("'" &amp; 'Personalized Bill Menu'!$B$23 &amp; "'!" &amp;"$A$4:$CA$100"), VLOOKUP(VLOOKUP("RIDER RATE 7",'Misc. Data &amp; Mechanisms'!$P$601:$S$632,HLOOKUP('Personalized Bill Menu'!$B$23, 'Misc. Data &amp; Mechanisms'!$P$599:$S$600, 2, FALSE), FALSE), 'Misc. Data &amp; Mechanisms'!$L$599:$N$659, 2, FALSE), FALSE) = "", "", VLOOKUP($A66, INDIRECT("'" &amp; 'Personalized Bill Menu'!$B$23 &amp; "'!" &amp;"$A$4:$CA$100"), VLOOKUP(VLOOKUP("RIDER RATE 7",'Misc. Data &amp; Mechanisms'!$P$601:$S$632,HLOOKUP('Personalized Bill Menu'!$B$23, 'Misc. Data &amp; Mechanisms'!$P$599:$S$600, 2, FALSE), FALSE), 'Misc. Data &amp; Mechanisms'!$L$599:$N$659, 2, FALSE), FALSE)), ""))</f>
        <v/>
      </c>
      <c r="AE66" s="69" t="str">
        <f ca="1">IF($A66="", "",IFERROR(IF(VLOOKUP($A66, INDIRECT("'" &amp; 'Personalized Bill Menu'!$B$23 &amp; "'!" &amp;"$A$4:$CA$100"), VLOOKUP(VLOOKUP("RIDER RATE 8",'Misc. Data &amp; Mechanisms'!$P$601:$S$632,HLOOKUP('Personalized Bill Menu'!$B$23, 'Misc. Data &amp; Mechanisms'!$P$599:$S$600, 2, FALSE), FALSE), 'Misc. Data &amp; Mechanisms'!$L$599:$N$659, 2, FALSE), FALSE) = "", "", VLOOKUP($A66, INDIRECT("'" &amp; 'Personalized Bill Menu'!$B$23 &amp; "'!" &amp;"$A$4:$CA$100"), VLOOKUP(VLOOKUP("RIDER RATE 8",'Misc. Data &amp; Mechanisms'!$P$601:$S$632,HLOOKUP('Personalized Bill Menu'!$B$23, 'Misc. Data &amp; Mechanisms'!$P$599:$S$600, 2, FALSE), FALSE), 'Misc. Data &amp; Mechanisms'!$L$599:$N$659, 2, FALSE), FALSE)), ""))</f>
        <v/>
      </c>
      <c r="AF66" s="69" t="str">
        <f ca="1">IF($A66="", "",IFERROR(IF(VLOOKUP($A66, INDIRECT("'" &amp; 'Personalized Bill Menu'!$B$23 &amp; "'!" &amp;"$A$4:$CA$100"), VLOOKUP(VLOOKUP("RIDER RATE 9",'Misc. Data &amp; Mechanisms'!$P$601:$S$632,HLOOKUP('Personalized Bill Menu'!$B$23, 'Misc. Data &amp; Mechanisms'!$P$599:$S$600, 2, FALSE), FALSE), 'Misc. Data &amp; Mechanisms'!$L$599:$N$659, 2, FALSE), FALSE) = "", "", VLOOKUP($A66, INDIRECT("'" &amp; 'Personalized Bill Menu'!$B$23 &amp; "'!" &amp;"$A$4:$CA$100"), VLOOKUP(VLOOKUP("RIDER RATE 9",'Misc. Data &amp; Mechanisms'!$P$601:$S$632,HLOOKUP('Personalized Bill Menu'!$B$23, 'Misc. Data &amp; Mechanisms'!$P$599:$S$600, 2, FALSE), FALSE), 'Misc. Data &amp; Mechanisms'!$L$599:$N$659, 2, FALSE), FALSE)), ""))</f>
        <v/>
      </c>
      <c r="AG66" s="72">
        <f ca="1">IF($A66="", "", IFERROR(IF('Personalized Bill Menu'!$B$23="ATCO-N", ($X66*$B66) +($Y66*$C66), IF('Personalized Bill Menu'!$B$23="ATCO-S",$X66*$C66, IF($Y66="", ($X66*$H66), ($Y66*($H66+$K66))))), 0))</f>
        <v>0</v>
      </c>
      <c r="AH66" s="72">
        <f ca="1">IF($A66="", "", IFERROR(IF('Personalized Bill Menu'!$B$23="ATCO-S", $Y66*$C66, $Z66*$C66), 0))</f>
        <v>0</v>
      </c>
      <c r="AI66" s="72">
        <f ca="1">IF($A66="", "", IFERROR(IF('Personalized Bill Menu'!$B$23="ATCO-S", ($AA66*$C66)+($Z66*$B66), $AA66*$C66), 0))</f>
        <v>1.9442147947205597</v>
      </c>
      <c r="AJ66" s="72">
        <f ca="1">IF($A66="", "", IFERROR(IF('Personalized Bill Menu'!$B$23&lt;&gt;"AltaGas",$AB66*$C66,""),0))</f>
        <v>18.702026340704229</v>
      </c>
      <c r="AK66" s="72">
        <f ca="1">IF($A66="", "", IFERROR(IF('Personalized Bill Menu'!$B$23="ATCO-S",$AC66*$C66,IF('Personalized Bill Menu'!$B$23="ATCO-N",$AC66*1,"")),0))</f>
        <v>6.1803993681197031</v>
      </c>
      <c r="AL66" s="72">
        <f ca="1">IF($A66="", "", IFERROR(IF('Personalized Bill Menu'!$B$23="ATCO-N",$AD66*$B66,IF('Personalized Bill Menu'!$B$23="ATCO-S",$AD66*1,"")),0))</f>
        <v>0</v>
      </c>
      <c r="AM66" s="72">
        <f ca="1">IF($A66="", "", IFERROR(IF('Personalized Bill Menu'!$B$23="ATCO-S",$AE66*$B66,IF('Personalized Bill Menu'!$B$23="ATCO-N",$AE66*$B66,"")),0))</f>
        <v>0</v>
      </c>
      <c r="AN66" s="70">
        <f ca="1">IF($A66="", "", IFERROR(IF('Personalized Bill Menu'!$B$23="ATCO-S",$AF66*$B66,""),0))</f>
        <v>0</v>
      </c>
      <c r="AO66" s="69">
        <f>IF('Personalized Bill Menu'!$B$34="Natural Gas", 'Personalized Bill Menu'!$K63, IF('Personalized Bill Menu'!$B$34="Both",'Personalized Bill Menu'!$O63,""))</f>
        <v>0.249</v>
      </c>
      <c r="AP66" s="72">
        <f t="shared" si="13"/>
        <v>7.7190000000000003</v>
      </c>
      <c r="AQ66" s="89" t="str">
        <f ca="1">IF($A66="", "",IF(VLOOKUP($A66, INDIRECT("'" &amp; 'Personalized Bill Menu'!$B$23 &amp; "'!" &amp;"$A$4:$CA$100"), VLOOKUP(VLOOKUP(AQ$5,'Misc. Data &amp; Mechanisms'!$P$601:$S$632,HLOOKUP('Personalized Bill Menu'!$B$23, 'Misc. Data &amp; Mechanisms'!$P$599:$S$600, 2, FALSE), FALSE), 'Misc. Data &amp; Mechanisms'!$L$599:$N$659, 2, FALSE), FALSE) = "", "", VLOOKUP($A66, INDIRECT("'" &amp; 'Personalized Bill Menu'!$B$23 &amp; "'!" &amp;"$A$4:$CA$100"), VLOOKUP(VLOOKUP(AQ$5,'Misc. Data &amp; Mechanisms'!$P$601:$S$632,HLOOKUP('Personalized Bill Menu'!$B$23, 'Misc. Data &amp; Mechanisms'!$P$599:$S$600, 2, FALSE), FALSE), 'Misc. Data &amp; Mechanisms'!$L$599:$N$659, 2, FALSE), FALSE)))</f>
        <v/>
      </c>
      <c r="AR66" s="72">
        <f t="shared" ca="1" si="14"/>
        <v>0</v>
      </c>
      <c r="AS66" s="91">
        <f ca="1">IF($A66="", "",IF(VLOOKUP($A66, INDIRECT("'" &amp; 'Personalized Bill Menu'!$B$23 &amp; "'!" &amp;"$A$4:$CA$100"), VLOOKUP(VLOOKUP(AS$5,'Misc. Data &amp; Mechanisms'!$P$601:$S$632,HLOOKUP('Personalized Bill Menu'!$B$23, 'Misc. Data &amp; Mechanisms'!$P$599:$S$600, 2, FALSE), FALSE), 'Misc. Data &amp; Mechanisms'!$L$599:$N$659, 2, FALSE), FALSE) = "", "", VLOOKUP($A66, INDIRECT("'" &amp; 'Personalized Bill Menu'!$B$23 &amp; "'!" &amp;"$A$4:$CA$100"), VLOOKUP(VLOOKUP(AS$5,'Misc. Data &amp; Mechanisms'!$P$601:$S$632,HLOOKUP('Personalized Bill Menu'!$B$23, 'Misc. Data &amp; Mechanisms'!$P$599:$S$600, 2, FALSE), FALSE), 'Misc. Data &amp; Mechanisms'!$L$599:$N$659, 2, FALSE), FALSE)))</f>
        <v>0.05</v>
      </c>
    </row>
    <row r="67" spans="1:45" x14ac:dyDescent="0.3">
      <c r="A67" s="83">
        <f>'Personalized Bill Menu'!$H64</f>
        <v>42736</v>
      </c>
      <c r="B67" s="84">
        <f t="shared" si="3"/>
        <v>31</v>
      </c>
      <c r="C67" s="85">
        <f>IF('Personalized Bill Menu'!$B$34="Natural Gas", 'Personalized Bill Menu'!$I64, IF('Personalized Bill Menu'!$B$34="Both",'Personalized Bill Menu'!$M64,""))</f>
        <v>20.208502726578462</v>
      </c>
      <c r="D67" s="66">
        <f t="shared" ca="1" si="4"/>
        <v>9.5084389873474251</v>
      </c>
      <c r="E67" s="66">
        <f ca="1">IF($C67="Not Applicable", "", IFERROR(IFERROR((1+$AS67)*IF('Personalized Bill Menu'!$B$23="ATCO-N", IF(OR('Personalized Bill Menu'!$B$21="Fort McMurray",AND('Personalized Bill Menu'!$B$21="Spruce Grove", $A67&lt;DATE(2019, 5, 1) )),(((1+IF($T67="",0,$T67))*($N67+$P67))+ (IF($U67="", 0, $U67)*$P67)+(1+IF($T67="",0,$T67)+IF($U67="", 0, $U67))*(SUM($Y67:$AB67))),($N67+((1+IF($T67="",0,$T67)+IF($U67="", 0, $U67))*$P67)+(1+IF($T67="",0,$T67)+IF($U67="", 0, $U67))*(SUM($Y67:$AB67)))), IF('Personalized Bill Menu'!$B$23="ATCO-S",IF(OR('Personalized Bill Menu'!$B$21="Calgary",AND('Personalized Bill Menu'!$B$21="Okotoks", $A67&lt;DATE(2019, 1, 1))),((1+IF($T67="",0,$T67))*($N67+$P67+SUM($X67:$Y67,$AA67:$AC67)))+(IF($U67="",0, $U67)*($P67+SUM($X67:$Y67,$AA67:$AC67))), ((1+IF($T67="",0,$T67))*($P67+SUM($Y67,$AA67:$AC67)))+(IF($U67="",0, $U67)*($P67+SUM($X67:$Y67,$AA67:$AC67)))+$N67+IF($X67="", 0, $X67)),IF(AND('Personalized Bill Menu'!$B$21="Athabasca", $A67&lt;DATE(2019, 5, 1)),((1+IF($T67="",0,$T67)+IF($U67="", 0, $U67))*($N67+((1+SUM($X67:$Y67))*$P67)+SUM($Z67:$AA67))),((1+IF($U67="", 0, $U67))*($N67+((1+SUM($X67:$Y67))*$P67)+SUM($Z67:$AA67))) + (IF($T67="",0,$T67)*(((1+SUM($X67:$Y67))*$P67)+SUM($Z67:$AA67)))))), "")+ IF($AQ67="", 0,((1+$AS67)*$AQ67)), ""))</f>
        <v>7.6344842699999997</v>
      </c>
      <c r="F67" s="118">
        <f t="shared" ca="1" si="5"/>
        <v>192.15131520131538</v>
      </c>
      <c r="G67" s="115">
        <f t="shared" si="15"/>
        <v>75.680842711036348</v>
      </c>
      <c r="H67" s="66">
        <f t="shared" ca="1" si="16"/>
        <v>41.801053197622238</v>
      </c>
      <c r="I67" s="66">
        <f t="shared" ca="1" si="17"/>
        <v>15.483751954567436</v>
      </c>
      <c r="J67" s="66">
        <f t="shared" ca="1" si="6"/>
        <v>21.885808452884476</v>
      </c>
      <c r="K67" s="66">
        <f t="shared" si="18"/>
        <v>7.7190000000000003</v>
      </c>
      <c r="L67" s="66">
        <f t="shared" ca="1" si="8"/>
        <v>20.430796256570822</v>
      </c>
      <c r="M67" s="68">
        <f t="shared" ca="1" si="9"/>
        <v>9.1500626286340658</v>
      </c>
      <c r="N67" s="1290">
        <f>IF('Personalized Bill Menu'!$B$34="Natural Gas", 'Personalized Bill Menu'!$J64, IF('Personalized Bill Menu'!$B$34="Both",'Personalized Bill Menu'!$N64,""))</f>
        <v>3.7450000000000001</v>
      </c>
      <c r="O67" s="70">
        <f t="shared" si="10"/>
        <v>75.680842711036348</v>
      </c>
      <c r="P67" s="89">
        <f ca="1">IF($A67="", "",IFERROR(IF(VLOOKUP($A67, INDIRECT("'" &amp; 'Personalized Bill Menu'!$B$23 &amp; "'!" &amp;"$A$4:$CA$100"), VLOOKUP(VLOOKUP(P$5,'Misc. Data &amp; Mechanisms'!$P$601:$S$632,HLOOKUP('Personalized Bill Menu'!$B$23, 'Misc. Data &amp; Mechanisms'!$P$599:$S$600, 2, FALSE), FALSE), 'Misc. Data &amp; Mechanisms'!$L$599:$N$659, 2, FALSE), FALSE) = "", "", VLOOKUP($A67, INDIRECT("'" &amp; 'Personalized Bill Menu'!$B$23 &amp; "'!" &amp;"$A$4:$CA$100"), VLOOKUP(VLOOKUP(P$5,'Misc. Data &amp; Mechanisms'!$P$601:$S$632,HLOOKUP('Personalized Bill Menu'!$B$23, 'Misc. Data &amp; Mechanisms'!$P$599:$S$600, 2, FALSE), FALSE), 'Misc. Data &amp; Mechanisms'!$L$599:$N$659, 2, FALSE), FALSE)), ""))</f>
        <v>0.80600000000000005</v>
      </c>
      <c r="Q67" s="69">
        <f ca="1">IF($A67="", "",IFERROR(IF(VLOOKUP($A67, INDIRECT("'" &amp; 'Personalized Bill Menu'!$B$23 &amp; "'!" &amp;"$A$4:$CA$100"), VLOOKUP(VLOOKUP(Q$5,'Misc. Data &amp; Mechanisms'!$P$601:$S$632,HLOOKUP('Personalized Bill Menu'!$B$23, 'Misc. Data &amp; Mechanisms'!$P$599:$S$600, 2, FALSE), FALSE), 'Misc. Data &amp; Mechanisms'!$L$599:$N$659, 2, FALSE), FALSE) = "", "", VLOOKUP($A67, INDIRECT("'" &amp; 'Personalized Bill Menu'!$B$23 &amp; "'!" &amp;"$A$4:$CA$100"), VLOOKUP(VLOOKUP(Q$5,'Misc. Data &amp; Mechanisms'!$P$601:$S$632,HLOOKUP('Personalized Bill Menu'!$B$23, 'Misc. Data &amp; Mechanisms'!$P$599:$S$600, 2, FALSE), FALSE), 'Misc. Data &amp; Mechanisms'!$L$599:$N$659, 2, FALSE), FALSE)), ""))</f>
        <v>0.82299999999999995</v>
      </c>
      <c r="R67" s="72">
        <f t="shared" ca="1" si="11"/>
        <v>16.28805319762224</v>
      </c>
      <c r="S67" s="70">
        <f t="shared" ca="1" si="12"/>
        <v>25.512999999999998</v>
      </c>
      <c r="T67" s="78">
        <f>IFERROR(IF(VLOOKUP($A67,'Misc. Data &amp; Mechanisms'!$A$63:$DY$152,HLOOKUP('Personalized Bill Menu'!$B$21&amp;"_"&amp;'Personalized Bill Menu'!$B$23&amp;"_NG_Y_1",'Misc. Data &amp; Mechanisms'!$A$55:$DY$62,8,FALSE), FALSE)="", "", VLOOKUP($A67,'Misc. Data &amp; Mechanisms'!$A$63:$DY$152,HLOOKUP('Personalized Bill Menu'!$B$21&amp;"_"&amp;'Personalized Bill Menu'!$B$23&amp;"_NG_Y_1",'Misc. Data &amp; Mechanisms'!$A$55:$DY$62,8,FALSE), FALSE)), "")</f>
        <v>0.1111</v>
      </c>
      <c r="U67" s="78" t="str">
        <f>IFERROR(IF(VLOOKUP($A67,'Misc. Data &amp; Mechanisms'!$A$63:$DY$152,HLOOKUP('Personalized Bill Menu'!$B$21&amp;"_"&amp;'Personalized Bill Menu'!$B$23&amp;"_NG_Y_2",'Misc. Data &amp; Mechanisms'!$A$55:$DY$62,8,FALSE), FALSE)="", "",VLOOKUP($A67,'Misc. Data &amp; Mechanisms'!$A$63:$DY$152,HLOOKUP('Personalized Bill Menu'!$B$21&amp;"_"&amp;'Personalized Bill Menu'!$B$23&amp;"_NG_Y_2",'Misc. Data &amp; Mechanisms'!$A$55:$DY$62,8,FALSE), FALSE)), "")</f>
        <v/>
      </c>
      <c r="V67" s="72">
        <f ca="1">IF($A67="", "", IFERROR(IF('Personalized Bill Menu'!$B$23="ATCO-N", IF(OR('Personalized Bill Menu'!$B$21="Fort McMurray",AND('Personalized Bill Menu'!$B$21="Spruce Grove", $A67&lt;DATE(2019, 5, 1))),$T67*($G67+$H67+$J67),$T67*($H67+$J67)), IF('Personalized Bill Menu'!$B$23="ATCO-S",IF(OR('Personalized Bill Menu'!$B$21="Calgary",AND('Personalized Bill Menu'!$B$21="Okotoks", $A67&lt;DATE(2019, 1, 1))),$T67*($G67+$H67+$J67), $T67*($H67+$J67-$AG67)),IF(AND('Personalized Bill Menu'!$B$21="Athabasca", $A67&lt;DATE(2019, 5, 1)),$T67*($G67+$H67+$J67+$K67),$T67*($H67+$J67+$K67)))),0))</f>
        <v>15.483751954567436</v>
      </c>
      <c r="W67" s="72">
        <f ca="1">IF($A67="", "", IFERROR(IF('Personalized Bill Menu'!$B$23="ATCO-N", $U67*($H67+$J67), IF('Personalized Bill Menu'!$B$23="ATCO-S",$U67*($H67+$J67),$U67*($G67+$H67+$J67+$K67))),0))</f>
        <v>0</v>
      </c>
      <c r="X67" s="89" t="str">
        <f ca="1">IF($A67="", "",IFERROR(IF(VLOOKUP($A67, INDIRECT("'" &amp; 'Personalized Bill Menu'!$B$23 &amp; "'!" &amp;"$A$4:$CA$100"), VLOOKUP(VLOOKUP("RIDER RATE 1",'Misc. Data &amp; Mechanisms'!$P$601:$S$632,HLOOKUP('Personalized Bill Menu'!$B$23, 'Misc. Data &amp; Mechanisms'!$P$599:$S$600, 2, FALSE), FALSE), 'Misc. Data &amp; Mechanisms'!$L$599:$N$659, 2, FALSE), FALSE) = "", "", VLOOKUP($A67, INDIRECT("'" &amp; 'Personalized Bill Menu'!$B$23 &amp; "'!" &amp;"$A$4:$CA$100"), VLOOKUP(VLOOKUP("RIDER RATE 1",'Misc. Data &amp; Mechanisms'!$P$601:$S$632,HLOOKUP('Personalized Bill Menu'!$B$23, 'Misc. Data &amp; Mechanisms'!$P$599:$S$600, 2, FALSE), FALSE), 'Misc. Data &amp; Mechanisms'!$L$599:$N$659, 2, FALSE), FALSE)), ""))</f>
        <v/>
      </c>
      <c r="Y67" s="69" t="str">
        <f ca="1">IF($A67="", "",IFERROR(IF(VLOOKUP($A67, INDIRECT("'" &amp; 'Personalized Bill Menu'!$B$23 &amp; "'!" &amp;"$A$4:$CA$100"), VLOOKUP(VLOOKUP("RIDER RATE 2",'Misc. Data &amp; Mechanisms'!$P$601:$S$632,HLOOKUP('Personalized Bill Menu'!$B$23, 'Misc. Data &amp; Mechanisms'!$P$599:$S$600, 2, FALSE), FALSE), 'Misc. Data &amp; Mechanisms'!$L$599:$N$659, 2, FALSE), FALSE) = "", "", VLOOKUP($A67, INDIRECT("'" &amp; 'Personalized Bill Menu'!$B$23 &amp; "'!" &amp;"$A$4:$CA$100"), VLOOKUP(VLOOKUP("RIDER RATE 2",'Misc. Data &amp; Mechanisms'!$P$601:$S$632,HLOOKUP('Personalized Bill Menu'!$B$23, 'Misc. Data &amp; Mechanisms'!$P$599:$S$600, 2, FALSE), FALSE), 'Misc. Data &amp; Mechanisms'!$L$599:$N$659, 2, FALSE), FALSE)), ""))</f>
        <v/>
      </c>
      <c r="Z67" s="69" t="str">
        <f ca="1">IF($A67="", "",IFERROR(IF(VLOOKUP($A67, INDIRECT("'" &amp; 'Personalized Bill Menu'!$B$23 &amp; "'!" &amp;"$A$4:$CA$100"), VLOOKUP(VLOOKUP("RIDER RATE 3",'Misc. Data &amp; Mechanisms'!$P$601:$S$632,HLOOKUP('Personalized Bill Menu'!$B$23, 'Misc. Data &amp; Mechanisms'!$P$599:$S$600, 2, FALSE), FALSE), 'Misc. Data &amp; Mechanisms'!$L$599:$N$659, 2, FALSE), FALSE) = "", "", VLOOKUP($A67, INDIRECT("'" &amp; 'Personalized Bill Menu'!$B$23 &amp; "'!" &amp;"$A$4:$CA$100"), VLOOKUP(VLOOKUP("RIDER RATE 3",'Misc. Data &amp; Mechanisms'!$P$601:$S$632,HLOOKUP('Personalized Bill Menu'!$B$23, 'Misc. Data &amp; Mechanisms'!$P$599:$S$600, 2, FALSE), FALSE), 'Misc. Data &amp; Mechanisms'!$L$599:$N$659, 2, FALSE), FALSE)), ""))</f>
        <v/>
      </c>
      <c r="AA67" s="69" t="str">
        <f ca="1">IF($A67="", "",IFERROR(IF(VLOOKUP($A67, INDIRECT("'" &amp; 'Personalized Bill Menu'!$B$23 &amp; "'!" &amp;"$A$4:$CA$100"), VLOOKUP(VLOOKUP("RIDER RATE 4",'Misc. Data &amp; Mechanisms'!$P$601:$S$632,HLOOKUP('Personalized Bill Menu'!$B$23, 'Misc. Data &amp; Mechanisms'!$P$599:$S$600, 2, FALSE), FALSE), 'Misc. Data &amp; Mechanisms'!$L$599:$N$659, 2, FALSE), FALSE) = "", "", VLOOKUP($A67, INDIRECT("'" &amp; 'Personalized Bill Menu'!$B$23 &amp; "'!" &amp;"$A$4:$CA$100"), VLOOKUP(VLOOKUP("RIDER RATE 4",'Misc. Data &amp; Mechanisms'!$P$601:$S$632,HLOOKUP('Personalized Bill Menu'!$B$23, 'Misc. Data &amp; Mechanisms'!$P$599:$S$600, 2, FALSE), FALSE), 'Misc. Data &amp; Mechanisms'!$L$599:$N$659, 2, FALSE), FALSE)), ""))</f>
        <v/>
      </c>
      <c r="AB67" s="69">
        <f ca="1">IF($A67="", "",IFERROR(IF(VLOOKUP($A67, INDIRECT("'" &amp; 'Personalized Bill Menu'!$B$23 &amp; "'!" &amp;"$A$4:$CA$100"), VLOOKUP(VLOOKUP("RIDER RATE 5",'Misc. Data &amp; Mechanisms'!$P$601:$S$632,HLOOKUP('Personalized Bill Menu'!$B$23, 'Misc. Data &amp; Mechanisms'!$P$599:$S$600, 2, FALSE), FALSE), 'Misc. Data &amp; Mechanisms'!$L$599:$N$659, 2, FALSE), FALSE) = "", "", VLOOKUP($A67, INDIRECT("'" &amp; 'Personalized Bill Menu'!$B$23 &amp; "'!" &amp;"$A$4:$CA$100"), VLOOKUP(VLOOKUP("RIDER RATE 5",'Misc. Data &amp; Mechanisms'!$P$601:$S$632,HLOOKUP('Personalized Bill Menu'!$B$23, 'Misc. Data &amp; Mechanisms'!$P$599:$S$600, 2, FALSE), FALSE), 'Misc. Data &amp; Mechanisms'!$L$599:$N$659, 2, FALSE), FALSE)), ""))</f>
        <v>0.81399999999999995</v>
      </c>
      <c r="AC67" s="69">
        <f ca="1">IF($A67="", "",IFERROR(IF(VLOOKUP($A67, INDIRECT("'" &amp; 'Personalized Bill Menu'!$B$23 &amp; "'!" &amp;"$A$4:$CA$100"), VLOOKUP(VLOOKUP("RIDER RATE 6",'Misc. Data &amp; Mechanisms'!$P$601:$S$632,HLOOKUP('Personalized Bill Menu'!$B$23, 'Misc. Data &amp; Mechanisms'!$P$599:$S$600, 2, FALSE), FALSE), 'Misc. Data &amp; Mechanisms'!$L$599:$N$659, 2, FALSE), FALSE) = "", "", VLOOKUP($A67, INDIRECT("'" &amp; 'Personalized Bill Menu'!$B$23 &amp; "'!" &amp;"$A$4:$CA$100"), VLOOKUP(VLOOKUP("RIDER RATE 6",'Misc. Data &amp; Mechanisms'!$P$601:$S$632,HLOOKUP('Personalized Bill Menu'!$B$23, 'Misc. Data &amp; Mechanisms'!$P$599:$S$600, 2, FALSE), FALSE), 'Misc. Data &amp; Mechanisms'!$L$599:$N$659, 2, FALSE), FALSE)), ""))</f>
        <v>0.26900000000000002</v>
      </c>
      <c r="AD67" s="69" t="str">
        <f ca="1">IF($A67="", "",IFERROR(IF(VLOOKUP($A67, INDIRECT("'" &amp; 'Personalized Bill Menu'!$B$23 &amp; "'!" &amp;"$A$4:$CA$100"), VLOOKUP(VLOOKUP("RIDER RATE 7",'Misc. Data &amp; Mechanisms'!$P$601:$S$632,HLOOKUP('Personalized Bill Menu'!$B$23, 'Misc. Data &amp; Mechanisms'!$P$599:$S$600, 2, FALSE), FALSE), 'Misc. Data &amp; Mechanisms'!$L$599:$N$659, 2, FALSE), FALSE) = "", "", VLOOKUP($A67, INDIRECT("'" &amp; 'Personalized Bill Menu'!$B$23 &amp; "'!" &amp;"$A$4:$CA$100"), VLOOKUP(VLOOKUP("RIDER RATE 7",'Misc. Data &amp; Mechanisms'!$P$601:$S$632,HLOOKUP('Personalized Bill Menu'!$B$23, 'Misc. Data &amp; Mechanisms'!$P$599:$S$600, 2, FALSE), FALSE), 'Misc. Data &amp; Mechanisms'!$L$599:$N$659, 2, FALSE), FALSE)), ""))</f>
        <v/>
      </c>
      <c r="AE67" s="69" t="str">
        <f ca="1">IF($A67="", "",IFERROR(IF(VLOOKUP($A67, INDIRECT("'" &amp; 'Personalized Bill Menu'!$B$23 &amp; "'!" &amp;"$A$4:$CA$100"), VLOOKUP(VLOOKUP("RIDER RATE 8",'Misc. Data &amp; Mechanisms'!$P$601:$S$632,HLOOKUP('Personalized Bill Menu'!$B$23, 'Misc. Data &amp; Mechanisms'!$P$599:$S$600, 2, FALSE), FALSE), 'Misc. Data &amp; Mechanisms'!$L$599:$N$659, 2, FALSE), FALSE) = "", "", VLOOKUP($A67, INDIRECT("'" &amp; 'Personalized Bill Menu'!$B$23 &amp; "'!" &amp;"$A$4:$CA$100"), VLOOKUP(VLOOKUP("RIDER RATE 8",'Misc. Data &amp; Mechanisms'!$P$601:$S$632,HLOOKUP('Personalized Bill Menu'!$B$23, 'Misc. Data &amp; Mechanisms'!$P$599:$S$600, 2, FALSE), FALSE), 'Misc. Data &amp; Mechanisms'!$L$599:$N$659, 2, FALSE), FALSE)), ""))</f>
        <v/>
      </c>
      <c r="AF67" s="69" t="str">
        <f ca="1">IF($A67="", "",IFERROR(IF(VLOOKUP($A67, INDIRECT("'" &amp; 'Personalized Bill Menu'!$B$23 &amp; "'!" &amp;"$A$4:$CA$100"), VLOOKUP(VLOOKUP("RIDER RATE 9",'Misc. Data &amp; Mechanisms'!$P$601:$S$632,HLOOKUP('Personalized Bill Menu'!$B$23, 'Misc. Data &amp; Mechanisms'!$P$599:$S$600, 2, FALSE), FALSE), 'Misc. Data &amp; Mechanisms'!$L$599:$N$659, 2, FALSE), FALSE) = "", "", VLOOKUP($A67, INDIRECT("'" &amp; 'Personalized Bill Menu'!$B$23 &amp; "'!" &amp;"$A$4:$CA$100"), VLOOKUP(VLOOKUP("RIDER RATE 9",'Misc. Data &amp; Mechanisms'!$P$601:$S$632,HLOOKUP('Personalized Bill Menu'!$B$23, 'Misc. Data &amp; Mechanisms'!$P$599:$S$600, 2, FALSE), FALSE), 'Misc. Data &amp; Mechanisms'!$L$599:$N$659, 2, FALSE), FALSE)), ""))</f>
        <v/>
      </c>
      <c r="AG67" s="72">
        <f ca="1">IF($A67="", "", IFERROR(IF('Personalized Bill Menu'!$B$23="ATCO-N", ($X67*$B67) +($Y67*$C67), IF('Personalized Bill Menu'!$B$23="ATCO-S",$X67*$C67, IF($Y67="", ($X67*$H67), ($Y67*($H67+$K67))))), 0))</f>
        <v>0</v>
      </c>
      <c r="AH67" s="72">
        <f ca="1">IF($A67="", "", IFERROR(IF('Personalized Bill Menu'!$B$23="ATCO-S", $Y67*$C67, $Z67*$C67), 0))</f>
        <v>0</v>
      </c>
      <c r="AI67" s="72">
        <f ca="1">IF($A67="", "", IFERROR(IF('Personalized Bill Menu'!$B$23="ATCO-S", ($AA67*$C67)+($Z67*$B67), $AA67*$C67), 0))</f>
        <v>0</v>
      </c>
      <c r="AJ67" s="72">
        <f ca="1">IF($A67="", "", IFERROR(IF('Personalized Bill Menu'!$B$23&lt;&gt;"AltaGas",$AB67*$C67,""),0))</f>
        <v>16.449721219434867</v>
      </c>
      <c r="AK67" s="72">
        <f ca="1">IF($A67="", "", IFERROR(IF('Personalized Bill Menu'!$B$23="ATCO-S",$AC67*$C67,IF('Personalized Bill Menu'!$B$23="ATCO-N",$AC67*1,"")),0))</f>
        <v>5.4360872334496069</v>
      </c>
      <c r="AL67" s="72">
        <f ca="1">IF($A67="", "", IFERROR(IF('Personalized Bill Menu'!$B$23="ATCO-N",$AD67*$B67,IF('Personalized Bill Menu'!$B$23="ATCO-S",$AD67*1,"")),0))</f>
        <v>0</v>
      </c>
      <c r="AM67" s="72">
        <f ca="1">IF($A67="", "", IFERROR(IF('Personalized Bill Menu'!$B$23="ATCO-S",$AE67*$B67,IF('Personalized Bill Menu'!$B$23="ATCO-N",$AE67*$B67,"")),0))</f>
        <v>0</v>
      </c>
      <c r="AN67" s="70">
        <f ca="1">IF($A67="", "", IFERROR(IF('Personalized Bill Menu'!$B$23="ATCO-S",$AF67*$B67,""),0))</f>
        <v>0</v>
      </c>
      <c r="AO67" s="69">
        <f>IF('Personalized Bill Menu'!$B$34="Natural Gas", 'Personalized Bill Menu'!$K64, IF('Personalized Bill Menu'!$B$34="Both",'Personalized Bill Menu'!$O64,""))</f>
        <v>0.249</v>
      </c>
      <c r="AP67" s="72">
        <f t="shared" si="13"/>
        <v>7.7190000000000003</v>
      </c>
      <c r="AQ67" s="89">
        <f ca="1">IF($A67="", "",IF(VLOOKUP($A67, INDIRECT("'" &amp; 'Personalized Bill Menu'!$B$23 &amp; "'!" &amp;"$A$4:$CA$100"), VLOOKUP(VLOOKUP(AQ$5,'Misc. Data &amp; Mechanisms'!$P$601:$S$632,HLOOKUP('Personalized Bill Menu'!$B$23, 'Misc. Data &amp; Mechanisms'!$P$599:$S$600, 2, FALSE), FALSE), 'Misc. Data &amp; Mechanisms'!$L$599:$N$659, 2, FALSE), FALSE) = "", "", VLOOKUP($A67, INDIRECT("'" &amp; 'Personalized Bill Menu'!$B$23 &amp; "'!" &amp;"$A$4:$CA$100"), VLOOKUP(VLOOKUP(AQ$5,'Misc. Data &amp; Mechanisms'!$P$601:$S$632,HLOOKUP('Personalized Bill Menu'!$B$23, 'Misc. Data &amp; Mechanisms'!$P$599:$S$600, 2, FALSE), FALSE), 'Misc. Data &amp; Mechanisms'!$L$599:$N$659, 2, FALSE), FALSE)))</f>
        <v>1.0109999999999999</v>
      </c>
      <c r="AR67" s="72">
        <f t="shared" ca="1" si="14"/>
        <v>20.430796256570822</v>
      </c>
      <c r="AS67" s="91">
        <f ca="1">IF($A67="", "",IF(VLOOKUP($A67, INDIRECT("'" &amp; 'Personalized Bill Menu'!$B$23 &amp; "'!" &amp;"$A$4:$CA$100"), VLOOKUP(VLOOKUP(AS$5,'Misc. Data &amp; Mechanisms'!$P$601:$S$632,HLOOKUP('Personalized Bill Menu'!$B$23, 'Misc. Data &amp; Mechanisms'!$P$599:$S$600, 2, FALSE), FALSE), 'Misc. Data &amp; Mechanisms'!$L$599:$N$659, 2, FALSE), FALSE) = "", "", VLOOKUP($A67, INDIRECT("'" &amp; 'Personalized Bill Menu'!$B$23 &amp; "'!" &amp;"$A$4:$CA$100"), VLOOKUP(VLOOKUP(AS$5,'Misc. Data &amp; Mechanisms'!$P$601:$S$632,HLOOKUP('Personalized Bill Menu'!$B$23, 'Misc. Data &amp; Mechanisms'!$P$599:$S$600, 2, FALSE), FALSE), 'Misc. Data &amp; Mechanisms'!$L$599:$N$659, 2, FALSE), FALSE)))</f>
        <v>0.05</v>
      </c>
    </row>
    <row r="68" spans="1:45" x14ac:dyDescent="0.3">
      <c r="A68" s="83">
        <f>'Personalized Bill Menu'!$H65</f>
        <v>42767</v>
      </c>
      <c r="B68" s="84">
        <f t="shared" si="3"/>
        <v>28</v>
      </c>
      <c r="C68" s="85">
        <f>IF('Personalized Bill Menu'!$B$34="Natural Gas", 'Personalized Bill Menu'!$I65, IF('Personalized Bill Menu'!$B$34="Both",'Personalized Bill Menu'!$M65,""))</f>
        <v>18.952457703042239</v>
      </c>
      <c r="D68" s="66">
        <f t="shared" ca="1" si="4"/>
        <v>8.2276653746265414</v>
      </c>
      <c r="E68" s="66">
        <f ca="1">IF($C68="Not Applicable", "", IFERROR(IFERROR((1+$AS68)*IF('Personalized Bill Menu'!$B$23="ATCO-N", IF(OR('Personalized Bill Menu'!$B$21="Fort McMurray",AND('Personalized Bill Menu'!$B$21="Spruce Grove", $A68&lt;DATE(2019, 5, 1) )),(((1+IF($T68="",0,$T68))*($N68+$P68))+ (IF($U68="", 0, $U68)*$P68)+(1+IF($T68="",0,$T68)+IF($U68="", 0, $U68))*(SUM($Y68:$AB68))),($N68+((1+IF($T68="",0,$T68)+IF($U68="", 0, $U68))*$P68)+(1+IF($T68="",0,$T68)+IF($U68="", 0, $U68))*(SUM($Y68:$AB68)))), IF('Personalized Bill Menu'!$B$23="ATCO-S",IF(OR('Personalized Bill Menu'!$B$21="Calgary",AND('Personalized Bill Menu'!$B$21="Okotoks", $A68&lt;DATE(2019, 1, 1))),((1+IF($T68="",0,$T68))*($N68+$P68+SUM($X68:$Y68,$AA68:$AC68)))+(IF($U68="",0, $U68)*($P68+SUM($X68:$Y68,$AA68:$AC68))), ((1+IF($T68="",0,$T68))*($P68+SUM($Y68,$AA68:$AC68)))+(IF($U68="",0, $U68)*($P68+SUM($X68:$Y68,$AA68:$AC68)))+$N68+IF($X68="", 0, $X68)),IF(AND('Personalized Bill Menu'!$B$21="Athabasca", $A68&lt;DATE(2019, 5, 1)),((1+IF($T68="",0,$T68)+IF($U68="", 0, $U68))*($N68+((1+SUM($X68:$Y68))*$P68)+SUM($Z68:$AA68))),((1+IF($U68="", 0, $U68))*($N68+((1+SUM($X68:$Y68))*$P68)+SUM($Z68:$AA68))) + (IF($T68="",0,$T68)*(((1+SUM($X68:$Y68))*$P68)+SUM($Z68:$AA68)))))), "")+ IF($AQ68="", 0,((1+$AS68)*$AQ68)), ""))</f>
        <v>6.3476638049999998</v>
      </c>
      <c r="F68" s="118">
        <f t="shared" ca="1" si="5"/>
        <v>155.93448000739468</v>
      </c>
      <c r="G68" s="115">
        <f t="shared" si="15"/>
        <v>50.072393251437589</v>
      </c>
      <c r="H68" s="66">
        <f t="shared" ca="1" si="16"/>
        <v>38.319680908652046</v>
      </c>
      <c r="I68" s="66">
        <f t="shared" ca="1" si="17"/>
        <v>12.236507988211015</v>
      </c>
      <c r="J68" s="66">
        <f t="shared" ca="1" si="6"/>
        <v>21.747511692394745</v>
      </c>
      <c r="K68" s="66">
        <f t="shared" si="18"/>
        <v>6.9719999999999995</v>
      </c>
      <c r="L68" s="66">
        <f t="shared" ca="1" si="8"/>
        <v>19.160934737775701</v>
      </c>
      <c r="M68" s="68">
        <f t="shared" ca="1" si="9"/>
        <v>7.425451428923556</v>
      </c>
      <c r="N68" s="1290">
        <f>IF('Personalized Bill Menu'!$B$34="Natural Gas", 'Personalized Bill Menu'!$J65, IF('Personalized Bill Menu'!$B$34="Both",'Personalized Bill Menu'!$N65,""))</f>
        <v>2.6419999999999999</v>
      </c>
      <c r="O68" s="70">
        <f t="shared" si="10"/>
        <v>50.072393251437589</v>
      </c>
      <c r="P68" s="89">
        <f ca="1">IF($A68="", "",IFERROR(IF(VLOOKUP($A68, INDIRECT("'" &amp; 'Personalized Bill Menu'!$B$23 &amp; "'!" &amp;"$A$4:$CA$100"), VLOOKUP(VLOOKUP(P$5,'Misc. Data &amp; Mechanisms'!$P$601:$S$632,HLOOKUP('Personalized Bill Menu'!$B$23, 'Misc. Data &amp; Mechanisms'!$P$599:$S$600, 2, FALSE), FALSE), 'Misc. Data &amp; Mechanisms'!$L$599:$N$659, 2, FALSE), FALSE) = "", "", VLOOKUP($A68, INDIRECT("'" &amp; 'Personalized Bill Menu'!$B$23 &amp; "'!" &amp;"$A$4:$CA$100"), VLOOKUP(VLOOKUP(P$5,'Misc. Data &amp; Mechanisms'!$P$601:$S$632,HLOOKUP('Personalized Bill Menu'!$B$23, 'Misc. Data &amp; Mechanisms'!$P$599:$S$600, 2, FALSE), FALSE), 'Misc. Data &amp; Mechanisms'!$L$599:$N$659, 2, FALSE), FALSE)), ""))</f>
        <v>0.80600000000000005</v>
      </c>
      <c r="Q68" s="69">
        <f ca="1">IF($A68="", "",IFERROR(IF(VLOOKUP($A68, INDIRECT("'" &amp; 'Personalized Bill Menu'!$B$23 &amp; "'!" &amp;"$A$4:$CA$100"), VLOOKUP(VLOOKUP(Q$5,'Misc. Data &amp; Mechanisms'!$P$601:$S$632,HLOOKUP('Personalized Bill Menu'!$B$23, 'Misc. Data &amp; Mechanisms'!$P$599:$S$600, 2, FALSE), FALSE), 'Misc. Data &amp; Mechanisms'!$L$599:$N$659, 2, FALSE), FALSE) = "", "", VLOOKUP($A68, INDIRECT("'" &amp; 'Personalized Bill Menu'!$B$23 &amp; "'!" &amp;"$A$4:$CA$100"), VLOOKUP(VLOOKUP(Q$5,'Misc. Data &amp; Mechanisms'!$P$601:$S$632,HLOOKUP('Personalized Bill Menu'!$B$23, 'Misc. Data &amp; Mechanisms'!$P$599:$S$600, 2, FALSE), FALSE), 'Misc. Data &amp; Mechanisms'!$L$599:$N$659, 2, FALSE), FALSE)), ""))</f>
        <v>0.82299999999999995</v>
      </c>
      <c r="R68" s="72">
        <f t="shared" ca="1" si="11"/>
        <v>15.275680908652046</v>
      </c>
      <c r="S68" s="70">
        <f t="shared" ca="1" si="12"/>
        <v>23.043999999999997</v>
      </c>
      <c r="T68" s="78">
        <f>IFERROR(IF(VLOOKUP($A68,'Misc. Data &amp; Mechanisms'!$A$63:$DY$152,HLOOKUP('Personalized Bill Menu'!$B$21&amp;"_"&amp;'Personalized Bill Menu'!$B$23&amp;"_NG_Y_1",'Misc. Data &amp; Mechanisms'!$A$55:$DY$62,8,FALSE), FALSE)="", "", VLOOKUP($A68,'Misc. Data &amp; Mechanisms'!$A$63:$DY$152,HLOOKUP('Personalized Bill Menu'!$B$21&amp;"_"&amp;'Personalized Bill Menu'!$B$23&amp;"_NG_Y_1",'Misc. Data &amp; Mechanisms'!$A$55:$DY$62,8,FALSE), FALSE)), "")</f>
        <v>0.1111</v>
      </c>
      <c r="U68" s="78" t="str">
        <f>IFERROR(IF(VLOOKUP($A68,'Misc. Data &amp; Mechanisms'!$A$63:$DY$152,HLOOKUP('Personalized Bill Menu'!$B$21&amp;"_"&amp;'Personalized Bill Menu'!$B$23&amp;"_NG_Y_2",'Misc. Data &amp; Mechanisms'!$A$55:$DY$62,8,FALSE), FALSE)="", "",VLOOKUP($A68,'Misc. Data &amp; Mechanisms'!$A$63:$DY$152,HLOOKUP('Personalized Bill Menu'!$B$21&amp;"_"&amp;'Personalized Bill Menu'!$B$23&amp;"_NG_Y_2",'Misc. Data &amp; Mechanisms'!$A$55:$DY$62,8,FALSE), FALSE)), "")</f>
        <v/>
      </c>
      <c r="V68" s="72">
        <f ca="1">IF($A68="", "", IFERROR(IF('Personalized Bill Menu'!$B$23="ATCO-N", IF(OR('Personalized Bill Menu'!$B$21="Fort McMurray",AND('Personalized Bill Menu'!$B$21="Spruce Grove", $A68&lt;DATE(2019, 5, 1))),$T68*($G68+$H68+$J68),$T68*($H68+$J68)), IF('Personalized Bill Menu'!$B$23="ATCO-S",IF(OR('Personalized Bill Menu'!$B$21="Calgary",AND('Personalized Bill Menu'!$B$21="Okotoks", $A68&lt;DATE(2019, 1, 1))),$T68*($G68+$H68+$J68), $T68*($H68+$J68-$AG68)),IF(AND('Personalized Bill Menu'!$B$21="Athabasca", $A68&lt;DATE(2019, 5, 1)),$T68*($G68+$H68+$J68+$K68),$T68*($H68+$J68+$K68)))),0))</f>
        <v>12.236507988211015</v>
      </c>
      <c r="W68" s="72">
        <f ca="1">IF($A68="", "", IFERROR(IF('Personalized Bill Menu'!$B$23="ATCO-N", $U68*($H68+$J68), IF('Personalized Bill Menu'!$B$23="ATCO-S",$U68*($H68+$J68),$U68*($G68+$H68+$J68+$K68))),0))</f>
        <v>0</v>
      </c>
      <c r="X68" s="89" t="str">
        <f ca="1">IF($A68="", "",IFERROR(IF(VLOOKUP($A68, INDIRECT("'" &amp; 'Personalized Bill Menu'!$B$23 &amp; "'!" &amp;"$A$4:$CA$100"), VLOOKUP(VLOOKUP("RIDER RATE 1",'Misc. Data &amp; Mechanisms'!$P$601:$S$632,HLOOKUP('Personalized Bill Menu'!$B$23, 'Misc. Data &amp; Mechanisms'!$P$599:$S$600, 2, FALSE), FALSE), 'Misc. Data &amp; Mechanisms'!$L$599:$N$659, 2, FALSE), FALSE) = "", "", VLOOKUP($A68, INDIRECT("'" &amp; 'Personalized Bill Menu'!$B$23 &amp; "'!" &amp;"$A$4:$CA$100"), VLOOKUP(VLOOKUP("RIDER RATE 1",'Misc. Data &amp; Mechanisms'!$P$601:$S$632,HLOOKUP('Personalized Bill Menu'!$B$23, 'Misc. Data &amp; Mechanisms'!$P$599:$S$600, 2, FALSE), FALSE), 'Misc. Data &amp; Mechanisms'!$L$599:$N$659, 2, FALSE), FALSE)), ""))</f>
        <v/>
      </c>
      <c r="Y68" s="69" t="str">
        <f ca="1">IF($A68="", "",IFERROR(IF(VLOOKUP($A68, INDIRECT("'" &amp; 'Personalized Bill Menu'!$B$23 &amp; "'!" &amp;"$A$4:$CA$100"), VLOOKUP(VLOOKUP("RIDER RATE 2",'Misc. Data &amp; Mechanisms'!$P$601:$S$632,HLOOKUP('Personalized Bill Menu'!$B$23, 'Misc. Data &amp; Mechanisms'!$P$599:$S$600, 2, FALSE), FALSE), 'Misc. Data &amp; Mechanisms'!$L$599:$N$659, 2, FALSE), FALSE) = "", "", VLOOKUP($A68, INDIRECT("'" &amp; 'Personalized Bill Menu'!$B$23 &amp; "'!" &amp;"$A$4:$CA$100"), VLOOKUP(VLOOKUP("RIDER RATE 2",'Misc. Data &amp; Mechanisms'!$P$601:$S$632,HLOOKUP('Personalized Bill Menu'!$B$23, 'Misc. Data &amp; Mechanisms'!$P$599:$S$600, 2, FALSE), FALSE), 'Misc. Data &amp; Mechanisms'!$L$599:$N$659, 2, FALSE), FALSE)), ""))</f>
        <v/>
      </c>
      <c r="Z68" s="69" t="str">
        <f ca="1">IF($A68="", "",IFERROR(IF(VLOOKUP($A68, INDIRECT("'" &amp; 'Personalized Bill Menu'!$B$23 &amp; "'!" &amp;"$A$4:$CA$100"), VLOOKUP(VLOOKUP("RIDER RATE 3",'Misc. Data &amp; Mechanisms'!$P$601:$S$632,HLOOKUP('Personalized Bill Menu'!$B$23, 'Misc. Data &amp; Mechanisms'!$P$599:$S$600, 2, FALSE), FALSE), 'Misc. Data &amp; Mechanisms'!$L$599:$N$659, 2, FALSE), FALSE) = "", "", VLOOKUP($A68, INDIRECT("'" &amp; 'Personalized Bill Menu'!$B$23 &amp; "'!" &amp;"$A$4:$CA$100"), VLOOKUP(VLOOKUP("RIDER RATE 3",'Misc. Data &amp; Mechanisms'!$P$601:$S$632,HLOOKUP('Personalized Bill Menu'!$B$23, 'Misc. Data &amp; Mechanisms'!$P$599:$S$600, 2, FALSE), FALSE), 'Misc. Data &amp; Mechanisms'!$L$599:$N$659, 2, FALSE), FALSE)), ""))</f>
        <v/>
      </c>
      <c r="AA68" s="69" t="str">
        <f ca="1">IF($A68="", "",IFERROR(IF(VLOOKUP($A68, INDIRECT("'" &amp; 'Personalized Bill Menu'!$B$23 &amp; "'!" &amp;"$A$4:$CA$100"), VLOOKUP(VLOOKUP("RIDER RATE 4",'Misc. Data &amp; Mechanisms'!$P$601:$S$632,HLOOKUP('Personalized Bill Menu'!$B$23, 'Misc. Data &amp; Mechanisms'!$P$599:$S$600, 2, FALSE), FALSE), 'Misc. Data &amp; Mechanisms'!$L$599:$N$659, 2, FALSE), FALSE) = "", "", VLOOKUP($A68, INDIRECT("'" &amp; 'Personalized Bill Menu'!$B$23 &amp; "'!" &amp;"$A$4:$CA$100"), VLOOKUP(VLOOKUP("RIDER RATE 4",'Misc. Data &amp; Mechanisms'!$P$601:$S$632,HLOOKUP('Personalized Bill Menu'!$B$23, 'Misc. Data &amp; Mechanisms'!$P$599:$S$600, 2, FALSE), FALSE), 'Misc. Data &amp; Mechanisms'!$L$599:$N$659, 2, FALSE), FALSE)), ""))</f>
        <v/>
      </c>
      <c r="AB68" s="69">
        <f ca="1">IF($A68="", "",IFERROR(IF(VLOOKUP($A68, INDIRECT("'" &amp; 'Personalized Bill Menu'!$B$23 &amp; "'!" &amp;"$A$4:$CA$100"), VLOOKUP(VLOOKUP("RIDER RATE 5",'Misc. Data &amp; Mechanisms'!$P$601:$S$632,HLOOKUP('Personalized Bill Menu'!$B$23, 'Misc. Data &amp; Mechanisms'!$P$599:$S$600, 2, FALSE), FALSE), 'Misc. Data &amp; Mechanisms'!$L$599:$N$659, 2, FALSE), FALSE) = "", "", VLOOKUP($A68, INDIRECT("'" &amp; 'Personalized Bill Menu'!$B$23 &amp; "'!" &amp;"$A$4:$CA$100"), VLOOKUP(VLOOKUP("RIDER RATE 5",'Misc. Data &amp; Mechanisms'!$P$601:$S$632,HLOOKUP('Personalized Bill Menu'!$B$23, 'Misc. Data &amp; Mechanisms'!$P$599:$S$600, 2, FALSE), FALSE), 'Misc. Data &amp; Mechanisms'!$L$599:$N$659, 2, FALSE), FALSE)), ""))</f>
        <v>0.81399999999999995</v>
      </c>
      <c r="AC68" s="69">
        <f ca="1">IF($A68="", "",IFERROR(IF(VLOOKUP($A68, INDIRECT("'" &amp; 'Personalized Bill Menu'!$B$23 &amp; "'!" &amp;"$A$4:$CA$100"), VLOOKUP(VLOOKUP("RIDER RATE 6",'Misc. Data &amp; Mechanisms'!$P$601:$S$632,HLOOKUP('Personalized Bill Menu'!$B$23, 'Misc. Data &amp; Mechanisms'!$P$599:$S$600, 2, FALSE), FALSE), 'Misc. Data &amp; Mechanisms'!$L$599:$N$659, 2, FALSE), FALSE) = "", "", VLOOKUP($A68, INDIRECT("'" &amp; 'Personalized Bill Menu'!$B$23 &amp; "'!" &amp;"$A$4:$CA$100"), VLOOKUP(VLOOKUP("RIDER RATE 6",'Misc. Data &amp; Mechanisms'!$P$601:$S$632,HLOOKUP('Personalized Bill Menu'!$B$23, 'Misc. Data &amp; Mechanisms'!$P$599:$S$600, 2, FALSE), FALSE), 'Misc. Data &amp; Mechanisms'!$L$599:$N$659, 2, FALSE), FALSE)), ""))</f>
        <v>0.26900000000000002</v>
      </c>
      <c r="AD68" s="69">
        <f ca="1">IF($A68="", "",IFERROR(IF(VLOOKUP($A68, INDIRECT("'" &amp; 'Personalized Bill Menu'!$B$23 &amp; "'!" &amp;"$A$4:$CA$100"), VLOOKUP(VLOOKUP("RIDER RATE 7",'Misc. Data &amp; Mechanisms'!$P$601:$S$632,HLOOKUP('Personalized Bill Menu'!$B$23, 'Misc. Data &amp; Mechanisms'!$P$599:$S$600, 2, FALSE), FALSE), 'Misc. Data &amp; Mechanisms'!$L$599:$N$659, 2, FALSE), FALSE) = "", "", VLOOKUP($A68, INDIRECT("'" &amp; 'Personalized Bill Menu'!$B$23 &amp; "'!" &amp;"$A$4:$CA$100"), VLOOKUP(VLOOKUP("RIDER RATE 7",'Misc. Data &amp; Mechanisms'!$P$601:$S$632,HLOOKUP('Personalized Bill Menu'!$B$23, 'Misc. Data &amp; Mechanisms'!$P$599:$S$600, 2, FALSE), FALSE), 'Misc. Data &amp; Mechanisms'!$L$599:$N$659, 2, FALSE), FALSE)), ""))</f>
        <v>1.222</v>
      </c>
      <c r="AE68" s="69" t="str">
        <f ca="1">IF($A68="", "",IFERROR(IF(VLOOKUP($A68, INDIRECT("'" &amp; 'Personalized Bill Menu'!$B$23 &amp; "'!" &amp;"$A$4:$CA$100"), VLOOKUP(VLOOKUP("RIDER RATE 8",'Misc. Data &amp; Mechanisms'!$P$601:$S$632,HLOOKUP('Personalized Bill Menu'!$B$23, 'Misc. Data &amp; Mechanisms'!$P$599:$S$600, 2, FALSE), FALSE), 'Misc. Data &amp; Mechanisms'!$L$599:$N$659, 2, FALSE), FALSE) = "", "", VLOOKUP($A68, INDIRECT("'" &amp; 'Personalized Bill Menu'!$B$23 &amp; "'!" &amp;"$A$4:$CA$100"), VLOOKUP(VLOOKUP("RIDER RATE 8",'Misc. Data &amp; Mechanisms'!$P$601:$S$632,HLOOKUP('Personalized Bill Menu'!$B$23, 'Misc. Data &amp; Mechanisms'!$P$599:$S$600, 2, FALSE), FALSE), 'Misc. Data &amp; Mechanisms'!$L$599:$N$659, 2, FALSE), FALSE)), ""))</f>
        <v/>
      </c>
      <c r="AF68" s="69" t="str">
        <f ca="1">IF($A68="", "",IFERROR(IF(VLOOKUP($A68, INDIRECT("'" &amp; 'Personalized Bill Menu'!$B$23 &amp; "'!" &amp;"$A$4:$CA$100"), VLOOKUP(VLOOKUP("RIDER RATE 9",'Misc. Data &amp; Mechanisms'!$P$601:$S$632,HLOOKUP('Personalized Bill Menu'!$B$23, 'Misc. Data &amp; Mechanisms'!$P$599:$S$600, 2, FALSE), FALSE), 'Misc. Data &amp; Mechanisms'!$L$599:$N$659, 2, FALSE), FALSE) = "", "", VLOOKUP($A68, INDIRECT("'" &amp; 'Personalized Bill Menu'!$B$23 &amp; "'!" &amp;"$A$4:$CA$100"), VLOOKUP(VLOOKUP("RIDER RATE 9",'Misc. Data &amp; Mechanisms'!$P$601:$S$632,HLOOKUP('Personalized Bill Menu'!$B$23, 'Misc. Data &amp; Mechanisms'!$P$599:$S$600, 2, FALSE), FALSE), 'Misc. Data &amp; Mechanisms'!$L$599:$N$659, 2, FALSE), FALSE)), ""))</f>
        <v/>
      </c>
      <c r="AG68" s="72">
        <f ca="1">IF($A68="", "", IFERROR(IF('Personalized Bill Menu'!$B$23="ATCO-N", ($X68*$B68) +($Y68*$C68), IF('Personalized Bill Menu'!$B$23="ATCO-S",$X68*$C68, IF($Y68="", ($X68*$H68), ($Y68*($H68+$K68))))), 0))</f>
        <v>0</v>
      </c>
      <c r="AH68" s="72">
        <f ca="1">IF($A68="", "", IFERROR(IF('Personalized Bill Menu'!$B$23="ATCO-S", $Y68*$C68, $Z68*$C68), 0))</f>
        <v>0</v>
      </c>
      <c r="AI68" s="72">
        <f ca="1">IF($A68="", "", IFERROR(IF('Personalized Bill Menu'!$B$23="ATCO-S", ($AA68*$C68)+($Z68*$B68), $AA68*$C68), 0))</f>
        <v>0</v>
      </c>
      <c r="AJ68" s="72">
        <f ca="1">IF($A68="", "", IFERROR(IF('Personalized Bill Menu'!$B$23&lt;&gt;"AltaGas",$AB68*$C68,""),0))</f>
        <v>15.427300570276381</v>
      </c>
      <c r="AK68" s="72">
        <f ca="1">IF($A68="", "", IFERROR(IF('Personalized Bill Menu'!$B$23="ATCO-S",$AC68*$C68,IF('Personalized Bill Menu'!$B$23="ATCO-N",$AC68*1,"")),0))</f>
        <v>5.0982111221183626</v>
      </c>
      <c r="AL68" s="72">
        <f ca="1">IF($A68="", "", IFERROR(IF('Personalized Bill Menu'!$B$23="ATCO-N",$AD68*$B68,IF('Personalized Bill Menu'!$B$23="ATCO-S",$AD68*1,"")),0))</f>
        <v>1.222</v>
      </c>
      <c r="AM68" s="72">
        <f ca="1">IF($A68="", "", IFERROR(IF('Personalized Bill Menu'!$B$23="ATCO-S",$AE68*$B68,IF('Personalized Bill Menu'!$B$23="ATCO-N",$AE68*$B68,"")),0))</f>
        <v>0</v>
      </c>
      <c r="AN68" s="70">
        <f ca="1">IF($A68="", "", IFERROR(IF('Personalized Bill Menu'!$B$23="ATCO-S",$AF68*$B68,""),0))</f>
        <v>0</v>
      </c>
      <c r="AO68" s="69">
        <f>IF('Personalized Bill Menu'!$B$34="Natural Gas", 'Personalized Bill Menu'!$K65, IF('Personalized Bill Menu'!$B$34="Both",'Personalized Bill Menu'!$O65,""))</f>
        <v>0.249</v>
      </c>
      <c r="AP68" s="72">
        <f t="shared" si="13"/>
        <v>6.9719999999999995</v>
      </c>
      <c r="AQ68" s="89">
        <f ca="1">IF($A68="", "",IF(VLOOKUP($A68, INDIRECT("'" &amp; 'Personalized Bill Menu'!$B$23 &amp; "'!" &amp;"$A$4:$CA$100"), VLOOKUP(VLOOKUP(AQ$5,'Misc. Data &amp; Mechanisms'!$P$601:$S$632,HLOOKUP('Personalized Bill Menu'!$B$23, 'Misc. Data &amp; Mechanisms'!$P$599:$S$600, 2, FALSE), FALSE), 'Misc. Data &amp; Mechanisms'!$L$599:$N$659, 2, FALSE), FALSE) = "", "", VLOOKUP($A68, INDIRECT("'" &amp; 'Personalized Bill Menu'!$B$23 &amp; "'!" &amp;"$A$4:$CA$100"), VLOOKUP(VLOOKUP(AQ$5,'Misc. Data &amp; Mechanisms'!$P$601:$S$632,HLOOKUP('Personalized Bill Menu'!$B$23, 'Misc. Data &amp; Mechanisms'!$P$599:$S$600, 2, FALSE), FALSE), 'Misc. Data &amp; Mechanisms'!$L$599:$N$659, 2, FALSE), FALSE)))</f>
        <v>1.0109999999999999</v>
      </c>
      <c r="AR68" s="72">
        <f t="shared" ca="1" si="14"/>
        <v>19.160934737775701</v>
      </c>
      <c r="AS68" s="91">
        <f ca="1">IF($A68="", "",IF(VLOOKUP($A68, INDIRECT("'" &amp; 'Personalized Bill Menu'!$B$23 &amp; "'!" &amp;"$A$4:$CA$100"), VLOOKUP(VLOOKUP(AS$5,'Misc. Data &amp; Mechanisms'!$P$601:$S$632,HLOOKUP('Personalized Bill Menu'!$B$23, 'Misc. Data &amp; Mechanisms'!$P$599:$S$600, 2, FALSE), FALSE), 'Misc. Data &amp; Mechanisms'!$L$599:$N$659, 2, FALSE), FALSE) = "", "", VLOOKUP($A68, INDIRECT("'" &amp; 'Personalized Bill Menu'!$B$23 &amp; "'!" &amp;"$A$4:$CA$100"), VLOOKUP(VLOOKUP(AS$5,'Misc. Data &amp; Mechanisms'!$P$601:$S$632,HLOOKUP('Personalized Bill Menu'!$B$23, 'Misc. Data &amp; Mechanisms'!$P$599:$S$600, 2, FALSE), FALSE), 'Misc. Data &amp; Mechanisms'!$L$599:$N$659, 2, FALSE), FALSE)))</f>
        <v>0.05</v>
      </c>
    </row>
    <row r="69" spans="1:45" x14ac:dyDescent="0.3">
      <c r="A69" s="83">
        <f>'Personalized Bill Menu'!$H66</f>
        <v>42795</v>
      </c>
      <c r="B69" s="84">
        <f t="shared" si="3"/>
        <v>31</v>
      </c>
      <c r="C69" s="85">
        <f>IF('Personalized Bill Menu'!$B$34="Natural Gas", 'Personalized Bill Menu'!$I66, IF('Personalized Bill Menu'!$B$34="Both",'Personalized Bill Menu'!$M66,""))</f>
        <v>17.127877998710133</v>
      </c>
      <c r="D69" s="66">
        <f t="shared" ca="1" si="4"/>
        <v>7.8375680695952843</v>
      </c>
      <c r="E69" s="66">
        <f ca="1">IF($C69="Not Applicable", "", IFERROR(IFERROR((1+$AS69)*IF('Personalized Bill Menu'!$B$23="ATCO-N", IF(OR('Personalized Bill Menu'!$B$21="Fort McMurray",AND('Personalized Bill Menu'!$B$21="Spruce Grove", $A69&lt;DATE(2019, 5, 1) )),(((1+IF($T69="",0,$T69))*($N69+$P69))+ (IF($U69="", 0, $U69)*$P69)+(1+IF($T69="",0,$T69)+IF($U69="", 0, $U69))*(SUM($Y69:$AB69))),($N69+((1+IF($T69="",0,$T69)+IF($U69="", 0, $U69))*$P69)+(1+IF($T69="",0,$T69)+IF($U69="", 0, $U69))*(SUM($Y69:$AB69)))), IF('Personalized Bill Menu'!$B$23="ATCO-S",IF(OR('Personalized Bill Menu'!$B$21="Calgary",AND('Personalized Bill Menu'!$B$21="Okotoks", $A69&lt;DATE(2019, 1, 1))),((1+IF($T69="",0,$T69))*($N69+$P69+SUM($X69:$Y69,$AA69:$AC69)))+(IF($U69="",0, $U69)*($P69+SUM($X69:$Y69,$AA69:$AC69))), ((1+IF($T69="",0,$T69))*($P69+SUM($Y69,$AA69:$AC69)))+(IF($U69="",0, $U69)*($P69+SUM($X69:$Y69,$AA69:$AC69)))+$N69+IF($X69="", 0, $X69)),IF(AND('Personalized Bill Menu'!$B$21="Athabasca", $A69&lt;DATE(2019, 5, 1)),((1+IF($T69="",0,$T69)+IF($U69="", 0, $U69))*($N69+((1+SUM($X69:$Y69))*$P69)+SUM($Z69:$AA69))),((1+IF($U69="", 0, $U69))*($N69+((1+SUM($X69:$Y69))*$P69)+SUM($Z69:$AA69))) + (IF($T69="",0,$T69)*(((1+SUM($X69:$Y69))*$P69)+SUM($Z69:$AA69)))))), "")+ IF($AQ69="", 0,((1+$AS69)*$AQ69)), ""))</f>
        <v>5.594004674999999</v>
      </c>
      <c r="F69" s="118">
        <f t="shared" ca="1" si="5"/>
        <v>134.24090970261412</v>
      </c>
      <c r="G69" s="115">
        <f t="shared" si="15"/>
        <v>32.286050027568599</v>
      </c>
      <c r="H69" s="66">
        <f t="shared" ca="1" si="16"/>
        <v>39.318069666960369</v>
      </c>
      <c r="I69" s="66">
        <f t="shared" ca="1" si="17"/>
        <v>10.280394749376264</v>
      </c>
      <c r="J69" s="66">
        <f t="shared" ca="1" si="6"/>
        <v>20.928686330459904</v>
      </c>
      <c r="K69" s="66">
        <f t="shared" si="18"/>
        <v>7.7190000000000003</v>
      </c>
      <c r="L69" s="66">
        <f t="shared" ca="1" si="8"/>
        <v>17.316284656695942</v>
      </c>
      <c r="M69" s="68">
        <f t="shared" ca="1" si="9"/>
        <v>6.3924242715530539</v>
      </c>
      <c r="N69" s="1290">
        <f>IF('Personalized Bill Menu'!$B$34="Natural Gas", 'Personalized Bill Menu'!$J66, IF('Personalized Bill Menu'!$B$34="Both",'Personalized Bill Menu'!$N66,""))</f>
        <v>1.885</v>
      </c>
      <c r="O69" s="70">
        <f t="shared" si="10"/>
        <v>32.286050027568599</v>
      </c>
      <c r="P69" s="89">
        <f ca="1">IF($A69="", "",IFERROR(IF(VLOOKUP($A69, INDIRECT("'" &amp; 'Personalized Bill Menu'!$B$23 &amp; "'!" &amp;"$A$4:$CA$100"), VLOOKUP(VLOOKUP(P$5,'Misc. Data &amp; Mechanisms'!$P$601:$S$632,HLOOKUP('Personalized Bill Menu'!$B$23, 'Misc. Data &amp; Mechanisms'!$P$599:$S$600, 2, FALSE), FALSE), 'Misc. Data &amp; Mechanisms'!$L$599:$N$659, 2, FALSE), FALSE) = "", "", VLOOKUP($A69, INDIRECT("'" &amp; 'Personalized Bill Menu'!$B$23 &amp; "'!" &amp;"$A$4:$CA$100"), VLOOKUP(VLOOKUP(P$5,'Misc. Data &amp; Mechanisms'!$P$601:$S$632,HLOOKUP('Personalized Bill Menu'!$B$23, 'Misc. Data &amp; Mechanisms'!$P$599:$S$600, 2, FALSE), FALSE), 'Misc. Data &amp; Mechanisms'!$L$599:$N$659, 2, FALSE), FALSE)), ""))</f>
        <v>0.80600000000000005</v>
      </c>
      <c r="Q69" s="69">
        <f ca="1">IF($A69="", "",IFERROR(IF(VLOOKUP($A69, INDIRECT("'" &amp; 'Personalized Bill Menu'!$B$23 &amp; "'!" &amp;"$A$4:$CA$100"), VLOOKUP(VLOOKUP(Q$5,'Misc. Data &amp; Mechanisms'!$P$601:$S$632,HLOOKUP('Personalized Bill Menu'!$B$23, 'Misc. Data &amp; Mechanisms'!$P$599:$S$600, 2, FALSE), FALSE), 'Misc. Data &amp; Mechanisms'!$L$599:$N$659, 2, FALSE), FALSE) = "", "", VLOOKUP($A69, INDIRECT("'" &amp; 'Personalized Bill Menu'!$B$23 &amp; "'!" &amp;"$A$4:$CA$100"), VLOOKUP(VLOOKUP(Q$5,'Misc. Data &amp; Mechanisms'!$P$601:$S$632,HLOOKUP('Personalized Bill Menu'!$B$23, 'Misc. Data &amp; Mechanisms'!$P$599:$S$600, 2, FALSE), FALSE), 'Misc. Data &amp; Mechanisms'!$L$599:$N$659, 2, FALSE), FALSE)), ""))</f>
        <v>0.82299999999999995</v>
      </c>
      <c r="R69" s="72">
        <f t="shared" ca="1" si="11"/>
        <v>13.805069666960367</v>
      </c>
      <c r="S69" s="70">
        <f t="shared" ca="1" si="12"/>
        <v>25.512999999999998</v>
      </c>
      <c r="T69" s="78">
        <f>IFERROR(IF(VLOOKUP($A69,'Misc. Data &amp; Mechanisms'!$A$63:$DY$152,HLOOKUP('Personalized Bill Menu'!$B$21&amp;"_"&amp;'Personalized Bill Menu'!$B$23&amp;"_NG_Y_1",'Misc. Data &amp; Mechanisms'!$A$55:$DY$62,8,FALSE), FALSE)="", "", VLOOKUP($A69,'Misc. Data &amp; Mechanisms'!$A$63:$DY$152,HLOOKUP('Personalized Bill Menu'!$B$21&amp;"_"&amp;'Personalized Bill Menu'!$B$23&amp;"_NG_Y_1",'Misc. Data &amp; Mechanisms'!$A$55:$DY$62,8,FALSE), FALSE)), "")</f>
        <v>0.1111</v>
      </c>
      <c r="U69" s="78" t="str">
        <f>IFERROR(IF(VLOOKUP($A69,'Misc. Data &amp; Mechanisms'!$A$63:$DY$152,HLOOKUP('Personalized Bill Menu'!$B$21&amp;"_"&amp;'Personalized Bill Menu'!$B$23&amp;"_NG_Y_2",'Misc. Data &amp; Mechanisms'!$A$55:$DY$62,8,FALSE), FALSE)="", "",VLOOKUP($A69,'Misc. Data &amp; Mechanisms'!$A$63:$DY$152,HLOOKUP('Personalized Bill Menu'!$B$21&amp;"_"&amp;'Personalized Bill Menu'!$B$23&amp;"_NG_Y_2",'Misc. Data &amp; Mechanisms'!$A$55:$DY$62,8,FALSE), FALSE)), "")</f>
        <v/>
      </c>
      <c r="V69" s="72">
        <f ca="1">IF($A69="", "", IFERROR(IF('Personalized Bill Menu'!$B$23="ATCO-N", IF(OR('Personalized Bill Menu'!$B$21="Fort McMurray",AND('Personalized Bill Menu'!$B$21="Spruce Grove", $A69&lt;DATE(2019, 5, 1))),$T69*($G69+$H69+$J69),$T69*($H69+$J69)), IF('Personalized Bill Menu'!$B$23="ATCO-S",IF(OR('Personalized Bill Menu'!$B$21="Calgary",AND('Personalized Bill Menu'!$B$21="Okotoks", $A69&lt;DATE(2019, 1, 1))),$T69*($G69+$H69+$J69), $T69*($H69+$J69-$AG69)),IF(AND('Personalized Bill Menu'!$B$21="Athabasca", $A69&lt;DATE(2019, 5, 1)),$T69*($G69+$H69+$J69+$K69),$T69*($H69+$J69+$K69)))),0))</f>
        <v>10.280394749376264</v>
      </c>
      <c r="W69" s="72">
        <f ca="1">IF($A69="", "", IFERROR(IF('Personalized Bill Menu'!$B$23="ATCO-N", $U69*($H69+$J69), IF('Personalized Bill Menu'!$B$23="ATCO-S",$U69*($H69+$J69),$U69*($G69+$H69+$J69+$K69))),0))</f>
        <v>0</v>
      </c>
      <c r="X69" s="89" t="str">
        <f ca="1">IF($A69="", "",IFERROR(IF(VLOOKUP($A69, INDIRECT("'" &amp; 'Personalized Bill Menu'!$B$23 &amp; "'!" &amp;"$A$4:$CA$100"), VLOOKUP(VLOOKUP("RIDER RATE 1",'Misc. Data &amp; Mechanisms'!$P$601:$S$632,HLOOKUP('Personalized Bill Menu'!$B$23, 'Misc. Data &amp; Mechanisms'!$P$599:$S$600, 2, FALSE), FALSE), 'Misc. Data &amp; Mechanisms'!$L$599:$N$659, 2, FALSE), FALSE) = "", "", VLOOKUP($A69, INDIRECT("'" &amp; 'Personalized Bill Menu'!$B$23 &amp; "'!" &amp;"$A$4:$CA$100"), VLOOKUP(VLOOKUP("RIDER RATE 1",'Misc. Data &amp; Mechanisms'!$P$601:$S$632,HLOOKUP('Personalized Bill Menu'!$B$23, 'Misc. Data &amp; Mechanisms'!$P$599:$S$600, 2, FALSE), FALSE), 'Misc. Data &amp; Mechanisms'!$L$599:$N$659, 2, FALSE), FALSE)), ""))</f>
        <v/>
      </c>
      <c r="Y69" s="69" t="str">
        <f ca="1">IF($A69="", "",IFERROR(IF(VLOOKUP($A69, INDIRECT("'" &amp; 'Personalized Bill Menu'!$B$23 &amp; "'!" &amp;"$A$4:$CA$100"), VLOOKUP(VLOOKUP("RIDER RATE 2",'Misc. Data &amp; Mechanisms'!$P$601:$S$632,HLOOKUP('Personalized Bill Menu'!$B$23, 'Misc. Data &amp; Mechanisms'!$P$599:$S$600, 2, FALSE), FALSE), 'Misc. Data &amp; Mechanisms'!$L$599:$N$659, 2, FALSE), FALSE) = "", "", VLOOKUP($A69, INDIRECT("'" &amp; 'Personalized Bill Menu'!$B$23 &amp; "'!" &amp;"$A$4:$CA$100"), VLOOKUP(VLOOKUP("RIDER RATE 2",'Misc. Data &amp; Mechanisms'!$P$601:$S$632,HLOOKUP('Personalized Bill Menu'!$B$23, 'Misc. Data &amp; Mechanisms'!$P$599:$S$600, 2, FALSE), FALSE), 'Misc. Data &amp; Mechanisms'!$L$599:$N$659, 2, FALSE), FALSE)), ""))</f>
        <v/>
      </c>
      <c r="Z69" s="69" t="str">
        <f ca="1">IF($A69="", "",IFERROR(IF(VLOOKUP($A69, INDIRECT("'" &amp; 'Personalized Bill Menu'!$B$23 &amp; "'!" &amp;"$A$4:$CA$100"), VLOOKUP(VLOOKUP("RIDER RATE 3",'Misc. Data &amp; Mechanisms'!$P$601:$S$632,HLOOKUP('Personalized Bill Menu'!$B$23, 'Misc. Data &amp; Mechanisms'!$P$599:$S$600, 2, FALSE), FALSE), 'Misc. Data &amp; Mechanisms'!$L$599:$N$659, 2, FALSE), FALSE) = "", "", VLOOKUP($A69, INDIRECT("'" &amp; 'Personalized Bill Menu'!$B$23 &amp; "'!" &amp;"$A$4:$CA$100"), VLOOKUP(VLOOKUP("RIDER RATE 3",'Misc. Data &amp; Mechanisms'!$P$601:$S$632,HLOOKUP('Personalized Bill Menu'!$B$23, 'Misc. Data &amp; Mechanisms'!$P$599:$S$600, 2, FALSE), FALSE), 'Misc. Data &amp; Mechanisms'!$L$599:$N$659, 2, FALSE), FALSE)), ""))</f>
        <v/>
      </c>
      <c r="AA69" s="69" t="str">
        <f ca="1">IF($A69="", "",IFERROR(IF(VLOOKUP($A69, INDIRECT("'" &amp; 'Personalized Bill Menu'!$B$23 &amp; "'!" &amp;"$A$4:$CA$100"), VLOOKUP(VLOOKUP("RIDER RATE 4",'Misc. Data &amp; Mechanisms'!$P$601:$S$632,HLOOKUP('Personalized Bill Menu'!$B$23, 'Misc. Data &amp; Mechanisms'!$P$599:$S$600, 2, FALSE), FALSE), 'Misc. Data &amp; Mechanisms'!$L$599:$N$659, 2, FALSE), FALSE) = "", "", VLOOKUP($A69, INDIRECT("'" &amp; 'Personalized Bill Menu'!$B$23 &amp; "'!" &amp;"$A$4:$CA$100"), VLOOKUP(VLOOKUP("RIDER RATE 4",'Misc. Data &amp; Mechanisms'!$P$601:$S$632,HLOOKUP('Personalized Bill Menu'!$B$23, 'Misc. Data &amp; Mechanisms'!$P$599:$S$600, 2, FALSE), FALSE), 'Misc. Data &amp; Mechanisms'!$L$599:$N$659, 2, FALSE), FALSE)), ""))</f>
        <v/>
      </c>
      <c r="AB69" s="69">
        <f ca="1">IF($A69="", "",IFERROR(IF(VLOOKUP($A69, INDIRECT("'" &amp; 'Personalized Bill Menu'!$B$23 &amp; "'!" &amp;"$A$4:$CA$100"), VLOOKUP(VLOOKUP("RIDER RATE 5",'Misc. Data &amp; Mechanisms'!$P$601:$S$632,HLOOKUP('Personalized Bill Menu'!$B$23, 'Misc. Data &amp; Mechanisms'!$P$599:$S$600, 2, FALSE), FALSE), 'Misc. Data &amp; Mechanisms'!$L$599:$N$659, 2, FALSE), FALSE) = "", "", VLOOKUP($A69, INDIRECT("'" &amp; 'Personalized Bill Menu'!$B$23 &amp; "'!" &amp;"$A$4:$CA$100"), VLOOKUP(VLOOKUP("RIDER RATE 5",'Misc. Data &amp; Mechanisms'!$P$601:$S$632,HLOOKUP('Personalized Bill Menu'!$B$23, 'Misc. Data &amp; Mechanisms'!$P$599:$S$600, 2, FALSE), FALSE), 'Misc. Data &amp; Mechanisms'!$L$599:$N$659, 2, FALSE), FALSE)), ""))</f>
        <v>0.92500000000000004</v>
      </c>
      <c r="AC69" s="69">
        <f ca="1">IF($A69="", "",IFERROR(IF(VLOOKUP($A69, INDIRECT("'" &amp; 'Personalized Bill Menu'!$B$23 &amp; "'!" &amp;"$A$4:$CA$100"), VLOOKUP(VLOOKUP("RIDER RATE 6",'Misc. Data &amp; Mechanisms'!$P$601:$S$632,HLOOKUP('Personalized Bill Menu'!$B$23, 'Misc. Data &amp; Mechanisms'!$P$599:$S$600, 2, FALSE), FALSE), 'Misc. Data &amp; Mechanisms'!$L$599:$N$659, 2, FALSE), FALSE) = "", "", VLOOKUP($A69, INDIRECT("'" &amp; 'Personalized Bill Menu'!$B$23 &amp; "'!" &amp;"$A$4:$CA$100"), VLOOKUP(VLOOKUP("RIDER RATE 6",'Misc. Data &amp; Mechanisms'!$P$601:$S$632,HLOOKUP('Personalized Bill Menu'!$B$23, 'Misc. Data &amp; Mechanisms'!$P$599:$S$600, 2, FALSE), FALSE), 'Misc. Data &amp; Mechanisms'!$L$599:$N$659, 2, FALSE), FALSE)), ""))</f>
        <v>0.26900000000000002</v>
      </c>
      <c r="AD69" s="69">
        <f ca="1">IF($A69="", "",IFERROR(IF(VLOOKUP($A69, INDIRECT("'" &amp; 'Personalized Bill Menu'!$B$23 &amp; "'!" &amp;"$A$4:$CA$100"), VLOOKUP(VLOOKUP("RIDER RATE 7",'Misc. Data &amp; Mechanisms'!$P$601:$S$632,HLOOKUP('Personalized Bill Menu'!$B$23, 'Misc. Data &amp; Mechanisms'!$P$599:$S$600, 2, FALSE), FALSE), 'Misc. Data &amp; Mechanisms'!$L$599:$N$659, 2, FALSE), FALSE) = "", "", VLOOKUP($A69, INDIRECT("'" &amp; 'Personalized Bill Menu'!$B$23 &amp; "'!" &amp;"$A$4:$CA$100"), VLOOKUP(VLOOKUP("RIDER RATE 7",'Misc. Data &amp; Mechanisms'!$P$601:$S$632,HLOOKUP('Personalized Bill Menu'!$B$23, 'Misc. Data &amp; Mechanisms'!$P$599:$S$600, 2, FALSE), FALSE), 'Misc. Data &amp; Mechanisms'!$L$599:$N$659, 2, FALSE), FALSE)), ""))</f>
        <v>1.222</v>
      </c>
      <c r="AE69" s="69">
        <f ca="1">IF($A69="", "",IFERROR(IF(VLOOKUP($A69, INDIRECT("'" &amp; 'Personalized Bill Menu'!$B$23 &amp; "'!" &amp;"$A$4:$CA$100"), VLOOKUP(VLOOKUP("RIDER RATE 8",'Misc. Data &amp; Mechanisms'!$P$601:$S$632,HLOOKUP('Personalized Bill Menu'!$B$23, 'Misc. Data &amp; Mechanisms'!$P$599:$S$600, 2, FALSE), FALSE), 'Misc. Data &amp; Mechanisms'!$L$599:$N$659, 2, FALSE), FALSE) = "", "", VLOOKUP($A69, INDIRECT("'" &amp; 'Personalized Bill Menu'!$B$23 &amp; "'!" &amp;"$A$4:$CA$100"), VLOOKUP(VLOOKUP("RIDER RATE 8",'Misc. Data &amp; Mechanisms'!$P$601:$S$632,HLOOKUP('Personalized Bill Menu'!$B$23, 'Misc. Data &amp; Mechanisms'!$P$599:$S$600, 2, FALSE), FALSE), 'Misc. Data &amp; Mechanisms'!$L$599:$N$659, 2, FALSE), FALSE)), ""))</f>
        <v>-2.4E-2</v>
      </c>
      <c r="AF69" s="69" t="str">
        <f ca="1">IF($A69="", "",IFERROR(IF(VLOOKUP($A69, INDIRECT("'" &amp; 'Personalized Bill Menu'!$B$23 &amp; "'!" &amp;"$A$4:$CA$100"), VLOOKUP(VLOOKUP("RIDER RATE 9",'Misc. Data &amp; Mechanisms'!$P$601:$S$632,HLOOKUP('Personalized Bill Menu'!$B$23, 'Misc. Data &amp; Mechanisms'!$P$599:$S$600, 2, FALSE), FALSE), 'Misc. Data &amp; Mechanisms'!$L$599:$N$659, 2, FALSE), FALSE) = "", "", VLOOKUP($A69, INDIRECT("'" &amp; 'Personalized Bill Menu'!$B$23 &amp; "'!" &amp;"$A$4:$CA$100"), VLOOKUP(VLOOKUP("RIDER RATE 9",'Misc. Data &amp; Mechanisms'!$P$601:$S$632,HLOOKUP('Personalized Bill Menu'!$B$23, 'Misc. Data &amp; Mechanisms'!$P$599:$S$600, 2, FALSE), FALSE), 'Misc. Data &amp; Mechanisms'!$L$599:$N$659, 2, FALSE), FALSE)), ""))</f>
        <v/>
      </c>
      <c r="AG69" s="72">
        <f ca="1">IF($A69="", "", IFERROR(IF('Personalized Bill Menu'!$B$23="ATCO-N", ($X69*$B69) +($Y69*$C69), IF('Personalized Bill Menu'!$B$23="ATCO-S",$X69*$C69, IF($Y69="", ($X69*$H69), ($Y69*($H69+$K69))))), 0))</f>
        <v>0</v>
      </c>
      <c r="AH69" s="72">
        <f ca="1">IF($A69="", "", IFERROR(IF('Personalized Bill Menu'!$B$23="ATCO-S", $Y69*$C69, $Z69*$C69), 0))</f>
        <v>0</v>
      </c>
      <c r="AI69" s="72">
        <f ca="1">IF($A69="", "", IFERROR(IF('Personalized Bill Menu'!$B$23="ATCO-S", ($AA69*$C69)+($Z69*$B69), $AA69*$C69), 0))</f>
        <v>0</v>
      </c>
      <c r="AJ69" s="72">
        <f ca="1">IF($A69="", "", IFERROR(IF('Personalized Bill Menu'!$B$23&lt;&gt;"AltaGas",$AB69*$C69,""),0))</f>
        <v>15.843287148806874</v>
      </c>
      <c r="AK69" s="72">
        <f ca="1">IF($A69="", "", IFERROR(IF('Personalized Bill Menu'!$B$23="ATCO-S",$AC69*$C69,IF('Personalized Bill Menu'!$B$23="ATCO-N",$AC69*1,"")),0))</f>
        <v>4.607399181653026</v>
      </c>
      <c r="AL69" s="72">
        <f ca="1">IF($A69="", "", IFERROR(IF('Personalized Bill Menu'!$B$23="ATCO-N",$AD69*$B69,IF('Personalized Bill Menu'!$B$23="ATCO-S",$AD69*1,"")),0))</f>
        <v>1.222</v>
      </c>
      <c r="AM69" s="72">
        <f ca="1">IF($A69="", "", IFERROR(IF('Personalized Bill Menu'!$B$23="ATCO-S",$AE69*$B69,IF('Personalized Bill Menu'!$B$23="ATCO-N",$AE69*$B69,"")),0))</f>
        <v>-0.74399999999999999</v>
      </c>
      <c r="AN69" s="70">
        <f ca="1">IF($A69="", "", IFERROR(IF('Personalized Bill Menu'!$B$23="ATCO-S",$AF69*$B69,""),0))</f>
        <v>0</v>
      </c>
      <c r="AO69" s="69">
        <f>IF('Personalized Bill Menu'!$B$34="Natural Gas", 'Personalized Bill Menu'!$K66, IF('Personalized Bill Menu'!$B$34="Both",'Personalized Bill Menu'!$O66,""))</f>
        <v>0.249</v>
      </c>
      <c r="AP69" s="72">
        <f t="shared" si="13"/>
        <v>7.7190000000000003</v>
      </c>
      <c r="AQ69" s="89">
        <f ca="1">IF($A69="", "",IF(VLOOKUP($A69, INDIRECT("'" &amp; 'Personalized Bill Menu'!$B$23 &amp; "'!" &amp;"$A$4:$CA$100"), VLOOKUP(VLOOKUP(AQ$5,'Misc. Data &amp; Mechanisms'!$P$601:$S$632,HLOOKUP('Personalized Bill Menu'!$B$23, 'Misc. Data &amp; Mechanisms'!$P$599:$S$600, 2, FALSE), FALSE), 'Misc. Data &amp; Mechanisms'!$L$599:$N$659, 2, FALSE), FALSE) = "", "", VLOOKUP($A69, INDIRECT("'" &amp; 'Personalized Bill Menu'!$B$23 &amp; "'!" &amp;"$A$4:$CA$100"), VLOOKUP(VLOOKUP(AQ$5,'Misc. Data &amp; Mechanisms'!$P$601:$S$632,HLOOKUP('Personalized Bill Menu'!$B$23, 'Misc. Data &amp; Mechanisms'!$P$599:$S$600, 2, FALSE), FALSE), 'Misc. Data &amp; Mechanisms'!$L$599:$N$659, 2, FALSE), FALSE)))</f>
        <v>1.0109999999999999</v>
      </c>
      <c r="AR69" s="72">
        <f t="shared" ca="1" si="14"/>
        <v>17.316284656695942</v>
      </c>
      <c r="AS69" s="91">
        <f ca="1">IF($A69="", "",IF(VLOOKUP($A69, INDIRECT("'" &amp; 'Personalized Bill Menu'!$B$23 &amp; "'!" &amp;"$A$4:$CA$100"), VLOOKUP(VLOOKUP(AS$5,'Misc. Data &amp; Mechanisms'!$P$601:$S$632,HLOOKUP('Personalized Bill Menu'!$B$23, 'Misc. Data &amp; Mechanisms'!$P$599:$S$600, 2, FALSE), FALSE), 'Misc. Data &amp; Mechanisms'!$L$599:$N$659, 2, FALSE), FALSE) = "", "", VLOOKUP($A69, INDIRECT("'" &amp; 'Personalized Bill Menu'!$B$23 &amp; "'!" &amp;"$A$4:$CA$100"), VLOOKUP(VLOOKUP(AS$5,'Misc. Data &amp; Mechanisms'!$P$601:$S$632,HLOOKUP('Personalized Bill Menu'!$B$23, 'Misc. Data &amp; Mechanisms'!$P$599:$S$600, 2, FALSE), FALSE), 'Misc. Data &amp; Mechanisms'!$L$599:$N$659, 2, FALSE), FALSE)))</f>
        <v>0.05</v>
      </c>
    </row>
    <row r="70" spans="1:45" x14ac:dyDescent="0.3">
      <c r="A70" s="83">
        <f>'Personalized Bill Menu'!$H67</f>
        <v>42826</v>
      </c>
      <c r="B70" s="84">
        <f t="shared" si="3"/>
        <v>30</v>
      </c>
      <c r="C70" s="85">
        <f>IF('Personalized Bill Menu'!$B$34="Natural Gas", 'Personalized Bill Menu'!$I67, IF('Personalized Bill Menu'!$B$34="Both",'Personalized Bill Menu'!$M67,""))</f>
        <v>10.428180232781104</v>
      </c>
      <c r="D70" s="66">
        <f t="shared" ca="1" si="4"/>
        <v>9.6101721820752175</v>
      </c>
      <c r="E70" s="66">
        <f ca="1">IF($C70="Not Applicable", "", IFERROR(IFERROR((1+$AS70)*IF('Personalized Bill Menu'!$B$23="ATCO-N", IF(OR('Personalized Bill Menu'!$B$21="Fort McMurray",AND('Personalized Bill Menu'!$B$21="Spruce Grove", $A70&lt;DATE(2019, 5, 1) )),(((1+IF($T70="",0,$T70))*($N70+$P70))+ (IF($U70="", 0, $U70)*$P70)+(1+IF($T70="",0,$T70)+IF($U70="", 0, $U70))*(SUM($Y70:$AB70))),($N70+((1+IF($T70="",0,$T70)+IF($U70="", 0, $U70))*$P70)+(1+IF($T70="",0,$T70)+IF($U70="", 0, $U70))*(SUM($Y70:$AB70)))), IF('Personalized Bill Menu'!$B$23="ATCO-S",IF(OR('Personalized Bill Menu'!$B$21="Calgary",AND('Personalized Bill Menu'!$B$21="Okotoks", $A70&lt;DATE(2019, 1, 1))),((1+IF($T70="",0,$T70))*($N70+$P70+SUM($X70:$Y70,$AA70:$AC70)))+(IF($U70="",0, $U70)*($P70+SUM($X70:$Y70,$AA70:$AC70))), ((1+IF($T70="",0,$T70))*($P70+SUM($Y70,$AA70:$AC70)))+(IF($U70="",0, $U70)*($P70+SUM($X70:$Y70,$AA70:$AC70)))+$N70+IF($X70="", 0, $X70)),IF(AND('Personalized Bill Menu'!$B$21="Athabasca", $A70&lt;DATE(2019, 5, 1)),((1+IF($T70="",0,$T70)+IF($U70="", 0, $U70))*($N70+((1+SUM($X70:$Y70))*$P70)+SUM($Z70:$AA70))),((1+IF($U70="", 0, $U70))*($N70+((1+SUM($X70:$Y70))*$P70)+SUM($Z70:$AA70))) + (IF($T70="",0,$T70)*(((1+SUM($X70:$Y70))*$P70)+SUM($Z70:$AA70)))))), "")+ IF($AQ70="", 0,((1+$AS70)*$AQ70)), ""))</f>
        <v>6.039666884999999</v>
      </c>
      <c r="F70" s="118">
        <f t="shared" ca="1" si="5"/>
        <v>100.21660758273963</v>
      </c>
      <c r="G70" s="115">
        <f t="shared" si="15"/>
        <v>23.640684587714762</v>
      </c>
      <c r="H70" s="66">
        <f t="shared" ca="1" si="16"/>
        <v>33.095113267621571</v>
      </c>
      <c r="I70" s="66">
        <f t="shared" ca="1" si="17"/>
        <v>7.7424529054190714</v>
      </c>
      <c r="J70" s="66">
        <f t="shared" ca="1" si="6"/>
        <v>12.953247197940637</v>
      </c>
      <c r="K70" s="66">
        <f t="shared" si="18"/>
        <v>7.47</v>
      </c>
      <c r="L70" s="66">
        <f t="shared" ca="1" si="8"/>
        <v>10.542890215341695</v>
      </c>
      <c r="M70" s="68">
        <f t="shared" ca="1" si="9"/>
        <v>4.7722194087018872</v>
      </c>
      <c r="N70" s="1290">
        <f>IF('Personalized Bill Menu'!$B$34="Natural Gas", 'Personalized Bill Menu'!$J67, IF('Personalized Bill Menu'!$B$34="Both",'Personalized Bill Menu'!$N67,""))</f>
        <v>2.2669999999999999</v>
      </c>
      <c r="O70" s="70">
        <f t="shared" si="10"/>
        <v>23.640684587714762</v>
      </c>
      <c r="P70" s="89">
        <f ca="1">IF($A70="", "",IFERROR(IF(VLOOKUP($A70, INDIRECT("'" &amp; 'Personalized Bill Menu'!$B$23 &amp; "'!" &amp;"$A$4:$CA$100"), VLOOKUP(VLOOKUP(P$5,'Misc. Data &amp; Mechanisms'!$P$601:$S$632,HLOOKUP('Personalized Bill Menu'!$B$23, 'Misc. Data &amp; Mechanisms'!$P$599:$S$600, 2, FALSE), FALSE), 'Misc. Data &amp; Mechanisms'!$L$599:$N$659, 2, FALSE), FALSE) = "", "", VLOOKUP($A70, INDIRECT("'" &amp; 'Personalized Bill Menu'!$B$23 &amp; "'!" &amp;"$A$4:$CA$100"), VLOOKUP(VLOOKUP(P$5,'Misc. Data &amp; Mechanisms'!$P$601:$S$632,HLOOKUP('Personalized Bill Menu'!$B$23, 'Misc. Data &amp; Mechanisms'!$P$599:$S$600, 2, FALSE), FALSE), 'Misc. Data &amp; Mechanisms'!$L$599:$N$659, 2, FALSE), FALSE)), ""))</f>
        <v>0.80600000000000005</v>
      </c>
      <c r="Q70" s="69">
        <f ca="1">IF($A70="", "",IFERROR(IF(VLOOKUP($A70, INDIRECT("'" &amp; 'Personalized Bill Menu'!$B$23 &amp; "'!" &amp;"$A$4:$CA$100"), VLOOKUP(VLOOKUP(Q$5,'Misc. Data &amp; Mechanisms'!$P$601:$S$632,HLOOKUP('Personalized Bill Menu'!$B$23, 'Misc. Data &amp; Mechanisms'!$P$599:$S$600, 2, FALSE), FALSE), 'Misc. Data &amp; Mechanisms'!$L$599:$N$659, 2, FALSE), FALSE) = "", "", VLOOKUP($A70, INDIRECT("'" &amp; 'Personalized Bill Menu'!$B$23 &amp; "'!" &amp;"$A$4:$CA$100"), VLOOKUP(VLOOKUP(Q$5,'Misc. Data &amp; Mechanisms'!$P$601:$S$632,HLOOKUP('Personalized Bill Menu'!$B$23, 'Misc. Data &amp; Mechanisms'!$P$599:$S$600, 2, FALSE), FALSE), 'Misc. Data &amp; Mechanisms'!$L$599:$N$659, 2, FALSE), FALSE)), ""))</f>
        <v>0.82299999999999995</v>
      </c>
      <c r="R70" s="72">
        <f t="shared" ca="1" si="11"/>
        <v>8.4051132676215712</v>
      </c>
      <c r="S70" s="70">
        <f t="shared" ca="1" si="12"/>
        <v>24.689999999999998</v>
      </c>
      <c r="T70" s="78">
        <f>IFERROR(IF(VLOOKUP($A70,'Misc. Data &amp; Mechanisms'!$A$63:$DY$152,HLOOKUP('Personalized Bill Menu'!$B$21&amp;"_"&amp;'Personalized Bill Menu'!$B$23&amp;"_NG_Y_1",'Misc. Data &amp; Mechanisms'!$A$55:$DY$62,8,FALSE), FALSE)="", "", VLOOKUP($A70,'Misc. Data &amp; Mechanisms'!$A$63:$DY$152,HLOOKUP('Personalized Bill Menu'!$B$21&amp;"_"&amp;'Personalized Bill Menu'!$B$23&amp;"_NG_Y_1",'Misc. Data &amp; Mechanisms'!$A$55:$DY$62,8,FALSE), FALSE)), "")</f>
        <v>0.1111</v>
      </c>
      <c r="U70" s="78" t="str">
        <f>IFERROR(IF(VLOOKUP($A70,'Misc. Data &amp; Mechanisms'!$A$63:$DY$152,HLOOKUP('Personalized Bill Menu'!$B$21&amp;"_"&amp;'Personalized Bill Menu'!$B$23&amp;"_NG_Y_2",'Misc. Data &amp; Mechanisms'!$A$55:$DY$62,8,FALSE), FALSE)="", "",VLOOKUP($A70,'Misc. Data &amp; Mechanisms'!$A$63:$DY$152,HLOOKUP('Personalized Bill Menu'!$B$21&amp;"_"&amp;'Personalized Bill Menu'!$B$23&amp;"_NG_Y_2",'Misc. Data &amp; Mechanisms'!$A$55:$DY$62,8,FALSE), FALSE)), "")</f>
        <v/>
      </c>
      <c r="V70" s="72">
        <f ca="1">IF($A70="", "", IFERROR(IF('Personalized Bill Menu'!$B$23="ATCO-N", IF(OR('Personalized Bill Menu'!$B$21="Fort McMurray",AND('Personalized Bill Menu'!$B$21="Spruce Grove", $A70&lt;DATE(2019, 5, 1))),$T70*($G70+$H70+$J70),$T70*($H70+$J70)), IF('Personalized Bill Menu'!$B$23="ATCO-S",IF(OR('Personalized Bill Menu'!$B$21="Calgary",AND('Personalized Bill Menu'!$B$21="Okotoks", $A70&lt;DATE(2019, 1, 1))),$T70*($G70+$H70+$J70), $T70*($H70+$J70-$AG70)),IF(AND('Personalized Bill Menu'!$B$21="Athabasca", $A70&lt;DATE(2019, 5, 1)),$T70*($G70+$H70+$J70+$K70),$T70*($H70+$J70+$K70)))),0))</f>
        <v>7.7424529054190714</v>
      </c>
      <c r="W70" s="72">
        <f ca="1">IF($A70="", "", IFERROR(IF('Personalized Bill Menu'!$B$23="ATCO-N", $U70*($H70+$J70), IF('Personalized Bill Menu'!$B$23="ATCO-S",$U70*($H70+$J70),$U70*($G70+$H70+$J70+$K70))),0))</f>
        <v>0</v>
      </c>
      <c r="X70" s="89" t="str">
        <f ca="1">IF($A70="", "",IFERROR(IF(VLOOKUP($A70, INDIRECT("'" &amp; 'Personalized Bill Menu'!$B$23 &amp; "'!" &amp;"$A$4:$CA$100"), VLOOKUP(VLOOKUP("RIDER RATE 1",'Misc. Data &amp; Mechanisms'!$P$601:$S$632,HLOOKUP('Personalized Bill Menu'!$B$23, 'Misc. Data &amp; Mechanisms'!$P$599:$S$600, 2, FALSE), FALSE), 'Misc. Data &amp; Mechanisms'!$L$599:$N$659, 2, FALSE), FALSE) = "", "", VLOOKUP($A70, INDIRECT("'" &amp; 'Personalized Bill Menu'!$B$23 &amp; "'!" &amp;"$A$4:$CA$100"), VLOOKUP(VLOOKUP("RIDER RATE 1",'Misc. Data &amp; Mechanisms'!$P$601:$S$632,HLOOKUP('Personalized Bill Menu'!$B$23, 'Misc. Data &amp; Mechanisms'!$P$599:$S$600, 2, FALSE), FALSE), 'Misc. Data &amp; Mechanisms'!$L$599:$N$659, 2, FALSE), FALSE)), ""))</f>
        <v/>
      </c>
      <c r="Y70" s="69" t="str">
        <f ca="1">IF($A70="", "",IFERROR(IF(VLOOKUP($A70, INDIRECT("'" &amp; 'Personalized Bill Menu'!$B$23 &amp; "'!" &amp;"$A$4:$CA$100"), VLOOKUP(VLOOKUP("RIDER RATE 2",'Misc. Data &amp; Mechanisms'!$P$601:$S$632,HLOOKUP('Personalized Bill Menu'!$B$23, 'Misc. Data &amp; Mechanisms'!$P$599:$S$600, 2, FALSE), FALSE), 'Misc. Data &amp; Mechanisms'!$L$599:$N$659, 2, FALSE), FALSE) = "", "", VLOOKUP($A70, INDIRECT("'" &amp; 'Personalized Bill Menu'!$B$23 &amp; "'!" &amp;"$A$4:$CA$100"), VLOOKUP(VLOOKUP("RIDER RATE 2",'Misc. Data &amp; Mechanisms'!$P$601:$S$632,HLOOKUP('Personalized Bill Menu'!$B$23, 'Misc. Data &amp; Mechanisms'!$P$599:$S$600, 2, FALSE), FALSE), 'Misc. Data &amp; Mechanisms'!$L$599:$N$659, 2, FALSE), FALSE)), ""))</f>
        <v/>
      </c>
      <c r="Z70" s="69" t="str">
        <f ca="1">IF($A70="", "",IFERROR(IF(VLOOKUP($A70, INDIRECT("'" &amp; 'Personalized Bill Menu'!$B$23 &amp; "'!" &amp;"$A$4:$CA$100"), VLOOKUP(VLOOKUP("RIDER RATE 3",'Misc. Data &amp; Mechanisms'!$P$601:$S$632,HLOOKUP('Personalized Bill Menu'!$B$23, 'Misc. Data &amp; Mechanisms'!$P$599:$S$600, 2, FALSE), FALSE), 'Misc. Data &amp; Mechanisms'!$L$599:$N$659, 2, FALSE), FALSE) = "", "", VLOOKUP($A70, INDIRECT("'" &amp; 'Personalized Bill Menu'!$B$23 &amp; "'!" &amp;"$A$4:$CA$100"), VLOOKUP(VLOOKUP("RIDER RATE 3",'Misc. Data &amp; Mechanisms'!$P$601:$S$632,HLOOKUP('Personalized Bill Menu'!$B$23, 'Misc. Data &amp; Mechanisms'!$P$599:$S$600, 2, FALSE), FALSE), 'Misc. Data &amp; Mechanisms'!$L$599:$N$659, 2, FALSE), FALSE)), ""))</f>
        <v/>
      </c>
      <c r="AA70" s="69" t="str">
        <f ca="1">IF($A70="", "",IFERROR(IF(VLOOKUP($A70, INDIRECT("'" &amp; 'Personalized Bill Menu'!$B$23 &amp; "'!" &amp;"$A$4:$CA$100"), VLOOKUP(VLOOKUP("RIDER RATE 4",'Misc. Data &amp; Mechanisms'!$P$601:$S$632,HLOOKUP('Personalized Bill Menu'!$B$23, 'Misc. Data &amp; Mechanisms'!$P$599:$S$600, 2, FALSE), FALSE), 'Misc. Data &amp; Mechanisms'!$L$599:$N$659, 2, FALSE), FALSE) = "", "", VLOOKUP($A70, INDIRECT("'" &amp; 'Personalized Bill Menu'!$B$23 &amp; "'!" &amp;"$A$4:$CA$100"), VLOOKUP(VLOOKUP("RIDER RATE 4",'Misc. Data &amp; Mechanisms'!$P$601:$S$632,HLOOKUP('Personalized Bill Menu'!$B$23, 'Misc. Data &amp; Mechanisms'!$P$599:$S$600, 2, FALSE), FALSE), 'Misc. Data &amp; Mechanisms'!$L$599:$N$659, 2, FALSE), FALSE)), ""))</f>
        <v/>
      </c>
      <c r="AB70" s="69">
        <f ca="1">IF($A70="", "",IFERROR(IF(VLOOKUP($A70, INDIRECT("'" &amp; 'Personalized Bill Menu'!$B$23 &amp; "'!" &amp;"$A$4:$CA$100"), VLOOKUP(VLOOKUP("RIDER RATE 5",'Misc. Data &amp; Mechanisms'!$P$601:$S$632,HLOOKUP('Personalized Bill Menu'!$B$23, 'Misc. Data &amp; Mechanisms'!$P$599:$S$600, 2, FALSE), FALSE), 'Misc. Data &amp; Mechanisms'!$L$599:$N$659, 2, FALSE), FALSE) = "", "", VLOOKUP($A70, INDIRECT("'" &amp; 'Personalized Bill Menu'!$B$23 &amp; "'!" &amp;"$A$4:$CA$100"), VLOOKUP(VLOOKUP("RIDER RATE 5",'Misc. Data &amp; Mechanisms'!$P$601:$S$632,HLOOKUP('Personalized Bill Menu'!$B$23, 'Misc. Data &amp; Mechanisms'!$P$599:$S$600, 2, FALSE), FALSE), 'Misc. Data &amp; Mechanisms'!$L$599:$N$659, 2, FALSE), FALSE)), ""))</f>
        <v>0.92500000000000004</v>
      </c>
      <c r="AC70" s="69">
        <f ca="1">IF($A70="", "",IFERROR(IF(VLOOKUP($A70, INDIRECT("'" &amp; 'Personalized Bill Menu'!$B$23 &amp; "'!" &amp;"$A$4:$CA$100"), VLOOKUP(VLOOKUP("RIDER RATE 6",'Misc. Data &amp; Mechanisms'!$P$601:$S$632,HLOOKUP('Personalized Bill Menu'!$B$23, 'Misc. Data &amp; Mechanisms'!$P$599:$S$600, 2, FALSE), FALSE), 'Misc. Data &amp; Mechanisms'!$L$599:$N$659, 2, FALSE), FALSE) = "", "", VLOOKUP($A70, INDIRECT("'" &amp; 'Personalized Bill Menu'!$B$23 &amp; "'!" &amp;"$A$4:$CA$100"), VLOOKUP(VLOOKUP("RIDER RATE 6",'Misc. Data &amp; Mechanisms'!$P$601:$S$632,HLOOKUP('Personalized Bill Menu'!$B$23, 'Misc. Data &amp; Mechanisms'!$P$599:$S$600, 2, FALSE), FALSE), 'Misc. Data &amp; Mechanisms'!$L$599:$N$659, 2, FALSE), FALSE)), ""))</f>
        <v>0.26900000000000002</v>
      </c>
      <c r="AD70" s="69">
        <f ca="1">IF($A70="", "",IFERROR(IF(VLOOKUP($A70, INDIRECT("'" &amp; 'Personalized Bill Menu'!$B$23 &amp; "'!" &amp;"$A$4:$CA$100"), VLOOKUP(VLOOKUP("RIDER RATE 7",'Misc. Data &amp; Mechanisms'!$P$601:$S$632,HLOOKUP('Personalized Bill Menu'!$B$23, 'Misc. Data &amp; Mechanisms'!$P$599:$S$600, 2, FALSE), FALSE), 'Misc. Data &amp; Mechanisms'!$L$599:$N$659, 2, FALSE), FALSE) = "", "", VLOOKUP($A70, INDIRECT("'" &amp; 'Personalized Bill Menu'!$B$23 &amp; "'!" &amp;"$A$4:$CA$100"), VLOOKUP(VLOOKUP("RIDER RATE 7",'Misc. Data &amp; Mechanisms'!$P$601:$S$632,HLOOKUP('Personalized Bill Menu'!$B$23, 'Misc. Data &amp; Mechanisms'!$P$599:$S$600, 2, FALSE), FALSE), 'Misc. Data &amp; Mechanisms'!$L$599:$N$659, 2, FALSE), FALSE)), ""))</f>
        <v>1.222</v>
      </c>
      <c r="AE70" s="69">
        <f ca="1">IF($A70="", "",IFERROR(IF(VLOOKUP($A70, INDIRECT("'" &amp; 'Personalized Bill Menu'!$B$23 &amp; "'!" &amp;"$A$4:$CA$100"), VLOOKUP(VLOOKUP("RIDER RATE 8",'Misc. Data &amp; Mechanisms'!$P$601:$S$632,HLOOKUP('Personalized Bill Menu'!$B$23, 'Misc. Data &amp; Mechanisms'!$P$599:$S$600, 2, FALSE), FALSE), 'Misc. Data &amp; Mechanisms'!$L$599:$N$659, 2, FALSE), FALSE) = "", "", VLOOKUP($A70, INDIRECT("'" &amp; 'Personalized Bill Menu'!$B$23 &amp; "'!" &amp;"$A$4:$CA$100"), VLOOKUP(VLOOKUP("RIDER RATE 8",'Misc. Data &amp; Mechanisms'!$P$601:$S$632,HLOOKUP('Personalized Bill Menu'!$B$23, 'Misc. Data &amp; Mechanisms'!$P$599:$S$600, 2, FALSE), FALSE), 'Misc. Data &amp; Mechanisms'!$L$599:$N$659, 2, FALSE), FALSE)), ""))</f>
        <v>-2.4E-2</v>
      </c>
      <c r="AF70" s="69" t="str">
        <f ca="1">IF($A70="", "",IFERROR(IF(VLOOKUP($A70, INDIRECT("'" &amp; 'Personalized Bill Menu'!$B$23 &amp; "'!" &amp;"$A$4:$CA$100"), VLOOKUP(VLOOKUP("RIDER RATE 9",'Misc. Data &amp; Mechanisms'!$P$601:$S$632,HLOOKUP('Personalized Bill Menu'!$B$23, 'Misc. Data &amp; Mechanisms'!$P$599:$S$600, 2, FALSE), FALSE), 'Misc. Data &amp; Mechanisms'!$L$599:$N$659, 2, FALSE), FALSE) = "", "", VLOOKUP($A70, INDIRECT("'" &amp; 'Personalized Bill Menu'!$B$23 &amp; "'!" &amp;"$A$4:$CA$100"), VLOOKUP(VLOOKUP("RIDER RATE 9",'Misc. Data &amp; Mechanisms'!$P$601:$S$632,HLOOKUP('Personalized Bill Menu'!$B$23, 'Misc. Data &amp; Mechanisms'!$P$599:$S$600, 2, FALSE), FALSE), 'Misc. Data &amp; Mechanisms'!$L$599:$N$659, 2, FALSE), FALSE)), ""))</f>
        <v/>
      </c>
      <c r="AG70" s="72">
        <f ca="1">IF($A70="", "", IFERROR(IF('Personalized Bill Menu'!$B$23="ATCO-N", ($X70*$B70) +($Y70*$C70), IF('Personalized Bill Menu'!$B$23="ATCO-S",$X70*$C70, IF($Y70="", ($X70*$H70), ($Y70*($H70+$K70))))), 0))</f>
        <v>0</v>
      </c>
      <c r="AH70" s="72">
        <f ca="1">IF($A70="", "", IFERROR(IF('Personalized Bill Menu'!$B$23="ATCO-S", $Y70*$C70, $Z70*$C70), 0))</f>
        <v>0</v>
      </c>
      <c r="AI70" s="72">
        <f ca="1">IF($A70="", "", IFERROR(IF('Personalized Bill Menu'!$B$23="ATCO-S", ($AA70*$C70)+($Z70*$B70), $AA70*$C70), 0))</f>
        <v>0</v>
      </c>
      <c r="AJ70" s="72">
        <f ca="1">IF($A70="", "", IFERROR(IF('Personalized Bill Menu'!$B$23&lt;&gt;"AltaGas",$AB70*$C70,""),0))</f>
        <v>9.6460667153225224</v>
      </c>
      <c r="AK70" s="72">
        <f ca="1">IF($A70="", "", IFERROR(IF('Personalized Bill Menu'!$B$23="ATCO-S",$AC70*$C70,IF('Personalized Bill Menu'!$B$23="ATCO-N",$AC70*1,"")),0))</f>
        <v>2.805180482618117</v>
      </c>
      <c r="AL70" s="72">
        <f ca="1">IF($A70="", "", IFERROR(IF('Personalized Bill Menu'!$B$23="ATCO-N",$AD70*$B70,IF('Personalized Bill Menu'!$B$23="ATCO-S",$AD70*1,"")),0))</f>
        <v>1.222</v>
      </c>
      <c r="AM70" s="72">
        <f ca="1">IF($A70="", "", IFERROR(IF('Personalized Bill Menu'!$B$23="ATCO-S",$AE70*$B70,IF('Personalized Bill Menu'!$B$23="ATCO-N",$AE70*$B70,"")),0))</f>
        <v>-0.72</v>
      </c>
      <c r="AN70" s="70">
        <f ca="1">IF($A70="", "", IFERROR(IF('Personalized Bill Menu'!$B$23="ATCO-S",$AF70*$B70,""),0))</f>
        <v>0</v>
      </c>
      <c r="AO70" s="69">
        <f>IF('Personalized Bill Menu'!$B$34="Natural Gas", 'Personalized Bill Menu'!$K67, IF('Personalized Bill Menu'!$B$34="Both",'Personalized Bill Menu'!$O67,""))</f>
        <v>0.249</v>
      </c>
      <c r="AP70" s="72">
        <f t="shared" si="13"/>
        <v>7.47</v>
      </c>
      <c r="AQ70" s="89">
        <f ca="1">IF($A70="", "",IF(VLOOKUP($A70, INDIRECT("'" &amp; 'Personalized Bill Menu'!$B$23 &amp; "'!" &amp;"$A$4:$CA$100"), VLOOKUP(VLOOKUP(AQ$5,'Misc. Data &amp; Mechanisms'!$P$601:$S$632,HLOOKUP('Personalized Bill Menu'!$B$23, 'Misc. Data &amp; Mechanisms'!$P$599:$S$600, 2, FALSE), FALSE), 'Misc. Data &amp; Mechanisms'!$L$599:$N$659, 2, FALSE), FALSE) = "", "", VLOOKUP($A70, INDIRECT("'" &amp; 'Personalized Bill Menu'!$B$23 &amp; "'!" &amp;"$A$4:$CA$100"), VLOOKUP(VLOOKUP(AQ$5,'Misc. Data &amp; Mechanisms'!$P$601:$S$632,HLOOKUP('Personalized Bill Menu'!$B$23, 'Misc. Data &amp; Mechanisms'!$P$599:$S$600, 2, FALSE), FALSE), 'Misc. Data &amp; Mechanisms'!$L$599:$N$659, 2, FALSE), FALSE)))</f>
        <v>1.0109999999999999</v>
      </c>
      <c r="AR70" s="72">
        <f t="shared" ca="1" si="14"/>
        <v>10.542890215341695</v>
      </c>
      <c r="AS70" s="91">
        <f ca="1">IF($A70="", "",IF(VLOOKUP($A70, INDIRECT("'" &amp; 'Personalized Bill Menu'!$B$23 &amp; "'!" &amp;"$A$4:$CA$100"), VLOOKUP(VLOOKUP(AS$5,'Misc. Data &amp; Mechanisms'!$P$601:$S$632,HLOOKUP('Personalized Bill Menu'!$B$23, 'Misc. Data &amp; Mechanisms'!$P$599:$S$600, 2, FALSE), FALSE), 'Misc. Data &amp; Mechanisms'!$L$599:$N$659, 2, FALSE), FALSE) = "", "", VLOOKUP($A70, INDIRECT("'" &amp; 'Personalized Bill Menu'!$B$23 &amp; "'!" &amp;"$A$4:$CA$100"), VLOOKUP(VLOOKUP(AS$5,'Misc. Data &amp; Mechanisms'!$P$601:$S$632,HLOOKUP('Personalized Bill Menu'!$B$23, 'Misc. Data &amp; Mechanisms'!$P$599:$S$600, 2, FALSE), FALSE), 'Misc. Data &amp; Mechanisms'!$L$599:$N$659, 2, FALSE), FALSE)))</f>
        <v>0.05</v>
      </c>
    </row>
    <row r="71" spans="1:45" x14ac:dyDescent="0.3">
      <c r="A71" s="83">
        <f>'Personalized Bill Menu'!$H68</f>
        <v>42856</v>
      </c>
      <c r="B71" s="84">
        <f t="shared" si="3"/>
        <v>31</v>
      </c>
      <c r="C71" s="85">
        <f>IF('Personalized Bill Menu'!$B$34="Natural Gas", 'Personalized Bill Menu'!$I68, IF('Personalized Bill Menu'!$B$34="Both",'Personalized Bill Menu'!$M68,""))</f>
        <v>5.1525323465352963</v>
      </c>
      <c r="D71" s="66">
        <f t="shared" ca="1" si="4"/>
        <v>12.816319766301515</v>
      </c>
      <c r="E71" s="66">
        <f ca="1">IF($C71="Not Applicable", "", IFERROR(IFERROR((1+$AS71)*IF('Personalized Bill Menu'!$B$23="ATCO-N", IF(OR('Personalized Bill Menu'!$B$21="Fort McMurray",AND('Personalized Bill Menu'!$B$21="Spruce Grove", $A71&lt;DATE(2019, 5, 1) )),(((1+IF($T71="",0,$T71))*($N71+$P71))+ (IF($U71="", 0, $U71)*$P71)+(1+IF($T71="",0,$T71)+IF($U71="", 0, $U71))*(SUM($Y71:$AB71))),($N71+((1+IF($T71="",0,$T71)+IF($U71="", 0, $U71))*$P71)+(1+IF($T71="",0,$T71)+IF($U71="", 0, $U71))*(SUM($Y71:$AB71)))), IF('Personalized Bill Menu'!$B$23="ATCO-S",IF(OR('Personalized Bill Menu'!$B$21="Calgary",AND('Personalized Bill Menu'!$B$21="Okotoks", $A71&lt;DATE(2019, 1, 1))),((1+IF($T71="",0,$T71))*($N71+$P71+SUM($X71:$Y71,$AA71:$AC71)))+(IF($U71="",0, $U71)*($P71+SUM($X71:$Y71,$AA71:$AC71))), ((1+IF($T71="",0,$T71))*($P71+SUM($Y71,$AA71:$AC71)))+(IF($U71="",0, $U71)*($P71+SUM($X71:$Y71,$AA71:$AC71)))+$N71+IF($X71="", 0, $X71)),IF(AND('Personalized Bill Menu'!$B$21="Athabasca", $A71&lt;DATE(2019, 5, 1)),((1+IF($T71="",0,$T71)+IF($U71="", 0, $U71))*($N71+((1+SUM($X71:$Y71))*$P71)+SUM($Z71:$AA71))),((1+IF($U71="", 0, $U71))*($N71+((1+SUM($X71:$Y71))*$P71)+SUM($Z71:$AA71))) + (IF($T71="",0,$T71)*(((1+SUM($X71:$Y71))*$P71)+SUM($Z71:$AA71)))))), "")+ IF($AQ71="", 0,((1+$AS71)*$AQ71)), ""))</f>
        <v>5.3583403650000001</v>
      </c>
      <c r="F71" s="118">
        <f t="shared" ca="1" si="5"/>
        <v>66.036502159408244</v>
      </c>
      <c r="G71" s="115">
        <f t="shared" si="15"/>
        <v>10.057743140436898</v>
      </c>
      <c r="H71" s="66">
        <f t="shared" ca="1" si="16"/>
        <v>29.665941071307447</v>
      </c>
      <c r="I71" s="66">
        <f t="shared" ca="1" si="17"/>
        <v>4.9959199838473625</v>
      </c>
      <c r="J71" s="66">
        <f t="shared" ca="1" si="6"/>
        <v>5.2440924205451491</v>
      </c>
      <c r="K71" s="66">
        <f t="shared" si="18"/>
        <v>7.7190000000000003</v>
      </c>
      <c r="L71" s="66">
        <f t="shared" ca="1" si="8"/>
        <v>5.209210202347184</v>
      </c>
      <c r="M71" s="68">
        <f t="shared" ca="1" si="9"/>
        <v>3.1445953409242025</v>
      </c>
      <c r="N71" s="1290">
        <f>IF('Personalized Bill Menu'!$B$34="Natural Gas", 'Personalized Bill Menu'!$J68, IF('Personalized Bill Menu'!$B$34="Both",'Personalized Bill Menu'!$N68,""))</f>
        <v>1.952</v>
      </c>
      <c r="O71" s="70">
        <f t="shared" si="10"/>
        <v>10.057743140436898</v>
      </c>
      <c r="P71" s="89">
        <f ca="1">IF($A71="", "",IFERROR(IF(VLOOKUP($A71, INDIRECT("'" &amp; 'Personalized Bill Menu'!$B$23 &amp; "'!" &amp;"$A$4:$CA$100"), VLOOKUP(VLOOKUP(P$5,'Misc. Data &amp; Mechanisms'!$P$601:$S$632,HLOOKUP('Personalized Bill Menu'!$B$23, 'Misc. Data &amp; Mechanisms'!$P$599:$S$600, 2, FALSE), FALSE), 'Misc. Data &amp; Mechanisms'!$L$599:$N$659, 2, FALSE), FALSE) = "", "", VLOOKUP($A71, INDIRECT("'" &amp; 'Personalized Bill Menu'!$B$23 &amp; "'!" &amp;"$A$4:$CA$100"), VLOOKUP(VLOOKUP(P$5,'Misc. Data &amp; Mechanisms'!$P$601:$S$632,HLOOKUP('Personalized Bill Menu'!$B$23, 'Misc. Data &amp; Mechanisms'!$P$599:$S$600, 2, FALSE), FALSE), 'Misc. Data &amp; Mechanisms'!$L$599:$N$659, 2, FALSE), FALSE)), ""))</f>
        <v>0.80600000000000005</v>
      </c>
      <c r="Q71" s="69">
        <f ca="1">IF($A71="", "",IFERROR(IF(VLOOKUP($A71, INDIRECT("'" &amp; 'Personalized Bill Menu'!$B$23 &amp; "'!" &amp;"$A$4:$CA$100"), VLOOKUP(VLOOKUP(Q$5,'Misc. Data &amp; Mechanisms'!$P$601:$S$632,HLOOKUP('Personalized Bill Menu'!$B$23, 'Misc. Data &amp; Mechanisms'!$P$599:$S$600, 2, FALSE), FALSE), 'Misc. Data &amp; Mechanisms'!$L$599:$N$659, 2, FALSE), FALSE) = "", "", VLOOKUP($A71, INDIRECT("'" &amp; 'Personalized Bill Menu'!$B$23 &amp; "'!" &amp;"$A$4:$CA$100"), VLOOKUP(VLOOKUP(Q$5,'Misc. Data &amp; Mechanisms'!$P$601:$S$632,HLOOKUP('Personalized Bill Menu'!$B$23, 'Misc. Data &amp; Mechanisms'!$P$599:$S$600, 2, FALSE), FALSE), 'Misc. Data &amp; Mechanisms'!$L$599:$N$659, 2, FALSE), FALSE)), ""))</f>
        <v>0.82299999999999995</v>
      </c>
      <c r="R71" s="72">
        <f t="shared" ca="1" si="11"/>
        <v>4.1529410713074491</v>
      </c>
      <c r="S71" s="70">
        <f t="shared" ca="1" si="12"/>
        <v>25.512999999999998</v>
      </c>
      <c r="T71" s="78">
        <f>IFERROR(IF(VLOOKUP($A71,'Misc. Data &amp; Mechanisms'!$A$63:$DY$152,HLOOKUP('Personalized Bill Menu'!$B$21&amp;"_"&amp;'Personalized Bill Menu'!$B$23&amp;"_NG_Y_1",'Misc. Data &amp; Mechanisms'!$A$55:$DY$62,8,FALSE), FALSE)="", "", VLOOKUP($A71,'Misc. Data &amp; Mechanisms'!$A$63:$DY$152,HLOOKUP('Personalized Bill Menu'!$B$21&amp;"_"&amp;'Personalized Bill Menu'!$B$23&amp;"_NG_Y_1",'Misc. Data &amp; Mechanisms'!$A$55:$DY$62,8,FALSE), FALSE)), "")</f>
        <v>0.1111</v>
      </c>
      <c r="U71" s="78" t="str">
        <f>IFERROR(IF(VLOOKUP($A71,'Misc. Data &amp; Mechanisms'!$A$63:$DY$152,HLOOKUP('Personalized Bill Menu'!$B$21&amp;"_"&amp;'Personalized Bill Menu'!$B$23&amp;"_NG_Y_2",'Misc. Data &amp; Mechanisms'!$A$55:$DY$62,8,FALSE), FALSE)="", "",VLOOKUP($A71,'Misc. Data &amp; Mechanisms'!$A$63:$DY$152,HLOOKUP('Personalized Bill Menu'!$B$21&amp;"_"&amp;'Personalized Bill Menu'!$B$23&amp;"_NG_Y_2",'Misc. Data &amp; Mechanisms'!$A$55:$DY$62,8,FALSE), FALSE)), "")</f>
        <v/>
      </c>
      <c r="V71" s="72">
        <f ca="1">IF($A71="", "", IFERROR(IF('Personalized Bill Menu'!$B$23="ATCO-N", IF(OR('Personalized Bill Menu'!$B$21="Fort McMurray",AND('Personalized Bill Menu'!$B$21="Spruce Grove", $A71&lt;DATE(2019, 5, 1))),$T71*($G71+$H71+$J71),$T71*($H71+$J71)), IF('Personalized Bill Menu'!$B$23="ATCO-S",IF(OR('Personalized Bill Menu'!$B$21="Calgary",AND('Personalized Bill Menu'!$B$21="Okotoks", $A71&lt;DATE(2019, 1, 1))),$T71*($G71+$H71+$J71), $T71*($H71+$J71-$AG71)),IF(AND('Personalized Bill Menu'!$B$21="Athabasca", $A71&lt;DATE(2019, 5, 1)),$T71*($G71+$H71+$J71+$K71),$T71*($H71+$J71+$K71)))),0))</f>
        <v>4.9959199838473625</v>
      </c>
      <c r="W71" s="72">
        <f ca="1">IF($A71="", "", IFERROR(IF('Personalized Bill Menu'!$B$23="ATCO-N", $U71*($H71+$J71), IF('Personalized Bill Menu'!$B$23="ATCO-S",$U71*($H71+$J71),$U71*($G71+$H71+$J71+$K71))),0))</f>
        <v>0</v>
      </c>
      <c r="X71" s="89" t="str">
        <f ca="1">IF($A71="", "",IFERROR(IF(VLOOKUP($A71, INDIRECT("'" &amp; 'Personalized Bill Menu'!$B$23 &amp; "'!" &amp;"$A$4:$CA$100"), VLOOKUP(VLOOKUP("RIDER RATE 1",'Misc. Data &amp; Mechanisms'!$P$601:$S$632,HLOOKUP('Personalized Bill Menu'!$B$23, 'Misc. Data &amp; Mechanisms'!$P$599:$S$600, 2, FALSE), FALSE), 'Misc. Data &amp; Mechanisms'!$L$599:$N$659, 2, FALSE), FALSE) = "", "", VLOOKUP($A71, INDIRECT("'" &amp; 'Personalized Bill Menu'!$B$23 &amp; "'!" &amp;"$A$4:$CA$100"), VLOOKUP(VLOOKUP("RIDER RATE 1",'Misc. Data &amp; Mechanisms'!$P$601:$S$632,HLOOKUP('Personalized Bill Menu'!$B$23, 'Misc. Data &amp; Mechanisms'!$P$599:$S$600, 2, FALSE), FALSE), 'Misc. Data &amp; Mechanisms'!$L$599:$N$659, 2, FALSE), FALSE)), ""))</f>
        <v/>
      </c>
      <c r="Y71" s="69" t="str">
        <f ca="1">IF($A71="", "",IFERROR(IF(VLOOKUP($A71, INDIRECT("'" &amp; 'Personalized Bill Menu'!$B$23 &amp; "'!" &amp;"$A$4:$CA$100"), VLOOKUP(VLOOKUP("RIDER RATE 2",'Misc. Data &amp; Mechanisms'!$P$601:$S$632,HLOOKUP('Personalized Bill Menu'!$B$23, 'Misc. Data &amp; Mechanisms'!$P$599:$S$600, 2, FALSE), FALSE), 'Misc. Data &amp; Mechanisms'!$L$599:$N$659, 2, FALSE), FALSE) = "", "", VLOOKUP($A71, INDIRECT("'" &amp; 'Personalized Bill Menu'!$B$23 &amp; "'!" &amp;"$A$4:$CA$100"), VLOOKUP(VLOOKUP("RIDER RATE 2",'Misc. Data &amp; Mechanisms'!$P$601:$S$632,HLOOKUP('Personalized Bill Menu'!$B$23, 'Misc. Data &amp; Mechanisms'!$P$599:$S$600, 2, FALSE), FALSE), 'Misc. Data &amp; Mechanisms'!$L$599:$N$659, 2, FALSE), FALSE)), ""))</f>
        <v/>
      </c>
      <c r="Z71" s="69" t="str">
        <f ca="1">IF($A71="", "",IFERROR(IF(VLOOKUP($A71, INDIRECT("'" &amp; 'Personalized Bill Menu'!$B$23 &amp; "'!" &amp;"$A$4:$CA$100"), VLOOKUP(VLOOKUP("RIDER RATE 3",'Misc. Data &amp; Mechanisms'!$P$601:$S$632,HLOOKUP('Personalized Bill Menu'!$B$23, 'Misc. Data &amp; Mechanisms'!$P$599:$S$600, 2, FALSE), FALSE), 'Misc. Data &amp; Mechanisms'!$L$599:$N$659, 2, FALSE), FALSE) = "", "", VLOOKUP($A71, INDIRECT("'" &amp; 'Personalized Bill Menu'!$B$23 &amp; "'!" &amp;"$A$4:$CA$100"), VLOOKUP(VLOOKUP("RIDER RATE 3",'Misc. Data &amp; Mechanisms'!$P$601:$S$632,HLOOKUP('Personalized Bill Menu'!$B$23, 'Misc. Data &amp; Mechanisms'!$P$599:$S$600, 2, FALSE), FALSE), 'Misc. Data &amp; Mechanisms'!$L$599:$N$659, 2, FALSE), FALSE)), ""))</f>
        <v/>
      </c>
      <c r="AA71" s="69" t="str">
        <f ca="1">IF($A71="", "",IFERROR(IF(VLOOKUP($A71, INDIRECT("'" &amp; 'Personalized Bill Menu'!$B$23 &amp; "'!" &amp;"$A$4:$CA$100"), VLOOKUP(VLOOKUP("RIDER RATE 4",'Misc. Data &amp; Mechanisms'!$P$601:$S$632,HLOOKUP('Personalized Bill Menu'!$B$23, 'Misc. Data &amp; Mechanisms'!$P$599:$S$600, 2, FALSE), FALSE), 'Misc. Data &amp; Mechanisms'!$L$599:$N$659, 2, FALSE), FALSE) = "", "", VLOOKUP($A71, INDIRECT("'" &amp; 'Personalized Bill Menu'!$B$23 &amp; "'!" &amp;"$A$4:$CA$100"), VLOOKUP(VLOOKUP("RIDER RATE 4",'Misc. Data &amp; Mechanisms'!$P$601:$S$632,HLOOKUP('Personalized Bill Menu'!$B$23, 'Misc. Data &amp; Mechanisms'!$P$599:$S$600, 2, FALSE), FALSE), 'Misc. Data &amp; Mechanisms'!$L$599:$N$659, 2, FALSE), FALSE)), ""))</f>
        <v/>
      </c>
      <c r="AB71" s="69">
        <f ca="1">IF($A71="", "",IFERROR(IF(VLOOKUP($A71, INDIRECT("'" &amp; 'Personalized Bill Menu'!$B$23 &amp; "'!" &amp;"$A$4:$CA$100"), VLOOKUP(VLOOKUP("RIDER RATE 5",'Misc. Data &amp; Mechanisms'!$P$601:$S$632,HLOOKUP('Personalized Bill Menu'!$B$23, 'Misc. Data &amp; Mechanisms'!$P$599:$S$600, 2, FALSE), FALSE), 'Misc. Data &amp; Mechanisms'!$L$599:$N$659, 2, FALSE), FALSE) = "", "", VLOOKUP($A71, INDIRECT("'" &amp; 'Personalized Bill Menu'!$B$23 &amp; "'!" &amp;"$A$4:$CA$100"), VLOOKUP(VLOOKUP("RIDER RATE 5",'Misc. Data &amp; Mechanisms'!$P$601:$S$632,HLOOKUP('Personalized Bill Menu'!$B$23, 'Misc. Data &amp; Mechanisms'!$P$599:$S$600, 2, FALSE), FALSE), 'Misc. Data &amp; Mechanisms'!$L$599:$N$659, 2, FALSE), FALSE)), ""))</f>
        <v>0.92500000000000004</v>
      </c>
      <c r="AC71" s="69" t="str">
        <f ca="1">IF($A71="", "",IFERROR(IF(VLOOKUP($A71, INDIRECT("'" &amp; 'Personalized Bill Menu'!$B$23 &amp; "'!" &amp;"$A$4:$CA$100"), VLOOKUP(VLOOKUP("RIDER RATE 6",'Misc. Data &amp; Mechanisms'!$P$601:$S$632,HLOOKUP('Personalized Bill Menu'!$B$23, 'Misc. Data &amp; Mechanisms'!$P$599:$S$600, 2, FALSE), FALSE), 'Misc. Data &amp; Mechanisms'!$L$599:$N$659, 2, FALSE), FALSE) = "", "", VLOOKUP($A71, INDIRECT("'" &amp; 'Personalized Bill Menu'!$B$23 &amp; "'!" &amp;"$A$4:$CA$100"), VLOOKUP(VLOOKUP("RIDER RATE 6",'Misc. Data &amp; Mechanisms'!$P$601:$S$632,HLOOKUP('Personalized Bill Menu'!$B$23, 'Misc. Data &amp; Mechanisms'!$P$599:$S$600, 2, FALSE), FALSE), 'Misc. Data &amp; Mechanisms'!$L$599:$N$659, 2, FALSE), FALSE)), ""))</f>
        <v/>
      </c>
      <c r="AD71" s="69">
        <f ca="1">IF($A71="", "",IFERROR(IF(VLOOKUP($A71, INDIRECT("'" &amp; 'Personalized Bill Menu'!$B$23 &amp; "'!" &amp;"$A$4:$CA$100"), VLOOKUP(VLOOKUP("RIDER RATE 7",'Misc. Data &amp; Mechanisms'!$P$601:$S$632,HLOOKUP('Personalized Bill Menu'!$B$23, 'Misc. Data &amp; Mechanisms'!$P$599:$S$600, 2, FALSE), FALSE), 'Misc. Data &amp; Mechanisms'!$L$599:$N$659, 2, FALSE), FALSE) = "", "", VLOOKUP($A71, INDIRECT("'" &amp; 'Personalized Bill Menu'!$B$23 &amp; "'!" &amp;"$A$4:$CA$100"), VLOOKUP(VLOOKUP("RIDER RATE 7",'Misc. Data &amp; Mechanisms'!$P$601:$S$632,HLOOKUP('Personalized Bill Menu'!$B$23, 'Misc. Data &amp; Mechanisms'!$P$599:$S$600, 2, FALSE), FALSE), 'Misc. Data &amp; Mechanisms'!$L$599:$N$659, 2, FALSE), FALSE)), ""))</f>
        <v>1.222</v>
      </c>
      <c r="AE71" s="69">
        <f ca="1">IF($A71="", "",IFERROR(IF(VLOOKUP($A71, INDIRECT("'" &amp; 'Personalized Bill Menu'!$B$23 &amp; "'!" &amp;"$A$4:$CA$100"), VLOOKUP(VLOOKUP("RIDER RATE 8",'Misc. Data &amp; Mechanisms'!$P$601:$S$632,HLOOKUP('Personalized Bill Menu'!$B$23, 'Misc. Data &amp; Mechanisms'!$P$599:$S$600, 2, FALSE), FALSE), 'Misc. Data &amp; Mechanisms'!$L$599:$N$659, 2, FALSE), FALSE) = "", "", VLOOKUP($A71, INDIRECT("'" &amp; 'Personalized Bill Menu'!$B$23 &amp; "'!" &amp;"$A$4:$CA$100"), VLOOKUP(VLOOKUP("RIDER RATE 8",'Misc. Data &amp; Mechanisms'!$P$601:$S$632,HLOOKUP('Personalized Bill Menu'!$B$23, 'Misc. Data &amp; Mechanisms'!$P$599:$S$600, 2, FALSE), FALSE), 'Misc. Data &amp; Mechanisms'!$L$599:$N$659, 2, FALSE), FALSE)), ""))</f>
        <v>-2.4E-2</v>
      </c>
      <c r="AF71" s="69" t="str">
        <f ca="1">IF($A71="", "",IFERROR(IF(VLOOKUP($A71, INDIRECT("'" &amp; 'Personalized Bill Menu'!$B$23 &amp; "'!" &amp;"$A$4:$CA$100"), VLOOKUP(VLOOKUP("RIDER RATE 9",'Misc. Data &amp; Mechanisms'!$P$601:$S$632,HLOOKUP('Personalized Bill Menu'!$B$23, 'Misc. Data &amp; Mechanisms'!$P$599:$S$600, 2, FALSE), FALSE), 'Misc. Data &amp; Mechanisms'!$L$599:$N$659, 2, FALSE), FALSE) = "", "", VLOOKUP($A71, INDIRECT("'" &amp; 'Personalized Bill Menu'!$B$23 &amp; "'!" &amp;"$A$4:$CA$100"), VLOOKUP(VLOOKUP("RIDER RATE 9",'Misc. Data &amp; Mechanisms'!$P$601:$S$632,HLOOKUP('Personalized Bill Menu'!$B$23, 'Misc. Data &amp; Mechanisms'!$P$599:$S$600, 2, FALSE), FALSE), 'Misc. Data &amp; Mechanisms'!$L$599:$N$659, 2, FALSE), FALSE)), ""))</f>
        <v/>
      </c>
      <c r="AG71" s="72">
        <f ca="1">IF($A71="", "", IFERROR(IF('Personalized Bill Menu'!$B$23="ATCO-N", ($X71*$B71) +($Y71*$C71), IF('Personalized Bill Menu'!$B$23="ATCO-S",$X71*$C71, IF($Y71="", ($X71*$H71), ($Y71*($H71+$K71))))), 0))</f>
        <v>0</v>
      </c>
      <c r="AH71" s="72">
        <f ca="1">IF($A71="", "", IFERROR(IF('Personalized Bill Menu'!$B$23="ATCO-S", $Y71*$C71, $Z71*$C71), 0))</f>
        <v>0</v>
      </c>
      <c r="AI71" s="72">
        <f ca="1">IF($A71="", "", IFERROR(IF('Personalized Bill Menu'!$B$23="ATCO-S", ($AA71*$C71)+($Z71*$B71), $AA71*$C71), 0))</f>
        <v>0</v>
      </c>
      <c r="AJ71" s="72">
        <f ca="1">IF($A71="", "", IFERROR(IF('Personalized Bill Menu'!$B$23&lt;&gt;"AltaGas",$AB71*$C71,""),0))</f>
        <v>4.7660924205451494</v>
      </c>
      <c r="AK71" s="72">
        <f ca="1">IF($A71="", "", IFERROR(IF('Personalized Bill Menu'!$B$23="ATCO-S",$AC71*$C71,IF('Personalized Bill Menu'!$B$23="ATCO-N",$AC71*1,"")),0))</f>
        <v>0</v>
      </c>
      <c r="AL71" s="72">
        <f ca="1">IF($A71="", "", IFERROR(IF('Personalized Bill Menu'!$B$23="ATCO-N",$AD71*$B71,IF('Personalized Bill Menu'!$B$23="ATCO-S",$AD71*1,"")),0))</f>
        <v>1.222</v>
      </c>
      <c r="AM71" s="72">
        <f ca="1">IF($A71="", "", IFERROR(IF('Personalized Bill Menu'!$B$23="ATCO-S",$AE71*$B71,IF('Personalized Bill Menu'!$B$23="ATCO-N",$AE71*$B71,"")),0))</f>
        <v>-0.74399999999999999</v>
      </c>
      <c r="AN71" s="70">
        <f ca="1">IF($A71="", "", IFERROR(IF('Personalized Bill Menu'!$B$23="ATCO-S",$AF71*$B71,""),0))</f>
        <v>0</v>
      </c>
      <c r="AO71" s="69">
        <f>IF('Personalized Bill Menu'!$B$34="Natural Gas", 'Personalized Bill Menu'!$K68, IF('Personalized Bill Menu'!$B$34="Both",'Personalized Bill Menu'!$O68,""))</f>
        <v>0.249</v>
      </c>
      <c r="AP71" s="72">
        <f t="shared" si="13"/>
        <v>7.7190000000000003</v>
      </c>
      <c r="AQ71" s="89">
        <f ca="1">IF($A71="", "",IF(VLOOKUP($A71, INDIRECT("'" &amp; 'Personalized Bill Menu'!$B$23 &amp; "'!" &amp;"$A$4:$CA$100"), VLOOKUP(VLOOKUP(AQ$5,'Misc. Data &amp; Mechanisms'!$P$601:$S$632,HLOOKUP('Personalized Bill Menu'!$B$23, 'Misc. Data &amp; Mechanisms'!$P$599:$S$600, 2, FALSE), FALSE), 'Misc. Data &amp; Mechanisms'!$L$599:$N$659, 2, FALSE), FALSE) = "", "", VLOOKUP($A71, INDIRECT("'" &amp; 'Personalized Bill Menu'!$B$23 &amp; "'!" &amp;"$A$4:$CA$100"), VLOOKUP(VLOOKUP(AQ$5,'Misc. Data &amp; Mechanisms'!$P$601:$S$632,HLOOKUP('Personalized Bill Menu'!$B$23, 'Misc. Data &amp; Mechanisms'!$P$599:$S$600, 2, FALSE), FALSE), 'Misc. Data &amp; Mechanisms'!$L$599:$N$659, 2, FALSE), FALSE)))</f>
        <v>1.0109999999999999</v>
      </c>
      <c r="AR71" s="72">
        <f t="shared" ca="1" si="14"/>
        <v>5.209210202347184</v>
      </c>
      <c r="AS71" s="91">
        <f ca="1">IF($A71="", "",IF(VLOOKUP($A71, INDIRECT("'" &amp; 'Personalized Bill Menu'!$B$23 &amp; "'!" &amp;"$A$4:$CA$100"), VLOOKUP(VLOOKUP(AS$5,'Misc. Data &amp; Mechanisms'!$P$601:$S$632,HLOOKUP('Personalized Bill Menu'!$B$23, 'Misc. Data &amp; Mechanisms'!$P$599:$S$600, 2, FALSE), FALSE), 'Misc. Data &amp; Mechanisms'!$L$599:$N$659, 2, FALSE), FALSE) = "", "", VLOOKUP($A71, INDIRECT("'" &amp; 'Personalized Bill Menu'!$B$23 &amp; "'!" &amp;"$A$4:$CA$100"), VLOOKUP(VLOOKUP(AS$5,'Misc. Data &amp; Mechanisms'!$P$601:$S$632,HLOOKUP('Personalized Bill Menu'!$B$23, 'Misc. Data &amp; Mechanisms'!$P$599:$S$600, 2, FALSE), FALSE), 'Misc. Data &amp; Mechanisms'!$L$599:$N$659, 2, FALSE), FALSE)))</f>
        <v>0.05</v>
      </c>
    </row>
    <row r="72" spans="1:45" x14ac:dyDescent="0.3">
      <c r="A72" s="83">
        <f>'Personalized Bill Menu'!$H69</f>
        <v>42887</v>
      </c>
      <c r="B72" s="84">
        <f t="shared" ref="B72:B96" si="19">IFERROR(DAY(DATE(YEAR($A72),MONTH($A72)+1,1)-1), "")</f>
        <v>30</v>
      </c>
      <c r="C72" s="85">
        <f>IF('Personalized Bill Menu'!$B$34="Natural Gas", 'Personalized Bill Menu'!$I69, IF('Personalized Bill Menu'!$B$34="Both",'Personalized Bill Menu'!$M69,""))</f>
        <v>3.0371525091241911</v>
      </c>
      <c r="D72" s="66">
        <f t="shared" ref="D72:D96" ca="1" si="20">IFERROR($F72/$C72, "")</f>
        <v>16.781316322800251</v>
      </c>
      <c r="E72" s="66">
        <f ca="1">IF($C72="Not Applicable", "", IFERROR(IFERROR((1+$AS72)*IF('Personalized Bill Menu'!$B$23="ATCO-N", IF(OR('Personalized Bill Menu'!$B$21="Fort McMurray",AND('Personalized Bill Menu'!$B$21="Spruce Grove", $A72&lt;DATE(2019, 5, 1) )),(((1+IF($T72="",0,$T72))*($N72+$P72))+ (IF($U72="", 0, $U72)*$P72)+(1+IF($T72="",0,$T72)+IF($U72="", 0, $U72))*(SUM($Y72:$AB72))),($N72+((1+IF($T72="",0,$T72)+IF($U72="", 0, $U72))*$P72)+(1+IF($T72="",0,$T72)+IF($U72="", 0, $U72))*(SUM($Y72:$AB72)))), IF('Personalized Bill Menu'!$B$23="ATCO-S",IF(OR('Personalized Bill Menu'!$B$21="Calgary",AND('Personalized Bill Menu'!$B$21="Okotoks", $A72&lt;DATE(2019, 1, 1))),((1+IF($T72="",0,$T72))*($N72+$P72+SUM($X72:$Y72,$AA72:$AC72)))+(IF($U72="",0, $U72)*($P72+SUM($X72:$Y72,$AA72:$AC72))), ((1+IF($T72="",0,$T72))*($P72+SUM($Y72,$AA72:$AC72)))+(IF($U72="",0, $U72)*($P72+SUM($X72:$Y72,$AA72:$AC72)))+$N72+IF($X72="", 0, $X72)),IF(AND('Personalized Bill Menu'!$B$21="Athabasca", $A72&lt;DATE(2019, 5, 1)),((1+IF($T72="",0,$T72)+IF($U72="", 0, $U72))*($N72+((1+SUM($X72:$Y72))*$P72)+SUM($Z72:$AA72))),((1+IF($U72="", 0, $U72))*($N72+((1+SUM($X72:$Y72))*$P72)+SUM($Z72:$AA72))) + (IF($T72="",0,$T72)*(((1+SUM($X72:$Y72))*$P72)+SUM($Z72:$AA72)))))), "")+ IF($AQ72="", 0,((1+$AS72)*$AQ72)), ""))</f>
        <v>4.5218487300000003</v>
      </c>
      <c r="F72" s="118">
        <f t="shared" ref="F72:F96" ca="1" si="21">IF($A72="", "", IF($C72="Not Applicable", "N/A", IFERROR(SUM($G72:$M72), "")))</f>
        <v>50.967416976199523</v>
      </c>
      <c r="G72" s="115">
        <f t="shared" si="15"/>
        <v>3.7508833487683764</v>
      </c>
      <c r="H72" s="66">
        <f t="shared" ca="1" si="16"/>
        <v>27.137944922354095</v>
      </c>
      <c r="I72" s="66">
        <f t="shared" ca="1" si="17"/>
        <v>3.7996415914031267</v>
      </c>
      <c r="J72" s="66">
        <f t="shared" ref="J72:J96" ca="1" si="22">IF($A72="", "", IFERROR(SUM($AG72:$AN72), ""))</f>
        <v>3.3113660709398767</v>
      </c>
      <c r="K72" s="66">
        <f t="shared" si="18"/>
        <v>7.47</v>
      </c>
      <c r="L72" s="66">
        <f t="shared" ref="L72:L96" ca="1" si="23">IF($A72="", "", IFERROR(SUM($AR72), ""))</f>
        <v>3.0705611867245568</v>
      </c>
      <c r="M72" s="68">
        <f t="shared" ref="M72:M96" ca="1" si="24">IF($A72="", "", IFERROR(SUM($AS72)*SUM($G72:$L72), ""))</f>
        <v>2.4270198560095011</v>
      </c>
      <c r="N72" s="1290">
        <f>IF('Personalized Bill Menu'!$B$34="Natural Gas", 'Personalized Bill Menu'!$J69, IF('Personalized Bill Menu'!$B$34="Both",'Personalized Bill Menu'!$N69,""))</f>
        <v>1.2350000000000001</v>
      </c>
      <c r="O72" s="70">
        <f t="shared" ref="O72:O96" si="25">IF($A72="", "", IFERROR($N72*$C72, 0))</f>
        <v>3.7508833487683764</v>
      </c>
      <c r="P72" s="89">
        <f ca="1">IF($A72="", "",IFERROR(IF(VLOOKUP($A72, INDIRECT("'" &amp; 'Personalized Bill Menu'!$B$23 &amp; "'!" &amp;"$A$4:$CA$100"), VLOOKUP(VLOOKUP(P$5,'Misc. Data &amp; Mechanisms'!$P$601:$S$632,HLOOKUP('Personalized Bill Menu'!$B$23, 'Misc. Data &amp; Mechanisms'!$P$599:$S$600, 2, FALSE), FALSE), 'Misc. Data &amp; Mechanisms'!$L$599:$N$659, 2, FALSE), FALSE) = "", "", VLOOKUP($A72, INDIRECT("'" &amp; 'Personalized Bill Menu'!$B$23 &amp; "'!" &amp;"$A$4:$CA$100"), VLOOKUP(VLOOKUP(P$5,'Misc. Data &amp; Mechanisms'!$P$601:$S$632,HLOOKUP('Personalized Bill Menu'!$B$23, 'Misc. Data &amp; Mechanisms'!$P$599:$S$600, 2, FALSE), FALSE), 'Misc. Data &amp; Mechanisms'!$L$599:$N$659, 2, FALSE), FALSE)), ""))</f>
        <v>0.80600000000000005</v>
      </c>
      <c r="Q72" s="69">
        <f ca="1">IF($A72="", "",IFERROR(IF(VLOOKUP($A72, INDIRECT("'" &amp; 'Personalized Bill Menu'!$B$23 &amp; "'!" &amp;"$A$4:$CA$100"), VLOOKUP(VLOOKUP(Q$5,'Misc. Data &amp; Mechanisms'!$P$601:$S$632,HLOOKUP('Personalized Bill Menu'!$B$23, 'Misc. Data &amp; Mechanisms'!$P$599:$S$600, 2, FALSE), FALSE), 'Misc. Data &amp; Mechanisms'!$L$599:$N$659, 2, FALSE), FALSE) = "", "", VLOOKUP($A72, INDIRECT("'" &amp; 'Personalized Bill Menu'!$B$23 &amp; "'!" &amp;"$A$4:$CA$100"), VLOOKUP(VLOOKUP(Q$5,'Misc. Data &amp; Mechanisms'!$P$601:$S$632,HLOOKUP('Personalized Bill Menu'!$B$23, 'Misc. Data &amp; Mechanisms'!$P$599:$S$600, 2, FALSE), FALSE), 'Misc. Data &amp; Mechanisms'!$L$599:$N$659, 2, FALSE), FALSE)), ""))</f>
        <v>0.82299999999999995</v>
      </c>
      <c r="R72" s="72">
        <f t="shared" ref="R72:R96" ca="1" si="26">IF($A72="", "", IFERROR($P72*$C72, 0))</f>
        <v>2.4479449223540981</v>
      </c>
      <c r="S72" s="70">
        <f t="shared" ref="S72:S96" ca="1" si="27">IF($A72="", "", IFERROR($Q72*$B72,0))</f>
        <v>24.689999999999998</v>
      </c>
      <c r="T72" s="78">
        <f>IFERROR(IF(VLOOKUP($A72,'Misc. Data &amp; Mechanisms'!$A$63:$DY$152,HLOOKUP('Personalized Bill Menu'!$B$21&amp;"_"&amp;'Personalized Bill Menu'!$B$23&amp;"_NG_Y_1",'Misc. Data &amp; Mechanisms'!$A$55:$DY$62,8,FALSE), FALSE)="", "", VLOOKUP($A72,'Misc. Data &amp; Mechanisms'!$A$63:$DY$152,HLOOKUP('Personalized Bill Menu'!$B$21&amp;"_"&amp;'Personalized Bill Menu'!$B$23&amp;"_NG_Y_1",'Misc. Data &amp; Mechanisms'!$A$55:$DY$62,8,FALSE), FALSE)), "")</f>
        <v>0.1111</v>
      </c>
      <c r="U72" s="78" t="str">
        <f>IFERROR(IF(VLOOKUP($A72,'Misc. Data &amp; Mechanisms'!$A$63:$DY$152,HLOOKUP('Personalized Bill Menu'!$B$21&amp;"_"&amp;'Personalized Bill Menu'!$B$23&amp;"_NG_Y_2",'Misc. Data &amp; Mechanisms'!$A$55:$DY$62,8,FALSE), FALSE)="", "",VLOOKUP($A72,'Misc. Data &amp; Mechanisms'!$A$63:$DY$152,HLOOKUP('Personalized Bill Menu'!$B$21&amp;"_"&amp;'Personalized Bill Menu'!$B$23&amp;"_NG_Y_2",'Misc. Data &amp; Mechanisms'!$A$55:$DY$62,8,FALSE), FALSE)), "")</f>
        <v/>
      </c>
      <c r="V72" s="72">
        <f ca="1">IF($A72="", "", IFERROR(IF('Personalized Bill Menu'!$B$23="ATCO-N", IF(OR('Personalized Bill Menu'!$B$21="Fort McMurray",AND('Personalized Bill Menu'!$B$21="Spruce Grove", $A72&lt;DATE(2019, 5, 1))),$T72*($G72+$H72+$J72),$T72*($H72+$J72)), IF('Personalized Bill Menu'!$B$23="ATCO-S",IF(OR('Personalized Bill Menu'!$B$21="Calgary",AND('Personalized Bill Menu'!$B$21="Okotoks", $A72&lt;DATE(2019, 1, 1))),$T72*($G72+$H72+$J72), $T72*($H72+$J72-$AG72)),IF(AND('Personalized Bill Menu'!$B$21="Athabasca", $A72&lt;DATE(2019, 5, 1)),$T72*($G72+$H72+$J72+$K72),$T72*($H72+$J72+$K72)))),0))</f>
        <v>3.7996415914031267</v>
      </c>
      <c r="W72" s="72">
        <f ca="1">IF($A72="", "", IFERROR(IF('Personalized Bill Menu'!$B$23="ATCO-N", $U72*($H72+$J72), IF('Personalized Bill Menu'!$B$23="ATCO-S",$U72*($H72+$J72),$U72*($G72+$H72+$J72+$K72))),0))</f>
        <v>0</v>
      </c>
      <c r="X72" s="89" t="str">
        <f ca="1">IF($A72="", "",IFERROR(IF(VLOOKUP($A72, INDIRECT("'" &amp; 'Personalized Bill Menu'!$B$23 &amp; "'!" &amp;"$A$4:$CA$100"), VLOOKUP(VLOOKUP("RIDER RATE 1",'Misc. Data &amp; Mechanisms'!$P$601:$S$632,HLOOKUP('Personalized Bill Menu'!$B$23, 'Misc. Data &amp; Mechanisms'!$P$599:$S$600, 2, FALSE), FALSE), 'Misc. Data &amp; Mechanisms'!$L$599:$N$659, 2, FALSE), FALSE) = "", "", VLOOKUP($A72, INDIRECT("'" &amp; 'Personalized Bill Menu'!$B$23 &amp; "'!" &amp;"$A$4:$CA$100"), VLOOKUP(VLOOKUP("RIDER RATE 1",'Misc. Data &amp; Mechanisms'!$P$601:$S$632,HLOOKUP('Personalized Bill Menu'!$B$23, 'Misc. Data &amp; Mechanisms'!$P$599:$S$600, 2, FALSE), FALSE), 'Misc. Data &amp; Mechanisms'!$L$599:$N$659, 2, FALSE), FALSE)), ""))</f>
        <v/>
      </c>
      <c r="Y72" s="69" t="str">
        <f ca="1">IF($A72="", "",IFERROR(IF(VLOOKUP($A72, INDIRECT("'" &amp; 'Personalized Bill Menu'!$B$23 &amp; "'!" &amp;"$A$4:$CA$100"), VLOOKUP(VLOOKUP("RIDER RATE 2",'Misc. Data &amp; Mechanisms'!$P$601:$S$632,HLOOKUP('Personalized Bill Menu'!$B$23, 'Misc. Data &amp; Mechanisms'!$P$599:$S$600, 2, FALSE), FALSE), 'Misc. Data &amp; Mechanisms'!$L$599:$N$659, 2, FALSE), FALSE) = "", "", VLOOKUP($A72, INDIRECT("'" &amp; 'Personalized Bill Menu'!$B$23 &amp; "'!" &amp;"$A$4:$CA$100"), VLOOKUP(VLOOKUP("RIDER RATE 2",'Misc. Data &amp; Mechanisms'!$P$601:$S$632,HLOOKUP('Personalized Bill Menu'!$B$23, 'Misc. Data &amp; Mechanisms'!$P$599:$S$600, 2, FALSE), FALSE), 'Misc. Data &amp; Mechanisms'!$L$599:$N$659, 2, FALSE), FALSE)), ""))</f>
        <v/>
      </c>
      <c r="Z72" s="69" t="str">
        <f ca="1">IF($A72="", "",IFERROR(IF(VLOOKUP($A72, INDIRECT("'" &amp; 'Personalized Bill Menu'!$B$23 &amp; "'!" &amp;"$A$4:$CA$100"), VLOOKUP(VLOOKUP("RIDER RATE 3",'Misc. Data &amp; Mechanisms'!$P$601:$S$632,HLOOKUP('Personalized Bill Menu'!$B$23, 'Misc. Data &amp; Mechanisms'!$P$599:$S$600, 2, FALSE), FALSE), 'Misc. Data &amp; Mechanisms'!$L$599:$N$659, 2, FALSE), FALSE) = "", "", VLOOKUP($A72, INDIRECT("'" &amp; 'Personalized Bill Menu'!$B$23 &amp; "'!" &amp;"$A$4:$CA$100"), VLOOKUP(VLOOKUP("RIDER RATE 3",'Misc. Data &amp; Mechanisms'!$P$601:$S$632,HLOOKUP('Personalized Bill Menu'!$B$23, 'Misc. Data &amp; Mechanisms'!$P$599:$S$600, 2, FALSE), FALSE), 'Misc. Data &amp; Mechanisms'!$L$599:$N$659, 2, FALSE), FALSE)), ""))</f>
        <v/>
      </c>
      <c r="AA72" s="69" t="str">
        <f ca="1">IF($A72="", "",IFERROR(IF(VLOOKUP($A72, INDIRECT("'" &amp; 'Personalized Bill Menu'!$B$23 &amp; "'!" &amp;"$A$4:$CA$100"), VLOOKUP(VLOOKUP("RIDER RATE 4",'Misc. Data &amp; Mechanisms'!$P$601:$S$632,HLOOKUP('Personalized Bill Menu'!$B$23, 'Misc. Data &amp; Mechanisms'!$P$599:$S$600, 2, FALSE), FALSE), 'Misc. Data &amp; Mechanisms'!$L$599:$N$659, 2, FALSE), FALSE) = "", "", VLOOKUP($A72, INDIRECT("'" &amp; 'Personalized Bill Menu'!$B$23 &amp; "'!" &amp;"$A$4:$CA$100"), VLOOKUP(VLOOKUP("RIDER RATE 4",'Misc. Data &amp; Mechanisms'!$P$601:$S$632,HLOOKUP('Personalized Bill Menu'!$B$23, 'Misc. Data &amp; Mechanisms'!$P$599:$S$600, 2, FALSE), FALSE), 'Misc. Data &amp; Mechanisms'!$L$599:$N$659, 2, FALSE), FALSE)), ""))</f>
        <v/>
      </c>
      <c r="AB72" s="69">
        <f ca="1">IF($A72="", "",IFERROR(IF(VLOOKUP($A72, INDIRECT("'" &amp; 'Personalized Bill Menu'!$B$23 &amp; "'!" &amp;"$A$4:$CA$100"), VLOOKUP(VLOOKUP("RIDER RATE 5",'Misc. Data &amp; Mechanisms'!$P$601:$S$632,HLOOKUP('Personalized Bill Menu'!$B$23, 'Misc. Data &amp; Mechanisms'!$P$599:$S$600, 2, FALSE), FALSE), 'Misc. Data &amp; Mechanisms'!$L$599:$N$659, 2, FALSE), FALSE) = "", "", VLOOKUP($A72, INDIRECT("'" &amp; 'Personalized Bill Menu'!$B$23 &amp; "'!" &amp;"$A$4:$CA$100"), VLOOKUP(VLOOKUP("RIDER RATE 5",'Misc. Data &amp; Mechanisms'!$P$601:$S$632,HLOOKUP('Personalized Bill Menu'!$B$23, 'Misc. Data &amp; Mechanisms'!$P$599:$S$600, 2, FALSE), FALSE), 'Misc. Data &amp; Mechanisms'!$L$599:$N$659, 2, FALSE), FALSE)), ""))</f>
        <v>0.92500000000000004</v>
      </c>
      <c r="AC72" s="69" t="str">
        <f ca="1">IF($A72="", "",IFERROR(IF(VLOOKUP($A72, INDIRECT("'" &amp; 'Personalized Bill Menu'!$B$23 &amp; "'!" &amp;"$A$4:$CA$100"), VLOOKUP(VLOOKUP("RIDER RATE 6",'Misc. Data &amp; Mechanisms'!$P$601:$S$632,HLOOKUP('Personalized Bill Menu'!$B$23, 'Misc. Data &amp; Mechanisms'!$P$599:$S$600, 2, FALSE), FALSE), 'Misc. Data &amp; Mechanisms'!$L$599:$N$659, 2, FALSE), FALSE) = "", "", VLOOKUP($A72, INDIRECT("'" &amp; 'Personalized Bill Menu'!$B$23 &amp; "'!" &amp;"$A$4:$CA$100"), VLOOKUP(VLOOKUP("RIDER RATE 6",'Misc. Data &amp; Mechanisms'!$P$601:$S$632,HLOOKUP('Personalized Bill Menu'!$B$23, 'Misc. Data &amp; Mechanisms'!$P$599:$S$600, 2, FALSE), FALSE), 'Misc. Data &amp; Mechanisms'!$L$599:$N$659, 2, FALSE), FALSE)), ""))</f>
        <v/>
      </c>
      <c r="AD72" s="69">
        <f ca="1">IF($A72="", "",IFERROR(IF(VLOOKUP($A72, INDIRECT("'" &amp; 'Personalized Bill Menu'!$B$23 &amp; "'!" &amp;"$A$4:$CA$100"), VLOOKUP(VLOOKUP("RIDER RATE 7",'Misc. Data &amp; Mechanisms'!$P$601:$S$632,HLOOKUP('Personalized Bill Menu'!$B$23, 'Misc. Data &amp; Mechanisms'!$P$599:$S$600, 2, FALSE), FALSE), 'Misc. Data &amp; Mechanisms'!$L$599:$N$659, 2, FALSE), FALSE) = "", "", VLOOKUP($A72, INDIRECT("'" &amp; 'Personalized Bill Menu'!$B$23 &amp; "'!" &amp;"$A$4:$CA$100"), VLOOKUP(VLOOKUP("RIDER RATE 7",'Misc. Data &amp; Mechanisms'!$P$601:$S$632,HLOOKUP('Personalized Bill Menu'!$B$23, 'Misc. Data &amp; Mechanisms'!$P$599:$S$600, 2, FALSE), FALSE), 'Misc. Data &amp; Mechanisms'!$L$599:$N$659, 2, FALSE), FALSE)), ""))</f>
        <v>1.222</v>
      </c>
      <c r="AE72" s="69">
        <f ca="1">IF($A72="", "",IFERROR(IF(VLOOKUP($A72, INDIRECT("'" &amp; 'Personalized Bill Menu'!$B$23 &amp; "'!" &amp;"$A$4:$CA$100"), VLOOKUP(VLOOKUP("RIDER RATE 8",'Misc. Data &amp; Mechanisms'!$P$601:$S$632,HLOOKUP('Personalized Bill Menu'!$B$23, 'Misc. Data &amp; Mechanisms'!$P$599:$S$600, 2, FALSE), FALSE), 'Misc. Data &amp; Mechanisms'!$L$599:$N$659, 2, FALSE), FALSE) = "", "", VLOOKUP($A72, INDIRECT("'" &amp; 'Personalized Bill Menu'!$B$23 &amp; "'!" &amp;"$A$4:$CA$100"), VLOOKUP(VLOOKUP("RIDER RATE 8",'Misc. Data &amp; Mechanisms'!$P$601:$S$632,HLOOKUP('Personalized Bill Menu'!$B$23, 'Misc. Data &amp; Mechanisms'!$P$599:$S$600, 2, FALSE), FALSE), 'Misc. Data &amp; Mechanisms'!$L$599:$N$659, 2, FALSE), FALSE)), ""))</f>
        <v>-2.4E-2</v>
      </c>
      <c r="AF72" s="69" t="str">
        <f ca="1">IF($A72="", "",IFERROR(IF(VLOOKUP($A72, INDIRECT("'" &amp; 'Personalized Bill Menu'!$B$23 &amp; "'!" &amp;"$A$4:$CA$100"), VLOOKUP(VLOOKUP("RIDER RATE 9",'Misc. Data &amp; Mechanisms'!$P$601:$S$632,HLOOKUP('Personalized Bill Menu'!$B$23, 'Misc. Data &amp; Mechanisms'!$P$599:$S$600, 2, FALSE), FALSE), 'Misc. Data &amp; Mechanisms'!$L$599:$N$659, 2, FALSE), FALSE) = "", "", VLOOKUP($A72, INDIRECT("'" &amp; 'Personalized Bill Menu'!$B$23 &amp; "'!" &amp;"$A$4:$CA$100"), VLOOKUP(VLOOKUP("RIDER RATE 9",'Misc. Data &amp; Mechanisms'!$P$601:$S$632,HLOOKUP('Personalized Bill Menu'!$B$23, 'Misc. Data &amp; Mechanisms'!$P$599:$S$600, 2, FALSE), FALSE), 'Misc. Data &amp; Mechanisms'!$L$599:$N$659, 2, FALSE), FALSE)), ""))</f>
        <v/>
      </c>
      <c r="AG72" s="72">
        <f ca="1">IF($A72="", "", IFERROR(IF('Personalized Bill Menu'!$B$23="ATCO-N", ($X72*$B72) +($Y72*$C72), IF('Personalized Bill Menu'!$B$23="ATCO-S",$X72*$C72, IF($Y72="", ($X72*$H72), ($Y72*($H72+$K72))))), 0))</f>
        <v>0</v>
      </c>
      <c r="AH72" s="72">
        <f ca="1">IF($A72="", "", IFERROR(IF('Personalized Bill Menu'!$B$23="ATCO-S", $Y72*$C72, $Z72*$C72), 0))</f>
        <v>0</v>
      </c>
      <c r="AI72" s="72">
        <f ca="1">IF($A72="", "", IFERROR(IF('Personalized Bill Menu'!$B$23="ATCO-S", ($AA72*$C72)+($Z72*$B72), $AA72*$C72), 0))</f>
        <v>0</v>
      </c>
      <c r="AJ72" s="72">
        <f ca="1">IF($A72="", "", IFERROR(IF('Personalized Bill Menu'!$B$23&lt;&gt;"AltaGas",$AB72*$C72,""),0))</f>
        <v>2.8093660709398769</v>
      </c>
      <c r="AK72" s="72">
        <f ca="1">IF($A72="", "", IFERROR(IF('Personalized Bill Menu'!$B$23="ATCO-S",$AC72*$C72,IF('Personalized Bill Menu'!$B$23="ATCO-N",$AC72*1,"")),0))</f>
        <v>0</v>
      </c>
      <c r="AL72" s="72">
        <f ca="1">IF($A72="", "", IFERROR(IF('Personalized Bill Menu'!$B$23="ATCO-N",$AD72*$B72,IF('Personalized Bill Menu'!$B$23="ATCO-S",$AD72*1,"")),0))</f>
        <v>1.222</v>
      </c>
      <c r="AM72" s="72">
        <f ca="1">IF($A72="", "", IFERROR(IF('Personalized Bill Menu'!$B$23="ATCO-S",$AE72*$B72,IF('Personalized Bill Menu'!$B$23="ATCO-N",$AE72*$B72,"")),0))</f>
        <v>-0.72</v>
      </c>
      <c r="AN72" s="70">
        <f ca="1">IF($A72="", "", IFERROR(IF('Personalized Bill Menu'!$B$23="ATCO-S",$AF72*$B72,""),0))</f>
        <v>0</v>
      </c>
      <c r="AO72" s="69">
        <f>IF('Personalized Bill Menu'!$B$34="Natural Gas", 'Personalized Bill Menu'!$K69, IF('Personalized Bill Menu'!$B$34="Both",'Personalized Bill Menu'!$O69,""))</f>
        <v>0.249</v>
      </c>
      <c r="AP72" s="72">
        <f t="shared" ref="AP72:AP96" si="28">IF($A72="", "", IFERROR($AO72*$B72,0))</f>
        <v>7.47</v>
      </c>
      <c r="AQ72" s="89">
        <f ca="1">IF($A72="", "",IF(VLOOKUP($A72, INDIRECT("'" &amp; 'Personalized Bill Menu'!$B$23 &amp; "'!" &amp;"$A$4:$CA$100"), VLOOKUP(VLOOKUP(AQ$5,'Misc. Data &amp; Mechanisms'!$P$601:$S$632,HLOOKUP('Personalized Bill Menu'!$B$23, 'Misc. Data &amp; Mechanisms'!$P$599:$S$600, 2, FALSE), FALSE), 'Misc. Data &amp; Mechanisms'!$L$599:$N$659, 2, FALSE), FALSE) = "", "", VLOOKUP($A72, INDIRECT("'" &amp; 'Personalized Bill Menu'!$B$23 &amp; "'!" &amp;"$A$4:$CA$100"), VLOOKUP(VLOOKUP(AQ$5,'Misc. Data &amp; Mechanisms'!$P$601:$S$632,HLOOKUP('Personalized Bill Menu'!$B$23, 'Misc. Data &amp; Mechanisms'!$P$599:$S$600, 2, FALSE), FALSE), 'Misc. Data &amp; Mechanisms'!$L$599:$N$659, 2, FALSE), FALSE)))</f>
        <v>1.0109999999999999</v>
      </c>
      <c r="AR72" s="72">
        <f t="shared" ref="AR72:AR96" ca="1" si="29">IF($A72="", "", IFERROR($AQ72*$C72,0))</f>
        <v>3.0705611867245568</v>
      </c>
      <c r="AS72" s="91">
        <f ca="1">IF($A72="", "",IF(VLOOKUP($A72, INDIRECT("'" &amp; 'Personalized Bill Menu'!$B$23 &amp; "'!" &amp;"$A$4:$CA$100"), VLOOKUP(VLOOKUP(AS$5,'Misc. Data &amp; Mechanisms'!$P$601:$S$632,HLOOKUP('Personalized Bill Menu'!$B$23, 'Misc. Data &amp; Mechanisms'!$P$599:$S$600, 2, FALSE), FALSE), 'Misc. Data &amp; Mechanisms'!$L$599:$N$659, 2, FALSE), FALSE) = "", "", VLOOKUP($A72, INDIRECT("'" &amp; 'Personalized Bill Menu'!$B$23 &amp; "'!" &amp;"$A$4:$CA$100"), VLOOKUP(VLOOKUP(AS$5,'Misc. Data &amp; Mechanisms'!$P$601:$S$632,HLOOKUP('Personalized Bill Menu'!$B$23, 'Misc. Data &amp; Mechanisms'!$P$599:$S$600, 2, FALSE), FALSE), 'Misc. Data &amp; Mechanisms'!$L$599:$N$659, 2, FALSE), FALSE)))</f>
        <v>0.05</v>
      </c>
    </row>
    <row r="73" spans="1:45" x14ac:dyDescent="0.3">
      <c r="A73" s="83">
        <f>'Personalized Bill Menu'!$H70</f>
        <v>42917</v>
      </c>
      <c r="B73" s="84">
        <f t="shared" si="19"/>
        <v>31</v>
      </c>
      <c r="C73" s="85">
        <f>IF('Personalized Bill Menu'!$B$34="Natural Gas", 'Personalized Bill Menu'!$I70, IF('Personalized Bill Menu'!$B$34="Both",'Personalized Bill Menu'!$M70,""))</f>
        <v>2.582040039601218</v>
      </c>
      <c r="D73" s="66">
        <f t="shared" ca="1" si="20"/>
        <v>20.425444413896301</v>
      </c>
      <c r="E73" s="66">
        <f ca="1">IF($C73="Not Applicable", "", IFERROR(IFERROR((1+$AS73)*IF('Personalized Bill Menu'!$B$23="ATCO-N", IF(OR('Personalized Bill Menu'!$B$21="Fort McMurray",AND('Personalized Bill Menu'!$B$21="Spruce Grove", $A73&lt;DATE(2019, 5, 1) )),(((1+IF($T73="",0,$T73))*($N73+$P73))+ (IF($U73="", 0, $U73)*$P73)+(1+IF($T73="",0,$T73)+IF($U73="", 0, $U73))*(SUM($Y73:$AB73))),($N73+((1+IF($T73="",0,$T73)+IF($U73="", 0, $U73))*$P73)+(1+IF($T73="",0,$T73)+IF($U73="", 0, $U73))*(SUM($Y73:$AB73)))), IF('Personalized Bill Menu'!$B$23="ATCO-S",IF(OR('Personalized Bill Menu'!$B$21="Calgary",AND('Personalized Bill Menu'!$B$21="Okotoks", $A73&lt;DATE(2019, 1, 1))),((1+IF($T73="",0,$T73))*($N73+$P73+SUM($X73:$Y73,$AA73:$AC73)))+(IF($U73="",0, $U73)*($P73+SUM($X73:$Y73,$AA73:$AC73))), ((1+IF($T73="",0,$T73))*($P73+SUM($Y73,$AA73:$AC73)))+(IF($U73="",0, $U73)*($P73+SUM($X73:$Y73,$AA73:$AC73)))+$N73+IF($X73="", 0, $X73)),IF(AND('Personalized Bill Menu'!$B$21="Athabasca", $A73&lt;DATE(2019, 5, 1)),((1+IF($T73="",0,$T73)+IF($U73="", 0, $U73))*($N73+((1+SUM($X73:$Y73))*$P73)+SUM($Z73:$AA73))),((1+IF($U73="", 0, $U73))*($N73+((1+SUM($X73:$Y73))*$P73)+SUM($Z73:$AA73))) + (IF($T73="",0,$T73)*(((1+SUM($X73:$Y73))*$P73)+SUM($Z73:$AA73)))))), "")+ IF($AQ73="", 0,((1+$AS73)*$AQ73)), ""))</f>
        <v>5.2066752150000006</v>
      </c>
      <c r="F73" s="118">
        <f t="shared" ca="1" si="21"/>
        <v>52.739315303329278</v>
      </c>
      <c r="G73" s="115">
        <f t="shared" si="15"/>
        <v>4.7044769521534189</v>
      </c>
      <c r="H73" s="66">
        <f t="shared" ca="1" si="16"/>
        <v>27.594124271918581</v>
      </c>
      <c r="I73" s="66">
        <f t="shared" ca="1" si="17"/>
        <v>3.9894885957641173</v>
      </c>
      <c r="J73" s="66">
        <f t="shared" ca="1" si="22"/>
        <v>3.6103870366311268</v>
      </c>
      <c r="K73" s="66">
        <f t="shared" si="18"/>
        <v>7.7190000000000003</v>
      </c>
      <c r="L73" s="66">
        <f t="shared" ca="1" si="23"/>
        <v>2.6104424800368311</v>
      </c>
      <c r="M73" s="68">
        <f t="shared" ca="1" si="24"/>
        <v>2.5113959668252037</v>
      </c>
      <c r="N73" s="1290">
        <f>IF('Personalized Bill Menu'!$B$34="Natural Gas", 'Personalized Bill Menu'!$J70, IF('Personalized Bill Menu'!$B$34="Both",'Personalized Bill Menu'!$N70,""))</f>
        <v>1.8220000000000001</v>
      </c>
      <c r="O73" s="70">
        <f t="shared" si="25"/>
        <v>4.7044769521534189</v>
      </c>
      <c r="P73" s="89">
        <f ca="1">IF($A73="", "",IFERROR(IF(VLOOKUP($A73, INDIRECT("'" &amp; 'Personalized Bill Menu'!$B$23 &amp; "'!" &amp;"$A$4:$CA$100"), VLOOKUP(VLOOKUP(P$5,'Misc. Data &amp; Mechanisms'!$P$601:$S$632,HLOOKUP('Personalized Bill Menu'!$B$23, 'Misc. Data &amp; Mechanisms'!$P$599:$S$600, 2, FALSE), FALSE), 'Misc. Data &amp; Mechanisms'!$L$599:$N$659, 2, FALSE), FALSE) = "", "", VLOOKUP($A73, INDIRECT("'" &amp; 'Personalized Bill Menu'!$B$23 &amp; "'!" &amp;"$A$4:$CA$100"), VLOOKUP(VLOOKUP(P$5,'Misc. Data &amp; Mechanisms'!$P$601:$S$632,HLOOKUP('Personalized Bill Menu'!$B$23, 'Misc. Data &amp; Mechanisms'!$P$599:$S$600, 2, FALSE), FALSE), 'Misc. Data &amp; Mechanisms'!$L$599:$N$659, 2, FALSE), FALSE)), ""))</f>
        <v>0.80600000000000005</v>
      </c>
      <c r="Q73" s="69">
        <f ca="1">IF($A73="", "",IFERROR(IF(VLOOKUP($A73, INDIRECT("'" &amp; 'Personalized Bill Menu'!$B$23 &amp; "'!" &amp;"$A$4:$CA$100"), VLOOKUP(VLOOKUP(Q$5,'Misc. Data &amp; Mechanisms'!$P$601:$S$632,HLOOKUP('Personalized Bill Menu'!$B$23, 'Misc. Data &amp; Mechanisms'!$P$599:$S$600, 2, FALSE), FALSE), 'Misc. Data &amp; Mechanisms'!$L$599:$N$659, 2, FALSE), FALSE) = "", "", VLOOKUP($A73, INDIRECT("'" &amp; 'Personalized Bill Menu'!$B$23 &amp; "'!" &amp;"$A$4:$CA$100"), VLOOKUP(VLOOKUP(Q$5,'Misc. Data &amp; Mechanisms'!$P$601:$S$632,HLOOKUP('Personalized Bill Menu'!$B$23, 'Misc. Data &amp; Mechanisms'!$P$599:$S$600, 2, FALSE), FALSE), 'Misc. Data &amp; Mechanisms'!$L$599:$N$659, 2, FALSE), FALSE)), ""))</f>
        <v>0.82299999999999995</v>
      </c>
      <c r="R73" s="72">
        <f t="shared" ca="1" si="26"/>
        <v>2.0811242719185818</v>
      </c>
      <c r="S73" s="70">
        <f t="shared" ca="1" si="27"/>
        <v>25.512999999999998</v>
      </c>
      <c r="T73" s="78">
        <f>IFERROR(IF(VLOOKUP($A73,'Misc. Data &amp; Mechanisms'!$A$63:$DY$152,HLOOKUP('Personalized Bill Menu'!$B$21&amp;"_"&amp;'Personalized Bill Menu'!$B$23&amp;"_NG_Y_1",'Misc. Data &amp; Mechanisms'!$A$55:$DY$62,8,FALSE), FALSE)="", "", VLOOKUP($A73,'Misc. Data &amp; Mechanisms'!$A$63:$DY$152,HLOOKUP('Personalized Bill Menu'!$B$21&amp;"_"&amp;'Personalized Bill Menu'!$B$23&amp;"_NG_Y_1",'Misc. Data &amp; Mechanisms'!$A$55:$DY$62,8,FALSE), FALSE)), "")</f>
        <v>0.1111</v>
      </c>
      <c r="U73" s="78" t="str">
        <f>IFERROR(IF(VLOOKUP($A73,'Misc. Data &amp; Mechanisms'!$A$63:$DY$152,HLOOKUP('Personalized Bill Menu'!$B$21&amp;"_"&amp;'Personalized Bill Menu'!$B$23&amp;"_NG_Y_2",'Misc. Data &amp; Mechanisms'!$A$55:$DY$62,8,FALSE), FALSE)="", "",VLOOKUP($A73,'Misc. Data &amp; Mechanisms'!$A$63:$DY$152,HLOOKUP('Personalized Bill Menu'!$B$21&amp;"_"&amp;'Personalized Bill Menu'!$B$23&amp;"_NG_Y_2",'Misc. Data &amp; Mechanisms'!$A$55:$DY$62,8,FALSE), FALSE)), "")</f>
        <v/>
      </c>
      <c r="V73" s="72">
        <f ca="1">IF($A73="", "", IFERROR(IF('Personalized Bill Menu'!$B$23="ATCO-N", IF(OR('Personalized Bill Menu'!$B$21="Fort McMurray",AND('Personalized Bill Menu'!$B$21="Spruce Grove", $A73&lt;DATE(2019, 5, 1))),$T73*($G73+$H73+$J73),$T73*($H73+$J73)), IF('Personalized Bill Menu'!$B$23="ATCO-S",IF(OR('Personalized Bill Menu'!$B$21="Calgary",AND('Personalized Bill Menu'!$B$21="Okotoks", $A73&lt;DATE(2019, 1, 1))),$T73*($G73+$H73+$J73), $T73*($H73+$J73-$AG73)),IF(AND('Personalized Bill Menu'!$B$21="Athabasca", $A73&lt;DATE(2019, 5, 1)),$T73*($G73+$H73+$J73+$K73),$T73*($H73+$J73+$K73)))),0))</f>
        <v>3.9894885957641173</v>
      </c>
      <c r="W73" s="72">
        <f ca="1">IF($A73="", "", IFERROR(IF('Personalized Bill Menu'!$B$23="ATCO-N", $U73*($H73+$J73), IF('Personalized Bill Menu'!$B$23="ATCO-S",$U73*($H73+$J73),$U73*($G73+$H73+$J73+$K73))),0))</f>
        <v>0</v>
      </c>
      <c r="X73" s="89" t="str">
        <f ca="1">IF($A73="", "",IFERROR(IF(VLOOKUP($A73, INDIRECT("'" &amp; 'Personalized Bill Menu'!$B$23 &amp; "'!" &amp;"$A$4:$CA$100"), VLOOKUP(VLOOKUP("RIDER RATE 1",'Misc. Data &amp; Mechanisms'!$P$601:$S$632,HLOOKUP('Personalized Bill Menu'!$B$23, 'Misc. Data &amp; Mechanisms'!$P$599:$S$600, 2, FALSE), FALSE), 'Misc. Data &amp; Mechanisms'!$L$599:$N$659, 2, FALSE), FALSE) = "", "", VLOOKUP($A73, INDIRECT("'" &amp; 'Personalized Bill Menu'!$B$23 &amp; "'!" &amp;"$A$4:$CA$100"), VLOOKUP(VLOOKUP("RIDER RATE 1",'Misc. Data &amp; Mechanisms'!$P$601:$S$632,HLOOKUP('Personalized Bill Menu'!$B$23, 'Misc. Data &amp; Mechanisms'!$P$599:$S$600, 2, FALSE), FALSE), 'Misc. Data &amp; Mechanisms'!$L$599:$N$659, 2, FALSE), FALSE)), ""))</f>
        <v/>
      </c>
      <c r="Y73" s="69" t="str">
        <f ca="1">IF($A73="", "",IFERROR(IF(VLOOKUP($A73, INDIRECT("'" &amp; 'Personalized Bill Menu'!$B$23 &amp; "'!" &amp;"$A$4:$CA$100"), VLOOKUP(VLOOKUP("RIDER RATE 2",'Misc. Data &amp; Mechanisms'!$P$601:$S$632,HLOOKUP('Personalized Bill Menu'!$B$23, 'Misc. Data &amp; Mechanisms'!$P$599:$S$600, 2, FALSE), FALSE), 'Misc. Data &amp; Mechanisms'!$L$599:$N$659, 2, FALSE), FALSE) = "", "", VLOOKUP($A73, INDIRECT("'" &amp; 'Personalized Bill Menu'!$B$23 &amp; "'!" &amp;"$A$4:$CA$100"), VLOOKUP(VLOOKUP("RIDER RATE 2",'Misc. Data &amp; Mechanisms'!$P$601:$S$632,HLOOKUP('Personalized Bill Menu'!$B$23, 'Misc. Data &amp; Mechanisms'!$P$599:$S$600, 2, FALSE), FALSE), 'Misc. Data &amp; Mechanisms'!$L$599:$N$659, 2, FALSE), FALSE)), ""))</f>
        <v/>
      </c>
      <c r="Z73" s="69" t="str">
        <f ca="1">IF($A73="", "",IFERROR(IF(VLOOKUP($A73, INDIRECT("'" &amp; 'Personalized Bill Menu'!$B$23 &amp; "'!" &amp;"$A$4:$CA$100"), VLOOKUP(VLOOKUP("RIDER RATE 3",'Misc. Data &amp; Mechanisms'!$P$601:$S$632,HLOOKUP('Personalized Bill Menu'!$B$23, 'Misc. Data &amp; Mechanisms'!$P$599:$S$600, 2, FALSE), FALSE), 'Misc. Data &amp; Mechanisms'!$L$599:$N$659, 2, FALSE), FALSE) = "", "", VLOOKUP($A73, INDIRECT("'" &amp; 'Personalized Bill Menu'!$B$23 &amp; "'!" &amp;"$A$4:$CA$100"), VLOOKUP(VLOOKUP("RIDER RATE 3",'Misc. Data &amp; Mechanisms'!$P$601:$S$632,HLOOKUP('Personalized Bill Menu'!$B$23, 'Misc. Data &amp; Mechanisms'!$P$599:$S$600, 2, FALSE), FALSE), 'Misc. Data &amp; Mechanisms'!$L$599:$N$659, 2, FALSE), FALSE)), ""))</f>
        <v/>
      </c>
      <c r="AA73" s="69" t="str">
        <f ca="1">IF($A73="", "",IFERROR(IF(VLOOKUP($A73, INDIRECT("'" &amp; 'Personalized Bill Menu'!$B$23 &amp; "'!" &amp;"$A$4:$CA$100"), VLOOKUP(VLOOKUP("RIDER RATE 4",'Misc. Data &amp; Mechanisms'!$P$601:$S$632,HLOOKUP('Personalized Bill Menu'!$B$23, 'Misc. Data &amp; Mechanisms'!$P$599:$S$600, 2, FALSE), FALSE), 'Misc. Data &amp; Mechanisms'!$L$599:$N$659, 2, FALSE), FALSE) = "", "", VLOOKUP($A73, INDIRECT("'" &amp; 'Personalized Bill Menu'!$B$23 &amp; "'!" &amp;"$A$4:$CA$100"), VLOOKUP(VLOOKUP("RIDER RATE 4",'Misc. Data &amp; Mechanisms'!$P$601:$S$632,HLOOKUP('Personalized Bill Menu'!$B$23, 'Misc. Data &amp; Mechanisms'!$P$599:$S$600, 2, FALSE), FALSE), 'Misc. Data &amp; Mechanisms'!$L$599:$N$659, 2, FALSE), FALSE)), ""))</f>
        <v/>
      </c>
      <c r="AB73" s="69">
        <f ca="1">IF($A73="", "",IFERROR(IF(VLOOKUP($A73, INDIRECT("'" &amp; 'Personalized Bill Menu'!$B$23 &amp; "'!" &amp;"$A$4:$CA$100"), VLOOKUP(VLOOKUP("RIDER RATE 5",'Misc. Data &amp; Mechanisms'!$P$601:$S$632,HLOOKUP('Personalized Bill Menu'!$B$23, 'Misc. Data &amp; Mechanisms'!$P$599:$S$600, 2, FALSE), FALSE), 'Misc. Data &amp; Mechanisms'!$L$599:$N$659, 2, FALSE), FALSE) = "", "", VLOOKUP($A73, INDIRECT("'" &amp; 'Personalized Bill Menu'!$B$23 &amp; "'!" &amp;"$A$4:$CA$100"), VLOOKUP(VLOOKUP("RIDER RATE 5",'Misc. Data &amp; Mechanisms'!$P$601:$S$632,HLOOKUP('Personalized Bill Menu'!$B$23, 'Misc. Data &amp; Mechanisms'!$P$599:$S$600, 2, FALSE), FALSE), 'Misc. Data &amp; Mechanisms'!$L$599:$N$659, 2, FALSE), FALSE)), ""))</f>
        <v>0.92500000000000004</v>
      </c>
      <c r="AC73" s="69" t="str">
        <f ca="1">IF($A73="", "",IFERROR(IF(VLOOKUP($A73, INDIRECT("'" &amp; 'Personalized Bill Menu'!$B$23 &amp; "'!" &amp;"$A$4:$CA$100"), VLOOKUP(VLOOKUP("RIDER RATE 6",'Misc. Data &amp; Mechanisms'!$P$601:$S$632,HLOOKUP('Personalized Bill Menu'!$B$23, 'Misc. Data &amp; Mechanisms'!$P$599:$S$600, 2, FALSE), FALSE), 'Misc. Data &amp; Mechanisms'!$L$599:$N$659, 2, FALSE), FALSE) = "", "", VLOOKUP($A73, INDIRECT("'" &amp; 'Personalized Bill Menu'!$B$23 &amp; "'!" &amp;"$A$4:$CA$100"), VLOOKUP(VLOOKUP("RIDER RATE 6",'Misc. Data &amp; Mechanisms'!$P$601:$S$632,HLOOKUP('Personalized Bill Menu'!$B$23, 'Misc. Data &amp; Mechanisms'!$P$599:$S$600, 2, FALSE), FALSE), 'Misc. Data &amp; Mechanisms'!$L$599:$N$659, 2, FALSE), FALSE)), ""))</f>
        <v/>
      </c>
      <c r="AD73" s="69">
        <f ca="1">IF($A73="", "",IFERROR(IF(VLOOKUP($A73, INDIRECT("'" &amp; 'Personalized Bill Menu'!$B$23 &amp; "'!" &amp;"$A$4:$CA$100"), VLOOKUP(VLOOKUP("RIDER RATE 7",'Misc. Data &amp; Mechanisms'!$P$601:$S$632,HLOOKUP('Personalized Bill Menu'!$B$23, 'Misc. Data &amp; Mechanisms'!$P$599:$S$600, 2, FALSE), FALSE), 'Misc. Data &amp; Mechanisms'!$L$599:$N$659, 2, FALSE), FALSE) = "", "", VLOOKUP($A73, INDIRECT("'" &amp; 'Personalized Bill Menu'!$B$23 &amp; "'!" &amp;"$A$4:$CA$100"), VLOOKUP(VLOOKUP("RIDER RATE 7",'Misc. Data &amp; Mechanisms'!$P$601:$S$632,HLOOKUP('Personalized Bill Menu'!$B$23, 'Misc. Data &amp; Mechanisms'!$P$599:$S$600, 2, FALSE), FALSE), 'Misc. Data &amp; Mechanisms'!$L$599:$N$659, 2, FALSE), FALSE)), ""))</f>
        <v>1.222</v>
      </c>
      <c r="AE73" s="69" t="str">
        <f ca="1">IF($A73="", "",IFERROR(IF(VLOOKUP($A73, INDIRECT("'" &amp; 'Personalized Bill Menu'!$B$23 &amp; "'!" &amp;"$A$4:$CA$100"), VLOOKUP(VLOOKUP("RIDER RATE 8",'Misc. Data &amp; Mechanisms'!$P$601:$S$632,HLOOKUP('Personalized Bill Menu'!$B$23, 'Misc. Data &amp; Mechanisms'!$P$599:$S$600, 2, FALSE), FALSE), 'Misc. Data &amp; Mechanisms'!$L$599:$N$659, 2, FALSE), FALSE) = "", "", VLOOKUP($A73, INDIRECT("'" &amp; 'Personalized Bill Menu'!$B$23 &amp; "'!" &amp;"$A$4:$CA$100"), VLOOKUP(VLOOKUP("RIDER RATE 8",'Misc. Data &amp; Mechanisms'!$P$601:$S$632,HLOOKUP('Personalized Bill Menu'!$B$23, 'Misc. Data &amp; Mechanisms'!$P$599:$S$600, 2, FALSE), FALSE), 'Misc. Data &amp; Mechanisms'!$L$599:$N$659, 2, FALSE), FALSE)), ""))</f>
        <v/>
      </c>
      <c r="AF73" s="69" t="str">
        <f ca="1">IF($A73="", "",IFERROR(IF(VLOOKUP($A73, INDIRECT("'" &amp; 'Personalized Bill Menu'!$B$23 &amp; "'!" &amp;"$A$4:$CA$100"), VLOOKUP(VLOOKUP("RIDER RATE 9",'Misc. Data &amp; Mechanisms'!$P$601:$S$632,HLOOKUP('Personalized Bill Menu'!$B$23, 'Misc. Data &amp; Mechanisms'!$P$599:$S$600, 2, FALSE), FALSE), 'Misc. Data &amp; Mechanisms'!$L$599:$N$659, 2, FALSE), FALSE) = "", "", VLOOKUP($A73, INDIRECT("'" &amp; 'Personalized Bill Menu'!$B$23 &amp; "'!" &amp;"$A$4:$CA$100"), VLOOKUP(VLOOKUP("RIDER RATE 9",'Misc. Data &amp; Mechanisms'!$P$601:$S$632,HLOOKUP('Personalized Bill Menu'!$B$23, 'Misc. Data &amp; Mechanisms'!$P$599:$S$600, 2, FALSE), FALSE), 'Misc. Data &amp; Mechanisms'!$L$599:$N$659, 2, FALSE), FALSE)), ""))</f>
        <v/>
      </c>
      <c r="AG73" s="72">
        <f ca="1">IF($A73="", "", IFERROR(IF('Personalized Bill Menu'!$B$23="ATCO-N", ($X73*$B73) +($Y73*$C73), IF('Personalized Bill Menu'!$B$23="ATCO-S",$X73*$C73, IF($Y73="", ($X73*$H73), ($Y73*($H73+$K73))))), 0))</f>
        <v>0</v>
      </c>
      <c r="AH73" s="72">
        <f ca="1">IF($A73="", "", IFERROR(IF('Personalized Bill Menu'!$B$23="ATCO-S", $Y73*$C73, $Z73*$C73), 0))</f>
        <v>0</v>
      </c>
      <c r="AI73" s="72">
        <f ca="1">IF($A73="", "", IFERROR(IF('Personalized Bill Menu'!$B$23="ATCO-S", ($AA73*$C73)+($Z73*$B73), $AA73*$C73), 0))</f>
        <v>0</v>
      </c>
      <c r="AJ73" s="72">
        <f ca="1">IF($A73="", "", IFERROR(IF('Personalized Bill Menu'!$B$23&lt;&gt;"AltaGas",$AB73*$C73,""),0))</f>
        <v>2.3883870366311268</v>
      </c>
      <c r="AK73" s="72">
        <f ca="1">IF($A73="", "", IFERROR(IF('Personalized Bill Menu'!$B$23="ATCO-S",$AC73*$C73,IF('Personalized Bill Menu'!$B$23="ATCO-N",$AC73*1,"")),0))</f>
        <v>0</v>
      </c>
      <c r="AL73" s="72">
        <f ca="1">IF($A73="", "", IFERROR(IF('Personalized Bill Menu'!$B$23="ATCO-N",$AD73*$B73,IF('Personalized Bill Menu'!$B$23="ATCO-S",$AD73*1,"")),0))</f>
        <v>1.222</v>
      </c>
      <c r="AM73" s="72">
        <f ca="1">IF($A73="", "", IFERROR(IF('Personalized Bill Menu'!$B$23="ATCO-S",$AE73*$B73,IF('Personalized Bill Menu'!$B$23="ATCO-N",$AE73*$B73,"")),0))</f>
        <v>0</v>
      </c>
      <c r="AN73" s="70">
        <f ca="1">IF($A73="", "", IFERROR(IF('Personalized Bill Menu'!$B$23="ATCO-S",$AF73*$B73,""),0))</f>
        <v>0</v>
      </c>
      <c r="AO73" s="69">
        <f>IF('Personalized Bill Menu'!$B$34="Natural Gas", 'Personalized Bill Menu'!$K70, IF('Personalized Bill Menu'!$B$34="Both",'Personalized Bill Menu'!$O70,""))</f>
        <v>0.249</v>
      </c>
      <c r="AP73" s="72">
        <f t="shared" si="28"/>
        <v>7.7190000000000003</v>
      </c>
      <c r="AQ73" s="89">
        <f ca="1">IF($A73="", "",IF(VLOOKUP($A73, INDIRECT("'" &amp; 'Personalized Bill Menu'!$B$23 &amp; "'!" &amp;"$A$4:$CA$100"), VLOOKUP(VLOOKUP(AQ$5,'Misc. Data &amp; Mechanisms'!$P$601:$S$632,HLOOKUP('Personalized Bill Menu'!$B$23, 'Misc. Data &amp; Mechanisms'!$P$599:$S$600, 2, FALSE), FALSE), 'Misc. Data &amp; Mechanisms'!$L$599:$N$659, 2, FALSE), FALSE) = "", "", VLOOKUP($A73, INDIRECT("'" &amp; 'Personalized Bill Menu'!$B$23 &amp; "'!" &amp;"$A$4:$CA$100"), VLOOKUP(VLOOKUP(AQ$5,'Misc. Data &amp; Mechanisms'!$P$601:$S$632,HLOOKUP('Personalized Bill Menu'!$B$23, 'Misc. Data &amp; Mechanisms'!$P$599:$S$600, 2, FALSE), FALSE), 'Misc. Data &amp; Mechanisms'!$L$599:$N$659, 2, FALSE), FALSE)))</f>
        <v>1.0109999999999999</v>
      </c>
      <c r="AR73" s="72">
        <f t="shared" ca="1" si="29"/>
        <v>2.6104424800368311</v>
      </c>
      <c r="AS73" s="91">
        <f ca="1">IF($A73="", "",IF(VLOOKUP($A73, INDIRECT("'" &amp; 'Personalized Bill Menu'!$B$23 &amp; "'!" &amp;"$A$4:$CA$100"), VLOOKUP(VLOOKUP(AS$5,'Misc. Data &amp; Mechanisms'!$P$601:$S$632,HLOOKUP('Personalized Bill Menu'!$B$23, 'Misc. Data &amp; Mechanisms'!$P$599:$S$600, 2, FALSE), FALSE), 'Misc. Data &amp; Mechanisms'!$L$599:$N$659, 2, FALSE), FALSE) = "", "", VLOOKUP($A73, INDIRECT("'" &amp; 'Personalized Bill Menu'!$B$23 &amp; "'!" &amp;"$A$4:$CA$100"), VLOOKUP(VLOOKUP(AS$5,'Misc. Data &amp; Mechanisms'!$P$601:$S$632,HLOOKUP('Personalized Bill Menu'!$B$23, 'Misc. Data &amp; Mechanisms'!$P$599:$S$600, 2, FALSE), FALSE), 'Misc. Data &amp; Mechanisms'!$L$599:$N$659, 2, FALSE), FALSE)))</f>
        <v>0.05</v>
      </c>
    </row>
    <row r="74" spans="1:45" x14ac:dyDescent="0.3">
      <c r="A74" s="83">
        <f>'Personalized Bill Menu'!$H71</f>
        <v>42948</v>
      </c>
      <c r="B74" s="84">
        <f t="shared" si="19"/>
        <v>31</v>
      </c>
      <c r="C74" s="85">
        <f>IF('Personalized Bill Menu'!$B$34="Natural Gas", 'Personalized Bill Menu'!$I71, IF('Personalized Bill Menu'!$B$34="Both",'Personalized Bill Menu'!$M71,""))</f>
        <v>2.7079094858985315</v>
      </c>
      <c r="D74" s="66">
        <f t="shared" ca="1" si="20"/>
        <v>19.781893651219924</v>
      </c>
      <c r="E74" s="66">
        <f ca="1">IF($C74="Not Applicable", "", IFERROR(IFERROR((1+$AS74)*IF('Personalized Bill Menu'!$B$23="ATCO-N", IF(OR('Personalized Bill Menu'!$B$21="Fort McMurray",AND('Personalized Bill Menu'!$B$21="Spruce Grove", $A74&lt;DATE(2019, 5, 1) )),(((1+IF($T74="",0,$T74))*($N74+$P74))+ (IF($U74="", 0, $U74)*$P74)+(1+IF($T74="",0,$T74)+IF($U74="", 0, $U74))*(SUM($Y74:$AB74))),($N74+((1+IF($T74="",0,$T74)+IF($U74="", 0, $U74))*$P74)+(1+IF($T74="",0,$T74)+IF($U74="", 0, $U74))*(SUM($Y74:$AB74)))), IF('Personalized Bill Menu'!$B$23="ATCO-S",IF(OR('Personalized Bill Menu'!$B$21="Calgary",AND('Personalized Bill Menu'!$B$21="Okotoks", $A74&lt;DATE(2019, 1, 1))),((1+IF($T74="",0,$T74))*($N74+$P74+SUM($X74:$Y74,$AA74:$AC74)))+(IF($U74="",0, $U74)*($P74+SUM($X74:$Y74,$AA74:$AC74))), ((1+IF($T74="",0,$T74))*($P74+SUM($Y74,$AA74:$AC74)))+(IF($U74="",0, $U74)*($P74+SUM($X74:$Y74,$AA74:$AC74)))+$N74+IF($X74="", 0, $X74)),IF(AND('Personalized Bill Menu'!$B$21="Athabasca", $A74&lt;DATE(2019, 5, 1)),((1+IF($T74="",0,$T74)+IF($U74="", 0, $U74))*($N74+((1+SUM($X74:$Y74))*$P74)+SUM($Z74:$AA74))),((1+IF($U74="", 0, $U74))*($N74+((1+SUM($X74:$Y74))*$P74)+SUM($Z74:$AA74))) + (IF($T74="",0,$T74)*(((1+SUM($X74:$Y74))*$P74)+SUM($Z74:$AA74)))))), "")+ IF($AQ74="", 0,((1+$AS74)*$AQ74)), ""))</f>
        <v>5.797002645000001</v>
      </c>
      <c r="F74" s="118">
        <f t="shared" ca="1" si="21"/>
        <v>53.567577467174374</v>
      </c>
      <c r="G74" s="115">
        <f t="shared" si="15"/>
        <v>6.3040132831717806</v>
      </c>
      <c r="H74" s="66">
        <f t="shared" ca="1" si="16"/>
        <v>27.695575045634214</v>
      </c>
      <c r="I74" s="66">
        <f t="shared" ca="1" si="17"/>
        <v>4.0556393514224238</v>
      </c>
      <c r="J74" s="66">
        <f t="shared" ca="1" si="22"/>
        <v>2.5048162744561417</v>
      </c>
      <c r="K74" s="66">
        <f t="shared" si="18"/>
        <v>7.7190000000000003</v>
      </c>
      <c r="L74" s="66">
        <f t="shared" ca="1" si="23"/>
        <v>2.7376964902434153</v>
      </c>
      <c r="M74" s="68">
        <f t="shared" ca="1" si="24"/>
        <v>2.550837022246399</v>
      </c>
      <c r="N74" s="1290">
        <f>IF('Personalized Bill Menu'!$B$34="Natural Gas", 'Personalized Bill Menu'!$J71, IF('Personalized Bill Menu'!$B$34="Both",'Personalized Bill Menu'!$N71,""))</f>
        <v>2.3279999999999998</v>
      </c>
      <c r="O74" s="70">
        <f t="shared" si="25"/>
        <v>6.3040132831717806</v>
      </c>
      <c r="P74" s="89">
        <f ca="1">IF($A74="", "",IFERROR(IF(VLOOKUP($A74, INDIRECT("'" &amp; 'Personalized Bill Menu'!$B$23 &amp; "'!" &amp;"$A$4:$CA$100"), VLOOKUP(VLOOKUP(P$5,'Misc. Data &amp; Mechanisms'!$P$601:$S$632,HLOOKUP('Personalized Bill Menu'!$B$23, 'Misc. Data &amp; Mechanisms'!$P$599:$S$600, 2, FALSE), FALSE), 'Misc. Data &amp; Mechanisms'!$L$599:$N$659, 2, FALSE), FALSE) = "", "", VLOOKUP($A74, INDIRECT("'" &amp; 'Personalized Bill Menu'!$B$23 &amp; "'!" &amp;"$A$4:$CA$100"), VLOOKUP(VLOOKUP(P$5,'Misc. Data &amp; Mechanisms'!$P$601:$S$632,HLOOKUP('Personalized Bill Menu'!$B$23, 'Misc. Data &amp; Mechanisms'!$P$599:$S$600, 2, FALSE), FALSE), 'Misc. Data &amp; Mechanisms'!$L$599:$N$659, 2, FALSE), FALSE)), ""))</f>
        <v>0.80600000000000005</v>
      </c>
      <c r="Q74" s="69">
        <f ca="1">IF($A74="", "",IFERROR(IF(VLOOKUP($A74, INDIRECT("'" &amp; 'Personalized Bill Menu'!$B$23 &amp; "'!" &amp;"$A$4:$CA$100"), VLOOKUP(VLOOKUP(Q$5,'Misc. Data &amp; Mechanisms'!$P$601:$S$632,HLOOKUP('Personalized Bill Menu'!$B$23, 'Misc. Data &amp; Mechanisms'!$P$599:$S$600, 2, FALSE), FALSE), 'Misc. Data &amp; Mechanisms'!$L$599:$N$659, 2, FALSE), FALSE) = "", "", VLOOKUP($A74, INDIRECT("'" &amp; 'Personalized Bill Menu'!$B$23 &amp; "'!" &amp;"$A$4:$CA$100"), VLOOKUP(VLOOKUP(Q$5,'Misc. Data &amp; Mechanisms'!$P$601:$S$632,HLOOKUP('Personalized Bill Menu'!$B$23, 'Misc. Data &amp; Mechanisms'!$P$599:$S$600, 2, FALSE), FALSE), 'Misc. Data &amp; Mechanisms'!$L$599:$N$659, 2, FALSE), FALSE)), ""))</f>
        <v>0.82299999999999995</v>
      </c>
      <c r="R74" s="72">
        <f t="shared" ca="1" si="26"/>
        <v>2.1825750456342163</v>
      </c>
      <c r="S74" s="70">
        <f t="shared" ca="1" si="27"/>
        <v>25.512999999999998</v>
      </c>
      <c r="T74" s="78">
        <f>IFERROR(IF(VLOOKUP($A74,'Misc. Data &amp; Mechanisms'!$A$63:$DY$152,HLOOKUP('Personalized Bill Menu'!$B$21&amp;"_"&amp;'Personalized Bill Menu'!$B$23&amp;"_NG_Y_1",'Misc. Data &amp; Mechanisms'!$A$55:$DY$62,8,FALSE), FALSE)="", "", VLOOKUP($A74,'Misc. Data &amp; Mechanisms'!$A$63:$DY$152,HLOOKUP('Personalized Bill Menu'!$B$21&amp;"_"&amp;'Personalized Bill Menu'!$B$23&amp;"_NG_Y_1",'Misc. Data &amp; Mechanisms'!$A$55:$DY$62,8,FALSE), FALSE)), "")</f>
        <v>0.1111</v>
      </c>
      <c r="U74" s="78" t="str">
        <f>IFERROR(IF(VLOOKUP($A74,'Misc. Data &amp; Mechanisms'!$A$63:$DY$152,HLOOKUP('Personalized Bill Menu'!$B$21&amp;"_"&amp;'Personalized Bill Menu'!$B$23&amp;"_NG_Y_2",'Misc. Data &amp; Mechanisms'!$A$55:$DY$62,8,FALSE), FALSE)="", "",VLOOKUP($A74,'Misc. Data &amp; Mechanisms'!$A$63:$DY$152,HLOOKUP('Personalized Bill Menu'!$B$21&amp;"_"&amp;'Personalized Bill Menu'!$B$23&amp;"_NG_Y_2",'Misc. Data &amp; Mechanisms'!$A$55:$DY$62,8,FALSE), FALSE)), "")</f>
        <v/>
      </c>
      <c r="V74" s="72">
        <f ca="1">IF($A74="", "", IFERROR(IF('Personalized Bill Menu'!$B$23="ATCO-N", IF(OR('Personalized Bill Menu'!$B$21="Fort McMurray",AND('Personalized Bill Menu'!$B$21="Spruce Grove", $A74&lt;DATE(2019, 5, 1))),$T74*($G74+$H74+$J74),$T74*($H74+$J74)), IF('Personalized Bill Menu'!$B$23="ATCO-S",IF(OR('Personalized Bill Menu'!$B$21="Calgary",AND('Personalized Bill Menu'!$B$21="Okotoks", $A74&lt;DATE(2019, 1, 1))),$T74*($G74+$H74+$J74), $T74*($H74+$J74-$AG74)),IF(AND('Personalized Bill Menu'!$B$21="Athabasca", $A74&lt;DATE(2019, 5, 1)),$T74*($G74+$H74+$J74+$K74),$T74*($H74+$J74+$K74)))),0))</f>
        <v>4.0556393514224238</v>
      </c>
      <c r="W74" s="72">
        <f ca="1">IF($A74="", "", IFERROR(IF('Personalized Bill Menu'!$B$23="ATCO-N", $U74*($H74+$J74), IF('Personalized Bill Menu'!$B$23="ATCO-S",$U74*($H74+$J74),$U74*($G74+$H74+$J74+$K74))),0))</f>
        <v>0</v>
      </c>
      <c r="X74" s="89" t="str">
        <f ca="1">IF($A74="", "",IFERROR(IF(VLOOKUP($A74, INDIRECT("'" &amp; 'Personalized Bill Menu'!$B$23 &amp; "'!" &amp;"$A$4:$CA$100"), VLOOKUP(VLOOKUP("RIDER RATE 1",'Misc. Data &amp; Mechanisms'!$P$601:$S$632,HLOOKUP('Personalized Bill Menu'!$B$23, 'Misc. Data &amp; Mechanisms'!$P$599:$S$600, 2, FALSE), FALSE), 'Misc. Data &amp; Mechanisms'!$L$599:$N$659, 2, FALSE), FALSE) = "", "", VLOOKUP($A74, INDIRECT("'" &amp; 'Personalized Bill Menu'!$B$23 &amp; "'!" &amp;"$A$4:$CA$100"), VLOOKUP(VLOOKUP("RIDER RATE 1",'Misc. Data &amp; Mechanisms'!$P$601:$S$632,HLOOKUP('Personalized Bill Menu'!$B$23, 'Misc. Data &amp; Mechanisms'!$P$599:$S$600, 2, FALSE), FALSE), 'Misc. Data &amp; Mechanisms'!$L$599:$N$659, 2, FALSE), FALSE)), ""))</f>
        <v/>
      </c>
      <c r="Y74" s="69" t="str">
        <f ca="1">IF($A74="", "",IFERROR(IF(VLOOKUP($A74, INDIRECT("'" &amp; 'Personalized Bill Menu'!$B$23 &amp; "'!" &amp;"$A$4:$CA$100"), VLOOKUP(VLOOKUP("RIDER RATE 2",'Misc. Data &amp; Mechanisms'!$P$601:$S$632,HLOOKUP('Personalized Bill Menu'!$B$23, 'Misc. Data &amp; Mechanisms'!$P$599:$S$600, 2, FALSE), FALSE), 'Misc. Data &amp; Mechanisms'!$L$599:$N$659, 2, FALSE), FALSE) = "", "", VLOOKUP($A74, INDIRECT("'" &amp; 'Personalized Bill Menu'!$B$23 &amp; "'!" &amp;"$A$4:$CA$100"), VLOOKUP(VLOOKUP("RIDER RATE 2",'Misc. Data &amp; Mechanisms'!$P$601:$S$632,HLOOKUP('Personalized Bill Menu'!$B$23, 'Misc. Data &amp; Mechanisms'!$P$599:$S$600, 2, FALSE), FALSE), 'Misc. Data &amp; Mechanisms'!$L$599:$N$659, 2, FALSE), FALSE)), ""))</f>
        <v/>
      </c>
      <c r="Z74" s="69" t="str">
        <f ca="1">IF($A74="", "",IFERROR(IF(VLOOKUP($A74, INDIRECT("'" &amp; 'Personalized Bill Menu'!$B$23 &amp; "'!" &amp;"$A$4:$CA$100"), VLOOKUP(VLOOKUP("RIDER RATE 3",'Misc. Data &amp; Mechanisms'!$P$601:$S$632,HLOOKUP('Personalized Bill Menu'!$B$23, 'Misc. Data &amp; Mechanisms'!$P$599:$S$600, 2, FALSE), FALSE), 'Misc. Data &amp; Mechanisms'!$L$599:$N$659, 2, FALSE), FALSE) = "", "", VLOOKUP($A74, INDIRECT("'" &amp; 'Personalized Bill Menu'!$B$23 &amp; "'!" &amp;"$A$4:$CA$100"), VLOOKUP(VLOOKUP("RIDER RATE 3",'Misc. Data &amp; Mechanisms'!$P$601:$S$632,HLOOKUP('Personalized Bill Menu'!$B$23, 'Misc. Data &amp; Mechanisms'!$P$599:$S$600, 2, FALSE), FALSE), 'Misc. Data &amp; Mechanisms'!$L$599:$N$659, 2, FALSE), FALSE)), ""))</f>
        <v/>
      </c>
      <c r="AA74" s="69" t="str">
        <f ca="1">IF($A74="", "",IFERROR(IF(VLOOKUP($A74, INDIRECT("'" &amp; 'Personalized Bill Menu'!$B$23 &amp; "'!" &amp;"$A$4:$CA$100"), VLOOKUP(VLOOKUP("RIDER RATE 4",'Misc. Data &amp; Mechanisms'!$P$601:$S$632,HLOOKUP('Personalized Bill Menu'!$B$23, 'Misc. Data &amp; Mechanisms'!$P$599:$S$600, 2, FALSE), FALSE), 'Misc. Data &amp; Mechanisms'!$L$599:$N$659, 2, FALSE), FALSE) = "", "", VLOOKUP($A74, INDIRECT("'" &amp; 'Personalized Bill Menu'!$B$23 &amp; "'!" &amp;"$A$4:$CA$100"), VLOOKUP(VLOOKUP("RIDER RATE 4",'Misc. Data &amp; Mechanisms'!$P$601:$S$632,HLOOKUP('Personalized Bill Menu'!$B$23, 'Misc. Data &amp; Mechanisms'!$P$599:$S$600, 2, FALSE), FALSE), 'Misc. Data &amp; Mechanisms'!$L$599:$N$659, 2, FALSE), FALSE)), ""))</f>
        <v/>
      </c>
      <c r="AB74" s="69">
        <f ca="1">IF($A74="", "",IFERROR(IF(VLOOKUP($A74, INDIRECT("'" &amp; 'Personalized Bill Menu'!$B$23 &amp; "'!" &amp;"$A$4:$CA$100"), VLOOKUP(VLOOKUP("RIDER RATE 5",'Misc. Data &amp; Mechanisms'!$P$601:$S$632,HLOOKUP('Personalized Bill Menu'!$B$23, 'Misc. Data &amp; Mechanisms'!$P$599:$S$600, 2, FALSE), FALSE), 'Misc. Data &amp; Mechanisms'!$L$599:$N$659, 2, FALSE), FALSE) = "", "", VLOOKUP($A74, INDIRECT("'" &amp; 'Personalized Bill Menu'!$B$23 &amp; "'!" &amp;"$A$4:$CA$100"), VLOOKUP(VLOOKUP("RIDER RATE 5",'Misc. Data &amp; Mechanisms'!$P$601:$S$632,HLOOKUP('Personalized Bill Menu'!$B$23, 'Misc. Data &amp; Mechanisms'!$P$599:$S$600, 2, FALSE), FALSE), 'Misc. Data &amp; Mechanisms'!$L$599:$N$659, 2, FALSE), FALSE)), ""))</f>
        <v>0.92500000000000004</v>
      </c>
      <c r="AC74" s="69" t="str">
        <f ca="1">IF($A74="", "",IFERROR(IF(VLOOKUP($A74, INDIRECT("'" &amp; 'Personalized Bill Menu'!$B$23 &amp; "'!" &amp;"$A$4:$CA$100"), VLOOKUP(VLOOKUP("RIDER RATE 6",'Misc. Data &amp; Mechanisms'!$P$601:$S$632,HLOOKUP('Personalized Bill Menu'!$B$23, 'Misc. Data &amp; Mechanisms'!$P$599:$S$600, 2, FALSE), FALSE), 'Misc. Data &amp; Mechanisms'!$L$599:$N$659, 2, FALSE), FALSE) = "", "", VLOOKUP($A74, INDIRECT("'" &amp; 'Personalized Bill Menu'!$B$23 &amp; "'!" &amp;"$A$4:$CA$100"), VLOOKUP(VLOOKUP("RIDER RATE 6",'Misc. Data &amp; Mechanisms'!$P$601:$S$632,HLOOKUP('Personalized Bill Menu'!$B$23, 'Misc. Data &amp; Mechanisms'!$P$599:$S$600, 2, FALSE), FALSE), 'Misc. Data &amp; Mechanisms'!$L$599:$N$659, 2, FALSE), FALSE)), ""))</f>
        <v/>
      </c>
      <c r="AD74" s="69" t="str">
        <f ca="1">IF($A74="", "",IFERROR(IF(VLOOKUP($A74, INDIRECT("'" &amp; 'Personalized Bill Menu'!$B$23 &amp; "'!" &amp;"$A$4:$CA$100"), VLOOKUP(VLOOKUP("RIDER RATE 7",'Misc. Data &amp; Mechanisms'!$P$601:$S$632,HLOOKUP('Personalized Bill Menu'!$B$23, 'Misc. Data &amp; Mechanisms'!$P$599:$S$600, 2, FALSE), FALSE), 'Misc. Data &amp; Mechanisms'!$L$599:$N$659, 2, FALSE), FALSE) = "", "", VLOOKUP($A74, INDIRECT("'" &amp; 'Personalized Bill Menu'!$B$23 &amp; "'!" &amp;"$A$4:$CA$100"), VLOOKUP(VLOOKUP("RIDER RATE 7",'Misc. Data &amp; Mechanisms'!$P$601:$S$632,HLOOKUP('Personalized Bill Menu'!$B$23, 'Misc. Data &amp; Mechanisms'!$P$599:$S$600, 2, FALSE), FALSE), 'Misc. Data &amp; Mechanisms'!$L$599:$N$659, 2, FALSE), FALSE)), ""))</f>
        <v/>
      </c>
      <c r="AE74" s="69" t="str">
        <f ca="1">IF($A74="", "",IFERROR(IF(VLOOKUP($A74, INDIRECT("'" &amp; 'Personalized Bill Menu'!$B$23 &amp; "'!" &amp;"$A$4:$CA$100"), VLOOKUP(VLOOKUP("RIDER RATE 8",'Misc. Data &amp; Mechanisms'!$P$601:$S$632,HLOOKUP('Personalized Bill Menu'!$B$23, 'Misc. Data &amp; Mechanisms'!$P$599:$S$600, 2, FALSE), FALSE), 'Misc. Data &amp; Mechanisms'!$L$599:$N$659, 2, FALSE), FALSE) = "", "", VLOOKUP($A74, INDIRECT("'" &amp; 'Personalized Bill Menu'!$B$23 &amp; "'!" &amp;"$A$4:$CA$100"), VLOOKUP(VLOOKUP("RIDER RATE 8",'Misc. Data &amp; Mechanisms'!$P$601:$S$632,HLOOKUP('Personalized Bill Menu'!$B$23, 'Misc. Data &amp; Mechanisms'!$P$599:$S$600, 2, FALSE), FALSE), 'Misc. Data &amp; Mechanisms'!$L$599:$N$659, 2, FALSE), FALSE)), ""))</f>
        <v/>
      </c>
      <c r="AF74" s="69" t="str">
        <f ca="1">IF($A74="", "",IFERROR(IF(VLOOKUP($A74, INDIRECT("'" &amp; 'Personalized Bill Menu'!$B$23 &amp; "'!" &amp;"$A$4:$CA$100"), VLOOKUP(VLOOKUP("RIDER RATE 9",'Misc. Data &amp; Mechanisms'!$P$601:$S$632,HLOOKUP('Personalized Bill Menu'!$B$23, 'Misc. Data &amp; Mechanisms'!$P$599:$S$600, 2, FALSE), FALSE), 'Misc. Data &amp; Mechanisms'!$L$599:$N$659, 2, FALSE), FALSE) = "", "", VLOOKUP($A74, INDIRECT("'" &amp; 'Personalized Bill Menu'!$B$23 &amp; "'!" &amp;"$A$4:$CA$100"), VLOOKUP(VLOOKUP("RIDER RATE 9",'Misc. Data &amp; Mechanisms'!$P$601:$S$632,HLOOKUP('Personalized Bill Menu'!$B$23, 'Misc. Data &amp; Mechanisms'!$P$599:$S$600, 2, FALSE), FALSE), 'Misc. Data &amp; Mechanisms'!$L$599:$N$659, 2, FALSE), FALSE)), ""))</f>
        <v/>
      </c>
      <c r="AG74" s="72">
        <f ca="1">IF($A74="", "", IFERROR(IF('Personalized Bill Menu'!$B$23="ATCO-N", ($X74*$B74) +($Y74*$C74), IF('Personalized Bill Menu'!$B$23="ATCO-S",$X74*$C74, IF($Y74="", ($X74*$H74), ($Y74*($H74+$K74))))), 0))</f>
        <v>0</v>
      </c>
      <c r="AH74" s="72">
        <f ca="1">IF($A74="", "", IFERROR(IF('Personalized Bill Menu'!$B$23="ATCO-S", $Y74*$C74, $Z74*$C74), 0))</f>
        <v>0</v>
      </c>
      <c r="AI74" s="72">
        <f ca="1">IF($A74="", "", IFERROR(IF('Personalized Bill Menu'!$B$23="ATCO-S", ($AA74*$C74)+($Z74*$B74), $AA74*$C74), 0))</f>
        <v>0</v>
      </c>
      <c r="AJ74" s="72">
        <f ca="1">IF($A74="", "", IFERROR(IF('Personalized Bill Menu'!$B$23&lt;&gt;"AltaGas",$AB74*$C74,""),0))</f>
        <v>2.5048162744561417</v>
      </c>
      <c r="AK74" s="72">
        <f ca="1">IF($A74="", "", IFERROR(IF('Personalized Bill Menu'!$B$23="ATCO-S",$AC74*$C74,IF('Personalized Bill Menu'!$B$23="ATCO-N",$AC74*1,"")),0))</f>
        <v>0</v>
      </c>
      <c r="AL74" s="72">
        <f ca="1">IF($A74="", "", IFERROR(IF('Personalized Bill Menu'!$B$23="ATCO-N",$AD74*$B74,IF('Personalized Bill Menu'!$B$23="ATCO-S",$AD74*1,"")),0))</f>
        <v>0</v>
      </c>
      <c r="AM74" s="72">
        <f ca="1">IF($A74="", "", IFERROR(IF('Personalized Bill Menu'!$B$23="ATCO-S",$AE74*$B74,IF('Personalized Bill Menu'!$B$23="ATCO-N",$AE74*$B74,"")),0))</f>
        <v>0</v>
      </c>
      <c r="AN74" s="70">
        <f ca="1">IF($A74="", "", IFERROR(IF('Personalized Bill Menu'!$B$23="ATCO-S",$AF74*$B74,""),0))</f>
        <v>0</v>
      </c>
      <c r="AO74" s="69">
        <f>IF('Personalized Bill Menu'!$B$34="Natural Gas", 'Personalized Bill Menu'!$K71, IF('Personalized Bill Menu'!$B$34="Both",'Personalized Bill Menu'!$O71,""))</f>
        <v>0.249</v>
      </c>
      <c r="AP74" s="72">
        <f t="shared" si="28"/>
        <v>7.7190000000000003</v>
      </c>
      <c r="AQ74" s="89">
        <f ca="1">IF($A74="", "",IF(VLOOKUP($A74, INDIRECT("'" &amp; 'Personalized Bill Menu'!$B$23 &amp; "'!" &amp;"$A$4:$CA$100"), VLOOKUP(VLOOKUP(AQ$5,'Misc. Data &amp; Mechanisms'!$P$601:$S$632,HLOOKUP('Personalized Bill Menu'!$B$23, 'Misc. Data &amp; Mechanisms'!$P$599:$S$600, 2, FALSE), FALSE), 'Misc. Data &amp; Mechanisms'!$L$599:$N$659, 2, FALSE), FALSE) = "", "", VLOOKUP($A74, INDIRECT("'" &amp; 'Personalized Bill Menu'!$B$23 &amp; "'!" &amp;"$A$4:$CA$100"), VLOOKUP(VLOOKUP(AQ$5,'Misc. Data &amp; Mechanisms'!$P$601:$S$632,HLOOKUP('Personalized Bill Menu'!$B$23, 'Misc. Data &amp; Mechanisms'!$P$599:$S$600, 2, FALSE), FALSE), 'Misc. Data &amp; Mechanisms'!$L$599:$N$659, 2, FALSE), FALSE)))</f>
        <v>1.0109999999999999</v>
      </c>
      <c r="AR74" s="72">
        <f t="shared" ca="1" si="29"/>
        <v>2.7376964902434153</v>
      </c>
      <c r="AS74" s="91">
        <f ca="1">IF($A74="", "",IF(VLOOKUP($A74, INDIRECT("'" &amp; 'Personalized Bill Menu'!$B$23 &amp; "'!" &amp;"$A$4:$CA$100"), VLOOKUP(VLOOKUP(AS$5,'Misc. Data &amp; Mechanisms'!$P$601:$S$632,HLOOKUP('Personalized Bill Menu'!$B$23, 'Misc. Data &amp; Mechanisms'!$P$599:$S$600, 2, FALSE), FALSE), 'Misc. Data &amp; Mechanisms'!$L$599:$N$659, 2, FALSE), FALSE) = "", "", VLOOKUP($A74, INDIRECT("'" &amp; 'Personalized Bill Menu'!$B$23 &amp; "'!" &amp;"$A$4:$CA$100"), VLOOKUP(VLOOKUP(AS$5,'Misc. Data &amp; Mechanisms'!$P$601:$S$632,HLOOKUP('Personalized Bill Menu'!$B$23, 'Misc. Data &amp; Mechanisms'!$P$599:$S$600, 2, FALSE), FALSE), 'Misc. Data &amp; Mechanisms'!$L$599:$N$659, 2, FALSE), FALSE)))</f>
        <v>0.05</v>
      </c>
    </row>
    <row r="75" spans="1:45" x14ac:dyDescent="0.3">
      <c r="A75" s="83">
        <f>'Personalized Bill Menu'!$H72</f>
        <v>42979</v>
      </c>
      <c r="B75" s="84">
        <f t="shared" si="19"/>
        <v>30</v>
      </c>
      <c r="C75" s="85">
        <f>IF('Personalized Bill Menu'!$B$34="Natural Gas", 'Personalized Bill Menu'!$I72, IF('Personalized Bill Menu'!$B$34="Both",'Personalized Bill Menu'!$M72,""))</f>
        <v>5.3309229069401551</v>
      </c>
      <c r="D75" s="66">
        <f t="shared" ca="1" si="20"/>
        <v>11.628659846253974</v>
      </c>
      <c r="E75" s="66">
        <f ca="1">IF($C75="Not Applicable", "", IFERROR(IFERROR((1+$AS75)*IF('Personalized Bill Menu'!$B$23="ATCO-N", IF(OR('Personalized Bill Menu'!$B$21="Fort McMurray",AND('Personalized Bill Menu'!$B$21="Spruce Grove", $A75&lt;DATE(2019, 5, 1) )),(((1+IF($T75="",0,$T75))*($N75+$P75))+ (IF($U75="", 0, $U75)*$P75)+(1+IF($T75="",0,$T75)+IF($U75="", 0, $U75))*(SUM($Y75:$AB75))),($N75+((1+IF($T75="",0,$T75)+IF($U75="", 0, $U75))*$P75)+(1+IF($T75="",0,$T75)+IF($U75="", 0, $U75))*(SUM($Y75:$AB75)))), IF('Personalized Bill Menu'!$B$23="ATCO-S",IF(OR('Personalized Bill Menu'!$B$21="Calgary",AND('Personalized Bill Menu'!$B$21="Okotoks", $A75&lt;DATE(2019, 1, 1))),((1+IF($T75="",0,$T75))*($N75+$P75+SUM($X75:$Y75,$AA75:$AC75)))+(IF($U75="",0, $U75)*($P75+SUM($X75:$Y75,$AA75:$AC75))), ((1+IF($T75="",0,$T75))*($P75+SUM($Y75,$AA75:$AC75)))+(IF($U75="",0, $U75)*($P75+SUM($X75:$Y75,$AA75:$AC75)))+$N75+IF($X75="", 0, $X75)),IF(AND('Personalized Bill Menu'!$B$21="Athabasca", $A75&lt;DATE(2019, 5, 1)),((1+IF($T75="",0,$T75)+IF($U75="", 0, $U75))*($N75+((1+SUM($X75:$Y75))*$P75)+SUM($Z75:$AA75))),((1+IF($U75="", 0, $U75))*($N75+((1+SUM($X75:$Y75))*$P75)+SUM($Z75:$AA75))) + (IF($T75="",0,$T75)*(((1+SUM($X75:$Y75))*$P75)+SUM($Z75:$AA75)))))), "")+ IF($AQ75="", 0,((1+$AS75)*$AQ75)), ""))</f>
        <v>4.7540130749999996</v>
      </c>
      <c r="F75" s="118">
        <f t="shared" ca="1" si="21"/>
        <v>61.991489151410498</v>
      </c>
      <c r="G75" s="115">
        <f t="shared" si="15"/>
        <v>7.6445434485521826</v>
      </c>
      <c r="H75" s="66">
        <f t="shared" ca="1" si="16"/>
        <v>28.986723862993763</v>
      </c>
      <c r="I75" s="66">
        <f t="shared" ca="1" si="17"/>
        <v>4.6175794181517276</v>
      </c>
      <c r="J75" s="66">
        <f t="shared" ca="1" si="22"/>
        <v>4.9311036889196433</v>
      </c>
      <c r="K75" s="66">
        <f t="shared" si="18"/>
        <v>7.47</v>
      </c>
      <c r="L75" s="66">
        <f t="shared" ca="1" si="23"/>
        <v>5.3895630589164965</v>
      </c>
      <c r="M75" s="68">
        <f t="shared" ca="1" si="24"/>
        <v>2.9519756738766905</v>
      </c>
      <c r="N75" s="1290">
        <f>IF('Personalized Bill Menu'!$B$34="Natural Gas", 'Personalized Bill Menu'!$J72, IF('Personalized Bill Menu'!$B$34="Both",'Personalized Bill Menu'!$N72,""))</f>
        <v>1.4339999999999999</v>
      </c>
      <c r="O75" s="70">
        <f t="shared" si="25"/>
        <v>7.6445434485521826</v>
      </c>
      <c r="P75" s="89">
        <f ca="1">IF($A75="", "",IFERROR(IF(VLOOKUP($A75, INDIRECT("'" &amp; 'Personalized Bill Menu'!$B$23 &amp; "'!" &amp;"$A$4:$CA$100"), VLOOKUP(VLOOKUP(P$5,'Misc. Data &amp; Mechanisms'!$P$601:$S$632,HLOOKUP('Personalized Bill Menu'!$B$23, 'Misc. Data &amp; Mechanisms'!$P$599:$S$600, 2, FALSE), FALSE), 'Misc. Data &amp; Mechanisms'!$L$599:$N$659, 2, FALSE), FALSE) = "", "", VLOOKUP($A75, INDIRECT("'" &amp; 'Personalized Bill Menu'!$B$23 &amp; "'!" &amp;"$A$4:$CA$100"), VLOOKUP(VLOOKUP(P$5,'Misc. Data &amp; Mechanisms'!$P$601:$S$632,HLOOKUP('Personalized Bill Menu'!$B$23, 'Misc. Data &amp; Mechanisms'!$P$599:$S$600, 2, FALSE), FALSE), 'Misc. Data &amp; Mechanisms'!$L$599:$N$659, 2, FALSE), FALSE)), ""))</f>
        <v>0.80600000000000005</v>
      </c>
      <c r="Q75" s="69">
        <f ca="1">IF($A75="", "",IFERROR(IF(VLOOKUP($A75, INDIRECT("'" &amp; 'Personalized Bill Menu'!$B$23 &amp; "'!" &amp;"$A$4:$CA$100"), VLOOKUP(VLOOKUP(Q$5,'Misc. Data &amp; Mechanisms'!$P$601:$S$632,HLOOKUP('Personalized Bill Menu'!$B$23, 'Misc. Data &amp; Mechanisms'!$P$599:$S$600, 2, FALSE), FALSE), 'Misc. Data &amp; Mechanisms'!$L$599:$N$659, 2, FALSE), FALSE) = "", "", VLOOKUP($A75, INDIRECT("'" &amp; 'Personalized Bill Menu'!$B$23 &amp; "'!" &amp;"$A$4:$CA$100"), VLOOKUP(VLOOKUP(Q$5,'Misc. Data &amp; Mechanisms'!$P$601:$S$632,HLOOKUP('Personalized Bill Menu'!$B$23, 'Misc. Data &amp; Mechanisms'!$P$599:$S$600, 2, FALSE), FALSE), 'Misc. Data &amp; Mechanisms'!$L$599:$N$659, 2, FALSE), FALSE)), ""))</f>
        <v>0.82299999999999995</v>
      </c>
      <c r="R75" s="72">
        <f t="shared" ca="1" si="26"/>
        <v>4.2967238629937654</v>
      </c>
      <c r="S75" s="70">
        <f t="shared" ca="1" si="27"/>
        <v>24.689999999999998</v>
      </c>
      <c r="T75" s="78">
        <f>IFERROR(IF(VLOOKUP($A75,'Misc. Data &amp; Mechanisms'!$A$63:$DY$152,HLOOKUP('Personalized Bill Menu'!$B$21&amp;"_"&amp;'Personalized Bill Menu'!$B$23&amp;"_NG_Y_1",'Misc. Data &amp; Mechanisms'!$A$55:$DY$62,8,FALSE), FALSE)="", "", VLOOKUP($A75,'Misc. Data &amp; Mechanisms'!$A$63:$DY$152,HLOOKUP('Personalized Bill Menu'!$B$21&amp;"_"&amp;'Personalized Bill Menu'!$B$23&amp;"_NG_Y_1",'Misc. Data &amp; Mechanisms'!$A$55:$DY$62,8,FALSE), FALSE)), "")</f>
        <v>0.1111</v>
      </c>
      <c r="U75" s="78" t="str">
        <f>IFERROR(IF(VLOOKUP($A75,'Misc. Data &amp; Mechanisms'!$A$63:$DY$152,HLOOKUP('Personalized Bill Menu'!$B$21&amp;"_"&amp;'Personalized Bill Menu'!$B$23&amp;"_NG_Y_2",'Misc. Data &amp; Mechanisms'!$A$55:$DY$62,8,FALSE), FALSE)="", "",VLOOKUP($A75,'Misc. Data &amp; Mechanisms'!$A$63:$DY$152,HLOOKUP('Personalized Bill Menu'!$B$21&amp;"_"&amp;'Personalized Bill Menu'!$B$23&amp;"_NG_Y_2",'Misc. Data &amp; Mechanisms'!$A$55:$DY$62,8,FALSE), FALSE)), "")</f>
        <v/>
      </c>
      <c r="V75" s="72">
        <f ca="1">IF($A75="", "", IFERROR(IF('Personalized Bill Menu'!$B$23="ATCO-N", IF(OR('Personalized Bill Menu'!$B$21="Fort McMurray",AND('Personalized Bill Menu'!$B$21="Spruce Grove", $A75&lt;DATE(2019, 5, 1))),$T75*($G75+$H75+$J75),$T75*($H75+$J75)), IF('Personalized Bill Menu'!$B$23="ATCO-S",IF(OR('Personalized Bill Menu'!$B$21="Calgary",AND('Personalized Bill Menu'!$B$21="Okotoks", $A75&lt;DATE(2019, 1, 1))),$T75*($G75+$H75+$J75), $T75*($H75+$J75-$AG75)),IF(AND('Personalized Bill Menu'!$B$21="Athabasca", $A75&lt;DATE(2019, 5, 1)),$T75*($G75+$H75+$J75+$K75),$T75*($H75+$J75+$K75)))),0))</f>
        <v>4.6175794181517276</v>
      </c>
      <c r="W75" s="72">
        <f ca="1">IF($A75="", "", IFERROR(IF('Personalized Bill Menu'!$B$23="ATCO-N", $U75*($H75+$J75), IF('Personalized Bill Menu'!$B$23="ATCO-S",$U75*($H75+$J75),$U75*($G75+$H75+$J75+$K75))),0))</f>
        <v>0</v>
      </c>
      <c r="X75" s="89" t="str">
        <f ca="1">IF($A75="", "",IFERROR(IF(VLOOKUP($A75, INDIRECT("'" &amp; 'Personalized Bill Menu'!$B$23 &amp; "'!" &amp;"$A$4:$CA$100"), VLOOKUP(VLOOKUP("RIDER RATE 1",'Misc. Data &amp; Mechanisms'!$P$601:$S$632,HLOOKUP('Personalized Bill Menu'!$B$23, 'Misc. Data &amp; Mechanisms'!$P$599:$S$600, 2, FALSE), FALSE), 'Misc. Data &amp; Mechanisms'!$L$599:$N$659, 2, FALSE), FALSE) = "", "", VLOOKUP($A75, INDIRECT("'" &amp; 'Personalized Bill Menu'!$B$23 &amp; "'!" &amp;"$A$4:$CA$100"), VLOOKUP(VLOOKUP("RIDER RATE 1",'Misc. Data &amp; Mechanisms'!$P$601:$S$632,HLOOKUP('Personalized Bill Menu'!$B$23, 'Misc. Data &amp; Mechanisms'!$P$599:$S$600, 2, FALSE), FALSE), 'Misc. Data &amp; Mechanisms'!$L$599:$N$659, 2, FALSE), FALSE)), ""))</f>
        <v/>
      </c>
      <c r="Y75" s="69" t="str">
        <f ca="1">IF($A75="", "",IFERROR(IF(VLOOKUP($A75, INDIRECT("'" &amp; 'Personalized Bill Menu'!$B$23 &amp; "'!" &amp;"$A$4:$CA$100"), VLOOKUP(VLOOKUP("RIDER RATE 2",'Misc. Data &amp; Mechanisms'!$P$601:$S$632,HLOOKUP('Personalized Bill Menu'!$B$23, 'Misc. Data &amp; Mechanisms'!$P$599:$S$600, 2, FALSE), FALSE), 'Misc. Data &amp; Mechanisms'!$L$599:$N$659, 2, FALSE), FALSE) = "", "", VLOOKUP($A75, INDIRECT("'" &amp; 'Personalized Bill Menu'!$B$23 &amp; "'!" &amp;"$A$4:$CA$100"), VLOOKUP(VLOOKUP("RIDER RATE 2",'Misc. Data &amp; Mechanisms'!$P$601:$S$632,HLOOKUP('Personalized Bill Menu'!$B$23, 'Misc. Data &amp; Mechanisms'!$P$599:$S$600, 2, FALSE), FALSE), 'Misc. Data &amp; Mechanisms'!$L$599:$N$659, 2, FALSE), FALSE)), ""))</f>
        <v/>
      </c>
      <c r="Z75" s="69" t="str">
        <f ca="1">IF($A75="", "",IFERROR(IF(VLOOKUP($A75, INDIRECT("'" &amp; 'Personalized Bill Menu'!$B$23 &amp; "'!" &amp;"$A$4:$CA$100"), VLOOKUP(VLOOKUP("RIDER RATE 3",'Misc. Data &amp; Mechanisms'!$P$601:$S$632,HLOOKUP('Personalized Bill Menu'!$B$23, 'Misc. Data &amp; Mechanisms'!$P$599:$S$600, 2, FALSE), FALSE), 'Misc. Data &amp; Mechanisms'!$L$599:$N$659, 2, FALSE), FALSE) = "", "", VLOOKUP($A75, INDIRECT("'" &amp; 'Personalized Bill Menu'!$B$23 &amp; "'!" &amp;"$A$4:$CA$100"), VLOOKUP(VLOOKUP("RIDER RATE 3",'Misc. Data &amp; Mechanisms'!$P$601:$S$632,HLOOKUP('Personalized Bill Menu'!$B$23, 'Misc. Data &amp; Mechanisms'!$P$599:$S$600, 2, FALSE), FALSE), 'Misc. Data &amp; Mechanisms'!$L$599:$N$659, 2, FALSE), FALSE)), ""))</f>
        <v/>
      </c>
      <c r="AA75" s="69" t="str">
        <f ca="1">IF($A75="", "",IFERROR(IF(VLOOKUP($A75, INDIRECT("'" &amp; 'Personalized Bill Menu'!$B$23 &amp; "'!" &amp;"$A$4:$CA$100"), VLOOKUP(VLOOKUP("RIDER RATE 4",'Misc. Data &amp; Mechanisms'!$P$601:$S$632,HLOOKUP('Personalized Bill Menu'!$B$23, 'Misc. Data &amp; Mechanisms'!$P$599:$S$600, 2, FALSE), FALSE), 'Misc. Data &amp; Mechanisms'!$L$599:$N$659, 2, FALSE), FALSE) = "", "", VLOOKUP($A75, INDIRECT("'" &amp; 'Personalized Bill Menu'!$B$23 &amp; "'!" &amp;"$A$4:$CA$100"), VLOOKUP(VLOOKUP("RIDER RATE 4",'Misc. Data &amp; Mechanisms'!$P$601:$S$632,HLOOKUP('Personalized Bill Menu'!$B$23, 'Misc. Data &amp; Mechanisms'!$P$599:$S$600, 2, FALSE), FALSE), 'Misc. Data &amp; Mechanisms'!$L$599:$N$659, 2, FALSE), FALSE)), ""))</f>
        <v/>
      </c>
      <c r="AB75" s="69">
        <f ca="1">IF($A75="", "",IFERROR(IF(VLOOKUP($A75, INDIRECT("'" &amp; 'Personalized Bill Menu'!$B$23 &amp; "'!" &amp;"$A$4:$CA$100"), VLOOKUP(VLOOKUP("RIDER RATE 5",'Misc. Data &amp; Mechanisms'!$P$601:$S$632,HLOOKUP('Personalized Bill Menu'!$B$23, 'Misc. Data &amp; Mechanisms'!$P$599:$S$600, 2, FALSE), FALSE), 'Misc. Data &amp; Mechanisms'!$L$599:$N$659, 2, FALSE), FALSE) = "", "", VLOOKUP($A75, INDIRECT("'" &amp; 'Personalized Bill Menu'!$B$23 &amp; "'!" &amp;"$A$4:$CA$100"), VLOOKUP(VLOOKUP("RIDER RATE 5",'Misc. Data &amp; Mechanisms'!$P$601:$S$632,HLOOKUP('Personalized Bill Menu'!$B$23, 'Misc. Data &amp; Mechanisms'!$P$599:$S$600, 2, FALSE), FALSE), 'Misc. Data &amp; Mechanisms'!$L$599:$N$659, 2, FALSE), FALSE)), ""))</f>
        <v>0.92500000000000004</v>
      </c>
      <c r="AC75" s="69" t="str">
        <f ca="1">IF($A75="", "",IFERROR(IF(VLOOKUP($A75, INDIRECT("'" &amp; 'Personalized Bill Menu'!$B$23 &amp; "'!" &amp;"$A$4:$CA$100"), VLOOKUP(VLOOKUP("RIDER RATE 6",'Misc. Data &amp; Mechanisms'!$P$601:$S$632,HLOOKUP('Personalized Bill Menu'!$B$23, 'Misc. Data &amp; Mechanisms'!$P$599:$S$600, 2, FALSE), FALSE), 'Misc. Data &amp; Mechanisms'!$L$599:$N$659, 2, FALSE), FALSE) = "", "", VLOOKUP($A75, INDIRECT("'" &amp; 'Personalized Bill Menu'!$B$23 &amp; "'!" &amp;"$A$4:$CA$100"), VLOOKUP(VLOOKUP("RIDER RATE 6",'Misc. Data &amp; Mechanisms'!$P$601:$S$632,HLOOKUP('Personalized Bill Menu'!$B$23, 'Misc. Data &amp; Mechanisms'!$P$599:$S$600, 2, FALSE), FALSE), 'Misc. Data &amp; Mechanisms'!$L$599:$N$659, 2, FALSE), FALSE)), ""))</f>
        <v/>
      </c>
      <c r="AD75" s="69" t="str">
        <f ca="1">IF($A75="", "",IFERROR(IF(VLOOKUP($A75, INDIRECT("'" &amp; 'Personalized Bill Menu'!$B$23 &amp; "'!" &amp;"$A$4:$CA$100"), VLOOKUP(VLOOKUP("RIDER RATE 7",'Misc. Data &amp; Mechanisms'!$P$601:$S$632,HLOOKUP('Personalized Bill Menu'!$B$23, 'Misc. Data &amp; Mechanisms'!$P$599:$S$600, 2, FALSE), FALSE), 'Misc. Data &amp; Mechanisms'!$L$599:$N$659, 2, FALSE), FALSE) = "", "", VLOOKUP($A75, INDIRECT("'" &amp; 'Personalized Bill Menu'!$B$23 &amp; "'!" &amp;"$A$4:$CA$100"), VLOOKUP(VLOOKUP("RIDER RATE 7",'Misc. Data &amp; Mechanisms'!$P$601:$S$632,HLOOKUP('Personalized Bill Menu'!$B$23, 'Misc. Data &amp; Mechanisms'!$P$599:$S$600, 2, FALSE), FALSE), 'Misc. Data &amp; Mechanisms'!$L$599:$N$659, 2, FALSE), FALSE)), ""))</f>
        <v/>
      </c>
      <c r="AE75" s="69" t="str">
        <f ca="1">IF($A75="", "",IFERROR(IF(VLOOKUP($A75, INDIRECT("'" &amp; 'Personalized Bill Menu'!$B$23 &amp; "'!" &amp;"$A$4:$CA$100"), VLOOKUP(VLOOKUP("RIDER RATE 8",'Misc. Data &amp; Mechanisms'!$P$601:$S$632,HLOOKUP('Personalized Bill Menu'!$B$23, 'Misc. Data &amp; Mechanisms'!$P$599:$S$600, 2, FALSE), FALSE), 'Misc. Data &amp; Mechanisms'!$L$599:$N$659, 2, FALSE), FALSE) = "", "", VLOOKUP($A75, INDIRECT("'" &amp; 'Personalized Bill Menu'!$B$23 &amp; "'!" &amp;"$A$4:$CA$100"), VLOOKUP(VLOOKUP("RIDER RATE 8",'Misc. Data &amp; Mechanisms'!$P$601:$S$632,HLOOKUP('Personalized Bill Menu'!$B$23, 'Misc. Data &amp; Mechanisms'!$P$599:$S$600, 2, FALSE), FALSE), 'Misc. Data &amp; Mechanisms'!$L$599:$N$659, 2, FALSE), FALSE)), ""))</f>
        <v/>
      </c>
      <c r="AF75" s="69" t="str">
        <f ca="1">IF($A75="", "",IFERROR(IF(VLOOKUP($A75, INDIRECT("'" &amp; 'Personalized Bill Menu'!$B$23 &amp; "'!" &amp;"$A$4:$CA$100"), VLOOKUP(VLOOKUP("RIDER RATE 9",'Misc. Data &amp; Mechanisms'!$P$601:$S$632,HLOOKUP('Personalized Bill Menu'!$B$23, 'Misc. Data &amp; Mechanisms'!$P$599:$S$600, 2, FALSE), FALSE), 'Misc. Data &amp; Mechanisms'!$L$599:$N$659, 2, FALSE), FALSE) = "", "", VLOOKUP($A75, INDIRECT("'" &amp; 'Personalized Bill Menu'!$B$23 &amp; "'!" &amp;"$A$4:$CA$100"), VLOOKUP(VLOOKUP("RIDER RATE 9",'Misc. Data &amp; Mechanisms'!$P$601:$S$632,HLOOKUP('Personalized Bill Menu'!$B$23, 'Misc. Data &amp; Mechanisms'!$P$599:$S$600, 2, FALSE), FALSE), 'Misc. Data &amp; Mechanisms'!$L$599:$N$659, 2, FALSE), FALSE)), ""))</f>
        <v/>
      </c>
      <c r="AG75" s="72">
        <f ca="1">IF($A75="", "", IFERROR(IF('Personalized Bill Menu'!$B$23="ATCO-N", ($X75*$B75) +($Y75*$C75), IF('Personalized Bill Menu'!$B$23="ATCO-S",$X75*$C75, IF($Y75="", ($X75*$H75), ($Y75*($H75+$K75))))), 0))</f>
        <v>0</v>
      </c>
      <c r="AH75" s="72">
        <f ca="1">IF($A75="", "", IFERROR(IF('Personalized Bill Menu'!$B$23="ATCO-S", $Y75*$C75, $Z75*$C75), 0))</f>
        <v>0</v>
      </c>
      <c r="AI75" s="72">
        <f ca="1">IF($A75="", "", IFERROR(IF('Personalized Bill Menu'!$B$23="ATCO-S", ($AA75*$C75)+($Z75*$B75), $AA75*$C75), 0))</f>
        <v>0</v>
      </c>
      <c r="AJ75" s="72">
        <f ca="1">IF($A75="", "", IFERROR(IF('Personalized Bill Menu'!$B$23&lt;&gt;"AltaGas",$AB75*$C75,""),0))</f>
        <v>4.9311036889196433</v>
      </c>
      <c r="AK75" s="72">
        <f ca="1">IF($A75="", "", IFERROR(IF('Personalized Bill Menu'!$B$23="ATCO-S",$AC75*$C75,IF('Personalized Bill Menu'!$B$23="ATCO-N",$AC75*1,"")),0))</f>
        <v>0</v>
      </c>
      <c r="AL75" s="72">
        <f ca="1">IF($A75="", "", IFERROR(IF('Personalized Bill Menu'!$B$23="ATCO-N",$AD75*$B75,IF('Personalized Bill Menu'!$B$23="ATCO-S",$AD75*1,"")),0))</f>
        <v>0</v>
      </c>
      <c r="AM75" s="72">
        <f ca="1">IF($A75="", "", IFERROR(IF('Personalized Bill Menu'!$B$23="ATCO-S",$AE75*$B75,IF('Personalized Bill Menu'!$B$23="ATCO-N",$AE75*$B75,"")),0))</f>
        <v>0</v>
      </c>
      <c r="AN75" s="70">
        <f ca="1">IF($A75="", "", IFERROR(IF('Personalized Bill Menu'!$B$23="ATCO-S",$AF75*$B75,""),0))</f>
        <v>0</v>
      </c>
      <c r="AO75" s="69">
        <f>IF('Personalized Bill Menu'!$B$34="Natural Gas", 'Personalized Bill Menu'!$K72, IF('Personalized Bill Menu'!$B$34="Both",'Personalized Bill Menu'!$O72,""))</f>
        <v>0.249</v>
      </c>
      <c r="AP75" s="72">
        <f t="shared" si="28"/>
        <v>7.47</v>
      </c>
      <c r="AQ75" s="89">
        <f ca="1">IF($A75="", "",IF(VLOOKUP($A75, INDIRECT("'" &amp; 'Personalized Bill Menu'!$B$23 &amp; "'!" &amp;"$A$4:$CA$100"), VLOOKUP(VLOOKUP(AQ$5,'Misc. Data &amp; Mechanisms'!$P$601:$S$632,HLOOKUP('Personalized Bill Menu'!$B$23, 'Misc. Data &amp; Mechanisms'!$P$599:$S$600, 2, FALSE), FALSE), 'Misc. Data &amp; Mechanisms'!$L$599:$N$659, 2, FALSE), FALSE) = "", "", VLOOKUP($A75, INDIRECT("'" &amp; 'Personalized Bill Menu'!$B$23 &amp; "'!" &amp;"$A$4:$CA$100"), VLOOKUP(VLOOKUP(AQ$5,'Misc. Data &amp; Mechanisms'!$P$601:$S$632,HLOOKUP('Personalized Bill Menu'!$B$23, 'Misc. Data &amp; Mechanisms'!$P$599:$S$600, 2, FALSE), FALSE), 'Misc. Data &amp; Mechanisms'!$L$599:$N$659, 2, FALSE), FALSE)))</f>
        <v>1.0109999999999999</v>
      </c>
      <c r="AR75" s="72">
        <f t="shared" ca="1" si="29"/>
        <v>5.3895630589164965</v>
      </c>
      <c r="AS75" s="91">
        <f ca="1">IF($A75="", "",IF(VLOOKUP($A75, INDIRECT("'" &amp; 'Personalized Bill Menu'!$B$23 &amp; "'!" &amp;"$A$4:$CA$100"), VLOOKUP(VLOOKUP(AS$5,'Misc. Data &amp; Mechanisms'!$P$601:$S$632,HLOOKUP('Personalized Bill Menu'!$B$23, 'Misc. Data &amp; Mechanisms'!$P$599:$S$600, 2, FALSE), FALSE), 'Misc. Data &amp; Mechanisms'!$L$599:$N$659, 2, FALSE), FALSE) = "", "", VLOOKUP($A75, INDIRECT("'" &amp; 'Personalized Bill Menu'!$B$23 &amp; "'!" &amp;"$A$4:$CA$100"), VLOOKUP(VLOOKUP(AS$5,'Misc. Data &amp; Mechanisms'!$P$601:$S$632,HLOOKUP('Personalized Bill Menu'!$B$23, 'Misc. Data &amp; Mechanisms'!$P$599:$S$600, 2, FALSE), FALSE), 'Misc. Data &amp; Mechanisms'!$L$599:$N$659, 2, FALSE), FALSE)))</f>
        <v>0.05</v>
      </c>
    </row>
    <row r="76" spans="1:45" x14ac:dyDescent="0.3">
      <c r="A76" s="83">
        <f>'Personalized Bill Menu'!$H73</f>
        <v>43009</v>
      </c>
      <c r="B76" s="84">
        <f t="shared" si="19"/>
        <v>31</v>
      </c>
      <c r="C76" s="85">
        <f>IF('Personalized Bill Menu'!$B$34="Natural Gas", 'Personalized Bill Menu'!$I73, IF('Personalized Bill Menu'!$B$34="Both",'Personalized Bill Menu'!$M73,""))</f>
        <v>9.9233084229462563</v>
      </c>
      <c r="D76" s="66">
        <f t="shared" ca="1" si="20"/>
        <v>8.8595928343732986</v>
      </c>
      <c r="E76" s="66">
        <f ca="1">IF($C76="Not Applicable", "", IFERROR(IFERROR((1+$AS76)*IF('Personalized Bill Menu'!$B$23="ATCO-N", IF(OR('Personalized Bill Menu'!$B$21="Fort McMurray",AND('Personalized Bill Menu'!$B$21="Spruce Grove", $A76&lt;DATE(2019, 5, 1) )),(((1+IF($T76="",0,$T76))*($N76+$P76))+ (IF($U76="", 0, $U76)*$P76)+(1+IF($T76="",0,$T76)+IF($U76="", 0, $U76))*(SUM($Y76:$AB76))),($N76+((1+IF($T76="",0,$T76)+IF($U76="", 0, $U76))*$P76)+(1+IF($T76="",0,$T76)+IF($U76="", 0, $U76))*(SUM($Y76:$AB76)))), IF('Personalized Bill Menu'!$B$23="ATCO-S",IF(OR('Personalized Bill Menu'!$B$21="Calgary",AND('Personalized Bill Menu'!$B$21="Okotoks", $A76&lt;DATE(2019, 1, 1))),((1+IF($T76="",0,$T76))*($N76+$P76+SUM($X76:$Y76,$AA76:$AC76)))+(IF($U76="",0, $U76)*($P76+SUM($X76:$Y76,$AA76:$AC76))), ((1+IF($T76="",0,$T76))*($P76+SUM($Y76,$AA76:$AC76)))+(IF($U76="",0, $U76)*($P76+SUM($X76:$Y76,$AA76:$AC76)))+$N76+IF($X76="", 0, $X76)),IF(AND('Personalized Bill Menu'!$B$21="Athabasca", $A76&lt;DATE(2019, 5, 1)),((1+IF($T76="",0,$T76)+IF($U76="", 0, $U76))*($N76+((1+SUM($X76:$Y76))*$P76)+SUM($Z76:$AA76))),((1+IF($U76="", 0, $U76))*($N76+((1+SUM($X76:$Y76))*$P76)+SUM($Z76:$AA76))) + (IF($T76="",0,$T76)*(((1+SUM($X76:$Y76))*$P76)+SUM($Z76:$AA76)))))), "")+ IF($AQ76="", 0,((1+$AS76)*$AQ76)), ""))</f>
        <v>5.0433435150000001</v>
      </c>
      <c r="F76" s="118">
        <f t="shared" ca="1" si="21"/>
        <v>87.916472197210851</v>
      </c>
      <c r="G76" s="115">
        <f t="shared" si="15"/>
        <v>16.691004767395601</v>
      </c>
      <c r="H76" s="66">
        <f t="shared" ca="1" si="16"/>
        <v>33.511186588894681</v>
      </c>
      <c r="I76" s="66">
        <f t="shared" ca="1" si="17"/>
        <v>6.5972570580389798</v>
      </c>
      <c r="J76" s="66">
        <f t="shared" ca="1" si="22"/>
        <v>9.1790602912252872</v>
      </c>
      <c r="K76" s="66">
        <f t="shared" si="18"/>
        <v>7.7190000000000003</v>
      </c>
      <c r="L76" s="66">
        <f t="shared" ca="1" si="23"/>
        <v>10.032464815598663</v>
      </c>
      <c r="M76" s="68">
        <f t="shared" ca="1" si="24"/>
        <v>4.1864986760576599</v>
      </c>
      <c r="N76" s="1290">
        <f>IF('Personalized Bill Menu'!$B$34="Natural Gas", 'Personalized Bill Menu'!$J73, IF('Personalized Bill Menu'!$B$34="Both",'Personalized Bill Menu'!$N73,""))</f>
        <v>1.6819999999999999</v>
      </c>
      <c r="O76" s="70">
        <f t="shared" si="25"/>
        <v>16.691004767395601</v>
      </c>
      <c r="P76" s="89">
        <f ca="1">IF($A76="", "",IFERROR(IF(VLOOKUP($A76, INDIRECT("'" &amp; 'Personalized Bill Menu'!$B$23 &amp; "'!" &amp;"$A$4:$CA$100"), VLOOKUP(VLOOKUP(P$5,'Misc. Data &amp; Mechanisms'!$P$601:$S$632,HLOOKUP('Personalized Bill Menu'!$B$23, 'Misc. Data &amp; Mechanisms'!$P$599:$S$600, 2, FALSE), FALSE), 'Misc. Data &amp; Mechanisms'!$L$599:$N$659, 2, FALSE), FALSE) = "", "", VLOOKUP($A76, INDIRECT("'" &amp; 'Personalized Bill Menu'!$B$23 &amp; "'!" &amp;"$A$4:$CA$100"), VLOOKUP(VLOOKUP(P$5,'Misc. Data &amp; Mechanisms'!$P$601:$S$632,HLOOKUP('Personalized Bill Menu'!$B$23, 'Misc. Data &amp; Mechanisms'!$P$599:$S$600, 2, FALSE), FALSE), 'Misc. Data &amp; Mechanisms'!$L$599:$N$659, 2, FALSE), FALSE)), ""))</f>
        <v>0.80600000000000005</v>
      </c>
      <c r="Q76" s="69">
        <f ca="1">IF($A76="", "",IFERROR(IF(VLOOKUP($A76, INDIRECT("'" &amp; 'Personalized Bill Menu'!$B$23 &amp; "'!" &amp;"$A$4:$CA$100"), VLOOKUP(VLOOKUP(Q$5,'Misc. Data &amp; Mechanisms'!$P$601:$S$632,HLOOKUP('Personalized Bill Menu'!$B$23, 'Misc. Data &amp; Mechanisms'!$P$599:$S$600, 2, FALSE), FALSE), 'Misc. Data &amp; Mechanisms'!$L$599:$N$659, 2, FALSE), FALSE) = "", "", VLOOKUP($A76, INDIRECT("'" &amp; 'Personalized Bill Menu'!$B$23 &amp; "'!" &amp;"$A$4:$CA$100"), VLOOKUP(VLOOKUP(Q$5,'Misc. Data &amp; Mechanisms'!$P$601:$S$632,HLOOKUP('Personalized Bill Menu'!$B$23, 'Misc. Data &amp; Mechanisms'!$P$599:$S$600, 2, FALSE), FALSE), 'Misc. Data &amp; Mechanisms'!$L$599:$N$659, 2, FALSE), FALSE)), ""))</f>
        <v>0.82299999999999995</v>
      </c>
      <c r="R76" s="72">
        <f t="shared" ca="1" si="26"/>
        <v>7.9981865888946828</v>
      </c>
      <c r="S76" s="70">
        <f t="shared" ca="1" si="27"/>
        <v>25.512999999999998</v>
      </c>
      <c r="T76" s="78">
        <f>IFERROR(IF(VLOOKUP($A76,'Misc. Data &amp; Mechanisms'!$A$63:$DY$152,HLOOKUP('Personalized Bill Menu'!$B$21&amp;"_"&amp;'Personalized Bill Menu'!$B$23&amp;"_NG_Y_1",'Misc. Data &amp; Mechanisms'!$A$55:$DY$62,8,FALSE), FALSE)="", "", VLOOKUP($A76,'Misc. Data &amp; Mechanisms'!$A$63:$DY$152,HLOOKUP('Personalized Bill Menu'!$B$21&amp;"_"&amp;'Personalized Bill Menu'!$B$23&amp;"_NG_Y_1",'Misc. Data &amp; Mechanisms'!$A$55:$DY$62,8,FALSE), FALSE)), "")</f>
        <v>0.1111</v>
      </c>
      <c r="U76" s="78" t="str">
        <f>IFERROR(IF(VLOOKUP($A76,'Misc. Data &amp; Mechanisms'!$A$63:$DY$152,HLOOKUP('Personalized Bill Menu'!$B$21&amp;"_"&amp;'Personalized Bill Menu'!$B$23&amp;"_NG_Y_2",'Misc. Data &amp; Mechanisms'!$A$55:$DY$62,8,FALSE), FALSE)="", "",VLOOKUP($A76,'Misc. Data &amp; Mechanisms'!$A$63:$DY$152,HLOOKUP('Personalized Bill Menu'!$B$21&amp;"_"&amp;'Personalized Bill Menu'!$B$23&amp;"_NG_Y_2",'Misc. Data &amp; Mechanisms'!$A$55:$DY$62,8,FALSE), FALSE)), "")</f>
        <v/>
      </c>
      <c r="V76" s="72">
        <f ca="1">IF($A76="", "", IFERROR(IF('Personalized Bill Menu'!$B$23="ATCO-N", IF(OR('Personalized Bill Menu'!$B$21="Fort McMurray",AND('Personalized Bill Menu'!$B$21="Spruce Grove", $A76&lt;DATE(2019, 5, 1))),$T76*($G76+$H76+$J76),$T76*($H76+$J76)), IF('Personalized Bill Menu'!$B$23="ATCO-S",IF(OR('Personalized Bill Menu'!$B$21="Calgary",AND('Personalized Bill Menu'!$B$21="Okotoks", $A76&lt;DATE(2019, 1, 1))),$T76*($G76+$H76+$J76), $T76*($H76+$J76-$AG76)),IF(AND('Personalized Bill Menu'!$B$21="Athabasca", $A76&lt;DATE(2019, 5, 1)),$T76*($G76+$H76+$J76+$K76),$T76*($H76+$J76+$K76)))),0))</f>
        <v>6.5972570580389798</v>
      </c>
      <c r="W76" s="72">
        <f ca="1">IF($A76="", "", IFERROR(IF('Personalized Bill Menu'!$B$23="ATCO-N", $U76*($H76+$J76), IF('Personalized Bill Menu'!$B$23="ATCO-S",$U76*($H76+$J76),$U76*($G76+$H76+$J76+$K76))),0))</f>
        <v>0</v>
      </c>
      <c r="X76" s="89" t="str">
        <f ca="1">IF($A76="", "",IFERROR(IF(VLOOKUP($A76, INDIRECT("'" &amp; 'Personalized Bill Menu'!$B$23 &amp; "'!" &amp;"$A$4:$CA$100"), VLOOKUP(VLOOKUP("RIDER RATE 1",'Misc. Data &amp; Mechanisms'!$P$601:$S$632,HLOOKUP('Personalized Bill Menu'!$B$23, 'Misc. Data &amp; Mechanisms'!$P$599:$S$600, 2, FALSE), FALSE), 'Misc. Data &amp; Mechanisms'!$L$599:$N$659, 2, FALSE), FALSE) = "", "", VLOOKUP($A76, INDIRECT("'" &amp; 'Personalized Bill Menu'!$B$23 &amp; "'!" &amp;"$A$4:$CA$100"), VLOOKUP(VLOOKUP("RIDER RATE 1",'Misc. Data &amp; Mechanisms'!$P$601:$S$632,HLOOKUP('Personalized Bill Menu'!$B$23, 'Misc. Data &amp; Mechanisms'!$P$599:$S$600, 2, FALSE), FALSE), 'Misc. Data &amp; Mechanisms'!$L$599:$N$659, 2, FALSE), FALSE)), ""))</f>
        <v/>
      </c>
      <c r="Y76" s="69" t="str">
        <f ca="1">IF($A76="", "",IFERROR(IF(VLOOKUP($A76, INDIRECT("'" &amp; 'Personalized Bill Menu'!$B$23 &amp; "'!" &amp;"$A$4:$CA$100"), VLOOKUP(VLOOKUP("RIDER RATE 2",'Misc. Data &amp; Mechanisms'!$P$601:$S$632,HLOOKUP('Personalized Bill Menu'!$B$23, 'Misc. Data &amp; Mechanisms'!$P$599:$S$600, 2, FALSE), FALSE), 'Misc. Data &amp; Mechanisms'!$L$599:$N$659, 2, FALSE), FALSE) = "", "", VLOOKUP($A76, INDIRECT("'" &amp; 'Personalized Bill Menu'!$B$23 &amp; "'!" &amp;"$A$4:$CA$100"), VLOOKUP(VLOOKUP("RIDER RATE 2",'Misc. Data &amp; Mechanisms'!$P$601:$S$632,HLOOKUP('Personalized Bill Menu'!$B$23, 'Misc. Data &amp; Mechanisms'!$P$599:$S$600, 2, FALSE), FALSE), 'Misc. Data &amp; Mechanisms'!$L$599:$N$659, 2, FALSE), FALSE)), ""))</f>
        <v/>
      </c>
      <c r="Z76" s="69" t="str">
        <f ca="1">IF($A76="", "",IFERROR(IF(VLOOKUP($A76, INDIRECT("'" &amp; 'Personalized Bill Menu'!$B$23 &amp; "'!" &amp;"$A$4:$CA$100"), VLOOKUP(VLOOKUP("RIDER RATE 3",'Misc. Data &amp; Mechanisms'!$P$601:$S$632,HLOOKUP('Personalized Bill Menu'!$B$23, 'Misc. Data &amp; Mechanisms'!$P$599:$S$600, 2, FALSE), FALSE), 'Misc. Data &amp; Mechanisms'!$L$599:$N$659, 2, FALSE), FALSE) = "", "", VLOOKUP($A76, INDIRECT("'" &amp; 'Personalized Bill Menu'!$B$23 &amp; "'!" &amp;"$A$4:$CA$100"), VLOOKUP(VLOOKUP("RIDER RATE 3",'Misc. Data &amp; Mechanisms'!$P$601:$S$632,HLOOKUP('Personalized Bill Menu'!$B$23, 'Misc. Data &amp; Mechanisms'!$P$599:$S$600, 2, FALSE), FALSE), 'Misc. Data &amp; Mechanisms'!$L$599:$N$659, 2, FALSE), FALSE)), ""))</f>
        <v/>
      </c>
      <c r="AA76" s="69" t="str">
        <f ca="1">IF($A76="", "",IFERROR(IF(VLOOKUP($A76, INDIRECT("'" &amp; 'Personalized Bill Menu'!$B$23 &amp; "'!" &amp;"$A$4:$CA$100"), VLOOKUP(VLOOKUP("RIDER RATE 4",'Misc. Data &amp; Mechanisms'!$P$601:$S$632,HLOOKUP('Personalized Bill Menu'!$B$23, 'Misc. Data &amp; Mechanisms'!$P$599:$S$600, 2, FALSE), FALSE), 'Misc. Data &amp; Mechanisms'!$L$599:$N$659, 2, FALSE), FALSE) = "", "", VLOOKUP($A76, INDIRECT("'" &amp; 'Personalized Bill Menu'!$B$23 &amp; "'!" &amp;"$A$4:$CA$100"), VLOOKUP(VLOOKUP("RIDER RATE 4",'Misc. Data &amp; Mechanisms'!$P$601:$S$632,HLOOKUP('Personalized Bill Menu'!$B$23, 'Misc. Data &amp; Mechanisms'!$P$599:$S$600, 2, FALSE), FALSE), 'Misc. Data &amp; Mechanisms'!$L$599:$N$659, 2, FALSE), FALSE)), ""))</f>
        <v/>
      </c>
      <c r="AB76" s="69">
        <f ca="1">IF($A76="", "",IFERROR(IF(VLOOKUP($A76, INDIRECT("'" &amp; 'Personalized Bill Menu'!$B$23 &amp; "'!" &amp;"$A$4:$CA$100"), VLOOKUP(VLOOKUP("RIDER RATE 5",'Misc. Data &amp; Mechanisms'!$P$601:$S$632,HLOOKUP('Personalized Bill Menu'!$B$23, 'Misc. Data &amp; Mechanisms'!$P$599:$S$600, 2, FALSE), FALSE), 'Misc. Data &amp; Mechanisms'!$L$599:$N$659, 2, FALSE), FALSE) = "", "", VLOOKUP($A76, INDIRECT("'" &amp; 'Personalized Bill Menu'!$B$23 &amp; "'!" &amp;"$A$4:$CA$100"), VLOOKUP(VLOOKUP("RIDER RATE 5",'Misc. Data &amp; Mechanisms'!$P$601:$S$632,HLOOKUP('Personalized Bill Menu'!$B$23, 'Misc. Data &amp; Mechanisms'!$P$599:$S$600, 2, FALSE), FALSE), 'Misc. Data &amp; Mechanisms'!$L$599:$N$659, 2, FALSE), FALSE)), ""))</f>
        <v>0.92500000000000004</v>
      </c>
      <c r="AC76" s="69" t="str">
        <f ca="1">IF($A76="", "",IFERROR(IF(VLOOKUP($A76, INDIRECT("'" &amp; 'Personalized Bill Menu'!$B$23 &amp; "'!" &amp;"$A$4:$CA$100"), VLOOKUP(VLOOKUP("RIDER RATE 6",'Misc. Data &amp; Mechanisms'!$P$601:$S$632,HLOOKUP('Personalized Bill Menu'!$B$23, 'Misc. Data &amp; Mechanisms'!$P$599:$S$600, 2, FALSE), FALSE), 'Misc. Data &amp; Mechanisms'!$L$599:$N$659, 2, FALSE), FALSE) = "", "", VLOOKUP($A76, INDIRECT("'" &amp; 'Personalized Bill Menu'!$B$23 &amp; "'!" &amp;"$A$4:$CA$100"), VLOOKUP(VLOOKUP("RIDER RATE 6",'Misc. Data &amp; Mechanisms'!$P$601:$S$632,HLOOKUP('Personalized Bill Menu'!$B$23, 'Misc. Data &amp; Mechanisms'!$P$599:$S$600, 2, FALSE), FALSE), 'Misc. Data &amp; Mechanisms'!$L$599:$N$659, 2, FALSE), FALSE)), ""))</f>
        <v/>
      </c>
      <c r="AD76" s="69" t="str">
        <f ca="1">IF($A76="", "",IFERROR(IF(VLOOKUP($A76, INDIRECT("'" &amp; 'Personalized Bill Menu'!$B$23 &amp; "'!" &amp;"$A$4:$CA$100"), VLOOKUP(VLOOKUP("RIDER RATE 7",'Misc. Data &amp; Mechanisms'!$P$601:$S$632,HLOOKUP('Personalized Bill Menu'!$B$23, 'Misc. Data &amp; Mechanisms'!$P$599:$S$600, 2, FALSE), FALSE), 'Misc. Data &amp; Mechanisms'!$L$599:$N$659, 2, FALSE), FALSE) = "", "", VLOOKUP($A76, INDIRECT("'" &amp; 'Personalized Bill Menu'!$B$23 &amp; "'!" &amp;"$A$4:$CA$100"), VLOOKUP(VLOOKUP("RIDER RATE 7",'Misc. Data &amp; Mechanisms'!$P$601:$S$632,HLOOKUP('Personalized Bill Menu'!$B$23, 'Misc. Data &amp; Mechanisms'!$P$599:$S$600, 2, FALSE), FALSE), 'Misc. Data &amp; Mechanisms'!$L$599:$N$659, 2, FALSE), FALSE)), ""))</f>
        <v/>
      </c>
      <c r="AE76" s="69" t="str">
        <f ca="1">IF($A76="", "",IFERROR(IF(VLOOKUP($A76, INDIRECT("'" &amp; 'Personalized Bill Menu'!$B$23 &amp; "'!" &amp;"$A$4:$CA$100"), VLOOKUP(VLOOKUP("RIDER RATE 8",'Misc. Data &amp; Mechanisms'!$P$601:$S$632,HLOOKUP('Personalized Bill Menu'!$B$23, 'Misc. Data &amp; Mechanisms'!$P$599:$S$600, 2, FALSE), FALSE), 'Misc. Data &amp; Mechanisms'!$L$599:$N$659, 2, FALSE), FALSE) = "", "", VLOOKUP($A76, INDIRECT("'" &amp; 'Personalized Bill Menu'!$B$23 &amp; "'!" &amp;"$A$4:$CA$100"), VLOOKUP(VLOOKUP("RIDER RATE 8",'Misc. Data &amp; Mechanisms'!$P$601:$S$632,HLOOKUP('Personalized Bill Menu'!$B$23, 'Misc. Data &amp; Mechanisms'!$P$599:$S$600, 2, FALSE), FALSE), 'Misc. Data &amp; Mechanisms'!$L$599:$N$659, 2, FALSE), FALSE)), ""))</f>
        <v/>
      </c>
      <c r="AF76" s="69" t="str">
        <f ca="1">IF($A76="", "",IFERROR(IF(VLOOKUP($A76, INDIRECT("'" &amp; 'Personalized Bill Menu'!$B$23 &amp; "'!" &amp;"$A$4:$CA$100"), VLOOKUP(VLOOKUP("RIDER RATE 9",'Misc. Data &amp; Mechanisms'!$P$601:$S$632,HLOOKUP('Personalized Bill Menu'!$B$23, 'Misc. Data &amp; Mechanisms'!$P$599:$S$600, 2, FALSE), FALSE), 'Misc. Data &amp; Mechanisms'!$L$599:$N$659, 2, FALSE), FALSE) = "", "", VLOOKUP($A76, INDIRECT("'" &amp; 'Personalized Bill Menu'!$B$23 &amp; "'!" &amp;"$A$4:$CA$100"), VLOOKUP(VLOOKUP("RIDER RATE 9",'Misc. Data &amp; Mechanisms'!$P$601:$S$632,HLOOKUP('Personalized Bill Menu'!$B$23, 'Misc. Data &amp; Mechanisms'!$P$599:$S$600, 2, FALSE), FALSE), 'Misc. Data &amp; Mechanisms'!$L$599:$N$659, 2, FALSE), FALSE)), ""))</f>
        <v/>
      </c>
      <c r="AG76" s="72">
        <f ca="1">IF($A76="", "", IFERROR(IF('Personalized Bill Menu'!$B$23="ATCO-N", ($X76*$B76) +($Y76*$C76), IF('Personalized Bill Menu'!$B$23="ATCO-S",$X76*$C76, IF($Y76="", ($X76*$H76), ($Y76*($H76+$K76))))), 0))</f>
        <v>0</v>
      </c>
      <c r="AH76" s="72">
        <f ca="1">IF($A76="", "", IFERROR(IF('Personalized Bill Menu'!$B$23="ATCO-S", $Y76*$C76, $Z76*$C76), 0))</f>
        <v>0</v>
      </c>
      <c r="AI76" s="72">
        <f ca="1">IF($A76="", "", IFERROR(IF('Personalized Bill Menu'!$B$23="ATCO-S", ($AA76*$C76)+($Z76*$B76), $AA76*$C76), 0))</f>
        <v>0</v>
      </c>
      <c r="AJ76" s="72">
        <f ca="1">IF($A76="", "", IFERROR(IF('Personalized Bill Menu'!$B$23&lt;&gt;"AltaGas",$AB76*$C76,""),0))</f>
        <v>9.1790602912252872</v>
      </c>
      <c r="AK76" s="72">
        <f ca="1">IF($A76="", "", IFERROR(IF('Personalized Bill Menu'!$B$23="ATCO-S",$AC76*$C76,IF('Personalized Bill Menu'!$B$23="ATCO-N",$AC76*1,"")),0))</f>
        <v>0</v>
      </c>
      <c r="AL76" s="72">
        <f ca="1">IF($A76="", "", IFERROR(IF('Personalized Bill Menu'!$B$23="ATCO-N",$AD76*$B76,IF('Personalized Bill Menu'!$B$23="ATCO-S",$AD76*1,"")),0))</f>
        <v>0</v>
      </c>
      <c r="AM76" s="72">
        <f ca="1">IF($A76="", "", IFERROR(IF('Personalized Bill Menu'!$B$23="ATCO-S",$AE76*$B76,IF('Personalized Bill Menu'!$B$23="ATCO-N",$AE76*$B76,"")),0))</f>
        <v>0</v>
      </c>
      <c r="AN76" s="70">
        <f ca="1">IF($A76="", "", IFERROR(IF('Personalized Bill Menu'!$B$23="ATCO-S",$AF76*$B76,""),0))</f>
        <v>0</v>
      </c>
      <c r="AO76" s="69">
        <f>IF('Personalized Bill Menu'!$B$34="Natural Gas", 'Personalized Bill Menu'!$K73, IF('Personalized Bill Menu'!$B$34="Both",'Personalized Bill Menu'!$O73,""))</f>
        <v>0.249</v>
      </c>
      <c r="AP76" s="72">
        <f t="shared" si="28"/>
        <v>7.7190000000000003</v>
      </c>
      <c r="AQ76" s="89">
        <f ca="1">IF($A76="", "",IF(VLOOKUP($A76, INDIRECT("'" &amp; 'Personalized Bill Menu'!$B$23 &amp; "'!" &amp;"$A$4:$CA$100"), VLOOKUP(VLOOKUP(AQ$5,'Misc. Data &amp; Mechanisms'!$P$601:$S$632,HLOOKUP('Personalized Bill Menu'!$B$23, 'Misc. Data &amp; Mechanisms'!$P$599:$S$600, 2, FALSE), FALSE), 'Misc. Data &amp; Mechanisms'!$L$599:$N$659, 2, FALSE), FALSE) = "", "", VLOOKUP($A76, INDIRECT("'" &amp; 'Personalized Bill Menu'!$B$23 &amp; "'!" &amp;"$A$4:$CA$100"), VLOOKUP(VLOOKUP(AQ$5,'Misc. Data &amp; Mechanisms'!$P$601:$S$632,HLOOKUP('Personalized Bill Menu'!$B$23, 'Misc. Data &amp; Mechanisms'!$P$599:$S$600, 2, FALSE), FALSE), 'Misc. Data &amp; Mechanisms'!$L$599:$N$659, 2, FALSE), FALSE)))</f>
        <v>1.0109999999999999</v>
      </c>
      <c r="AR76" s="72">
        <f t="shared" ca="1" si="29"/>
        <v>10.032464815598663</v>
      </c>
      <c r="AS76" s="91">
        <f ca="1">IF($A76="", "",IF(VLOOKUP($A76, INDIRECT("'" &amp; 'Personalized Bill Menu'!$B$23 &amp; "'!" &amp;"$A$4:$CA$100"), VLOOKUP(VLOOKUP(AS$5,'Misc. Data &amp; Mechanisms'!$P$601:$S$632,HLOOKUP('Personalized Bill Menu'!$B$23, 'Misc. Data &amp; Mechanisms'!$P$599:$S$600, 2, FALSE), FALSE), 'Misc. Data &amp; Mechanisms'!$L$599:$N$659, 2, FALSE), FALSE) = "", "", VLOOKUP($A76, INDIRECT("'" &amp; 'Personalized Bill Menu'!$B$23 &amp; "'!" &amp;"$A$4:$CA$100"), VLOOKUP(VLOOKUP(AS$5,'Misc. Data &amp; Mechanisms'!$P$601:$S$632,HLOOKUP('Personalized Bill Menu'!$B$23, 'Misc. Data &amp; Mechanisms'!$P$599:$S$600, 2, FALSE), FALSE), 'Misc. Data &amp; Mechanisms'!$L$599:$N$659, 2, FALSE), FALSE)))</f>
        <v>0.05</v>
      </c>
    </row>
    <row r="77" spans="1:45" x14ac:dyDescent="0.3">
      <c r="A77" s="83">
        <f>'Personalized Bill Menu'!$H74</f>
        <v>43040</v>
      </c>
      <c r="B77" s="84">
        <f t="shared" si="19"/>
        <v>30</v>
      </c>
      <c r="C77" s="85">
        <f>IF('Personalized Bill Menu'!$B$34="Natural Gas", 'Personalized Bill Menu'!$I74, IF('Personalized Bill Menu'!$B$34="Both",'Personalized Bill Menu'!$M74,""))</f>
        <v>17.884936436085585</v>
      </c>
      <c r="D77" s="66">
        <f t="shared" ca="1" si="20"/>
        <v>7.2592857307121994</v>
      </c>
      <c r="E77" s="66">
        <f ca="1">IF($C77="Not Applicable", "", IFERROR(IFERROR((1+$AS77)*IF('Personalized Bill Menu'!$B$23="ATCO-N", IF(OR('Personalized Bill Menu'!$B$21="Fort McMurray",AND('Personalized Bill Menu'!$B$21="Spruce Grove", $A77&lt;DATE(2019, 5, 1) )),(((1+IF($T77="",0,$T77))*($N77+$P77))+ (IF($U77="", 0, $U77)*$P77)+(1+IF($T77="",0,$T77)+IF($U77="", 0, $U77))*(SUM($Y77:$AB77))),($N77+((1+IF($T77="",0,$T77)+IF($U77="", 0, $U77))*$P77)+(1+IF($T77="",0,$T77)+IF($U77="", 0, $U77))*(SUM($Y77:$AB77)))), IF('Personalized Bill Menu'!$B$23="ATCO-S",IF(OR('Personalized Bill Menu'!$B$21="Calgary",AND('Personalized Bill Menu'!$B$21="Okotoks", $A77&lt;DATE(2019, 1, 1))),((1+IF($T77="",0,$T77))*($N77+$P77+SUM($X77:$Y77,$AA77:$AC77)))+(IF($U77="",0, $U77)*($P77+SUM($X77:$Y77,$AA77:$AC77))), ((1+IF($T77="",0,$T77))*($P77+SUM($Y77,$AA77:$AC77)))+(IF($U77="",0, $U77)*($P77+SUM($X77:$Y77,$AA77:$AC77)))+$N77+IF($X77="", 0, $X77)),IF(AND('Personalized Bill Menu'!$B$21="Athabasca", $A77&lt;DATE(2019, 5, 1)),((1+IF($T77="",0,$T77)+IF($U77="", 0, $U77))*($N77+((1+SUM($X77:$Y77))*$P77)+SUM($Z77:$AA77))),((1+IF($U77="", 0, $U77))*($N77+((1+SUM($X77:$Y77))*$P77)+SUM($Z77:$AA77))) + (IF($T77="",0,$T77)*(((1+SUM($X77:$Y77))*$P77)+SUM($Z77:$AA77)))))), "")+ IF($AQ77="", 0,((1+$AS77)*$AQ77)), ""))</f>
        <v>5.2101751800000002</v>
      </c>
      <c r="F77" s="118">
        <f t="shared" ca="1" si="21"/>
        <v>129.83186386517079</v>
      </c>
      <c r="G77" s="115">
        <f t="shared" si="15"/>
        <v>32.640008995856192</v>
      </c>
      <c r="H77" s="66">
        <f t="shared" ca="1" si="16"/>
        <v>39.105258767484983</v>
      </c>
      <c r="I77" s="66">
        <f t="shared" ca="1" si="17"/>
        <v>9.8088894537026317</v>
      </c>
      <c r="J77" s="66">
        <f t="shared" ca="1" si="22"/>
        <v>16.543566203379168</v>
      </c>
      <c r="K77" s="66">
        <f t="shared" si="18"/>
        <v>7.47</v>
      </c>
      <c r="L77" s="66">
        <f t="shared" ca="1" si="23"/>
        <v>18.081670736882526</v>
      </c>
      <c r="M77" s="68">
        <f t="shared" ca="1" si="24"/>
        <v>6.1824697078652759</v>
      </c>
      <c r="N77" s="1290">
        <f>IF('Personalized Bill Menu'!$B$34="Natural Gas", 'Personalized Bill Menu'!$J74, IF('Personalized Bill Menu'!$B$34="Both",'Personalized Bill Menu'!$N74,""))</f>
        <v>1.825</v>
      </c>
      <c r="O77" s="70">
        <f t="shared" si="25"/>
        <v>32.640008995856192</v>
      </c>
      <c r="P77" s="89">
        <f ca="1">IF($A77="", "",IFERROR(IF(VLOOKUP($A77, INDIRECT("'" &amp; 'Personalized Bill Menu'!$B$23 &amp; "'!" &amp;"$A$4:$CA$100"), VLOOKUP(VLOOKUP(P$5,'Misc. Data &amp; Mechanisms'!$P$601:$S$632,HLOOKUP('Personalized Bill Menu'!$B$23, 'Misc. Data &amp; Mechanisms'!$P$599:$S$600, 2, FALSE), FALSE), 'Misc. Data &amp; Mechanisms'!$L$599:$N$659, 2, FALSE), FALSE) = "", "", VLOOKUP($A77, INDIRECT("'" &amp; 'Personalized Bill Menu'!$B$23 &amp; "'!" &amp;"$A$4:$CA$100"), VLOOKUP(VLOOKUP(P$5,'Misc. Data &amp; Mechanisms'!$P$601:$S$632,HLOOKUP('Personalized Bill Menu'!$B$23, 'Misc. Data &amp; Mechanisms'!$P$599:$S$600, 2, FALSE), FALSE), 'Misc. Data &amp; Mechanisms'!$L$599:$N$659, 2, FALSE), FALSE)), ""))</f>
        <v>0.80600000000000005</v>
      </c>
      <c r="Q77" s="69">
        <f ca="1">IF($A77="", "",IFERROR(IF(VLOOKUP($A77, INDIRECT("'" &amp; 'Personalized Bill Menu'!$B$23 &amp; "'!" &amp;"$A$4:$CA$100"), VLOOKUP(VLOOKUP(Q$5,'Misc. Data &amp; Mechanisms'!$P$601:$S$632,HLOOKUP('Personalized Bill Menu'!$B$23, 'Misc. Data &amp; Mechanisms'!$P$599:$S$600, 2, FALSE), FALSE), 'Misc. Data &amp; Mechanisms'!$L$599:$N$659, 2, FALSE), FALSE) = "", "", VLOOKUP($A77, INDIRECT("'" &amp; 'Personalized Bill Menu'!$B$23 &amp; "'!" &amp;"$A$4:$CA$100"), VLOOKUP(VLOOKUP(Q$5,'Misc. Data &amp; Mechanisms'!$P$601:$S$632,HLOOKUP('Personalized Bill Menu'!$B$23, 'Misc. Data &amp; Mechanisms'!$P$599:$S$600, 2, FALSE), FALSE), 'Misc. Data &amp; Mechanisms'!$L$599:$N$659, 2, FALSE), FALSE)), ""))</f>
        <v>0.82299999999999995</v>
      </c>
      <c r="R77" s="72">
        <f t="shared" ca="1" si="26"/>
        <v>14.415258767484982</v>
      </c>
      <c r="S77" s="70">
        <f t="shared" ca="1" si="27"/>
        <v>24.689999999999998</v>
      </c>
      <c r="T77" s="78">
        <f>IFERROR(IF(VLOOKUP($A77,'Misc. Data &amp; Mechanisms'!$A$63:$DY$152,HLOOKUP('Personalized Bill Menu'!$B$21&amp;"_"&amp;'Personalized Bill Menu'!$B$23&amp;"_NG_Y_1",'Misc. Data &amp; Mechanisms'!$A$55:$DY$62,8,FALSE), FALSE)="", "", VLOOKUP($A77,'Misc. Data &amp; Mechanisms'!$A$63:$DY$152,HLOOKUP('Personalized Bill Menu'!$B$21&amp;"_"&amp;'Personalized Bill Menu'!$B$23&amp;"_NG_Y_1",'Misc. Data &amp; Mechanisms'!$A$55:$DY$62,8,FALSE), FALSE)), "")</f>
        <v>0.1111</v>
      </c>
      <c r="U77" s="78" t="str">
        <f>IFERROR(IF(VLOOKUP($A77,'Misc. Data &amp; Mechanisms'!$A$63:$DY$152,HLOOKUP('Personalized Bill Menu'!$B$21&amp;"_"&amp;'Personalized Bill Menu'!$B$23&amp;"_NG_Y_2",'Misc. Data &amp; Mechanisms'!$A$55:$DY$62,8,FALSE), FALSE)="", "",VLOOKUP($A77,'Misc. Data &amp; Mechanisms'!$A$63:$DY$152,HLOOKUP('Personalized Bill Menu'!$B$21&amp;"_"&amp;'Personalized Bill Menu'!$B$23&amp;"_NG_Y_2",'Misc. Data &amp; Mechanisms'!$A$55:$DY$62,8,FALSE), FALSE)), "")</f>
        <v/>
      </c>
      <c r="V77" s="72">
        <f ca="1">IF($A77="", "", IFERROR(IF('Personalized Bill Menu'!$B$23="ATCO-N", IF(OR('Personalized Bill Menu'!$B$21="Fort McMurray",AND('Personalized Bill Menu'!$B$21="Spruce Grove", $A77&lt;DATE(2019, 5, 1))),$T77*($G77+$H77+$J77),$T77*($H77+$J77)), IF('Personalized Bill Menu'!$B$23="ATCO-S",IF(OR('Personalized Bill Menu'!$B$21="Calgary",AND('Personalized Bill Menu'!$B$21="Okotoks", $A77&lt;DATE(2019, 1, 1))),$T77*($G77+$H77+$J77), $T77*($H77+$J77-$AG77)),IF(AND('Personalized Bill Menu'!$B$21="Athabasca", $A77&lt;DATE(2019, 5, 1)),$T77*($G77+$H77+$J77+$K77),$T77*($H77+$J77+$K77)))),0))</f>
        <v>9.8088894537026317</v>
      </c>
      <c r="W77" s="72">
        <f ca="1">IF($A77="", "", IFERROR(IF('Personalized Bill Menu'!$B$23="ATCO-N", $U77*($H77+$J77), IF('Personalized Bill Menu'!$B$23="ATCO-S",$U77*($H77+$J77),$U77*($G77+$H77+$J77+$K77))),0))</f>
        <v>0</v>
      </c>
      <c r="X77" s="89" t="str">
        <f ca="1">IF($A77="", "",IFERROR(IF(VLOOKUP($A77, INDIRECT("'" &amp; 'Personalized Bill Menu'!$B$23 &amp; "'!" &amp;"$A$4:$CA$100"), VLOOKUP(VLOOKUP("RIDER RATE 1",'Misc. Data &amp; Mechanisms'!$P$601:$S$632,HLOOKUP('Personalized Bill Menu'!$B$23, 'Misc. Data &amp; Mechanisms'!$P$599:$S$600, 2, FALSE), FALSE), 'Misc. Data &amp; Mechanisms'!$L$599:$N$659, 2, FALSE), FALSE) = "", "", VLOOKUP($A77, INDIRECT("'" &amp; 'Personalized Bill Menu'!$B$23 &amp; "'!" &amp;"$A$4:$CA$100"), VLOOKUP(VLOOKUP("RIDER RATE 1",'Misc. Data &amp; Mechanisms'!$P$601:$S$632,HLOOKUP('Personalized Bill Menu'!$B$23, 'Misc. Data &amp; Mechanisms'!$P$599:$S$600, 2, FALSE), FALSE), 'Misc. Data &amp; Mechanisms'!$L$599:$N$659, 2, FALSE), FALSE)), ""))</f>
        <v/>
      </c>
      <c r="Y77" s="69" t="str">
        <f ca="1">IF($A77="", "",IFERROR(IF(VLOOKUP($A77, INDIRECT("'" &amp; 'Personalized Bill Menu'!$B$23 &amp; "'!" &amp;"$A$4:$CA$100"), VLOOKUP(VLOOKUP("RIDER RATE 2",'Misc. Data &amp; Mechanisms'!$P$601:$S$632,HLOOKUP('Personalized Bill Menu'!$B$23, 'Misc. Data &amp; Mechanisms'!$P$599:$S$600, 2, FALSE), FALSE), 'Misc. Data &amp; Mechanisms'!$L$599:$N$659, 2, FALSE), FALSE) = "", "", VLOOKUP($A77, INDIRECT("'" &amp; 'Personalized Bill Menu'!$B$23 &amp; "'!" &amp;"$A$4:$CA$100"), VLOOKUP(VLOOKUP("RIDER RATE 2",'Misc. Data &amp; Mechanisms'!$P$601:$S$632,HLOOKUP('Personalized Bill Menu'!$B$23, 'Misc. Data &amp; Mechanisms'!$P$599:$S$600, 2, FALSE), FALSE), 'Misc. Data &amp; Mechanisms'!$L$599:$N$659, 2, FALSE), FALSE)), ""))</f>
        <v/>
      </c>
      <c r="Z77" s="69" t="str">
        <f ca="1">IF($A77="", "",IFERROR(IF(VLOOKUP($A77, INDIRECT("'" &amp; 'Personalized Bill Menu'!$B$23 &amp; "'!" &amp;"$A$4:$CA$100"), VLOOKUP(VLOOKUP("RIDER RATE 3",'Misc. Data &amp; Mechanisms'!$P$601:$S$632,HLOOKUP('Personalized Bill Menu'!$B$23, 'Misc. Data &amp; Mechanisms'!$P$599:$S$600, 2, FALSE), FALSE), 'Misc. Data &amp; Mechanisms'!$L$599:$N$659, 2, FALSE), FALSE) = "", "", VLOOKUP($A77, INDIRECT("'" &amp; 'Personalized Bill Menu'!$B$23 &amp; "'!" &amp;"$A$4:$CA$100"), VLOOKUP(VLOOKUP("RIDER RATE 3",'Misc. Data &amp; Mechanisms'!$P$601:$S$632,HLOOKUP('Personalized Bill Menu'!$B$23, 'Misc. Data &amp; Mechanisms'!$P$599:$S$600, 2, FALSE), FALSE), 'Misc. Data &amp; Mechanisms'!$L$599:$N$659, 2, FALSE), FALSE)), ""))</f>
        <v/>
      </c>
      <c r="AA77" s="69" t="str">
        <f ca="1">IF($A77="", "",IFERROR(IF(VLOOKUP($A77, INDIRECT("'" &amp; 'Personalized Bill Menu'!$B$23 &amp; "'!" &amp;"$A$4:$CA$100"), VLOOKUP(VLOOKUP("RIDER RATE 4",'Misc. Data &amp; Mechanisms'!$P$601:$S$632,HLOOKUP('Personalized Bill Menu'!$B$23, 'Misc. Data &amp; Mechanisms'!$P$599:$S$600, 2, FALSE), FALSE), 'Misc. Data &amp; Mechanisms'!$L$599:$N$659, 2, FALSE), FALSE) = "", "", VLOOKUP($A77, INDIRECT("'" &amp; 'Personalized Bill Menu'!$B$23 &amp; "'!" &amp;"$A$4:$CA$100"), VLOOKUP(VLOOKUP("RIDER RATE 4",'Misc. Data &amp; Mechanisms'!$P$601:$S$632,HLOOKUP('Personalized Bill Menu'!$B$23, 'Misc. Data &amp; Mechanisms'!$P$599:$S$600, 2, FALSE), FALSE), 'Misc. Data &amp; Mechanisms'!$L$599:$N$659, 2, FALSE), FALSE)), ""))</f>
        <v/>
      </c>
      <c r="AB77" s="69">
        <f ca="1">IF($A77="", "",IFERROR(IF(VLOOKUP($A77, INDIRECT("'" &amp; 'Personalized Bill Menu'!$B$23 &amp; "'!" &amp;"$A$4:$CA$100"), VLOOKUP(VLOOKUP("RIDER RATE 5",'Misc. Data &amp; Mechanisms'!$P$601:$S$632,HLOOKUP('Personalized Bill Menu'!$B$23, 'Misc. Data &amp; Mechanisms'!$P$599:$S$600, 2, FALSE), FALSE), 'Misc. Data &amp; Mechanisms'!$L$599:$N$659, 2, FALSE), FALSE) = "", "", VLOOKUP($A77, INDIRECT("'" &amp; 'Personalized Bill Menu'!$B$23 &amp; "'!" &amp;"$A$4:$CA$100"), VLOOKUP(VLOOKUP("RIDER RATE 5",'Misc. Data &amp; Mechanisms'!$P$601:$S$632,HLOOKUP('Personalized Bill Menu'!$B$23, 'Misc. Data &amp; Mechanisms'!$P$599:$S$600, 2, FALSE), FALSE), 'Misc. Data &amp; Mechanisms'!$L$599:$N$659, 2, FALSE), FALSE)), ""))</f>
        <v>0.92500000000000004</v>
      </c>
      <c r="AC77" s="69" t="str">
        <f ca="1">IF($A77="", "",IFERROR(IF(VLOOKUP($A77, INDIRECT("'" &amp; 'Personalized Bill Menu'!$B$23 &amp; "'!" &amp;"$A$4:$CA$100"), VLOOKUP(VLOOKUP("RIDER RATE 6",'Misc. Data &amp; Mechanisms'!$P$601:$S$632,HLOOKUP('Personalized Bill Menu'!$B$23, 'Misc. Data &amp; Mechanisms'!$P$599:$S$600, 2, FALSE), FALSE), 'Misc. Data &amp; Mechanisms'!$L$599:$N$659, 2, FALSE), FALSE) = "", "", VLOOKUP($A77, INDIRECT("'" &amp; 'Personalized Bill Menu'!$B$23 &amp; "'!" &amp;"$A$4:$CA$100"), VLOOKUP(VLOOKUP("RIDER RATE 6",'Misc. Data &amp; Mechanisms'!$P$601:$S$632,HLOOKUP('Personalized Bill Menu'!$B$23, 'Misc. Data &amp; Mechanisms'!$P$599:$S$600, 2, FALSE), FALSE), 'Misc. Data &amp; Mechanisms'!$L$599:$N$659, 2, FALSE), FALSE)), ""))</f>
        <v/>
      </c>
      <c r="AD77" s="69" t="str">
        <f ca="1">IF($A77="", "",IFERROR(IF(VLOOKUP($A77, INDIRECT("'" &amp; 'Personalized Bill Menu'!$B$23 &amp; "'!" &amp;"$A$4:$CA$100"), VLOOKUP(VLOOKUP("RIDER RATE 7",'Misc. Data &amp; Mechanisms'!$P$601:$S$632,HLOOKUP('Personalized Bill Menu'!$B$23, 'Misc. Data &amp; Mechanisms'!$P$599:$S$600, 2, FALSE), FALSE), 'Misc. Data &amp; Mechanisms'!$L$599:$N$659, 2, FALSE), FALSE) = "", "", VLOOKUP($A77, INDIRECT("'" &amp; 'Personalized Bill Menu'!$B$23 &amp; "'!" &amp;"$A$4:$CA$100"), VLOOKUP(VLOOKUP("RIDER RATE 7",'Misc. Data &amp; Mechanisms'!$P$601:$S$632,HLOOKUP('Personalized Bill Menu'!$B$23, 'Misc. Data &amp; Mechanisms'!$P$599:$S$600, 2, FALSE), FALSE), 'Misc. Data &amp; Mechanisms'!$L$599:$N$659, 2, FALSE), FALSE)), ""))</f>
        <v/>
      </c>
      <c r="AE77" s="69" t="str">
        <f ca="1">IF($A77="", "",IFERROR(IF(VLOOKUP($A77, INDIRECT("'" &amp; 'Personalized Bill Menu'!$B$23 &amp; "'!" &amp;"$A$4:$CA$100"), VLOOKUP(VLOOKUP("RIDER RATE 8",'Misc. Data &amp; Mechanisms'!$P$601:$S$632,HLOOKUP('Personalized Bill Menu'!$B$23, 'Misc. Data &amp; Mechanisms'!$P$599:$S$600, 2, FALSE), FALSE), 'Misc. Data &amp; Mechanisms'!$L$599:$N$659, 2, FALSE), FALSE) = "", "", VLOOKUP($A77, INDIRECT("'" &amp; 'Personalized Bill Menu'!$B$23 &amp; "'!" &amp;"$A$4:$CA$100"), VLOOKUP(VLOOKUP("RIDER RATE 8",'Misc. Data &amp; Mechanisms'!$P$601:$S$632,HLOOKUP('Personalized Bill Menu'!$B$23, 'Misc. Data &amp; Mechanisms'!$P$599:$S$600, 2, FALSE), FALSE), 'Misc. Data &amp; Mechanisms'!$L$599:$N$659, 2, FALSE), FALSE)), ""))</f>
        <v/>
      </c>
      <c r="AF77" s="69" t="str">
        <f ca="1">IF($A77="", "",IFERROR(IF(VLOOKUP($A77, INDIRECT("'" &amp; 'Personalized Bill Menu'!$B$23 &amp; "'!" &amp;"$A$4:$CA$100"), VLOOKUP(VLOOKUP("RIDER RATE 9",'Misc. Data &amp; Mechanisms'!$P$601:$S$632,HLOOKUP('Personalized Bill Menu'!$B$23, 'Misc. Data &amp; Mechanisms'!$P$599:$S$600, 2, FALSE), FALSE), 'Misc. Data &amp; Mechanisms'!$L$599:$N$659, 2, FALSE), FALSE) = "", "", VLOOKUP($A77, INDIRECT("'" &amp; 'Personalized Bill Menu'!$B$23 &amp; "'!" &amp;"$A$4:$CA$100"), VLOOKUP(VLOOKUP("RIDER RATE 9",'Misc. Data &amp; Mechanisms'!$P$601:$S$632,HLOOKUP('Personalized Bill Menu'!$B$23, 'Misc. Data &amp; Mechanisms'!$P$599:$S$600, 2, FALSE), FALSE), 'Misc. Data &amp; Mechanisms'!$L$599:$N$659, 2, FALSE), FALSE)), ""))</f>
        <v/>
      </c>
      <c r="AG77" s="72">
        <f ca="1">IF($A77="", "", IFERROR(IF('Personalized Bill Menu'!$B$23="ATCO-N", ($X77*$B77) +($Y77*$C77), IF('Personalized Bill Menu'!$B$23="ATCO-S",$X77*$C77, IF($Y77="", ($X77*$H77), ($Y77*($H77+$K77))))), 0))</f>
        <v>0</v>
      </c>
      <c r="AH77" s="72">
        <f ca="1">IF($A77="", "", IFERROR(IF('Personalized Bill Menu'!$B$23="ATCO-S", $Y77*$C77, $Z77*$C77), 0))</f>
        <v>0</v>
      </c>
      <c r="AI77" s="72">
        <f ca="1">IF($A77="", "", IFERROR(IF('Personalized Bill Menu'!$B$23="ATCO-S", ($AA77*$C77)+($Z77*$B77), $AA77*$C77), 0))</f>
        <v>0</v>
      </c>
      <c r="AJ77" s="72">
        <f ca="1">IF($A77="", "", IFERROR(IF('Personalized Bill Menu'!$B$23&lt;&gt;"AltaGas",$AB77*$C77,""),0))</f>
        <v>16.543566203379168</v>
      </c>
      <c r="AK77" s="72">
        <f ca="1">IF($A77="", "", IFERROR(IF('Personalized Bill Menu'!$B$23="ATCO-S",$AC77*$C77,IF('Personalized Bill Menu'!$B$23="ATCO-N",$AC77*1,"")),0))</f>
        <v>0</v>
      </c>
      <c r="AL77" s="72">
        <f ca="1">IF($A77="", "", IFERROR(IF('Personalized Bill Menu'!$B$23="ATCO-N",$AD77*$B77,IF('Personalized Bill Menu'!$B$23="ATCO-S",$AD77*1,"")),0))</f>
        <v>0</v>
      </c>
      <c r="AM77" s="72">
        <f ca="1">IF($A77="", "", IFERROR(IF('Personalized Bill Menu'!$B$23="ATCO-S",$AE77*$B77,IF('Personalized Bill Menu'!$B$23="ATCO-N",$AE77*$B77,"")),0))</f>
        <v>0</v>
      </c>
      <c r="AN77" s="70">
        <f ca="1">IF($A77="", "", IFERROR(IF('Personalized Bill Menu'!$B$23="ATCO-S",$AF77*$B77,""),0))</f>
        <v>0</v>
      </c>
      <c r="AO77" s="69">
        <f>IF('Personalized Bill Menu'!$B$34="Natural Gas", 'Personalized Bill Menu'!$K74, IF('Personalized Bill Menu'!$B$34="Both",'Personalized Bill Menu'!$O74,""))</f>
        <v>0.249</v>
      </c>
      <c r="AP77" s="72">
        <f t="shared" si="28"/>
        <v>7.47</v>
      </c>
      <c r="AQ77" s="89">
        <f ca="1">IF($A77="", "",IF(VLOOKUP($A77, INDIRECT("'" &amp; 'Personalized Bill Menu'!$B$23 &amp; "'!" &amp;"$A$4:$CA$100"), VLOOKUP(VLOOKUP(AQ$5,'Misc. Data &amp; Mechanisms'!$P$601:$S$632,HLOOKUP('Personalized Bill Menu'!$B$23, 'Misc. Data &amp; Mechanisms'!$P$599:$S$600, 2, FALSE), FALSE), 'Misc. Data &amp; Mechanisms'!$L$599:$N$659, 2, FALSE), FALSE) = "", "", VLOOKUP($A77, INDIRECT("'" &amp; 'Personalized Bill Menu'!$B$23 &amp; "'!" &amp;"$A$4:$CA$100"), VLOOKUP(VLOOKUP(AQ$5,'Misc. Data &amp; Mechanisms'!$P$601:$S$632,HLOOKUP('Personalized Bill Menu'!$B$23, 'Misc. Data &amp; Mechanisms'!$P$599:$S$600, 2, FALSE), FALSE), 'Misc. Data &amp; Mechanisms'!$L$599:$N$659, 2, FALSE), FALSE)))</f>
        <v>1.0109999999999999</v>
      </c>
      <c r="AR77" s="72">
        <f t="shared" ca="1" si="29"/>
        <v>18.081670736882526</v>
      </c>
      <c r="AS77" s="91">
        <f ca="1">IF($A77="", "",IF(VLOOKUP($A77, INDIRECT("'" &amp; 'Personalized Bill Menu'!$B$23 &amp; "'!" &amp;"$A$4:$CA$100"), VLOOKUP(VLOOKUP(AS$5,'Misc. Data &amp; Mechanisms'!$P$601:$S$632,HLOOKUP('Personalized Bill Menu'!$B$23, 'Misc. Data &amp; Mechanisms'!$P$599:$S$600, 2, FALSE), FALSE), 'Misc. Data &amp; Mechanisms'!$L$599:$N$659, 2, FALSE), FALSE) = "", "", VLOOKUP($A77, INDIRECT("'" &amp; 'Personalized Bill Menu'!$B$23 &amp; "'!" &amp;"$A$4:$CA$100"), VLOOKUP(VLOOKUP(AS$5,'Misc. Data &amp; Mechanisms'!$P$601:$S$632,HLOOKUP('Personalized Bill Menu'!$B$23, 'Misc. Data &amp; Mechanisms'!$P$599:$S$600, 2, FALSE), FALSE), 'Misc. Data &amp; Mechanisms'!$L$599:$N$659, 2, FALSE), FALSE)))</f>
        <v>0.05</v>
      </c>
    </row>
    <row r="78" spans="1:45" x14ac:dyDescent="0.3">
      <c r="A78" s="83">
        <f>'Personalized Bill Menu'!$H75</f>
        <v>43070</v>
      </c>
      <c r="B78" s="84">
        <f t="shared" si="19"/>
        <v>31</v>
      </c>
      <c r="C78" s="85">
        <f>IF('Personalized Bill Menu'!$B$34="Natural Gas", 'Personalized Bill Menu'!$I75, IF('Personalized Bill Menu'!$B$34="Both",'Personalized Bill Menu'!$M75,""))</f>
        <v>16.79731043937776</v>
      </c>
      <c r="D78" s="66">
        <f t="shared" ca="1" si="20"/>
        <v>8.0223530958736333</v>
      </c>
      <c r="E78" s="66">
        <f ca="1">IF($C78="Not Applicable", "", IFERROR(IFERROR((1+$AS78)*IF('Personalized Bill Menu'!$B$23="ATCO-N", IF(OR('Personalized Bill Menu'!$B$21="Fort McMurray",AND('Personalized Bill Menu'!$B$21="Spruce Grove", $A78&lt;DATE(2019, 5, 1) )),(((1+IF($T78="",0,$T78))*($N78+$P78))+ (IF($U78="", 0, $U78)*$P78)+(1+IF($T78="",0,$T78)+IF($U78="", 0, $U78))*(SUM($Y78:$AB78))),($N78+((1+IF($T78="",0,$T78)+IF($U78="", 0, $U78))*$P78)+(1+IF($T78="",0,$T78)+IF($U78="", 0, $U78))*(SUM($Y78:$AB78)))), IF('Personalized Bill Menu'!$B$23="ATCO-S",IF(OR('Personalized Bill Menu'!$B$21="Calgary",AND('Personalized Bill Menu'!$B$21="Okotoks", $A78&lt;DATE(2019, 1, 1))),((1+IF($T78="",0,$T78))*($N78+$P78+SUM($X78:$Y78,$AA78:$AC78)))+(IF($U78="",0, $U78)*($P78+SUM($X78:$Y78,$AA78:$AC78))), ((1+IF($T78="",0,$T78))*($P78+SUM($Y78,$AA78:$AC78)))+(IF($U78="",0, $U78)*($P78+SUM($X78:$Y78,$AA78:$AC78)))+$N78+IF($X78="", 0, $X78)),IF(AND('Personalized Bill Menu'!$B$21="Athabasca", $A78&lt;DATE(2019, 5, 1)),((1+IF($T78="",0,$T78)+IF($U78="", 0, $U78))*($N78+((1+SUM($X78:$Y78))*$P78)+SUM($Z78:$AA78))),((1+IF($U78="", 0, $U78))*($N78+((1+SUM($X78:$Y78))*$P78)+SUM($Z78:$AA78))) + (IF($T78="",0,$T78)*(((1+SUM($X78:$Y78))*$P78)+SUM($Z78:$AA78)))))), "")+ IF($AQ78="", 0,((1+$AS78)*$AQ78)), ""))</f>
        <v>5.7678362700000001</v>
      </c>
      <c r="F78" s="118">
        <f ca="1">IF($A78="", "", IF($C78="Not Applicable", "N/A", IFERROR(SUM($G78:$M78), "")))</f>
        <v>134.75395540569266</v>
      </c>
      <c r="G78" s="115">
        <f t="shared" si="15"/>
        <v>38.684205941886979</v>
      </c>
      <c r="H78" s="66">
        <f t="shared" ca="1" si="16"/>
        <v>39.051632214138472</v>
      </c>
      <c r="I78" s="66">
        <f t="shared" ca="1" si="17"/>
        <v>10.362669219713181</v>
      </c>
      <c r="J78" s="66">
        <f t="shared" ca="1" si="22"/>
        <v>15.537512156424429</v>
      </c>
      <c r="K78" s="66">
        <f t="shared" si="18"/>
        <v>7.7190000000000003</v>
      </c>
      <c r="L78" s="66">
        <f t="shared" ca="1" si="23"/>
        <v>16.982080854210913</v>
      </c>
      <c r="M78" s="68">
        <f t="shared" ca="1" si="24"/>
        <v>6.4168550193186995</v>
      </c>
      <c r="N78" s="1290">
        <f>IF('Personalized Bill Menu'!$B$34="Natural Gas", 'Personalized Bill Menu'!$J75, IF('Personalized Bill Menu'!$B$34="Both",'Personalized Bill Menu'!$N75,""))</f>
        <v>2.3029999999999999</v>
      </c>
      <c r="O78" s="70">
        <f t="shared" si="25"/>
        <v>38.684205941886979</v>
      </c>
      <c r="P78" s="89">
        <f ca="1">IF($A78="", "",IFERROR(IF(VLOOKUP($A78, INDIRECT("'" &amp; 'Personalized Bill Menu'!$B$23 &amp; "'!" &amp;"$A$4:$CA$100"), VLOOKUP(VLOOKUP(P$5,'Misc. Data &amp; Mechanisms'!$P$601:$S$632,HLOOKUP('Personalized Bill Menu'!$B$23, 'Misc. Data &amp; Mechanisms'!$P$599:$S$600, 2, FALSE), FALSE), 'Misc. Data &amp; Mechanisms'!$L$599:$N$659, 2, FALSE), FALSE) = "", "", VLOOKUP($A78, INDIRECT("'" &amp; 'Personalized Bill Menu'!$B$23 &amp; "'!" &amp;"$A$4:$CA$100"), VLOOKUP(VLOOKUP(P$5,'Misc. Data &amp; Mechanisms'!$P$601:$S$632,HLOOKUP('Personalized Bill Menu'!$B$23, 'Misc. Data &amp; Mechanisms'!$P$599:$S$600, 2, FALSE), FALSE), 'Misc. Data &amp; Mechanisms'!$L$599:$N$659, 2, FALSE), FALSE)), ""))</f>
        <v>0.80600000000000005</v>
      </c>
      <c r="Q78" s="69">
        <f ca="1">IF($A78="", "",IFERROR(IF(VLOOKUP($A78, INDIRECT("'" &amp; 'Personalized Bill Menu'!$B$23 &amp; "'!" &amp;"$A$4:$CA$100"), VLOOKUP(VLOOKUP(Q$5,'Misc. Data &amp; Mechanisms'!$P$601:$S$632,HLOOKUP('Personalized Bill Menu'!$B$23, 'Misc. Data &amp; Mechanisms'!$P$599:$S$600, 2, FALSE), FALSE), 'Misc. Data &amp; Mechanisms'!$L$599:$N$659, 2, FALSE), FALSE) = "", "", VLOOKUP($A78, INDIRECT("'" &amp; 'Personalized Bill Menu'!$B$23 &amp; "'!" &amp;"$A$4:$CA$100"), VLOOKUP(VLOOKUP(Q$5,'Misc. Data &amp; Mechanisms'!$P$601:$S$632,HLOOKUP('Personalized Bill Menu'!$B$23, 'Misc. Data &amp; Mechanisms'!$P$599:$S$600, 2, FALSE), FALSE), 'Misc. Data &amp; Mechanisms'!$L$599:$N$659, 2, FALSE), FALSE)), ""))</f>
        <v>0.82299999999999995</v>
      </c>
      <c r="R78" s="72">
        <f t="shared" ca="1" si="26"/>
        <v>13.538632214138476</v>
      </c>
      <c r="S78" s="70">
        <f t="shared" ca="1" si="27"/>
        <v>25.512999999999998</v>
      </c>
      <c r="T78" s="78">
        <f>IFERROR(IF(VLOOKUP($A78,'Misc. Data &amp; Mechanisms'!$A$63:$DY$152,HLOOKUP('Personalized Bill Menu'!$B$21&amp;"_"&amp;'Personalized Bill Menu'!$B$23&amp;"_NG_Y_1",'Misc. Data &amp; Mechanisms'!$A$55:$DY$62,8,FALSE), FALSE)="", "", VLOOKUP($A78,'Misc. Data &amp; Mechanisms'!$A$63:$DY$152,HLOOKUP('Personalized Bill Menu'!$B$21&amp;"_"&amp;'Personalized Bill Menu'!$B$23&amp;"_NG_Y_1",'Misc. Data &amp; Mechanisms'!$A$55:$DY$62,8,FALSE), FALSE)), "")</f>
        <v>0.1111</v>
      </c>
      <c r="U78" s="78" t="str">
        <f>IFERROR(IF(VLOOKUP($A78,'Misc. Data &amp; Mechanisms'!$A$63:$DY$152,HLOOKUP('Personalized Bill Menu'!$B$21&amp;"_"&amp;'Personalized Bill Menu'!$B$23&amp;"_NG_Y_2",'Misc. Data &amp; Mechanisms'!$A$55:$DY$62,8,FALSE), FALSE)="", "",VLOOKUP($A78,'Misc. Data &amp; Mechanisms'!$A$63:$DY$152,HLOOKUP('Personalized Bill Menu'!$B$21&amp;"_"&amp;'Personalized Bill Menu'!$B$23&amp;"_NG_Y_2",'Misc. Data &amp; Mechanisms'!$A$55:$DY$62,8,FALSE), FALSE)), "")</f>
        <v/>
      </c>
      <c r="V78" s="72">
        <f ca="1">IF($A78="", "", IFERROR(IF('Personalized Bill Menu'!$B$23="ATCO-N", IF(OR('Personalized Bill Menu'!$B$21="Fort McMurray",AND('Personalized Bill Menu'!$B$21="Spruce Grove", $A78&lt;DATE(2019, 5, 1))),$T78*($G78+$H78+$J78),$T78*($H78+$J78)), IF('Personalized Bill Menu'!$B$23="ATCO-S",IF(OR('Personalized Bill Menu'!$B$21="Calgary",AND('Personalized Bill Menu'!$B$21="Okotoks", $A78&lt;DATE(2019, 1, 1))),$T78*($G78+$H78+$J78), $T78*($H78+$J78-$AG78)),IF(AND('Personalized Bill Menu'!$B$21="Athabasca", $A78&lt;DATE(2019, 5, 1)),$T78*($G78+$H78+$J78+$K78),$T78*($H78+$J78+$K78)))),0))</f>
        <v>10.362669219713181</v>
      </c>
      <c r="W78" s="72">
        <f ca="1">IF($A78="", "", IFERROR(IF('Personalized Bill Menu'!$B$23="ATCO-N", $U78*($H78+$J78), IF('Personalized Bill Menu'!$B$23="ATCO-S",$U78*($H78+$J78),$U78*($G78+$H78+$J78+$K78))),0))</f>
        <v>0</v>
      </c>
      <c r="X78" s="89" t="str">
        <f ca="1">IF($A78="", "",IFERROR(IF(VLOOKUP($A78, INDIRECT("'" &amp; 'Personalized Bill Menu'!$B$23 &amp; "'!" &amp;"$A$4:$CA$100"), VLOOKUP(VLOOKUP("RIDER RATE 1",'Misc. Data &amp; Mechanisms'!$P$601:$S$632,HLOOKUP('Personalized Bill Menu'!$B$23, 'Misc. Data &amp; Mechanisms'!$P$599:$S$600, 2, FALSE), FALSE), 'Misc. Data &amp; Mechanisms'!$L$599:$N$659, 2, FALSE), FALSE) = "", "", VLOOKUP($A78, INDIRECT("'" &amp; 'Personalized Bill Menu'!$B$23 &amp; "'!" &amp;"$A$4:$CA$100"), VLOOKUP(VLOOKUP("RIDER RATE 1",'Misc. Data &amp; Mechanisms'!$P$601:$S$632,HLOOKUP('Personalized Bill Menu'!$B$23, 'Misc. Data &amp; Mechanisms'!$P$599:$S$600, 2, FALSE), FALSE), 'Misc. Data &amp; Mechanisms'!$L$599:$N$659, 2, FALSE), FALSE)), ""))</f>
        <v/>
      </c>
      <c r="Y78" s="69" t="str">
        <f ca="1">IF($A78="", "",IFERROR(IF(VLOOKUP($A78, INDIRECT("'" &amp; 'Personalized Bill Menu'!$B$23 &amp; "'!" &amp;"$A$4:$CA$100"), VLOOKUP(VLOOKUP("RIDER RATE 2",'Misc. Data &amp; Mechanisms'!$P$601:$S$632,HLOOKUP('Personalized Bill Menu'!$B$23, 'Misc. Data &amp; Mechanisms'!$P$599:$S$600, 2, FALSE), FALSE), 'Misc. Data &amp; Mechanisms'!$L$599:$N$659, 2, FALSE), FALSE) = "", "", VLOOKUP($A78, INDIRECT("'" &amp; 'Personalized Bill Menu'!$B$23 &amp; "'!" &amp;"$A$4:$CA$100"), VLOOKUP(VLOOKUP("RIDER RATE 2",'Misc. Data &amp; Mechanisms'!$P$601:$S$632,HLOOKUP('Personalized Bill Menu'!$B$23, 'Misc. Data &amp; Mechanisms'!$P$599:$S$600, 2, FALSE), FALSE), 'Misc. Data &amp; Mechanisms'!$L$599:$N$659, 2, FALSE), FALSE)), ""))</f>
        <v/>
      </c>
      <c r="Z78" s="69" t="str">
        <f ca="1">IF($A78="", "",IFERROR(IF(VLOOKUP($A78, INDIRECT("'" &amp; 'Personalized Bill Menu'!$B$23 &amp; "'!" &amp;"$A$4:$CA$100"), VLOOKUP(VLOOKUP("RIDER RATE 3",'Misc. Data &amp; Mechanisms'!$P$601:$S$632,HLOOKUP('Personalized Bill Menu'!$B$23, 'Misc. Data &amp; Mechanisms'!$P$599:$S$600, 2, FALSE), FALSE), 'Misc. Data &amp; Mechanisms'!$L$599:$N$659, 2, FALSE), FALSE) = "", "", VLOOKUP($A78, INDIRECT("'" &amp; 'Personalized Bill Menu'!$B$23 &amp; "'!" &amp;"$A$4:$CA$100"), VLOOKUP(VLOOKUP("RIDER RATE 3",'Misc. Data &amp; Mechanisms'!$P$601:$S$632,HLOOKUP('Personalized Bill Menu'!$B$23, 'Misc. Data &amp; Mechanisms'!$P$599:$S$600, 2, FALSE), FALSE), 'Misc. Data &amp; Mechanisms'!$L$599:$N$659, 2, FALSE), FALSE)), ""))</f>
        <v/>
      </c>
      <c r="AA78" s="69" t="str">
        <f ca="1">IF($A78="", "",IFERROR(IF(VLOOKUP($A78, INDIRECT("'" &amp; 'Personalized Bill Menu'!$B$23 &amp; "'!" &amp;"$A$4:$CA$100"), VLOOKUP(VLOOKUP("RIDER RATE 4",'Misc. Data &amp; Mechanisms'!$P$601:$S$632,HLOOKUP('Personalized Bill Menu'!$B$23, 'Misc. Data &amp; Mechanisms'!$P$599:$S$600, 2, FALSE), FALSE), 'Misc. Data &amp; Mechanisms'!$L$599:$N$659, 2, FALSE), FALSE) = "", "", VLOOKUP($A78, INDIRECT("'" &amp; 'Personalized Bill Menu'!$B$23 &amp; "'!" &amp;"$A$4:$CA$100"), VLOOKUP(VLOOKUP("RIDER RATE 4",'Misc. Data &amp; Mechanisms'!$P$601:$S$632,HLOOKUP('Personalized Bill Menu'!$B$23, 'Misc. Data &amp; Mechanisms'!$P$599:$S$600, 2, FALSE), FALSE), 'Misc. Data &amp; Mechanisms'!$L$599:$N$659, 2, FALSE), FALSE)), ""))</f>
        <v/>
      </c>
      <c r="AB78" s="69">
        <f ca="1">IF($A78="", "",IFERROR(IF(VLOOKUP($A78, INDIRECT("'" &amp; 'Personalized Bill Menu'!$B$23 &amp; "'!" &amp;"$A$4:$CA$100"), VLOOKUP(VLOOKUP("RIDER RATE 5",'Misc. Data &amp; Mechanisms'!$P$601:$S$632,HLOOKUP('Personalized Bill Menu'!$B$23, 'Misc. Data &amp; Mechanisms'!$P$599:$S$600, 2, FALSE), FALSE), 'Misc. Data &amp; Mechanisms'!$L$599:$N$659, 2, FALSE), FALSE) = "", "", VLOOKUP($A78, INDIRECT("'" &amp; 'Personalized Bill Menu'!$B$23 &amp; "'!" &amp;"$A$4:$CA$100"), VLOOKUP(VLOOKUP("RIDER RATE 5",'Misc. Data &amp; Mechanisms'!$P$601:$S$632,HLOOKUP('Personalized Bill Menu'!$B$23, 'Misc. Data &amp; Mechanisms'!$P$599:$S$600, 2, FALSE), FALSE), 'Misc. Data &amp; Mechanisms'!$L$599:$N$659, 2, FALSE), FALSE)), ""))</f>
        <v>0.92500000000000004</v>
      </c>
      <c r="AC78" s="69" t="str">
        <f ca="1">IF($A78="", "",IFERROR(IF(VLOOKUP($A78, INDIRECT("'" &amp; 'Personalized Bill Menu'!$B$23 &amp; "'!" &amp;"$A$4:$CA$100"), VLOOKUP(VLOOKUP("RIDER RATE 6",'Misc. Data &amp; Mechanisms'!$P$601:$S$632,HLOOKUP('Personalized Bill Menu'!$B$23, 'Misc. Data &amp; Mechanisms'!$P$599:$S$600, 2, FALSE), FALSE), 'Misc. Data &amp; Mechanisms'!$L$599:$N$659, 2, FALSE), FALSE) = "", "", VLOOKUP($A78, INDIRECT("'" &amp; 'Personalized Bill Menu'!$B$23 &amp; "'!" &amp;"$A$4:$CA$100"), VLOOKUP(VLOOKUP("RIDER RATE 6",'Misc. Data &amp; Mechanisms'!$P$601:$S$632,HLOOKUP('Personalized Bill Menu'!$B$23, 'Misc. Data &amp; Mechanisms'!$P$599:$S$600, 2, FALSE), FALSE), 'Misc. Data &amp; Mechanisms'!$L$599:$N$659, 2, FALSE), FALSE)), ""))</f>
        <v/>
      </c>
      <c r="AD78" s="69" t="str">
        <f ca="1">IF($A78="", "",IFERROR(IF(VLOOKUP($A78, INDIRECT("'" &amp; 'Personalized Bill Menu'!$B$23 &amp; "'!" &amp;"$A$4:$CA$100"), VLOOKUP(VLOOKUP("RIDER RATE 7",'Misc. Data &amp; Mechanisms'!$P$601:$S$632,HLOOKUP('Personalized Bill Menu'!$B$23, 'Misc. Data &amp; Mechanisms'!$P$599:$S$600, 2, FALSE), FALSE), 'Misc. Data &amp; Mechanisms'!$L$599:$N$659, 2, FALSE), FALSE) = "", "", VLOOKUP($A78, INDIRECT("'" &amp; 'Personalized Bill Menu'!$B$23 &amp; "'!" &amp;"$A$4:$CA$100"), VLOOKUP(VLOOKUP("RIDER RATE 7",'Misc. Data &amp; Mechanisms'!$P$601:$S$632,HLOOKUP('Personalized Bill Menu'!$B$23, 'Misc. Data &amp; Mechanisms'!$P$599:$S$600, 2, FALSE), FALSE), 'Misc. Data &amp; Mechanisms'!$L$599:$N$659, 2, FALSE), FALSE)), ""))</f>
        <v/>
      </c>
      <c r="AE78" s="69" t="str">
        <f ca="1">IF($A78="", "",IFERROR(IF(VLOOKUP($A78, INDIRECT("'" &amp; 'Personalized Bill Menu'!$B$23 &amp; "'!" &amp;"$A$4:$CA$100"), VLOOKUP(VLOOKUP("RIDER RATE 8",'Misc. Data &amp; Mechanisms'!$P$601:$S$632,HLOOKUP('Personalized Bill Menu'!$B$23, 'Misc. Data &amp; Mechanisms'!$P$599:$S$600, 2, FALSE), FALSE), 'Misc. Data &amp; Mechanisms'!$L$599:$N$659, 2, FALSE), FALSE) = "", "", VLOOKUP($A78, INDIRECT("'" &amp; 'Personalized Bill Menu'!$B$23 &amp; "'!" &amp;"$A$4:$CA$100"), VLOOKUP(VLOOKUP("RIDER RATE 8",'Misc. Data &amp; Mechanisms'!$P$601:$S$632,HLOOKUP('Personalized Bill Menu'!$B$23, 'Misc. Data &amp; Mechanisms'!$P$599:$S$600, 2, FALSE), FALSE), 'Misc. Data &amp; Mechanisms'!$L$599:$N$659, 2, FALSE), FALSE)), ""))</f>
        <v/>
      </c>
      <c r="AF78" s="69" t="str">
        <f ca="1">IF($A78="", "",IFERROR(IF(VLOOKUP($A78, INDIRECT("'" &amp; 'Personalized Bill Menu'!$B$23 &amp; "'!" &amp;"$A$4:$CA$100"), VLOOKUP(VLOOKUP("RIDER RATE 9",'Misc. Data &amp; Mechanisms'!$P$601:$S$632,HLOOKUP('Personalized Bill Menu'!$B$23, 'Misc. Data &amp; Mechanisms'!$P$599:$S$600, 2, FALSE), FALSE), 'Misc. Data &amp; Mechanisms'!$L$599:$N$659, 2, FALSE), FALSE) = "", "", VLOOKUP($A78, INDIRECT("'" &amp; 'Personalized Bill Menu'!$B$23 &amp; "'!" &amp;"$A$4:$CA$100"), VLOOKUP(VLOOKUP("RIDER RATE 9",'Misc. Data &amp; Mechanisms'!$P$601:$S$632,HLOOKUP('Personalized Bill Menu'!$B$23, 'Misc. Data &amp; Mechanisms'!$P$599:$S$600, 2, FALSE), FALSE), 'Misc. Data &amp; Mechanisms'!$L$599:$N$659, 2, FALSE), FALSE)), ""))</f>
        <v/>
      </c>
      <c r="AG78" s="72">
        <f ca="1">IF($A78="", "", IFERROR(IF('Personalized Bill Menu'!$B$23="ATCO-N", ($X78*$B78) +($Y78*$C78), IF('Personalized Bill Menu'!$B$23="ATCO-S",$X78*$C78, IF($Y78="", ($X78*$H78), ($Y78*($H78+$K78))))), 0))</f>
        <v>0</v>
      </c>
      <c r="AH78" s="72">
        <f ca="1">IF($A78="", "", IFERROR(IF('Personalized Bill Menu'!$B$23="ATCO-S", $Y78*$C78, $Z78*$C78), 0))</f>
        <v>0</v>
      </c>
      <c r="AI78" s="72">
        <f ca="1">IF($A78="", "", IFERROR(IF('Personalized Bill Menu'!$B$23="ATCO-S", ($AA78*$C78)+($Z78*$B78), $AA78*$C78), 0))</f>
        <v>0</v>
      </c>
      <c r="AJ78" s="72">
        <f ca="1">IF($A78="", "", IFERROR(IF('Personalized Bill Menu'!$B$23&lt;&gt;"AltaGas",$AB78*$C78,""),0))</f>
        <v>15.537512156424429</v>
      </c>
      <c r="AK78" s="72">
        <f ca="1">IF($A78="", "", IFERROR(IF('Personalized Bill Menu'!$B$23="ATCO-S",$AC78*$C78,IF('Personalized Bill Menu'!$B$23="ATCO-N",$AC78*1,"")),0))</f>
        <v>0</v>
      </c>
      <c r="AL78" s="72">
        <f ca="1">IF($A78="", "", IFERROR(IF('Personalized Bill Menu'!$B$23="ATCO-N",$AD78*$B78,IF('Personalized Bill Menu'!$B$23="ATCO-S",$AD78*1,"")),0))</f>
        <v>0</v>
      </c>
      <c r="AM78" s="72">
        <f ca="1">IF($A78="", "", IFERROR(IF('Personalized Bill Menu'!$B$23="ATCO-S",$AE78*$B78,IF('Personalized Bill Menu'!$B$23="ATCO-N",$AE78*$B78,"")),0))</f>
        <v>0</v>
      </c>
      <c r="AN78" s="70">
        <f ca="1">IF($A78="", "", IFERROR(IF('Personalized Bill Menu'!$B$23="ATCO-S",$AF78*$B78,""),0))</f>
        <v>0</v>
      </c>
      <c r="AO78" s="69">
        <f>IF('Personalized Bill Menu'!$B$34="Natural Gas", 'Personalized Bill Menu'!$K75, IF('Personalized Bill Menu'!$B$34="Both",'Personalized Bill Menu'!$O75,""))</f>
        <v>0.249</v>
      </c>
      <c r="AP78" s="72">
        <f t="shared" si="28"/>
        <v>7.7190000000000003</v>
      </c>
      <c r="AQ78" s="89">
        <f ca="1">IF($A78="", "",IF(VLOOKUP($A78, INDIRECT("'" &amp; 'Personalized Bill Menu'!$B$23 &amp; "'!" &amp;"$A$4:$CA$100"), VLOOKUP(VLOOKUP(AQ$5,'Misc. Data &amp; Mechanisms'!$P$601:$S$632,HLOOKUP('Personalized Bill Menu'!$B$23, 'Misc. Data &amp; Mechanisms'!$P$599:$S$600, 2, FALSE), FALSE), 'Misc. Data &amp; Mechanisms'!$L$599:$N$659, 2, FALSE), FALSE) = "", "", VLOOKUP($A78, INDIRECT("'" &amp; 'Personalized Bill Menu'!$B$23 &amp; "'!" &amp;"$A$4:$CA$100"), VLOOKUP(VLOOKUP(AQ$5,'Misc. Data &amp; Mechanisms'!$P$601:$S$632,HLOOKUP('Personalized Bill Menu'!$B$23, 'Misc. Data &amp; Mechanisms'!$P$599:$S$600, 2, FALSE), FALSE), 'Misc. Data &amp; Mechanisms'!$L$599:$N$659, 2, FALSE), FALSE)))</f>
        <v>1.0109999999999999</v>
      </c>
      <c r="AR78" s="72">
        <f t="shared" ca="1" si="29"/>
        <v>16.982080854210913</v>
      </c>
      <c r="AS78" s="91">
        <f ca="1">IF($A78="", "",IF(VLOOKUP($A78, INDIRECT("'" &amp; 'Personalized Bill Menu'!$B$23 &amp; "'!" &amp;"$A$4:$CA$100"), VLOOKUP(VLOOKUP(AS$5,'Misc. Data &amp; Mechanisms'!$P$601:$S$632,HLOOKUP('Personalized Bill Menu'!$B$23, 'Misc. Data &amp; Mechanisms'!$P$599:$S$600, 2, FALSE), FALSE), 'Misc. Data &amp; Mechanisms'!$L$599:$N$659, 2, FALSE), FALSE) = "", "", VLOOKUP($A78, INDIRECT("'" &amp; 'Personalized Bill Menu'!$B$23 &amp; "'!" &amp;"$A$4:$CA$100"), VLOOKUP(VLOOKUP(AS$5,'Misc. Data &amp; Mechanisms'!$P$601:$S$632,HLOOKUP('Personalized Bill Menu'!$B$23, 'Misc. Data &amp; Mechanisms'!$P$599:$S$600, 2, FALSE), FALSE), 'Misc. Data &amp; Mechanisms'!$L$599:$N$659, 2, FALSE), FALSE)))</f>
        <v>0.05</v>
      </c>
    </row>
    <row r="79" spans="1:45" x14ac:dyDescent="0.3">
      <c r="A79" s="83">
        <f>'Personalized Bill Menu'!$H76</f>
        <v>43101</v>
      </c>
      <c r="B79" s="84">
        <f t="shared" si="19"/>
        <v>31</v>
      </c>
      <c r="C79" s="85">
        <f>IF('Personalized Bill Menu'!$B$34="Natural Gas", 'Personalized Bill Menu'!$I76, IF('Personalized Bill Menu'!$B$34="Both",'Personalized Bill Menu'!$M76,""))</f>
        <v>19.379903428592719</v>
      </c>
      <c r="D79" s="66">
        <f t="shared" ca="1" si="20"/>
        <v>7.7958842758897413</v>
      </c>
      <c r="E79" s="66">
        <f ca="1">IF($C79="Not Applicable", "", IFERROR(IFERROR((1+$AS79)*IF('Personalized Bill Menu'!$B$23="ATCO-N", IF(OR('Personalized Bill Menu'!$B$21="Fort McMurray",AND('Personalized Bill Menu'!$B$21="Spruce Grove", $A79&lt;DATE(2019, 5, 1) )),(((1+IF($T79="",0,$T79))*($N79+$P79))+ (IF($U79="", 0, $U79)*$P79)+(1+IF($T79="",0,$T79)+IF($U79="", 0, $U79))*(SUM($Y79:$AB79))),($N79+((1+IF($T79="",0,$T79)+IF($U79="", 0, $U79))*$P79)+(1+IF($T79="",0,$T79)+IF($U79="", 0, $U79))*(SUM($Y79:$AB79)))), IF('Personalized Bill Menu'!$B$23="ATCO-S",IF(OR('Personalized Bill Menu'!$B$21="Calgary",AND('Personalized Bill Menu'!$B$21="Okotoks", $A79&lt;DATE(2019, 1, 1))),((1+IF($T79="",0,$T79))*($N79+$P79+SUM($X79:$Y79,$AA79:$AC79)))+(IF($U79="",0, $U79)*($P79+SUM($X79:$Y79,$AA79:$AC79))), ((1+IF($T79="",0,$T79))*($P79+SUM($Y79,$AA79:$AC79)))+(IF($U79="",0, $U79)*($P79+SUM($X79:$Y79,$AA79:$AC79)))+$N79+IF($X79="", 0, $X79)),IF(AND('Personalized Bill Menu'!$B$21="Athabasca", $A79&lt;DATE(2019, 5, 1)),((1+IF($T79="",0,$T79)+IF($U79="", 0, $U79))*($N79+((1+SUM($X79:$Y79))*$P79)+SUM($Z79:$AA79))),((1+IF($U79="", 0, $U79))*($N79+((1+SUM($X79:$Y79))*$P79)+SUM($Z79:$AA79))) + (IF($T79="",0,$T79)*(((1+SUM($X79:$Y79))*$P79)+SUM($Z79:$AA79)))))), "")+ IF($AQ79="", 0,((1+$AS79)*$AQ79)), ""))</f>
        <v>5.8418075100000006</v>
      </c>
      <c r="F79" s="118">
        <f t="shared" ca="1" si="21"/>
        <v>151.08348440722767</v>
      </c>
      <c r="G79" s="115">
        <f t="shared" si="15"/>
        <v>37.03499545204069</v>
      </c>
      <c r="H79" s="66">
        <f t="shared" ca="1" si="16"/>
        <v>41.133202163445731</v>
      </c>
      <c r="I79" s="66">
        <f t="shared" ca="1" si="17"/>
        <v>10.676110980678445</v>
      </c>
      <c r="J79" s="66">
        <f t="shared" ca="1" si="22"/>
        <v>17.926410671448266</v>
      </c>
      <c r="K79" s="66">
        <f t="shared" si="18"/>
        <v>7.7190000000000003</v>
      </c>
      <c r="L79" s="66">
        <f t="shared" ca="1" si="23"/>
        <v>29.399313501175154</v>
      </c>
      <c r="M79" s="68">
        <f t="shared" ca="1" si="24"/>
        <v>7.1944516384394142</v>
      </c>
      <c r="N79" s="1290">
        <f>IF('Personalized Bill Menu'!$B$34="Natural Gas", 'Personalized Bill Menu'!$J76, IF('Personalized Bill Menu'!$B$34="Both",'Personalized Bill Menu'!$N76,""))</f>
        <v>1.911</v>
      </c>
      <c r="O79" s="70">
        <f t="shared" si="25"/>
        <v>37.03499545204069</v>
      </c>
      <c r="P79" s="89">
        <f ca="1">IF($A79="", "",IFERROR(IF(VLOOKUP($A79, INDIRECT("'" &amp; 'Personalized Bill Menu'!$B$23 &amp; "'!" &amp;"$A$4:$CA$100"), VLOOKUP(VLOOKUP(P$5,'Misc. Data &amp; Mechanisms'!$P$601:$S$632,HLOOKUP('Personalized Bill Menu'!$B$23, 'Misc. Data &amp; Mechanisms'!$P$599:$S$600, 2, FALSE), FALSE), 'Misc. Data &amp; Mechanisms'!$L$599:$N$659, 2, FALSE), FALSE) = "", "", VLOOKUP($A79, INDIRECT("'" &amp; 'Personalized Bill Menu'!$B$23 &amp; "'!" &amp;"$A$4:$CA$100"), VLOOKUP(VLOOKUP(P$5,'Misc. Data &amp; Mechanisms'!$P$601:$S$632,HLOOKUP('Personalized Bill Menu'!$B$23, 'Misc. Data &amp; Mechanisms'!$P$599:$S$600, 2, FALSE), FALSE), 'Misc. Data &amp; Mechanisms'!$L$599:$N$659, 2, FALSE), FALSE)), ""))</f>
        <v>0.80600000000000005</v>
      </c>
      <c r="Q79" s="69">
        <f ca="1">IF($A79="", "",IFERROR(IF(VLOOKUP($A79, INDIRECT("'" &amp; 'Personalized Bill Menu'!$B$23 &amp; "'!" &amp;"$A$4:$CA$100"), VLOOKUP(VLOOKUP(Q$5,'Misc. Data &amp; Mechanisms'!$P$601:$S$632,HLOOKUP('Personalized Bill Menu'!$B$23, 'Misc. Data &amp; Mechanisms'!$P$599:$S$600, 2, FALSE), FALSE), 'Misc. Data &amp; Mechanisms'!$L$599:$N$659, 2, FALSE), FALSE) = "", "", VLOOKUP($A79, INDIRECT("'" &amp; 'Personalized Bill Menu'!$B$23 &amp; "'!" &amp;"$A$4:$CA$100"), VLOOKUP(VLOOKUP(Q$5,'Misc. Data &amp; Mechanisms'!$P$601:$S$632,HLOOKUP('Personalized Bill Menu'!$B$23, 'Misc. Data &amp; Mechanisms'!$P$599:$S$600, 2, FALSE), FALSE), 'Misc. Data &amp; Mechanisms'!$L$599:$N$659, 2, FALSE), FALSE)), ""))</f>
        <v>0.82299999999999995</v>
      </c>
      <c r="R79" s="72">
        <f t="shared" ca="1" si="26"/>
        <v>15.620202163445732</v>
      </c>
      <c r="S79" s="70">
        <f t="shared" ca="1" si="27"/>
        <v>25.512999999999998</v>
      </c>
      <c r="T79" s="78">
        <f>IFERROR(IF(VLOOKUP($A79,'Misc. Data &amp; Mechanisms'!$A$63:$DY$152,HLOOKUP('Personalized Bill Menu'!$B$21&amp;"_"&amp;'Personalized Bill Menu'!$B$23&amp;"_NG_Y_1",'Misc. Data &amp; Mechanisms'!$A$55:$DY$62,8,FALSE), FALSE)="", "", VLOOKUP($A79,'Misc. Data &amp; Mechanisms'!$A$63:$DY$152,HLOOKUP('Personalized Bill Menu'!$B$21&amp;"_"&amp;'Personalized Bill Menu'!$B$23&amp;"_NG_Y_1",'Misc. Data &amp; Mechanisms'!$A$55:$DY$62,8,FALSE), FALSE)), "")</f>
        <v>0.1111</v>
      </c>
      <c r="U79" s="78" t="str">
        <f>IFERROR(IF(VLOOKUP($A79,'Misc. Data &amp; Mechanisms'!$A$63:$DY$152,HLOOKUP('Personalized Bill Menu'!$B$21&amp;"_"&amp;'Personalized Bill Menu'!$B$23&amp;"_NG_Y_2",'Misc. Data &amp; Mechanisms'!$A$55:$DY$62,8,FALSE), FALSE)="", "",VLOOKUP($A79,'Misc. Data &amp; Mechanisms'!$A$63:$DY$152,HLOOKUP('Personalized Bill Menu'!$B$21&amp;"_"&amp;'Personalized Bill Menu'!$B$23&amp;"_NG_Y_2",'Misc. Data &amp; Mechanisms'!$A$55:$DY$62,8,FALSE), FALSE)), "")</f>
        <v/>
      </c>
      <c r="V79" s="72">
        <f ca="1">IF($A79="", "", IFERROR(IF('Personalized Bill Menu'!$B$23="ATCO-N", IF(OR('Personalized Bill Menu'!$B$21="Fort McMurray",AND('Personalized Bill Menu'!$B$21="Spruce Grove", $A79&lt;DATE(2019, 5, 1))),$T79*($G79+$H79+$J79),$T79*($H79+$J79)), IF('Personalized Bill Menu'!$B$23="ATCO-S",IF(OR('Personalized Bill Menu'!$B$21="Calgary",AND('Personalized Bill Menu'!$B$21="Okotoks", $A79&lt;DATE(2019, 1, 1))),$T79*($G79+$H79+$J79), $T79*($H79+$J79-$AG79)),IF(AND('Personalized Bill Menu'!$B$21="Athabasca", $A79&lt;DATE(2019, 5, 1)),$T79*($G79+$H79+$J79+$K79),$T79*($H79+$J79+$K79)))),0))</f>
        <v>10.676110980678445</v>
      </c>
      <c r="W79" s="72">
        <f ca="1">IF($A79="", "", IFERROR(IF('Personalized Bill Menu'!$B$23="ATCO-N", $U79*($H79+$J79), IF('Personalized Bill Menu'!$B$23="ATCO-S",$U79*($H79+$J79),$U79*($G79+$H79+$J79+$K79))),0))</f>
        <v>0</v>
      </c>
      <c r="X79" s="89" t="str">
        <f ca="1">IF($A79="", "",IFERROR(IF(VLOOKUP($A79, INDIRECT("'" &amp; 'Personalized Bill Menu'!$B$23 &amp; "'!" &amp;"$A$4:$CA$100"), VLOOKUP(VLOOKUP("RIDER RATE 1",'Misc. Data &amp; Mechanisms'!$P$601:$S$632,HLOOKUP('Personalized Bill Menu'!$B$23, 'Misc. Data &amp; Mechanisms'!$P$599:$S$600, 2, FALSE), FALSE), 'Misc. Data &amp; Mechanisms'!$L$599:$N$659, 2, FALSE), FALSE) = "", "", VLOOKUP($A79, INDIRECT("'" &amp; 'Personalized Bill Menu'!$B$23 &amp; "'!" &amp;"$A$4:$CA$100"), VLOOKUP(VLOOKUP("RIDER RATE 1",'Misc. Data &amp; Mechanisms'!$P$601:$S$632,HLOOKUP('Personalized Bill Menu'!$B$23, 'Misc. Data &amp; Mechanisms'!$P$599:$S$600, 2, FALSE), FALSE), 'Misc. Data &amp; Mechanisms'!$L$599:$N$659, 2, FALSE), FALSE)), ""))</f>
        <v/>
      </c>
      <c r="Y79" s="69" t="str">
        <f ca="1">IF($A79="", "",IFERROR(IF(VLOOKUP($A79, INDIRECT("'" &amp; 'Personalized Bill Menu'!$B$23 &amp; "'!" &amp;"$A$4:$CA$100"), VLOOKUP(VLOOKUP("RIDER RATE 2",'Misc. Data &amp; Mechanisms'!$P$601:$S$632,HLOOKUP('Personalized Bill Menu'!$B$23, 'Misc. Data &amp; Mechanisms'!$P$599:$S$600, 2, FALSE), FALSE), 'Misc. Data &amp; Mechanisms'!$L$599:$N$659, 2, FALSE), FALSE) = "", "", VLOOKUP($A79, INDIRECT("'" &amp; 'Personalized Bill Menu'!$B$23 &amp; "'!" &amp;"$A$4:$CA$100"), VLOOKUP(VLOOKUP("RIDER RATE 2",'Misc. Data &amp; Mechanisms'!$P$601:$S$632,HLOOKUP('Personalized Bill Menu'!$B$23, 'Misc. Data &amp; Mechanisms'!$P$599:$S$600, 2, FALSE), FALSE), 'Misc. Data &amp; Mechanisms'!$L$599:$N$659, 2, FALSE), FALSE)), ""))</f>
        <v/>
      </c>
      <c r="Z79" s="69" t="str">
        <f ca="1">IF($A79="", "",IFERROR(IF(VLOOKUP($A79, INDIRECT("'" &amp; 'Personalized Bill Menu'!$B$23 &amp; "'!" &amp;"$A$4:$CA$100"), VLOOKUP(VLOOKUP("RIDER RATE 3",'Misc. Data &amp; Mechanisms'!$P$601:$S$632,HLOOKUP('Personalized Bill Menu'!$B$23, 'Misc. Data &amp; Mechanisms'!$P$599:$S$600, 2, FALSE), FALSE), 'Misc. Data &amp; Mechanisms'!$L$599:$N$659, 2, FALSE), FALSE) = "", "", VLOOKUP($A79, INDIRECT("'" &amp; 'Personalized Bill Menu'!$B$23 &amp; "'!" &amp;"$A$4:$CA$100"), VLOOKUP(VLOOKUP("RIDER RATE 3",'Misc. Data &amp; Mechanisms'!$P$601:$S$632,HLOOKUP('Personalized Bill Menu'!$B$23, 'Misc. Data &amp; Mechanisms'!$P$599:$S$600, 2, FALSE), FALSE), 'Misc. Data &amp; Mechanisms'!$L$599:$N$659, 2, FALSE), FALSE)), ""))</f>
        <v/>
      </c>
      <c r="AA79" s="69" t="str">
        <f ca="1">IF($A79="", "",IFERROR(IF(VLOOKUP($A79, INDIRECT("'" &amp; 'Personalized Bill Menu'!$B$23 &amp; "'!" &amp;"$A$4:$CA$100"), VLOOKUP(VLOOKUP("RIDER RATE 4",'Misc. Data &amp; Mechanisms'!$P$601:$S$632,HLOOKUP('Personalized Bill Menu'!$B$23, 'Misc. Data &amp; Mechanisms'!$P$599:$S$600, 2, FALSE), FALSE), 'Misc. Data &amp; Mechanisms'!$L$599:$N$659, 2, FALSE), FALSE) = "", "", VLOOKUP($A79, INDIRECT("'" &amp; 'Personalized Bill Menu'!$B$23 &amp; "'!" &amp;"$A$4:$CA$100"), VLOOKUP(VLOOKUP("RIDER RATE 4",'Misc. Data &amp; Mechanisms'!$P$601:$S$632,HLOOKUP('Personalized Bill Menu'!$B$23, 'Misc. Data &amp; Mechanisms'!$P$599:$S$600, 2, FALSE), FALSE), 'Misc. Data &amp; Mechanisms'!$L$599:$N$659, 2, FALSE), FALSE)), ""))</f>
        <v/>
      </c>
      <c r="AB79" s="69">
        <f ca="1">IF($A79="", "",IFERROR(IF(VLOOKUP($A79, INDIRECT("'" &amp; 'Personalized Bill Menu'!$B$23 &amp; "'!" &amp;"$A$4:$CA$100"), VLOOKUP(VLOOKUP("RIDER RATE 5",'Misc. Data &amp; Mechanisms'!$P$601:$S$632,HLOOKUP('Personalized Bill Menu'!$B$23, 'Misc. Data &amp; Mechanisms'!$P$599:$S$600, 2, FALSE), FALSE), 'Misc. Data &amp; Mechanisms'!$L$599:$N$659, 2, FALSE), FALSE) = "", "", VLOOKUP($A79, INDIRECT("'" &amp; 'Personalized Bill Menu'!$B$23 &amp; "'!" &amp;"$A$4:$CA$100"), VLOOKUP(VLOOKUP("RIDER RATE 5",'Misc. Data &amp; Mechanisms'!$P$601:$S$632,HLOOKUP('Personalized Bill Menu'!$B$23, 'Misc. Data &amp; Mechanisms'!$P$599:$S$600, 2, FALSE), FALSE), 'Misc. Data &amp; Mechanisms'!$L$599:$N$659, 2, FALSE), FALSE)), ""))</f>
        <v>0.92500000000000004</v>
      </c>
      <c r="AC79" s="69" t="str">
        <f ca="1">IF($A79="", "",IFERROR(IF(VLOOKUP($A79, INDIRECT("'" &amp; 'Personalized Bill Menu'!$B$23 &amp; "'!" &amp;"$A$4:$CA$100"), VLOOKUP(VLOOKUP("RIDER RATE 6",'Misc. Data &amp; Mechanisms'!$P$601:$S$632,HLOOKUP('Personalized Bill Menu'!$B$23, 'Misc. Data &amp; Mechanisms'!$P$599:$S$600, 2, FALSE), FALSE), 'Misc. Data &amp; Mechanisms'!$L$599:$N$659, 2, FALSE), FALSE) = "", "", VLOOKUP($A79, INDIRECT("'" &amp; 'Personalized Bill Menu'!$B$23 &amp; "'!" &amp;"$A$4:$CA$100"), VLOOKUP(VLOOKUP("RIDER RATE 6",'Misc. Data &amp; Mechanisms'!$P$601:$S$632,HLOOKUP('Personalized Bill Menu'!$B$23, 'Misc. Data &amp; Mechanisms'!$P$599:$S$600, 2, FALSE), FALSE), 'Misc. Data &amp; Mechanisms'!$L$599:$N$659, 2, FALSE), FALSE)), ""))</f>
        <v/>
      </c>
      <c r="AD79" s="69" t="str">
        <f ca="1">IF($A79="", "",IFERROR(IF(VLOOKUP($A79, INDIRECT("'" &amp; 'Personalized Bill Menu'!$B$23 &amp; "'!" &amp;"$A$4:$CA$100"), VLOOKUP(VLOOKUP("RIDER RATE 7",'Misc. Data &amp; Mechanisms'!$P$601:$S$632,HLOOKUP('Personalized Bill Menu'!$B$23, 'Misc. Data &amp; Mechanisms'!$P$599:$S$600, 2, FALSE), FALSE), 'Misc. Data &amp; Mechanisms'!$L$599:$N$659, 2, FALSE), FALSE) = "", "", VLOOKUP($A79, INDIRECT("'" &amp; 'Personalized Bill Menu'!$B$23 &amp; "'!" &amp;"$A$4:$CA$100"), VLOOKUP(VLOOKUP("RIDER RATE 7",'Misc. Data &amp; Mechanisms'!$P$601:$S$632,HLOOKUP('Personalized Bill Menu'!$B$23, 'Misc. Data &amp; Mechanisms'!$P$599:$S$600, 2, FALSE), FALSE), 'Misc. Data &amp; Mechanisms'!$L$599:$N$659, 2, FALSE), FALSE)), ""))</f>
        <v/>
      </c>
      <c r="AE79" s="69" t="str">
        <f ca="1">IF($A79="", "",IFERROR(IF(VLOOKUP($A79, INDIRECT("'" &amp; 'Personalized Bill Menu'!$B$23 &amp; "'!" &amp;"$A$4:$CA$100"), VLOOKUP(VLOOKUP("RIDER RATE 8",'Misc. Data &amp; Mechanisms'!$P$601:$S$632,HLOOKUP('Personalized Bill Menu'!$B$23, 'Misc. Data &amp; Mechanisms'!$P$599:$S$600, 2, FALSE), FALSE), 'Misc. Data &amp; Mechanisms'!$L$599:$N$659, 2, FALSE), FALSE) = "", "", VLOOKUP($A79, INDIRECT("'" &amp; 'Personalized Bill Menu'!$B$23 &amp; "'!" &amp;"$A$4:$CA$100"), VLOOKUP(VLOOKUP("RIDER RATE 8",'Misc. Data &amp; Mechanisms'!$P$601:$S$632,HLOOKUP('Personalized Bill Menu'!$B$23, 'Misc. Data &amp; Mechanisms'!$P$599:$S$600, 2, FALSE), FALSE), 'Misc. Data &amp; Mechanisms'!$L$599:$N$659, 2, FALSE), FALSE)), ""))</f>
        <v/>
      </c>
      <c r="AF79" s="69" t="str">
        <f ca="1">IF($A79="", "",IFERROR(IF(VLOOKUP($A79, INDIRECT("'" &amp; 'Personalized Bill Menu'!$B$23 &amp; "'!" &amp;"$A$4:$CA$100"), VLOOKUP(VLOOKUP("RIDER RATE 9",'Misc. Data &amp; Mechanisms'!$P$601:$S$632,HLOOKUP('Personalized Bill Menu'!$B$23, 'Misc. Data &amp; Mechanisms'!$P$599:$S$600, 2, FALSE), FALSE), 'Misc. Data &amp; Mechanisms'!$L$599:$N$659, 2, FALSE), FALSE) = "", "", VLOOKUP($A79, INDIRECT("'" &amp; 'Personalized Bill Menu'!$B$23 &amp; "'!" &amp;"$A$4:$CA$100"), VLOOKUP(VLOOKUP("RIDER RATE 9",'Misc. Data &amp; Mechanisms'!$P$601:$S$632,HLOOKUP('Personalized Bill Menu'!$B$23, 'Misc. Data &amp; Mechanisms'!$P$599:$S$600, 2, FALSE), FALSE), 'Misc. Data &amp; Mechanisms'!$L$599:$N$659, 2, FALSE), FALSE)), ""))</f>
        <v/>
      </c>
      <c r="AG79" s="72">
        <f ca="1">IF($A79="", "", IFERROR(IF('Personalized Bill Menu'!$B$23="ATCO-N", ($X79*$B79) +($Y79*$C79), IF('Personalized Bill Menu'!$B$23="ATCO-S",$X79*$C79, IF($Y79="", ($X79*$H79), ($Y79*($H79+$K79))))), 0))</f>
        <v>0</v>
      </c>
      <c r="AH79" s="72">
        <f ca="1">IF($A79="", "", IFERROR(IF('Personalized Bill Menu'!$B$23="ATCO-S", $Y79*$C79, $Z79*$C79), 0))</f>
        <v>0</v>
      </c>
      <c r="AI79" s="72">
        <f ca="1">IF($A79="", "", IFERROR(IF('Personalized Bill Menu'!$B$23="ATCO-S", ($AA79*$C79)+($Z79*$B79), $AA79*$C79), 0))</f>
        <v>0</v>
      </c>
      <c r="AJ79" s="72">
        <f ca="1">IF($A79="", "", IFERROR(IF('Personalized Bill Menu'!$B$23&lt;&gt;"AltaGas",$AB79*$C79,""),0))</f>
        <v>17.926410671448266</v>
      </c>
      <c r="AK79" s="72">
        <f ca="1">IF($A79="", "", IFERROR(IF('Personalized Bill Menu'!$B$23="ATCO-S",$AC79*$C79,IF('Personalized Bill Menu'!$B$23="ATCO-N",$AC79*1,"")),0))</f>
        <v>0</v>
      </c>
      <c r="AL79" s="72">
        <f ca="1">IF($A79="", "", IFERROR(IF('Personalized Bill Menu'!$B$23="ATCO-N",$AD79*$B79,IF('Personalized Bill Menu'!$B$23="ATCO-S",$AD79*1,"")),0))</f>
        <v>0</v>
      </c>
      <c r="AM79" s="72">
        <f ca="1">IF($A79="", "", IFERROR(IF('Personalized Bill Menu'!$B$23="ATCO-S",$AE79*$B79,IF('Personalized Bill Menu'!$B$23="ATCO-N",$AE79*$B79,"")),0))</f>
        <v>0</v>
      </c>
      <c r="AN79" s="70">
        <f ca="1">IF($A79="", "", IFERROR(IF('Personalized Bill Menu'!$B$23="ATCO-S",$AF79*$B79,""),0))</f>
        <v>0</v>
      </c>
      <c r="AO79" s="69">
        <f>IF('Personalized Bill Menu'!$B$34="Natural Gas", 'Personalized Bill Menu'!$K76, IF('Personalized Bill Menu'!$B$34="Both",'Personalized Bill Menu'!$O76,""))</f>
        <v>0.249</v>
      </c>
      <c r="AP79" s="72">
        <f t="shared" si="28"/>
        <v>7.7190000000000003</v>
      </c>
      <c r="AQ79" s="89">
        <f ca="1">IF($A79="", "",IF(VLOOKUP($A79, INDIRECT("'" &amp; 'Personalized Bill Menu'!$B$23 &amp; "'!" &amp;"$A$4:$CA$100"), VLOOKUP(VLOOKUP(AQ$5,'Misc. Data &amp; Mechanisms'!$P$601:$S$632,HLOOKUP('Personalized Bill Menu'!$B$23, 'Misc. Data &amp; Mechanisms'!$P$599:$S$600, 2, FALSE), FALSE), 'Misc. Data &amp; Mechanisms'!$L$599:$N$659, 2, FALSE), FALSE) = "", "", VLOOKUP($A79, INDIRECT("'" &amp; 'Personalized Bill Menu'!$B$23 &amp; "'!" &amp;"$A$4:$CA$100"), VLOOKUP(VLOOKUP(AQ$5,'Misc. Data &amp; Mechanisms'!$P$601:$S$632,HLOOKUP('Personalized Bill Menu'!$B$23, 'Misc. Data &amp; Mechanisms'!$P$599:$S$600, 2, FALSE), FALSE), 'Misc. Data &amp; Mechanisms'!$L$599:$N$659, 2, FALSE), FALSE)))</f>
        <v>1.5169999999999999</v>
      </c>
      <c r="AR79" s="72">
        <f t="shared" ca="1" si="29"/>
        <v>29.399313501175154</v>
      </c>
      <c r="AS79" s="91">
        <f ca="1">IF($A79="", "",IF(VLOOKUP($A79, INDIRECT("'" &amp; 'Personalized Bill Menu'!$B$23 &amp; "'!" &amp;"$A$4:$CA$100"), VLOOKUP(VLOOKUP(AS$5,'Misc. Data &amp; Mechanisms'!$P$601:$S$632,HLOOKUP('Personalized Bill Menu'!$B$23, 'Misc. Data &amp; Mechanisms'!$P$599:$S$600, 2, FALSE), FALSE), 'Misc. Data &amp; Mechanisms'!$L$599:$N$659, 2, FALSE), FALSE) = "", "", VLOOKUP($A79, INDIRECT("'" &amp; 'Personalized Bill Menu'!$B$23 &amp; "'!" &amp;"$A$4:$CA$100"), VLOOKUP(VLOOKUP(AS$5,'Misc. Data &amp; Mechanisms'!$P$601:$S$632,HLOOKUP('Personalized Bill Menu'!$B$23, 'Misc. Data &amp; Mechanisms'!$P$599:$S$600, 2, FALSE), FALSE), 'Misc. Data &amp; Mechanisms'!$L$599:$N$659, 2, FALSE), FALSE)))</f>
        <v>0.05</v>
      </c>
    </row>
    <row r="80" spans="1:45" x14ac:dyDescent="0.3">
      <c r="A80" s="83">
        <f>'Personalized Bill Menu'!$H77</f>
        <v>43132</v>
      </c>
      <c r="B80" s="84">
        <f t="shared" si="19"/>
        <v>28</v>
      </c>
      <c r="C80" s="85">
        <f>IF('Personalized Bill Menu'!$B$34="Natural Gas", 'Personalized Bill Menu'!$I77, IF('Personalized Bill Menu'!$B$34="Both",'Personalized Bill Menu'!$M77,""))</f>
        <v>22.136199814862515</v>
      </c>
      <c r="D80" s="66">
        <f t="shared" ca="1" si="20"/>
        <v>7.873509053781798</v>
      </c>
      <c r="E80" s="66">
        <f ca="1">IF($C80="Not Applicable", "", IFERROR(IFERROR((1+$AS80)*IF('Personalized Bill Menu'!$B$23="ATCO-N", IF(OR('Personalized Bill Menu'!$B$21="Fort McMurray",AND('Personalized Bill Menu'!$B$21="Spruce Grove", $A80&lt;DATE(2019, 5, 1) )),(((1+IF($T80="",0,$T80))*($N80+$P80))+ (IF($U80="", 0, $U80)*$P80)+(1+IF($T80="",0,$T80)+IF($U80="", 0, $U80))*(SUM($Y80:$AB80))),($N80+((1+IF($T80="",0,$T80)+IF($U80="", 0, $U80))*$P80)+(1+IF($T80="",0,$T80)+IF($U80="", 0, $U80))*(SUM($Y80:$AB80)))), IF('Personalized Bill Menu'!$B$23="ATCO-S",IF(OR('Personalized Bill Menu'!$B$21="Calgary",AND('Personalized Bill Menu'!$B$21="Okotoks", $A80&lt;DATE(2019, 1, 1))),((1+IF($T80="",0,$T80))*($N80+$P80+SUM($X80:$Y80,$AA80:$AC80)))+(IF($U80="",0, $U80)*($P80+SUM($X80:$Y80,$AA80:$AC80))), ((1+IF($T80="",0,$T80))*($P80+SUM($Y80,$AA80:$AC80)))+(IF($U80="",0, $U80)*($P80+SUM($X80:$Y80,$AA80:$AC80)))+$N80+IF($X80="", 0, $X80)),IF(AND('Personalized Bill Menu'!$B$21="Athabasca", $A80&lt;DATE(2019, 5, 1)),((1+IF($T80="",0,$T80)+IF($U80="", 0, $U80))*($N80+((1+SUM($X80:$Y80))*$P80)+SUM($Z80:$AA80))),((1+IF($U80="", 0, $U80))*($N80+((1+SUM($X80:$Y80))*$P80)+SUM($Z80:$AA80))) + (IF($T80="",0,$T80)*(((1+SUM($X80:$Y80))*$P80)+SUM($Z80:$AA80)))))), "")+ IF($AQ80="", 0,((1+$AS80)*$AQ80)), ""))</f>
        <v>6.3283026450000008</v>
      </c>
      <c r="F80" s="118">
        <f t="shared" ca="1" si="21"/>
        <v>174.28956965864296</v>
      </c>
      <c r="G80" s="115">
        <f t="shared" si="15"/>
        <v>51.533073168999934</v>
      </c>
      <c r="H80" s="66">
        <f t="shared" ca="1" si="16"/>
        <v>40.885777050779183</v>
      </c>
      <c r="I80" s="66">
        <f t="shared" ca="1" si="17"/>
        <v>12.542616173891345</v>
      </c>
      <c r="J80" s="66">
        <f t="shared" ca="1" si="22"/>
        <v>20.475984828747826</v>
      </c>
      <c r="K80" s="66">
        <f t="shared" si="18"/>
        <v>6.9719999999999995</v>
      </c>
      <c r="L80" s="66">
        <f t="shared" ca="1" si="23"/>
        <v>33.580615119146429</v>
      </c>
      <c r="M80" s="68">
        <f t="shared" ca="1" si="24"/>
        <v>8.2995033170782371</v>
      </c>
      <c r="N80" s="1290">
        <f>IF('Personalized Bill Menu'!$B$34="Natural Gas", 'Personalized Bill Menu'!$J77, IF('Personalized Bill Menu'!$B$34="Both",'Personalized Bill Menu'!$N77,""))</f>
        <v>2.3279999999999998</v>
      </c>
      <c r="O80" s="70">
        <f t="shared" si="25"/>
        <v>51.533073168999934</v>
      </c>
      <c r="P80" s="89">
        <f ca="1">IF($A80="", "",IFERROR(IF(VLOOKUP($A80, INDIRECT("'" &amp; 'Personalized Bill Menu'!$B$23 &amp; "'!" &amp;"$A$4:$CA$100"), VLOOKUP(VLOOKUP(P$5,'Misc. Data &amp; Mechanisms'!$P$601:$S$632,HLOOKUP('Personalized Bill Menu'!$B$23, 'Misc. Data &amp; Mechanisms'!$P$599:$S$600, 2, FALSE), FALSE), 'Misc. Data &amp; Mechanisms'!$L$599:$N$659, 2, FALSE), FALSE) = "", "", VLOOKUP($A80, INDIRECT("'" &amp; 'Personalized Bill Menu'!$B$23 &amp; "'!" &amp;"$A$4:$CA$100"), VLOOKUP(VLOOKUP(P$5,'Misc. Data &amp; Mechanisms'!$P$601:$S$632,HLOOKUP('Personalized Bill Menu'!$B$23, 'Misc. Data &amp; Mechanisms'!$P$599:$S$600, 2, FALSE), FALSE), 'Misc. Data &amp; Mechanisms'!$L$599:$N$659, 2, FALSE), FALSE)), ""))</f>
        <v>0.80600000000000005</v>
      </c>
      <c r="Q80" s="69">
        <f ca="1">IF($A80="", "",IFERROR(IF(VLOOKUP($A80, INDIRECT("'" &amp; 'Personalized Bill Menu'!$B$23 &amp; "'!" &amp;"$A$4:$CA$100"), VLOOKUP(VLOOKUP(Q$5,'Misc. Data &amp; Mechanisms'!$P$601:$S$632,HLOOKUP('Personalized Bill Menu'!$B$23, 'Misc. Data &amp; Mechanisms'!$P$599:$S$600, 2, FALSE), FALSE), 'Misc. Data &amp; Mechanisms'!$L$599:$N$659, 2, FALSE), FALSE) = "", "", VLOOKUP($A80, INDIRECT("'" &amp; 'Personalized Bill Menu'!$B$23 &amp; "'!" &amp;"$A$4:$CA$100"), VLOOKUP(VLOOKUP(Q$5,'Misc. Data &amp; Mechanisms'!$P$601:$S$632,HLOOKUP('Personalized Bill Menu'!$B$23, 'Misc. Data &amp; Mechanisms'!$P$599:$S$600, 2, FALSE), FALSE), 'Misc. Data &amp; Mechanisms'!$L$599:$N$659, 2, FALSE), FALSE)), ""))</f>
        <v>0.82299999999999995</v>
      </c>
      <c r="R80" s="72">
        <f t="shared" ca="1" si="26"/>
        <v>17.841777050779189</v>
      </c>
      <c r="S80" s="70">
        <f t="shared" ca="1" si="27"/>
        <v>23.043999999999997</v>
      </c>
      <c r="T80" s="78">
        <f>IFERROR(IF(VLOOKUP($A80,'Misc. Data &amp; Mechanisms'!$A$63:$DY$152,HLOOKUP('Personalized Bill Menu'!$B$21&amp;"_"&amp;'Personalized Bill Menu'!$B$23&amp;"_NG_Y_1",'Misc. Data &amp; Mechanisms'!$A$55:$DY$62,8,FALSE), FALSE)="", "", VLOOKUP($A80,'Misc. Data &amp; Mechanisms'!$A$63:$DY$152,HLOOKUP('Personalized Bill Menu'!$B$21&amp;"_"&amp;'Personalized Bill Menu'!$B$23&amp;"_NG_Y_1",'Misc. Data &amp; Mechanisms'!$A$55:$DY$62,8,FALSE), FALSE)), "")</f>
        <v>0.1111</v>
      </c>
      <c r="U80" s="78" t="str">
        <f>IFERROR(IF(VLOOKUP($A80,'Misc. Data &amp; Mechanisms'!$A$63:$DY$152,HLOOKUP('Personalized Bill Menu'!$B$21&amp;"_"&amp;'Personalized Bill Menu'!$B$23&amp;"_NG_Y_2",'Misc. Data &amp; Mechanisms'!$A$55:$DY$62,8,FALSE), FALSE)="", "",VLOOKUP($A80,'Misc. Data &amp; Mechanisms'!$A$63:$DY$152,HLOOKUP('Personalized Bill Menu'!$B$21&amp;"_"&amp;'Personalized Bill Menu'!$B$23&amp;"_NG_Y_2",'Misc. Data &amp; Mechanisms'!$A$55:$DY$62,8,FALSE), FALSE)), "")</f>
        <v/>
      </c>
      <c r="V80" s="72">
        <f ca="1">IF($A80="", "", IFERROR(IF('Personalized Bill Menu'!$B$23="ATCO-N", IF(OR('Personalized Bill Menu'!$B$21="Fort McMurray",AND('Personalized Bill Menu'!$B$21="Spruce Grove", $A80&lt;DATE(2019, 5, 1))),$T80*($G80+$H80+$J80),$T80*($H80+$J80)), IF('Personalized Bill Menu'!$B$23="ATCO-S",IF(OR('Personalized Bill Menu'!$B$21="Calgary",AND('Personalized Bill Menu'!$B$21="Okotoks", $A80&lt;DATE(2019, 1, 1))),$T80*($G80+$H80+$J80), $T80*($H80+$J80-$AG80)),IF(AND('Personalized Bill Menu'!$B$21="Athabasca", $A80&lt;DATE(2019, 5, 1)),$T80*($G80+$H80+$J80+$K80),$T80*($H80+$J80+$K80)))),0))</f>
        <v>12.542616173891345</v>
      </c>
      <c r="W80" s="72">
        <f ca="1">IF($A80="", "", IFERROR(IF('Personalized Bill Menu'!$B$23="ATCO-N", $U80*($H80+$J80), IF('Personalized Bill Menu'!$B$23="ATCO-S",$U80*($H80+$J80),$U80*($G80+$H80+$J80+$K80))),0))</f>
        <v>0</v>
      </c>
      <c r="X80" s="89" t="str">
        <f ca="1">IF($A80="", "",IFERROR(IF(VLOOKUP($A80, INDIRECT("'" &amp; 'Personalized Bill Menu'!$B$23 &amp; "'!" &amp;"$A$4:$CA$100"), VLOOKUP(VLOOKUP("RIDER RATE 1",'Misc. Data &amp; Mechanisms'!$P$601:$S$632,HLOOKUP('Personalized Bill Menu'!$B$23, 'Misc. Data &amp; Mechanisms'!$P$599:$S$600, 2, FALSE), FALSE), 'Misc. Data &amp; Mechanisms'!$L$599:$N$659, 2, FALSE), FALSE) = "", "", VLOOKUP($A80, INDIRECT("'" &amp; 'Personalized Bill Menu'!$B$23 &amp; "'!" &amp;"$A$4:$CA$100"), VLOOKUP(VLOOKUP("RIDER RATE 1",'Misc. Data &amp; Mechanisms'!$P$601:$S$632,HLOOKUP('Personalized Bill Menu'!$B$23, 'Misc. Data &amp; Mechanisms'!$P$599:$S$600, 2, FALSE), FALSE), 'Misc. Data &amp; Mechanisms'!$L$599:$N$659, 2, FALSE), FALSE)), ""))</f>
        <v/>
      </c>
      <c r="Y80" s="69" t="str">
        <f ca="1">IF($A80="", "",IFERROR(IF(VLOOKUP($A80, INDIRECT("'" &amp; 'Personalized Bill Menu'!$B$23 &amp; "'!" &amp;"$A$4:$CA$100"), VLOOKUP(VLOOKUP("RIDER RATE 2",'Misc. Data &amp; Mechanisms'!$P$601:$S$632,HLOOKUP('Personalized Bill Menu'!$B$23, 'Misc. Data &amp; Mechanisms'!$P$599:$S$600, 2, FALSE), FALSE), 'Misc. Data &amp; Mechanisms'!$L$599:$N$659, 2, FALSE), FALSE) = "", "", VLOOKUP($A80, INDIRECT("'" &amp; 'Personalized Bill Menu'!$B$23 &amp; "'!" &amp;"$A$4:$CA$100"), VLOOKUP(VLOOKUP("RIDER RATE 2",'Misc. Data &amp; Mechanisms'!$P$601:$S$632,HLOOKUP('Personalized Bill Menu'!$B$23, 'Misc. Data &amp; Mechanisms'!$P$599:$S$600, 2, FALSE), FALSE), 'Misc. Data &amp; Mechanisms'!$L$599:$N$659, 2, FALSE), FALSE)), ""))</f>
        <v/>
      </c>
      <c r="Z80" s="69" t="str">
        <f ca="1">IF($A80="", "",IFERROR(IF(VLOOKUP($A80, INDIRECT("'" &amp; 'Personalized Bill Menu'!$B$23 &amp; "'!" &amp;"$A$4:$CA$100"), VLOOKUP(VLOOKUP("RIDER RATE 3",'Misc. Data &amp; Mechanisms'!$P$601:$S$632,HLOOKUP('Personalized Bill Menu'!$B$23, 'Misc. Data &amp; Mechanisms'!$P$599:$S$600, 2, FALSE), FALSE), 'Misc. Data &amp; Mechanisms'!$L$599:$N$659, 2, FALSE), FALSE) = "", "", VLOOKUP($A80, INDIRECT("'" &amp; 'Personalized Bill Menu'!$B$23 &amp; "'!" &amp;"$A$4:$CA$100"), VLOOKUP(VLOOKUP("RIDER RATE 3",'Misc. Data &amp; Mechanisms'!$P$601:$S$632,HLOOKUP('Personalized Bill Menu'!$B$23, 'Misc. Data &amp; Mechanisms'!$P$599:$S$600, 2, FALSE), FALSE), 'Misc. Data &amp; Mechanisms'!$L$599:$N$659, 2, FALSE), FALSE)), ""))</f>
        <v/>
      </c>
      <c r="AA80" s="69" t="str">
        <f ca="1">IF($A80="", "",IFERROR(IF(VLOOKUP($A80, INDIRECT("'" &amp; 'Personalized Bill Menu'!$B$23 &amp; "'!" &amp;"$A$4:$CA$100"), VLOOKUP(VLOOKUP("RIDER RATE 4",'Misc. Data &amp; Mechanisms'!$P$601:$S$632,HLOOKUP('Personalized Bill Menu'!$B$23, 'Misc. Data &amp; Mechanisms'!$P$599:$S$600, 2, FALSE), FALSE), 'Misc. Data &amp; Mechanisms'!$L$599:$N$659, 2, FALSE), FALSE) = "", "", VLOOKUP($A80, INDIRECT("'" &amp; 'Personalized Bill Menu'!$B$23 &amp; "'!" &amp;"$A$4:$CA$100"), VLOOKUP(VLOOKUP("RIDER RATE 4",'Misc. Data &amp; Mechanisms'!$P$601:$S$632,HLOOKUP('Personalized Bill Menu'!$B$23, 'Misc. Data &amp; Mechanisms'!$P$599:$S$600, 2, FALSE), FALSE), 'Misc. Data &amp; Mechanisms'!$L$599:$N$659, 2, FALSE), FALSE)), ""))</f>
        <v/>
      </c>
      <c r="AB80" s="69">
        <f ca="1">IF($A80="", "",IFERROR(IF(VLOOKUP($A80, INDIRECT("'" &amp; 'Personalized Bill Menu'!$B$23 &amp; "'!" &amp;"$A$4:$CA$100"), VLOOKUP(VLOOKUP("RIDER RATE 5",'Misc. Data &amp; Mechanisms'!$P$601:$S$632,HLOOKUP('Personalized Bill Menu'!$B$23, 'Misc. Data &amp; Mechanisms'!$P$599:$S$600, 2, FALSE), FALSE), 'Misc. Data &amp; Mechanisms'!$L$599:$N$659, 2, FALSE), FALSE) = "", "", VLOOKUP($A80, INDIRECT("'" &amp; 'Personalized Bill Menu'!$B$23 &amp; "'!" &amp;"$A$4:$CA$100"), VLOOKUP(VLOOKUP("RIDER RATE 5",'Misc. Data &amp; Mechanisms'!$P$601:$S$632,HLOOKUP('Personalized Bill Menu'!$B$23, 'Misc. Data &amp; Mechanisms'!$P$599:$S$600, 2, FALSE), FALSE), 'Misc. Data &amp; Mechanisms'!$L$599:$N$659, 2, FALSE), FALSE)), ""))</f>
        <v>0.92500000000000004</v>
      </c>
      <c r="AC80" s="69" t="str">
        <f ca="1">IF($A80="", "",IFERROR(IF(VLOOKUP($A80, INDIRECT("'" &amp; 'Personalized Bill Menu'!$B$23 &amp; "'!" &amp;"$A$4:$CA$100"), VLOOKUP(VLOOKUP("RIDER RATE 6",'Misc. Data &amp; Mechanisms'!$P$601:$S$632,HLOOKUP('Personalized Bill Menu'!$B$23, 'Misc. Data &amp; Mechanisms'!$P$599:$S$600, 2, FALSE), FALSE), 'Misc. Data &amp; Mechanisms'!$L$599:$N$659, 2, FALSE), FALSE) = "", "", VLOOKUP($A80, INDIRECT("'" &amp; 'Personalized Bill Menu'!$B$23 &amp; "'!" &amp;"$A$4:$CA$100"), VLOOKUP(VLOOKUP("RIDER RATE 6",'Misc. Data &amp; Mechanisms'!$P$601:$S$632,HLOOKUP('Personalized Bill Menu'!$B$23, 'Misc. Data &amp; Mechanisms'!$P$599:$S$600, 2, FALSE), FALSE), 'Misc. Data &amp; Mechanisms'!$L$599:$N$659, 2, FALSE), FALSE)), ""))</f>
        <v/>
      </c>
      <c r="AD80" s="69" t="str">
        <f ca="1">IF($A80="", "",IFERROR(IF(VLOOKUP($A80, INDIRECT("'" &amp; 'Personalized Bill Menu'!$B$23 &amp; "'!" &amp;"$A$4:$CA$100"), VLOOKUP(VLOOKUP("RIDER RATE 7",'Misc. Data &amp; Mechanisms'!$P$601:$S$632,HLOOKUP('Personalized Bill Menu'!$B$23, 'Misc. Data &amp; Mechanisms'!$P$599:$S$600, 2, FALSE), FALSE), 'Misc. Data &amp; Mechanisms'!$L$599:$N$659, 2, FALSE), FALSE) = "", "", VLOOKUP($A80, INDIRECT("'" &amp; 'Personalized Bill Menu'!$B$23 &amp; "'!" &amp;"$A$4:$CA$100"), VLOOKUP(VLOOKUP("RIDER RATE 7",'Misc. Data &amp; Mechanisms'!$P$601:$S$632,HLOOKUP('Personalized Bill Menu'!$B$23, 'Misc. Data &amp; Mechanisms'!$P$599:$S$600, 2, FALSE), FALSE), 'Misc. Data &amp; Mechanisms'!$L$599:$N$659, 2, FALSE), FALSE)), ""))</f>
        <v/>
      </c>
      <c r="AE80" s="69" t="str">
        <f ca="1">IF($A80="", "",IFERROR(IF(VLOOKUP($A80, INDIRECT("'" &amp; 'Personalized Bill Menu'!$B$23 &amp; "'!" &amp;"$A$4:$CA$100"), VLOOKUP(VLOOKUP("RIDER RATE 8",'Misc. Data &amp; Mechanisms'!$P$601:$S$632,HLOOKUP('Personalized Bill Menu'!$B$23, 'Misc. Data &amp; Mechanisms'!$P$599:$S$600, 2, FALSE), FALSE), 'Misc. Data &amp; Mechanisms'!$L$599:$N$659, 2, FALSE), FALSE) = "", "", VLOOKUP($A80, INDIRECT("'" &amp; 'Personalized Bill Menu'!$B$23 &amp; "'!" &amp;"$A$4:$CA$100"), VLOOKUP(VLOOKUP("RIDER RATE 8",'Misc. Data &amp; Mechanisms'!$P$601:$S$632,HLOOKUP('Personalized Bill Menu'!$B$23, 'Misc. Data &amp; Mechanisms'!$P$599:$S$600, 2, FALSE), FALSE), 'Misc. Data &amp; Mechanisms'!$L$599:$N$659, 2, FALSE), FALSE)), ""))</f>
        <v/>
      </c>
      <c r="AF80" s="69" t="str">
        <f ca="1">IF($A80="", "",IFERROR(IF(VLOOKUP($A80, INDIRECT("'" &amp; 'Personalized Bill Menu'!$B$23 &amp; "'!" &amp;"$A$4:$CA$100"), VLOOKUP(VLOOKUP("RIDER RATE 9",'Misc. Data &amp; Mechanisms'!$P$601:$S$632,HLOOKUP('Personalized Bill Menu'!$B$23, 'Misc. Data &amp; Mechanisms'!$P$599:$S$600, 2, FALSE), FALSE), 'Misc. Data &amp; Mechanisms'!$L$599:$N$659, 2, FALSE), FALSE) = "", "", VLOOKUP($A80, INDIRECT("'" &amp; 'Personalized Bill Menu'!$B$23 &amp; "'!" &amp;"$A$4:$CA$100"), VLOOKUP(VLOOKUP("RIDER RATE 9",'Misc. Data &amp; Mechanisms'!$P$601:$S$632,HLOOKUP('Personalized Bill Menu'!$B$23, 'Misc. Data &amp; Mechanisms'!$P$599:$S$600, 2, FALSE), FALSE), 'Misc. Data &amp; Mechanisms'!$L$599:$N$659, 2, FALSE), FALSE)), ""))</f>
        <v/>
      </c>
      <c r="AG80" s="72">
        <f ca="1">IF($A80="", "", IFERROR(IF('Personalized Bill Menu'!$B$23="ATCO-N", ($X80*$B80) +($Y80*$C80), IF('Personalized Bill Menu'!$B$23="ATCO-S",$X80*$C80, IF($Y80="", ($X80*$H80), ($Y80*($H80+$K80))))), 0))</f>
        <v>0</v>
      </c>
      <c r="AH80" s="72">
        <f ca="1">IF($A80="", "", IFERROR(IF('Personalized Bill Menu'!$B$23="ATCO-S", $Y80*$C80, $Z80*$C80), 0))</f>
        <v>0</v>
      </c>
      <c r="AI80" s="72">
        <f ca="1">IF($A80="", "", IFERROR(IF('Personalized Bill Menu'!$B$23="ATCO-S", ($AA80*$C80)+($Z80*$B80), $AA80*$C80), 0))</f>
        <v>0</v>
      </c>
      <c r="AJ80" s="72">
        <f ca="1">IF($A80="", "", IFERROR(IF('Personalized Bill Menu'!$B$23&lt;&gt;"AltaGas",$AB80*$C80,""),0))</f>
        <v>20.475984828747826</v>
      </c>
      <c r="AK80" s="72">
        <f ca="1">IF($A80="", "", IFERROR(IF('Personalized Bill Menu'!$B$23="ATCO-S",$AC80*$C80,IF('Personalized Bill Menu'!$B$23="ATCO-N",$AC80*1,"")),0))</f>
        <v>0</v>
      </c>
      <c r="AL80" s="72">
        <f ca="1">IF($A80="", "", IFERROR(IF('Personalized Bill Menu'!$B$23="ATCO-N",$AD80*$B80,IF('Personalized Bill Menu'!$B$23="ATCO-S",$AD80*1,"")),0))</f>
        <v>0</v>
      </c>
      <c r="AM80" s="72">
        <f ca="1">IF($A80="", "", IFERROR(IF('Personalized Bill Menu'!$B$23="ATCO-S",$AE80*$B80,IF('Personalized Bill Menu'!$B$23="ATCO-N",$AE80*$B80,"")),0))</f>
        <v>0</v>
      </c>
      <c r="AN80" s="70">
        <f ca="1">IF($A80="", "", IFERROR(IF('Personalized Bill Menu'!$B$23="ATCO-S",$AF80*$B80,""),0))</f>
        <v>0</v>
      </c>
      <c r="AO80" s="69">
        <f>IF('Personalized Bill Menu'!$B$34="Natural Gas", 'Personalized Bill Menu'!$K77, IF('Personalized Bill Menu'!$B$34="Both",'Personalized Bill Menu'!$O77,""))</f>
        <v>0.249</v>
      </c>
      <c r="AP80" s="72">
        <f t="shared" si="28"/>
        <v>6.9719999999999995</v>
      </c>
      <c r="AQ80" s="89">
        <f ca="1">IF($A80="", "",IF(VLOOKUP($A80, INDIRECT("'" &amp; 'Personalized Bill Menu'!$B$23 &amp; "'!" &amp;"$A$4:$CA$100"), VLOOKUP(VLOOKUP(AQ$5,'Misc. Data &amp; Mechanisms'!$P$601:$S$632,HLOOKUP('Personalized Bill Menu'!$B$23, 'Misc. Data &amp; Mechanisms'!$P$599:$S$600, 2, FALSE), FALSE), 'Misc. Data &amp; Mechanisms'!$L$599:$N$659, 2, FALSE), FALSE) = "", "", VLOOKUP($A80, INDIRECT("'" &amp; 'Personalized Bill Menu'!$B$23 &amp; "'!" &amp;"$A$4:$CA$100"), VLOOKUP(VLOOKUP(AQ$5,'Misc. Data &amp; Mechanisms'!$P$601:$S$632,HLOOKUP('Personalized Bill Menu'!$B$23, 'Misc. Data &amp; Mechanisms'!$P$599:$S$600, 2, FALSE), FALSE), 'Misc. Data &amp; Mechanisms'!$L$599:$N$659, 2, FALSE), FALSE)))</f>
        <v>1.5169999999999999</v>
      </c>
      <c r="AR80" s="72">
        <f t="shared" ca="1" si="29"/>
        <v>33.580615119146429</v>
      </c>
      <c r="AS80" s="91">
        <f ca="1">IF($A80="", "",IF(VLOOKUP($A80, INDIRECT("'" &amp; 'Personalized Bill Menu'!$B$23 &amp; "'!" &amp;"$A$4:$CA$100"), VLOOKUP(VLOOKUP(AS$5,'Misc. Data &amp; Mechanisms'!$P$601:$S$632,HLOOKUP('Personalized Bill Menu'!$B$23, 'Misc. Data &amp; Mechanisms'!$P$599:$S$600, 2, FALSE), FALSE), 'Misc. Data &amp; Mechanisms'!$L$599:$N$659, 2, FALSE), FALSE) = "", "", VLOOKUP($A80, INDIRECT("'" &amp; 'Personalized Bill Menu'!$B$23 &amp; "'!" &amp;"$A$4:$CA$100"), VLOOKUP(VLOOKUP(AS$5,'Misc. Data &amp; Mechanisms'!$P$601:$S$632,HLOOKUP('Personalized Bill Menu'!$B$23, 'Misc. Data &amp; Mechanisms'!$P$599:$S$600, 2, FALSE), FALSE), 'Misc. Data &amp; Mechanisms'!$L$599:$N$659, 2, FALSE), FALSE)))</f>
        <v>0.05</v>
      </c>
    </row>
    <row r="81" spans="1:45" x14ac:dyDescent="0.3">
      <c r="A81" s="83">
        <f>'Personalized Bill Menu'!$H78</f>
        <v>43160</v>
      </c>
      <c r="B81" s="84">
        <f t="shared" si="19"/>
        <v>31</v>
      </c>
      <c r="C81" s="85">
        <f>IF('Personalized Bill Menu'!$B$34="Natural Gas", 'Personalized Bill Menu'!$I78, IF('Personalized Bill Menu'!$B$34="Both",'Personalized Bill Menu'!$M78,""))</f>
        <v>16.888538624953767</v>
      </c>
      <c r="D81" s="66">
        <f t="shared" ca="1" si="20"/>
        <v>7.4459856449178252</v>
      </c>
      <c r="E81" s="66">
        <f ca="1">IF($C81="Not Applicable", "", IFERROR(IFERROR((1+$AS81)*IF('Personalized Bill Menu'!$B$23="ATCO-N", IF(OR('Personalized Bill Menu'!$B$21="Fort McMurray",AND('Personalized Bill Menu'!$B$21="Spruce Grove", $A81&lt;DATE(2019, 5, 1) )),(((1+IF($T81="",0,$T81))*($N81+$P81))+ (IF($U81="", 0, $U81)*$P81)+(1+IF($T81="",0,$T81)+IF($U81="", 0, $U81))*(SUM($Y81:$AB81))),($N81+((1+IF($T81="",0,$T81)+IF($U81="", 0, $U81))*$P81)+(1+IF($T81="",0,$T81)+IF($U81="", 0, $U81))*(SUM($Y81:$AB81)))), IF('Personalized Bill Menu'!$B$23="ATCO-S",IF(OR('Personalized Bill Menu'!$B$21="Calgary",AND('Personalized Bill Menu'!$B$21="Okotoks", $A81&lt;DATE(2019, 1, 1))),((1+IF($T81="",0,$T81))*($N81+$P81+SUM($X81:$Y81,$AA81:$AC81)))+(IF($U81="",0, $U81)*($P81+SUM($X81:$Y81,$AA81:$AC81))), ((1+IF($T81="",0,$T81))*($P81+SUM($Y81,$AA81:$AC81)))+(IF($U81="",0, $U81)*($P81+SUM($X81:$Y81,$AA81:$AC81)))+$N81+IF($X81="", 0, $X81)),IF(AND('Personalized Bill Menu'!$B$21="Athabasca", $A81&lt;DATE(2019, 5, 1)),((1+IF($T81="",0,$T81)+IF($U81="", 0, $U81))*($N81+((1+SUM($X81:$Y81))*$P81)+SUM($Z81:$AA81))),((1+IF($U81="", 0, $U81))*($N81+((1+SUM($X81:$Y81))*$P81)+SUM($Z81:$AA81))) + (IF($T81="",0,$T81)*(((1+SUM($X81:$Y81))*$P81)+SUM($Z81:$AA81)))))), "")+ IF($AQ81="", 0,((1+$AS81)*$AQ81)), ""))</f>
        <v>5.2036472250000001</v>
      </c>
      <c r="F81" s="118">
        <f t="shared" ca="1" si="21"/>
        <v>125.75181616504598</v>
      </c>
      <c r="G81" s="115">
        <f t="shared" si="15"/>
        <v>29.267837437044882</v>
      </c>
      <c r="H81" s="66">
        <f t="shared" ca="1" si="16"/>
        <v>39.125162131712734</v>
      </c>
      <c r="I81" s="66">
        <f t="shared" ca="1" si="17"/>
        <v>8.6416943046141661</v>
      </c>
      <c r="J81" s="66">
        <f t="shared" ca="1" si="22"/>
        <v>9.3900274754742963</v>
      </c>
      <c r="K81" s="66">
        <f t="shared" si="18"/>
        <v>7.7190000000000003</v>
      </c>
      <c r="L81" s="66">
        <f t="shared" ca="1" si="23"/>
        <v>25.619913094054862</v>
      </c>
      <c r="M81" s="68">
        <f t="shared" ca="1" si="24"/>
        <v>5.9881817221450468</v>
      </c>
      <c r="N81" s="1290">
        <f>IF('Personalized Bill Menu'!$B$34="Natural Gas", 'Personalized Bill Menu'!$J78, IF('Personalized Bill Menu'!$B$34="Both",'Personalized Bill Menu'!$N78,""))</f>
        <v>1.7330000000000001</v>
      </c>
      <c r="O81" s="70">
        <f t="shared" si="25"/>
        <v>29.267837437044882</v>
      </c>
      <c r="P81" s="89">
        <f ca="1">IF($A81="", "",IFERROR(IF(VLOOKUP($A81, INDIRECT("'" &amp; 'Personalized Bill Menu'!$B$23 &amp; "'!" &amp;"$A$4:$CA$100"), VLOOKUP(VLOOKUP(P$5,'Misc. Data &amp; Mechanisms'!$P$601:$S$632,HLOOKUP('Personalized Bill Menu'!$B$23, 'Misc. Data &amp; Mechanisms'!$P$599:$S$600, 2, FALSE), FALSE), 'Misc. Data &amp; Mechanisms'!$L$599:$N$659, 2, FALSE), FALSE) = "", "", VLOOKUP($A81, INDIRECT("'" &amp; 'Personalized Bill Menu'!$B$23 &amp; "'!" &amp;"$A$4:$CA$100"), VLOOKUP(VLOOKUP(P$5,'Misc. Data &amp; Mechanisms'!$P$601:$S$632,HLOOKUP('Personalized Bill Menu'!$B$23, 'Misc. Data &amp; Mechanisms'!$P$599:$S$600, 2, FALSE), FALSE), 'Misc. Data &amp; Mechanisms'!$L$599:$N$659, 2, FALSE), FALSE)), ""))</f>
        <v>0.80600000000000005</v>
      </c>
      <c r="Q81" s="69">
        <f ca="1">IF($A81="", "",IFERROR(IF(VLOOKUP($A81, INDIRECT("'" &amp; 'Personalized Bill Menu'!$B$23 &amp; "'!" &amp;"$A$4:$CA$100"), VLOOKUP(VLOOKUP(Q$5,'Misc. Data &amp; Mechanisms'!$P$601:$S$632,HLOOKUP('Personalized Bill Menu'!$B$23, 'Misc. Data &amp; Mechanisms'!$P$599:$S$600, 2, FALSE), FALSE), 'Misc. Data &amp; Mechanisms'!$L$599:$N$659, 2, FALSE), FALSE) = "", "", VLOOKUP($A81, INDIRECT("'" &amp; 'Personalized Bill Menu'!$B$23 &amp; "'!" &amp;"$A$4:$CA$100"), VLOOKUP(VLOOKUP(Q$5,'Misc. Data &amp; Mechanisms'!$P$601:$S$632,HLOOKUP('Personalized Bill Menu'!$B$23, 'Misc. Data &amp; Mechanisms'!$P$599:$S$600, 2, FALSE), FALSE), 'Misc. Data &amp; Mechanisms'!$L$599:$N$659, 2, FALSE), FALSE)), ""))</f>
        <v>0.82299999999999995</v>
      </c>
      <c r="R81" s="72">
        <f t="shared" ca="1" si="26"/>
        <v>13.612162131712738</v>
      </c>
      <c r="S81" s="70">
        <f t="shared" ca="1" si="27"/>
        <v>25.512999999999998</v>
      </c>
      <c r="T81" s="78">
        <f>IFERROR(IF(VLOOKUP($A81,'Misc. Data &amp; Mechanisms'!$A$63:$DY$152,HLOOKUP('Personalized Bill Menu'!$B$21&amp;"_"&amp;'Personalized Bill Menu'!$B$23&amp;"_NG_Y_1",'Misc. Data &amp; Mechanisms'!$A$55:$DY$62,8,FALSE), FALSE)="", "", VLOOKUP($A81,'Misc. Data &amp; Mechanisms'!$A$63:$DY$152,HLOOKUP('Personalized Bill Menu'!$B$21&amp;"_"&amp;'Personalized Bill Menu'!$B$23&amp;"_NG_Y_1",'Misc. Data &amp; Mechanisms'!$A$55:$DY$62,8,FALSE), FALSE)), "")</f>
        <v>0.1111</v>
      </c>
      <c r="U81" s="78" t="str">
        <f>IFERROR(IF(VLOOKUP($A81,'Misc. Data &amp; Mechanisms'!$A$63:$DY$152,HLOOKUP('Personalized Bill Menu'!$B$21&amp;"_"&amp;'Personalized Bill Menu'!$B$23&amp;"_NG_Y_2",'Misc. Data &amp; Mechanisms'!$A$55:$DY$62,8,FALSE), FALSE)="", "",VLOOKUP($A81,'Misc. Data &amp; Mechanisms'!$A$63:$DY$152,HLOOKUP('Personalized Bill Menu'!$B$21&amp;"_"&amp;'Personalized Bill Menu'!$B$23&amp;"_NG_Y_2",'Misc. Data &amp; Mechanisms'!$A$55:$DY$62,8,FALSE), FALSE)), "")</f>
        <v/>
      </c>
      <c r="V81" s="72">
        <f ca="1">IF($A81="", "", IFERROR(IF('Personalized Bill Menu'!$B$23="ATCO-N", IF(OR('Personalized Bill Menu'!$B$21="Fort McMurray",AND('Personalized Bill Menu'!$B$21="Spruce Grove", $A81&lt;DATE(2019, 5, 1))),$T81*($G81+$H81+$J81),$T81*($H81+$J81)), IF('Personalized Bill Menu'!$B$23="ATCO-S",IF(OR('Personalized Bill Menu'!$B$21="Calgary",AND('Personalized Bill Menu'!$B$21="Okotoks", $A81&lt;DATE(2019, 1, 1))),$T81*($G81+$H81+$J81), $T81*($H81+$J81-$AG81)),IF(AND('Personalized Bill Menu'!$B$21="Athabasca", $A81&lt;DATE(2019, 5, 1)),$T81*($G81+$H81+$J81+$K81),$T81*($H81+$J81+$K81)))),0))</f>
        <v>8.6416943046141661</v>
      </c>
      <c r="W81" s="72">
        <f ca="1">IF($A81="", "", IFERROR(IF('Personalized Bill Menu'!$B$23="ATCO-N", $U81*($H81+$J81), IF('Personalized Bill Menu'!$B$23="ATCO-S",$U81*($H81+$J81),$U81*($G81+$H81+$J81+$K81))),0))</f>
        <v>0</v>
      </c>
      <c r="X81" s="89" t="str">
        <f ca="1">IF($A81="", "",IFERROR(IF(VLOOKUP($A81, INDIRECT("'" &amp; 'Personalized Bill Menu'!$B$23 &amp; "'!" &amp;"$A$4:$CA$100"), VLOOKUP(VLOOKUP("RIDER RATE 1",'Misc. Data &amp; Mechanisms'!$P$601:$S$632,HLOOKUP('Personalized Bill Menu'!$B$23, 'Misc. Data &amp; Mechanisms'!$P$599:$S$600, 2, FALSE), FALSE), 'Misc. Data &amp; Mechanisms'!$L$599:$N$659, 2, FALSE), FALSE) = "", "", VLOOKUP($A81, INDIRECT("'" &amp; 'Personalized Bill Menu'!$B$23 &amp; "'!" &amp;"$A$4:$CA$100"), VLOOKUP(VLOOKUP("RIDER RATE 1",'Misc. Data &amp; Mechanisms'!$P$601:$S$632,HLOOKUP('Personalized Bill Menu'!$B$23, 'Misc. Data &amp; Mechanisms'!$P$599:$S$600, 2, FALSE), FALSE), 'Misc. Data &amp; Mechanisms'!$L$599:$N$659, 2, FALSE), FALSE)), ""))</f>
        <v/>
      </c>
      <c r="Y81" s="69" t="str">
        <f ca="1">IF($A81="", "",IFERROR(IF(VLOOKUP($A81, INDIRECT("'" &amp; 'Personalized Bill Menu'!$B$23 &amp; "'!" &amp;"$A$4:$CA$100"), VLOOKUP(VLOOKUP("RIDER RATE 2",'Misc. Data &amp; Mechanisms'!$P$601:$S$632,HLOOKUP('Personalized Bill Menu'!$B$23, 'Misc. Data &amp; Mechanisms'!$P$599:$S$600, 2, FALSE), FALSE), 'Misc. Data &amp; Mechanisms'!$L$599:$N$659, 2, FALSE), FALSE) = "", "", VLOOKUP($A81, INDIRECT("'" &amp; 'Personalized Bill Menu'!$B$23 &amp; "'!" &amp;"$A$4:$CA$100"), VLOOKUP(VLOOKUP("RIDER RATE 2",'Misc. Data &amp; Mechanisms'!$P$601:$S$632,HLOOKUP('Personalized Bill Menu'!$B$23, 'Misc. Data &amp; Mechanisms'!$P$599:$S$600, 2, FALSE), FALSE), 'Misc. Data &amp; Mechanisms'!$L$599:$N$659, 2, FALSE), FALSE)), ""))</f>
        <v/>
      </c>
      <c r="Z81" s="69" t="str">
        <f ca="1">IF($A81="", "",IFERROR(IF(VLOOKUP($A81, INDIRECT("'" &amp; 'Personalized Bill Menu'!$B$23 &amp; "'!" &amp;"$A$4:$CA$100"), VLOOKUP(VLOOKUP("RIDER RATE 3",'Misc. Data &amp; Mechanisms'!$P$601:$S$632,HLOOKUP('Personalized Bill Menu'!$B$23, 'Misc. Data &amp; Mechanisms'!$P$599:$S$600, 2, FALSE), FALSE), 'Misc. Data &amp; Mechanisms'!$L$599:$N$659, 2, FALSE), FALSE) = "", "", VLOOKUP($A81, INDIRECT("'" &amp; 'Personalized Bill Menu'!$B$23 &amp; "'!" &amp;"$A$4:$CA$100"), VLOOKUP(VLOOKUP("RIDER RATE 3",'Misc. Data &amp; Mechanisms'!$P$601:$S$632,HLOOKUP('Personalized Bill Menu'!$B$23, 'Misc. Data &amp; Mechanisms'!$P$599:$S$600, 2, FALSE), FALSE), 'Misc. Data &amp; Mechanisms'!$L$599:$N$659, 2, FALSE), FALSE)), ""))</f>
        <v/>
      </c>
      <c r="AA81" s="69" t="str">
        <f ca="1">IF($A81="", "",IFERROR(IF(VLOOKUP($A81, INDIRECT("'" &amp; 'Personalized Bill Menu'!$B$23 &amp; "'!" &amp;"$A$4:$CA$100"), VLOOKUP(VLOOKUP("RIDER RATE 4",'Misc. Data &amp; Mechanisms'!$P$601:$S$632,HLOOKUP('Personalized Bill Menu'!$B$23, 'Misc. Data &amp; Mechanisms'!$P$599:$S$600, 2, FALSE), FALSE), 'Misc. Data &amp; Mechanisms'!$L$599:$N$659, 2, FALSE), FALSE) = "", "", VLOOKUP($A81, INDIRECT("'" &amp; 'Personalized Bill Menu'!$B$23 &amp; "'!" &amp;"$A$4:$CA$100"), VLOOKUP(VLOOKUP("RIDER RATE 4",'Misc. Data &amp; Mechanisms'!$P$601:$S$632,HLOOKUP('Personalized Bill Menu'!$B$23, 'Misc. Data &amp; Mechanisms'!$P$599:$S$600, 2, FALSE), FALSE), 'Misc. Data &amp; Mechanisms'!$L$599:$N$659, 2, FALSE), FALSE)), ""))</f>
        <v/>
      </c>
      <c r="AB81" s="69">
        <f ca="1">IF($A81="", "",IFERROR(IF(VLOOKUP($A81, INDIRECT("'" &amp; 'Personalized Bill Menu'!$B$23 &amp; "'!" &amp;"$A$4:$CA$100"), VLOOKUP(VLOOKUP("RIDER RATE 5",'Misc. Data &amp; Mechanisms'!$P$601:$S$632,HLOOKUP('Personalized Bill Menu'!$B$23, 'Misc. Data &amp; Mechanisms'!$P$599:$S$600, 2, FALSE), FALSE), 'Misc. Data &amp; Mechanisms'!$L$599:$N$659, 2, FALSE), FALSE) = "", "", VLOOKUP($A81, INDIRECT("'" &amp; 'Personalized Bill Menu'!$B$23 &amp; "'!" &amp;"$A$4:$CA$100"), VLOOKUP(VLOOKUP("RIDER RATE 5",'Misc. Data &amp; Mechanisms'!$P$601:$S$632,HLOOKUP('Personalized Bill Menu'!$B$23, 'Misc. Data &amp; Mechanisms'!$P$599:$S$600, 2, FALSE), FALSE), 'Misc. Data &amp; Mechanisms'!$L$599:$N$659, 2, FALSE), FALSE)), ""))</f>
        <v>0.55600000000000005</v>
      </c>
      <c r="AC81" s="69" t="str">
        <f ca="1">IF($A81="", "",IFERROR(IF(VLOOKUP($A81, INDIRECT("'" &amp; 'Personalized Bill Menu'!$B$23 &amp; "'!" &amp;"$A$4:$CA$100"), VLOOKUP(VLOOKUP("RIDER RATE 6",'Misc. Data &amp; Mechanisms'!$P$601:$S$632,HLOOKUP('Personalized Bill Menu'!$B$23, 'Misc. Data &amp; Mechanisms'!$P$599:$S$600, 2, FALSE), FALSE), 'Misc. Data &amp; Mechanisms'!$L$599:$N$659, 2, FALSE), FALSE) = "", "", VLOOKUP($A81, INDIRECT("'" &amp; 'Personalized Bill Menu'!$B$23 &amp; "'!" &amp;"$A$4:$CA$100"), VLOOKUP(VLOOKUP("RIDER RATE 6",'Misc. Data &amp; Mechanisms'!$P$601:$S$632,HLOOKUP('Personalized Bill Menu'!$B$23, 'Misc. Data &amp; Mechanisms'!$P$599:$S$600, 2, FALSE), FALSE), 'Misc. Data &amp; Mechanisms'!$L$599:$N$659, 2, FALSE), FALSE)), ""))</f>
        <v/>
      </c>
      <c r="AD81" s="69" t="str">
        <f ca="1">IF($A81="", "",IFERROR(IF(VLOOKUP($A81, INDIRECT("'" &amp; 'Personalized Bill Menu'!$B$23 &amp; "'!" &amp;"$A$4:$CA$100"), VLOOKUP(VLOOKUP("RIDER RATE 7",'Misc. Data &amp; Mechanisms'!$P$601:$S$632,HLOOKUP('Personalized Bill Menu'!$B$23, 'Misc. Data &amp; Mechanisms'!$P$599:$S$600, 2, FALSE), FALSE), 'Misc. Data &amp; Mechanisms'!$L$599:$N$659, 2, FALSE), FALSE) = "", "", VLOOKUP($A81, INDIRECT("'" &amp; 'Personalized Bill Menu'!$B$23 &amp; "'!" &amp;"$A$4:$CA$100"), VLOOKUP(VLOOKUP("RIDER RATE 7",'Misc. Data &amp; Mechanisms'!$P$601:$S$632,HLOOKUP('Personalized Bill Menu'!$B$23, 'Misc. Data &amp; Mechanisms'!$P$599:$S$600, 2, FALSE), FALSE), 'Misc. Data &amp; Mechanisms'!$L$599:$N$659, 2, FALSE), FALSE)), ""))</f>
        <v/>
      </c>
      <c r="AE81" s="69" t="str">
        <f ca="1">IF($A81="", "",IFERROR(IF(VLOOKUP($A81, INDIRECT("'" &amp; 'Personalized Bill Menu'!$B$23 &amp; "'!" &amp;"$A$4:$CA$100"), VLOOKUP(VLOOKUP("RIDER RATE 8",'Misc. Data &amp; Mechanisms'!$P$601:$S$632,HLOOKUP('Personalized Bill Menu'!$B$23, 'Misc. Data &amp; Mechanisms'!$P$599:$S$600, 2, FALSE), FALSE), 'Misc. Data &amp; Mechanisms'!$L$599:$N$659, 2, FALSE), FALSE) = "", "", VLOOKUP($A81, INDIRECT("'" &amp; 'Personalized Bill Menu'!$B$23 &amp; "'!" &amp;"$A$4:$CA$100"), VLOOKUP(VLOOKUP("RIDER RATE 8",'Misc. Data &amp; Mechanisms'!$P$601:$S$632,HLOOKUP('Personalized Bill Menu'!$B$23, 'Misc. Data &amp; Mechanisms'!$P$599:$S$600, 2, FALSE), FALSE), 'Misc. Data &amp; Mechanisms'!$L$599:$N$659, 2, FALSE), FALSE)), ""))</f>
        <v/>
      </c>
      <c r="AF81" s="69" t="str">
        <f ca="1">IF($A81="", "",IFERROR(IF(VLOOKUP($A81, INDIRECT("'" &amp; 'Personalized Bill Menu'!$B$23 &amp; "'!" &amp;"$A$4:$CA$100"), VLOOKUP(VLOOKUP("RIDER RATE 9",'Misc. Data &amp; Mechanisms'!$P$601:$S$632,HLOOKUP('Personalized Bill Menu'!$B$23, 'Misc. Data &amp; Mechanisms'!$P$599:$S$600, 2, FALSE), FALSE), 'Misc. Data &amp; Mechanisms'!$L$599:$N$659, 2, FALSE), FALSE) = "", "", VLOOKUP($A81, INDIRECT("'" &amp; 'Personalized Bill Menu'!$B$23 &amp; "'!" &amp;"$A$4:$CA$100"), VLOOKUP(VLOOKUP("RIDER RATE 9",'Misc. Data &amp; Mechanisms'!$P$601:$S$632,HLOOKUP('Personalized Bill Menu'!$B$23, 'Misc. Data &amp; Mechanisms'!$P$599:$S$600, 2, FALSE), FALSE), 'Misc. Data &amp; Mechanisms'!$L$599:$N$659, 2, FALSE), FALSE)), ""))</f>
        <v/>
      </c>
      <c r="AG81" s="72">
        <f ca="1">IF($A81="", "", IFERROR(IF('Personalized Bill Menu'!$B$23="ATCO-N", ($X81*$B81) +($Y81*$C81), IF('Personalized Bill Menu'!$B$23="ATCO-S",$X81*$C81, IF($Y81="", ($X81*$H81), ($Y81*($H81+$K81))))), 0))</f>
        <v>0</v>
      </c>
      <c r="AH81" s="72">
        <f ca="1">IF($A81="", "", IFERROR(IF('Personalized Bill Menu'!$B$23="ATCO-S", $Y81*$C81, $Z81*$C81), 0))</f>
        <v>0</v>
      </c>
      <c r="AI81" s="72">
        <f ca="1">IF($A81="", "", IFERROR(IF('Personalized Bill Menu'!$B$23="ATCO-S", ($AA81*$C81)+($Z81*$B81), $AA81*$C81), 0))</f>
        <v>0</v>
      </c>
      <c r="AJ81" s="72">
        <f ca="1">IF($A81="", "", IFERROR(IF('Personalized Bill Menu'!$B$23&lt;&gt;"AltaGas",$AB81*$C81,""),0))</f>
        <v>9.3900274754742963</v>
      </c>
      <c r="AK81" s="72">
        <f ca="1">IF($A81="", "", IFERROR(IF('Personalized Bill Menu'!$B$23="ATCO-S",$AC81*$C81,IF('Personalized Bill Menu'!$B$23="ATCO-N",$AC81*1,"")),0))</f>
        <v>0</v>
      </c>
      <c r="AL81" s="72">
        <f ca="1">IF($A81="", "", IFERROR(IF('Personalized Bill Menu'!$B$23="ATCO-N",$AD81*$B81,IF('Personalized Bill Menu'!$B$23="ATCO-S",$AD81*1,"")),0))</f>
        <v>0</v>
      </c>
      <c r="AM81" s="72">
        <f ca="1">IF($A81="", "", IFERROR(IF('Personalized Bill Menu'!$B$23="ATCO-S",$AE81*$B81,IF('Personalized Bill Menu'!$B$23="ATCO-N",$AE81*$B81,"")),0))</f>
        <v>0</v>
      </c>
      <c r="AN81" s="70">
        <f ca="1">IF($A81="", "", IFERROR(IF('Personalized Bill Menu'!$B$23="ATCO-S",$AF81*$B81,""),0))</f>
        <v>0</v>
      </c>
      <c r="AO81" s="69">
        <f>IF('Personalized Bill Menu'!$B$34="Natural Gas", 'Personalized Bill Menu'!$K78, IF('Personalized Bill Menu'!$B$34="Both",'Personalized Bill Menu'!$O78,""))</f>
        <v>0.249</v>
      </c>
      <c r="AP81" s="70">
        <f t="shared" si="28"/>
        <v>7.7190000000000003</v>
      </c>
      <c r="AQ81" s="89">
        <f ca="1">IF($A81="", "",IF(VLOOKUP($A81, INDIRECT("'" &amp; 'Personalized Bill Menu'!$B$23 &amp; "'!" &amp;"$A$4:$CA$100"), VLOOKUP(VLOOKUP(AQ$5,'Misc. Data &amp; Mechanisms'!$P$601:$S$632,HLOOKUP('Personalized Bill Menu'!$B$23, 'Misc. Data &amp; Mechanisms'!$P$599:$S$600, 2, FALSE), FALSE), 'Misc. Data &amp; Mechanisms'!$L$599:$N$659, 2, FALSE), FALSE) = "", "", VLOOKUP($A81, INDIRECT("'" &amp; 'Personalized Bill Menu'!$B$23 &amp; "'!" &amp;"$A$4:$CA$100"), VLOOKUP(VLOOKUP(AQ$5,'Misc. Data &amp; Mechanisms'!$P$601:$S$632,HLOOKUP('Personalized Bill Menu'!$B$23, 'Misc. Data &amp; Mechanisms'!$P$599:$S$600, 2, FALSE), FALSE), 'Misc. Data &amp; Mechanisms'!$L$599:$N$659, 2, FALSE), FALSE)))</f>
        <v>1.5169999999999999</v>
      </c>
      <c r="AR81" s="70">
        <f t="shared" ca="1" si="29"/>
        <v>25.619913094054862</v>
      </c>
      <c r="AS81" s="91">
        <f ca="1">IF($A81="", "",IF(VLOOKUP($A81, INDIRECT("'" &amp; 'Personalized Bill Menu'!$B$23 &amp; "'!" &amp;"$A$4:$CA$100"), VLOOKUP(VLOOKUP(AS$5,'Misc. Data &amp; Mechanisms'!$P$601:$S$632,HLOOKUP('Personalized Bill Menu'!$B$23, 'Misc. Data &amp; Mechanisms'!$P$599:$S$600, 2, FALSE), FALSE), 'Misc. Data &amp; Mechanisms'!$L$599:$N$659, 2, FALSE), FALSE) = "", "", VLOOKUP($A81, INDIRECT("'" &amp; 'Personalized Bill Menu'!$B$23 &amp; "'!" &amp;"$A$4:$CA$100"), VLOOKUP(VLOOKUP(AS$5,'Misc. Data &amp; Mechanisms'!$P$601:$S$632,HLOOKUP('Personalized Bill Menu'!$B$23, 'Misc. Data &amp; Mechanisms'!$P$599:$S$600, 2, FALSE), FALSE), 'Misc. Data &amp; Mechanisms'!$L$599:$N$659, 2, FALSE), FALSE)))</f>
        <v>0.05</v>
      </c>
    </row>
    <row r="82" spans="1:45" x14ac:dyDescent="0.3">
      <c r="A82" s="83">
        <f>'Personalized Bill Menu'!$H79</f>
        <v>43191</v>
      </c>
      <c r="B82" s="84">
        <f t="shared" si="19"/>
        <v>30</v>
      </c>
      <c r="C82" s="85">
        <f>IF('Personalized Bill Menu'!$B$34="Natural Gas", 'Personalized Bill Menu'!$I79, IF('Personalized Bill Menu'!$B$34="Both",'Personalized Bill Menu'!$M79,""))</f>
        <v>13.10963277092905</v>
      </c>
      <c r="D82" s="66">
        <f t="shared" ca="1" si="20"/>
        <v>8.0653539197666291</v>
      </c>
      <c r="E82" s="66">
        <f ca="1">IF($C82="Not Applicable", "", IFERROR(IFERROR((1+$AS82)*IF('Personalized Bill Menu'!$B$23="ATCO-N", IF(OR('Personalized Bill Menu'!$B$21="Fort McMurray",AND('Personalized Bill Menu'!$B$21="Spruce Grove", $A82&lt;DATE(2019, 5, 1) )),(((1+IF($T82="",0,$T82))*($N82+$P82))+ (IF($U82="", 0, $U82)*$P82)+(1+IF($T82="",0,$T82)+IF($U82="", 0, $U82))*(SUM($Y82:$AB82))),($N82+((1+IF($T82="",0,$T82)+IF($U82="", 0, $U82))*$P82)+(1+IF($T82="",0,$T82)+IF($U82="", 0, $U82))*(SUM($Y82:$AB82)))), IF('Personalized Bill Menu'!$B$23="ATCO-S",IF(OR('Personalized Bill Menu'!$B$21="Calgary",AND('Personalized Bill Menu'!$B$21="Okotoks", $A82&lt;DATE(2019, 1, 1))),((1+IF($T82="",0,$T82))*($N82+$P82+SUM($X82:$Y82,$AA82:$AC82)))+(IF($U82="",0, $U82)*($P82+SUM($X82:$Y82,$AA82:$AC82))), ((1+IF($T82="",0,$T82))*($P82+SUM($Y82,$AA82:$AC82)))+(IF($U82="",0, $U82)*($P82+SUM($X82:$Y82,$AA82:$AC82)))+$N82+IF($X82="", 0, $X82)),IF(AND('Personalized Bill Menu'!$B$21="Athabasca", $A82&lt;DATE(2019, 5, 1)),((1+IF($T82="",0,$T82)+IF($U82="", 0, $U82))*($N82+((1+SUM($X82:$Y82))*$P82)+SUM($Z82:$AA82))),((1+IF($U82="", 0, $U82))*($N82+((1+SUM($X82:$Y82))*$P82)+SUM($Z82:$AA82))) + (IF($T82="",0,$T82)*(((1+SUM($X82:$Y82))*$P82)+SUM($Z82:$AA82)))))), "")+ IF($AQ82="", 0,((1+$AS82)*$AQ82)), ""))</f>
        <v>5.3926453350000001</v>
      </c>
      <c r="F82" s="118">
        <f t="shared" ca="1" si="21"/>
        <v>105.73382805571367</v>
      </c>
      <c r="G82" s="115">
        <f t="shared" si="15"/>
        <v>25.786647660417444</v>
      </c>
      <c r="H82" s="66">
        <f t="shared" ca="1" si="16"/>
        <v>32.932470453861924</v>
      </c>
      <c r="I82" s="66">
        <f t="shared" ca="1" si="17"/>
        <v>7.3334970141691596</v>
      </c>
      <c r="J82" s="66">
        <f t="shared" ca="1" si="22"/>
        <v>7.2889558206365521</v>
      </c>
      <c r="K82" s="66">
        <f t="shared" si="18"/>
        <v>7.47</v>
      </c>
      <c r="L82" s="66">
        <f t="shared" ca="1" si="23"/>
        <v>19.887312913499368</v>
      </c>
      <c r="M82" s="68">
        <f t="shared" ca="1" si="24"/>
        <v>5.0349441931292231</v>
      </c>
      <c r="N82" s="1290">
        <f>IF('Personalized Bill Menu'!$B$34="Natural Gas", 'Personalized Bill Menu'!$J79, IF('Personalized Bill Menu'!$B$34="Both",'Personalized Bill Menu'!$N79,""))</f>
        <v>1.9670000000000001</v>
      </c>
      <c r="O82" s="70">
        <f t="shared" si="25"/>
        <v>25.786647660417444</v>
      </c>
      <c r="P82" s="89">
        <f ca="1">IF($A82="", "",IFERROR(IF(VLOOKUP($A82, INDIRECT("'" &amp; 'Personalized Bill Menu'!$B$23 &amp; "'!" &amp;"$A$4:$CA$100"), VLOOKUP(VLOOKUP(P$5,'Misc. Data &amp; Mechanisms'!$P$601:$S$632,HLOOKUP('Personalized Bill Menu'!$B$23, 'Misc. Data &amp; Mechanisms'!$P$599:$S$600, 2, FALSE), FALSE), 'Misc. Data &amp; Mechanisms'!$L$599:$N$659, 2, FALSE), FALSE) = "", "", VLOOKUP($A82, INDIRECT("'" &amp; 'Personalized Bill Menu'!$B$23 &amp; "'!" &amp;"$A$4:$CA$100"), VLOOKUP(VLOOKUP(P$5,'Misc. Data &amp; Mechanisms'!$P$601:$S$632,HLOOKUP('Personalized Bill Menu'!$B$23, 'Misc. Data &amp; Mechanisms'!$P$599:$S$600, 2, FALSE), FALSE), 'Misc. Data &amp; Mechanisms'!$L$599:$N$659, 2, FALSE), FALSE)), ""))</f>
        <v>0.73399999999999999</v>
      </c>
      <c r="Q82" s="69">
        <f ca="1">IF($A82="", "",IFERROR(IF(VLOOKUP($A82, INDIRECT("'" &amp; 'Personalized Bill Menu'!$B$23 &amp; "'!" &amp;"$A$4:$CA$100"), VLOOKUP(VLOOKUP(Q$5,'Misc. Data &amp; Mechanisms'!$P$601:$S$632,HLOOKUP('Personalized Bill Menu'!$B$23, 'Misc. Data &amp; Mechanisms'!$P$599:$S$600, 2, FALSE), FALSE), 'Misc. Data &amp; Mechanisms'!$L$599:$N$659, 2, FALSE), FALSE) = "", "", VLOOKUP($A82, INDIRECT("'" &amp; 'Personalized Bill Menu'!$B$23 &amp; "'!" &amp;"$A$4:$CA$100"), VLOOKUP(VLOOKUP(Q$5,'Misc. Data &amp; Mechanisms'!$P$601:$S$632,HLOOKUP('Personalized Bill Menu'!$B$23, 'Misc. Data &amp; Mechanisms'!$P$599:$S$600, 2, FALSE), FALSE), 'Misc. Data &amp; Mechanisms'!$L$599:$N$659, 2, FALSE), FALSE)), ""))</f>
        <v>0.77700000000000002</v>
      </c>
      <c r="R82" s="72">
        <f t="shared" ca="1" si="26"/>
        <v>9.6224704538619221</v>
      </c>
      <c r="S82" s="70">
        <f t="shared" ca="1" si="27"/>
        <v>23.310000000000002</v>
      </c>
      <c r="T82" s="78">
        <f>IFERROR(IF(VLOOKUP($A82,'Misc. Data &amp; Mechanisms'!$A$63:$DY$152,HLOOKUP('Personalized Bill Menu'!$B$21&amp;"_"&amp;'Personalized Bill Menu'!$B$23&amp;"_NG_Y_1",'Misc. Data &amp; Mechanisms'!$A$55:$DY$62,8,FALSE), FALSE)="", "", VLOOKUP($A82,'Misc. Data &amp; Mechanisms'!$A$63:$DY$152,HLOOKUP('Personalized Bill Menu'!$B$21&amp;"_"&amp;'Personalized Bill Menu'!$B$23&amp;"_NG_Y_1",'Misc. Data &amp; Mechanisms'!$A$55:$DY$62,8,FALSE), FALSE)), "")</f>
        <v>0.1111</v>
      </c>
      <c r="U82" s="78" t="str">
        <f>IFERROR(IF(VLOOKUP($A82,'Misc. Data &amp; Mechanisms'!$A$63:$DY$152,HLOOKUP('Personalized Bill Menu'!$B$21&amp;"_"&amp;'Personalized Bill Menu'!$B$23&amp;"_NG_Y_2",'Misc. Data &amp; Mechanisms'!$A$55:$DY$62,8,FALSE), FALSE)="", "",VLOOKUP($A82,'Misc. Data &amp; Mechanisms'!$A$63:$DY$152,HLOOKUP('Personalized Bill Menu'!$B$21&amp;"_"&amp;'Personalized Bill Menu'!$B$23&amp;"_NG_Y_2",'Misc. Data &amp; Mechanisms'!$A$55:$DY$62,8,FALSE), FALSE)), "")</f>
        <v/>
      </c>
      <c r="V82" s="72">
        <f ca="1">IF($A82="", "", IFERROR(IF('Personalized Bill Menu'!$B$23="ATCO-N", IF(OR('Personalized Bill Menu'!$B$21="Fort McMurray",AND('Personalized Bill Menu'!$B$21="Spruce Grove", $A82&lt;DATE(2019, 5, 1))),$T82*($G82+$H82+$J82),$T82*($H82+$J82)), IF('Personalized Bill Menu'!$B$23="ATCO-S",IF(OR('Personalized Bill Menu'!$B$21="Calgary",AND('Personalized Bill Menu'!$B$21="Okotoks", $A82&lt;DATE(2019, 1, 1))),$T82*($G82+$H82+$J82), $T82*($H82+$J82-$AG82)),IF(AND('Personalized Bill Menu'!$B$21="Athabasca", $A82&lt;DATE(2019, 5, 1)),$T82*($G82+$H82+$J82+$K82),$T82*($H82+$J82+$K82)))),0))</f>
        <v>7.3334970141691596</v>
      </c>
      <c r="W82" s="72">
        <f ca="1">IF($A82="", "", IFERROR(IF('Personalized Bill Menu'!$B$23="ATCO-N", $U82*($H82+$J82), IF('Personalized Bill Menu'!$B$23="ATCO-S",$U82*($H82+$J82),$U82*($G82+$H82+$J82+$K82))),0))</f>
        <v>0</v>
      </c>
      <c r="X82" s="89" t="str">
        <f ca="1">IF($A82="", "",IFERROR(IF(VLOOKUP($A82, INDIRECT("'" &amp; 'Personalized Bill Menu'!$B$23 &amp; "'!" &amp;"$A$4:$CA$100"), VLOOKUP(VLOOKUP("RIDER RATE 1",'Misc. Data &amp; Mechanisms'!$P$601:$S$632,HLOOKUP('Personalized Bill Menu'!$B$23, 'Misc. Data &amp; Mechanisms'!$P$599:$S$600, 2, FALSE), FALSE), 'Misc. Data &amp; Mechanisms'!$L$599:$N$659, 2, FALSE), FALSE) = "", "", VLOOKUP($A82, INDIRECT("'" &amp; 'Personalized Bill Menu'!$B$23 &amp; "'!" &amp;"$A$4:$CA$100"), VLOOKUP(VLOOKUP("RIDER RATE 1",'Misc. Data &amp; Mechanisms'!$P$601:$S$632,HLOOKUP('Personalized Bill Menu'!$B$23, 'Misc. Data &amp; Mechanisms'!$P$599:$S$600, 2, FALSE), FALSE), 'Misc. Data &amp; Mechanisms'!$L$599:$N$659, 2, FALSE), FALSE)), ""))</f>
        <v/>
      </c>
      <c r="Y82" s="69" t="str">
        <f ca="1">IF($A82="", "",IFERROR(IF(VLOOKUP($A82, INDIRECT("'" &amp; 'Personalized Bill Menu'!$B$23 &amp; "'!" &amp;"$A$4:$CA$100"), VLOOKUP(VLOOKUP("RIDER RATE 2",'Misc. Data &amp; Mechanisms'!$P$601:$S$632,HLOOKUP('Personalized Bill Menu'!$B$23, 'Misc. Data &amp; Mechanisms'!$P$599:$S$600, 2, FALSE), FALSE), 'Misc. Data &amp; Mechanisms'!$L$599:$N$659, 2, FALSE), FALSE) = "", "", VLOOKUP($A82, INDIRECT("'" &amp; 'Personalized Bill Menu'!$B$23 &amp; "'!" &amp;"$A$4:$CA$100"), VLOOKUP(VLOOKUP("RIDER RATE 2",'Misc. Data &amp; Mechanisms'!$P$601:$S$632,HLOOKUP('Personalized Bill Menu'!$B$23, 'Misc. Data &amp; Mechanisms'!$P$599:$S$600, 2, FALSE), FALSE), 'Misc. Data &amp; Mechanisms'!$L$599:$N$659, 2, FALSE), FALSE)), ""))</f>
        <v/>
      </c>
      <c r="Z82" s="69" t="str">
        <f ca="1">IF($A82="", "",IFERROR(IF(VLOOKUP($A82, INDIRECT("'" &amp; 'Personalized Bill Menu'!$B$23 &amp; "'!" &amp;"$A$4:$CA$100"), VLOOKUP(VLOOKUP("RIDER RATE 3",'Misc. Data &amp; Mechanisms'!$P$601:$S$632,HLOOKUP('Personalized Bill Menu'!$B$23, 'Misc. Data &amp; Mechanisms'!$P$599:$S$600, 2, FALSE), FALSE), 'Misc. Data &amp; Mechanisms'!$L$599:$N$659, 2, FALSE), FALSE) = "", "", VLOOKUP($A82, INDIRECT("'" &amp; 'Personalized Bill Menu'!$B$23 &amp; "'!" &amp;"$A$4:$CA$100"), VLOOKUP(VLOOKUP("RIDER RATE 3",'Misc. Data &amp; Mechanisms'!$P$601:$S$632,HLOOKUP('Personalized Bill Menu'!$B$23, 'Misc. Data &amp; Mechanisms'!$P$599:$S$600, 2, FALSE), FALSE), 'Misc. Data &amp; Mechanisms'!$L$599:$N$659, 2, FALSE), FALSE)), ""))</f>
        <v/>
      </c>
      <c r="AA82" s="69" t="str">
        <f ca="1">IF($A82="", "",IFERROR(IF(VLOOKUP($A82, INDIRECT("'" &amp; 'Personalized Bill Menu'!$B$23 &amp; "'!" &amp;"$A$4:$CA$100"), VLOOKUP(VLOOKUP("RIDER RATE 4",'Misc. Data &amp; Mechanisms'!$P$601:$S$632,HLOOKUP('Personalized Bill Menu'!$B$23, 'Misc. Data &amp; Mechanisms'!$P$599:$S$600, 2, FALSE), FALSE), 'Misc. Data &amp; Mechanisms'!$L$599:$N$659, 2, FALSE), FALSE) = "", "", VLOOKUP($A82, INDIRECT("'" &amp; 'Personalized Bill Menu'!$B$23 &amp; "'!" &amp;"$A$4:$CA$100"), VLOOKUP(VLOOKUP("RIDER RATE 4",'Misc. Data &amp; Mechanisms'!$P$601:$S$632,HLOOKUP('Personalized Bill Menu'!$B$23, 'Misc. Data &amp; Mechanisms'!$P$599:$S$600, 2, FALSE), FALSE), 'Misc. Data &amp; Mechanisms'!$L$599:$N$659, 2, FALSE), FALSE)), ""))</f>
        <v/>
      </c>
      <c r="AB82" s="69">
        <f ca="1">IF($A82="", "",IFERROR(IF(VLOOKUP($A82, INDIRECT("'" &amp; 'Personalized Bill Menu'!$B$23 &amp; "'!" &amp;"$A$4:$CA$100"), VLOOKUP(VLOOKUP("RIDER RATE 5",'Misc. Data &amp; Mechanisms'!$P$601:$S$632,HLOOKUP('Personalized Bill Menu'!$B$23, 'Misc. Data &amp; Mechanisms'!$P$599:$S$600, 2, FALSE), FALSE), 'Misc. Data &amp; Mechanisms'!$L$599:$N$659, 2, FALSE), FALSE) = "", "", VLOOKUP($A82, INDIRECT("'" &amp; 'Personalized Bill Menu'!$B$23 &amp; "'!" &amp;"$A$4:$CA$100"), VLOOKUP(VLOOKUP("RIDER RATE 5",'Misc. Data &amp; Mechanisms'!$P$601:$S$632,HLOOKUP('Personalized Bill Menu'!$B$23, 'Misc. Data &amp; Mechanisms'!$P$599:$S$600, 2, FALSE), FALSE), 'Misc. Data &amp; Mechanisms'!$L$599:$N$659, 2, FALSE), FALSE)), ""))</f>
        <v>0.55600000000000005</v>
      </c>
      <c r="AC82" s="69" t="str">
        <f ca="1">IF($A82="", "",IFERROR(IF(VLOOKUP($A82, INDIRECT("'" &amp; 'Personalized Bill Menu'!$B$23 &amp; "'!" &amp;"$A$4:$CA$100"), VLOOKUP(VLOOKUP("RIDER RATE 6",'Misc. Data &amp; Mechanisms'!$P$601:$S$632,HLOOKUP('Personalized Bill Menu'!$B$23, 'Misc. Data &amp; Mechanisms'!$P$599:$S$600, 2, FALSE), FALSE), 'Misc. Data &amp; Mechanisms'!$L$599:$N$659, 2, FALSE), FALSE) = "", "", VLOOKUP($A82, INDIRECT("'" &amp; 'Personalized Bill Menu'!$B$23 &amp; "'!" &amp;"$A$4:$CA$100"), VLOOKUP(VLOOKUP("RIDER RATE 6",'Misc. Data &amp; Mechanisms'!$P$601:$S$632,HLOOKUP('Personalized Bill Menu'!$B$23, 'Misc. Data &amp; Mechanisms'!$P$599:$S$600, 2, FALSE), FALSE), 'Misc. Data &amp; Mechanisms'!$L$599:$N$659, 2, FALSE), FALSE)), ""))</f>
        <v/>
      </c>
      <c r="AD82" s="69" t="str">
        <f ca="1">IF($A82="", "",IFERROR(IF(VLOOKUP($A82, INDIRECT("'" &amp; 'Personalized Bill Menu'!$B$23 &amp; "'!" &amp;"$A$4:$CA$100"), VLOOKUP(VLOOKUP("RIDER RATE 7",'Misc. Data &amp; Mechanisms'!$P$601:$S$632,HLOOKUP('Personalized Bill Menu'!$B$23, 'Misc. Data &amp; Mechanisms'!$P$599:$S$600, 2, FALSE), FALSE), 'Misc. Data &amp; Mechanisms'!$L$599:$N$659, 2, FALSE), FALSE) = "", "", VLOOKUP($A82, INDIRECT("'" &amp; 'Personalized Bill Menu'!$B$23 &amp; "'!" &amp;"$A$4:$CA$100"), VLOOKUP(VLOOKUP("RIDER RATE 7",'Misc. Data &amp; Mechanisms'!$P$601:$S$632,HLOOKUP('Personalized Bill Menu'!$B$23, 'Misc. Data &amp; Mechanisms'!$P$599:$S$600, 2, FALSE), FALSE), 'Misc. Data &amp; Mechanisms'!$L$599:$N$659, 2, FALSE), FALSE)), ""))</f>
        <v/>
      </c>
      <c r="AE82" s="69" t="str">
        <f ca="1">IF($A82="", "",IFERROR(IF(VLOOKUP($A82, INDIRECT("'" &amp; 'Personalized Bill Menu'!$B$23 &amp; "'!" &amp;"$A$4:$CA$100"), VLOOKUP(VLOOKUP("RIDER RATE 8",'Misc. Data &amp; Mechanisms'!$P$601:$S$632,HLOOKUP('Personalized Bill Menu'!$B$23, 'Misc. Data &amp; Mechanisms'!$P$599:$S$600, 2, FALSE), FALSE), 'Misc. Data &amp; Mechanisms'!$L$599:$N$659, 2, FALSE), FALSE) = "", "", VLOOKUP($A82, INDIRECT("'" &amp; 'Personalized Bill Menu'!$B$23 &amp; "'!" &amp;"$A$4:$CA$100"), VLOOKUP(VLOOKUP("RIDER RATE 8",'Misc. Data &amp; Mechanisms'!$P$601:$S$632,HLOOKUP('Personalized Bill Menu'!$B$23, 'Misc. Data &amp; Mechanisms'!$P$599:$S$600, 2, FALSE), FALSE), 'Misc. Data &amp; Mechanisms'!$L$599:$N$659, 2, FALSE), FALSE)), ""))</f>
        <v/>
      </c>
      <c r="AF82" s="69" t="str">
        <f ca="1">IF($A82="", "",IFERROR(IF(VLOOKUP($A82, INDIRECT("'" &amp; 'Personalized Bill Menu'!$B$23 &amp; "'!" &amp;"$A$4:$CA$100"), VLOOKUP(VLOOKUP("RIDER RATE 9",'Misc. Data &amp; Mechanisms'!$P$601:$S$632,HLOOKUP('Personalized Bill Menu'!$B$23, 'Misc. Data &amp; Mechanisms'!$P$599:$S$600, 2, FALSE), FALSE), 'Misc. Data &amp; Mechanisms'!$L$599:$N$659, 2, FALSE), FALSE) = "", "", VLOOKUP($A82, INDIRECT("'" &amp; 'Personalized Bill Menu'!$B$23 &amp; "'!" &amp;"$A$4:$CA$100"), VLOOKUP(VLOOKUP("RIDER RATE 9",'Misc. Data &amp; Mechanisms'!$P$601:$S$632,HLOOKUP('Personalized Bill Menu'!$B$23, 'Misc. Data &amp; Mechanisms'!$P$599:$S$600, 2, FALSE), FALSE), 'Misc. Data &amp; Mechanisms'!$L$599:$N$659, 2, FALSE), FALSE)), ""))</f>
        <v/>
      </c>
      <c r="AG82" s="72">
        <f ca="1">IF($A82="", "", IFERROR(IF('Personalized Bill Menu'!$B$23="ATCO-N", ($X82*$B82) +($Y82*$C82), IF('Personalized Bill Menu'!$B$23="ATCO-S",$X82*$C82, IF($Y82="", ($X82*$H82), ($Y82*($H82+$K82))))), 0))</f>
        <v>0</v>
      </c>
      <c r="AH82" s="72">
        <f ca="1">IF($A82="", "", IFERROR(IF('Personalized Bill Menu'!$B$23="ATCO-S", $Y82*$C82, $Z82*$C82), 0))</f>
        <v>0</v>
      </c>
      <c r="AI82" s="72">
        <f ca="1">IF($A82="", "", IFERROR(IF('Personalized Bill Menu'!$B$23="ATCO-S", ($AA82*$C82)+($Z82*$B82), $AA82*$C82), 0))</f>
        <v>0</v>
      </c>
      <c r="AJ82" s="72">
        <f ca="1">IF($A82="", "", IFERROR(IF('Personalized Bill Menu'!$B$23&lt;&gt;"AltaGas",$AB82*$C82,""),0))</f>
        <v>7.2889558206365521</v>
      </c>
      <c r="AK82" s="72">
        <f ca="1">IF($A82="", "", IFERROR(IF('Personalized Bill Menu'!$B$23="ATCO-S",$AC82*$C82,IF('Personalized Bill Menu'!$B$23="ATCO-N",$AC82*1,"")),0))</f>
        <v>0</v>
      </c>
      <c r="AL82" s="72">
        <f ca="1">IF($A82="", "", IFERROR(IF('Personalized Bill Menu'!$B$23="ATCO-N",$AD82*$B82,IF('Personalized Bill Menu'!$B$23="ATCO-S",$AD82*1,"")),0))</f>
        <v>0</v>
      </c>
      <c r="AM82" s="72">
        <f ca="1">IF($A82="", "", IFERROR(IF('Personalized Bill Menu'!$B$23="ATCO-S",$AE82*$B82,IF('Personalized Bill Menu'!$B$23="ATCO-N",$AE82*$B82,"")),0))</f>
        <v>0</v>
      </c>
      <c r="AN82" s="70">
        <f ca="1">IF($A82="", "", IFERROR(IF('Personalized Bill Menu'!$B$23="ATCO-S",$AF82*$B82,""),0))</f>
        <v>0</v>
      </c>
      <c r="AO82" s="69">
        <f>IF('Personalized Bill Menu'!$B$34="Natural Gas", 'Personalized Bill Menu'!$K79, IF('Personalized Bill Menu'!$B$34="Both",'Personalized Bill Menu'!$O79,""))</f>
        <v>0.249</v>
      </c>
      <c r="AP82" s="70">
        <f t="shared" si="28"/>
        <v>7.47</v>
      </c>
      <c r="AQ82" s="89">
        <f ca="1">IF($A82="", "",IF(VLOOKUP($A82, INDIRECT("'" &amp; 'Personalized Bill Menu'!$B$23 &amp; "'!" &amp;"$A$4:$CA$100"), VLOOKUP(VLOOKUP(AQ$5,'Misc. Data &amp; Mechanisms'!$P$601:$S$632,HLOOKUP('Personalized Bill Menu'!$B$23, 'Misc. Data &amp; Mechanisms'!$P$599:$S$600, 2, FALSE), FALSE), 'Misc. Data &amp; Mechanisms'!$L$599:$N$659, 2, FALSE), FALSE) = "", "", VLOOKUP($A82, INDIRECT("'" &amp; 'Personalized Bill Menu'!$B$23 &amp; "'!" &amp;"$A$4:$CA$100"), VLOOKUP(VLOOKUP(AQ$5,'Misc. Data &amp; Mechanisms'!$P$601:$S$632,HLOOKUP('Personalized Bill Menu'!$B$23, 'Misc. Data &amp; Mechanisms'!$P$599:$S$600, 2, FALSE), FALSE), 'Misc. Data &amp; Mechanisms'!$L$599:$N$659, 2, FALSE), FALSE)))</f>
        <v>1.5169999999999999</v>
      </c>
      <c r="AR82" s="70">
        <f t="shared" ca="1" si="29"/>
        <v>19.887312913499368</v>
      </c>
      <c r="AS82" s="91">
        <f ca="1">IF($A82="", "",IF(VLOOKUP($A82, INDIRECT("'" &amp; 'Personalized Bill Menu'!$B$23 &amp; "'!" &amp;"$A$4:$CA$100"), VLOOKUP(VLOOKUP(AS$5,'Misc. Data &amp; Mechanisms'!$P$601:$S$632,HLOOKUP('Personalized Bill Menu'!$B$23, 'Misc. Data &amp; Mechanisms'!$P$599:$S$600, 2, FALSE), FALSE), 'Misc. Data &amp; Mechanisms'!$L$599:$N$659, 2, FALSE), FALSE) = "", "", VLOOKUP($A82, INDIRECT("'" &amp; 'Personalized Bill Menu'!$B$23 &amp; "'!" &amp;"$A$4:$CA$100"), VLOOKUP(VLOOKUP(AS$5,'Misc. Data &amp; Mechanisms'!$P$601:$S$632,HLOOKUP('Personalized Bill Menu'!$B$23, 'Misc. Data &amp; Mechanisms'!$P$599:$S$600, 2, FALSE), FALSE), 'Misc. Data &amp; Mechanisms'!$L$599:$N$659, 2, FALSE), FALSE)))</f>
        <v>0.05</v>
      </c>
    </row>
    <row r="83" spans="1:45" x14ac:dyDescent="0.3">
      <c r="A83" s="83">
        <f>'Personalized Bill Menu'!$H80</f>
        <v>43221</v>
      </c>
      <c r="B83" s="84">
        <f t="shared" si="19"/>
        <v>31</v>
      </c>
      <c r="C83" s="85">
        <f>IF('Personalized Bill Menu'!$B$34="Natural Gas", 'Personalized Bill Menu'!$I80, IF('Personalized Bill Menu'!$B$34="Both",'Personalized Bill Menu'!$M80,""))</f>
        <v>4.4047814912747665</v>
      </c>
      <c r="D83" s="66">
        <f t="shared" ca="1" si="20"/>
        <v>12.471399099239177</v>
      </c>
      <c r="E83" s="66">
        <f ca="1">IF($C83="Not Applicable", "", IFERROR(IFERROR((1+$AS83)*IF('Personalized Bill Menu'!$B$23="ATCO-N", IF(OR('Personalized Bill Menu'!$B$21="Fort McMurray",AND('Personalized Bill Menu'!$B$21="Spruce Grove", $A83&lt;DATE(2019, 5, 1) )),(((1+IF($T83="",0,$T83))*($N83+$P83))+ (IF($U83="", 0, $U83)*$P83)+(1+IF($T83="",0,$T83)+IF($U83="", 0, $U83))*(SUM($Y83:$AB83))),($N83+((1+IF($T83="",0,$T83)+IF($U83="", 0, $U83))*$P83)+(1+IF($T83="",0,$T83)+IF($U83="", 0, $U83))*(SUM($Y83:$AB83)))), IF('Personalized Bill Menu'!$B$23="ATCO-S",IF(OR('Personalized Bill Menu'!$B$21="Calgary",AND('Personalized Bill Menu'!$B$21="Okotoks", $A83&lt;DATE(2019, 1, 1))),((1+IF($T83="",0,$T83))*($N83+$P83+SUM($X83:$Y83,$AA83:$AC83)))+(IF($U83="",0, $U83)*($P83+SUM($X83:$Y83,$AA83:$AC83))), ((1+IF($T83="",0,$T83))*($P83+SUM($Y83,$AA83:$AC83)))+(IF($U83="",0, $U83)*($P83+SUM($X83:$Y83,$AA83:$AC83)))+$N83+IF($X83="", 0, $X83)),IF(AND('Personalized Bill Menu'!$B$21="Athabasca", $A83&lt;DATE(2019, 5, 1)),((1+IF($T83="",0,$T83)+IF($U83="", 0, $U83))*($N83+((1+SUM($X83:$Y83))*$P83)+SUM($Z83:$AA83))),((1+IF($U83="", 0, $U83))*($N83+((1+SUM($X83:$Y83))*$P83)+SUM($Z83:$AA83))) + (IF($T83="",0,$T83)*(((1+SUM($X83:$Y83))*$P83)+SUM($Z83:$AA83)))))), "")+ IF($AQ83="", 0,((1+$AS83)*$AQ83)), ""))</f>
        <v>4.251656745</v>
      </c>
      <c r="F83" s="118">
        <f t="shared" ca="1" si="21"/>
        <v>54.93378792262952</v>
      </c>
      <c r="G83" s="115">
        <f t="shared" si="15"/>
        <v>4.3563288948707442</v>
      </c>
      <c r="H83" s="66">
        <f t="shared" ca="1" si="16"/>
        <v>27.32010961459568</v>
      </c>
      <c r="I83" s="66">
        <f t="shared" ca="1" si="17"/>
        <v>3.7913427187681479</v>
      </c>
      <c r="J83" s="66">
        <f t="shared" ca="1" si="22"/>
        <v>2.4490585091487702</v>
      </c>
      <c r="K83" s="66">
        <f t="shared" si="18"/>
        <v>7.7190000000000003</v>
      </c>
      <c r="L83" s="66">
        <f t="shared" ca="1" si="23"/>
        <v>6.6820535222638204</v>
      </c>
      <c r="M83" s="68">
        <f t="shared" ca="1" si="24"/>
        <v>2.6158946629823583</v>
      </c>
      <c r="N83" s="1290">
        <f>IF('Personalized Bill Menu'!$B$34="Natural Gas", 'Personalized Bill Menu'!$J80, IF('Personalized Bill Menu'!$B$34="Both",'Personalized Bill Menu'!$N80,""))</f>
        <v>0.98899999999999999</v>
      </c>
      <c r="O83" s="70">
        <f t="shared" si="25"/>
        <v>4.3563288948707442</v>
      </c>
      <c r="P83" s="89">
        <f ca="1">IF($A83="", "",IFERROR(IF(VLOOKUP($A83, INDIRECT("'" &amp; 'Personalized Bill Menu'!$B$23 &amp; "'!" &amp;"$A$4:$CA$100"), VLOOKUP(VLOOKUP(P$5,'Misc. Data &amp; Mechanisms'!$P$601:$S$632,HLOOKUP('Personalized Bill Menu'!$B$23, 'Misc. Data &amp; Mechanisms'!$P$599:$S$600, 2, FALSE), FALSE), 'Misc. Data &amp; Mechanisms'!$L$599:$N$659, 2, FALSE), FALSE) = "", "", VLOOKUP($A83, INDIRECT("'" &amp; 'Personalized Bill Menu'!$B$23 &amp; "'!" &amp;"$A$4:$CA$100"), VLOOKUP(VLOOKUP(P$5,'Misc. Data &amp; Mechanisms'!$P$601:$S$632,HLOOKUP('Personalized Bill Menu'!$B$23, 'Misc. Data &amp; Mechanisms'!$P$599:$S$600, 2, FALSE), FALSE), 'Misc. Data &amp; Mechanisms'!$L$599:$N$659, 2, FALSE), FALSE)), ""))</f>
        <v>0.73399999999999999</v>
      </c>
      <c r="Q83" s="69">
        <f ca="1">IF($A83="", "",IFERROR(IF(VLOOKUP($A83, INDIRECT("'" &amp; 'Personalized Bill Menu'!$B$23 &amp; "'!" &amp;"$A$4:$CA$100"), VLOOKUP(VLOOKUP(Q$5,'Misc. Data &amp; Mechanisms'!$P$601:$S$632,HLOOKUP('Personalized Bill Menu'!$B$23, 'Misc. Data &amp; Mechanisms'!$P$599:$S$600, 2, FALSE), FALSE), 'Misc. Data &amp; Mechanisms'!$L$599:$N$659, 2, FALSE), FALSE) = "", "", VLOOKUP($A83, INDIRECT("'" &amp; 'Personalized Bill Menu'!$B$23 &amp; "'!" &amp;"$A$4:$CA$100"), VLOOKUP(VLOOKUP(Q$5,'Misc. Data &amp; Mechanisms'!$P$601:$S$632,HLOOKUP('Personalized Bill Menu'!$B$23, 'Misc. Data &amp; Mechanisms'!$P$599:$S$600, 2, FALSE), FALSE), 'Misc. Data &amp; Mechanisms'!$L$599:$N$659, 2, FALSE), FALSE)), ""))</f>
        <v>0.77700000000000002</v>
      </c>
      <c r="R83" s="72">
        <f t="shared" ca="1" si="26"/>
        <v>3.2331096145956786</v>
      </c>
      <c r="S83" s="70">
        <f t="shared" ca="1" si="27"/>
        <v>24.087</v>
      </c>
      <c r="T83" s="78">
        <f>IFERROR(IF(VLOOKUP($A83,'Misc. Data &amp; Mechanisms'!$A$63:$DY$152,HLOOKUP('Personalized Bill Menu'!$B$21&amp;"_"&amp;'Personalized Bill Menu'!$B$23&amp;"_NG_Y_1",'Misc. Data &amp; Mechanisms'!$A$55:$DY$62,8,FALSE), FALSE)="", "", VLOOKUP($A83,'Misc. Data &amp; Mechanisms'!$A$63:$DY$152,HLOOKUP('Personalized Bill Menu'!$B$21&amp;"_"&amp;'Personalized Bill Menu'!$B$23&amp;"_NG_Y_1",'Misc. Data &amp; Mechanisms'!$A$55:$DY$62,8,FALSE), FALSE)), "")</f>
        <v>0.1111</v>
      </c>
      <c r="U83" s="78" t="str">
        <f>IFERROR(IF(VLOOKUP($A83,'Misc. Data &amp; Mechanisms'!$A$63:$DY$152,HLOOKUP('Personalized Bill Menu'!$B$21&amp;"_"&amp;'Personalized Bill Menu'!$B$23&amp;"_NG_Y_2",'Misc. Data &amp; Mechanisms'!$A$55:$DY$62,8,FALSE), FALSE)="", "",VLOOKUP($A83,'Misc. Data &amp; Mechanisms'!$A$63:$DY$152,HLOOKUP('Personalized Bill Menu'!$B$21&amp;"_"&amp;'Personalized Bill Menu'!$B$23&amp;"_NG_Y_2",'Misc. Data &amp; Mechanisms'!$A$55:$DY$62,8,FALSE), FALSE)), "")</f>
        <v/>
      </c>
      <c r="V83" s="72">
        <f ca="1">IF($A83="", "", IFERROR(IF('Personalized Bill Menu'!$B$23="ATCO-N", IF(OR('Personalized Bill Menu'!$B$21="Fort McMurray",AND('Personalized Bill Menu'!$B$21="Spruce Grove", $A83&lt;DATE(2019, 5, 1))),$T83*($G83+$H83+$J83),$T83*($H83+$J83)), IF('Personalized Bill Menu'!$B$23="ATCO-S",IF(OR('Personalized Bill Menu'!$B$21="Calgary",AND('Personalized Bill Menu'!$B$21="Okotoks", $A83&lt;DATE(2019, 1, 1))),$T83*($G83+$H83+$J83), $T83*($H83+$J83-$AG83)),IF(AND('Personalized Bill Menu'!$B$21="Athabasca", $A83&lt;DATE(2019, 5, 1)),$T83*($G83+$H83+$J83+$K83),$T83*($H83+$J83+$K83)))),0))</f>
        <v>3.7913427187681479</v>
      </c>
      <c r="W83" s="72">
        <f ca="1">IF($A83="", "", IFERROR(IF('Personalized Bill Menu'!$B$23="ATCO-N", $U83*($H83+$J83), IF('Personalized Bill Menu'!$B$23="ATCO-S",$U83*($H83+$J83),$U83*($G83+$H83+$J83+$K83))),0))</f>
        <v>0</v>
      </c>
      <c r="X83" s="89" t="str">
        <f ca="1">IF($A83="", "",IFERROR(IF(VLOOKUP($A83, INDIRECT("'" &amp; 'Personalized Bill Menu'!$B$23 &amp; "'!" &amp;"$A$4:$CA$100"), VLOOKUP(VLOOKUP("RIDER RATE 1",'Misc. Data &amp; Mechanisms'!$P$601:$S$632,HLOOKUP('Personalized Bill Menu'!$B$23, 'Misc. Data &amp; Mechanisms'!$P$599:$S$600, 2, FALSE), FALSE), 'Misc. Data &amp; Mechanisms'!$L$599:$N$659, 2, FALSE), FALSE) = "", "", VLOOKUP($A83, INDIRECT("'" &amp; 'Personalized Bill Menu'!$B$23 &amp; "'!" &amp;"$A$4:$CA$100"), VLOOKUP(VLOOKUP("RIDER RATE 1",'Misc. Data &amp; Mechanisms'!$P$601:$S$632,HLOOKUP('Personalized Bill Menu'!$B$23, 'Misc. Data &amp; Mechanisms'!$P$599:$S$600, 2, FALSE), FALSE), 'Misc. Data &amp; Mechanisms'!$L$599:$N$659, 2, FALSE), FALSE)), ""))</f>
        <v/>
      </c>
      <c r="Y83" s="69" t="str">
        <f ca="1">IF($A83="", "",IFERROR(IF(VLOOKUP($A83, INDIRECT("'" &amp; 'Personalized Bill Menu'!$B$23 &amp; "'!" &amp;"$A$4:$CA$100"), VLOOKUP(VLOOKUP("RIDER RATE 2",'Misc. Data &amp; Mechanisms'!$P$601:$S$632,HLOOKUP('Personalized Bill Menu'!$B$23, 'Misc. Data &amp; Mechanisms'!$P$599:$S$600, 2, FALSE), FALSE), 'Misc. Data &amp; Mechanisms'!$L$599:$N$659, 2, FALSE), FALSE) = "", "", VLOOKUP($A83, INDIRECT("'" &amp; 'Personalized Bill Menu'!$B$23 &amp; "'!" &amp;"$A$4:$CA$100"), VLOOKUP(VLOOKUP("RIDER RATE 2",'Misc. Data &amp; Mechanisms'!$P$601:$S$632,HLOOKUP('Personalized Bill Menu'!$B$23, 'Misc. Data &amp; Mechanisms'!$P$599:$S$600, 2, FALSE), FALSE), 'Misc. Data &amp; Mechanisms'!$L$599:$N$659, 2, FALSE), FALSE)), ""))</f>
        <v/>
      </c>
      <c r="Z83" s="69" t="str">
        <f ca="1">IF($A83="", "",IFERROR(IF(VLOOKUP($A83, INDIRECT("'" &amp; 'Personalized Bill Menu'!$B$23 &amp; "'!" &amp;"$A$4:$CA$100"), VLOOKUP(VLOOKUP("RIDER RATE 3",'Misc. Data &amp; Mechanisms'!$P$601:$S$632,HLOOKUP('Personalized Bill Menu'!$B$23, 'Misc. Data &amp; Mechanisms'!$P$599:$S$600, 2, FALSE), FALSE), 'Misc. Data &amp; Mechanisms'!$L$599:$N$659, 2, FALSE), FALSE) = "", "", VLOOKUP($A83, INDIRECT("'" &amp; 'Personalized Bill Menu'!$B$23 &amp; "'!" &amp;"$A$4:$CA$100"), VLOOKUP(VLOOKUP("RIDER RATE 3",'Misc. Data &amp; Mechanisms'!$P$601:$S$632,HLOOKUP('Personalized Bill Menu'!$B$23, 'Misc. Data &amp; Mechanisms'!$P$599:$S$600, 2, FALSE), FALSE), 'Misc. Data &amp; Mechanisms'!$L$599:$N$659, 2, FALSE), FALSE)), ""))</f>
        <v/>
      </c>
      <c r="AA83" s="69" t="str">
        <f ca="1">IF($A83="", "",IFERROR(IF(VLOOKUP($A83, INDIRECT("'" &amp; 'Personalized Bill Menu'!$B$23 &amp; "'!" &amp;"$A$4:$CA$100"), VLOOKUP(VLOOKUP("RIDER RATE 4",'Misc. Data &amp; Mechanisms'!$P$601:$S$632,HLOOKUP('Personalized Bill Menu'!$B$23, 'Misc. Data &amp; Mechanisms'!$P$599:$S$600, 2, FALSE), FALSE), 'Misc. Data &amp; Mechanisms'!$L$599:$N$659, 2, FALSE), FALSE) = "", "", VLOOKUP($A83, INDIRECT("'" &amp; 'Personalized Bill Menu'!$B$23 &amp; "'!" &amp;"$A$4:$CA$100"), VLOOKUP(VLOOKUP("RIDER RATE 4",'Misc. Data &amp; Mechanisms'!$P$601:$S$632,HLOOKUP('Personalized Bill Menu'!$B$23, 'Misc. Data &amp; Mechanisms'!$P$599:$S$600, 2, FALSE), FALSE), 'Misc. Data &amp; Mechanisms'!$L$599:$N$659, 2, FALSE), FALSE)), ""))</f>
        <v/>
      </c>
      <c r="AB83" s="69">
        <f ca="1">IF($A83="", "",IFERROR(IF(VLOOKUP($A83, INDIRECT("'" &amp; 'Personalized Bill Menu'!$B$23 &amp; "'!" &amp;"$A$4:$CA$100"), VLOOKUP(VLOOKUP("RIDER RATE 5",'Misc. Data &amp; Mechanisms'!$P$601:$S$632,HLOOKUP('Personalized Bill Menu'!$B$23, 'Misc. Data &amp; Mechanisms'!$P$599:$S$600, 2, FALSE), FALSE), 'Misc. Data &amp; Mechanisms'!$L$599:$N$659, 2, FALSE), FALSE) = "", "", VLOOKUP($A83, INDIRECT("'" &amp; 'Personalized Bill Menu'!$B$23 &amp; "'!" &amp;"$A$4:$CA$100"), VLOOKUP(VLOOKUP("RIDER RATE 5",'Misc. Data &amp; Mechanisms'!$P$601:$S$632,HLOOKUP('Personalized Bill Menu'!$B$23, 'Misc. Data &amp; Mechanisms'!$P$599:$S$600, 2, FALSE), FALSE), 'Misc. Data &amp; Mechanisms'!$L$599:$N$659, 2, FALSE), FALSE)), ""))</f>
        <v>0.55600000000000005</v>
      </c>
      <c r="AC83" s="69" t="str">
        <f ca="1">IF($A83="", "",IFERROR(IF(VLOOKUP($A83, INDIRECT("'" &amp; 'Personalized Bill Menu'!$B$23 &amp; "'!" &amp;"$A$4:$CA$100"), VLOOKUP(VLOOKUP("RIDER RATE 6",'Misc. Data &amp; Mechanisms'!$P$601:$S$632,HLOOKUP('Personalized Bill Menu'!$B$23, 'Misc. Data &amp; Mechanisms'!$P$599:$S$600, 2, FALSE), FALSE), 'Misc. Data &amp; Mechanisms'!$L$599:$N$659, 2, FALSE), FALSE) = "", "", VLOOKUP($A83, INDIRECT("'" &amp; 'Personalized Bill Menu'!$B$23 &amp; "'!" &amp;"$A$4:$CA$100"), VLOOKUP(VLOOKUP("RIDER RATE 6",'Misc. Data &amp; Mechanisms'!$P$601:$S$632,HLOOKUP('Personalized Bill Menu'!$B$23, 'Misc. Data &amp; Mechanisms'!$P$599:$S$600, 2, FALSE), FALSE), 'Misc. Data &amp; Mechanisms'!$L$599:$N$659, 2, FALSE), FALSE)), ""))</f>
        <v/>
      </c>
      <c r="AD83" s="69" t="str">
        <f ca="1">IF($A83="", "",IFERROR(IF(VLOOKUP($A83, INDIRECT("'" &amp; 'Personalized Bill Menu'!$B$23 &amp; "'!" &amp;"$A$4:$CA$100"), VLOOKUP(VLOOKUP("RIDER RATE 7",'Misc. Data &amp; Mechanisms'!$P$601:$S$632,HLOOKUP('Personalized Bill Menu'!$B$23, 'Misc. Data &amp; Mechanisms'!$P$599:$S$600, 2, FALSE), FALSE), 'Misc. Data &amp; Mechanisms'!$L$599:$N$659, 2, FALSE), FALSE) = "", "", VLOOKUP($A83, INDIRECT("'" &amp; 'Personalized Bill Menu'!$B$23 &amp; "'!" &amp;"$A$4:$CA$100"), VLOOKUP(VLOOKUP("RIDER RATE 7",'Misc. Data &amp; Mechanisms'!$P$601:$S$632,HLOOKUP('Personalized Bill Menu'!$B$23, 'Misc. Data &amp; Mechanisms'!$P$599:$S$600, 2, FALSE), FALSE), 'Misc. Data &amp; Mechanisms'!$L$599:$N$659, 2, FALSE), FALSE)), ""))</f>
        <v/>
      </c>
      <c r="AE83" s="69" t="str">
        <f ca="1">IF($A83="", "",IFERROR(IF(VLOOKUP($A83, INDIRECT("'" &amp; 'Personalized Bill Menu'!$B$23 &amp; "'!" &amp;"$A$4:$CA$100"), VLOOKUP(VLOOKUP("RIDER RATE 8",'Misc. Data &amp; Mechanisms'!$P$601:$S$632,HLOOKUP('Personalized Bill Menu'!$B$23, 'Misc. Data &amp; Mechanisms'!$P$599:$S$600, 2, FALSE), FALSE), 'Misc. Data &amp; Mechanisms'!$L$599:$N$659, 2, FALSE), FALSE) = "", "", VLOOKUP($A83, INDIRECT("'" &amp; 'Personalized Bill Menu'!$B$23 &amp; "'!" &amp;"$A$4:$CA$100"), VLOOKUP(VLOOKUP("RIDER RATE 8",'Misc. Data &amp; Mechanisms'!$P$601:$S$632,HLOOKUP('Personalized Bill Menu'!$B$23, 'Misc. Data &amp; Mechanisms'!$P$599:$S$600, 2, FALSE), FALSE), 'Misc. Data &amp; Mechanisms'!$L$599:$N$659, 2, FALSE), FALSE)), ""))</f>
        <v/>
      </c>
      <c r="AF83" s="69" t="str">
        <f ca="1">IF($A83="", "",IFERROR(IF(VLOOKUP($A83, INDIRECT("'" &amp; 'Personalized Bill Menu'!$B$23 &amp; "'!" &amp;"$A$4:$CA$100"), VLOOKUP(VLOOKUP("RIDER RATE 9",'Misc. Data &amp; Mechanisms'!$P$601:$S$632,HLOOKUP('Personalized Bill Menu'!$B$23, 'Misc. Data &amp; Mechanisms'!$P$599:$S$600, 2, FALSE), FALSE), 'Misc. Data &amp; Mechanisms'!$L$599:$N$659, 2, FALSE), FALSE) = "", "", VLOOKUP($A83, INDIRECT("'" &amp; 'Personalized Bill Menu'!$B$23 &amp; "'!" &amp;"$A$4:$CA$100"), VLOOKUP(VLOOKUP("RIDER RATE 9",'Misc. Data &amp; Mechanisms'!$P$601:$S$632,HLOOKUP('Personalized Bill Menu'!$B$23, 'Misc. Data &amp; Mechanisms'!$P$599:$S$600, 2, FALSE), FALSE), 'Misc. Data &amp; Mechanisms'!$L$599:$N$659, 2, FALSE), FALSE)), ""))</f>
        <v/>
      </c>
      <c r="AG83" s="72">
        <f ca="1">IF($A83="", "", IFERROR(IF('Personalized Bill Menu'!$B$23="ATCO-N", ($X83*$B83) +($Y83*$C83), IF('Personalized Bill Menu'!$B$23="ATCO-S",$X83*$C83, IF($Y83="", ($X83*$H83), ($Y83*($H83+$K83))))), 0))</f>
        <v>0</v>
      </c>
      <c r="AH83" s="72">
        <f ca="1">IF($A83="", "", IFERROR(IF('Personalized Bill Menu'!$B$23="ATCO-S", $Y83*$C83, $Z83*$C83), 0))</f>
        <v>0</v>
      </c>
      <c r="AI83" s="72">
        <f ca="1">IF($A83="", "", IFERROR(IF('Personalized Bill Menu'!$B$23="ATCO-S", ($AA83*$C83)+($Z83*$B83), $AA83*$C83), 0))</f>
        <v>0</v>
      </c>
      <c r="AJ83" s="72">
        <f ca="1">IF($A83="", "", IFERROR(IF('Personalized Bill Menu'!$B$23&lt;&gt;"AltaGas",$AB83*$C83,""),0))</f>
        <v>2.4490585091487702</v>
      </c>
      <c r="AK83" s="72">
        <f ca="1">IF($A83="", "", IFERROR(IF('Personalized Bill Menu'!$B$23="ATCO-S",$AC83*$C83,IF('Personalized Bill Menu'!$B$23="ATCO-N",$AC83*1,"")),0))</f>
        <v>0</v>
      </c>
      <c r="AL83" s="72">
        <f ca="1">IF($A83="", "", IFERROR(IF('Personalized Bill Menu'!$B$23="ATCO-N",$AD83*$B83,IF('Personalized Bill Menu'!$B$23="ATCO-S",$AD83*1,"")),0))</f>
        <v>0</v>
      </c>
      <c r="AM83" s="72">
        <f ca="1">IF($A83="", "", IFERROR(IF('Personalized Bill Menu'!$B$23="ATCO-S",$AE83*$B83,IF('Personalized Bill Menu'!$B$23="ATCO-N",$AE83*$B83,"")),0))</f>
        <v>0</v>
      </c>
      <c r="AN83" s="70">
        <f ca="1">IF($A83="", "", IFERROR(IF('Personalized Bill Menu'!$B$23="ATCO-S",$AF83*$B83,""),0))</f>
        <v>0</v>
      </c>
      <c r="AO83" s="69">
        <f>IF('Personalized Bill Menu'!$B$34="Natural Gas", 'Personalized Bill Menu'!$K80, IF('Personalized Bill Menu'!$B$34="Both",'Personalized Bill Menu'!$O80,""))</f>
        <v>0.249</v>
      </c>
      <c r="AP83" s="70">
        <f t="shared" si="28"/>
        <v>7.7190000000000003</v>
      </c>
      <c r="AQ83" s="89">
        <f ca="1">IF($A83="", "",IF(VLOOKUP($A83, INDIRECT("'" &amp; 'Personalized Bill Menu'!$B$23 &amp; "'!" &amp;"$A$4:$CA$100"), VLOOKUP(VLOOKUP(AQ$5,'Misc. Data &amp; Mechanisms'!$P$601:$S$632,HLOOKUP('Personalized Bill Menu'!$B$23, 'Misc. Data &amp; Mechanisms'!$P$599:$S$600, 2, FALSE), FALSE), 'Misc. Data &amp; Mechanisms'!$L$599:$N$659, 2, FALSE), FALSE) = "", "", VLOOKUP($A83, INDIRECT("'" &amp; 'Personalized Bill Menu'!$B$23 &amp; "'!" &amp;"$A$4:$CA$100"), VLOOKUP(VLOOKUP(AQ$5,'Misc. Data &amp; Mechanisms'!$P$601:$S$632,HLOOKUP('Personalized Bill Menu'!$B$23, 'Misc. Data &amp; Mechanisms'!$P$599:$S$600, 2, FALSE), FALSE), 'Misc. Data &amp; Mechanisms'!$L$599:$N$659, 2, FALSE), FALSE)))</f>
        <v>1.5169999999999999</v>
      </c>
      <c r="AR83" s="70">
        <f t="shared" ca="1" si="29"/>
        <v>6.6820535222638204</v>
      </c>
      <c r="AS83" s="91">
        <f ca="1">IF($A83="", "",IF(VLOOKUP($A83, INDIRECT("'" &amp; 'Personalized Bill Menu'!$B$23 &amp; "'!" &amp;"$A$4:$CA$100"), VLOOKUP(VLOOKUP(AS$5,'Misc. Data &amp; Mechanisms'!$P$601:$S$632,HLOOKUP('Personalized Bill Menu'!$B$23, 'Misc. Data &amp; Mechanisms'!$P$599:$S$600, 2, FALSE), FALSE), 'Misc. Data &amp; Mechanisms'!$L$599:$N$659, 2, FALSE), FALSE) = "", "", VLOOKUP($A83, INDIRECT("'" &amp; 'Personalized Bill Menu'!$B$23 &amp; "'!" &amp;"$A$4:$CA$100"), VLOOKUP(VLOOKUP(AS$5,'Misc. Data &amp; Mechanisms'!$P$601:$S$632,HLOOKUP('Personalized Bill Menu'!$B$23, 'Misc. Data &amp; Mechanisms'!$P$599:$S$600, 2, FALSE), FALSE), 'Misc. Data &amp; Mechanisms'!$L$599:$N$659, 2, FALSE), FALSE)))</f>
        <v>0.05</v>
      </c>
    </row>
    <row r="84" spans="1:45" x14ac:dyDescent="0.3">
      <c r="A84" s="83">
        <f>'Personalized Bill Menu'!$H81</f>
        <v>43252</v>
      </c>
      <c r="B84" s="84">
        <f t="shared" si="19"/>
        <v>30</v>
      </c>
      <c r="C84" s="85">
        <f>IF('Personalized Bill Menu'!$B$34="Natural Gas", 'Personalized Bill Menu'!$I81, IF('Personalized Bill Menu'!$B$34="Both",'Personalized Bill Menu'!$M81,""))</f>
        <v>3.2976685156573131</v>
      </c>
      <c r="D84" s="66">
        <f t="shared" ca="1" si="20"/>
        <v>14.357646913847367</v>
      </c>
      <c r="E84" s="66">
        <f ca="1">IF($C84="Not Applicable", "", IFERROR(IFERROR((1+$AS84)*IF('Personalized Bill Menu'!$B$23="ATCO-N", IF(OR('Personalized Bill Menu'!$B$21="Fort McMurray",AND('Personalized Bill Menu'!$B$21="Spruce Grove", $A84&lt;DATE(2019, 5, 1) )),(((1+IF($T84="",0,$T84))*($N84+$P84))+ (IF($U84="", 0, $U84)*$P84)+(1+IF($T84="",0,$T84)+IF($U84="", 0, $U84))*(SUM($Y84:$AB84))),($N84+((1+IF($T84="",0,$T84)+IF($U84="", 0, $U84))*$P84)+(1+IF($T84="",0,$T84)+IF($U84="", 0, $U84))*(SUM($Y84:$AB84)))), IF('Personalized Bill Menu'!$B$23="ATCO-S",IF(OR('Personalized Bill Menu'!$B$21="Calgary",AND('Personalized Bill Menu'!$B$21="Okotoks", $A84&lt;DATE(2019, 1, 1))),((1+IF($T84="",0,$T84))*($N84+$P84+SUM($X84:$Y84,$AA84:$AC84)))+(IF($U84="",0, $U84)*($P84+SUM($X84:$Y84,$AA84:$AC84))), ((1+IF($T84="",0,$T84))*($P84+SUM($Y84,$AA84:$AC84)))+(IF($U84="",0, $U84)*($P84+SUM($X84:$Y84,$AA84:$AC84)))+$N84+IF($X84="", 0, $X84)),IF(AND('Personalized Bill Menu'!$B$21="Athabasca", $A84&lt;DATE(2019, 5, 1)),((1+IF($T84="",0,$T84)+IF($U84="", 0, $U84))*($N84+((1+SUM($X84:$Y84))*$P84)+SUM($Z84:$AA84))),((1+IF($U84="", 0, $U84))*($N84+((1+SUM($X84:$Y84))*$P84)+SUM($Z84:$AA84))) + (IF($T84="",0,$T84)*(((1+SUM($X84:$Y84))*$P84)+SUM($Z84:$AA84)))))), "")+ IF($AQ84="", 0,((1+$AS84)*$AQ84)), ""))</f>
        <v>3.7324952699999998</v>
      </c>
      <c r="F84" s="118">
        <f t="shared" ca="1" si="21"/>
        <v>47.346760186718846</v>
      </c>
      <c r="G84" s="115">
        <f t="shared" si="15"/>
        <v>1.7939316725175785</v>
      </c>
      <c r="H84" s="66">
        <f t="shared" ca="1" si="16"/>
        <v>25.730488690492471</v>
      </c>
      <c r="I84" s="66">
        <f t="shared" ca="1" si="17"/>
        <v>3.2616653628121943</v>
      </c>
      <c r="J84" s="66">
        <f t="shared" ca="1" si="22"/>
        <v>1.8335036947054661</v>
      </c>
      <c r="K84" s="66">
        <f t="shared" si="18"/>
        <v>7.47</v>
      </c>
      <c r="L84" s="66">
        <f t="shared" ca="1" si="23"/>
        <v>5.0025631382521434</v>
      </c>
      <c r="M84" s="68">
        <f t="shared" ca="1" si="24"/>
        <v>2.2546076279389928</v>
      </c>
      <c r="N84" s="1290">
        <f>IF('Personalized Bill Menu'!$B$34="Natural Gas", 'Personalized Bill Menu'!$J81, IF('Personalized Bill Menu'!$B$34="Both",'Personalized Bill Menu'!$N81,""))</f>
        <v>0.54400000000000004</v>
      </c>
      <c r="O84" s="70">
        <f t="shared" si="25"/>
        <v>1.7939316725175785</v>
      </c>
      <c r="P84" s="89">
        <f ca="1">IF($A84="", "",IFERROR(IF(VLOOKUP($A84, INDIRECT("'" &amp; 'Personalized Bill Menu'!$B$23 &amp; "'!" &amp;"$A$4:$CA$100"), VLOOKUP(VLOOKUP(P$5,'Misc. Data &amp; Mechanisms'!$P$601:$S$632,HLOOKUP('Personalized Bill Menu'!$B$23, 'Misc. Data &amp; Mechanisms'!$P$599:$S$600, 2, FALSE), FALSE), 'Misc. Data &amp; Mechanisms'!$L$599:$N$659, 2, FALSE), FALSE) = "", "", VLOOKUP($A84, INDIRECT("'" &amp; 'Personalized Bill Menu'!$B$23 &amp; "'!" &amp;"$A$4:$CA$100"), VLOOKUP(VLOOKUP(P$5,'Misc. Data &amp; Mechanisms'!$P$601:$S$632,HLOOKUP('Personalized Bill Menu'!$B$23, 'Misc. Data &amp; Mechanisms'!$P$599:$S$600, 2, FALSE), FALSE), 'Misc. Data &amp; Mechanisms'!$L$599:$N$659, 2, FALSE), FALSE)), ""))</f>
        <v>0.73399999999999999</v>
      </c>
      <c r="Q84" s="69">
        <f ca="1">IF($A84="", "",IFERROR(IF(VLOOKUP($A84, INDIRECT("'" &amp; 'Personalized Bill Menu'!$B$23 &amp; "'!" &amp;"$A$4:$CA$100"), VLOOKUP(VLOOKUP(Q$5,'Misc. Data &amp; Mechanisms'!$P$601:$S$632,HLOOKUP('Personalized Bill Menu'!$B$23, 'Misc. Data &amp; Mechanisms'!$P$599:$S$600, 2, FALSE), FALSE), 'Misc. Data &amp; Mechanisms'!$L$599:$N$659, 2, FALSE), FALSE) = "", "", VLOOKUP($A84, INDIRECT("'" &amp; 'Personalized Bill Menu'!$B$23 &amp; "'!" &amp;"$A$4:$CA$100"), VLOOKUP(VLOOKUP(Q$5,'Misc. Data &amp; Mechanisms'!$P$601:$S$632,HLOOKUP('Personalized Bill Menu'!$B$23, 'Misc. Data &amp; Mechanisms'!$P$599:$S$600, 2, FALSE), FALSE), 'Misc. Data &amp; Mechanisms'!$L$599:$N$659, 2, FALSE), FALSE)), ""))</f>
        <v>0.77700000000000002</v>
      </c>
      <c r="R84" s="72">
        <f t="shared" ca="1" si="26"/>
        <v>2.4204886904924678</v>
      </c>
      <c r="S84" s="70">
        <f t="shared" ca="1" si="27"/>
        <v>23.310000000000002</v>
      </c>
      <c r="T84" s="78">
        <f>IFERROR(IF(VLOOKUP($A84,'Misc. Data &amp; Mechanisms'!$A$63:$DY$152,HLOOKUP('Personalized Bill Menu'!$B$21&amp;"_"&amp;'Personalized Bill Menu'!$B$23&amp;"_NG_Y_1",'Misc. Data &amp; Mechanisms'!$A$55:$DY$62,8,FALSE), FALSE)="", "", VLOOKUP($A84,'Misc. Data &amp; Mechanisms'!$A$63:$DY$152,HLOOKUP('Personalized Bill Menu'!$B$21&amp;"_"&amp;'Personalized Bill Menu'!$B$23&amp;"_NG_Y_1",'Misc. Data &amp; Mechanisms'!$A$55:$DY$62,8,FALSE), FALSE)), "")</f>
        <v>0.1111</v>
      </c>
      <c r="U84" s="78" t="str">
        <f>IFERROR(IF(VLOOKUP($A84,'Misc. Data &amp; Mechanisms'!$A$63:$DY$152,HLOOKUP('Personalized Bill Menu'!$B$21&amp;"_"&amp;'Personalized Bill Menu'!$B$23&amp;"_NG_Y_2",'Misc. Data &amp; Mechanisms'!$A$55:$DY$62,8,FALSE), FALSE)="", "",VLOOKUP($A84,'Misc. Data &amp; Mechanisms'!$A$63:$DY$152,HLOOKUP('Personalized Bill Menu'!$B$21&amp;"_"&amp;'Personalized Bill Menu'!$B$23&amp;"_NG_Y_2",'Misc. Data &amp; Mechanisms'!$A$55:$DY$62,8,FALSE), FALSE)), "")</f>
        <v/>
      </c>
      <c r="V84" s="72">
        <f ca="1">IF($A84="", "", IFERROR(IF('Personalized Bill Menu'!$B$23="ATCO-N", IF(OR('Personalized Bill Menu'!$B$21="Fort McMurray",AND('Personalized Bill Menu'!$B$21="Spruce Grove", $A84&lt;DATE(2019, 5, 1))),$T84*($G84+$H84+$J84),$T84*($H84+$J84)), IF('Personalized Bill Menu'!$B$23="ATCO-S",IF(OR('Personalized Bill Menu'!$B$21="Calgary",AND('Personalized Bill Menu'!$B$21="Okotoks", $A84&lt;DATE(2019, 1, 1))),$T84*($G84+$H84+$J84), $T84*($H84+$J84-$AG84)),IF(AND('Personalized Bill Menu'!$B$21="Athabasca", $A84&lt;DATE(2019, 5, 1)),$T84*($G84+$H84+$J84+$K84),$T84*($H84+$J84+$K84)))),0))</f>
        <v>3.2616653628121943</v>
      </c>
      <c r="W84" s="72">
        <f ca="1">IF($A84="", "", IFERROR(IF('Personalized Bill Menu'!$B$23="ATCO-N", $U84*($H84+$J84), IF('Personalized Bill Menu'!$B$23="ATCO-S",$U84*($H84+$J84),$U84*($G84+$H84+$J84+$K84))),0))</f>
        <v>0</v>
      </c>
      <c r="X84" s="89" t="str">
        <f ca="1">IF($A84="", "",IFERROR(IF(VLOOKUP($A84, INDIRECT("'" &amp; 'Personalized Bill Menu'!$B$23 &amp; "'!" &amp;"$A$4:$CA$100"), VLOOKUP(VLOOKUP("RIDER RATE 1",'Misc. Data &amp; Mechanisms'!$P$601:$S$632,HLOOKUP('Personalized Bill Menu'!$B$23, 'Misc. Data &amp; Mechanisms'!$P$599:$S$600, 2, FALSE), FALSE), 'Misc. Data &amp; Mechanisms'!$L$599:$N$659, 2, FALSE), FALSE) = "", "", VLOOKUP($A84, INDIRECT("'" &amp; 'Personalized Bill Menu'!$B$23 &amp; "'!" &amp;"$A$4:$CA$100"), VLOOKUP(VLOOKUP("RIDER RATE 1",'Misc. Data &amp; Mechanisms'!$P$601:$S$632,HLOOKUP('Personalized Bill Menu'!$B$23, 'Misc. Data &amp; Mechanisms'!$P$599:$S$600, 2, FALSE), FALSE), 'Misc. Data &amp; Mechanisms'!$L$599:$N$659, 2, FALSE), FALSE)), ""))</f>
        <v/>
      </c>
      <c r="Y84" s="69" t="str">
        <f ca="1">IF($A84="", "",IFERROR(IF(VLOOKUP($A84, INDIRECT("'" &amp; 'Personalized Bill Menu'!$B$23 &amp; "'!" &amp;"$A$4:$CA$100"), VLOOKUP(VLOOKUP("RIDER RATE 2",'Misc. Data &amp; Mechanisms'!$P$601:$S$632,HLOOKUP('Personalized Bill Menu'!$B$23, 'Misc. Data &amp; Mechanisms'!$P$599:$S$600, 2, FALSE), FALSE), 'Misc. Data &amp; Mechanisms'!$L$599:$N$659, 2, FALSE), FALSE) = "", "", VLOOKUP($A84, INDIRECT("'" &amp; 'Personalized Bill Menu'!$B$23 &amp; "'!" &amp;"$A$4:$CA$100"), VLOOKUP(VLOOKUP("RIDER RATE 2",'Misc. Data &amp; Mechanisms'!$P$601:$S$632,HLOOKUP('Personalized Bill Menu'!$B$23, 'Misc. Data &amp; Mechanisms'!$P$599:$S$600, 2, FALSE), FALSE), 'Misc. Data &amp; Mechanisms'!$L$599:$N$659, 2, FALSE), FALSE)), ""))</f>
        <v/>
      </c>
      <c r="Z84" s="69" t="str">
        <f ca="1">IF($A84="", "",IFERROR(IF(VLOOKUP($A84, INDIRECT("'" &amp; 'Personalized Bill Menu'!$B$23 &amp; "'!" &amp;"$A$4:$CA$100"), VLOOKUP(VLOOKUP("RIDER RATE 3",'Misc. Data &amp; Mechanisms'!$P$601:$S$632,HLOOKUP('Personalized Bill Menu'!$B$23, 'Misc. Data &amp; Mechanisms'!$P$599:$S$600, 2, FALSE), FALSE), 'Misc. Data &amp; Mechanisms'!$L$599:$N$659, 2, FALSE), FALSE) = "", "", VLOOKUP($A84, INDIRECT("'" &amp; 'Personalized Bill Menu'!$B$23 &amp; "'!" &amp;"$A$4:$CA$100"), VLOOKUP(VLOOKUP("RIDER RATE 3",'Misc. Data &amp; Mechanisms'!$P$601:$S$632,HLOOKUP('Personalized Bill Menu'!$B$23, 'Misc. Data &amp; Mechanisms'!$P$599:$S$600, 2, FALSE), FALSE), 'Misc. Data &amp; Mechanisms'!$L$599:$N$659, 2, FALSE), FALSE)), ""))</f>
        <v/>
      </c>
      <c r="AA84" s="69" t="str">
        <f ca="1">IF($A84="", "",IFERROR(IF(VLOOKUP($A84, INDIRECT("'" &amp; 'Personalized Bill Menu'!$B$23 &amp; "'!" &amp;"$A$4:$CA$100"), VLOOKUP(VLOOKUP("RIDER RATE 4",'Misc. Data &amp; Mechanisms'!$P$601:$S$632,HLOOKUP('Personalized Bill Menu'!$B$23, 'Misc. Data &amp; Mechanisms'!$P$599:$S$600, 2, FALSE), FALSE), 'Misc. Data &amp; Mechanisms'!$L$599:$N$659, 2, FALSE), FALSE) = "", "", VLOOKUP($A84, INDIRECT("'" &amp; 'Personalized Bill Menu'!$B$23 &amp; "'!" &amp;"$A$4:$CA$100"), VLOOKUP(VLOOKUP("RIDER RATE 4",'Misc. Data &amp; Mechanisms'!$P$601:$S$632,HLOOKUP('Personalized Bill Menu'!$B$23, 'Misc. Data &amp; Mechanisms'!$P$599:$S$600, 2, FALSE), FALSE), 'Misc. Data &amp; Mechanisms'!$L$599:$N$659, 2, FALSE), FALSE)), ""))</f>
        <v/>
      </c>
      <c r="AB84" s="69">
        <f ca="1">IF($A84="", "",IFERROR(IF(VLOOKUP($A84, INDIRECT("'" &amp; 'Personalized Bill Menu'!$B$23 &amp; "'!" &amp;"$A$4:$CA$100"), VLOOKUP(VLOOKUP("RIDER RATE 5",'Misc. Data &amp; Mechanisms'!$P$601:$S$632,HLOOKUP('Personalized Bill Menu'!$B$23, 'Misc. Data &amp; Mechanisms'!$P$599:$S$600, 2, FALSE), FALSE), 'Misc. Data &amp; Mechanisms'!$L$599:$N$659, 2, FALSE), FALSE) = "", "", VLOOKUP($A84, INDIRECT("'" &amp; 'Personalized Bill Menu'!$B$23 &amp; "'!" &amp;"$A$4:$CA$100"), VLOOKUP(VLOOKUP("RIDER RATE 5",'Misc. Data &amp; Mechanisms'!$P$601:$S$632,HLOOKUP('Personalized Bill Menu'!$B$23, 'Misc. Data &amp; Mechanisms'!$P$599:$S$600, 2, FALSE), FALSE), 'Misc. Data &amp; Mechanisms'!$L$599:$N$659, 2, FALSE), FALSE)), ""))</f>
        <v>0.55600000000000005</v>
      </c>
      <c r="AC84" s="69" t="str">
        <f ca="1">IF($A84="", "",IFERROR(IF(VLOOKUP($A84, INDIRECT("'" &amp; 'Personalized Bill Menu'!$B$23 &amp; "'!" &amp;"$A$4:$CA$100"), VLOOKUP(VLOOKUP("RIDER RATE 6",'Misc. Data &amp; Mechanisms'!$P$601:$S$632,HLOOKUP('Personalized Bill Menu'!$B$23, 'Misc. Data &amp; Mechanisms'!$P$599:$S$600, 2, FALSE), FALSE), 'Misc. Data &amp; Mechanisms'!$L$599:$N$659, 2, FALSE), FALSE) = "", "", VLOOKUP($A84, INDIRECT("'" &amp; 'Personalized Bill Menu'!$B$23 &amp; "'!" &amp;"$A$4:$CA$100"), VLOOKUP(VLOOKUP("RIDER RATE 6",'Misc. Data &amp; Mechanisms'!$P$601:$S$632,HLOOKUP('Personalized Bill Menu'!$B$23, 'Misc. Data &amp; Mechanisms'!$P$599:$S$600, 2, FALSE), FALSE), 'Misc. Data &amp; Mechanisms'!$L$599:$N$659, 2, FALSE), FALSE)), ""))</f>
        <v/>
      </c>
      <c r="AD84" s="69" t="str">
        <f ca="1">IF($A84="", "",IFERROR(IF(VLOOKUP($A84, INDIRECT("'" &amp; 'Personalized Bill Menu'!$B$23 &amp; "'!" &amp;"$A$4:$CA$100"), VLOOKUP(VLOOKUP("RIDER RATE 7",'Misc. Data &amp; Mechanisms'!$P$601:$S$632,HLOOKUP('Personalized Bill Menu'!$B$23, 'Misc. Data &amp; Mechanisms'!$P$599:$S$600, 2, FALSE), FALSE), 'Misc. Data &amp; Mechanisms'!$L$599:$N$659, 2, FALSE), FALSE) = "", "", VLOOKUP($A84, INDIRECT("'" &amp; 'Personalized Bill Menu'!$B$23 &amp; "'!" &amp;"$A$4:$CA$100"), VLOOKUP(VLOOKUP("RIDER RATE 7",'Misc. Data &amp; Mechanisms'!$P$601:$S$632,HLOOKUP('Personalized Bill Menu'!$B$23, 'Misc. Data &amp; Mechanisms'!$P$599:$S$600, 2, FALSE), FALSE), 'Misc. Data &amp; Mechanisms'!$L$599:$N$659, 2, FALSE), FALSE)), ""))</f>
        <v/>
      </c>
      <c r="AE84" s="69" t="str">
        <f ca="1">IF($A84="", "",IFERROR(IF(VLOOKUP($A84, INDIRECT("'" &amp; 'Personalized Bill Menu'!$B$23 &amp; "'!" &amp;"$A$4:$CA$100"), VLOOKUP(VLOOKUP("RIDER RATE 8",'Misc. Data &amp; Mechanisms'!$P$601:$S$632,HLOOKUP('Personalized Bill Menu'!$B$23, 'Misc. Data &amp; Mechanisms'!$P$599:$S$600, 2, FALSE), FALSE), 'Misc. Data &amp; Mechanisms'!$L$599:$N$659, 2, FALSE), FALSE) = "", "", VLOOKUP($A84, INDIRECT("'" &amp; 'Personalized Bill Menu'!$B$23 &amp; "'!" &amp;"$A$4:$CA$100"), VLOOKUP(VLOOKUP("RIDER RATE 8",'Misc. Data &amp; Mechanisms'!$P$601:$S$632,HLOOKUP('Personalized Bill Menu'!$B$23, 'Misc. Data &amp; Mechanisms'!$P$599:$S$600, 2, FALSE), FALSE), 'Misc. Data &amp; Mechanisms'!$L$599:$N$659, 2, FALSE), FALSE)), ""))</f>
        <v/>
      </c>
      <c r="AF84" s="69" t="str">
        <f ca="1">IF($A84="", "",IFERROR(IF(VLOOKUP($A84, INDIRECT("'" &amp; 'Personalized Bill Menu'!$B$23 &amp; "'!" &amp;"$A$4:$CA$100"), VLOOKUP(VLOOKUP("RIDER RATE 9",'Misc. Data &amp; Mechanisms'!$P$601:$S$632,HLOOKUP('Personalized Bill Menu'!$B$23, 'Misc. Data &amp; Mechanisms'!$P$599:$S$600, 2, FALSE), FALSE), 'Misc. Data &amp; Mechanisms'!$L$599:$N$659, 2, FALSE), FALSE) = "", "", VLOOKUP($A84, INDIRECT("'" &amp; 'Personalized Bill Menu'!$B$23 &amp; "'!" &amp;"$A$4:$CA$100"), VLOOKUP(VLOOKUP("RIDER RATE 9",'Misc. Data &amp; Mechanisms'!$P$601:$S$632,HLOOKUP('Personalized Bill Menu'!$B$23, 'Misc. Data &amp; Mechanisms'!$P$599:$S$600, 2, FALSE), FALSE), 'Misc. Data &amp; Mechanisms'!$L$599:$N$659, 2, FALSE), FALSE)), ""))</f>
        <v/>
      </c>
      <c r="AG84" s="72">
        <f ca="1">IF($A84="", "", IFERROR(IF('Personalized Bill Menu'!$B$23="ATCO-N", ($X84*$B84) +($Y84*$C84), IF('Personalized Bill Menu'!$B$23="ATCO-S",$X84*$C84, IF($Y84="", ($X84*$H84), ($Y84*($H84+$K84))))), 0))</f>
        <v>0</v>
      </c>
      <c r="AH84" s="72">
        <f ca="1">IF($A84="", "", IFERROR(IF('Personalized Bill Menu'!$B$23="ATCO-S", $Y84*$C84, $Z84*$C84), 0))</f>
        <v>0</v>
      </c>
      <c r="AI84" s="72">
        <f ca="1">IF($A84="", "", IFERROR(IF('Personalized Bill Menu'!$B$23="ATCO-S", ($AA84*$C84)+($Z84*$B84), $AA84*$C84), 0))</f>
        <v>0</v>
      </c>
      <c r="AJ84" s="72">
        <f ca="1">IF($A84="", "", IFERROR(IF('Personalized Bill Menu'!$B$23&lt;&gt;"AltaGas",$AB84*$C84,""),0))</f>
        <v>1.8335036947054661</v>
      </c>
      <c r="AK84" s="72">
        <f ca="1">IF($A84="", "", IFERROR(IF('Personalized Bill Menu'!$B$23="ATCO-S",$AC84*$C84,IF('Personalized Bill Menu'!$B$23="ATCO-N",$AC84*1,"")),0))</f>
        <v>0</v>
      </c>
      <c r="AL84" s="72">
        <f ca="1">IF($A84="", "", IFERROR(IF('Personalized Bill Menu'!$B$23="ATCO-N",$AD84*$B84,IF('Personalized Bill Menu'!$B$23="ATCO-S",$AD84*1,"")),0))</f>
        <v>0</v>
      </c>
      <c r="AM84" s="72">
        <f ca="1">IF($A84="", "", IFERROR(IF('Personalized Bill Menu'!$B$23="ATCO-S",$AE84*$B84,IF('Personalized Bill Menu'!$B$23="ATCO-N",$AE84*$B84,"")),0))</f>
        <v>0</v>
      </c>
      <c r="AN84" s="70">
        <f ca="1">IF($A84="", "", IFERROR(IF('Personalized Bill Menu'!$B$23="ATCO-S",$AF84*$B84,""),0))</f>
        <v>0</v>
      </c>
      <c r="AO84" s="69">
        <f>IF('Personalized Bill Menu'!$B$34="Natural Gas", 'Personalized Bill Menu'!$K81, IF('Personalized Bill Menu'!$B$34="Both",'Personalized Bill Menu'!$O81,""))</f>
        <v>0.249</v>
      </c>
      <c r="AP84" s="70">
        <f t="shared" si="28"/>
        <v>7.47</v>
      </c>
      <c r="AQ84" s="89">
        <f ca="1">IF($A84="", "",IF(VLOOKUP($A84, INDIRECT("'" &amp; 'Personalized Bill Menu'!$B$23 &amp; "'!" &amp;"$A$4:$CA$100"), VLOOKUP(VLOOKUP(AQ$5,'Misc. Data &amp; Mechanisms'!$P$601:$S$632,HLOOKUP('Personalized Bill Menu'!$B$23, 'Misc. Data &amp; Mechanisms'!$P$599:$S$600, 2, FALSE), FALSE), 'Misc. Data &amp; Mechanisms'!$L$599:$N$659, 2, FALSE), FALSE) = "", "", VLOOKUP($A84, INDIRECT("'" &amp; 'Personalized Bill Menu'!$B$23 &amp; "'!" &amp;"$A$4:$CA$100"), VLOOKUP(VLOOKUP(AQ$5,'Misc. Data &amp; Mechanisms'!$P$601:$S$632,HLOOKUP('Personalized Bill Menu'!$B$23, 'Misc. Data &amp; Mechanisms'!$P$599:$S$600, 2, FALSE), FALSE), 'Misc. Data &amp; Mechanisms'!$L$599:$N$659, 2, FALSE), FALSE)))</f>
        <v>1.5169999999999999</v>
      </c>
      <c r="AR84" s="70">
        <f t="shared" ca="1" si="29"/>
        <v>5.0025631382521434</v>
      </c>
      <c r="AS84" s="91">
        <f ca="1">IF($A84="", "",IF(VLOOKUP($A84, INDIRECT("'" &amp; 'Personalized Bill Menu'!$B$23 &amp; "'!" &amp;"$A$4:$CA$100"), VLOOKUP(VLOOKUP(AS$5,'Misc. Data &amp; Mechanisms'!$P$601:$S$632,HLOOKUP('Personalized Bill Menu'!$B$23, 'Misc. Data &amp; Mechanisms'!$P$599:$S$600, 2, FALSE), FALSE), 'Misc. Data &amp; Mechanisms'!$L$599:$N$659, 2, FALSE), FALSE) = "", "", VLOOKUP($A84, INDIRECT("'" &amp; 'Personalized Bill Menu'!$B$23 &amp; "'!" &amp;"$A$4:$CA$100"), VLOOKUP(VLOOKUP(AS$5,'Misc. Data &amp; Mechanisms'!$P$601:$S$632,HLOOKUP('Personalized Bill Menu'!$B$23, 'Misc. Data &amp; Mechanisms'!$P$599:$S$600, 2, FALSE), FALSE), 'Misc. Data &amp; Mechanisms'!$L$599:$N$659, 2, FALSE), FALSE)))</f>
        <v>0.05</v>
      </c>
    </row>
    <row r="85" spans="1:45" x14ac:dyDescent="0.3">
      <c r="A85" s="83">
        <f>'Personalized Bill Menu'!$H82</f>
        <v>43282</v>
      </c>
      <c r="B85" s="84">
        <f t="shared" si="19"/>
        <v>31</v>
      </c>
      <c r="C85" s="85">
        <f>IF('Personalized Bill Menu'!$B$34="Natural Gas", 'Personalized Bill Menu'!$I82, IF('Personalized Bill Menu'!$B$34="Both",'Personalized Bill Menu'!$M82,""))</f>
        <v>2.9290657632313017</v>
      </c>
      <c r="D85" s="66">
        <f t="shared" ca="1" si="20"/>
        <v>17.191313215982532</v>
      </c>
      <c r="E85" s="66">
        <f ca="1">IF($C85="Not Applicable", "", IFERROR(IFERROR((1+$AS85)*IF('Personalized Bill Menu'!$B$23="ATCO-N", IF(OR('Personalized Bill Menu'!$B$21="Fort McMurray",AND('Personalized Bill Menu'!$B$21="Spruce Grove", $A85&lt;DATE(2019, 5, 1) )),(((1+IF($T85="",0,$T85))*($N85+$P85))+ (IF($U85="", 0, $U85)*$P85)+(1+IF($T85="",0,$T85)+IF($U85="", 0, $U85))*(SUM($Y85:$AB85))),($N85+((1+IF($T85="",0,$T85)+IF($U85="", 0, $U85))*$P85)+(1+IF($T85="",0,$T85)+IF($U85="", 0, $U85))*(SUM($Y85:$AB85)))), IF('Personalized Bill Menu'!$B$23="ATCO-S",IF(OR('Personalized Bill Menu'!$B$21="Calgary",AND('Personalized Bill Menu'!$B$21="Okotoks", $A85&lt;DATE(2019, 1, 1))),((1+IF($T85="",0,$T85))*($N85+$P85+SUM($X85:$Y85,$AA85:$AC85)))+(IF($U85="",0, $U85)*($P85+SUM($X85:$Y85,$AA85:$AC85))), ((1+IF($T85="",0,$T85))*($P85+SUM($Y85,$AA85:$AC85)))+(IF($U85="",0, $U85)*($P85+SUM($X85:$Y85,$AA85:$AC85)))+$N85+IF($X85="", 0, $X85)),IF(AND('Personalized Bill Menu'!$B$21="Athabasca", $A85&lt;DATE(2019, 5, 1)),((1+IF($T85="",0,$T85)+IF($U85="", 0, $U85))*($N85+((1+SUM($X85:$Y85))*$P85)+SUM($Z85:$AA85))),((1+IF($U85="", 0, $U85))*($N85+((1+SUM($X85:$Y85))*$P85)+SUM($Z85:$AA85))) + (IF($T85="",0,$T85)*(((1+SUM($X85:$Y85))*$P85)+SUM($Z85:$AA85)))))), "")+ IF($AQ85="", 0,((1+$AS85)*$AQ85)), ""))</f>
        <v>4.8303176250000002</v>
      </c>
      <c r="F85" s="118">
        <f t="shared" ca="1" si="21"/>
        <v>50.354486965920238</v>
      </c>
      <c r="G85" s="115">
        <f t="shared" si="15"/>
        <v>4.3496626583984837</v>
      </c>
      <c r="H85" s="66">
        <f t="shared" ca="1" si="16"/>
        <v>26.236934270211776</v>
      </c>
      <c r="I85" s="66">
        <f t="shared" ca="1" si="17"/>
        <v>3.5791039974686183</v>
      </c>
      <c r="J85" s="66">
        <f t="shared" ca="1" si="22"/>
        <v>1.6285605643566039</v>
      </c>
      <c r="K85" s="66">
        <f t="shared" si="18"/>
        <v>7.7190000000000003</v>
      </c>
      <c r="L85" s="66">
        <f t="shared" ca="1" si="23"/>
        <v>4.4433927628218841</v>
      </c>
      <c r="M85" s="68">
        <f t="shared" ca="1" si="24"/>
        <v>2.3978327126628685</v>
      </c>
      <c r="N85" s="1290">
        <f>IF('Personalized Bill Menu'!$B$34="Natural Gas", 'Personalized Bill Menu'!$J82, IF('Personalized Bill Menu'!$B$34="Both",'Personalized Bill Menu'!$N82,""))</f>
        <v>1.4850000000000001</v>
      </c>
      <c r="O85" s="70">
        <f t="shared" si="25"/>
        <v>4.3496626583984837</v>
      </c>
      <c r="P85" s="89">
        <f ca="1">IF($A85="", "",IFERROR(IF(VLOOKUP($A85, INDIRECT("'" &amp; 'Personalized Bill Menu'!$B$23 &amp; "'!" &amp;"$A$4:$CA$100"), VLOOKUP(VLOOKUP(P$5,'Misc. Data &amp; Mechanisms'!$P$601:$S$632,HLOOKUP('Personalized Bill Menu'!$B$23, 'Misc. Data &amp; Mechanisms'!$P$599:$S$600, 2, FALSE), FALSE), 'Misc. Data &amp; Mechanisms'!$L$599:$N$659, 2, FALSE), FALSE) = "", "", VLOOKUP($A85, INDIRECT("'" &amp; 'Personalized Bill Menu'!$B$23 &amp; "'!" &amp;"$A$4:$CA$100"), VLOOKUP(VLOOKUP(P$5,'Misc. Data &amp; Mechanisms'!$P$601:$S$632,HLOOKUP('Personalized Bill Menu'!$B$23, 'Misc. Data &amp; Mechanisms'!$P$599:$S$600, 2, FALSE), FALSE), 'Misc. Data &amp; Mechanisms'!$L$599:$N$659, 2, FALSE), FALSE)), ""))</f>
        <v>0.73399999999999999</v>
      </c>
      <c r="Q85" s="69">
        <f ca="1">IF($A85="", "",IFERROR(IF(VLOOKUP($A85, INDIRECT("'" &amp; 'Personalized Bill Menu'!$B$23 &amp; "'!" &amp;"$A$4:$CA$100"), VLOOKUP(VLOOKUP(Q$5,'Misc. Data &amp; Mechanisms'!$P$601:$S$632,HLOOKUP('Personalized Bill Menu'!$B$23, 'Misc. Data &amp; Mechanisms'!$P$599:$S$600, 2, FALSE), FALSE), 'Misc. Data &amp; Mechanisms'!$L$599:$N$659, 2, FALSE), FALSE) = "", "", VLOOKUP($A85, INDIRECT("'" &amp; 'Personalized Bill Menu'!$B$23 &amp; "'!" &amp;"$A$4:$CA$100"), VLOOKUP(VLOOKUP(Q$5,'Misc. Data &amp; Mechanisms'!$P$601:$S$632,HLOOKUP('Personalized Bill Menu'!$B$23, 'Misc. Data &amp; Mechanisms'!$P$599:$S$600, 2, FALSE), FALSE), 'Misc. Data &amp; Mechanisms'!$L$599:$N$659, 2, FALSE), FALSE)), ""))</f>
        <v>0.77700000000000002</v>
      </c>
      <c r="R85" s="72">
        <f t="shared" ca="1" si="26"/>
        <v>2.1499342702117756</v>
      </c>
      <c r="S85" s="70">
        <f t="shared" ca="1" si="27"/>
        <v>24.087</v>
      </c>
      <c r="T85" s="78">
        <f>IFERROR(IF(VLOOKUP($A85,'Misc. Data &amp; Mechanisms'!$A$63:$DY$152,HLOOKUP('Personalized Bill Menu'!$B$21&amp;"_"&amp;'Personalized Bill Menu'!$B$23&amp;"_NG_Y_1",'Misc. Data &amp; Mechanisms'!$A$55:$DY$62,8,FALSE), FALSE)="", "", VLOOKUP($A85,'Misc. Data &amp; Mechanisms'!$A$63:$DY$152,HLOOKUP('Personalized Bill Menu'!$B$21&amp;"_"&amp;'Personalized Bill Menu'!$B$23&amp;"_NG_Y_1",'Misc. Data &amp; Mechanisms'!$A$55:$DY$62,8,FALSE), FALSE)), "")</f>
        <v>0.1111</v>
      </c>
      <c r="U85" s="78" t="str">
        <f>IFERROR(IF(VLOOKUP($A85,'Misc. Data &amp; Mechanisms'!$A$63:$DY$152,HLOOKUP('Personalized Bill Menu'!$B$21&amp;"_"&amp;'Personalized Bill Menu'!$B$23&amp;"_NG_Y_2",'Misc. Data &amp; Mechanisms'!$A$55:$DY$62,8,FALSE), FALSE)="", "",VLOOKUP($A85,'Misc. Data &amp; Mechanisms'!$A$63:$DY$152,HLOOKUP('Personalized Bill Menu'!$B$21&amp;"_"&amp;'Personalized Bill Menu'!$B$23&amp;"_NG_Y_2",'Misc. Data &amp; Mechanisms'!$A$55:$DY$62,8,FALSE), FALSE)), "")</f>
        <v/>
      </c>
      <c r="V85" s="72">
        <f ca="1">IF($A85="", "", IFERROR(IF('Personalized Bill Menu'!$B$23="ATCO-N", IF(OR('Personalized Bill Menu'!$B$21="Fort McMurray",AND('Personalized Bill Menu'!$B$21="Spruce Grove", $A85&lt;DATE(2019, 5, 1))),$T85*($G85+$H85+$J85),$T85*($H85+$J85)), IF('Personalized Bill Menu'!$B$23="ATCO-S",IF(OR('Personalized Bill Menu'!$B$21="Calgary",AND('Personalized Bill Menu'!$B$21="Okotoks", $A85&lt;DATE(2019, 1, 1))),$T85*($G85+$H85+$J85), $T85*($H85+$J85-$AG85)),IF(AND('Personalized Bill Menu'!$B$21="Athabasca", $A85&lt;DATE(2019, 5, 1)),$T85*($G85+$H85+$J85+$K85),$T85*($H85+$J85+$K85)))),0))</f>
        <v>3.5791039974686183</v>
      </c>
      <c r="W85" s="72">
        <f ca="1">IF($A85="", "", IFERROR(IF('Personalized Bill Menu'!$B$23="ATCO-N", $U85*($H85+$J85), IF('Personalized Bill Menu'!$B$23="ATCO-S",$U85*($H85+$J85),$U85*($G85+$H85+$J85+$K85))),0))</f>
        <v>0</v>
      </c>
      <c r="X85" s="89" t="str">
        <f ca="1">IF($A85="", "",IFERROR(IF(VLOOKUP($A85, INDIRECT("'" &amp; 'Personalized Bill Menu'!$B$23 &amp; "'!" &amp;"$A$4:$CA$100"), VLOOKUP(VLOOKUP("RIDER RATE 1",'Misc. Data &amp; Mechanisms'!$P$601:$S$632,HLOOKUP('Personalized Bill Menu'!$B$23, 'Misc. Data &amp; Mechanisms'!$P$599:$S$600, 2, FALSE), FALSE), 'Misc. Data &amp; Mechanisms'!$L$599:$N$659, 2, FALSE), FALSE) = "", "", VLOOKUP($A85, INDIRECT("'" &amp; 'Personalized Bill Menu'!$B$23 &amp; "'!" &amp;"$A$4:$CA$100"), VLOOKUP(VLOOKUP("RIDER RATE 1",'Misc. Data &amp; Mechanisms'!$P$601:$S$632,HLOOKUP('Personalized Bill Menu'!$B$23, 'Misc. Data &amp; Mechanisms'!$P$599:$S$600, 2, FALSE), FALSE), 'Misc. Data &amp; Mechanisms'!$L$599:$N$659, 2, FALSE), FALSE)), ""))</f>
        <v/>
      </c>
      <c r="Y85" s="69" t="str">
        <f ca="1">IF($A85="", "",IFERROR(IF(VLOOKUP($A85, INDIRECT("'" &amp; 'Personalized Bill Menu'!$B$23 &amp; "'!" &amp;"$A$4:$CA$100"), VLOOKUP(VLOOKUP("RIDER RATE 2",'Misc. Data &amp; Mechanisms'!$P$601:$S$632,HLOOKUP('Personalized Bill Menu'!$B$23, 'Misc. Data &amp; Mechanisms'!$P$599:$S$600, 2, FALSE), FALSE), 'Misc. Data &amp; Mechanisms'!$L$599:$N$659, 2, FALSE), FALSE) = "", "", VLOOKUP($A85, INDIRECT("'" &amp; 'Personalized Bill Menu'!$B$23 &amp; "'!" &amp;"$A$4:$CA$100"), VLOOKUP(VLOOKUP("RIDER RATE 2",'Misc. Data &amp; Mechanisms'!$P$601:$S$632,HLOOKUP('Personalized Bill Menu'!$B$23, 'Misc. Data &amp; Mechanisms'!$P$599:$S$600, 2, FALSE), FALSE), 'Misc. Data &amp; Mechanisms'!$L$599:$N$659, 2, FALSE), FALSE)), ""))</f>
        <v/>
      </c>
      <c r="Z85" s="69" t="str">
        <f ca="1">IF($A85="", "",IFERROR(IF(VLOOKUP($A85, INDIRECT("'" &amp; 'Personalized Bill Menu'!$B$23 &amp; "'!" &amp;"$A$4:$CA$100"), VLOOKUP(VLOOKUP("RIDER RATE 3",'Misc. Data &amp; Mechanisms'!$P$601:$S$632,HLOOKUP('Personalized Bill Menu'!$B$23, 'Misc. Data &amp; Mechanisms'!$P$599:$S$600, 2, FALSE), FALSE), 'Misc. Data &amp; Mechanisms'!$L$599:$N$659, 2, FALSE), FALSE) = "", "", VLOOKUP($A85, INDIRECT("'" &amp; 'Personalized Bill Menu'!$B$23 &amp; "'!" &amp;"$A$4:$CA$100"), VLOOKUP(VLOOKUP("RIDER RATE 3",'Misc. Data &amp; Mechanisms'!$P$601:$S$632,HLOOKUP('Personalized Bill Menu'!$B$23, 'Misc. Data &amp; Mechanisms'!$P$599:$S$600, 2, FALSE), FALSE), 'Misc. Data &amp; Mechanisms'!$L$599:$N$659, 2, FALSE), FALSE)), ""))</f>
        <v/>
      </c>
      <c r="AA85" s="69" t="str">
        <f ca="1">IF($A85="", "",IFERROR(IF(VLOOKUP($A85, INDIRECT("'" &amp; 'Personalized Bill Menu'!$B$23 &amp; "'!" &amp;"$A$4:$CA$100"), VLOOKUP(VLOOKUP("RIDER RATE 4",'Misc. Data &amp; Mechanisms'!$P$601:$S$632,HLOOKUP('Personalized Bill Menu'!$B$23, 'Misc. Data &amp; Mechanisms'!$P$599:$S$600, 2, FALSE), FALSE), 'Misc. Data &amp; Mechanisms'!$L$599:$N$659, 2, FALSE), FALSE) = "", "", VLOOKUP($A85, INDIRECT("'" &amp; 'Personalized Bill Menu'!$B$23 &amp; "'!" &amp;"$A$4:$CA$100"), VLOOKUP(VLOOKUP("RIDER RATE 4",'Misc. Data &amp; Mechanisms'!$P$601:$S$632,HLOOKUP('Personalized Bill Menu'!$B$23, 'Misc. Data &amp; Mechanisms'!$P$599:$S$600, 2, FALSE), FALSE), 'Misc. Data &amp; Mechanisms'!$L$599:$N$659, 2, FALSE), FALSE)), ""))</f>
        <v/>
      </c>
      <c r="AB85" s="69">
        <f ca="1">IF($A85="", "",IFERROR(IF(VLOOKUP($A85, INDIRECT("'" &amp; 'Personalized Bill Menu'!$B$23 &amp; "'!" &amp;"$A$4:$CA$100"), VLOOKUP(VLOOKUP("RIDER RATE 5",'Misc. Data &amp; Mechanisms'!$P$601:$S$632,HLOOKUP('Personalized Bill Menu'!$B$23, 'Misc. Data &amp; Mechanisms'!$P$599:$S$600, 2, FALSE), FALSE), 'Misc. Data &amp; Mechanisms'!$L$599:$N$659, 2, FALSE), FALSE) = "", "", VLOOKUP($A85, INDIRECT("'" &amp; 'Personalized Bill Menu'!$B$23 &amp; "'!" &amp;"$A$4:$CA$100"), VLOOKUP(VLOOKUP("RIDER RATE 5",'Misc. Data &amp; Mechanisms'!$P$601:$S$632,HLOOKUP('Personalized Bill Menu'!$B$23, 'Misc. Data &amp; Mechanisms'!$P$599:$S$600, 2, FALSE), FALSE), 'Misc. Data &amp; Mechanisms'!$L$599:$N$659, 2, FALSE), FALSE)), ""))</f>
        <v>0.55600000000000005</v>
      </c>
      <c r="AC85" s="69" t="str">
        <f ca="1">IF($A85="", "",IFERROR(IF(VLOOKUP($A85, INDIRECT("'" &amp; 'Personalized Bill Menu'!$B$23 &amp; "'!" &amp;"$A$4:$CA$100"), VLOOKUP(VLOOKUP("RIDER RATE 6",'Misc. Data &amp; Mechanisms'!$P$601:$S$632,HLOOKUP('Personalized Bill Menu'!$B$23, 'Misc. Data &amp; Mechanisms'!$P$599:$S$600, 2, FALSE), FALSE), 'Misc. Data &amp; Mechanisms'!$L$599:$N$659, 2, FALSE), FALSE) = "", "", VLOOKUP($A85, INDIRECT("'" &amp; 'Personalized Bill Menu'!$B$23 &amp; "'!" &amp;"$A$4:$CA$100"), VLOOKUP(VLOOKUP("RIDER RATE 6",'Misc. Data &amp; Mechanisms'!$P$601:$S$632,HLOOKUP('Personalized Bill Menu'!$B$23, 'Misc. Data &amp; Mechanisms'!$P$599:$S$600, 2, FALSE), FALSE), 'Misc. Data &amp; Mechanisms'!$L$599:$N$659, 2, FALSE), FALSE)), ""))</f>
        <v/>
      </c>
      <c r="AD85" s="69" t="str">
        <f ca="1">IF($A85="", "",IFERROR(IF(VLOOKUP($A85, INDIRECT("'" &amp; 'Personalized Bill Menu'!$B$23 &amp; "'!" &amp;"$A$4:$CA$100"), VLOOKUP(VLOOKUP("RIDER RATE 7",'Misc. Data &amp; Mechanisms'!$P$601:$S$632,HLOOKUP('Personalized Bill Menu'!$B$23, 'Misc. Data &amp; Mechanisms'!$P$599:$S$600, 2, FALSE), FALSE), 'Misc. Data &amp; Mechanisms'!$L$599:$N$659, 2, FALSE), FALSE) = "", "", VLOOKUP($A85, INDIRECT("'" &amp; 'Personalized Bill Menu'!$B$23 &amp; "'!" &amp;"$A$4:$CA$100"), VLOOKUP(VLOOKUP("RIDER RATE 7",'Misc. Data &amp; Mechanisms'!$P$601:$S$632,HLOOKUP('Personalized Bill Menu'!$B$23, 'Misc. Data &amp; Mechanisms'!$P$599:$S$600, 2, FALSE), FALSE), 'Misc. Data &amp; Mechanisms'!$L$599:$N$659, 2, FALSE), FALSE)), ""))</f>
        <v/>
      </c>
      <c r="AE85" s="69" t="str">
        <f ca="1">IF($A85="", "",IFERROR(IF(VLOOKUP($A85, INDIRECT("'" &amp; 'Personalized Bill Menu'!$B$23 &amp; "'!" &amp;"$A$4:$CA$100"), VLOOKUP(VLOOKUP("RIDER RATE 8",'Misc. Data &amp; Mechanisms'!$P$601:$S$632,HLOOKUP('Personalized Bill Menu'!$B$23, 'Misc. Data &amp; Mechanisms'!$P$599:$S$600, 2, FALSE), FALSE), 'Misc. Data &amp; Mechanisms'!$L$599:$N$659, 2, FALSE), FALSE) = "", "", VLOOKUP($A85, INDIRECT("'" &amp; 'Personalized Bill Menu'!$B$23 &amp; "'!" &amp;"$A$4:$CA$100"), VLOOKUP(VLOOKUP("RIDER RATE 8",'Misc. Data &amp; Mechanisms'!$P$601:$S$632,HLOOKUP('Personalized Bill Menu'!$B$23, 'Misc. Data &amp; Mechanisms'!$P$599:$S$600, 2, FALSE), FALSE), 'Misc. Data &amp; Mechanisms'!$L$599:$N$659, 2, FALSE), FALSE)), ""))</f>
        <v/>
      </c>
      <c r="AF85" s="69" t="str">
        <f ca="1">IF($A85="", "",IFERROR(IF(VLOOKUP($A85, INDIRECT("'" &amp; 'Personalized Bill Menu'!$B$23 &amp; "'!" &amp;"$A$4:$CA$100"), VLOOKUP(VLOOKUP("RIDER RATE 9",'Misc. Data &amp; Mechanisms'!$P$601:$S$632,HLOOKUP('Personalized Bill Menu'!$B$23, 'Misc. Data &amp; Mechanisms'!$P$599:$S$600, 2, FALSE), FALSE), 'Misc. Data &amp; Mechanisms'!$L$599:$N$659, 2, FALSE), FALSE) = "", "", VLOOKUP($A85, INDIRECT("'" &amp; 'Personalized Bill Menu'!$B$23 &amp; "'!" &amp;"$A$4:$CA$100"), VLOOKUP(VLOOKUP("RIDER RATE 9",'Misc. Data &amp; Mechanisms'!$P$601:$S$632,HLOOKUP('Personalized Bill Menu'!$B$23, 'Misc. Data &amp; Mechanisms'!$P$599:$S$600, 2, FALSE), FALSE), 'Misc. Data &amp; Mechanisms'!$L$599:$N$659, 2, FALSE), FALSE)), ""))</f>
        <v/>
      </c>
      <c r="AG85" s="72">
        <f ca="1">IF($A85="", "", IFERROR(IF('Personalized Bill Menu'!$B$23="ATCO-N", ($X85*$B85) +($Y85*$C85), IF('Personalized Bill Menu'!$B$23="ATCO-S",$X85*$C85, IF($Y85="", ($X85*$H85), ($Y85*($H85+$K85))))), 0))</f>
        <v>0</v>
      </c>
      <c r="AH85" s="72">
        <f ca="1">IF($A85="", "", IFERROR(IF('Personalized Bill Menu'!$B$23="ATCO-S", $Y85*$C85, $Z85*$C85), 0))</f>
        <v>0</v>
      </c>
      <c r="AI85" s="72">
        <f ca="1">IF($A85="", "", IFERROR(IF('Personalized Bill Menu'!$B$23="ATCO-S", ($AA85*$C85)+($Z85*$B85), $AA85*$C85), 0))</f>
        <v>0</v>
      </c>
      <c r="AJ85" s="72">
        <f ca="1">IF($A85="", "", IFERROR(IF('Personalized Bill Menu'!$B$23&lt;&gt;"AltaGas",$AB85*$C85,""),0))</f>
        <v>1.6285605643566039</v>
      </c>
      <c r="AK85" s="72">
        <f ca="1">IF($A85="", "", IFERROR(IF('Personalized Bill Menu'!$B$23="ATCO-S",$AC85*$C85,IF('Personalized Bill Menu'!$B$23="ATCO-N",$AC85*1,"")),0))</f>
        <v>0</v>
      </c>
      <c r="AL85" s="72">
        <f ca="1">IF($A85="", "", IFERROR(IF('Personalized Bill Menu'!$B$23="ATCO-N",$AD85*$B85,IF('Personalized Bill Menu'!$B$23="ATCO-S",$AD85*1,"")),0))</f>
        <v>0</v>
      </c>
      <c r="AM85" s="72">
        <f ca="1">IF($A85="", "", IFERROR(IF('Personalized Bill Menu'!$B$23="ATCO-S",$AE85*$B85,IF('Personalized Bill Menu'!$B$23="ATCO-N",$AE85*$B85,"")),0))</f>
        <v>0</v>
      </c>
      <c r="AN85" s="70">
        <f ca="1">IF($A85="", "", IFERROR(IF('Personalized Bill Menu'!$B$23="ATCO-S",$AF85*$B85,""),0))</f>
        <v>0</v>
      </c>
      <c r="AO85" s="69">
        <f>IF('Personalized Bill Menu'!$B$34="Natural Gas", 'Personalized Bill Menu'!$K82, IF('Personalized Bill Menu'!$B$34="Both",'Personalized Bill Menu'!$O82,""))</f>
        <v>0.249</v>
      </c>
      <c r="AP85" s="70">
        <f t="shared" si="28"/>
        <v>7.7190000000000003</v>
      </c>
      <c r="AQ85" s="89">
        <f ca="1">IF($A85="", "",IF(VLOOKUP($A85, INDIRECT("'" &amp; 'Personalized Bill Menu'!$B$23 &amp; "'!" &amp;"$A$4:$CA$100"), VLOOKUP(VLOOKUP(AQ$5,'Misc. Data &amp; Mechanisms'!$P$601:$S$632,HLOOKUP('Personalized Bill Menu'!$B$23, 'Misc. Data &amp; Mechanisms'!$P$599:$S$600, 2, FALSE), FALSE), 'Misc. Data &amp; Mechanisms'!$L$599:$N$659, 2, FALSE), FALSE) = "", "", VLOOKUP($A85, INDIRECT("'" &amp; 'Personalized Bill Menu'!$B$23 &amp; "'!" &amp;"$A$4:$CA$100"), VLOOKUP(VLOOKUP(AQ$5,'Misc. Data &amp; Mechanisms'!$P$601:$S$632,HLOOKUP('Personalized Bill Menu'!$B$23, 'Misc. Data &amp; Mechanisms'!$P$599:$S$600, 2, FALSE), FALSE), 'Misc. Data &amp; Mechanisms'!$L$599:$N$659, 2, FALSE), FALSE)))</f>
        <v>1.5169999999999999</v>
      </c>
      <c r="AR85" s="70">
        <f t="shared" ca="1" si="29"/>
        <v>4.4433927628218841</v>
      </c>
      <c r="AS85" s="91">
        <f ca="1">IF($A85="", "",IF(VLOOKUP($A85, INDIRECT("'" &amp; 'Personalized Bill Menu'!$B$23 &amp; "'!" &amp;"$A$4:$CA$100"), VLOOKUP(VLOOKUP(AS$5,'Misc. Data &amp; Mechanisms'!$P$601:$S$632,HLOOKUP('Personalized Bill Menu'!$B$23, 'Misc. Data &amp; Mechanisms'!$P$599:$S$600, 2, FALSE), FALSE), 'Misc. Data &amp; Mechanisms'!$L$599:$N$659, 2, FALSE), FALSE) = "", "", VLOOKUP($A85, INDIRECT("'" &amp; 'Personalized Bill Menu'!$B$23 &amp; "'!" &amp;"$A$4:$CA$100"), VLOOKUP(VLOOKUP(AS$5,'Misc. Data &amp; Mechanisms'!$P$601:$S$632,HLOOKUP('Personalized Bill Menu'!$B$23, 'Misc. Data &amp; Mechanisms'!$P$599:$S$600, 2, FALSE), FALSE), 'Misc. Data &amp; Mechanisms'!$L$599:$N$659, 2, FALSE), FALSE)))</f>
        <v>0.05</v>
      </c>
    </row>
    <row r="86" spans="1:45" x14ac:dyDescent="0.3">
      <c r="A86" s="83">
        <f>'Personalized Bill Menu'!$H83</f>
        <v>43313</v>
      </c>
      <c r="B86" s="84">
        <f t="shared" si="19"/>
        <v>31</v>
      </c>
      <c r="C86" s="85">
        <f>IF('Personalized Bill Menu'!$B$34="Natural Gas", 'Personalized Bill Menu'!$I83, IF('Personalized Bill Menu'!$B$34="Both",'Personalized Bill Menu'!$M83,""))</f>
        <v>3.3237503926709211</v>
      </c>
      <c r="D86" s="66">
        <f t="shared" ca="1" si="20"/>
        <v>15.344322018166974</v>
      </c>
      <c r="E86" s="66">
        <f ca="1">IF($C86="Not Applicable", "", IFERROR(IFERROR((1+$AS86)*IF('Personalized Bill Menu'!$B$23="ATCO-N", IF(OR('Personalized Bill Menu'!$B$21="Fort McMurray",AND('Personalized Bill Menu'!$B$21="Spruce Grove", $A86&lt;DATE(2019, 5, 1) )),(((1+IF($T86="",0,$T86))*($N86+$P86))+ (IF($U86="", 0, $U86)*$P86)+(1+IF($T86="",0,$T86)+IF($U86="", 0, $U86))*(SUM($Y86:$AB86))),($N86+((1+IF($T86="",0,$T86)+IF($U86="", 0, $U86))*$P86)+(1+IF($T86="",0,$T86)+IF($U86="", 0, $U86))*(SUM($Y86:$AB86)))), IF('Personalized Bill Menu'!$B$23="ATCO-S",IF(OR('Personalized Bill Menu'!$B$21="Calgary",AND('Personalized Bill Menu'!$B$21="Okotoks", $A86&lt;DATE(2019, 1, 1))),((1+IF($T86="",0,$T86))*($N86+$P86+SUM($X86:$Y86,$AA86:$AC86)))+(IF($U86="",0, $U86)*($P86+SUM($X86:$Y86,$AA86:$AC86))), ((1+IF($T86="",0,$T86))*($P86+SUM($Y86,$AA86:$AC86)))+(IF($U86="",0, $U86)*($P86+SUM($X86:$Y86,$AA86:$AC86)))+$N86+IF($X86="", 0, $X86)),IF(AND('Personalized Bill Menu'!$B$21="Athabasca", $A86&lt;DATE(2019, 5, 1)),((1+IF($T86="",0,$T86)+IF($U86="", 0, $U86))*($N86+((1+SUM($X86:$Y86))*$P86)+SUM($Z86:$AA86))),((1+IF($U86="", 0, $U86))*($N86+((1+SUM($X86:$Y86))*$P86)+SUM($Z86:$AA86))) + (IF($T86="",0,$T86)*(((1+SUM($X86:$Y86))*$P86)+SUM($Z86:$AA86)))))), "")+ IF($AQ86="", 0,((1+$AS86)*$AQ86)), ""))</f>
        <v>4.4511547500000006</v>
      </c>
      <c r="F86" s="118">
        <f t="shared" ca="1" si="21"/>
        <v>51.000696333151538</v>
      </c>
      <c r="G86" s="115">
        <f t="shared" si="15"/>
        <v>3.855550455498268</v>
      </c>
      <c r="H86" s="66">
        <f t="shared" ca="1" si="16"/>
        <v>26.526632788220457</v>
      </c>
      <c r="I86" s="66">
        <f t="shared" ca="1" si="17"/>
        <v>3.5807739381330617</v>
      </c>
      <c r="J86" s="66">
        <f t="shared" ca="1" si="22"/>
        <v>1.8480052183250324</v>
      </c>
      <c r="K86" s="66">
        <f t="shared" si="18"/>
        <v>7.7190000000000003</v>
      </c>
      <c r="L86" s="66">
        <f t="shared" ca="1" si="23"/>
        <v>5.0421293456817873</v>
      </c>
      <c r="M86" s="68">
        <f t="shared" ca="1" si="24"/>
        <v>2.4286045872929307</v>
      </c>
      <c r="N86" s="1290">
        <f>IF('Personalized Bill Menu'!$B$34="Natural Gas", 'Personalized Bill Menu'!$J83, IF('Personalized Bill Menu'!$B$34="Both",'Personalized Bill Menu'!$N83,""))</f>
        <v>1.1599999999999999</v>
      </c>
      <c r="O86" s="70">
        <f t="shared" si="25"/>
        <v>3.855550455498268</v>
      </c>
      <c r="P86" s="89">
        <f ca="1">IF($A86="", "",IFERROR(IF(VLOOKUP($A86, INDIRECT("'" &amp; 'Personalized Bill Menu'!$B$23 &amp; "'!" &amp;"$A$4:$CA$100"), VLOOKUP(VLOOKUP(P$5,'Misc. Data &amp; Mechanisms'!$P$601:$S$632,HLOOKUP('Personalized Bill Menu'!$B$23, 'Misc. Data &amp; Mechanisms'!$P$599:$S$600, 2, FALSE), FALSE), 'Misc. Data &amp; Mechanisms'!$L$599:$N$659, 2, FALSE), FALSE) = "", "", VLOOKUP($A86, INDIRECT("'" &amp; 'Personalized Bill Menu'!$B$23 &amp; "'!" &amp;"$A$4:$CA$100"), VLOOKUP(VLOOKUP(P$5,'Misc. Data &amp; Mechanisms'!$P$601:$S$632,HLOOKUP('Personalized Bill Menu'!$B$23, 'Misc. Data &amp; Mechanisms'!$P$599:$S$600, 2, FALSE), FALSE), 'Misc. Data &amp; Mechanisms'!$L$599:$N$659, 2, FALSE), FALSE)), ""))</f>
        <v>0.73399999999999999</v>
      </c>
      <c r="Q86" s="69">
        <f ca="1">IF($A86="", "",IFERROR(IF(VLOOKUP($A86, INDIRECT("'" &amp; 'Personalized Bill Menu'!$B$23 &amp; "'!" &amp;"$A$4:$CA$100"), VLOOKUP(VLOOKUP(Q$5,'Misc. Data &amp; Mechanisms'!$P$601:$S$632,HLOOKUP('Personalized Bill Menu'!$B$23, 'Misc. Data &amp; Mechanisms'!$P$599:$S$600, 2, FALSE), FALSE), 'Misc. Data &amp; Mechanisms'!$L$599:$N$659, 2, FALSE), FALSE) = "", "", VLOOKUP($A86, INDIRECT("'" &amp; 'Personalized Bill Menu'!$B$23 &amp; "'!" &amp;"$A$4:$CA$100"), VLOOKUP(VLOOKUP(Q$5,'Misc. Data &amp; Mechanisms'!$P$601:$S$632,HLOOKUP('Personalized Bill Menu'!$B$23, 'Misc. Data &amp; Mechanisms'!$P$599:$S$600, 2, FALSE), FALSE), 'Misc. Data &amp; Mechanisms'!$L$599:$N$659, 2, FALSE), FALSE)), ""))</f>
        <v>0.77700000000000002</v>
      </c>
      <c r="R86" s="72">
        <f t="shared" ca="1" si="26"/>
        <v>2.439632788220456</v>
      </c>
      <c r="S86" s="70">
        <f t="shared" ca="1" si="27"/>
        <v>24.087</v>
      </c>
      <c r="T86" s="78">
        <f>IFERROR(IF(VLOOKUP($A86,'Misc. Data &amp; Mechanisms'!$A$63:$DY$152,HLOOKUP('Personalized Bill Menu'!$B$21&amp;"_"&amp;'Personalized Bill Menu'!$B$23&amp;"_NG_Y_1",'Misc. Data &amp; Mechanisms'!$A$55:$DY$62,8,FALSE), FALSE)="", "", VLOOKUP($A86,'Misc. Data &amp; Mechanisms'!$A$63:$DY$152,HLOOKUP('Personalized Bill Menu'!$B$21&amp;"_"&amp;'Personalized Bill Menu'!$B$23&amp;"_NG_Y_1",'Misc. Data &amp; Mechanisms'!$A$55:$DY$62,8,FALSE), FALSE)), "")</f>
        <v>0.1111</v>
      </c>
      <c r="U86" s="78" t="str">
        <f>IFERROR(IF(VLOOKUP($A86,'Misc. Data &amp; Mechanisms'!$A$63:$DY$152,HLOOKUP('Personalized Bill Menu'!$B$21&amp;"_"&amp;'Personalized Bill Menu'!$B$23&amp;"_NG_Y_2",'Misc. Data &amp; Mechanisms'!$A$55:$DY$62,8,FALSE), FALSE)="", "",VLOOKUP($A86,'Misc. Data &amp; Mechanisms'!$A$63:$DY$152,HLOOKUP('Personalized Bill Menu'!$B$21&amp;"_"&amp;'Personalized Bill Menu'!$B$23&amp;"_NG_Y_2",'Misc. Data &amp; Mechanisms'!$A$55:$DY$62,8,FALSE), FALSE)), "")</f>
        <v/>
      </c>
      <c r="V86" s="72">
        <f ca="1">IF($A86="", "", IFERROR(IF('Personalized Bill Menu'!$B$23="ATCO-N", IF(OR('Personalized Bill Menu'!$B$21="Fort McMurray",AND('Personalized Bill Menu'!$B$21="Spruce Grove", $A86&lt;DATE(2019, 5, 1))),$T86*($G86+$H86+$J86),$T86*($H86+$J86)), IF('Personalized Bill Menu'!$B$23="ATCO-S",IF(OR('Personalized Bill Menu'!$B$21="Calgary",AND('Personalized Bill Menu'!$B$21="Okotoks", $A86&lt;DATE(2019, 1, 1))),$T86*($G86+$H86+$J86), $T86*($H86+$J86-$AG86)),IF(AND('Personalized Bill Menu'!$B$21="Athabasca", $A86&lt;DATE(2019, 5, 1)),$T86*($G86+$H86+$J86+$K86),$T86*($H86+$J86+$K86)))),0))</f>
        <v>3.5807739381330617</v>
      </c>
      <c r="W86" s="72">
        <f ca="1">IF($A86="", "", IFERROR(IF('Personalized Bill Menu'!$B$23="ATCO-N", $U86*($H86+$J86), IF('Personalized Bill Menu'!$B$23="ATCO-S",$U86*($H86+$J86),$U86*($G86+$H86+$J86+$K86))),0))</f>
        <v>0</v>
      </c>
      <c r="X86" s="89" t="str">
        <f ca="1">IF($A86="", "",IFERROR(IF(VLOOKUP($A86, INDIRECT("'" &amp; 'Personalized Bill Menu'!$B$23 &amp; "'!" &amp;"$A$4:$CA$100"), VLOOKUP(VLOOKUP("RIDER RATE 1",'Misc. Data &amp; Mechanisms'!$P$601:$S$632,HLOOKUP('Personalized Bill Menu'!$B$23, 'Misc. Data &amp; Mechanisms'!$P$599:$S$600, 2, FALSE), FALSE), 'Misc. Data &amp; Mechanisms'!$L$599:$N$659, 2, FALSE), FALSE) = "", "", VLOOKUP($A86, INDIRECT("'" &amp; 'Personalized Bill Menu'!$B$23 &amp; "'!" &amp;"$A$4:$CA$100"), VLOOKUP(VLOOKUP("RIDER RATE 1",'Misc. Data &amp; Mechanisms'!$P$601:$S$632,HLOOKUP('Personalized Bill Menu'!$B$23, 'Misc. Data &amp; Mechanisms'!$P$599:$S$600, 2, FALSE), FALSE), 'Misc. Data &amp; Mechanisms'!$L$599:$N$659, 2, FALSE), FALSE)), ""))</f>
        <v/>
      </c>
      <c r="Y86" s="69" t="str">
        <f ca="1">IF($A86="", "",IFERROR(IF(VLOOKUP($A86, INDIRECT("'" &amp; 'Personalized Bill Menu'!$B$23 &amp; "'!" &amp;"$A$4:$CA$100"), VLOOKUP(VLOOKUP("RIDER RATE 2",'Misc. Data &amp; Mechanisms'!$P$601:$S$632,HLOOKUP('Personalized Bill Menu'!$B$23, 'Misc. Data &amp; Mechanisms'!$P$599:$S$600, 2, FALSE), FALSE), 'Misc. Data &amp; Mechanisms'!$L$599:$N$659, 2, FALSE), FALSE) = "", "", VLOOKUP($A86, INDIRECT("'" &amp; 'Personalized Bill Menu'!$B$23 &amp; "'!" &amp;"$A$4:$CA$100"), VLOOKUP(VLOOKUP("RIDER RATE 2",'Misc. Data &amp; Mechanisms'!$P$601:$S$632,HLOOKUP('Personalized Bill Menu'!$B$23, 'Misc. Data &amp; Mechanisms'!$P$599:$S$600, 2, FALSE), FALSE), 'Misc. Data &amp; Mechanisms'!$L$599:$N$659, 2, FALSE), FALSE)), ""))</f>
        <v/>
      </c>
      <c r="Z86" s="69" t="str">
        <f ca="1">IF($A86="", "",IFERROR(IF(VLOOKUP($A86, INDIRECT("'" &amp; 'Personalized Bill Menu'!$B$23 &amp; "'!" &amp;"$A$4:$CA$100"), VLOOKUP(VLOOKUP("RIDER RATE 3",'Misc. Data &amp; Mechanisms'!$P$601:$S$632,HLOOKUP('Personalized Bill Menu'!$B$23, 'Misc. Data &amp; Mechanisms'!$P$599:$S$600, 2, FALSE), FALSE), 'Misc. Data &amp; Mechanisms'!$L$599:$N$659, 2, FALSE), FALSE) = "", "", VLOOKUP($A86, INDIRECT("'" &amp; 'Personalized Bill Menu'!$B$23 &amp; "'!" &amp;"$A$4:$CA$100"), VLOOKUP(VLOOKUP("RIDER RATE 3",'Misc. Data &amp; Mechanisms'!$P$601:$S$632,HLOOKUP('Personalized Bill Menu'!$B$23, 'Misc. Data &amp; Mechanisms'!$P$599:$S$600, 2, FALSE), FALSE), 'Misc. Data &amp; Mechanisms'!$L$599:$N$659, 2, FALSE), FALSE)), ""))</f>
        <v/>
      </c>
      <c r="AA86" s="69" t="str">
        <f ca="1">IF($A86="", "",IFERROR(IF(VLOOKUP($A86, INDIRECT("'" &amp; 'Personalized Bill Menu'!$B$23 &amp; "'!" &amp;"$A$4:$CA$100"), VLOOKUP(VLOOKUP("RIDER RATE 4",'Misc. Data &amp; Mechanisms'!$P$601:$S$632,HLOOKUP('Personalized Bill Menu'!$B$23, 'Misc. Data &amp; Mechanisms'!$P$599:$S$600, 2, FALSE), FALSE), 'Misc. Data &amp; Mechanisms'!$L$599:$N$659, 2, FALSE), FALSE) = "", "", VLOOKUP($A86, INDIRECT("'" &amp; 'Personalized Bill Menu'!$B$23 &amp; "'!" &amp;"$A$4:$CA$100"), VLOOKUP(VLOOKUP("RIDER RATE 4",'Misc. Data &amp; Mechanisms'!$P$601:$S$632,HLOOKUP('Personalized Bill Menu'!$B$23, 'Misc. Data &amp; Mechanisms'!$P$599:$S$600, 2, FALSE), FALSE), 'Misc. Data &amp; Mechanisms'!$L$599:$N$659, 2, FALSE), FALSE)), ""))</f>
        <v/>
      </c>
      <c r="AB86" s="69">
        <f ca="1">IF($A86="", "",IFERROR(IF(VLOOKUP($A86, INDIRECT("'" &amp; 'Personalized Bill Menu'!$B$23 &amp; "'!" &amp;"$A$4:$CA$100"), VLOOKUP(VLOOKUP("RIDER RATE 5",'Misc. Data &amp; Mechanisms'!$P$601:$S$632,HLOOKUP('Personalized Bill Menu'!$B$23, 'Misc. Data &amp; Mechanisms'!$P$599:$S$600, 2, FALSE), FALSE), 'Misc. Data &amp; Mechanisms'!$L$599:$N$659, 2, FALSE), FALSE) = "", "", VLOOKUP($A86, INDIRECT("'" &amp; 'Personalized Bill Menu'!$B$23 &amp; "'!" &amp;"$A$4:$CA$100"), VLOOKUP(VLOOKUP("RIDER RATE 5",'Misc. Data &amp; Mechanisms'!$P$601:$S$632,HLOOKUP('Personalized Bill Menu'!$B$23, 'Misc. Data &amp; Mechanisms'!$P$599:$S$600, 2, FALSE), FALSE), 'Misc. Data &amp; Mechanisms'!$L$599:$N$659, 2, FALSE), FALSE)), ""))</f>
        <v>0.55600000000000005</v>
      </c>
      <c r="AC86" s="69" t="str">
        <f ca="1">IF($A86="", "",IFERROR(IF(VLOOKUP($A86, INDIRECT("'" &amp; 'Personalized Bill Menu'!$B$23 &amp; "'!" &amp;"$A$4:$CA$100"), VLOOKUP(VLOOKUP("RIDER RATE 6",'Misc. Data &amp; Mechanisms'!$P$601:$S$632,HLOOKUP('Personalized Bill Menu'!$B$23, 'Misc. Data &amp; Mechanisms'!$P$599:$S$600, 2, FALSE), FALSE), 'Misc. Data &amp; Mechanisms'!$L$599:$N$659, 2, FALSE), FALSE) = "", "", VLOOKUP($A86, INDIRECT("'" &amp; 'Personalized Bill Menu'!$B$23 &amp; "'!" &amp;"$A$4:$CA$100"), VLOOKUP(VLOOKUP("RIDER RATE 6",'Misc. Data &amp; Mechanisms'!$P$601:$S$632,HLOOKUP('Personalized Bill Menu'!$B$23, 'Misc. Data &amp; Mechanisms'!$P$599:$S$600, 2, FALSE), FALSE), 'Misc. Data &amp; Mechanisms'!$L$599:$N$659, 2, FALSE), FALSE)), ""))</f>
        <v/>
      </c>
      <c r="AD86" s="69" t="str">
        <f ca="1">IF($A86="", "",IFERROR(IF(VLOOKUP($A86, INDIRECT("'" &amp; 'Personalized Bill Menu'!$B$23 &amp; "'!" &amp;"$A$4:$CA$100"), VLOOKUP(VLOOKUP("RIDER RATE 7",'Misc. Data &amp; Mechanisms'!$P$601:$S$632,HLOOKUP('Personalized Bill Menu'!$B$23, 'Misc. Data &amp; Mechanisms'!$P$599:$S$600, 2, FALSE), FALSE), 'Misc. Data &amp; Mechanisms'!$L$599:$N$659, 2, FALSE), FALSE) = "", "", VLOOKUP($A86, INDIRECT("'" &amp; 'Personalized Bill Menu'!$B$23 &amp; "'!" &amp;"$A$4:$CA$100"), VLOOKUP(VLOOKUP("RIDER RATE 7",'Misc. Data &amp; Mechanisms'!$P$601:$S$632,HLOOKUP('Personalized Bill Menu'!$B$23, 'Misc. Data &amp; Mechanisms'!$P$599:$S$600, 2, FALSE), FALSE), 'Misc. Data &amp; Mechanisms'!$L$599:$N$659, 2, FALSE), FALSE)), ""))</f>
        <v/>
      </c>
      <c r="AE86" s="69" t="str">
        <f ca="1">IF($A86="", "",IFERROR(IF(VLOOKUP($A86, INDIRECT("'" &amp; 'Personalized Bill Menu'!$B$23 &amp; "'!" &amp;"$A$4:$CA$100"), VLOOKUP(VLOOKUP("RIDER RATE 8",'Misc. Data &amp; Mechanisms'!$P$601:$S$632,HLOOKUP('Personalized Bill Menu'!$B$23, 'Misc. Data &amp; Mechanisms'!$P$599:$S$600, 2, FALSE), FALSE), 'Misc. Data &amp; Mechanisms'!$L$599:$N$659, 2, FALSE), FALSE) = "", "", VLOOKUP($A86, INDIRECT("'" &amp; 'Personalized Bill Menu'!$B$23 &amp; "'!" &amp;"$A$4:$CA$100"), VLOOKUP(VLOOKUP("RIDER RATE 8",'Misc. Data &amp; Mechanisms'!$P$601:$S$632,HLOOKUP('Personalized Bill Menu'!$B$23, 'Misc. Data &amp; Mechanisms'!$P$599:$S$600, 2, FALSE), FALSE), 'Misc. Data &amp; Mechanisms'!$L$599:$N$659, 2, FALSE), FALSE)), ""))</f>
        <v/>
      </c>
      <c r="AF86" s="69" t="str">
        <f ca="1">IF($A86="", "",IFERROR(IF(VLOOKUP($A86, INDIRECT("'" &amp; 'Personalized Bill Menu'!$B$23 &amp; "'!" &amp;"$A$4:$CA$100"), VLOOKUP(VLOOKUP("RIDER RATE 9",'Misc. Data &amp; Mechanisms'!$P$601:$S$632,HLOOKUP('Personalized Bill Menu'!$B$23, 'Misc. Data &amp; Mechanisms'!$P$599:$S$600, 2, FALSE), FALSE), 'Misc. Data &amp; Mechanisms'!$L$599:$N$659, 2, FALSE), FALSE) = "", "", VLOOKUP($A86, INDIRECT("'" &amp; 'Personalized Bill Menu'!$B$23 &amp; "'!" &amp;"$A$4:$CA$100"), VLOOKUP(VLOOKUP("RIDER RATE 9",'Misc. Data &amp; Mechanisms'!$P$601:$S$632,HLOOKUP('Personalized Bill Menu'!$B$23, 'Misc. Data &amp; Mechanisms'!$P$599:$S$600, 2, FALSE), FALSE), 'Misc. Data &amp; Mechanisms'!$L$599:$N$659, 2, FALSE), FALSE)), ""))</f>
        <v/>
      </c>
      <c r="AG86" s="72">
        <f ca="1">IF($A86="", "", IFERROR(IF('Personalized Bill Menu'!$B$23="ATCO-N", ($X86*$B86) +($Y86*$C86), IF('Personalized Bill Menu'!$B$23="ATCO-S",$X86*$C86, IF($Y86="", ($X86*$H86), ($Y86*($H86+$K86))))), 0))</f>
        <v>0</v>
      </c>
      <c r="AH86" s="72">
        <f ca="1">IF($A86="", "", IFERROR(IF('Personalized Bill Menu'!$B$23="ATCO-S", $Y86*$C86, $Z86*$C86), 0))</f>
        <v>0</v>
      </c>
      <c r="AI86" s="72">
        <f ca="1">IF($A86="", "", IFERROR(IF('Personalized Bill Menu'!$B$23="ATCO-S", ($AA86*$C86)+($Z86*$B86), $AA86*$C86), 0))</f>
        <v>0</v>
      </c>
      <c r="AJ86" s="72">
        <f ca="1">IF($A86="", "", IFERROR(IF('Personalized Bill Menu'!$B$23&lt;&gt;"AltaGas",$AB86*$C86,""),0))</f>
        <v>1.8480052183250324</v>
      </c>
      <c r="AK86" s="72">
        <f ca="1">IF($A86="", "", IFERROR(IF('Personalized Bill Menu'!$B$23="ATCO-S",$AC86*$C86,IF('Personalized Bill Menu'!$B$23="ATCO-N",$AC86*1,"")),0))</f>
        <v>0</v>
      </c>
      <c r="AL86" s="72">
        <f ca="1">IF($A86="", "", IFERROR(IF('Personalized Bill Menu'!$B$23="ATCO-N",$AD86*$B86,IF('Personalized Bill Menu'!$B$23="ATCO-S",$AD86*1,"")),0))</f>
        <v>0</v>
      </c>
      <c r="AM86" s="72">
        <f ca="1">IF($A86="", "", IFERROR(IF('Personalized Bill Menu'!$B$23="ATCO-S",$AE86*$B86,IF('Personalized Bill Menu'!$B$23="ATCO-N",$AE86*$B86,"")),0))</f>
        <v>0</v>
      </c>
      <c r="AN86" s="70">
        <f ca="1">IF($A86="", "", IFERROR(IF('Personalized Bill Menu'!$B$23="ATCO-S",$AF86*$B86,""),0))</f>
        <v>0</v>
      </c>
      <c r="AO86" s="69">
        <f>IF('Personalized Bill Menu'!$B$34="Natural Gas", 'Personalized Bill Menu'!$K83, IF('Personalized Bill Menu'!$B$34="Both",'Personalized Bill Menu'!$O83,""))</f>
        <v>0.249</v>
      </c>
      <c r="AP86" s="70">
        <f t="shared" si="28"/>
        <v>7.7190000000000003</v>
      </c>
      <c r="AQ86" s="89">
        <f ca="1">IF($A86="", "",IF(VLOOKUP($A86, INDIRECT("'" &amp; 'Personalized Bill Menu'!$B$23 &amp; "'!" &amp;"$A$4:$CA$100"), VLOOKUP(VLOOKUP(AQ$5,'Misc. Data &amp; Mechanisms'!$P$601:$S$632,HLOOKUP('Personalized Bill Menu'!$B$23, 'Misc. Data &amp; Mechanisms'!$P$599:$S$600, 2, FALSE), FALSE), 'Misc. Data &amp; Mechanisms'!$L$599:$N$659, 2, FALSE), FALSE) = "", "", VLOOKUP($A86, INDIRECT("'" &amp; 'Personalized Bill Menu'!$B$23 &amp; "'!" &amp;"$A$4:$CA$100"), VLOOKUP(VLOOKUP(AQ$5,'Misc. Data &amp; Mechanisms'!$P$601:$S$632,HLOOKUP('Personalized Bill Menu'!$B$23, 'Misc. Data &amp; Mechanisms'!$P$599:$S$600, 2, FALSE), FALSE), 'Misc. Data &amp; Mechanisms'!$L$599:$N$659, 2, FALSE), FALSE)))</f>
        <v>1.5169999999999999</v>
      </c>
      <c r="AR86" s="70">
        <f t="shared" ca="1" si="29"/>
        <v>5.0421293456817873</v>
      </c>
      <c r="AS86" s="91">
        <f ca="1">IF($A86="", "",IF(VLOOKUP($A86, INDIRECT("'" &amp; 'Personalized Bill Menu'!$B$23 &amp; "'!" &amp;"$A$4:$CA$100"), VLOOKUP(VLOOKUP(AS$5,'Misc. Data &amp; Mechanisms'!$P$601:$S$632,HLOOKUP('Personalized Bill Menu'!$B$23, 'Misc. Data &amp; Mechanisms'!$P$599:$S$600, 2, FALSE), FALSE), 'Misc. Data &amp; Mechanisms'!$L$599:$N$659, 2, FALSE), FALSE) = "", "", VLOOKUP($A86, INDIRECT("'" &amp; 'Personalized Bill Menu'!$B$23 &amp; "'!" &amp;"$A$4:$CA$100"), VLOOKUP(VLOOKUP(AS$5,'Misc. Data &amp; Mechanisms'!$P$601:$S$632,HLOOKUP('Personalized Bill Menu'!$B$23, 'Misc. Data &amp; Mechanisms'!$P$599:$S$600, 2, FALSE), FALSE), 'Misc. Data &amp; Mechanisms'!$L$599:$N$659, 2, FALSE), FALSE)))</f>
        <v>0.05</v>
      </c>
    </row>
    <row r="87" spans="1:45" x14ac:dyDescent="0.3">
      <c r="A87" s="83">
        <f>'Personalized Bill Menu'!$H84</f>
        <v>43344</v>
      </c>
      <c r="B87" s="84">
        <f t="shared" si="19"/>
        <v>30</v>
      </c>
      <c r="C87" s="85">
        <f>IF('Personalized Bill Menu'!$B$34="Natural Gas", 'Personalized Bill Menu'!$I84, IF('Personalized Bill Menu'!$B$34="Both",'Personalized Bill Menu'!$M84,""))</f>
        <v>7.8744686576995928</v>
      </c>
      <c r="D87" s="66">
        <f t="shared" ca="1" si="20"/>
        <v>8.9660864535150537</v>
      </c>
      <c r="E87" s="66">
        <f ca="1">IF($C87="Not Applicable", "", IFERROR(IFERROR((1+$AS87)*IF('Personalized Bill Menu'!$B$23="ATCO-N", IF(OR('Personalized Bill Menu'!$B$21="Fort McMurray",AND('Personalized Bill Menu'!$B$21="Spruce Grove", $A87&lt;DATE(2019, 5, 1) )),(((1+IF($T87="",0,$T87))*($N87+$P87))+ (IF($U87="", 0, $U87)*$P87)+(1+IF($T87="",0,$T87)+IF($U87="", 0, $U87))*(SUM($Y87:$AB87))),($N87+((1+IF($T87="",0,$T87)+IF($U87="", 0, $U87))*$P87)+(1+IF($T87="",0,$T87)+IF($U87="", 0, $U87))*(SUM($Y87:$AB87)))), IF('Personalized Bill Menu'!$B$23="ATCO-S",IF(OR('Personalized Bill Menu'!$B$21="Calgary",AND('Personalized Bill Menu'!$B$21="Okotoks", $A87&lt;DATE(2019, 1, 1))),((1+IF($T87="",0,$T87))*($N87+$P87+SUM($X87:$Y87,$AA87:$AC87)))+(IF($U87="",0, $U87)*($P87+SUM($X87:$Y87,$AA87:$AC87))), ((1+IF($T87="",0,$T87))*($P87+SUM($Y87,$AA87:$AC87)))+(IF($U87="",0, $U87)*($P87+SUM($X87:$Y87,$AA87:$AC87)))+$N87+IF($X87="", 0, $X87)),IF(AND('Personalized Bill Menu'!$B$21="Athabasca", $A87&lt;DATE(2019, 5, 1)),((1+IF($T87="",0,$T87)+IF($U87="", 0, $U87))*($N87+((1+SUM($X87:$Y87))*$P87)+SUM($Z87:$AA87))),((1+IF($U87="", 0, $U87))*($N87+((1+SUM($X87:$Y87))*$P87)+SUM($Z87:$AA87))) + (IF($T87="",0,$T87)*(((1+SUM($X87:$Y87))*$P87)+SUM($Z87:$AA87)))))), "")+ IF($AQ87="", 0,((1+$AS87)*$AQ87)), ""))</f>
        <v>4.5164874299999997</v>
      </c>
      <c r="F87" s="118">
        <f t="shared" ca="1" si="21"/>
        <v>70.60316676042919</v>
      </c>
      <c r="G87" s="115">
        <f t="shared" si="15"/>
        <v>10.402173096821162</v>
      </c>
      <c r="H87" s="66">
        <f t="shared" ca="1" si="16"/>
        <v>29.089859994751503</v>
      </c>
      <c r="I87" s="66">
        <f t="shared" ca="1" si="17"/>
        <v>4.7821237904832854</v>
      </c>
      <c r="J87" s="66">
        <f t="shared" ca="1" si="22"/>
        <v>3.5513853646225169</v>
      </c>
      <c r="K87" s="66">
        <f t="shared" si="18"/>
        <v>7.47</v>
      </c>
      <c r="L87" s="66">
        <f t="shared" ca="1" si="23"/>
        <v>11.945568953730282</v>
      </c>
      <c r="M87" s="68">
        <f t="shared" ca="1" si="24"/>
        <v>3.3620555600204378</v>
      </c>
      <c r="N87" s="1290">
        <f>IF('Personalized Bill Menu'!$B$34="Natural Gas", 'Personalized Bill Menu'!$J84, IF('Personalized Bill Menu'!$B$34="Both",'Personalized Bill Menu'!$N84,""))</f>
        <v>1.321</v>
      </c>
      <c r="O87" s="70">
        <f t="shared" si="25"/>
        <v>10.402173096821162</v>
      </c>
      <c r="P87" s="89">
        <f ca="1">IF($A87="", "",IFERROR(IF(VLOOKUP($A87, INDIRECT("'" &amp; 'Personalized Bill Menu'!$B$23 &amp; "'!" &amp;"$A$4:$CA$100"), VLOOKUP(VLOOKUP(P$5,'Misc. Data &amp; Mechanisms'!$P$601:$S$632,HLOOKUP('Personalized Bill Menu'!$B$23, 'Misc. Data &amp; Mechanisms'!$P$599:$S$600, 2, FALSE), FALSE), 'Misc. Data &amp; Mechanisms'!$L$599:$N$659, 2, FALSE), FALSE) = "", "", VLOOKUP($A87, INDIRECT("'" &amp; 'Personalized Bill Menu'!$B$23 &amp; "'!" &amp;"$A$4:$CA$100"), VLOOKUP(VLOOKUP(P$5,'Misc. Data &amp; Mechanisms'!$P$601:$S$632,HLOOKUP('Personalized Bill Menu'!$B$23, 'Misc. Data &amp; Mechanisms'!$P$599:$S$600, 2, FALSE), FALSE), 'Misc. Data &amp; Mechanisms'!$L$599:$N$659, 2, FALSE), FALSE)), ""))</f>
        <v>0.73399999999999999</v>
      </c>
      <c r="Q87" s="69">
        <f ca="1">IF($A87="", "",IFERROR(IF(VLOOKUP($A87, INDIRECT("'" &amp; 'Personalized Bill Menu'!$B$23 &amp; "'!" &amp;"$A$4:$CA$100"), VLOOKUP(VLOOKUP(Q$5,'Misc. Data &amp; Mechanisms'!$P$601:$S$632,HLOOKUP('Personalized Bill Menu'!$B$23, 'Misc. Data &amp; Mechanisms'!$P$599:$S$600, 2, FALSE), FALSE), 'Misc. Data &amp; Mechanisms'!$L$599:$N$659, 2, FALSE), FALSE) = "", "", VLOOKUP($A87, INDIRECT("'" &amp; 'Personalized Bill Menu'!$B$23 &amp; "'!" &amp;"$A$4:$CA$100"), VLOOKUP(VLOOKUP(Q$5,'Misc. Data &amp; Mechanisms'!$P$601:$S$632,HLOOKUP('Personalized Bill Menu'!$B$23, 'Misc. Data &amp; Mechanisms'!$P$599:$S$600, 2, FALSE), FALSE), 'Misc. Data &amp; Mechanisms'!$L$599:$N$659, 2, FALSE), FALSE)), ""))</f>
        <v>0.77700000000000002</v>
      </c>
      <c r="R87" s="72">
        <f t="shared" ca="1" si="26"/>
        <v>5.7798599947515008</v>
      </c>
      <c r="S87" s="70">
        <f t="shared" ca="1" si="27"/>
        <v>23.310000000000002</v>
      </c>
      <c r="T87" s="78">
        <f>IFERROR(IF(VLOOKUP($A87,'Misc. Data &amp; Mechanisms'!$A$63:$DY$152,HLOOKUP('Personalized Bill Menu'!$B$21&amp;"_"&amp;'Personalized Bill Menu'!$B$23&amp;"_NG_Y_1",'Misc. Data &amp; Mechanisms'!$A$55:$DY$62,8,FALSE), FALSE)="", "", VLOOKUP($A87,'Misc. Data &amp; Mechanisms'!$A$63:$DY$152,HLOOKUP('Personalized Bill Menu'!$B$21&amp;"_"&amp;'Personalized Bill Menu'!$B$23&amp;"_NG_Y_1",'Misc. Data &amp; Mechanisms'!$A$55:$DY$62,8,FALSE), FALSE)), "")</f>
        <v>0.1111</v>
      </c>
      <c r="U87" s="78" t="str">
        <f>IFERROR(IF(VLOOKUP($A87,'Misc. Data &amp; Mechanisms'!$A$63:$DY$152,HLOOKUP('Personalized Bill Menu'!$B$21&amp;"_"&amp;'Personalized Bill Menu'!$B$23&amp;"_NG_Y_2",'Misc. Data &amp; Mechanisms'!$A$55:$DY$62,8,FALSE), FALSE)="", "",VLOOKUP($A87,'Misc. Data &amp; Mechanisms'!$A$63:$DY$152,HLOOKUP('Personalized Bill Menu'!$B$21&amp;"_"&amp;'Personalized Bill Menu'!$B$23&amp;"_NG_Y_2",'Misc. Data &amp; Mechanisms'!$A$55:$DY$62,8,FALSE), FALSE)), "")</f>
        <v/>
      </c>
      <c r="V87" s="72">
        <f ca="1">IF($A87="", "", IFERROR(IF('Personalized Bill Menu'!$B$23="ATCO-N", IF(OR('Personalized Bill Menu'!$B$21="Fort McMurray",AND('Personalized Bill Menu'!$B$21="Spruce Grove", $A87&lt;DATE(2019, 5, 1))),$T87*($G87+$H87+$J87),$T87*($H87+$J87)), IF('Personalized Bill Menu'!$B$23="ATCO-S",IF(OR('Personalized Bill Menu'!$B$21="Calgary",AND('Personalized Bill Menu'!$B$21="Okotoks", $A87&lt;DATE(2019, 1, 1))),$T87*($G87+$H87+$J87), $T87*($H87+$J87-$AG87)),IF(AND('Personalized Bill Menu'!$B$21="Athabasca", $A87&lt;DATE(2019, 5, 1)),$T87*($G87+$H87+$J87+$K87),$T87*($H87+$J87+$K87)))),0))</f>
        <v>4.7821237904832854</v>
      </c>
      <c r="W87" s="72">
        <f ca="1">IF($A87="", "", IFERROR(IF('Personalized Bill Menu'!$B$23="ATCO-N", $U87*($H87+$J87), IF('Personalized Bill Menu'!$B$23="ATCO-S",$U87*($H87+$J87),$U87*($G87+$H87+$J87+$K87))),0))</f>
        <v>0</v>
      </c>
      <c r="X87" s="89" t="str">
        <f ca="1">IF($A87="", "",IFERROR(IF(VLOOKUP($A87, INDIRECT("'" &amp; 'Personalized Bill Menu'!$B$23 &amp; "'!" &amp;"$A$4:$CA$100"), VLOOKUP(VLOOKUP("RIDER RATE 1",'Misc. Data &amp; Mechanisms'!$P$601:$S$632,HLOOKUP('Personalized Bill Menu'!$B$23, 'Misc. Data &amp; Mechanisms'!$P$599:$S$600, 2, FALSE), FALSE), 'Misc. Data &amp; Mechanisms'!$L$599:$N$659, 2, FALSE), FALSE) = "", "", VLOOKUP($A87, INDIRECT("'" &amp; 'Personalized Bill Menu'!$B$23 &amp; "'!" &amp;"$A$4:$CA$100"), VLOOKUP(VLOOKUP("RIDER RATE 1",'Misc. Data &amp; Mechanisms'!$P$601:$S$632,HLOOKUP('Personalized Bill Menu'!$B$23, 'Misc. Data &amp; Mechanisms'!$P$599:$S$600, 2, FALSE), FALSE), 'Misc. Data &amp; Mechanisms'!$L$599:$N$659, 2, FALSE), FALSE)), ""))</f>
        <v/>
      </c>
      <c r="Y87" s="69" t="str">
        <f ca="1">IF($A87="", "",IFERROR(IF(VLOOKUP($A87, INDIRECT("'" &amp; 'Personalized Bill Menu'!$B$23 &amp; "'!" &amp;"$A$4:$CA$100"), VLOOKUP(VLOOKUP("RIDER RATE 2",'Misc. Data &amp; Mechanisms'!$P$601:$S$632,HLOOKUP('Personalized Bill Menu'!$B$23, 'Misc. Data &amp; Mechanisms'!$P$599:$S$600, 2, FALSE), FALSE), 'Misc. Data &amp; Mechanisms'!$L$599:$N$659, 2, FALSE), FALSE) = "", "", VLOOKUP($A87, INDIRECT("'" &amp; 'Personalized Bill Menu'!$B$23 &amp; "'!" &amp;"$A$4:$CA$100"), VLOOKUP(VLOOKUP("RIDER RATE 2",'Misc. Data &amp; Mechanisms'!$P$601:$S$632,HLOOKUP('Personalized Bill Menu'!$B$23, 'Misc. Data &amp; Mechanisms'!$P$599:$S$600, 2, FALSE), FALSE), 'Misc. Data &amp; Mechanisms'!$L$599:$N$659, 2, FALSE), FALSE)), ""))</f>
        <v/>
      </c>
      <c r="Z87" s="69" t="str">
        <f ca="1">IF($A87="", "",IFERROR(IF(VLOOKUP($A87, INDIRECT("'" &amp; 'Personalized Bill Menu'!$B$23 &amp; "'!" &amp;"$A$4:$CA$100"), VLOOKUP(VLOOKUP("RIDER RATE 3",'Misc. Data &amp; Mechanisms'!$P$601:$S$632,HLOOKUP('Personalized Bill Menu'!$B$23, 'Misc. Data &amp; Mechanisms'!$P$599:$S$600, 2, FALSE), FALSE), 'Misc. Data &amp; Mechanisms'!$L$599:$N$659, 2, FALSE), FALSE) = "", "", VLOOKUP($A87, INDIRECT("'" &amp; 'Personalized Bill Menu'!$B$23 &amp; "'!" &amp;"$A$4:$CA$100"), VLOOKUP(VLOOKUP("RIDER RATE 3",'Misc. Data &amp; Mechanisms'!$P$601:$S$632,HLOOKUP('Personalized Bill Menu'!$B$23, 'Misc. Data &amp; Mechanisms'!$P$599:$S$600, 2, FALSE), FALSE), 'Misc. Data &amp; Mechanisms'!$L$599:$N$659, 2, FALSE), FALSE)), ""))</f>
        <v/>
      </c>
      <c r="AA87" s="69" t="str">
        <f ca="1">IF($A87="", "",IFERROR(IF(VLOOKUP($A87, INDIRECT("'" &amp; 'Personalized Bill Menu'!$B$23 &amp; "'!" &amp;"$A$4:$CA$100"), VLOOKUP(VLOOKUP("RIDER RATE 4",'Misc. Data &amp; Mechanisms'!$P$601:$S$632,HLOOKUP('Personalized Bill Menu'!$B$23, 'Misc. Data &amp; Mechanisms'!$P$599:$S$600, 2, FALSE), FALSE), 'Misc. Data &amp; Mechanisms'!$L$599:$N$659, 2, FALSE), FALSE) = "", "", VLOOKUP($A87, INDIRECT("'" &amp; 'Personalized Bill Menu'!$B$23 &amp; "'!" &amp;"$A$4:$CA$100"), VLOOKUP(VLOOKUP("RIDER RATE 4",'Misc. Data &amp; Mechanisms'!$P$601:$S$632,HLOOKUP('Personalized Bill Menu'!$B$23, 'Misc. Data &amp; Mechanisms'!$P$599:$S$600, 2, FALSE), FALSE), 'Misc. Data &amp; Mechanisms'!$L$599:$N$659, 2, FALSE), FALSE)), ""))</f>
        <v/>
      </c>
      <c r="AB87" s="69">
        <f ca="1">IF($A87="", "",IFERROR(IF(VLOOKUP($A87, INDIRECT("'" &amp; 'Personalized Bill Menu'!$B$23 &amp; "'!" &amp;"$A$4:$CA$100"), VLOOKUP(VLOOKUP("RIDER RATE 5",'Misc. Data &amp; Mechanisms'!$P$601:$S$632,HLOOKUP('Personalized Bill Menu'!$B$23, 'Misc. Data &amp; Mechanisms'!$P$599:$S$600, 2, FALSE), FALSE), 'Misc. Data &amp; Mechanisms'!$L$599:$N$659, 2, FALSE), FALSE) = "", "", VLOOKUP($A87, INDIRECT("'" &amp; 'Personalized Bill Menu'!$B$23 &amp; "'!" &amp;"$A$4:$CA$100"), VLOOKUP(VLOOKUP("RIDER RATE 5",'Misc. Data &amp; Mechanisms'!$P$601:$S$632,HLOOKUP('Personalized Bill Menu'!$B$23, 'Misc. Data &amp; Mechanisms'!$P$599:$S$600, 2, FALSE), FALSE), 'Misc. Data &amp; Mechanisms'!$L$599:$N$659, 2, FALSE), FALSE)), ""))</f>
        <v>0.55600000000000005</v>
      </c>
      <c r="AC87" s="69">
        <f ca="1">IF($A87="", "",IFERROR(IF(VLOOKUP($A87, INDIRECT("'" &amp; 'Personalized Bill Menu'!$B$23 &amp; "'!" &amp;"$A$4:$CA$100"), VLOOKUP(VLOOKUP("RIDER RATE 6",'Misc. Data &amp; Mechanisms'!$P$601:$S$632,HLOOKUP('Personalized Bill Menu'!$B$23, 'Misc. Data &amp; Mechanisms'!$P$599:$S$600, 2, FALSE), FALSE), 'Misc. Data &amp; Mechanisms'!$L$599:$N$659, 2, FALSE), FALSE) = "", "", VLOOKUP($A87, INDIRECT("'" &amp; 'Personalized Bill Menu'!$B$23 &amp; "'!" &amp;"$A$4:$CA$100"), VLOOKUP(VLOOKUP("RIDER RATE 6",'Misc. Data &amp; Mechanisms'!$P$601:$S$632,HLOOKUP('Personalized Bill Menu'!$B$23, 'Misc. Data &amp; Mechanisms'!$P$599:$S$600, 2, FALSE), FALSE), 'Misc. Data &amp; Mechanisms'!$L$599:$N$659, 2, FALSE), FALSE)), ""))</f>
        <v>-0.105</v>
      </c>
      <c r="AD87" s="69" t="str">
        <f ca="1">IF($A87="", "",IFERROR(IF(VLOOKUP($A87, INDIRECT("'" &amp; 'Personalized Bill Menu'!$B$23 &amp; "'!" &amp;"$A$4:$CA$100"), VLOOKUP(VLOOKUP("RIDER RATE 7",'Misc. Data &amp; Mechanisms'!$P$601:$S$632,HLOOKUP('Personalized Bill Menu'!$B$23, 'Misc. Data &amp; Mechanisms'!$P$599:$S$600, 2, FALSE), FALSE), 'Misc. Data &amp; Mechanisms'!$L$599:$N$659, 2, FALSE), FALSE) = "", "", VLOOKUP($A87, INDIRECT("'" &amp; 'Personalized Bill Menu'!$B$23 &amp; "'!" &amp;"$A$4:$CA$100"), VLOOKUP(VLOOKUP("RIDER RATE 7",'Misc. Data &amp; Mechanisms'!$P$601:$S$632,HLOOKUP('Personalized Bill Menu'!$B$23, 'Misc. Data &amp; Mechanisms'!$P$599:$S$600, 2, FALSE), FALSE), 'Misc. Data &amp; Mechanisms'!$L$599:$N$659, 2, FALSE), FALSE)), ""))</f>
        <v/>
      </c>
      <c r="AE87" s="69" t="str">
        <f ca="1">IF($A87="", "",IFERROR(IF(VLOOKUP($A87, INDIRECT("'" &amp; 'Personalized Bill Menu'!$B$23 &amp; "'!" &amp;"$A$4:$CA$100"), VLOOKUP(VLOOKUP("RIDER RATE 8",'Misc. Data &amp; Mechanisms'!$P$601:$S$632,HLOOKUP('Personalized Bill Menu'!$B$23, 'Misc. Data &amp; Mechanisms'!$P$599:$S$600, 2, FALSE), FALSE), 'Misc. Data &amp; Mechanisms'!$L$599:$N$659, 2, FALSE), FALSE) = "", "", VLOOKUP($A87, INDIRECT("'" &amp; 'Personalized Bill Menu'!$B$23 &amp; "'!" &amp;"$A$4:$CA$100"), VLOOKUP(VLOOKUP("RIDER RATE 8",'Misc. Data &amp; Mechanisms'!$P$601:$S$632,HLOOKUP('Personalized Bill Menu'!$B$23, 'Misc. Data &amp; Mechanisms'!$P$599:$S$600, 2, FALSE), FALSE), 'Misc. Data &amp; Mechanisms'!$L$599:$N$659, 2, FALSE), FALSE)), ""))</f>
        <v/>
      </c>
      <c r="AF87" s="69" t="str">
        <f ca="1">IF($A87="", "",IFERROR(IF(VLOOKUP($A87, INDIRECT("'" &amp; 'Personalized Bill Menu'!$B$23 &amp; "'!" &amp;"$A$4:$CA$100"), VLOOKUP(VLOOKUP("RIDER RATE 9",'Misc. Data &amp; Mechanisms'!$P$601:$S$632,HLOOKUP('Personalized Bill Menu'!$B$23, 'Misc. Data &amp; Mechanisms'!$P$599:$S$600, 2, FALSE), FALSE), 'Misc. Data &amp; Mechanisms'!$L$599:$N$659, 2, FALSE), FALSE) = "", "", VLOOKUP($A87, INDIRECT("'" &amp; 'Personalized Bill Menu'!$B$23 &amp; "'!" &amp;"$A$4:$CA$100"), VLOOKUP(VLOOKUP("RIDER RATE 9",'Misc. Data &amp; Mechanisms'!$P$601:$S$632,HLOOKUP('Personalized Bill Menu'!$B$23, 'Misc. Data &amp; Mechanisms'!$P$599:$S$600, 2, FALSE), FALSE), 'Misc. Data &amp; Mechanisms'!$L$599:$N$659, 2, FALSE), FALSE)), ""))</f>
        <v/>
      </c>
      <c r="AG87" s="72">
        <f ca="1">IF($A87="", "", IFERROR(IF('Personalized Bill Menu'!$B$23="ATCO-N", ($X87*$B87) +($Y87*$C87), IF('Personalized Bill Menu'!$B$23="ATCO-S",$X87*$C87, IF($Y87="", ($X87*$H87), ($Y87*($H87+$K87))))), 0))</f>
        <v>0</v>
      </c>
      <c r="AH87" s="72">
        <f ca="1">IF($A87="", "", IFERROR(IF('Personalized Bill Menu'!$B$23="ATCO-S", $Y87*$C87, $Z87*$C87), 0))</f>
        <v>0</v>
      </c>
      <c r="AI87" s="72">
        <f ca="1">IF($A87="", "", IFERROR(IF('Personalized Bill Menu'!$B$23="ATCO-S", ($AA87*$C87)+($Z87*$B87), $AA87*$C87), 0))</f>
        <v>0</v>
      </c>
      <c r="AJ87" s="72">
        <f ca="1">IF($A87="", "", IFERROR(IF('Personalized Bill Menu'!$B$23&lt;&gt;"AltaGas",$AB87*$C87,""),0))</f>
        <v>4.378204573680974</v>
      </c>
      <c r="AK87" s="72">
        <f ca="1">IF($A87="", "", IFERROR(IF('Personalized Bill Menu'!$B$23="ATCO-S",$AC87*$C87,IF('Personalized Bill Menu'!$B$23="ATCO-N",$AC87*1,"")),0))</f>
        <v>-0.82681920905845718</v>
      </c>
      <c r="AL87" s="72">
        <f ca="1">IF($A87="", "", IFERROR(IF('Personalized Bill Menu'!$B$23="ATCO-N",$AD87*$B87,IF('Personalized Bill Menu'!$B$23="ATCO-S",$AD87*1,"")),0))</f>
        <v>0</v>
      </c>
      <c r="AM87" s="72">
        <f ca="1">IF($A87="", "", IFERROR(IF('Personalized Bill Menu'!$B$23="ATCO-S",$AE87*$B87,IF('Personalized Bill Menu'!$B$23="ATCO-N",$AE87*$B87,"")),0))</f>
        <v>0</v>
      </c>
      <c r="AN87" s="70">
        <f ca="1">IF($A87="", "", IFERROR(IF('Personalized Bill Menu'!$B$23="ATCO-S",$AF87*$B87,""),0))</f>
        <v>0</v>
      </c>
      <c r="AO87" s="69">
        <f>IF('Personalized Bill Menu'!$B$34="Natural Gas", 'Personalized Bill Menu'!$K84, IF('Personalized Bill Menu'!$B$34="Both",'Personalized Bill Menu'!$O84,""))</f>
        <v>0.249</v>
      </c>
      <c r="AP87" s="70">
        <f t="shared" si="28"/>
        <v>7.47</v>
      </c>
      <c r="AQ87" s="89">
        <f ca="1">IF($A87="", "",IF(VLOOKUP($A87, INDIRECT("'" &amp; 'Personalized Bill Menu'!$B$23 &amp; "'!" &amp;"$A$4:$CA$100"), VLOOKUP(VLOOKUP(AQ$5,'Misc. Data &amp; Mechanisms'!$P$601:$S$632,HLOOKUP('Personalized Bill Menu'!$B$23, 'Misc. Data &amp; Mechanisms'!$P$599:$S$600, 2, FALSE), FALSE), 'Misc. Data &amp; Mechanisms'!$L$599:$N$659, 2, FALSE), FALSE) = "", "", VLOOKUP($A87, INDIRECT("'" &amp; 'Personalized Bill Menu'!$B$23 &amp; "'!" &amp;"$A$4:$CA$100"), VLOOKUP(VLOOKUP(AQ$5,'Misc. Data &amp; Mechanisms'!$P$601:$S$632,HLOOKUP('Personalized Bill Menu'!$B$23, 'Misc. Data &amp; Mechanisms'!$P$599:$S$600, 2, FALSE), FALSE), 'Misc. Data &amp; Mechanisms'!$L$599:$N$659, 2, FALSE), FALSE)))</f>
        <v>1.5169999999999999</v>
      </c>
      <c r="AR87" s="70">
        <f t="shared" ca="1" si="29"/>
        <v>11.945568953730282</v>
      </c>
      <c r="AS87" s="91">
        <f ca="1">IF($A87="", "",IF(VLOOKUP($A87, INDIRECT("'" &amp; 'Personalized Bill Menu'!$B$23 &amp; "'!" &amp;"$A$4:$CA$100"), VLOOKUP(VLOOKUP(AS$5,'Misc. Data &amp; Mechanisms'!$P$601:$S$632,HLOOKUP('Personalized Bill Menu'!$B$23, 'Misc. Data &amp; Mechanisms'!$P$599:$S$600, 2, FALSE), FALSE), 'Misc. Data &amp; Mechanisms'!$L$599:$N$659, 2, FALSE), FALSE) = "", "", VLOOKUP($A87, INDIRECT("'" &amp; 'Personalized Bill Menu'!$B$23 &amp; "'!" &amp;"$A$4:$CA$100"), VLOOKUP(VLOOKUP(AS$5,'Misc. Data &amp; Mechanisms'!$P$601:$S$632,HLOOKUP('Personalized Bill Menu'!$B$23, 'Misc. Data &amp; Mechanisms'!$P$599:$S$600, 2, FALSE), FALSE), 'Misc. Data &amp; Mechanisms'!$L$599:$N$659, 2, FALSE), FALSE)))</f>
        <v>0.05</v>
      </c>
    </row>
    <row r="88" spans="1:45" x14ac:dyDescent="0.3">
      <c r="A88" s="83">
        <f>'Personalized Bill Menu'!$H85</f>
        <v>43374</v>
      </c>
      <c r="B88" s="84">
        <f t="shared" si="19"/>
        <v>31</v>
      </c>
      <c r="C88" s="85">
        <f>IF('Personalized Bill Menu'!$B$34="Natural Gas", 'Personalized Bill Menu'!$I85, IF('Personalized Bill Menu'!$B$34="Both",'Personalized Bill Menu'!$M85,""))</f>
        <v>11.141358321688704</v>
      </c>
      <c r="D88" s="66">
        <f t="shared" ca="1" si="20"/>
        <v>7.8345583544785828</v>
      </c>
      <c r="E88" s="66">
        <f ca="1">IF($C88="Not Applicable", "", IFERROR(IFERROR((1+$AS88)*IF('Personalized Bill Menu'!$B$23="ATCO-N", IF(OR('Personalized Bill Menu'!$B$21="Fort McMurray",AND('Personalized Bill Menu'!$B$21="Spruce Grove", $A88&lt;DATE(2019, 5, 1) )),(((1+IF($T88="",0,$T88))*($N88+$P88))+ (IF($U88="", 0, $U88)*$P88)+(1+IF($T88="",0,$T88)+IF($U88="", 0, $U88))*(SUM($Y88:$AB88))),($N88+((1+IF($T88="",0,$T88)+IF($U88="", 0, $U88))*$P88)+(1+IF($T88="",0,$T88)+IF($U88="", 0, $U88))*(SUM($Y88:$AB88)))), IF('Personalized Bill Menu'!$B$23="ATCO-S",IF(OR('Personalized Bill Menu'!$B$21="Calgary",AND('Personalized Bill Menu'!$B$21="Okotoks", $A88&lt;DATE(2019, 1, 1))),((1+IF($T88="",0,$T88))*($N88+$P88+SUM($X88:$Y88,$AA88:$AC88)))+(IF($U88="",0, $U88)*($P88+SUM($X88:$Y88,$AA88:$AC88))), ((1+IF($T88="",0,$T88))*($P88+SUM($Y88,$AA88:$AC88)))+(IF($U88="",0, $U88)*($P88+SUM($X88:$Y88,$AA88:$AC88)))+$N88+IF($X88="", 0, $X88)),IF(AND('Personalized Bill Menu'!$B$21="Athabasca", $A88&lt;DATE(2019, 5, 1)),((1+IF($T88="",0,$T88)+IF($U88="", 0, $U88))*($N88+((1+SUM($X88:$Y88))*$P88)+SUM($Z88:$AA88))),((1+IF($U88="", 0, $U88))*($N88+((1+SUM($X88:$Y88))*$P88)+SUM($Z88:$AA88))) + (IF($T88="",0,$T88)*(((1+SUM($X88:$Y88))*$P88)+SUM($Z88:$AA88)))))), "")+ IF($AQ88="", 0,((1+$AS88)*$AQ88)), ""))</f>
        <v>4.5176540850000002</v>
      </c>
      <c r="F88" s="118">
        <f t="shared" ca="1" si="21"/>
        <v>87.287621919425717</v>
      </c>
      <c r="G88" s="115">
        <f t="shared" si="15"/>
        <v>14.728875701272468</v>
      </c>
      <c r="H88" s="66">
        <f t="shared" ca="1" si="16"/>
        <v>32.26475700811951</v>
      </c>
      <c r="I88" s="66">
        <f t="shared" ca="1" si="17"/>
        <v>5.7792426082158155</v>
      </c>
      <c r="J88" s="66">
        <f t="shared" ca="1" si="22"/>
        <v>5.0247526030816072</v>
      </c>
      <c r="K88" s="66">
        <f t="shared" si="18"/>
        <v>8.4320000000000004</v>
      </c>
      <c r="L88" s="66">
        <f t="shared" ca="1" si="23"/>
        <v>16.901440574001764</v>
      </c>
      <c r="M88" s="68">
        <f t="shared" ca="1" si="24"/>
        <v>4.1565534247345584</v>
      </c>
      <c r="N88" s="1290">
        <f>IF('Personalized Bill Menu'!$B$34="Natural Gas", 'Personalized Bill Menu'!$J85, IF('Personalized Bill Menu'!$B$34="Both",'Personalized Bill Menu'!$N85,""))</f>
        <v>1.3220000000000001</v>
      </c>
      <c r="O88" s="70">
        <f t="shared" si="25"/>
        <v>14.728875701272468</v>
      </c>
      <c r="P88" s="89">
        <f ca="1">IF($A88="", "",IFERROR(IF(VLOOKUP($A88, INDIRECT("'" &amp; 'Personalized Bill Menu'!$B$23 &amp; "'!" &amp;"$A$4:$CA$100"), VLOOKUP(VLOOKUP(P$5,'Misc. Data &amp; Mechanisms'!$P$601:$S$632,HLOOKUP('Personalized Bill Menu'!$B$23, 'Misc. Data &amp; Mechanisms'!$P$599:$S$600, 2, FALSE), FALSE), 'Misc. Data &amp; Mechanisms'!$L$599:$N$659, 2, FALSE), FALSE) = "", "", VLOOKUP($A88, INDIRECT("'" &amp; 'Personalized Bill Menu'!$B$23 &amp; "'!" &amp;"$A$4:$CA$100"), VLOOKUP(VLOOKUP(P$5,'Misc. Data &amp; Mechanisms'!$P$601:$S$632,HLOOKUP('Personalized Bill Menu'!$B$23, 'Misc. Data &amp; Mechanisms'!$P$599:$S$600, 2, FALSE), FALSE), 'Misc. Data &amp; Mechanisms'!$L$599:$N$659, 2, FALSE), FALSE)), ""))</f>
        <v>0.73399999999999999</v>
      </c>
      <c r="Q88" s="69">
        <f ca="1">IF($A88="", "",IFERROR(IF(VLOOKUP($A88, INDIRECT("'" &amp; 'Personalized Bill Menu'!$B$23 &amp; "'!" &amp;"$A$4:$CA$100"), VLOOKUP(VLOOKUP(Q$5,'Misc. Data &amp; Mechanisms'!$P$601:$S$632,HLOOKUP('Personalized Bill Menu'!$B$23, 'Misc. Data &amp; Mechanisms'!$P$599:$S$600, 2, FALSE), FALSE), 'Misc. Data &amp; Mechanisms'!$L$599:$N$659, 2, FALSE), FALSE) = "", "", VLOOKUP($A88, INDIRECT("'" &amp; 'Personalized Bill Menu'!$B$23 &amp; "'!" &amp;"$A$4:$CA$100"), VLOOKUP(VLOOKUP(Q$5,'Misc. Data &amp; Mechanisms'!$P$601:$S$632,HLOOKUP('Personalized Bill Menu'!$B$23, 'Misc. Data &amp; Mechanisms'!$P$599:$S$600, 2, FALSE), FALSE), 'Misc. Data &amp; Mechanisms'!$L$599:$N$659, 2, FALSE), FALSE)), ""))</f>
        <v>0.77700000000000002</v>
      </c>
      <c r="R88" s="72">
        <f t="shared" ca="1" si="26"/>
        <v>8.1777570081195083</v>
      </c>
      <c r="S88" s="70">
        <f t="shared" ca="1" si="27"/>
        <v>24.087</v>
      </c>
      <c r="T88" s="78">
        <f>IFERROR(IF(VLOOKUP($A88,'Misc. Data &amp; Mechanisms'!$A$63:$DY$152,HLOOKUP('Personalized Bill Menu'!$B$21&amp;"_"&amp;'Personalized Bill Menu'!$B$23&amp;"_NG_Y_1",'Misc. Data &amp; Mechanisms'!$A$55:$DY$62,8,FALSE), FALSE)="", "", VLOOKUP($A88,'Misc. Data &amp; Mechanisms'!$A$63:$DY$152,HLOOKUP('Personalized Bill Menu'!$B$21&amp;"_"&amp;'Personalized Bill Menu'!$B$23&amp;"_NG_Y_1",'Misc. Data &amp; Mechanisms'!$A$55:$DY$62,8,FALSE), FALSE)), "")</f>
        <v>0.1111</v>
      </c>
      <c r="U88" s="78" t="str">
        <f>IFERROR(IF(VLOOKUP($A88,'Misc. Data &amp; Mechanisms'!$A$63:$DY$152,HLOOKUP('Personalized Bill Menu'!$B$21&amp;"_"&amp;'Personalized Bill Menu'!$B$23&amp;"_NG_Y_2",'Misc. Data &amp; Mechanisms'!$A$55:$DY$62,8,FALSE), FALSE)="", "",VLOOKUP($A88,'Misc. Data &amp; Mechanisms'!$A$63:$DY$152,HLOOKUP('Personalized Bill Menu'!$B$21&amp;"_"&amp;'Personalized Bill Menu'!$B$23&amp;"_NG_Y_2",'Misc. Data &amp; Mechanisms'!$A$55:$DY$62,8,FALSE), FALSE)), "")</f>
        <v/>
      </c>
      <c r="V88" s="72">
        <f ca="1">IF($A88="", "", IFERROR(IF('Personalized Bill Menu'!$B$23="ATCO-N", IF(OR('Personalized Bill Menu'!$B$21="Fort McMurray",AND('Personalized Bill Menu'!$B$21="Spruce Grove", $A88&lt;DATE(2019, 5, 1))),$T88*($G88+$H88+$J88),$T88*($H88+$J88)), IF('Personalized Bill Menu'!$B$23="ATCO-S",IF(OR('Personalized Bill Menu'!$B$21="Calgary",AND('Personalized Bill Menu'!$B$21="Okotoks", $A88&lt;DATE(2019, 1, 1))),$T88*($G88+$H88+$J88), $T88*($H88+$J88-$AG88)),IF(AND('Personalized Bill Menu'!$B$21="Athabasca", $A88&lt;DATE(2019, 5, 1)),$T88*($G88+$H88+$J88+$K88),$T88*($H88+$J88+$K88)))),0))</f>
        <v>5.7792426082158155</v>
      </c>
      <c r="W88" s="72">
        <f ca="1">IF($A88="", "", IFERROR(IF('Personalized Bill Menu'!$B$23="ATCO-N", $U88*($H88+$J88), IF('Personalized Bill Menu'!$B$23="ATCO-S",$U88*($H88+$J88),$U88*($G88+$H88+$J88+$K88))),0))</f>
        <v>0</v>
      </c>
      <c r="X88" s="89" t="str">
        <f ca="1">IF($A88="", "",IFERROR(IF(VLOOKUP($A88, INDIRECT("'" &amp; 'Personalized Bill Menu'!$B$23 &amp; "'!" &amp;"$A$4:$CA$100"), VLOOKUP(VLOOKUP("RIDER RATE 1",'Misc. Data &amp; Mechanisms'!$P$601:$S$632,HLOOKUP('Personalized Bill Menu'!$B$23, 'Misc. Data &amp; Mechanisms'!$P$599:$S$600, 2, FALSE), FALSE), 'Misc. Data &amp; Mechanisms'!$L$599:$N$659, 2, FALSE), FALSE) = "", "", VLOOKUP($A88, INDIRECT("'" &amp; 'Personalized Bill Menu'!$B$23 &amp; "'!" &amp;"$A$4:$CA$100"), VLOOKUP(VLOOKUP("RIDER RATE 1",'Misc. Data &amp; Mechanisms'!$P$601:$S$632,HLOOKUP('Personalized Bill Menu'!$B$23, 'Misc. Data &amp; Mechanisms'!$P$599:$S$600, 2, FALSE), FALSE), 'Misc. Data &amp; Mechanisms'!$L$599:$N$659, 2, FALSE), FALSE)), ""))</f>
        <v/>
      </c>
      <c r="Y88" s="69" t="str">
        <f ca="1">IF($A88="", "",IFERROR(IF(VLOOKUP($A88, INDIRECT("'" &amp; 'Personalized Bill Menu'!$B$23 &amp; "'!" &amp;"$A$4:$CA$100"), VLOOKUP(VLOOKUP("RIDER RATE 2",'Misc. Data &amp; Mechanisms'!$P$601:$S$632,HLOOKUP('Personalized Bill Menu'!$B$23, 'Misc. Data &amp; Mechanisms'!$P$599:$S$600, 2, FALSE), FALSE), 'Misc. Data &amp; Mechanisms'!$L$599:$N$659, 2, FALSE), FALSE) = "", "", VLOOKUP($A88, INDIRECT("'" &amp; 'Personalized Bill Menu'!$B$23 &amp; "'!" &amp;"$A$4:$CA$100"), VLOOKUP(VLOOKUP("RIDER RATE 2",'Misc. Data &amp; Mechanisms'!$P$601:$S$632,HLOOKUP('Personalized Bill Menu'!$B$23, 'Misc. Data &amp; Mechanisms'!$P$599:$S$600, 2, FALSE), FALSE), 'Misc. Data &amp; Mechanisms'!$L$599:$N$659, 2, FALSE), FALSE)), ""))</f>
        <v/>
      </c>
      <c r="Z88" s="69" t="str">
        <f ca="1">IF($A88="", "",IFERROR(IF(VLOOKUP($A88, INDIRECT("'" &amp; 'Personalized Bill Menu'!$B$23 &amp; "'!" &amp;"$A$4:$CA$100"), VLOOKUP(VLOOKUP("RIDER RATE 3",'Misc. Data &amp; Mechanisms'!$P$601:$S$632,HLOOKUP('Personalized Bill Menu'!$B$23, 'Misc. Data &amp; Mechanisms'!$P$599:$S$600, 2, FALSE), FALSE), 'Misc. Data &amp; Mechanisms'!$L$599:$N$659, 2, FALSE), FALSE) = "", "", VLOOKUP($A88, INDIRECT("'" &amp; 'Personalized Bill Menu'!$B$23 &amp; "'!" &amp;"$A$4:$CA$100"), VLOOKUP(VLOOKUP("RIDER RATE 3",'Misc. Data &amp; Mechanisms'!$P$601:$S$632,HLOOKUP('Personalized Bill Menu'!$B$23, 'Misc. Data &amp; Mechanisms'!$P$599:$S$600, 2, FALSE), FALSE), 'Misc. Data &amp; Mechanisms'!$L$599:$N$659, 2, FALSE), FALSE)), ""))</f>
        <v/>
      </c>
      <c r="AA88" s="69" t="str">
        <f ca="1">IF($A88="", "",IFERROR(IF(VLOOKUP($A88, INDIRECT("'" &amp; 'Personalized Bill Menu'!$B$23 &amp; "'!" &amp;"$A$4:$CA$100"), VLOOKUP(VLOOKUP("RIDER RATE 4",'Misc. Data &amp; Mechanisms'!$P$601:$S$632,HLOOKUP('Personalized Bill Menu'!$B$23, 'Misc. Data &amp; Mechanisms'!$P$599:$S$600, 2, FALSE), FALSE), 'Misc. Data &amp; Mechanisms'!$L$599:$N$659, 2, FALSE), FALSE) = "", "", VLOOKUP($A88, INDIRECT("'" &amp; 'Personalized Bill Menu'!$B$23 &amp; "'!" &amp;"$A$4:$CA$100"), VLOOKUP(VLOOKUP("RIDER RATE 4",'Misc. Data &amp; Mechanisms'!$P$601:$S$632,HLOOKUP('Personalized Bill Menu'!$B$23, 'Misc. Data &amp; Mechanisms'!$P$599:$S$600, 2, FALSE), FALSE), 'Misc. Data &amp; Mechanisms'!$L$599:$N$659, 2, FALSE), FALSE)), ""))</f>
        <v/>
      </c>
      <c r="AB88" s="69">
        <f ca="1">IF($A88="", "",IFERROR(IF(VLOOKUP($A88, INDIRECT("'" &amp; 'Personalized Bill Menu'!$B$23 &amp; "'!" &amp;"$A$4:$CA$100"), VLOOKUP(VLOOKUP("RIDER RATE 5",'Misc. Data &amp; Mechanisms'!$P$601:$S$632,HLOOKUP('Personalized Bill Menu'!$B$23, 'Misc. Data &amp; Mechanisms'!$P$599:$S$600, 2, FALSE), FALSE), 'Misc. Data &amp; Mechanisms'!$L$599:$N$659, 2, FALSE), FALSE) = "", "", VLOOKUP($A88, INDIRECT("'" &amp; 'Personalized Bill Menu'!$B$23 &amp; "'!" &amp;"$A$4:$CA$100"), VLOOKUP(VLOOKUP("RIDER RATE 5",'Misc. Data &amp; Mechanisms'!$P$601:$S$632,HLOOKUP('Personalized Bill Menu'!$B$23, 'Misc. Data &amp; Mechanisms'!$P$599:$S$600, 2, FALSE), FALSE), 'Misc. Data &amp; Mechanisms'!$L$599:$N$659, 2, FALSE), FALSE)), ""))</f>
        <v>0.55600000000000005</v>
      </c>
      <c r="AC88" s="69">
        <f ca="1">IF($A88="", "",IFERROR(IF(VLOOKUP($A88, INDIRECT("'" &amp; 'Personalized Bill Menu'!$B$23 &amp; "'!" &amp;"$A$4:$CA$100"), VLOOKUP(VLOOKUP("RIDER RATE 6",'Misc. Data &amp; Mechanisms'!$P$601:$S$632,HLOOKUP('Personalized Bill Menu'!$B$23, 'Misc. Data &amp; Mechanisms'!$P$599:$S$600, 2, FALSE), FALSE), 'Misc. Data &amp; Mechanisms'!$L$599:$N$659, 2, FALSE), FALSE) = "", "", VLOOKUP($A88, INDIRECT("'" &amp; 'Personalized Bill Menu'!$B$23 &amp; "'!" &amp;"$A$4:$CA$100"), VLOOKUP(VLOOKUP("RIDER RATE 6",'Misc. Data &amp; Mechanisms'!$P$601:$S$632,HLOOKUP('Personalized Bill Menu'!$B$23, 'Misc. Data &amp; Mechanisms'!$P$599:$S$600, 2, FALSE), FALSE), 'Misc. Data &amp; Mechanisms'!$L$599:$N$659, 2, FALSE), FALSE)), ""))</f>
        <v>-0.105</v>
      </c>
      <c r="AD88" s="69" t="str">
        <f ca="1">IF($A88="", "",IFERROR(IF(VLOOKUP($A88, INDIRECT("'" &amp; 'Personalized Bill Menu'!$B$23 &amp; "'!" &amp;"$A$4:$CA$100"), VLOOKUP(VLOOKUP("RIDER RATE 7",'Misc. Data &amp; Mechanisms'!$P$601:$S$632,HLOOKUP('Personalized Bill Menu'!$B$23, 'Misc. Data &amp; Mechanisms'!$P$599:$S$600, 2, FALSE), FALSE), 'Misc. Data &amp; Mechanisms'!$L$599:$N$659, 2, FALSE), FALSE) = "", "", VLOOKUP($A88, INDIRECT("'" &amp; 'Personalized Bill Menu'!$B$23 &amp; "'!" &amp;"$A$4:$CA$100"), VLOOKUP(VLOOKUP("RIDER RATE 7",'Misc. Data &amp; Mechanisms'!$P$601:$S$632,HLOOKUP('Personalized Bill Menu'!$B$23, 'Misc. Data &amp; Mechanisms'!$P$599:$S$600, 2, FALSE), FALSE), 'Misc. Data &amp; Mechanisms'!$L$599:$N$659, 2, FALSE), FALSE)), ""))</f>
        <v/>
      </c>
      <c r="AE88" s="69" t="str">
        <f ca="1">IF($A88="", "",IFERROR(IF(VLOOKUP($A88, INDIRECT("'" &amp; 'Personalized Bill Menu'!$B$23 &amp; "'!" &amp;"$A$4:$CA$100"), VLOOKUP(VLOOKUP("RIDER RATE 8",'Misc. Data &amp; Mechanisms'!$P$601:$S$632,HLOOKUP('Personalized Bill Menu'!$B$23, 'Misc. Data &amp; Mechanisms'!$P$599:$S$600, 2, FALSE), FALSE), 'Misc. Data &amp; Mechanisms'!$L$599:$N$659, 2, FALSE), FALSE) = "", "", VLOOKUP($A88, INDIRECT("'" &amp; 'Personalized Bill Menu'!$B$23 &amp; "'!" &amp;"$A$4:$CA$100"), VLOOKUP(VLOOKUP("RIDER RATE 8",'Misc. Data &amp; Mechanisms'!$P$601:$S$632,HLOOKUP('Personalized Bill Menu'!$B$23, 'Misc. Data &amp; Mechanisms'!$P$599:$S$600, 2, FALSE), FALSE), 'Misc. Data &amp; Mechanisms'!$L$599:$N$659, 2, FALSE), FALSE)), ""))</f>
        <v/>
      </c>
      <c r="AF88" s="69" t="str">
        <f ca="1">IF($A88="", "",IFERROR(IF(VLOOKUP($A88, INDIRECT("'" &amp; 'Personalized Bill Menu'!$B$23 &amp; "'!" &amp;"$A$4:$CA$100"), VLOOKUP(VLOOKUP("RIDER RATE 9",'Misc. Data &amp; Mechanisms'!$P$601:$S$632,HLOOKUP('Personalized Bill Menu'!$B$23, 'Misc. Data &amp; Mechanisms'!$P$599:$S$600, 2, FALSE), FALSE), 'Misc. Data &amp; Mechanisms'!$L$599:$N$659, 2, FALSE), FALSE) = "", "", VLOOKUP($A88, INDIRECT("'" &amp; 'Personalized Bill Menu'!$B$23 &amp; "'!" &amp;"$A$4:$CA$100"), VLOOKUP(VLOOKUP("RIDER RATE 9",'Misc. Data &amp; Mechanisms'!$P$601:$S$632,HLOOKUP('Personalized Bill Menu'!$B$23, 'Misc. Data &amp; Mechanisms'!$P$599:$S$600, 2, FALSE), FALSE), 'Misc. Data &amp; Mechanisms'!$L$599:$N$659, 2, FALSE), FALSE)), ""))</f>
        <v/>
      </c>
      <c r="AG88" s="72">
        <f ca="1">IF($A88="", "", IFERROR(IF('Personalized Bill Menu'!$B$23="ATCO-N", ($X88*$B88) +($Y88*$C88), IF('Personalized Bill Menu'!$B$23="ATCO-S",$X88*$C88, IF($Y88="", ($X88*$H88), ($Y88*($H88+$K88))))), 0))</f>
        <v>0</v>
      </c>
      <c r="AH88" s="72">
        <f ca="1">IF($A88="", "", IFERROR(IF('Personalized Bill Menu'!$B$23="ATCO-S", $Y88*$C88, $Z88*$C88), 0))</f>
        <v>0</v>
      </c>
      <c r="AI88" s="72">
        <f ca="1">IF($A88="", "", IFERROR(IF('Personalized Bill Menu'!$B$23="ATCO-S", ($AA88*$C88)+($Z88*$B88), $AA88*$C88), 0))</f>
        <v>0</v>
      </c>
      <c r="AJ88" s="72">
        <f ca="1">IF($A88="", "", IFERROR(IF('Personalized Bill Menu'!$B$23&lt;&gt;"AltaGas",$AB88*$C88,""),0))</f>
        <v>6.1945952268589206</v>
      </c>
      <c r="AK88" s="72">
        <f ca="1">IF($A88="", "", IFERROR(IF('Personalized Bill Menu'!$B$23="ATCO-S",$AC88*$C88,IF('Personalized Bill Menu'!$B$23="ATCO-N",$AC88*1,"")),0))</f>
        <v>-1.1698426237773139</v>
      </c>
      <c r="AL88" s="72">
        <f ca="1">IF($A88="", "", IFERROR(IF('Personalized Bill Menu'!$B$23="ATCO-N",$AD88*$B88,IF('Personalized Bill Menu'!$B$23="ATCO-S",$AD88*1,"")),0))</f>
        <v>0</v>
      </c>
      <c r="AM88" s="72">
        <f ca="1">IF($A88="", "", IFERROR(IF('Personalized Bill Menu'!$B$23="ATCO-S",$AE88*$B88,IF('Personalized Bill Menu'!$B$23="ATCO-N",$AE88*$B88,"")),0))</f>
        <v>0</v>
      </c>
      <c r="AN88" s="70">
        <f ca="1">IF($A88="", "", IFERROR(IF('Personalized Bill Menu'!$B$23="ATCO-S",$AF88*$B88,""),0))</f>
        <v>0</v>
      </c>
      <c r="AO88" s="69">
        <f>IF('Personalized Bill Menu'!$B$34="Natural Gas", 'Personalized Bill Menu'!$K85, IF('Personalized Bill Menu'!$B$34="Both",'Personalized Bill Menu'!$O85,""))</f>
        <v>0.27200000000000002</v>
      </c>
      <c r="AP88" s="70">
        <f t="shared" si="28"/>
        <v>8.4320000000000004</v>
      </c>
      <c r="AQ88" s="89">
        <f ca="1">IF($A88="", "",IF(VLOOKUP($A88, INDIRECT("'" &amp; 'Personalized Bill Menu'!$B$23 &amp; "'!" &amp;"$A$4:$CA$100"), VLOOKUP(VLOOKUP(AQ$5,'Misc. Data &amp; Mechanisms'!$P$601:$S$632,HLOOKUP('Personalized Bill Menu'!$B$23, 'Misc. Data &amp; Mechanisms'!$P$599:$S$600, 2, FALSE), FALSE), 'Misc. Data &amp; Mechanisms'!$L$599:$N$659, 2, FALSE), FALSE) = "", "", VLOOKUP($A88, INDIRECT("'" &amp; 'Personalized Bill Menu'!$B$23 &amp; "'!" &amp;"$A$4:$CA$100"), VLOOKUP(VLOOKUP(AQ$5,'Misc. Data &amp; Mechanisms'!$P$601:$S$632,HLOOKUP('Personalized Bill Menu'!$B$23, 'Misc. Data &amp; Mechanisms'!$P$599:$S$600, 2, FALSE), FALSE), 'Misc. Data &amp; Mechanisms'!$L$599:$N$659, 2, FALSE), FALSE)))</f>
        <v>1.5169999999999999</v>
      </c>
      <c r="AR88" s="70">
        <f t="shared" ca="1" si="29"/>
        <v>16.901440574001764</v>
      </c>
      <c r="AS88" s="91">
        <f ca="1">IF($A88="", "",IF(VLOOKUP($A88, INDIRECT("'" &amp; 'Personalized Bill Menu'!$B$23 &amp; "'!" &amp;"$A$4:$CA$100"), VLOOKUP(VLOOKUP(AS$5,'Misc. Data &amp; Mechanisms'!$P$601:$S$632,HLOOKUP('Personalized Bill Menu'!$B$23, 'Misc. Data &amp; Mechanisms'!$P$599:$S$600, 2, FALSE), FALSE), 'Misc. Data &amp; Mechanisms'!$L$599:$N$659, 2, FALSE), FALSE) = "", "", VLOOKUP($A88, INDIRECT("'" &amp; 'Personalized Bill Menu'!$B$23 &amp; "'!" &amp;"$A$4:$CA$100"), VLOOKUP(VLOOKUP(AS$5,'Misc. Data &amp; Mechanisms'!$P$601:$S$632,HLOOKUP('Personalized Bill Menu'!$B$23, 'Misc. Data &amp; Mechanisms'!$P$599:$S$600, 2, FALSE), FALSE), 'Misc. Data &amp; Mechanisms'!$L$599:$N$659, 2, FALSE), FALSE)))</f>
        <v>0.05</v>
      </c>
    </row>
    <row r="89" spans="1:45" x14ac:dyDescent="0.3">
      <c r="A89" s="83">
        <f>'Personalized Bill Menu'!$H86</f>
        <v>43405</v>
      </c>
      <c r="B89" s="84">
        <f t="shared" si="19"/>
        <v>30</v>
      </c>
      <c r="C89" s="85">
        <f>IF('Personalized Bill Menu'!$B$34="Natural Gas", 'Personalized Bill Menu'!$I86, IF('Personalized Bill Menu'!$B$34="Both",'Personalized Bill Menu'!$M86,""))</f>
        <v>13.711123408120821</v>
      </c>
      <c r="D89" s="66">
        <f t="shared" ca="1" si="20"/>
        <v>8.347442224792113</v>
      </c>
      <c r="E89" s="66">
        <f ca="1">IF($C89="Not Applicable", "", IFERROR(IFERROR((1+$AS89)*IF('Personalized Bill Menu'!$B$23="ATCO-N", IF(OR('Personalized Bill Menu'!$B$21="Fort McMurray",AND('Personalized Bill Menu'!$B$21="Spruce Grove", $A89&lt;DATE(2019, 5, 1) )),(((1+IF($T89="",0,$T89))*($N89+$P89))+ (IF($U89="", 0, $U89)*$P89)+(1+IF($T89="",0,$T89)+IF($U89="", 0, $U89))*(SUM($Y89:$AB89))),($N89+((1+IF($T89="",0,$T89)+IF($U89="", 0, $U89))*$P89)+(1+IF($T89="",0,$T89)+IF($U89="", 0, $U89))*(SUM($Y89:$AB89)))), IF('Personalized Bill Menu'!$B$23="ATCO-S",IF(OR('Personalized Bill Menu'!$B$21="Calgary",AND('Personalized Bill Menu'!$B$21="Okotoks", $A89&lt;DATE(2019, 1, 1))),((1+IF($T89="",0,$T89))*($N89+$P89+SUM($X89:$Y89,$AA89:$AC89)))+(IF($U89="",0, $U89)*($P89+SUM($X89:$Y89,$AA89:$AC89))), ((1+IF($T89="",0,$T89))*($P89+SUM($Y89,$AA89:$AC89)))+(IF($U89="",0, $U89)*($P89+SUM($X89:$Y89,$AA89:$AC89)))+$N89+IF($X89="", 0, $X89)),IF(AND('Personalized Bill Menu'!$B$21="Athabasca", $A89&lt;DATE(2019, 5, 1)),((1+IF($T89="",0,$T89)+IF($U89="", 0, $U89))*($N89+((1+SUM($X89:$Y89))*$P89)+SUM($Z89:$AA89))),((1+IF($U89="", 0, $U89))*($N89+((1+SUM($X89:$Y89))*$P89)+SUM($Z89:$AA89))) + (IF($T89="",0,$T89)*(((1+SUM($X89:$Y89))*$P89)+SUM($Z89:$AA89)))))), "")+ IF($AQ89="", 0,((1+$AS89)*$AQ89)), ""))</f>
        <v>5.739141870000001</v>
      </c>
      <c r="F89" s="118">
        <f t="shared" ca="1" si="21"/>
        <v>114.4528104862833</v>
      </c>
      <c r="G89" s="115">
        <f t="shared" si="15"/>
        <v>32.481651353838231</v>
      </c>
      <c r="H89" s="66">
        <f t="shared" ca="1" si="16"/>
        <v>33.373964581560685</v>
      </c>
      <c r="I89" s="66">
        <f t="shared" ca="1" si="17"/>
        <v>8.003569851022462</v>
      </c>
      <c r="J89" s="66">
        <f t="shared" ca="1" si="22"/>
        <v>6.1837166570624911</v>
      </c>
      <c r="K89" s="66">
        <f t="shared" si="18"/>
        <v>8.16</v>
      </c>
      <c r="L89" s="66">
        <f t="shared" ca="1" si="23"/>
        <v>20.799774210119285</v>
      </c>
      <c r="M89" s="68">
        <f t="shared" ca="1" si="24"/>
        <v>5.4501338326801578</v>
      </c>
      <c r="N89" s="1290">
        <f>IF('Personalized Bill Menu'!$B$34="Natural Gas", 'Personalized Bill Menu'!$J86, IF('Personalized Bill Menu'!$B$34="Both",'Personalized Bill Menu'!$N86,""))</f>
        <v>2.3690000000000002</v>
      </c>
      <c r="O89" s="70">
        <f t="shared" si="25"/>
        <v>32.481651353838231</v>
      </c>
      <c r="P89" s="89">
        <f ca="1">IF($A89="", "",IFERROR(IF(VLOOKUP($A89, INDIRECT("'" &amp; 'Personalized Bill Menu'!$B$23 &amp; "'!" &amp;"$A$4:$CA$100"), VLOOKUP(VLOOKUP(P$5,'Misc. Data &amp; Mechanisms'!$P$601:$S$632,HLOOKUP('Personalized Bill Menu'!$B$23, 'Misc. Data &amp; Mechanisms'!$P$599:$S$600, 2, FALSE), FALSE), 'Misc. Data &amp; Mechanisms'!$L$599:$N$659, 2, FALSE), FALSE) = "", "", VLOOKUP($A89, INDIRECT("'" &amp; 'Personalized Bill Menu'!$B$23 &amp; "'!" &amp;"$A$4:$CA$100"), VLOOKUP(VLOOKUP(P$5,'Misc. Data &amp; Mechanisms'!$P$601:$S$632,HLOOKUP('Personalized Bill Menu'!$B$23, 'Misc. Data &amp; Mechanisms'!$P$599:$S$600, 2, FALSE), FALSE), 'Misc. Data &amp; Mechanisms'!$L$599:$N$659, 2, FALSE), FALSE)), ""))</f>
        <v>0.73399999999999999</v>
      </c>
      <c r="Q89" s="69">
        <f ca="1">IF($A89="", "",IFERROR(IF(VLOOKUP($A89, INDIRECT("'" &amp; 'Personalized Bill Menu'!$B$23 &amp; "'!" &amp;"$A$4:$CA$100"), VLOOKUP(VLOOKUP(Q$5,'Misc. Data &amp; Mechanisms'!$P$601:$S$632,HLOOKUP('Personalized Bill Menu'!$B$23, 'Misc. Data &amp; Mechanisms'!$P$599:$S$600, 2, FALSE), FALSE), 'Misc. Data &amp; Mechanisms'!$L$599:$N$659, 2, FALSE), FALSE) = "", "", VLOOKUP($A89, INDIRECT("'" &amp; 'Personalized Bill Menu'!$B$23 &amp; "'!" &amp;"$A$4:$CA$100"), VLOOKUP(VLOOKUP(Q$5,'Misc. Data &amp; Mechanisms'!$P$601:$S$632,HLOOKUP('Personalized Bill Menu'!$B$23, 'Misc. Data &amp; Mechanisms'!$P$599:$S$600, 2, FALSE), FALSE), 'Misc. Data &amp; Mechanisms'!$L$599:$N$659, 2, FALSE), FALSE)), ""))</f>
        <v>0.77700000000000002</v>
      </c>
      <c r="R89" s="72">
        <f t="shared" ca="1" si="26"/>
        <v>10.063964581560683</v>
      </c>
      <c r="S89" s="70">
        <f t="shared" ca="1" si="27"/>
        <v>23.310000000000002</v>
      </c>
      <c r="T89" s="78">
        <f>IFERROR(IF(VLOOKUP($A89,'Misc. Data &amp; Mechanisms'!$A$63:$DY$152,HLOOKUP('Personalized Bill Menu'!$B$21&amp;"_"&amp;'Personalized Bill Menu'!$B$23&amp;"_NG_Y_1",'Misc. Data &amp; Mechanisms'!$A$55:$DY$62,8,FALSE), FALSE)="", "", VLOOKUP($A89,'Misc. Data &amp; Mechanisms'!$A$63:$DY$152,HLOOKUP('Personalized Bill Menu'!$B$21&amp;"_"&amp;'Personalized Bill Menu'!$B$23&amp;"_NG_Y_1",'Misc. Data &amp; Mechanisms'!$A$55:$DY$62,8,FALSE), FALSE)), "")</f>
        <v>0.1111</v>
      </c>
      <c r="U89" s="78" t="str">
        <f>IFERROR(IF(VLOOKUP($A89,'Misc. Data &amp; Mechanisms'!$A$63:$DY$152,HLOOKUP('Personalized Bill Menu'!$B$21&amp;"_"&amp;'Personalized Bill Menu'!$B$23&amp;"_NG_Y_2",'Misc. Data &amp; Mechanisms'!$A$55:$DY$62,8,FALSE), FALSE)="", "",VLOOKUP($A89,'Misc. Data &amp; Mechanisms'!$A$63:$DY$152,HLOOKUP('Personalized Bill Menu'!$B$21&amp;"_"&amp;'Personalized Bill Menu'!$B$23&amp;"_NG_Y_2",'Misc. Data &amp; Mechanisms'!$A$55:$DY$62,8,FALSE), FALSE)), "")</f>
        <v/>
      </c>
      <c r="V89" s="72">
        <f ca="1">IF($A89="", "", IFERROR(IF('Personalized Bill Menu'!$B$23="ATCO-N", IF(OR('Personalized Bill Menu'!$B$21="Fort McMurray",AND('Personalized Bill Menu'!$B$21="Spruce Grove", $A89&lt;DATE(2019, 5, 1))),$T89*($G89+$H89+$J89),$T89*($H89+$J89)), IF('Personalized Bill Menu'!$B$23="ATCO-S",IF(OR('Personalized Bill Menu'!$B$21="Calgary",AND('Personalized Bill Menu'!$B$21="Okotoks", $A89&lt;DATE(2019, 1, 1))),$T89*($G89+$H89+$J89), $T89*($H89+$J89-$AG89)),IF(AND('Personalized Bill Menu'!$B$21="Athabasca", $A89&lt;DATE(2019, 5, 1)),$T89*($G89+$H89+$J89+$K89),$T89*($H89+$J89+$K89)))),0))</f>
        <v>8.003569851022462</v>
      </c>
      <c r="W89" s="72">
        <f ca="1">IF($A89="", "", IFERROR(IF('Personalized Bill Menu'!$B$23="ATCO-N", $U89*($H89+$J89), IF('Personalized Bill Menu'!$B$23="ATCO-S",$U89*($H89+$J89),$U89*($G89+$H89+$J89+$K89))),0))</f>
        <v>0</v>
      </c>
      <c r="X89" s="89" t="str">
        <f ca="1">IF($A89="", "",IFERROR(IF(VLOOKUP($A89, INDIRECT("'" &amp; 'Personalized Bill Menu'!$B$23 &amp; "'!" &amp;"$A$4:$CA$100"), VLOOKUP(VLOOKUP("RIDER RATE 1",'Misc. Data &amp; Mechanisms'!$P$601:$S$632,HLOOKUP('Personalized Bill Menu'!$B$23, 'Misc. Data &amp; Mechanisms'!$P$599:$S$600, 2, FALSE), FALSE), 'Misc. Data &amp; Mechanisms'!$L$599:$N$659, 2, FALSE), FALSE) = "", "", VLOOKUP($A89, INDIRECT("'" &amp; 'Personalized Bill Menu'!$B$23 &amp; "'!" &amp;"$A$4:$CA$100"), VLOOKUP(VLOOKUP("RIDER RATE 1",'Misc. Data &amp; Mechanisms'!$P$601:$S$632,HLOOKUP('Personalized Bill Menu'!$B$23, 'Misc. Data &amp; Mechanisms'!$P$599:$S$600, 2, FALSE), FALSE), 'Misc. Data &amp; Mechanisms'!$L$599:$N$659, 2, FALSE), FALSE)), ""))</f>
        <v/>
      </c>
      <c r="Y89" s="69" t="str">
        <f ca="1">IF($A89="", "",IFERROR(IF(VLOOKUP($A89, INDIRECT("'" &amp; 'Personalized Bill Menu'!$B$23 &amp; "'!" &amp;"$A$4:$CA$100"), VLOOKUP(VLOOKUP("RIDER RATE 2",'Misc. Data &amp; Mechanisms'!$P$601:$S$632,HLOOKUP('Personalized Bill Menu'!$B$23, 'Misc. Data &amp; Mechanisms'!$P$599:$S$600, 2, FALSE), FALSE), 'Misc. Data &amp; Mechanisms'!$L$599:$N$659, 2, FALSE), FALSE) = "", "", VLOOKUP($A89, INDIRECT("'" &amp; 'Personalized Bill Menu'!$B$23 &amp; "'!" &amp;"$A$4:$CA$100"), VLOOKUP(VLOOKUP("RIDER RATE 2",'Misc. Data &amp; Mechanisms'!$P$601:$S$632,HLOOKUP('Personalized Bill Menu'!$B$23, 'Misc. Data &amp; Mechanisms'!$P$599:$S$600, 2, FALSE), FALSE), 'Misc. Data &amp; Mechanisms'!$L$599:$N$659, 2, FALSE), FALSE)), ""))</f>
        <v/>
      </c>
      <c r="Z89" s="69" t="str">
        <f ca="1">IF($A89="", "",IFERROR(IF(VLOOKUP($A89, INDIRECT("'" &amp; 'Personalized Bill Menu'!$B$23 &amp; "'!" &amp;"$A$4:$CA$100"), VLOOKUP(VLOOKUP("RIDER RATE 3",'Misc. Data &amp; Mechanisms'!$P$601:$S$632,HLOOKUP('Personalized Bill Menu'!$B$23, 'Misc. Data &amp; Mechanisms'!$P$599:$S$600, 2, FALSE), FALSE), 'Misc. Data &amp; Mechanisms'!$L$599:$N$659, 2, FALSE), FALSE) = "", "", VLOOKUP($A89, INDIRECT("'" &amp; 'Personalized Bill Menu'!$B$23 &amp; "'!" &amp;"$A$4:$CA$100"), VLOOKUP(VLOOKUP("RIDER RATE 3",'Misc. Data &amp; Mechanisms'!$P$601:$S$632,HLOOKUP('Personalized Bill Menu'!$B$23, 'Misc. Data &amp; Mechanisms'!$P$599:$S$600, 2, FALSE), FALSE), 'Misc. Data &amp; Mechanisms'!$L$599:$N$659, 2, FALSE), FALSE)), ""))</f>
        <v/>
      </c>
      <c r="AA89" s="69" t="str">
        <f ca="1">IF($A89="", "",IFERROR(IF(VLOOKUP($A89, INDIRECT("'" &amp; 'Personalized Bill Menu'!$B$23 &amp; "'!" &amp;"$A$4:$CA$100"), VLOOKUP(VLOOKUP("RIDER RATE 4",'Misc. Data &amp; Mechanisms'!$P$601:$S$632,HLOOKUP('Personalized Bill Menu'!$B$23, 'Misc. Data &amp; Mechanisms'!$P$599:$S$600, 2, FALSE), FALSE), 'Misc. Data &amp; Mechanisms'!$L$599:$N$659, 2, FALSE), FALSE) = "", "", VLOOKUP($A89, INDIRECT("'" &amp; 'Personalized Bill Menu'!$B$23 &amp; "'!" &amp;"$A$4:$CA$100"), VLOOKUP(VLOOKUP("RIDER RATE 4",'Misc. Data &amp; Mechanisms'!$P$601:$S$632,HLOOKUP('Personalized Bill Menu'!$B$23, 'Misc. Data &amp; Mechanisms'!$P$599:$S$600, 2, FALSE), FALSE), 'Misc. Data &amp; Mechanisms'!$L$599:$N$659, 2, FALSE), FALSE)), ""))</f>
        <v/>
      </c>
      <c r="AB89" s="69">
        <f ca="1">IF($A89="", "",IFERROR(IF(VLOOKUP($A89, INDIRECT("'" &amp; 'Personalized Bill Menu'!$B$23 &amp; "'!" &amp;"$A$4:$CA$100"), VLOOKUP(VLOOKUP("RIDER RATE 5",'Misc. Data &amp; Mechanisms'!$P$601:$S$632,HLOOKUP('Personalized Bill Menu'!$B$23, 'Misc. Data &amp; Mechanisms'!$P$599:$S$600, 2, FALSE), FALSE), 'Misc. Data &amp; Mechanisms'!$L$599:$N$659, 2, FALSE), FALSE) = "", "", VLOOKUP($A89, INDIRECT("'" &amp; 'Personalized Bill Menu'!$B$23 &amp; "'!" &amp;"$A$4:$CA$100"), VLOOKUP(VLOOKUP("RIDER RATE 5",'Misc. Data &amp; Mechanisms'!$P$601:$S$632,HLOOKUP('Personalized Bill Menu'!$B$23, 'Misc. Data &amp; Mechanisms'!$P$599:$S$600, 2, FALSE), FALSE), 'Misc. Data &amp; Mechanisms'!$L$599:$N$659, 2, FALSE), FALSE)), ""))</f>
        <v>0.55600000000000005</v>
      </c>
      <c r="AC89" s="69">
        <f ca="1">IF($A89="", "",IFERROR(IF(VLOOKUP($A89, INDIRECT("'" &amp; 'Personalized Bill Menu'!$B$23 &amp; "'!" &amp;"$A$4:$CA$100"), VLOOKUP(VLOOKUP("RIDER RATE 6",'Misc. Data &amp; Mechanisms'!$P$601:$S$632,HLOOKUP('Personalized Bill Menu'!$B$23, 'Misc. Data &amp; Mechanisms'!$P$599:$S$600, 2, FALSE), FALSE), 'Misc. Data &amp; Mechanisms'!$L$599:$N$659, 2, FALSE), FALSE) = "", "", VLOOKUP($A89, INDIRECT("'" &amp; 'Personalized Bill Menu'!$B$23 &amp; "'!" &amp;"$A$4:$CA$100"), VLOOKUP(VLOOKUP("RIDER RATE 6",'Misc. Data &amp; Mechanisms'!$P$601:$S$632,HLOOKUP('Personalized Bill Menu'!$B$23, 'Misc. Data &amp; Mechanisms'!$P$599:$S$600, 2, FALSE), FALSE), 'Misc. Data &amp; Mechanisms'!$L$599:$N$659, 2, FALSE), FALSE)), ""))</f>
        <v>-0.105</v>
      </c>
      <c r="AD89" s="69" t="str">
        <f ca="1">IF($A89="", "",IFERROR(IF(VLOOKUP($A89, INDIRECT("'" &amp; 'Personalized Bill Menu'!$B$23 &amp; "'!" &amp;"$A$4:$CA$100"), VLOOKUP(VLOOKUP("RIDER RATE 7",'Misc. Data &amp; Mechanisms'!$P$601:$S$632,HLOOKUP('Personalized Bill Menu'!$B$23, 'Misc. Data &amp; Mechanisms'!$P$599:$S$600, 2, FALSE), FALSE), 'Misc. Data &amp; Mechanisms'!$L$599:$N$659, 2, FALSE), FALSE) = "", "", VLOOKUP($A89, INDIRECT("'" &amp; 'Personalized Bill Menu'!$B$23 &amp; "'!" &amp;"$A$4:$CA$100"), VLOOKUP(VLOOKUP("RIDER RATE 7",'Misc. Data &amp; Mechanisms'!$P$601:$S$632,HLOOKUP('Personalized Bill Menu'!$B$23, 'Misc. Data &amp; Mechanisms'!$P$599:$S$600, 2, FALSE), FALSE), 'Misc. Data &amp; Mechanisms'!$L$599:$N$659, 2, FALSE), FALSE)), ""))</f>
        <v/>
      </c>
      <c r="AE89" s="69" t="str">
        <f ca="1">IF($A89="", "",IFERROR(IF(VLOOKUP($A89, INDIRECT("'" &amp; 'Personalized Bill Menu'!$B$23 &amp; "'!" &amp;"$A$4:$CA$100"), VLOOKUP(VLOOKUP("RIDER RATE 8",'Misc. Data &amp; Mechanisms'!$P$601:$S$632,HLOOKUP('Personalized Bill Menu'!$B$23, 'Misc. Data &amp; Mechanisms'!$P$599:$S$600, 2, FALSE), FALSE), 'Misc. Data &amp; Mechanisms'!$L$599:$N$659, 2, FALSE), FALSE) = "", "", VLOOKUP($A89, INDIRECT("'" &amp; 'Personalized Bill Menu'!$B$23 &amp; "'!" &amp;"$A$4:$CA$100"), VLOOKUP(VLOOKUP("RIDER RATE 8",'Misc. Data &amp; Mechanisms'!$P$601:$S$632,HLOOKUP('Personalized Bill Menu'!$B$23, 'Misc. Data &amp; Mechanisms'!$P$599:$S$600, 2, FALSE), FALSE), 'Misc. Data &amp; Mechanisms'!$L$599:$N$659, 2, FALSE), FALSE)), ""))</f>
        <v/>
      </c>
      <c r="AF89" s="69" t="str">
        <f ca="1">IF($A89="", "",IFERROR(IF(VLOOKUP($A89, INDIRECT("'" &amp; 'Personalized Bill Menu'!$B$23 &amp; "'!" &amp;"$A$4:$CA$100"), VLOOKUP(VLOOKUP("RIDER RATE 9",'Misc. Data &amp; Mechanisms'!$P$601:$S$632,HLOOKUP('Personalized Bill Menu'!$B$23, 'Misc. Data &amp; Mechanisms'!$P$599:$S$600, 2, FALSE), FALSE), 'Misc. Data &amp; Mechanisms'!$L$599:$N$659, 2, FALSE), FALSE) = "", "", VLOOKUP($A89, INDIRECT("'" &amp; 'Personalized Bill Menu'!$B$23 &amp; "'!" &amp;"$A$4:$CA$100"), VLOOKUP(VLOOKUP("RIDER RATE 9",'Misc. Data &amp; Mechanisms'!$P$601:$S$632,HLOOKUP('Personalized Bill Menu'!$B$23, 'Misc. Data &amp; Mechanisms'!$P$599:$S$600, 2, FALSE), FALSE), 'Misc. Data &amp; Mechanisms'!$L$599:$N$659, 2, FALSE), FALSE)), ""))</f>
        <v/>
      </c>
      <c r="AG89" s="72">
        <f ca="1">IF($A89="", "", IFERROR(IF('Personalized Bill Menu'!$B$23="ATCO-N", ($X89*$B89) +($Y89*$C89), IF('Personalized Bill Menu'!$B$23="ATCO-S",$X89*$C89, IF($Y89="", ($X89*$H89), ($Y89*($H89+$K89))))), 0))</f>
        <v>0</v>
      </c>
      <c r="AH89" s="72">
        <f ca="1">IF($A89="", "", IFERROR(IF('Personalized Bill Menu'!$B$23="ATCO-S", $Y89*$C89, $Z89*$C89), 0))</f>
        <v>0</v>
      </c>
      <c r="AI89" s="72">
        <f ca="1">IF($A89="", "", IFERROR(IF('Personalized Bill Menu'!$B$23="ATCO-S", ($AA89*$C89)+($Z89*$B89), $AA89*$C89), 0))</f>
        <v>0</v>
      </c>
      <c r="AJ89" s="72">
        <f ca="1">IF($A89="", "", IFERROR(IF('Personalized Bill Menu'!$B$23&lt;&gt;"AltaGas",$AB89*$C89,""),0))</f>
        <v>7.6233846149151772</v>
      </c>
      <c r="AK89" s="72">
        <f ca="1">IF($A89="", "", IFERROR(IF('Personalized Bill Menu'!$B$23="ATCO-S",$AC89*$C89,IF('Personalized Bill Menu'!$B$23="ATCO-N",$AC89*1,"")),0))</f>
        <v>-1.4396679578526861</v>
      </c>
      <c r="AL89" s="72">
        <f ca="1">IF($A89="", "", IFERROR(IF('Personalized Bill Menu'!$B$23="ATCO-N",$AD89*$B89,IF('Personalized Bill Menu'!$B$23="ATCO-S",$AD89*1,"")),0))</f>
        <v>0</v>
      </c>
      <c r="AM89" s="72">
        <f ca="1">IF($A89="", "", IFERROR(IF('Personalized Bill Menu'!$B$23="ATCO-S",$AE89*$B89,IF('Personalized Bill Menu'!$B$23="ATCO-N",$AE89*$B89,"")),0))</f>
        <v>0</v>
      </c>
      <c r="AN89" s="70">
        <f ca="1">IF($A89="", "", IFERROR(IF('Personalized Bill Menu'!$B$23="ATCO-S",$AF89*$B89,""),0))</f>
        <v>0</v>
      </c>
      <c r="AO89" s="69">
        <f>IF('Personalized Bill Menu'!$B$34="Natural Gas", 'Personalized Bill Menu'!$K86, IF('Personalized Bill Menu'!$B$34="Both",'Personalized Bill Menu'!$O86,""))</f>
        <v>0.27200000000000002</v>
      </c>
      <c r="AP89" s="70">
        <f t="shared" si="28"/>
        <v>8.16</v>
      </c>
      <c r="AQ89" s="89">
        <f ca="1">IF($A89="", "",IF(VLOOKUP($A89, INDIRECT("'" &amp; 'Personalized Bill Menu'!$B$23 &amp; "'!" &amp;"$A$4:$CA$100"), VLOOKUP(VLOOKUP(AQ$5,'Misc. Data &amp; Mechanisms'!$P$601:$S$632,HLOOKUP('Personalized Bill Menu'!$B$23, 'Misc. Data &amp; Mechanisms'!$P$599:$S$600, 2, FALSE), FALSE), 'Misc. Data &amp; Mechanisms'!$L$599:$N$659, 2, FALSE), FALSE) = "", "", VLOOKUP($A89, INDIRECT("'" &amp; 'Personalized Bill Menu'!$B$23 &amp; "'!" &amp;"$A$4:$CA$100"), VLOOKUP(VLOOKUP(AQ$5,'Misc. Data &amp; Mechanisms'!$P$601:$S$632,HLOOKUP('Personalized Bill Menu'!$B$23, 'Misc. Data &amp; Mechanisms'!$P$599:$S$600, 2, FALSE), FALSE), 'Misc. Data &amp; Mechanisms'!$L$599:$N$659, 2, FALSE), FALSE)))</f>
        <v>1.5169999999999999</v>
      </c>
      <c r="AR89" s="70">
        <f t="shared" ca="1" si="29"/>
        <v>20.799774210119285</v>
      </c>
      <c r="AS89" s="91">
        <f ca="1">IF($A89="", "",IF(VLOOKUP($A89, INDIRECT("'" &amp; 'Personalized Bill Menu'!$B$23 &amp; "'!" &amp;"$A$4:$CA$100"), VLOOKUP(VLOOKUP(AS$5,'Misc. Data &amp; Mechanisms'!$P$601:$S$632,HLOOKUP('Personalized Bill Menu'!$B$23, 'Misc. Data &amp; Mechanisms'!$P$599:$S$600, 2, FALSE), FALSE), 'Misc. Data &amp; Mechanisms'!$L$599:$N$659, 2, FALSE), FALSE) = "", "", VLOOKUP($A89, INDIRECT("'" &amp; 'Personalized Bill Menu'!$B$23 &amp; "'!" &amp;"$A$4:$CA$100"), VLOOKUP(VLOOKUP(AS$5,'Misc. Data &amp; Mechanisms'!$P$601:$S$632,HLOOKUP('Personalized Bill Menu'!$B$23, 'Misc. Data &amp; Mechanisms'!$P$599:$S$600, 2, FALSE), FALSE), 'Misc. Data &amp; Mechanisms'!$L$599:$N$659, 2, FALSE), FALSE)))</f>
        <v>0.05</v>
      </c>
    </row>
    <row r="90" spans="1:45" s="335" customFormat="1" x14ac:dyDescent="0.3">
      <c r="A90" s="83">
        <f>'Personalized Bill Menu'!$H87</f>
        <v>43435</v>
      </c>
      <c r="B90" s="84">
        <f t="shared" si="19"/>
        <v>31</v>
      </c>
      <c r="C90" s="85">
        <f>IF('Personalized Bill Menu'!$B$34="Natural Gas", 'Personalized Bill Menu'!$I87, IF('Personalized Bill Menu'!$B$34="Both",'Personalized Bill Menu'!$M87,""))</f>
        <v>16.681040406493022</v>
      </c>
      <c r="D90" s="66">
        <f t="shared" ca="1" si="20"/>
        <v>7.5286913376126963</v>
      </c>
      <c r="E90" s="66">
        <f ca="1">IF($C90="Not Applicable", "", IFERROR(IFERROR((1+$AS90)*IF('Personalized Bill Menu'!$B$23="ATCO-N", IF(OR('Personalized Bill Menu'!$B$21="Fort McMurray",AND('Personalized Bill Menu'!$B$21="Spruce Grove", $A90&lt;DATE(2019, 5, 1) )),(((1+IF($T90="",0,$T90))*($N90+$P90))+ (IF($U90="", 0, $U90)*$P90)+(1+IF($T90="",0,$T90)+IF($U90="", 0, $U90))*(SUM($Y90:$AB90))),($N90+((1+IF($T90="",0,$T90)+IF($U90="", 0, $U90))*$P90)+(1+IF($T90="",0,$T90)+IF($U90="", 0, $U90))*(SUM($Y90:$AB90)))), IF('Personalized Bill Menu'!$B$23="ATCO-S",IF(OR('Personalized Bill Menu'!$B$21="Calgary",AND('Personalized Bill Menu'!$B$21="Okotoks", $A90&lt;DATE(2019, 1, 1))),((1+IF($T90="",0,$T90))*($N90+$P90+SUM($X90:$Y90,$AA90:$AC90)))+(IF($U90="",0, $U90)*($P90+SUM($X90:$Y90,$AA90:$AC90))), ((1+IF($T90="",0,$T90))*($P90+SUM($Y90,$AA90:$AC90)))+(IF($U90="",0, $U90)*($P90+SUM($X90:$Y90,$AA90:$AC90)))+$N90+IF($X90="", 0, $X90)),IF(AND('Personalized Bill Menu'!$B$21="Athabasca", $A90&lt;DATE(2019, 5, 1)),((1+IF($T90="",0,$T90)+IF($U90="", 0, $U90))*($N90+((1+SUM($X90:$Y90))*$P90)+SUM($Z90:$AA90))),((1+IF($U90="", 0, $U90))*($N90+((1+SUM($X90:$Y90))*$P90)+SUM($Z90:$AA90))) + (IF($T90="",0,$T90)*(((1+SUM($X90:$Y90))*$P90)+SUM($Z90:$AA90)))))), "")+ IF($AQ90="", 0,((1+$AS90)*$AQ90)), ""))</f>
        <v>5.3133127949999999</v>
      </c>
      <c r="F90" s="118">
        <f t="shared" ca="1" si="21"/>
        <v>125.58640441073138</v>
      </c>
      <c r="G90" s="115">
        <f t="shared" si="15"/>
        <v>33.428804974612014</v>
      </c>
      <c r="H90" s="66">
        <f t="shared" ca="1" si="16"/>
        <v>36.330883658365877</v>
      </c>
      <c r="I90" s="66">
        <f t="shared" ca="1" si="17"/>
        <v>8.5861232858356242</v>
      </c>
      <c r="J90" s="66">
        <f t="shared" ca="1" si="22"/>
        <v>7.5231492233283541</v>
      </c>
      <c r="K90" s="66">
        <f t="shared" si="18"/>
        <v>8.4320000000000004</v>
      </c>
      <c r="L90" s="66">
        <f t="shared" ca="1" si="23"/>
        <v>25.305138296649911</v>
      </c>
      <c r="M90" s="68">
        <f t="shared" ca="1" si="24"/>
        <v>5.9803049719395895</v>
      </c>
      <c r="N90" s="1290">
        <f>IF('Personalized Bill Menu'!$B$34="Natural Gas", 'Personalized Bill Menu'!$J87, IF('Personalized Bill Menu'!$B$34="Both",'Personalized Bill Menu'!$N87,""))</f>
        <v>2.004</v>
      </c>
      <c r="O90" s="70">
        <f t="shared" si="25"/>
        <v>33.428804974612014</v>
      </c>
      <c r="P90" s="89">
        <f ca="1">IF($A90="", "",IFERROR(IF(VLOOKUP($A90, INDIRECT("'" &amp; 'Personalized Bill Menu'!$B$23 &amp; "'!" &amp;"$A$4:$CA$100"), VLOOKUP(VLOOKUP(P$5,'Misc. Data &amp; Mechanisms'!$P$601:$S$632,HLOOKUP('Personalized Bill Menu'!$B$23, 'Misc. Data &amp; Mechanisms'!$P$599:$S$600, 2, FALSE), FALSE), 'Misc. Data &amp; Mechanisms'!$L$599:$N$659, 2, FALSE), FALSE) = "", "", VLOOKUP($A90, INDIRECT("'" &amp; 'Personalized Bill Menu'!$B$23 &amp; "'!" &amp;"$A$4:$CA$100"), VLOOKUP(VLOOKUP(P$5,'Misc. Data &amp; Mechanisms'!$P$601:$S$632,HLOOKUP('Personalized Bill Menu'!$B$23, 'Misc. Data &amp; Mechanisms'!$P$599:$S$600, 2, FALSE), FALSE), 'Misc. Data &amp; Mechanisms'!$L$599:$N$659, 2, FALSE), FALSE)), ""))</f>
        <v>0.73399999999999999</v>
      </c>
      <c r="Q90" s="69">
        <f ca="1">IF($A90="", "",IFERROR(IF(VLOOKUP($A90, INDIRECT("'" &amp; 'Personalized Bill Menu'!$B$23 &amp; "'!" &amp;"$A$4:$CA$100"), VLOOKUP(VLOOKUP(Q$5,'Misc. Data &amp; Mechanisms'!$P$601:$S$632,HLOOKUP('Personalized Bill Menu'!$B$23, 'Misc. Data &amp; Mechanisms'!$P$599:$S$600, 2, FALSE), FALSE), 'Misc. Data &amp; Mechanisms'!$L$599:$N$659, 2, FALSE), FALSE) = "", "", VLOOKUP($A90, INDIRECT("'" &amp; 'Personalized Bill Menu'!$B$23 &amp; "'!" &amp;"$A$4:$CA$100"), VLOOKUP(VLOOKUP(Q$5,'Misc. Data &amp; Mechanisms'!$P$601:$S$632,HLOOKUP('Personalized Bill Menu'!$B$23, 'Misc. Data &amp; Mechanisms'!$P$599:$S$600, 2, FALSE), FALSE), 'Misc. Data &amp; Mechanisms'!$L$599:$N$659, 2, FALSE), FALSE)), ""))</f>
        <v>0.77700000000000002</v>
      </c>
      <c r="R90" s="72">
        <f t="shared" ca="1" si="26"/>
        <v>12.243883658365878</v>
      </c>
      <c r="S90" s="70">
        <f t="shared" ca="1" si="27"/>
        <v>24.087</v>
      </c>
      <c r="T90" s="78">
        <f>IFERROR(IF(VLOOKUP($A90,'Misc. Data &amp; Mechanisms'!$A$63:$DY$152,HLOOKUP('Personalized Bill Menu'!$B$21&amp;"_"&amp;'Personalized Bill Menu'!$B$23&amp;"_NG_Y_1",'Misc. Data &amp; Mechanisms'!$A$55:$DY$62,8,FALSE), FALSE)="", "", VLOOKUP($A90,'Misc. Data &amp; Mechanisms'!$A$63:$DY$152,HLOOKUP('Personalized Bill Menu'!$B$21&amp;"_"&amp;'Personalized Bill Menu'!$B$23&amp;"_NG_Y_1",'Misc. Data &amp; Mechanisms'!$A$55:$DY$62,8,FALSE), FALSE)), "")</f>
        <v>0.1111</v>
      </c>
      <c r="U90" s="78" t="str">
        <f>IFERROR(IF(VLOOKUP($A90,'Misc. Data &amp; Mechanisms'!$A$63:$DY$152,HLOOKUP('Personalized Bill Menu'!$B$21&amp;"_"&amp;'Personalized Bill Menu'!$B$23&amp;"_NG_Y_2",'Misc. Data &amp; Mechanisms'!$A$55:$DY$62,8,FALSE), FALSE)="", "",VLOOKUP($A90,'Misc. Data &amp; Mechanisms'!$A$63:$DY$152,HLOOKUP('Personalized Bill Menu'!$B$21&amp;"_"&amp;'Personalized Bill Menu'!$B$23&amp;"_NG_Y_2",'Misc. Data &amp; Mechanisms'!$A$55:$DY$62,8,FALSE), FALSE)), "")</f>
        <v/>
      </c>
      <c r="V90" s="72">
        <f ca="1">IF($A90="", "", IFERROR(IF('Personalized Bill Menu'!$B$23="ATCO-N", IF(OR('Personalized Bill Menu'!$B$21="Fort McMurray",AND('Personalized Bill Menu'!$B$21="Spruce Grove", $A90&lt;DATE(2019, 5, 1))),$T90*($G90+$H90+$J90),$T90*($H90+$J90)), IF('Personalized Bill Menu'!$B$23="ATCO-S",IF(OR('Personalized Bill Menu'!$B$21="Calgary",AND('Personalized Bill Menu'!$B$21="Okotoks", $A90&lt;DATE(2019, 1, 1))),$T90*($G90+$H90+$J90), $T90*($H90+$J90-$AG90)),IF(AND('Personalized Bill Menu'!$B$21="Athabasca", $A90&lt;DATE(2019, 5, 1)),$T90*($G90+$H90+$J90+$K90),$T90*($H90+$J90+$K90)))),0))</f>
        <v>8.5861232858356242</v>
      </c>
      <c r="W90" s="72">
        <f ca="1">IF($A90="", "", IFERROR(IF('Personalized Bill Menu'!$B$23="ATCO-N", $U90*($H90+$J90), IF('Personalized Bill Menu'!$B$23="ATCO-S",$U90*($H90+$J90),$U90*($G90+$H90+$J90+$K90))),0))</f>
        <v>0</v>
      </c>
      <c r="X90" s="89" t="str">
        <f ca="1">IF($A90="", "",IFERROR(IF(VLOOKUP($A90, INDIRECT("'" &amp; 'Personalized Bill Menu'!$B$23 &amp; "'!" &amp;"$A$4:$CA$100"), VLOOKUP(VLOOKUP("RIDER RATE 1",'Misc. Data &amp; Mechanisms'!$P$601:$S$632,HLOOKUP('Personalized Bill Menu'!$B$23, 'Misc. Data &amp; Mechanisms'!$P$599:$S$600, 2, FALSE), FALSE), 'Misc. Data &amp; Mechanisms'!$L$599:$N$659, 2, FALSE), FALSE) = "", "", VLOOKUP($A90, INDIRECT("'" &amp; 'Personalized Bill Menu'!$B$23 &amp; "'!" &amp;"$A$4:$CA$100"), VLOOKUP(VLOOKUP("RIDER RATE 1",'Misc. Data &amp; Mechanisms'!$P$601:$S$632,HLOOKUP('Personalized Bill Menu'!$B$23, 'Misc. Data &amp; Mechanisms'!$P$599:$S$600, 2, FALSE), FALSE), 'Misc. Data &amp; Mechanisms'!$L$599:$N$659, 2, FALSE), FALSE)), ""))</f>
        <v/>
      </c>
      <c r="Y90" s="69" t="str">
        <f ca="1">IF($A90="", "",IFERROR(IF(VLOOKUP($A90, INDIRECT("'" &amp; 'Personalized Bill Menu'!$B$23 &amp; "'!" &amp;"$A$4:$CA$100"), VLOOKUP(VLOOKUP("RIDER RATE 2",'Misc. Data &amp; Mechanisms'!$P$601:$S$632,HLOOKUP('Personalized Bill Menu'!$B$23, 'Misc. Data &amp; Mechanisms'!$P$599:$S$600, 2, FALSE), FALSE), 'Misc. Data &amp; Mechanisms'!$L$599:$N$659, 2, FALSE), FALSE) = "", "", VLOOKUP($A90, INDIRECT("'" &amp; 'Personalized Bill Menu'!$B$23 &amp; "'!" &amp;"$A$4:$CA$100"), VLOOKUP(VLOOKUP("RIDER RATE 2",'Misc. Data &amp; Mechanisms'!$P$601:$S$632,HLOOKUP('Personalized Bill Menu'!$B$23, 'Misc. Data &amp; Mechanisms'!$P$599:$S$600, 2, FALSE), FALSE), 'Misc. Data &amp; Mechanisms'!$L$599:$N$659, 2, FALSE), FALSE)), ""))</f>
        <v/>
      </c>
      <c r="Z90" s="69" t="str">
        <f ca="1">IF($A90="", "",IFERROR(IF(VLOOKUP($A90, INDIRECT("'" &amp; 'Personalized Bill Menu'!$B$23 &amp; "'!" &amp;"$A$4:$CA$100"), VLOOKUP(VLOOKUP("RIDER RATE 3",'Misc. Data &amp; Mechanisms'!$P$601:$S$632,HLOOKUP('Personalized Bill Menu'!$B$23, 'Misc. Data &amp; Mechanisms'!$P$599:$S$600, 2, FALSE), FALSE), 'Misc. Data &amp; Mechanisms'!$L$599:$N$659, 2, FALSE), FALSE) = "", "", VLOOKUP($A90, INDIRECT("'" &amp; 'Personalized Bill Menu'!$B$23 &amp; "'!" &amp;"$A$4:$CA$100"), VLOOKUP(VLOOKUP("RIDER RATE 3",'Misc. Data &amp; Mechanisms'!$P$601:$S$632,HLOOKUP('Personalized Bill Menu'!$B$23, 'Misc. Data &amp; Mechanisms'!$P$599:$S$600, 2, FALSE), FALSE), 'Misc. Data &amp; Mechanisms'!$L$599:$N$659, 2, FALSE), FALSE)), ""))</f>
        <v/>
      </c>
      <c r="AA90" s="69" t="str">
        <f ca="1">IF($A90="", "",IFERROR(IF(VLOOKUP($A90, INDIRECT("'" &amp; 'Personalized Bill Menu'!$B$23 &amp; "'!" &amp;"$A$4:$CA$100"), VLOOKUP(VLOOKUP("RIDER RATE 4",'Misc. Data &amp; Mechanisms'!$P$601:$S$632,HLOOKUP('Personalized Bill Menu'!$B$23, 'Misc. Data &amp; Mechanisms'!$P$599:$S$600, 2, FALSE), FALSE), 'Misc. Data &amp; Mechanisms'!$L$599:$N$659, 2, FALSE), FALSE) = "", "", VLOOKUP($A90, INDIRECT("'" &amp; 'Personalized Bill Menu'!$B$23 &amp; "'!" &amp;"$A$4:$CA$100"), VLOOKUP(VLOOKUP("RIDER RATE 4",'Misc. Data &amp; Mechanisms'!$P$601:$S$632,HLOOKUP('Personalized Bill Menu'!$B$23, 'Misc. Data &amp; Mechanisms'!$P$599:$S$600, 2, FALSE), FALSE), 'Misc. Data &amp; Mechanisms'!$L$599:$N$659, 2, FALSE), FALSE)), ""))</f>
        <v/>
      </c>
      <c r="AB90" s="69">
        <f ca="1">IF($A90="", "",IFERROR(IF(VLOOKUP($A90, INDIRECT("'" &amp; 'Personalized Bill Menu'!$B$23 &amp; "'!" &amp;"$A$4:$CA$100"), VLOOKUP(VLOOKUP("RIDER RATE 5",'Misc. Data &amp; Mechanisms'!$P$601:$S$632,HLOOKUP('Personalized Bill Menu'!$B$23, 'Misc. Data &amp; Mechanisms'!$P$599:$S$600, 2, FALSE), FALSE), 'Misc. Data &amp; Mechanisms'!$L$599:$N$659, 2, FALSE), FALSE) = "", "", VLOOKUP($A90, INDIRECT("'" &amp; 'Personalized Bill Menu'!$B$23 &amp; "'!" &amp;"$A$4:$CA$100"), VLOOKUP(VLOOKUP("RIDER RATE 5",'Misc. Data &amp; Mechanisms'!$P$601:$S$632,HLOOKUP('Personalized Bill Menu'!$B$23, 'Misc. Data &amp; Mechanisms'!$P$599:$S$600, 2, FALSE), FALSE), 'Misc. Data &amp; Mechanisms'!$L$599:$N$659, 2, FALSE), FALSE)), ""))</f>
        <v>0.55600000000000005</v>
      </c>
      <c r="AC90" s="69">
        <f ca="1">IF($A90="", "",IFERROR(IF(VLOOKUP($A90, INDIRECT("'" &amp; 'Personalized Bill Menu'!$B$23 &amp; "'!" &amp;"$A$4:$CA$100"), VLOOKUP(VLOOKUP("RIDER RATE 6",'Misc. Data &amp; Mechanisms'!$P$601:$S$632,HLOOKUP('Personalized Bill Menu'!$B$23, 'Misc. Data &amp; Mechanisms'!$P$599:$S$600, 2, FALSE), FALSE), 'Misc. Data &amp; Mechanisms'!$L$599:$N$659, 2, FALSE), FALSE) = "", "", VLOOKUP($A90, INDIRECT("'" &amp; 'Personalized Bill Menu'!$B$23 &amp; "'!" &amp;"$A$4:$CA$100"), VLOOKUP(VLOOKUP("RIDER RATE 6",'Misc. Data &amp; Mechanisms'!$P$601:$S$632,HLOOKUP('Personalized Bill Menu'!$B$23, 'Misc. Data &amp; Mechanisms'!$P$599:$S$600, 2, FALSE), FALSE), 'Misc. Data &amp; Mechanisms'!$L$599:$N$659, 2, FALSE), FALSE)), ""))</f>
        <v>-0.105</v>
      </c>
      <c r="AD90" s="69" t="str">
        <f ca="1">IF($A90="", "",IFERROR(IF(VLOOKUP($A90, INDIRECT("'" &amp; 'Personalized Bill Menu'!$B$23 &amp; "'!" &amp;"$A$4:$CA$100"), VLOOKUP(VLOOKUP("RIDER RATE 7",'Misc. Data &amp; Mechanisms'!$P$601:$S$632,HLOOKUP('Personalized Bill Menu'!$B$23, 'Misc. Data &amp; Mechanisms'!$P$599:$S$600, 2, FALSE), FALSE), 'Misc. Data &amp; Mechanisms'!$L$599:$N$659, 2, FALSE), FALSE) = "", "", VLOOKUP($A90, INDIRECT("'" &amp; 'Personalized Bill Menu'!$B$23 &amp; "'!" &amp;"$A$4:$CA$100"), VLOOKUP(VLOOKUP("RIDER RATE 7",'Misc. Data &amp; Mechanisms'!$P$601:$S$632,HLOOKUP('Personalized Bill Menu'!$B$23, 'Misc. Data &amp; Mechanisms'!$P$599:$S$600, 2, FALSE), FALSE), 'Misc. Data &amp; Mechanisms'!$L$599:$N$659, 2, FALSE), FALSE)), ""))</f>
        <v/>
      </c>
      <c r="AE90" s="69" t="str">
        <f ca="1">IF($A90="", "",IFERROR(IF(VLOOKUP($A90, INDIRECT("'" &amp; 'Personalized Bill Menu'!$B$23 &amp; "'!" &amp;"$A$4:$CA$100"), VLOOKUP(VLOOKUP("RIDER RATE 8",'Misc. Data &amp; Mechanisms'!$P$601:$S$632,HLOOKUP('Personalized Bill Menu'!$B$23, 'Misc. Data &amp; Mechanisms'!$P$599:$S$600, 2, FALSE), FALSE), 'Misc. Data &amp; Mechanisms'!$L$599:$N$659, 2, FALSE), FALSE) = "", "", VLOOKUP($A90, INDIRECT("'" &amp; 'Personalized Bill Menu'!$B$23 &amp; "'!" &amp;"$A$4:$CA$100"), VLOOKUP(VLOOKUP("RIDER RATE 8",'Misc. Data &amp; Mechanisms'!$P$601:$S$632,HLOOKUP('Personalized Bill Menu'!$B$23, 'Misc. Data &amp; Mechanisms'!$P$599:$S$600, 2, FALSE), FALSE), 'Misc. Data &amp; Mechanisms'!$L$599:$N$659, 2, FALSE), FALSE)), ""))</f>
        <v/>
      </c>
      <c r="AF90" s="69" t="str">
        <f ca="1">IF($A90="", "",IFERROR(IF(VLOOKUP($A90, INDIRECT("'" &amp; 'Personalized Bill Menu'!$B$23 &amp; "'!" &amp;"$A$4:$CA$100"), VLOOKUP(VLOOKUP("RIDER RATE 9",'Misc. Data &amp; Mechanisms'!$P$601:$S$632,HLOOKUP('Personalized Bill Menu'!$B$23, 'Misc. Data &amp; Mechanisms'!$P$599:$S$600, 2, FALSE), FALSE), 'Misc. Data &amp; Mechanisms'!$L$599:$N$659, 2, FALSE), FALSE) = "", "", VLOOKUP($A90, INDIRECT("'" &amp; 'Personalized Bill Menu'!$B$23 &amp; "'!" &amp;"$A$4:$CA$100"), VLOOKUP(VLOOKUP("RIDER RATE 9",'Misc. Data &amp; Mechanisms'!$P$601:$S$632,HLOOKUP('Personalized Bill Menu'!$B$23, 'Misc. Data &amp; Mechanisms'!$P$599:$S$600, 2, FALSE), FALSE), 'Misc. Data &amp; Mechanisms'!$L$599:$N$659, 2, FALSE), FALSE)), ""))</f>
        <v/>
      </c>
      <c r="AG90" s="72">
        <f ca="1">IF($A90="", "", IFERROR(IF('Personalized Bill Menu'!$B$23="ATCO-N", ($X90*$B90) +($Y90*$C90), IF('Personalized Bill Menu'!$B$23="ATCO-S",$X90*$C90, IF($Y90="", ($X90*$H90), ($Y90*($H90+$K90))))), 0))</f>
        <v>0</v>
      </c>
      <c r="AH90" s="72">
        <f ca="1">IF($A90="", "", IFERROR(IF('Personalized Bill Menu'!$B$23="ATCO-S", $Y90*$C90, $Z90*$C90), 0))</f>
        <v>0</v>
      </c>
      <c r="AI90" s="72">
        <f ca="1">IF($A90="", "", IFERROR(IF('Personalized Bill Menu'!$B$23="ATCO-S", ($AA90*$C90)+($Z90*$B90), $AA90*$C90), 0))</f>
        <v>0</v>
      </c>
      <c r="AJ90" s="72">
        <f ca="1">IF($A90="", "", IFERROR(IF('Personalized Bill Menu'!$B$23&lt;&gt;"AltaGas",$AB90*$C90,""),0))</f>
        <v>9.2746584660101217</v>
      </c>
      <c r="AK90" s="72">
        <f ca="1">IF($A90="", "", IFERROR(IF('Personalized Bill Menu'!$B$23="ATCO-S",$AC90*$C90,IF('Personalized Bill Menu'!$B$23="ATCO-N",$AC90*1,"")),0))</f>
        <v>-1.7515092426817673</v>
      </c>
      <c r="AL90" s="72">
        <f ca="1">IF($A90="", "", IFERROR(IF('Personalized Bill Menu'!$B$23="ATCO-N",$AD90*$B90,IF('Personalized Bill Menu'!$B$23="ATCO-S",$AD90*1,"")),0))</f>
        <v>0</v>
      </c>
      <c r="AM90" s="72">
        <f ca="1">IF($A90="", "", IFERROR(IF('Personalized Bill Menu'!$B$23="ATCO-S",$AE90*$B90,IF('Personalized Bill Menu'!$B$23="ATCO-N",$AE90*$B90,"")),0))</f>
        <v>0</v>
      </c>
      <c r="AN90" s="70">
        <f ca="1">IF($A90="", "", IFERROR(IF('Personalized Bill Menu'!$B$23="ATCO-S",$AF90*$B90,""),0))</f>
        <v>0</v>
      </c>
      <c r="AO90" s="69">
        <f>IF('Personalized Bill Menu'!$B$34="Natural Gas", 'Personalized Bill Menu'!$K87, IF('Personalized Bill Menu'!$B$34="Both",'Personalized Bill Menu'!$O87,""))</f>
        <v>0.27200000000000002</v>
      </c>
      <c r="AP90" s="70">
        <f t="shared" si="28"/>
        <v>8.4320000000000004</v>
      </c>
      <c r="AQ90" s="89">
        <f ca="1">IF($A90="", "",IF(VLOOKUP($A90, INDIRECT("'" &amp; 'Personalized Bill Menu'!$B$23 &amp; "'!" &amp;"$A$4:$CA$100"), VLOOKUP(VLOOKUP(AQ$5,'Misc. Data &amp; Mechanisms'!$P$601:$S$632,HLOOKUP('Personalized Bill Menu'!$B$23, 'Misc. Data &amp; Mechanisms'!$P$599:$S$600, 2, FALSE), FALSE), 'Misc. Data &amp; Mechanisms'!$L$599:$N$659, 2, FALSE), FALSE) = "", "", VLOOKUP($A90, INDIRECT("'" &amp; 'Personalized Bill Menu'!$B$23 &amp; "'!" &amp;"$A$4:$CA$100"), VLOOKUP(VLOOKUP(AQ$5,'Misc. Data &amp; Mechanisms'!$P$601:$S$632,HLOOKUP('Personalized Bill Menu'!$B$23, 'Misc. Data &amp; Mechanisms'!$P$599:$S$600, 2, FALSE), FALSE), 'Misc. Data &amp; Mechanisms'!$L$599:$N$659, 2, FALSE), FALSE)))</f>
        <v>1.5169999999999999</v>
      </c>
      <c r="AR90" s="70">
        <f t="shared" ca="1" si="29"/>
        <v>25.305138296649911</v>
      </c>
      <c r="AS90" s="91">
        <f ca="1">IF($A90="", "",IF(VLOOKUP($A90, INDIRECT("'" &amp; 'Personalized Bill Menu'!$B$23 &amp; "'!" &amp;"$A$4:$CA$100"), VLOOKUP(VLOOKUP(AS$5,'Misc. Data &amp; Mechanisms'!$P$601:$S$632,HLOOKUP('Personalized Bill Menu'!$B$23, 'Misc. Data &amp; Mechanisms'!$P$599:$S$600, 2, FALSE), FALSE), 'Misc. Data &amp; Mechanisms'!$L$599:$N$659, 2, FALSE), FALSE) = "", "", VLOOKUP($A90, INDIRECT("'" &amp; 'Personalized Bill Menu'!$B$23 &amp; "'!" &amp;"$A$4:$CA$100"), VLOOKUP(VLOOKUP(AS$5,'Misc. Data &amp; Mechanisms'!$P$601:$S$632,HLOOKUP('Personalized Bill Menu'!$B$23, 'Misc. Data &amp; Mechanisms'!$P$599:$S$600, 2, FALSE), FALSE), 'Misc. Data &amp; Mechanisms'!$L$599:$N$659, 2, FALSE), FALSE)))</f>
        <v>0.05</v>
      </c>
    </row>
    <row r="91" spans="1:45" x14ac:dyDescent="0.3">
      <c r="A91" s="83">
        <f>'Personalized Bill Menu'!$H88</f>
        <v>43466</v>
      </c>
      <c r="B91" s="84">
        <f t="shared" si="19"/>
        <v>31</v>
      </c>
      <c r="C91" s="85">
        <f>IF('Personalized Bill Menu'!$B$34="Natural Gas", 'Personalized Bill Menu'!$I88, IF('Personalized Bill Menu'!$B$34="Both",'Personalized Bill Menu'!$M88,""))</f>
        <v>16.841756141444122</v>
      </c>
      <c r="D91" s="66">
        <f t="shared" ca="1" si="20"/>
        <v>7.1767337192206488</v>
      </c>
      <c r="E91" s="66">
        <f ca="1">IF($C91="Not Applicable", "", IFERROR(IFERROR((1+$AS91)*IF('Personalized Bill Menu'!$B$23="ATCO-N", IF(OR('Personalized Bill Menu'!$B$21="Fort McMurray",AND('Personalized Bill Menu'!$B$21="Spruce Grove", $A91&lt;DATE(2019, 5, 1) )),(((1+IF($T91="",0,$T91))*($N91+$P91))+ (IF($U91="", 0, $U91)*$P91)+(1+IF($T91="",0,$T91)+IF($U91="", 0, $U91))*(SUM($Y91:$AB91))),($N91+((1+IF($T91="",0,$T91)+IF($U91="", 0, $U91))*$P91)+(1+IF($T91="",0,$T91)+IF($U91="", 0, $U91))*(SUM($Y91:$AB91)))), IF('Personalized Bill Menu'!$B$23="ATCO-S",IF(OR('Personalized Bill Menu'!$B$21="Calgary",AND('Personalized Bill Menu'!$B$21="Okotoks", $A91&lt;DATE(2019, 1, 1))),((1+IF($T91="",0,$T91))*($N91+$P91+SUM($X91:$Y91,$AA91:$AC91)))+(IF($U91="",0, $U91)*($P91+SUM($X91:$Y91,$AA91:$AC91))), ((1+IF($T91="",0,$T91))*($P91+SUM($Y91,$AA91:$AC91)))+(IF($U91="",0, $U91)*($P91+SUM($X91:$Y91,$AA91:$AC91)))+$N91+IF($X91="", 0, $X91)),IF(AND('Personalized Bill Menu'!$B$21="Athabasca", $A91&lt;DATE(2019, 5, 1)),((1+IF($T91="",0,$T91)+IF($U91="", 0, $U91))*($N91+((1+SUM($X91:$Y91))*$P91)+SUM($Z91:$AA91))),((1+IF($U91="", 0, $U91))*($N91+((1+SUM($X91:$Y91))*$P91)+SUM($Z91:$AA91))) + (IF($T91="",0,$T91)*(((1+SUM($X91:$Y91))*$P91)+SUM($Z91:$AA91)))))), "")+ IF($AQ91="", 0,((1+$AS91)*$AQ91)), ""))</f>
        <v>4.8536507249999996</v>
      </c>
      <c r="F91" s="118">
        <f t="shared" ca="1" si="21"/>
        <v>120.86879919119347</v>
      </c>
      <c r="G91" s="115">
        <f t="shared" si="15"/>
        <v>25.515260554287845</v>
      </c>
      <c r="H91" s="66">
        <f t="shared" ca="1" si="16"/>
        <v>39.90881584125718</v>
      </c>
      <c r="I91" s="66">
        <f t="shared" ca="1" si="17"/>
        <v>8.1124896049438657</v>
      </c>
      <c r="J91" s="66">
        <f t="shared" ca="1" si="22"/>
        <v>7.5956320197913003</v>
      </c>
      <c r="K91" s="66">
        <f t="shared" si="18"/>
        <v>8.4320000000000004</v>
      </c>
      <c r="L91" s="66">
        <f t="shared" ca="1" si="23"/>
        <v>25.548944066570733</v>
      </c>
      <c r="M91" s="68">
        <f t="shared" ca="1" si="24"/>
        <v>5.7556571043425464</v>
      </c>
      <c r="N91" s="1290">
        <f>IF('Personalized Bill Menu'!$B$34="Natural Gas", 'Personalized Bill Menu'!$J88, IF('Personalized Bill Menu'!$B$34="Both",'Personalized Bill Menu'!$N88,""))</f>
        <v>1.5149999999999999</v>
      </c>
      <c r="O91" s="70">
        <f t="shared" si="25"/>
        <v>25.515260554287845</v>
      </c>
      <c r="P91" s="89">
        <f ca="1">IF($A91="", "",IFERROR(IF(VLOOKUP($A91, INDIRECT("'" &amp; 'Personalized Bill Menu'!$B$23 &amp; "'!" &amp;"$A$4:$CA$100"), VLOOKUP(VLOOKUP(P$5,'Misc. Data &amp; Mechanisms'!$P$601:$S$632,HLOOKUP('Personalized Bill Menu'!$B$23, 'Misc. Data &amp; Mechanisms'!$P$599:$S$600, 2, FALSE), FALSE), 'Misc. Data &amp; Mechanisms'!$L$599:$N$659, 2, FALSE), FALSE) = "", "", VLOOKUP($A91, INDIRECT("'" &amp; 'Personalized Bill Menu'!$B$23 &amp; "'!" &amp;"$A$4:$CA$100"), VLOOKUP(VLOOKUP(P$5,'Misc. Data &amp; Mechanisms'!$P$601:$S$632,HLOOKUP('Personalized Bill Menu'!$B$23, 'Misc. Data &amp; Mechanisms'!$P$599:$S$600, 2, FALSE), FALSE), 'Misc. Data &amp; Mechanisms'!$L$599:$N$659, 2, FALSE), FALSE)), ""))</f>
        <v>0.82899999999999996</v>
      </c>
      <c r="Q91" s="69">
        <f ca="1">IF($A91="", "",IFERROR(IF(VLOOKUP($A91, INDIRECT("'" &amp; 'Personalized Bill Menu'!$B$23 &amp; "'!" &amp;"$A$4:$CA$100"), VLOOKUP(VLOOKUP(Q$5,'Misc. Data &amp; Mechanisms'!$P$601:$S$632,HLOOKUP('Personalized Bill Menu'!$B$23, 'Misc. Data &amp; Mechanisms'!$P$599:$S$600, 2, FALSE), FALSE), 'Misc. Data &amp; Mechanisms'!$L$599:$N$659, 2, FALSE), FALSE) = "", "", VLOOKUP($A91, INDIRECT("'" &amp; 'Personalized Bill Menu'!$B$23 &amp; "'!" &amp;"$A$4:$CA$100"), VLOOKUP(VLOOKUP(Q$5,'Misc. Data &amp; Mechanisms'!$P$601:$S$632,HLOOKUP('Personalized Bill Menu'!$B$23, 'Misc. Data &amp; Mechanisms'!$P$599:$S$600, 2, FALSE), FALSE), 'Misc. Data &amp; Mechanisms'!$L$599:$N$659, 2, FALSE), FALSE)), ""))</f>
        <v>0.83699999999999997</v>
      </c>
      <c r="R91" s="72">
        <f t="shared" ca="1" si="26"/>
        <v>13.961815841257177</v>
      </c>
      <c r="S91" s="70">
        <f t="shared" ca="1" si="27"/>
        <v>25.946999999999999</v>
      </c>
      <c r="T91" s="78">
        <f>IFERROR(IF(VLOOKUP($A91,'Misc. Data &amp; Mechanisms'!$A$63:$DY$152,HLOOKUP('Personalized Bill Menu'!$B$21&amp;"_"&amp;'Personalized Bill Menu'!$B$23&amp;"_NG_Y_1",'Misc. Data &amp; Mechanisms'!$A$55:$DY$62,8,FALSE), FALSE)="", "", VLOOKUP($A91,'Misc. Data &amp; Mechanisms'!$A$63:$DY$152,HLOOKUP('Personalized Bill Menu'!$B$21&amp;"_"&amp;'Personalized Bill Menu'!$B$23&amp;"_NG_Y_1",'Misc. Data &amp; Mechanisms'!$A$55:$DY$62,8,FALSE), FALSE)), "")</f>
        <v>0.1111</v>
      </c>
      <c r="U91" s="78" t="str">
        <f>IFERROR(IF(VLOOKUP($A91,'Misc. Data &amp; Mechanisms'!$A$63:$DY$152,HLOOKUP('Personalized Bill Menu'!$B$21&amp;"_"&amp;'Personalized Bill Menu'!$B$23&amp;"_NG_Y_2",'Misc. Data &amp; Mechanisms'!$A$55:$DY$62,8,FALSE), FALSE)="", "",VLOOKUP($A91,'Misc. Data &amp; Mechanisms'!$A$63:$DY$152,HLOOKUP('Personalized Bill Menu'!$B$21&amp;"_"&amp;'Personalized Bill Menu'!$B$23&amp;"_NG_Y_2",'Misc. Data &amp; Mechanisms'!$A$55:$DY$62,8,FALSE), FALSE)), "")</f>
        <v/>
      </c>
      <c r="V91" s="72">
        <f ca="1">IF($A91="", "", IFERROR(IF('Personalized Bill Menu'!$B$23="ATCO-N", IF(OR('Personalized Bill Menu'!$B$21="Fort McMurray",AND('Personalized Bill Menu'!$B$21="Spruce Grove", $A91&lt;DATE(2019, 5, 1))),$T91*($G91+$H91+$J91),$T91*($H91+$J91)), IF('Personalized Bill Menu'!$B$23="ATCO-S",IF(OR('Personalized Bill Menu'!$B$21="Calgary",AND('Personalized Bill Menu'!$B$21="Okotoks", $A91&lt;DATE(2019, 1, 1))),$T91*($G91+$H91+$J91), $T91*($H91+$J91-$AG91)),IF(AND('Personalized Bill Menu'!$B$21="Athabasca", $A91&lt;DATE(2019, 5, 1)),$T91*($G91+$H91+$J91+$K91),$T91*($H91+$J91+$K91)))),0))</f>
        <v>8.1124896049438657</v>
      </c>
      <c r="W91" s="70">
        <f ca="1">IF($A91="", "", IFERROR(IF('Personalized Bill Menu'!$B$23="ATCO-N", $U91*($H91+$J91), IF('Personalized Bill Menu'!$B$23="ATCO-S",$U91*($H91+$J91),$U91*($G91+$H91+$J91+$K91))),0))</f>
        <v>0</v>
      </c>
      <c r="X91" s="89" t="str">
        <f ca="1">IF($A91="", "",IFERROR(IF(VLOOKUP($A91, INDIRECT("'" &amp; 'Personalized Bill Menu'!$B$23 &amp; "'!" &amp;"$A$4:$CA$100"), VLOOKUP(VLOOKUP("RIDER RATE 1",'Misc. Data &amp; Mechanisms'!$P$601:$S$632,HLOOKUP('Personalized Bill Menu'!$B$23, 'Misc. Data &amp; Mechanisms'!$P$599:$S$600, 2, FALSE), FALSE), 'Misc. Data &amp; Mechanisms'!$L$599:$N$659, 2, FALSE), FALSE) = "", "", VLOOKUP($A91, INDIRECT("'" &amp; 'Personalized Bill Menu'!$B$23 &amp; "'!" &amp;"$A$4:$CA$100"), VLOOKUP(VLOOKUP("RIDER RATE 1",'Misc. Data &amp; Mechanisms'!$P$601:$S$632,HLOOKUP('Personalized Bill Menu'!$B$23, 'Misc. Data &amp; Mechanisms'!$P$599:$S$600, 2, FALSE), FALSE), 'Misc. Data &amp; Mechanisms'!$L$599:$N$659, 2, FALSE), FALSE)), ""))</f>
        <v/>
      </c>
      <c r="Y91" s="69" t="str">
        <f ca="1">IF($A91="", "",IFERROR(IF(VLOOKUP($A91, INDIRECT("'" &amp; 'Personalized Bill Menu'!$B$23 &amp; "'!" &amp;"$A$4:$CA$100"), VLOOKUP(VLOOKUP("RIDER RATE 2",'Misc. Data &amp; Mechanisms'!$P$601:$S$632,HLOOKUP('Personalized Bill Menu'!$B$23, 'Misc. Data &amp; Mechanisms'!$P$599:$S$600, 2, FALSE), FALSE), 'Misc. Data &amp; Mechanisms'!$L$599:$N$659, 2, FALSE), FALSE) = "", "", VLOOKUP($A91, INDIRECT("'" &amp; 'Personalized Bill Menu'!$B$23 &amp; "'!" &amp;"$A$4:$CA$100"), VLOOKUP(VLOOKUP("RIDER RATE 2",'Misc. Data &amp; Mechanisms'!$P$601:$S$632,HLOOKUP('Personalized Bill Menu'!$B$23, 'Misc. Data &amp; Mechanisms'!$P$599:$S$600, 2, FALSE), FALSE), 'Misc. Data &amp; Mechanisms'!$L$599:$N$659, 2, FALSE), FALSE)), ""))</f>
        <v/>
      </c>
      <c r="Z91" s="69" t="str">
        <f ca="1">IF($A91="", "",IFERROR(IF(VLOOKUP($A91, INDIRECT("'" &amp; 'Personalized Bill Menu'!$B$23 &amp; "'!" &amp;"$A$4:$CA$100"), VLOOKUP(VLOOKUP("RIDER RATE 3",'Misc. Data &amp; Mechanisms'!$P$601:$S$632,HLOOKUP('Personalized Bill Menu'!$B$23, 'Misc. Data &amp; Mechanisms'!$P$599:$S$600, 2, FALSE), FALSE), 'Misc. Data &amp; Mechanisms'!$L$599:$N$659, 2, FALSE), FALSE) = "", "", VLOOKUP($A91, INDIRECT("'" &amp; 'Personalized Bill Menu'!$B$23 &amp; "'!" &amp;"$A$4:$CA$100"), VLOOKUP(VLOOKUP("RIDER RATE 3",'Misc. Data &amp; Mechanisms'!$P$601:$S$632,HLOOKUP('Personalized Bill Menu'!$B$23, 'Misc. Data &amp; Mechanisms'!$P$599:$S$600, 2, FALSE), FALSE), 'Misc. Data &amp; Mechanisms'!$L$599:$N$659, 2, FALSE), FALSE)), ""))</f>
        <v/>
      </c>
      <c r="AA91" s="69" t="str">
        <f ca="1">IF($A91="", "",IFERROR(IF(VLOOKUP($A91, INDIRECT("'" &amp; 'Personalized Bill Menu'!$B$23 &amp; "'!" &amp;"$A$4:$CA$100"), VLOOKUP(VLOOKUP("RIDER RATE 4",'Misc. Data &amp; Mechanisms'!$P$601:$S$632,HLOOKUP('Personalized Bill Menu'!$B$23, 'Misc. Data &amp; Mechanisms'!$P$599:$S$600, 2, FALSE), FALSE), 'Misc. Data &amp; Mechanisms'!$L$599:$N$659, 2, FALSE), FALSE) = "", "", VLOOKUP($A91, INDIRECT("'" &amp; 'Personalized Bill Menu'!$B$23 &amp; "'!" &amp;"$A$4:$CA$100"), VLOOKUP(VLOOKUP("RIDER RATE 4",'Misc. Data &amp; Mechanisms'!$P$601:$S$632,HLOOKUP('Personalized Bill Menu'!$B$23, 'Misc. Data &amp; Mechanisms'!$P$599:$S$600, 2, FALSE), FALSE), 'Misc. Data &amp; Mechanisms'!$L$599:$N$659, 2, FALSE), FALSE)), ""))</f>
        <v/>
      </c>
      <c r="AB91" s="69">
        <f ca="1">IF($A91="", "",IFERROR(IF(VLOOKUP($A91, INDIRECT("'" &amp; 'Personalized Bill Menu'!$B$23 &amp; "'!" &amp;"$A$4:$CA$100"), VLOOKUP(VLOOKUP("RIDER RATE 5",'Misc. Data &amp; Mechanisms'!$P$601:$S$632,HLOOKUP('Personalized Bill Menu'!$B$23, 'Misc. Data &amp; Mechanisms'!$P$599:$S$600, 2, FALSE), FALSE), 'Misc. Data &amp; Mechanisms'!$L$599:$N$659, 2, FALSE), FALSE) = "", "", VLOOKUP($A91, INDIRECT("'" &amp; 'Personalized Bill Menu'!$B$23 &amp; "'!" &amp;"$A$4:$CA$100"), VLOOKUP(VLOOKUP("RIDER RATE 5",'Misc. Data &amp; Mechanisms'!$P$601:$S$632,HLOOKUP('Personalized Bill Menu'!$B$23, 'Misc. Data &amp; Mechanisms'!$P$599:$S$600, 2, FALSE), FALSE), 'Misc. Data &amp; Mechanisms'!$L$599:$N$659, 2, FALSE), FALSE)), ""))</f>
        <v>0.55600000000000005</v>
      </c>
      <c r="AC91" s="69">
        <f ca="1">IF($A91="", "",IFERROR(IF(VLOOKUP($A91, INDIRECT("'" &amp; 'Personalized Bill Menu'!$B$23 &amp; "'!" &amp;"$A$4:$CA$100"), VLOOKUP(VLOOKUP("RIDER RATE 6",'Misc. Data &amp; Mechanisms'!$P$601:$S$632,HLOOKUP('Personalized Bill Menu'!$B$23, 'Misc. Data &amp; Mechanisms'!$P$599:$S$600, 2, FALSE), FALSE), 'Misc. Data &amp; Mechanisms'!$L$599:$N$659, 2, FALSE), FALSE) = "", "", VLOOKUP($A91, INDIRECT("'" &amp; 'Personalized Bill Menu'!$B$23 &amp; "'!" &amp;"$A$4:$CA$100"), VLOOKUP(VLOOKUP("RIDER RATE 6",'Misc. Data &amp; Mechanisms'!$P$601:$S$632,HLOOKUP('Personalized Bill Menu'!$B$23, 'Misc. Data &amp; Mechanisms'!$P$599:$S$600, 2, FALSE), FALSE), 'Misc. Data &amp; Mechanisms'!$L$599:$N$659, 2, FALSE), FALSE)), ""))</f>
        <v>-0.105</v>
      </c>
      <c r="AD91" s="69" t="str">
        <f ca="1">IF($A91="", "",IFERROR(IF(VLOOKUP($A91, INDIRECT("'" &amp; 'Personalized Bill Menu'!$B$23 &amp; "'!" &amp;"$A$4:$CA$100"), VLOOKUP(VLOOKUP("RIDER RATE 7",'Misc. Data &amp; Mechanisms'!$P$601:$S$632,HLOOKUP('Personalized Bill Menu'!$B$23, 'Misc. Data &amp; Mechanisms'!$P$599:$S$600, 2, FALSE), FALSE), 'Misc. Data &amp; Mechanisms'!$L$599:$N$659, 2, FALSE), FALSE) = "", "", VLOOKUP($A91, INDIRECT("'" &amp; 'Personalized Bill Menu'!$B$23 &amp; "'!" &amp;"$A$4:$CA$100"), VLOOKUP(VLOOKUP("RIDER RATE 7",'Misc. Data &amp; Mechanisms'!$P$601:$S$632,HLOOKUP('Personalized Bill Menu'!$B$23, 'Misc. Data &amp; Mechanisms'!$P$599:$S$600, 2, FALSE), FALSE), 'Misc. Data &amp; Mechanisms'!$L$599:$N$659, 2, FALSE), FALSE)), ""))</f>
        <v/>
      </c>
      <c r="AE91" s="69" t="str">
        <f ca="1">IF($A91="", "",IFERROR(IF(VLOOKUP($A91, INDIRECT("'" &amp; 'Personalized Bill Menu'!$B$23 &amp; "'!" &amp;"$A$4:$CA$100"), VLOOKUP(VLOOKUP("RIDER RATE 8",'Misc. Data &amp; Mechanisms'!$P$601:$S$632,HLOOKUP('Personalized Bill Menu'!$B$23, 'Misc. Data &amp; Mechanisms'!$P$599:$S$600, 2, FALSE), FALSE), 'Misc. Data &amp; Mechanisms'!$L$599:$N$659, 2, FALSE), FALSE) = "", "", VLOOKUP($A91, INDIRECT("'" &amp; 'Personalized Bill Menu'!$B$23 &amp; "'!" &amp;"$A$4:$CA$100"), VLOOKUP(VLOOKUP("RIDER RATE 8",'Misc. Data &amp; Mechanisms'!$P$601:$S$632,HLOOKUP('Personalized Bill Menu'!$B$23, 'Misc. Data &amp; Mechanisms'!$P$599:$S$600, 2, FALSE), FALSE), 'Misc. Data &amp; Mechanisms'!$L$599:$N$659, 2, FALSE), FALSE)), ""))</f>
        <v/>
      </c>
      <c r="AF91" s="69" t="str">
        <f ca="1">IF($A91="", "",IFERROR(IF(VLOOKUP($A91, INDIRECT("'" &amp; 'Personalized Bill Menu'!$B$23 &amp; "'!" &amp;"$A$4:$CA$100"), VLOOKUP(VLOOKUP("RIDER RATE 9",'Misc. Data &amp; Mechanisms'!$P$601:$S$632,HLOOKUP('Personalized Bill Menu'!$B$23, 'Misc. Data &amp; Mechanisms'!$P$599:$S$600, 2, FALSE), FALSE), 'Misc. Data &amp; Mechanisms'!$L$599:$N$659, 2, FALSE), FALSE) = "", "", VLOOKUP($A91, INDIRECT("'" &amp; 'Personalized Bill Menu'!$B$23 &amp; "'!" &amp;"$A$4:$CA$100"), VLOOKUP(VLOOKUP("RIDER RATE 9",'Misc. Data &amp; Mechanisms'!$P$601:$S$632,HLOOKUP('Personalized Bill Menu'!$B$23, 'Misc. Data &amp; Mechanisms'!$P$599:$S$600, 2, FALSE), FALSE), 'Misc. Data &amp; Mechanisms'!$L$599:$N$659, 2, FALSE), FALSE)), ""))</f>
        <v/>
      </c>
      <c r="AG91" s="72">
        <f ca="1">IF($A91="", "", IFERROR(IF('Personalized Bill Menu'!$B$23="ATCO-N", ($X91*$B91) +($Y91*$C91), IF('Personalized Bill Menu'!$B$23="ATCO-S",$X91*$C91, IF($Y91="", ($X91*$H91), ($Y91*($H91+$K91))))), 0))</f>
        <v>0</v>
      </c>
      <c r="AH91" s="72">
        <f ca="1">IF($A91="", "", IFERROR(IF('Personalized Bill Menu'!$B$23="ATCO-S", $Y91*$C91, $Z91*$C91), 0))</f>
        <v>0</v>
      </c>
      <c r="AI91" s="72">
        <f ca="1">IF($A91="", "", IFERROR(IF('Personalized Bill Menu'!$B$23="ATCO-S", ($AA91*$C91)+($Z91*$B91), $AA91*$C91), 0))</f>
        <v>0</v>
      </c>
      <c r="AJ91" s="72">
        <f ca="1">IF($A91="", "", IFERROR(IF('Personalized Bill Menu'!$B$23&lt;&gt;"AltaGas",$AB91*$C91,""),0))</f>
        <v>9.3640164146429328</v>
      </c>
      <c r="AK91" s="72">
        <f ca="1">IF($A91="", "", IFERROR(IF('Personalized Bill Menu'!$B$23="ATCO-S",$AC91*$C91,IF('Personalized Bill Menu'!$B$23="ATCO-N",$AC91*1,"")),0))</f>
        <v>-1.7683843948516327</v>
      </c>
      <c r="AL91" s="72">
        <f ca="1">IF($A91="", "", IFERROR(IF('Personalized Bill Menu'!$B$23="ATCO-N",$AD91*$B91,IF('Personalized Bill Menu'!$B$23="ATCO-S",$AD91*1,"")),0))</f>
        <v>0</v>
      </c>
      <c r="AM91" s="72">
        <f ca="1">IF($A91="", "", IFERROR(IF('Personalized Bill Menu'!$B$23="ATCO-S",$AE91*$B91,IF('Personalized Bill Menu'!$B$23="ATCO-N",$AE91*$B91,"")),0))</f>
        <v>0</v>
      </c>
      <c r="AN91" s="70">
        <f ca="1">IF($A91="", "", IFERROR(IF('Personalized Bill Menu'!$B$23="ATCO-S",$AF91*$B91,""),0))</f>
        <v>0</v>
      </c>
      <c r="AO91" s="69">
        <f>IF('Personalized Bill Menu'!$B$34="Natural Gas", 'Personalized Bill Menu'!$K88, IF('Personalized Bill Menu'!$B$34="Both",'Personalized Bill Menu'!$O88,""))</f>
        <v>0.27200000000000002</v>
      </c>
      <c r="AP91" s="70">
        <f t="shared" si="28"/>
        <v>8.4320000000000004</v>
      </c>
      <c r="AQ91" s="89">
        <f ca="1">IF($A91="", "",IF(VLOOKUP($A91, INDIRECT("'" &amp; 'Personalized Bill Menu'!$B$23 &amp; "'!" &amp;"$A$4:$CA$100"), VLOOKUP(VLOOKUP(AQ$5,'Misc. Data &amp; Mechanisms'!$P$601:$S$632,HLOOKUP('Personalized Bill Menu'!$B$23, 'Misc. Data &amp; Mechanisms'!$P$599:$S$600, 2, FALSE), FALSE), 'Misc. Data &amp; Mechanisms'!$L$599:$N$659, 2, FALSE), FALSE) = "", "", VLOOKUP($A91, INDIRECT("'" &amp; 'Personalized Bill Menu'!$B$23 &amp; "'!" &amp;"$A$4:$CA$100"), VLOOKUP(VLOOKUP(AQ$5,'Misc. Data &amp; Mechanisms'!$P$601:$S$632,HLOOKUP('Personalized Bill Menu'!$B$23, 'Misc. Data &amp; Mechanisms'!$P$599:$S$600, 2, FALSE), FALSE), 'Misc. Data &amp; Mechanisms'!$L$599:$N$659, 2, FALSE), FALSE)))</f>
        <v>1.5169999999999999</v>
      </c>
      <c r="AR91" s="70">
        <f t="shared" ca="1" si="29"/>
        <v>25.548944066570733</v>
      </c>
      <c r="AS91" s="91">
        <f ca="1">IF($A91="", "",IF(VLOOKUP($A91, INDIRECT("'" &amp; 'Personalized Bill Menu'!$B$23 &amp; "'!" &amp;"$A$4:$CA$100"), VLOOKUP(VLOOKUP(AS$5,'Misc. Data &amp; Mechanisms'!$P$601:$S$632,HLOOKUP('Personalized Bill Menu'!$B$23, 'Misc. Data &amp; Mechanisms'!$P$599:$S$600, 2, FALSE), FALSE), 'Misc. Data &amp; Mechanisms'!$L$599:$N$659, 2, FALSE), FALSE) = "", "", VLOOKUP($A91, INDIRECT("'" &amp; 'Personalized Bill Menu'!$B$23 &amp; "'!" &amp;"$A$4:$CA$100"), VLOOKUP(VLOOKUP(AS$5,'Misc. Data &amp; Mechanisms'!$P$601:$S$632,HLOOKUP('Personalized Bill Menu'!$B$23, 'Misc. Data &amp; Mechanisms'!$P$599:$S$600, 2, FALSE), FALSE), 'Misc. Data &amp; Mechanisms'!$L$599:$N$659, 2, FALSE), FALSE)))</f>
        <v>0.05</v>
      </c>
    </row>
    <row r="92" spans="1:45" x14ac:dyDescent="0.3">
      <c r="A92" s="83">
        <f>'Personalized Bill Menu'!$H89</f>
        <v>43497</v>
      </c>
      <c r="B92" s="84">
        <f t="shared" si="19"/>
        <v>28</v>
      </c>
      <c r="C92" s="85">
        <f>IF('Personalized Bill Menu'!$B$34="Natural Gas", 'Personalized Bill Menu'!$I89, IF('Personalized Bill Menu'!$B$34="Both",'Personalized Bill Menu'!$M89,""))</f>
        <v>26.110234067013611</v>
      </c>
      <c r="D92" s="66">
        <f t="shared" ca="1" si="20"/>
        <v>6.8750971842360658</v>
      </c>
      <c r="E92" s="66">
        <f ca="1">IF($C92="Not Applicable", "", IFERROR(IFERROR((1+$AS92)*IF('Personalized Bill Menu'!$B$23="ATCO-N", IF(OR('Personalized Bill Menu'!$B$21="Fort McMurray",AND('Personalized Bill Menu'!$B$21="Spruce Grove", $A92&lt;DATE(2019, 5, 1) )),(((1+IF($T92="",0,$T92))*($N92+$P92))+ (IF($U92="", 0, $U92)*$P92)+(1+IF($T92="",0,$T92)+IF($U92="", 0, $U92))*(SUM($Y92:$AB92))),($N92+((1+IF($T92="",0,$T92)+IF($U92="", 0, $U92))*$P92)+(1+IF($T92="",0,$T92)+IF($U92="", 0, $U92))*(SUM($Y92:$AB92)))), IF('Personalized Bill Menu'!$B$23="ATCO-S",IF(OR('Personalized Bill Menu'!$B$21="Calgary",AND('Personalized Bill Menu'!$B$21="Okotoks", $A92&lt;DATE(2019, 1, 1))),((1+IF($T92="",0,$T92))*($N92+$P92+SUM($X92:$Y92,$AA92:$AC92)))+(IF($U92="",0, $U92)*($P92+SUM($X92:$Y92,$AA92:$AC92))), ((1+IF($T92="",0,$T92))*($P92+SUM($Y92,$AA92:$AC92)))+(IF($U92="",0, $U92)*($P92+SUM($X92:$Y92,$AA92:$AC92)))+$N92+IF($X92="", 0, $X92)),IF(AND('Personalized Bill Menu'!$B$21="Athabasca", $A92&lt;DATE(2019, 5, 1)),((1+IF($T92="",0,$T92)+IF($U92="", 0, $U92))*($N92+((1+SUM($X92:$Y92))*$P92)+SUM($Z92:$AA92))),((1+IF($U92="", 0, $U92))*($N92+((1+SUM($X92:$Y92))*$P92)+SUM($Z92:$AA92))) + (IF($T92="",0,$T92)*(((1+SUM($X92:$Y92))*$P92)+SUM($Z92:$AA92)))))), "")+ IF($AQ92="", 0,((1+$AS92)*$AQ92)), ""))</f>
        <v>5.4078118499999999</v>
      </c>
      <c r="F92" s="118">
        <f t="shared" ca="1" si="21"/>
        <v>179.51039671386988</v>
      </c>
      <c r="G92" s="115">
        <f t="shared" si="15"/>
        <v>51.959365793357087</v>
      </c>
      <c r="H92" s="66">
        <f t="shared" ca="1" si="16"/>
        <v>45.081384041554287</v>
      </c>
      <c r="I92" s="66">
        <f t="shared" ca="1" si="17"/>
        <v>12.372592105843843</v>
      </c>
      <c r="J92" s="66">
        <f t="shared" ca="1" si="22"/>
        <v>14.323715564223139</v>
      </c>
      <c r="K92" s="66">
        <f t="shared" si="18"/>
        <v>7.6160000000000005</v>
      </c>
      <c r="L92" s="66">
        <f t="shared" ca="1" si="23"/>
        <v>39.609225079659645</v>
      </c>
      <c r="M92" s="68">
        <f t="shared" ca="1" si="24"/>
        <v>8.5481141292318998</v>
      </c>
      <c r="N92" s="1290">
        <f>IF('Personalized Bill Menu'!$B$34="Natural Gas", 'Personalized Bill Menu'!$J89, IF('Personalized Bill Menu'!$B$34="Both",'Personalized Bill Menu'!$N89,""))</f>
        <v>1.99</v>
      </c>
      <c r="O92" s="70">
        <f t="shared" si="25"/>
        <v>51.959365793357087</v>
      </c>
      <c r="P92" s="89">
        <f ca="1">IF($A92="", "",IFERROR(IF(VLOOKUP($A92, INDIRECT("'" &amp; 'Personalized Bill Menu'!$B$23 &amp; "'!" &amp;"$A$4:$CA$100"), VLOOKUP(VLOOKUP(P$5,'Misc. Data &amp; Mechanisms'!$P$601:$S$632,HLOOKUP('Personalized Bill Menu'!$B$23, 'Misc. Data &amp; Mechanisms'!$P$599:$S$600, 2, FALSE), FALSE), 'Misc. Data &amp; Mechanisms'!$L$599:$N$659, 2, FALSE), FALSE) = "", "", VLOOKUP($A92, INDIRECT("'" &amp; 'Personalized Bill Menu'!$B$23 &amp; "'!" &amp;"$A$4:$CA$100"), VLOOKUP(VLOOKUP(P$5,'Misc. Data &amp; Mechanisms'!$P$601:$S$632,HLOOKUP('Personalized Bill Menu'!$B$23, 'Misc. Data &amp; Mechanisms'!$P$599:$S$600, 2, FALSE), FALSE), 'Misc. Data &amp; Mechanisms'!$L$599:$N$659, 2, FALSE), FALSE)), ""))</f>
        <v>0.82899999999999996</v>
      </c>
      <c r="Q92" s="69">
        <f ca="1">IF($A92="", "",IFERROR(IF(VLOOKUP($A92, INDIRECT("'" &amp; 'Personalized Bill Menu'!$B$23 &amp; "'!" &amp;"$A$4:$CA$100"), VLOOKUP(VLOOKUP(Q$5,'Misc. Data &amp; Mechanisms'!$P$601:$S$632,HLOOKUP('Personalized Bill Menu'!$B$23, 'Misc. Data &amp; Mechanisms'!$P$599:$S$600, 2, FALSE), FALSE), 'Misc. Data &amp; Mechanisms'!$L$599:$N$659, 2, FALSE), FALSE) = "", "", VLOOKUP($A92, INDIRECT("'" &amp; 'Personalized Bill Menu'!$B$23 &amp; "'!" &amp;"$A$4:$CA$100"), VLOOKUP(VLOOKUP(Q$5,'Misc. Data &amp; Mechanisms'!$P$601:$S$632,HLOOKUP('Personalized Bill Menu'!$B$23, 'Misc. Data &amp; Mechanisms'!$P$599:$S$600, 2, FALSE), FALSE), 'Misc. Data &amp; Mechanisms'!$L$599:$N$659, 2, FALSE), FALSE)), ""))</f>
        <v>0.83699999999999997</v>
      </c>
      <c r="R92" s="72">
        <f t="shared" ca="1" si="26"/>
        <v>21.645384041554284</v>
      </c>
      <c r="S92" s="70">
        <f t="shared" ca="1" si="27"/>
        <v>23.436</v>
      </c>
      <c r="T92" s="78">
        <f>IFERROR(IF(VLOOKUP($A92,'Misc. Data &amp; Mechanisms'!$A$63:$DY$152,HLOOKUP('Personalized Bill Menu'!$B$21&amp;"_"&amp;'Personalized Bill Menu'!$B$23&amp;"_NG_Y_1",'Misc. Data &amp; Mechanisms'!$A$55:$DY$62,8,FALSE), FALSE)="", "", VLOOKUP($A92,'Misc. Data &amp; Mechanisms'!$A$63:$DY$152,HLOOKUP('Personalized Bill Menu'!$B$21&amp;"_"&amp;'Personalized Bill Menu'!$B$23&amp;"_NG_Y_1",'Misc. Data &amp; Mechanisms'!$A$55:$DY$62,8,FALSE), FALSE)), "")</f>
        <v>0.1111</v>
      </c>
      <c r="U92" s="78" t="str">
        <f>IFERROR(IF(VLOOKUP($A92,'Misc. Data &amp; Mechanisms'!$A$63:$DY$152,HLOOKUP('Personalized Bill Menu'!$B$21&amp;"_"&amp;'Personalized Bill Menu'!$B$23&amp;"_NG_Y_2",'Misc. Data &amp; Mechanisms'!$A$55:$DY$62,8,FALSE), FALSE)="", "",VLOOKUP($A92,'Misc. Data &amp; Mechanisms'!$A$63:$DY$152,HLOOKUP('Personalized Bill Menu'!$B$21&amp;"_"&amp;'Personalized Bill Menu'!$B$23&amp;"_NG_Y_2",'Misc. Data &amp; Mechanisms'!$A$55:$DY$62,8,FALSE), FALSE)), "")</f>
        <v/>
      </c>
      <c r="V92" s="72">
        <f ca="1">IF($A92="", "", IFERROR(IF('Personalized Bill Menu'!$B$23="ATCO-N", IF(OR('Personalized Bill Menu'!$B$21="Fort McMurray",AND('Personalized Bill Menu'!$B$21="Spruce Grove", $A92&lt;DATE(2019, 5, 1))),$T92*($G92+$H92+$J92),$T92*($H92+$J92)), IF('Personalized Bill Menu'!$B$23="ATCO-S",IF(OR('Personalized Bill Menu'!$B$21="Calgary",AND('Personalized Bill Menu'!$B$21="Okotoks", $A92&lt;DATE(2019, 1, 1))),$T92*($G92+$H92+$J92), $T92*($H92+$J92-$AG92)),IF(AND('Personalized Bill Menu'!$B$21="Athabasca", $A92&lt;DATE(2019, 5, 1)),$T92*($G92+$H92+$J92+$K92),$T92*($H92+$J92+$K92)))),0))</f>
        <v>12.372592105843843</v>
      </c>
      <c r="W92" s="70">
        <f ca="1">IF($A92="", "", IFERROR(IF('Personalized Bill Menu'!$B$23="ATCO-N", $U92*($H92+$J92), IF('Personalized Bill Menu'!$B$23="ATCO-S",$U92*($H92+$J92),$U92*($G92+$H92+$J92+$K92))),0))</f>
        <v>0</v>
      </c>
      <c r="X92" s="89" t="str">
        <f ca="1">IF($A92="", "",IFERROR(IF(VLOOKUP($A92, INDIRECT("'" &amp; 'Personalized Bill Menu'!$B$23 &amp; "'!" &amp;"$A$4:$CA$100"), VLOOKUP(VLOOKUP("RIDER RATE 1",'Misc. Data &amp; Mechanisms'!$P$601:$S$632,HLOOKUP('Personalized Bill Menu'!$B$23, 'Misc. Data &amp; Mechanisms'!$P$599:$S$600, 2, FALSE), FALSE), 'Misc. Data &amp; Mechanisms'!$L$599:$N$659, 2, FALSE), FALSE) = "", "", VLOOKUP($A92, INDIRECT("'" &amp; 'Personalized Bill Menu'!$B$23 &amp; "'!" &amp;"$A$4:$CA$100"), VLOOKUP(VLOOKUP("RIDER RATE 1",'Misc. Data &amp; Mechanisms'!$P$601:$S$632,HLOOKUP('Personalized Bill Menu'!$B$23, 'Misc. Data &amp; Mechanisms'!$P$599:$S$600, 2, FALSE), FALSE), 'Misc. Data &amp; Mechanisms'!$L$599:$N$659, 2, FALSE), FALSE)), ""))</f>
        <v/>
      </c>
      <c r="Y92" s="69" t="str">
        <f ca="1">IF($A92="", "",IFERROR(IF(VLOOKUP($A92, INDIRECT("'" &amp; 'Personalized Bill Menu'!$B$23 &amp; "'!" &amp;"$A$4:$CA$100"), VLOOKUP(VLOOKUP("RIDER RATE 2",'Misc. Data &amp; Mechanisms'!$P$601:$S$632,HLOOKUP('Personalized Bill Menu'!$B$23, 'Misc. Data &amp; Mechanisms'!$P$599:$S$600, 2, FALSE), FALSE), 'Misc. Data &amp; Mechanisms'!$L$599:$N$659, 2, FALSE), FALSE) = "", "", VLOOKUP($A92, INDIRECT("'" &amp; 'Personalized Bill Menu'!$B$23 &amp; "'!" &amp;"$A$4:$CA$100"), VLOOKUP(VLOOKUP("RIDER RATE 2",'Misc. Data &amp; Mechanisms'!$P$601:$S$632,HLOOKUP('Personalized Bill Menu'!$B$23, 'Misc. Data &amp; Mechanisms'!$P$599:$S$600, 2, FALSE), FALSE), 'Misc. Data &amp; Mechanisms'!$L$599:$N$659, 2, FALSE), FALSE)), ""))</f>
        <v/>
      </c>
      <c r="Z92" s="69" t="str">
        <f ca="1">IF($A92="", "",IFERROR(IF(VLOOKUP($A92, INDIRECT("'" &amp; 'Personalized Bill Menu'!$B$23 &amp; "'!" &amp;"$A$4:$CA$100"), VLOOKUP(VLOOKUP("RIDER RATE 3",'Misc. Data &amp; Mechanisms'!$P$601:$S$632,HLOOKUP('Personalized Bill Menu'!$B$23, 'Misc. Data &amp; Mechanisms'!$P$599:$S$600, 2, FALSE), FALSE), 'Misc. Data &amp; Mechanisms'!$L$599:$N$659, 2, FALSE), FALSE) = "", "", VLOOKUP($A92, INDIRECT("'" &amp; 'Personalized Bill Menu'!$B$23 &amp; "'!" &amp;"$A$4:$CA$100"), VLOOKUP(VLOOKUP("RIDER RATE 3",'Misc. Data &amp; Mechanisms'!$P$601:$S$632,HLOOKUP('Personalized Bill Menu'!$B$23, 'Misc. Data &amp; Mechanisms'!$P$599:$S$600, 2, FALSE), FALSE), 'Misc. Data &amp; Mechanisms'!$L$599:$N$659, 2, FALSE), FALSE)), ""))</f>
        <v/>
      </c>
      <c r="AA92" s="69" t="str">
        <f ca="1">IF($A92="", "",IFERROR(IF(VLOOKUP($A92, INDIRECT("'" &amp; 'Personalized Bill Menu'!$B$23 &amp; "'!" &amp;"$A$4:$CA$100"), VLOOKUP(VLOOKUP("RIDER RATE 4",'Misc. Data &amp; Mechanisms'!$P$601:$S$632,HLOOKUP('Personalized Bill Menu'!$B$23, 'Misc. Data &amp; Mechanisms'!$P$599:$S$600, 2, FALSE), FALSE), 'Misc. Data &amp; Mechanisms'!$L$599:$N$659, 2, FALSE), FALSE) = "", "", VLOOKUP($A92, INDIRECT("'" &amp; 'Personalized Bill Menu'!$B$23 &amp; "'!" &amp;"$A$4:$CA$100"), VLOOKUP(VLOOKUP("RIDER RATE 4",'Misc. Data &amp; Mechanisms'!$P$601:$S$632,HLOOKUP('Personalized Bill Menu'!$B$23, 'Misc. Data &amp; Mechanisms'!$P$599:$S$600, 2, FALSE), FALSE), 'Misc. Data &amp; Mechanisms'!$L$599:$N$659, 2, FALSE), FALSE)), ""))</f>
        <v/>
      </c>
      <c r="AB92" s="69">
        <f ca="1">IF($A92="", "",IFERROR(IF(VLOOKUP($A92, INDIRECT("'" &amp; 'Personalized Bill Menu'!$B$23 &amp; "'!" &amp;"$A$4:$CA$100"), VLOOKUP(VLOOKUP("RIDER RATE 5",'Misc. Data &amp; Mechanisms'!$P$601:$S$632,HLOOKUP('Personalized Bill Menu'!$B$23, 'Misc. Data &amp; Mechanisms'!$P$599:$S$600, 2, FALSE), FALSE), 'Misc. Data &amp; Mechanisms'!$L$599:$N$659, 2, FALSE), FALSE) = "", "", VLOOKUP($A92, INDIRECT("'" &amp; 'Personalized Bill Menu'!$B$23 &amp; "'!" &amp;"$A$4:$CA$100"), VLOOKUP(VLOOKUP("RIDER RATE 5",'Misc. Data &amp; Mechanisms'!$P$601:$S$632,HLOOKUP('Personalized Bill Menu'!$B$23, 'Misc. Data &amp; Mechanisms'!$P$599:$S$600, 2, FALSE), FALSE), 'Misc. Data &amp; Mechanisms'!$L$599:$N$659, 2, FALSE), FALSE)), ""))</f>
        <v>0.55600000000000005</v>
      </c>
      <c r="AC92" s="69">
        <f ca="1">IF($A92="", "",IFERROR(IF(VLOOKUP($A92, INDIRECT("'" &amp; 'Personalized Bill Menu'!$B$23 &amp; "'!" &amp;"$A$4:$CA$100"), VLOOKUP(VLOOKUP("RIDER RATE 6",'Misc. Data &amp; Mechanisms'!$P$601:$S$632,HLOOKUP('Personalized Bill Menu'!$B$23, 'Misc. Data &amp; Mechanisms'!$P$599:$S$600, 2, FALSE), FALSE), 'Misc. Data &amp; Mechanisms'!$L$599:$N$659, 2, FALSE), FALSE) = "", "", VLOOKUP($A92, INDIRECT("'" &amp; 'Personalized Bill Menu'!$B$23 &amp; "'!" &amp;"$A$4:$CA$100"), VLOOKUP(VLOOKUP("RIDER RATE 6",'Misc. Data &amp; Mechanisms'!$P$601:$S$632,HLOOKUP('Personalized Bill Menu'!$B$23, 'Misc. Data &amp; Mechanisms'!$P$599:$S$600, 2, FALSE), FALSE), 'Misc. Data &amp; Mechanisms'!$L$599:$N$659, 2, FALSE), FALSE)), ""))</f>
        <v>-0.105</v>
      </c>
      <c r="AD92" s="69" t="str">
        <f ca="1">IF($A92="", "",IFERROR(IF(VLOOKUP($A92, INDIRECT("'" &amp; 'Personalized Bill Menu'!$B$23 &amp; "'!" &amp;"$A$4:$CA$100"), VLOOKUP(VLOOKUP("RIDER RATE 7",'Misc. Data &amp; Mechanisms'!$P$601:$S$632,HLOOKUP('Personalized Bill Menu'!$B$23, 'Misc. Data &amp; Mechanisms'!$P$599:$S$600, 2, FALSE), FALSE), 'Misc. Data &amp; Mechanisms'!$L$599:$N$659, 2, FALSE), FALSE) = "", "", VLOOKUP($A92, INDIRECT("'" &amp; 'Personalized Bill Menu'!$B$23 &amp; "'!" &amp;"$A$4:$CA$100"), VLOOKUP(VLOOKUP("RIDER RATE 7",'Misc. Data &amp; Mechanisms'!$P$601:$S$632,HLOOKUP('Personalized Bill Menu'!$B$23, 'Misc. Data &amp; Mechanisms'!$P$599:$S$600, 2, FALSE), FALSE), 'Misc. Data &amp; Mechanisms'!$L$599:$N$659, 2, FALSE), FALSE)), ""))</f>
        <v/>
      </c>
      <c r="AE92" s="69" t="str">
        <f ca="1">IF($A92="", "",IFERROR(IF(VLOOKUP($A92, INDIRECT("'" &amp; 'Personalized Bill Menu'!$B$23 &amp; "'!" &amp;"$A$4:$CA$100"), VLOOKUP(VLOOKUP("RIDER RATE 8",'Misc. Data &amp; Mechanisms'!$P$601:$S$632,HLOOKUP('Personalized Bill Menu'!$B$23, 'Misc. Data &amp; Mechanisms'!$P$599:$S$600, 2, FALSE), FALSE), 'Misc. Data &amp; Mechanisms'!$L$599:$N$659, 2, FALSE), FALSE) = "", "", VLOOKUP($A92, INDIRECT("'" &amp; 'Personalized Bill Menu'!$B$23 &amp; "'!" &amp;"$A$4:$CA$100"), VLOOKUP(VLOOKUP("RIDER RATE 8",'Misc. Data &amp; Mechanisms'!$P$601:$S$632,HLOOKUP('Personalized Bill Menu'!$B$23, 'Misc. Data &amp; Mechanisms'!$P$599:$S$600, 2, FALSE), FALSE), 'Misc. Data &amp; Mechanisms'!$L$599:$N$659, 2, FALSE), FALSE)), ""))</f>
        <v/>
      </c>
      <c r="AF92" s="69">
        <f ca="1">IF($A92="", "",IFERROR(IF(VLOOKUP($A92, INDIRECT("'" &amp; 'Personalized Bill Menu'!$B$23 &amp; "'!" &amp;"$A$4:$CA$100"), VLOOKUP(VLOOKUP("RIDER RATE 9",'Misc. Data &amp; Mechanisms'!$P$601:$S$632,HLOOKUP('Personalized Bill Menu'!$B$23, 'Misc. Data &amp; Mechanisms'!$P$599:$S$600, 2, FALSE), FALSE), 'Misc. Data &amp; Mechanisms'!$L$599:$N$659, 2, FALSE), FALSE) = "", "", VLOOKUP($A92, INDIRECT("'" &amp; 'Personalized Bill Menu'!$B$23 &amp; "'!" &amp;"$A$4:$CA$100"), VLOOKUP(VLOOKUP("RIDER RATE 9",'Misc. Data &amp; Mechanisms'!$P$601:$S$632,HLOOKUP('Personalized Bill Menu'!$B$23, 'Misc. Data &amp; Mechanisms'!$P$599:$S$600, 2, FALSE), FALSE), 'Misc. Data &amp; Mechanisms'!$L$599:$N$659, 2, FALSE), FALSE)), ""))</f>
        <v>9.0999999999999998E-2</v>
      </c>
      <c r="AG92" s="72">
        <f ca="1">IF($A92="", "", IFERROR(IF('Personalized Bill Menu'!$B$23="ATCO-N", ($X92*$B92) +($Y92*$C92), IF('Personalized Bill Menu'!$B$23="ATCO-S",$X92*$C92, IF($Y92="", ($X92*$H92), ($Y92*($H92+$K92))))), 0))</f>
        <v>0</v>
      </c>
      <c r="AH92" s="72">
        <f ca="1">IF($A92="", "", IFERROR(IF('Personalized Bill Menu'!$B$23="ATCO-S", $Y92*$C92, $Z92*$C92), 0))</f>
        <v>0</v>
      </c>
      <c r="AI92" s="72">
        <f ca="1">IF($A92="", "", IFERROR(IF('Personalized Bill Menu'!$B$23="ATCO-S", ($AA92*$C92)+($Z92*$B92), $AA92*$C92), 0))</f>
        <v>0</v>
      </c>
      <c r="AJ92" s="72">
        <f ca="1">IF($A92="", "", IFERROR(IF('Personalized Bill Menu'!$B$23&lt;&gt;"AltaGas",$AB92*$C92,""),0))</f>
        <v>14.517290141259569</v>
      </c>
      <c r="AK92" s="72">
        <f ca="1">IF($A92="", "", IFERROR(IF('Personalized Bill Menu'!$B$23="ATCO-S",$AC92*$C92,IF('Personalized Bill Menu'!$B$23="ATCO-N",$AC92*1,"")),0))</f>
        <v>-2.7415745770364288</v>
      </c>
      <c r="AL92" s="72">
        <f ca="1">IF($A92="", "", IFERROR(IF('Personalized Bill Menu'!$B$23="ATCO-N",$AD92*$B92,IF('Personalized Bill Menu'!$B$23="ATCO-S",$AD92*1,"")),0))</f>
        <v>0</v>
      </c>
      <c r="AM92" s="72">
        <f ca="1">IF($A92="", "", IFERROR(IF('Personalized Bill Menu'!$B$23="ATCO-S",$AE92*$B92,IF('Personalized Bill Menu'!$B$23="ATCO-N",$AE92*$B92,"")),0))</f>
        <v>0</v>
      </c>
      <c r="AN92" s="70">
        <f ca="1">IF($A92="", "", IFERROR(IF('Personalized Bill Menu'!$B$23="ATCO-S",$AF92*$B92,""),0))</f>
        <v>2.548</v>
      </c>
      <c r="AO92" s="69">
        <f>IF('Personalized Bill Menu'!$B$34="Natural Gas", 'Personalized Bill Menu'!$K89, IF('Personalized Bill Menu'!$B$34="Both",'Personalized Bill Menu'!$O89,""))</f>
        <v>0.27200000000000002</v>
      </c>
      <c r="AP92" s="70">
        <f t="shared" si="28"/>
        <v>7.6160000000000005</v>
      </c>
      <c r="AQ92" s="89">
        <f ca="1">IF($A92="", "",IF(VLOOKUP($A92, INDIRECT("'" &amp; 'Personalized Bill Menu'!$B$23 &amp; "'!" &amp;"$A$4:$CA$100"), VLOOKUP(VLOOKUP(AQ$5,'Misc. Data &amp; Mechanisms'!$P$601:$S$632,HLOOKUP('Personalized Bill Menu'!$B$23, 'Misc. Data &amp; Mechanisms'!$P$599:$S$600, 2, FALSE), FALSE), 'Misc. Data &amp; Mechanisms'!$L$599:$N$659, 2, FALSE), FALSE) = "", "", VLOOKUP($A92, INDIRECT("'" &amp; 'Personalized Bill Menu'!$B$23 &amp; "'!" &amp;"$A$4:$CA$100"), VLOOKUP(VLOOKUP(AQ$5,'Misc. Data &amp; Mechanisms'!$P$601:$S$632,HLOOKUP('Personalized Bill Menu'!$B$23, 'Misc. Data &amp; Mechanisms'!$P$599:$S$600, 2, FALSE), FALSE), 'Misc. Data &amp; Mechanisms'!$L$599:$N$659, 2, FALSE), FALSE)))</f>
        <v>1.5169999999999999</v>
      </c>
      <c r="AR92" s="70">
        <f t="shared" ca="1" si="29"/>
        <v>39.609225079659645</v>
      </c>
      <c r="AS92" s="91">
        <f ca="1">IF($A92="", "",IF(VLOOKUP($A92, INDIRECT("'" &amp; 'Personalized Bill Menu'!$B$23 &amp; "'!" &amp;"$A$4:$CA$100"), VLOOKUP(VLOOKUP(AS$5,'Misc. Data &amp; Mechanisms'!$P$601:$S$632,HLOOKUP('Personalized Bill Menu'!$B$23, 'Misc. Data &amp; Mechanisms'!$P$599:$S$600, 2, FALSE), FALSE), 'Misc. Data &amp; Mechanisms'!$L$599:$N$659, 2, FALSE), FALSE) = "", "", VLOOKUP($A92, INDIRECT("'" &amp; 'Personalized Bill Menu'!$B$23 &amp; "'!" &amp;"$A$4:$CA$100"), VLOOKUP(VLOOKUP(AS$5,'Misc. Data &amp; Mechanisms'!$P$601:$S$632,HLOOKUP('Personalized Bill Menu'!$B$23, 'Misc. Data &amp; Mechanisms'!$P$599:$S$600, 2, FALSE), FALSE), 'Misc. Data &amp; Mechanisms'!$L$599:$N$659, 2, FALSE), FALSE)))</f>
        <v>0.05</v>
      </c>
    </row>
    <row r="93" spans="1:45" x14ac:dyDescent="0.3">
      <c r="A93" s="83">
        <f>'Personalized Bill Menu'!$H90</f>
        <v>43525</v>
      </c>
      <c r="B93" s="84">
        <f t="shared" si="19"/>
        <v>31</v>
      </c>
      <c r="C93" s="85">
        <f>IF('Personalized Bill Menu'!$B$34="Natural Gas", 'Personalized Bill Menu'!$I90, IF('Personalized Bill Menu'!$B$34="Both",'Personalized Bill Menu'!$M90,""))</f>
        <v>15.793485810362281</v>
      </c>
      <c r="D93" s="66">
        <f t="shared" ca="1" si="20"/>
        <v>9.9554530994741892</v>
      </c>
      <c r="E93" s="66">
        <f ca="1">IF($C93="Not Applicable", "", IFERROR(IFERROR((1+$AS93)*IF('Personalized Bill Menu'!$B$23="ATCO-N", IF(OR('Personalized Bill Menu'!$B$21="Fort McMurray",AND('Personalized Bill Menu'!$B$21="Spruce Grove", $A93&lt;DATE(2019, 5, 1) )),(((1+IF($T93="",0,$T93))*($N93+$P93))+ (IF($U93="", 0, $U93)*$P93)+(1+IF($T93="",0,$T93)+IF($U93="", 0, $U93))*(SUM($Y93:$AB93))),($N93+((1+IF($T93="",0,$T93)+IF($U93="", 0, $U93))*$P93)+(1+IF($T93="",0,$T93)+IF($U93="", 0, $U93))*(SUM($Y93:$AB93)))), IF('Personalized Bill Menu'!$B$23="ATCO-S",IF(OR('Personalized Bill Menu'!$B$21="Calgary",AND('Personalized Bill Menu'!$B$21="Okotoks", $A93&lt;DATE(2019, 1, 1))),((1+IF($T93="",0,$T93))*($N93+$P93+SUM($X93:$Y93,$AA93:$AC93)))+(IF($U93="",0, $U93)*($P93+SUM($X93:$Y93,$AA93:$AC93))), ((1+IF($T93="",0,$T93))*($P93+SUM($Y93,$AA93:$AC93)))+(IF($U93="",0, $U93)*($P93+SUM($X93:$Y93,$AA93:$AC93)))+$N93+IF($X93="", 0, $X93)),IF(AND('Personalized Bill Menu'!$B$21="Athabasca", $A93&lt;DATE(2019, 5, 1)),((1+IF($T93="",0,$T93)+IF($U93="", 0, $U93))*($N93+((1+SUM($X93:$Y93))*$P93)+SUM($Z93:$AA93))),((1+IF($U93="", 0, $U93))*($N93+((1+SUM($X93:$Y93))*$P93)+SUM($Z93:$AA93))) + (IF($T93="",0,$T93)*(((1+SUM($X93:$Y93))*$P93)+SUM($Z93:$AA93)))))), "")+ IF($AQ93="", 0,((1+$AS93)*$AQ93)), ""))</f>
        <v>7.2697932300000012</v>
      </c>
      <c r="F93" s="118">
        <f t="shared" ca="1" si="21"/>
        <v>157.23130726227279</v>
      </c>
      <c r="G93" s="115">
        <f t="shared" si="15"/>
        <v>50.223284876952057</v>
      </c>
      <c r="H93" s="66">
        <f t="shared" ca="1" si="16"/>
        <v>39.039799736790329</v>
      </c>
      <c r="I93" s="66">
        <f t="shared" ca="1" si="17"/>
        <v>11.73428222700306</v>
      </c>
      <c r="J93" s="66">
        <f t="shared" ca="1" si="22"/>
        <v>16.356017339480474</v>
      </c>
      <c r="K93" s="66">
        <f t="shared" si="18"/>
        <v>8.4320000000000004</v>
      </c>
      <c r="L93" s="66">
        <f t="shared" ca="1" si="23"/>
        <v>23.95871797431958</v>
      </c>
      <c r="M93" s="68">
        <f t="shared" ca="1" si="24"/>
        <v>7.4872051077272763</v>
      </c>
      <c r="N93" s="1290">
        <f>IF('Personalized Bill Menu'!$B$34="Natural Gas", 'Personalized Bill Menu'!$J90, IF('Personalized Bill Menu'!$B$34="Both",'Personalized Bill Menu'!$N90,""))</f>
        <v>3.18</v>
      </c>
      <c r="O93" s="70">
        <f t="shared" si="25"/>
        <v>50.223284876952057</v>
      </c>
      <c r="P93" s="89">
        <f ca="1">IF($A93="", "",IFERROR(IF(VLOOKUP($A93, INDIRECT("'" &amp; 'Personalized Bill Menu'!$B$23 &amp; "'!" &amp;"$A$4:$CA$100"), VLOOKUP(VLOOKUP(P$5,'Misc. Data &amp; Mechanisms'!$P$601:$S$632,HLOOKUP('Personalized Bill Menu'!$B$23, 'Misc. Data &amp; Mechanisms'!$P$599:$S$600, 2, FALSE), FALSE), 'Misc. Data &amp; Mechanisms'!$L$599:$N$659, 2, FALSE), FALSE) = "", "", VLOOKUP($A93, INDIRECT("'" &amp; 'Personalized Bill Menu'!$B$23 &amp; "'!" &amp;"$A$4:$CA$100"), VLOOKUP(VLOOKUP(P$5,'Misc. Data &amp; Mechanisms'!$P$601:$S$632,HLOOKUP('Personalized Bill Menu'!$B$23, 'Misc. Data &amp; Mechanisms'!$P$599:$S$600, 2, FALSE), FALSE), 'Misc. Data &amp; Mechanisms'!$L$599:$N$659, 2, FALSE), FALSE)), ""))</f>
        <v>0.82899999999999996</v>
      </c>
      <c r="Q93" s="69">
        <f ca="1">IF($A93="", "",IFERROR(IF(VLOOKUP($A93, INDIRECT("'" &amp; 'Personalized Bill Menu'!$B$23 &amp; "'!" &amp;"$A$4:$CA$100"), VLOOKUP(VLOOKUP(Q$5,'Misc. Data &amp; Mechanisms'!$P$601:$S$632,HLOOKUP('Personalized Bill Menu'!$B$23, 'Misc. Data &amp; Mechanisms'!$P$599:$S$600, 2, FALSE), FALSE), 'Misc. Data &amp; Mechanisms'!$L$599:$N$659, 2, FALSE), FALSE) = "", "", VLOOKUP($A93, INDIRECT("'" &amp; 'Personalized Bill Menu'!$B$23 &amp; "'!" &amp;"$A$4:$CA$100"), VLOOKUP(VLOOKUP(Q$5,'Misc. Data &amp; Mechanisms'!$P$601:$S$632,HLOOKUP('Personalized Bill Menu'!$B$23, 'Misc. Data &amp; Mechanisms'!$P$599:$S$600, 2, FALSE), FALSE), 'Misc. Data &amp; Mechanisms'!$L$599:$N$659, 2, FALSE), FALSE)), ""))</f>
        <v>0.83699999999999997</v>
      </c>
      <c r="R93" s="72">
        <f t="shared" ca="1" si="26"/>
        <v>13.092799736790329</v>
      </c>
      <c r="S93" s="70">
        <f t="shared" ca="1" si="27"/>
        <v>25.946999999999999</v>
      </c>
      <c r="T93" s="78">
        <f>IFERROR(IF(VLOOKUP($A93,'Misc. Data &amp; Mechanisms'!$A$63:$DY$152,HLOOKUP('Personalized Bill Menu'!$B$21&amp;"_"&amp;'Personalized Bill Menu'!$B$23&amp;"_NG_Y_1",'Misc. Data &amp; Mechanisms'!$A$55:$DY$62,8,FALSE), FALSE)="", "", VLOOKUP($A93,'Misc. Data &amp; Mechanisms'!$A$63:$DY$152,HLOOKUP('Personalized Bill Menu'!$B$21&amp;"_"&amp;'Personalized Bill Menu'!$B$23&amp;"_NG_Y_1",'Misc. Data &amp; Mechanisms'!$A$55:$DY$62,8,FALSE), FALSE)), "")</f>
        <v>0.1111</v>
      </c>
      <c r="U93" s="78" t="str">
        <f>IFERROR(IF(VLOOKUP($A93,'Misc. Data &amp; Mechanisms'!$A$63:$DY$152,HLOOKUP('Personalized Bill Menu'!$B$21&amp;"_"&amp;'Personalized Bill Menu'!$B$23&amp;"_NG_Y_2",'Misc. Data &amp; Mechanisms'!$A$55:$DY$62,8,FALSE), FALSE)="", "",VLOOKUP($A93,'Misc. Data &amp; Mechanisms'!$A$63:$DY$152,HLOOKUP('Personalized Bill Menu'!$B$21&amp;"_"&amp;'Personalized Bill Menu'!$B$23&amp;"_NG_Y_2",'Misc. Data &amp; Mechanisms'!$A$55:$DY$62,8,FALSE), FALSE)), "")</f>
        <v/>
      </c>
      <c r="V93" s="72">
        <f ca="1">IF($A93="", "", IFERROR(IF('Personalized Bill Menu'!$B$23="ATCO-N", IF(OR('Personalized Bill Menu'!$B$21="Fort McMurray",AND('Personalized Bill Menu'!$B$21="Spruce Grove", $A93&lt;DATE(2019, 5, 1))),$T93*($G93+$H93+$J93),$T93*($H93+$J93)), IF('Personalized Bill Menu'!$B$23="ATCO-S",IF(OR('Personalized Bill Menu'!$B$21="Calgary",AND('Personalized Bill Menu'!$B$21="Okotoks", $A93&lt;DATE(2019, 1, 1))),$T93*($G93+$H93+$J93), $T93*($H93+$J93-$AG93)),IF(AND('Personalized Bill Menu'!$B$21="Athabasca", $A93&lt;DATE(2019, 5, 1)),$T93*($G93+$H93+$J93+$K93),$T93*($H93+$J93+$K93)))),0))</f>
        <v>11.73428222700306</v>
      </c>
      <c r="W93" s="70">
        <f ca="1">IF($A93="", "", IFERROR(IF('Personalized Bill Menu'!$B$23="ATCO-N", $U93*($H93+$J93), IF('Personalized Bill Menu'!$B$23="ATCO-S",$U93*($H93+$J93),$U93*($G93+$H93+$J93+$K93))),0))</f>
        <v>0</v>
      </c>
      <c r="X93" s="89" t="str">
        <f ca="1">IF($A93="", "",IFERROR(IF(VLOOKUP($A93, INDIRECT("'" &amp; 'Personalized Bill Menu'!$B$23 &amp; "'!" &amp;"$A$4:$CA$100"), VLOOKUP(VLOOKUP("RIDER RATE 1",'Misc. Data &amp; Mechanisms'!$P$601:$S$632,HLOOKUP('Personalized Bill Menu'!$B$23, 'Misc. Data &amp; Mechanisms'!$P$599:$S$600, 2, FALSE), FALSE), 'Misc. Data &amp; Mechanisms'!$L$599:$N$659, 2, FALSE), FALSE) = "", "", VLOOKUP($A93, INDIRECT("'" &amp; 'Personalized Bill Menu'!$B$23 &amp; "'!" &amp;"$A$4:$CA$100"), VLOOKUP(VLOOKUP("RIDER RATE 1",'Misc. Data &amp; Mechanisms'!$P$601:$S$632,HLOOKUP('Personalized Bill Menu'!$B$23, 'Misc. Data &amp; Mechanisms'!$P$599:$S$600, 2, FALSE), FALSE), 'Misc. Data &amp; Mechanisms'!$L$599:$N$659, 2, FALSE), FALSE)), ""))</f>
        <v/>
      </c>
      <c r="Y93" s="69" t="str">
        <f ca="1">IF($A93="", "",IFERROR(IF(VLOOKUP($A93, INDIRECT("'" &amp; 'Personalized Bill Menu'!$B$23 &amp; "'!" &amp;"$A$4:$CA$100"), VLOOKUP(VLOOKUP("RIDER RATE 2",'Misc. Data &amp; Mechanisms'!$P$601:$S$632,HLOOKUP('Personalized Bill Menu'!$B$23, 'Misc. Data &amp; Mechanisms'!$P$599:$S$600, 2, FALSE), FALSE), 'Misc. Data &amp; Mechanisms'!$L$599:$N$659, 2, FALSE), FALSE) = "", "", VLOOKUP($A93, INDIRECT("'" &amp; 'Personalized Bill Menu'!$B$23 &amp; "'!" &amp;"$A$4:$CA$100"), VLOOKUP(VLOOKUP("RIDER RATE 2",'Misc. Data &amp; Mechanisms'!$P$601:$S$632,HLOOKUP('Personalized Bill Menu'!$B$23, 'Misc. Data &amp; Mechanisms'!$P$599:$S$600, 2, FALSE), FALSE), 'Misc. Data &amp; Mechanisms'!$L$599:$N$659, 2, FALSE), FALSE)), ""))</f>
        <v/>
      </c>
      <c r="Z93" s="69" t="str">
        <f ca="1">IF($A93="", "",IFERROR(IF(VLOOKUP($A93, INDIRECT("'" &amp; 'Personalized Bill Menu'!$B$23 &amp; "'!" &amp;"$A$4:$CA$100"), VLOOKUP(VLOOKUP("RIDER RATE 3",'Misc. Data &amp; Mechanisms'!$P$601:$S$632,HLOOKUP('Personalized Bill Menu'!$B$23, 'Misc. Data &amp; Mechanisms'!$P$599:$S$600, 2, FALSE), FALSE), 'Misc. Data &amp; Mechanisms'!$L$599:$N$659, 2, FALSE), FALSE) = "", "", VLOOKUP($A93, INDIRECT("'" &amp; 'Personalized Bill Menu'!$B$23 &amp; "'!" &amp;"$A$4:$CA$100"), VLOOKUP(VLOOKUP("RIDER RATE 3",'Misc. Data &amp; Mechanisms'!$P$601:$S$632,HLOOKUP('Personalized Bill Menu'!$B$23, 'Misc. Data &amp; Mechanisms'!$P$599:$S$600, 2, FALSE), FALSE), 'Misc. Data &amp; Mechanisms'!$L$599:$N$659, 2, FALSE), FALSE)), ""))</f>
        <v/>
      </c>
      <c r="AA93" s="69" t="str">
        <f ca="1">IF($A93="", "",IFERROR(IF(VLOOKUP($A93, INDIRECT("'" &amp; 'Personalized Bill Menu'!$B$23 &amp; "'!" &amp;"$A$4:$CA$100"), VLOOKUP(VLOOKUP("RIDER RATE 4",'Misc. Data &amp; Mechanisms'!$P$601:$S$632,HLOOKUP('Personalized Bill Menu'!$B$23, 'Misc. Data &amp; Mechanisms'!$P$599:$S$600, 2, FALSE), FALSE), 'Misc. Data &amp; Mechanisms'!$L$599:$N$659, 2, FALSE), FALSE) = "", "", VLOOKUP($A93, INDIRECT("'" &amp; 'Personalized Bill Menu'!$B$23 &amp; "'!" &amp;"$A$4:$CA$100"), VLOOKUP(VLOOKUP("RIDER RATE 4",'Misc. Data &amp; Mechanisms'!$P$601:$S$632,HLOOKUP('Personalized Bill Menu'!$B$23, 'Misc. Data &amp; Mechanisms'!$P$599:$S$600, 2, FALSE), FALSE), 'Misc. Data &amp; Mechanisms'!$L$599:$N$659, 2, FALSE), FALSE)), ""))</f>
        <v/>
      </c>
      <c r="AB93" s="69">
        <f ca="1">IF($A93="", "",IFERROR(IF(VLOOKUP($A93, INDIRECT("'" &amp; 'Personalized Bill Menu'!$B$23 &amp; "'!" &amp;"$A$4:$CA$100"), VLOOKUP(VLOOKUP("RIDER RATE 5",'Misc. Data &amp; Mechanisms'!$P$601:$S$632,HLOOKUP('Personalized Bill Menu'!$B$23, 'Misc. Data &amp; Mechanisms'!$P$599:$S$600, 2, FALSE), FALSE), 'Misc. Data &amp; Mechanisms'!$L$599:$N$659, 2, FALSE), FALSE) = "", "", VLOOKUP($A93, INDIRECT("'" &amp; 'Personalized Bill Menu'!$B$23 &amp; "'!" &amp;"$A$4:$CA$100"), VLOOKUP(VLOOKUP("RIDER RATE 5",'Misc. Data &amp; Mechanisms'!$P$601:$S$632,HLOOKUP('Personalized Bill Menu'!$B$23, 'Misc. Data &amp; Mechanisms'!$P$599:$S$600, 2, FALSE), FALSE), 'Misc. Data &amp; Mechanisms'!$L$599:$N$659, 2, FALSE), FALSE)), ""))</f>
        <v>0.96199999999999997</v>
      </c>
      <c r="AC93" s="69">
        <f ca="1">IF($A93="", "",IFERROR(IF(VLOOKUP($A93, INDIRECT("'" &amp; 'Personalized Bill Menu'!$B$23 &amp; "'!" &amp;"$A$4:$CA$100"), VLOOKUP(VLOOKUP("RIDER RATE 6",'Misc. Data &amp; Mechanisms'!$P$601:$S$632,HLOOKUP('Personalized Bill Menu'!$B$23, 'Misc. Data &amp; Mechanisms'!$P$599:$S$600, 2, FALSE), FALSE), 'Misc. Data &amp; Mechanisms'!$L$599:$N$659, 2, FALSE), FALSE) = "", "", VLOOKUP($A93, INDIRECT("'" &amp; 'Personalized Bill Menu'!$B$23 &amp; "'!" &amp;"$A$4:$CA$100"), VLOOKUP(VLOOKUP("RIDER RATE 6",'Misc. Data &amp; Mechanisms'!$P$601:$S$632,HLOOKUP('Personalized Bill Menu'!$B$23, 'Misc. Data &amp; Mechanisms'!$P$599:$S$600, 2, FALSE), FALSE), 'Misc. Data &amp; Mechanisms'!$L$599:$N$659, 2, FALSE), FALSE)), ""))</f>
        <v>-0.105</v>
      </c>
      <c r="AD93" s="69" t="str">
        <f ca="1">IF($A93="", "",IFERROR(IF(VLOOKUP($A93, INDIRECT("'" &amp; 'Personalized Bill Menu'!$B$23 &amp; "'!" &amp;"$A$4:$CA$100"), VLOOKUP(VLOOKUP("RIDER RATE 7",'Misc. Data &amp; Mechanisms'!$P$601:$S$632,HLOOKUP('Personalized Bill Menu'!$B$23, 'Misc. Data &amp; Mechanisms'!$P$599:$S$600, 2, FALSE), FALSE), 'Misc. Data &amp; Mechanisms'!$L$599:$N$659, 2, FALSE), FALSE) = "", "", VLOOKUP($A93, INDIRECT("'" &amp; 'Personalized Bill Menu'!$B$23 &amp; "'!" &amp;"$A$4:$CA$100"), VLOOKUP(VLOOKUP("RIDER RATE 7",'Misc. Data &amp; Mechanisms'!$P$601:$S$632,HLOOKUP('Personalized Bill Menu'!$B$23, 'Misc. Data &amp; Mechanisms'!$P$599:$S$600, 2, FALSE), FALSE), 'Misc. Data &amp; Mechanisms'!$L$599:$N$659, 2, FALSE), FALSE)), ""))</f>
        <v/>
      </c>
      <c r="AE93" s="69" t="str">
        <f ca="1">IF($A93="", "",IFERROR(IF(VLOOKUP($A93, INDIRECT("'" &amp; 'Personalized Bill Menu'!$B$23 &amp; "'!" &amp;"$A$4:$CA$100"), VLOOKUP(VLOOKUP("RIDER RATE 8",'Misc. Data &amp; Mechanisms'!$P$601:$S$632,HLOOKUP('Personalized Bill Menu'!$B$23, 'Misc. Data &amp; Mechanisms'!$P$599:$S$600, 2, FALSE), FALSE), 'Misc. Data &amp; Mechanisms'!$L$599:$N$659, 2, FALSE), FALSE) = "", "", VLOOKUP($A93, INDIRECT("'" &amp; 'Personalized Bill Menu'!$B$23 &amp; "'!" &amp;"$A$4:$CA$100"), VLOOKUP(VLOOKUP("RIDER RATE 8",'Misc. Data &amp; Mechanisms'!$P$601:$S$632,HLOOKUP('Personalized Bill Menu'!$B$23, 'Misc. Data &amp; Mechanisms'!$P$599:$S$600, 2, FALSE), FALSE), 'Misc. Data &amp; Mechanisms'!$L$599:$N$659, 2, FALSE), FALSE)), ""))</f>
        <v/>
      </c>
      <c r="AF93" s="69">
        <f ca="1">IF($A93="", "",IFERROR(IF(VLOOKUP($A93, INDIRECT("'" &amp; 'Personalized Bill Menu'!$B$23 &amp; "'!" &amp;"$A$4:$CA$100"), VLOOKUP(VLOOKUP("RIDER RATE 9",'Misc. Data &amp; Mechanisms'!$P$601:$S$632,HLOOKUP('Personalized Bill Menu'!$B$23, 'Misc. Data &amp; Mechanisms'!$P$599:$S$600, 2, FALSE), FALSE), 'Misc. Data &amp; Mechanisms'!$L$599:$N$659, 2, FALSE), FALSE) = "", "", VLOOKUP($A93, INDIRECT("'" &amp; 'Personalized Bill Menu'!$B$23 &amp; "'!" &amp;"$A$4:$CA$100"), VLOOKUP(VLOOKUP("RIDER RATE 9",'Misc. Data &amp; Mechanisms'!$P$601:$S$632,HLOOKUP('Personalized Bill Menu'!$B$23, 'Misc. Data &amp; Mechanisms'!$P$599:$S$600, 2, FALSE), FALSE), 'Misc. Data &amp; Mechanisms'!$L$599:$N$659, 2, FALSE), FALSE)), ""))</f>
        <v>9.0999999999999998E-2</v>
      </c>
      <c r="AG93" s="72">
        <f ca="1">IF($A93="", "", IFERROR(IF('Personalized Bill Menu'!$B$23="ATCO-N", ($X93*$B93) +($Y93*$C93), IF('Personalized Bill Menu'!$B$23="ATCO-S",$X93*$C93, IF($Y93="", ($X93*$H93), ($Y93*($H93+$K93))))), 0))</f>
        <v>0</v>
      </c>
      <c r="AH93" s="72">
        <f ca="1">IF($A93="", "", IFERROR(IF('Personalized Bill Menu'!$B$23="ATCO-S", $Y93*$C93, $Z93*$C93), 0))</f>
        <v>0</v>
      </c>
      <c r="AI93" s="72">
        <f ca="1">IF($A93="", "", IFERROR(IF('Personalized Bill Menu'!$B$23="ATCO-S", ($AA93*$C93)+($Z93*$B93), $AA93*$C93), 0))</f>
        <v>0</v>
      </c>
      <c r="AJ93" s="72">
        <f ca="1">IF($A93="", "", IFERROR(IF('Personalized Bill Menu'!$B$23&lt;&gt;"AltaGas",$AB93*$C93,""),0))</f>
        <v>15.193333349568514</v>
      </c>
      <c r="AK93" s="72">
        <f ca="1">IF($A93="", "", IFERROR(IF('Personalized Bill Menu'!$B$23="ATCO-S",$AC93*$C93,IF('Personalized Bill Menu'!$B$23="ATCO-N",$AC93*1,"")),0))</f>
        <v>-1.6583160100880394</v>
      </c>
      <c r="AL93" s="72">
        <f ca="1">IF($A93="", "", IFERROR(IF('Personalized Bill Menu'!$B$23="ATCO-N",$AD93*$B93,IF('Personalized Bill Menu'!$B$23="ATCO-S",$AD93*1,"")),0))</f>
        <v>0</v>
      </c>
      <c r="AM93" s="72">
        <f ca="1">IF($A93="", "", IFERROR(IF('Personalized Bill Menu'!$B$23="ATCO-S",$AE93*$B93,IF('Personalized Bill Menu'!$B$23="ATCO-N",$AE93*$B93,"")),0))</f>
        <v>0</v>
      </c>
      <c r="AN93" s="70">
        <f ca="1">IF($A93="", "", IFERROR(IF('Personalized Bill Menu'!$B$23="ATCO-S",$AF93*$B93,""),0))</f>
        <v>2.8209999999999997</v>
      </c>
      <c r="AO93" s="69">
        <f>IF('Personalized Bill Menu'!$B$34="Natural Gas", 'Personalized Bill Menu'!$K90, IF('Personalized Bill Menu'!$B$34="Both",'Personalized Bill Menu'!$O90,""))</f>
        <v>0.27200000000000002</v>
      </c>
      <c r="AP93" s="70">
        <f t="shared" si="28"/>
        <v>8.4320000000000004</v>
      </c>
      <c r="AQ93" s="89">
        <f ca="1">IF($A93="", "",IF(VLOOKUP($A93, INDIRECT("'" &amp; 'Personalized Bill Menu'!$B$23 &amp; "'!" &amp;"$A$4:$CA$100"), VLOOKUP(VLOOKUP(AQ$5,'Misc. Data &amp; Mechanisms'!$P$601:$S$632,HLOOKUP('Personalized Bill Menu'!$B$23, 'Misc. Data &amp; Mechanisms'!$P$599:$S$600, 2, FALSE), FALSE), 'Misc. Data &amp; Mechanisms'!$L$599:$N$659, 2, FALSE), FALSE) = "", "", VLOOKUP($A93, INDIRECT("'" &amp; 'Personalized Bill Menu'!$B$23 &amp; "'!" &amp;"$A$4:$CA$100"), VLOOKUP(VLOOKUP(AQ$5,'Misc. Data &amp; Mechanisms'!$P$601:$S$632,HLOOKUP('Personalized Bill Menu'!$B$23, 'Misc. Data &amp; Mechanisms'!$P$599:$S$600, 2, FALSE), FALSE), 'Misc. Data &amp; Mechanisms'!$L$599:$N$659, 2, FALSE), FALSE)))</f>
        <v>1.5169999999999999</v>
      </c>
      <c r="AR93" s="70">
        <f t="shared" ca="1" si="29"/>
        <v>23.95871797431958</v>
      </c>
      <c r="AS93" s="91">
        <f ca="1">IF($A93="", "",IF(VLOOKUP($A93, INDIRECT("'" &amp; 'Personalized Bill Menu'!$B$23 &amp; "'!" &amp;"$A$4:$CA$100"), VLOOKUP(VLOOKUP(AS$5,'Misc. Data &amp; Mechanisms'!$P$601:$S$632,HLOOKUP('Personalized Bill Menu'!$B$23, 'Misc. Data &amp; Mechanisms'!$P$599:$S$600, 2, FALSE), FALSE), 'Misc. Data &amp; Mechanisms'!$L$599:$N$659, 2, FALSE), FALSE) = "", "", VLOOKUP($A93, INDIRECT("'" &amp; 'Personalized Bill Menu'!$B$23 &amp; "'!" &amp;"$A$4:$CA$100"), VLOOKUP(VLOOKUP(AS$5,'Misc. Data &amp; Mechanisms'!$P$601:$S$632,HLOOKUP('Personalized Bill Menu'!$B$23, 'Misc. Data &amp; Mechanisms'!$P$599:$S$600, 2, FALSE), FALSE), 'Misc. Data &amp; Mechanisms'!$L$599:$N$659, 2, FALSE), FALSE)))</f>
        <v>0.05</v>
      </c>
    </row>
    <row r="94" spans="1:45" x14ac:dyDescent="0.3">
      <c r="A94" s="83">
        <f>'Personalized Bill Menu'!$H91</f>
        <v>43556</v>
      </c>
      <c r="B94" s="84">
        <f t="shared" si="19"/>
        <v>30</v>
      </c>
      <c r="C94" s="85">
        <f>IF('Personalized Bill Menu'!$B$34="Natural Gas", 'Personalized Bill Menu'!$I91, IF('Personalized Bill Menu'!$B$34="Both",'Personalized Bill Menu'!$M91,""))</f>
        <v>9.5930495907374951</v>
      </c>
      <c r="D94" s="66">
        <f t="shared" ca="1" si="20"/>
        <v>11.210360705864796</v>
      </c>
      <c r="E94" s="66">
        <f ca="1">IF($C94="Not Applicable", "", IFERROR(IFERROR((1+$AS94)*IF('Personalized Bill Menu'!$B$23="ATCO-N", IF(OR('Personalized Bill Menu'!$B$21="Fort McMurray",AND('Personalized Bill Menu'!$B$21="Spruce Grove", $A94&lt;DATE(2019, 5, 1) )),(((1+IF($T94="",0,$T94))*($N94+$P94))+ (IF($U94="", 0, $U94)*$P94)+(1+IF($T94="",0,$T94)+IF($U94="", 0, $U94))*(SUM($Y94:$AB94))),($N94+((1+IF($T94="",0,$T94)+IF($U94="", 0, $U94))*$P94)+(1+IF($T94="",0,$T94)+IF($U94="", 0, $U94))*(SUM($Y94:$AB94)))), IF('Personalized Bill Menu'!$B$23="ATCO-S",IF(OR('Personalized Bill Menu'!$B$21="Calgary",AND('Personalized Bill Menu'!$B$21="Okotoks", $A94&lt;DATE(2019, 1, 1))),((1+IF($T94="",0,$T94))*($N94+$P94+SUM($X94:$Y94,$AA94:$AC94)))+(IF($U94="",0, $U94)*($P94+SUM($X94:$Y94,$AA94:$AC94))), ((1+IF($T94="",0,$T94))*($P94+SUM($Y94,$AA94:$AC94)))+(IF($U94="",0, $U94)*($P94+SUM($X94:$Y94,$AA94:$AC94)))+$N94+IF($X94="", 0, $X94)),IF(AND('Personalized Bill Menu'!$B$21="Athabasca", $A94&lt;DATE(2019, 5, 1)),((1+IF($T94="",0,$T94)+IF($U94="", 0, $U94))*($N94+((1+SUM($X94:$Y94))*$P94)+SUM($Z94:$AA94))),((1+IF($U94="", 0, $U94))*($N94+((1+SUM($X94:$Y94))*$P94)+SUM($Z94:$AA94))) + (IF($T94="",0,$T94)*(((1+SUM($X94:$Y94))*$P94)+SUM($Z94:$AA94)))))), "")+ IF($AQ94="", 0,((1+$AS94)*$AQ94)), ""))</f>
        <v>6.9314632800000009</v>
      </c>
      <c r="F94" s="118">
        <f t="shared" ca="1" si="21"/>
        <v>107.54154618141597</v>
      </c>
      <c r="G94" s="115">
        <f t="shared" si="15"/>
        <v>27.723913317231361</v>
      </c>
      <c r="H94" s="66">
        <f t="shared" ca="1" si="16"/>
        <v>33.06263811072138</v>
      </c>
      <c r="I94" s="66">
        <f t="shared" ca="1" si="17"/>
        <v>7.9700690164135626</v>
      </c>
      <c r="J94" s="66">
        <f t="shared" ca="1" si="22"/>
        <v>10.951243499262032</v>
      </c>
      <c r="K94" s="66">
        <f t="shared" si="18"/>
        <v>8.16</v>
      </c>
      <c r="L94" s="66">
        <f t="shared" ca="1" si="23"/>
        <v>14.552656229148779</v>
      </c>
      <c r="M94" s="68">
        <f t="shared" ca="1" si="24"/>
        <v>5.1210260086388564</v>
      </c>
      <c r="N94" s="1290">
        <f>IF('Personalized Bill Menu'!$B$34="Natural Gas", 'Personalized Bill Menu'!$J91, IF('Personalized Bill Menu'!$B$34="Both",'Personalized Bill Menu'!$N91,""))</f>
        <v>2.89</v>
      </c>
      <c r="O94" s="70">
        <f t="shared" si="25"/>
        <v>27.723913317231361</v>
      </c>
      <c r="P94" s="89">
        <f ca="1">IF($A94="", "",IFERROR(IF(VLOOKUP($A94, INDIRECT("'" &amp; 'Personalized Bill Menu'!$B$23 &amp; "'!" &amp;"$A$4:$CA$100"), VLOOKUP(VLOOKUP(P$5,'Misc. Data &amp; Mechanisms'!$P$601:$S$632,HLOOKUP('Personalized Bill Menu'!$B$23, 'Misc. Data &amp; Mechanisms'!$P$599:$S$600, 2, FALSE), FALSE), 'Misc. Data &amp; Mechanisms'!$L$599:$N$659, 2, FALSE), FALSE) = "", "", VLOOKUP($A94, INDIRECT("'" &amp; 'Personalized Bill Menu'!$B$23 &amp; "'!" &amp;"$A$4:$CA$100"), VLOOKUP(VLOOKUP(P$5,'Misc. Data &amp; Mechanisms'!$P$601:$S$632,HLOOKUP('Personalized Bill Menu'!$B$23, 'Misc. Data &amp; Mechanisms'!$P$599:$S$600, 2, FALSE), FALSE), 'Misc. Data &amp; Mechanisms'!$L$599:$N$659, 2, FALSE), FALSE)), ""))</f>
        <v>0.82899999999999996</v>
      </c>
      <c r="Q94" s="69">
        <f ca="1">IF($A94="", "",IFERROR(IF(VLOOKUP($A94, INDIRECT("'" &amp; 'Personalized Bill Menu'!$B$23 &amp; "'!" &amp;"$A$4:$CA$100"), VLOOKUP(VLOOKUP(Q$5,'Misc. Data &amp; Mechanisms'!$P$601:$S$632,HLOOKUP('Personalized Bill Menu'!$B$23, 'Misc. Data &amp; Mechanisms'!$P$599:$S$600, 2, FALSE), FALSE), 'Misc. Data &amp; Mechanisms'!$L$599:$N$659, 2, FALSE), FALSE) = "", "", VLOOKUP($A94, INDIRECT("'" &amp; 'Personalized Bill Menu'!$B$23 &amp; "'!" &amp;"$A$4:$CA$100"), VLOOKUP(VLOOKUP(Q$5,'Misc. Data &amp; Mechanisms'!$P$601:$S$632,HLOOKUP('Personalized Bill Menu'!$B$23, 'Misc. Data &amp; Mechanisms'!$P$599:$S$600, 2, FALSE), FALSE), 'Misc. Data &amp; Mechanisms'!$L$599:$N$659, 2, FALSE), FALSE)), ""))</f>
        <v>0.83699999999999997</v>
      </c>
      <c r="R94" s="72">
        <f t="shared" ca="1" si="26"/>
        <v>7.9526381107213826</v>
      </c>
      <c r="S94" s="70">
        <f t="shared" ca="1" si="27"/>
        <v>25.11</v>
      </c>
      <c r="T94" s="78">
        <f>IFERROR(IF(VLOOKUP($A94,'Misc. Data &amp; Mechanisms'!$A$63:$DY$152,HLOOKUP('Personalized Bill Menu'!$B$21&amp;"_"&amp;'Personalized Bill Menu'!$B$23&amp;"_NG_Y_1",'Misc. Data &amp; Mechanisms'!$A$55:$DY$62,8,FALSE), FALSE)="", "", VLOOKUP($A94,'Misc. Data &amp; Mechanisms'!$A$63:$DY$152,HLOOKUP('Personalized Bill Menu'!$B$21&amp;"_"&amp;'Personalized Bill Menu'!$B$23&amp;"_NG_Y_1",'Misc. Data &amp; Mechanisms'!$A$55:$DY$62,8,FALSE), FALSE)), "")</f>
        <v>0.1111</v>
      </c>
      <c r="U94" s="78" t="str">
        <f>IFERROR(IF(VLOOKUP($A94,'Misc. Data &amp; Mechanisms'!$A$63:$DY$152,HLOOKUP('Personalized Bill Menu'!$B$21&amp;"_"&amp;'Personalized Bill Menu'!$B$23&amp;"_NG_Y_2",'Misc. Data &amp; Mechanisms'!$A$55:$DY$62,8,FALSE), FALSE)="", "",VLOOKUP($A94,'Misc. Data &amp; Mechanisms'!$A$63:$DY$152,HLOOKUP('Personalized Bill Menu'!$B$21&amp;"_"&amp;'Personalized Bill Menu'!$B$23&amp;"_NG_Y_2",'Misc. Data &amp; Mechanisms'!$A$55:$DY$62,8,FALSE), FALSE)), "")</f>
        <v/>
      </c>
      <c r="V94" s="72">
        <f ca="1">IF($A94="", "", IFERROR(IF('Personalized Bill Menu'!$B$23="ATCO-N", IF(OR('Personalized Bill Menu'!$B$21="Fort McMurray",AND('Personalized Bill Menu'!$B$21="Spruce Grove", $A94&lt;DATE(2019, 5, 1))),$T94*($G94+$H94+$J94),$T94*($H94+$J94)), IF('Personalized Bill Menu'!$B$23="ATCO-S",IF(OR('Personalized Bill Menu'!$B$21="Calgary",AND('Personalized Bill Menu'!$B$21="Okotoks", $A94&lt;DATE(2019, 1, 1))),$T94*($G94+$H94+$J94), $T94*($H94+$J94-$AG94)),IF(AND('Personalized Bill Menu'!$B$21="Athabasca", $A94&lt;DATE(2019, 5, 1)),$T94*($G94+$H94+$J94+$K94),$T94*($H94+$J94+$K94)))),0))</f>
        <v>7.9700690164135626</v>
      </c>
      <c r="W94" s="70">
        <f ca="1">IF($A94="", "", IFERROR(IF('Personalized Bill Menu'!$B$23="ATCO-N", $U94*($H94+$J94), IF('Personalized Bill Menu'!$B$23="ATCO-S",$U94*($H94+$J94),$U94*($G94+$H94+$J94+$K94))),0))</f>
        <v>0</v>
      </c>
      <c r="X94" s="89" t="str">
        <f ca="1">IF($A94="", "",IFERROR(IF(VLOOKUP($A94, INDIRECT("'" &amp; 'Personalized Bill Menu'!$B$23 &amp; "'!" &amp;"$A$4:$CA$100"), VLOOKUP(VLOOKUP("RIDER RATE 1",'Misc. Data &amp; Mechanisms'!$P$601:$S$632,HLOOKUP('Personalized Bill Menu'!$B$23, 'Misc. Data &amp; Mechanisms'!$P$599:$S$600, 2, FALSE), FALSE), 'Misc. Data &amp; Mechanisms'!$L$599:$N$659, 2, FALSE), FALSE) = "", "", VLOOKUP($A94, INDIRECT("'" &amp; 'Personalized Bill Menu'!$B$23 &amp; "'!" &amp;"$A$4:$CA$100"), VLOOKUP(VLOOKUP("RIDER RATE 1",'Misc. Data &amp; Mechanisms'!$P$601:$S$632,HLOOKUP('Personalized Bill Menu'!$B$23, 'Misc. Data &amp; Mechanisms'!$P$599:$S$600, 2, FALSE), FALSE), 'Misc. Data &amp; Mechanisms'!$L$599:$N$659, 2, FALSE), FALSE)), ""))</f>
        <v/>
      </c>
      <c r="Y94" s="69" t="str">
        <f ca="1">IF($A94="", "",IFERROR(IF(VLOOKUP($A94, INDIRECT("'" &amp; 'Personalized Bill Menu'!$B$23 &amp; "'!" &amp;"$A$4:$CA$100"), VLOOKUP(VLOOKUP("RIDER RATE 2",'Misc. Data &amp; Mechanisms'!$P$601:$S$632,HLOOKUP('Personalized Bill Menu'!$B$23, 'Misc. Data &amp; Mechanisms'!$P$599:$S$600, 2, FALSE), FALSE), 'Misc. Data &amp; Mechanisms'!$L$599:$N$659, 2, FALSE), FALSE) = "", "", VLOOKUP($A94, INDIRECT("'" &amp; 'Personalized Bill Menu'!$B$23 &amp; "'!" &amp;"$A$4:$CA$100"), VLOOKUP(VLOOKUP("RIDER RATE 2",'Misc. Data &amp; Mechanisms'!$P$601:$S$632,HLOOKUP('Personalized Bill Menu'!$B$23, 'Misc. Data &amp; Mechanisms'!$P$599:$S$600, 2, FALSE), FALSE), 'Misc. Data &amp; Mechanisms'!$L$599:$N$659, 2, FALSE), FALSE)), ""))</f>
        <v/>
      </c>
      <c r="Z94" s="69" t="str">
        <f ca="1">IF($A94="", "",IFERROR(IF(VLOOKUP($A94, INDIRECT("'" &amp; 'Personalized Bill Menu'!$B$23 &amp; "'!" &amp;"$A$4:$CA$100"), VLOOKUP(VLOOKUP("RIDER RATE 3",'Misc. Data &amp; Mechanisms'!$P$601:$S$632,HLOOKUP('Personalized Bill Menu'!$B$23, 'Misc. Data &amp; Mechanisms'!$P$599:$S$600, 2, FALSE), FALSE), 'Misc. Data &amp; Mechanisms'!$L$599:$N$659, 2, FALSE), FALSE) = "", "", VLOOKUP($A94, INDIRECT("'" &amp; 'Personalized Bill Menu'!$B$23 &amp; "'!" &amp;"$A$4:$CA$100"), VLOOKUP(VLOOKUP("RIDER RATE 3",'Misc. Data &amp; Mechanisms'!$P$601:$S$632,HLOOKUP('Personalized Bill Menu'!$B$23, 'Misc. Data &amp; Mechanisms'!$P$599:$S$600, 2, FALSE), FALSE), 'Misc. Data &amp; Mechanisms'!$L$599:$N$659, 2, FALSE), FALSE)), ""))</f>
        <v/>
      </c>
      <c r="AA94" s="69" t="str">
        <f ca="1">IF($A94="", "",IFERROR(IF(VLOOKUP($A94, INDIRECT("'" &amp; 'Personalized Bill Menu'!$B$23 &amp; "'!" &amp;"$A$4:$CA$100"), VLOOKUP(VLOOKUP("RIDER RATE 4",'Misc. Data &amp; Mechanisms'!$P$601:$S$632,HLOOKUP('Personalized Bill Menu'!$B$23, 'Misc. Data &amp; Mechanisms'!$P$599:$S$600, 2, FALSE), FALSE), 'Misc. Data &amp; Mechanisms'!$L$599:$N$659, 2, FALSE), FALSE) = "", "", VLOOKUP($A94, INDIRECT("'" &amp; 'Personalized Bill Menu'!$B$23 &amp; "'!" &amp;"$A$4:$CA$100"), VLOOKUP(VLOOKUP("RIDER RATE 4",'Misc. Data &amp; Mechanisms'!$P$601:$S$632,HLOOKUP('Personalized Bill Menu'!$B$23, 'Misc. Data &amp; Mechanisms'!$P$599:$S$600, 2, FALSE), FALSE), 'Misc. Data &amp; Mechanisms'!$L$599:$N$659, 2, FALSE), FALSE)), ""))</f>
        <v/>
      </c>
      <c r="AB94" s="69">
        <f ca="1">IF($A94="", "",IFERROR(IF(VLOOKUP($A94, INDIRECT("'" &amp; 'Personalized Bill Menu'!$B$23 &amp; "'!" &amp;"$A$4:$CA$100"), VLOOKUP(VLOOKUP("RIDER RATE 5",'Misc. Data &amp; Mechanisms'!$P$601:$S$632,HLOOKUP('Personalized Bill Menu'!$B$23, 'Misc. Data &amp; Mechanisms'!$P$599:$S$600, 2, FALSE), FALSE), 'Misc. Data &amp; Mechanisms'!$L$599:$N$659, 2, FALSE), FALSE) = "", "", VLOOKUP($A94, INDIRECT("'" &amp; 'Personalized Bill Menu'!$B$23 &amp; "'!" &amp;"$A$4:$CA$100"), VLOOKUP(VLOOKUP("RIDER RATE 5",'Misc. Data &amp; Mechanisms'!$P$601:$S$632,HLOOKUP('Personalized Bill Menu'!$B$23, 'Misc. Data &amp; Mechanisms'!$P$599:$S$600, 2, FALSE), FALSE), 'Misc. Data &amp; Mechanisms'!$L$599:$N$659, 2, FALSE), FALSE)), ""))</f>
        <v>0.96199999999999997</v>
      </c>
      <c r="AC94" s="69">
        <f ca="1">IF($A94="", "",IFERROR(IF(VLOOKUP($A94, INDIRECT("'" &amp; 'Personalized Bill Menu'!$B$23 &amp; "'!" &amp;"$A$4:$CA$100"), VLOOKUP(VLOOKUP("RIDER RATE 6",'Misc. Data &amp; Mechanisms'!$P$601:$S$632,HLOOKUP('Personalized Bill Menu'!$B$23, 'Misc. Data &amp; Mechanisms'!$P$599:$S$600, 2, FALSE), FALSE), 'Misc. Data &amp; Mechanisms'!$L$599:$N$659, 2, FALSE), FALSE) = "", "", VLOOKUP($A94, INDIRECT("'" &amp; 'Personalized Bill Menu'!$B$23 &amp; "'!" &amp;"$A$4:$CA$100"), VLOOKUP(VLOOKUP("RIDER RATE 6",'Misc. Data &amp; Mechanisms'!$P$601:$S$632,HLOOKUP('Personalized Bill Menu'!$B$23, 'Misc. Data &amp; Mechanisms'!$P$599:$S$600, 2, FALSE), FALSE), 'Misc. Data &amp; Mechanisms'!$L$599:$N$659, 2, FALSE), FALSE)), ""))</f>
        <v>-0.105</v>
      </c>
      <c r="AD94" s="69" t="str">
        <f ca="1">IF($A94="", "",IFERROR(IF(VLOOKUP($A94, INDIRECT("'" &amp; 'Personalized Bill Menu'!$B$23 &amp; "'!" &amp;"$A$4:$CA$100"), VLOOKUP(VLOOKUP("RIDER RATE 7",'Misc. Data &amp; Mechanisms'!$P$601:$S$632,HLOOKUP('Personalized Bill Menu'!$B$23, 'Misc. Data &amp; Mechanisms'!$P$599:$S$600, 2, FALSE), FALSE), 'Misc. Data &amp; Mechanisms'!$L$599:$N$659, 2, FALSE), FALSE) = "", "", VLOOKUP($A94, INDIRECT("'" &amp; 'Personalized Bill Menu'!$B$23 &amp; "'!" &amp;"$A$4:$CA$100"), VLOOKUP(VLOOKUP("RIDER RATE 7",'Misc. Data &amp; Mechanisms'!$P$601:$S$632,HLOOKUP('Personalized Bill Menu'!$B$23, 'Misc. Data &amp; Mechanisms'!$P$599:$S$600, 2, FALSE), FALSE), 'Misc. Data &amp; Mechanisms'!$L$599:$N$659, 2, FALSE), FALSE)), ""))</f>
        <v/>
      </c>
      <c r="AE94" s="69" t="str">
        <f ca="1">IF($A94="", "",IFERROR(IF(VLOOKUP($A94, INDIRECT("'" &amp; 'Personalized Bill Menu'!$B$23 &amp; "'!" &amp;"$A$4:$CA$100"), VLOOKUP(VLOOKUP("RIDER RATE 8",'Misc. Data &amp; Mechanisms'!$P$601:$S$632,HLOOKUP('Personalized Bill Menu'!$B$23, 'Misc. Data &amp; Mechanisms'!$P$599:$S$600, 2, FALSE), FALSE), 'Misc. Data &amp; Mechanisms'!$L$599:$N$659, 2, FALSE), FALSE) = "", "", VLOOKUP($A94, INDIRECT("'" &amp; 'Personalized Bill Menu'!$B$23 &amp; "'!" &amp;"$A$4:$CA$100"), VLOOKUP(VLOOKUP("RIDER RATE 8",'Misc. Data &amp; Mechanisms'!$P$601:$S$632,HLOOKUP('Personalized Bill Menu'!$B$23, 'Misc. Data &amp; Mechanisms'!$P$599:$S$600, 2, FALSE), FALSE), 'Misc. Data &amp; Mechanisms'!$L$599:$N$659, 2, FALSE), FALSE)), ""))</f>
        <v/>
      </c>
      <c r="AF94" s="69">
        <f ca="1">IF($A94="", "",IFERROR(IF(VLOOKUP($A94, INDIRECT("'" &amp; 'Personalized Bill Menu'!$B$23 &amp; "'!" &amp;"$A$4:$CA$100"), VLOOKUP(VLOOKUP("RIDER RATE 9",'Misc. Data &amp; Mechanisms'!$P$601:$S$632,HLOOKUP('Personalized Bill Menu'!$B$23, 'Misc. Data &amp; Mechanisms'!$P$599:$S$600, 2, FALSE), FALSE), 'Misc. Data &amp; Mechanisms'!$L$599:$N$659, 2, FALSE), FALSE) = "", "", VLOOKUP($A94, INDIRECT("'" &amp; 'Personalized Bill Menu'!$B$23 &amp; "'!" &amp;"$A$4:$CA$100"), VLOOKUP(VLOOKUP("RIDER RATE 9",'Misc. Data &amp; Mechanisms'!$P$601:$S$632,HLOOKUP('Personalized Bill Menu'!$B$23, 'Misc. Data &amp; Mechanisms'!$P$599:$S$600, 2, FALSE), FALSE), 'Misc. Data &amp; Mechanisms'!$L$599:$N$659, 2, FALSE), FALSE)), ""))</f>
        <v>9.0999999999999998E-2</v>
      </c>
      <c r="AG94" s="72">
        <f ca="1">IF($A94="", "", IFERROR(IF('Personalized Bill Menu'!$B$23="ATCO-N", ($X94*$B94) +($Y94*$C94), IF('Personalized Bill Menu'!$B$23="ATCO-S",$X94*$C94, IF($Y94="", ($X94*$H94), ($Y94*($H94+$K94))))), 0))</f>
        <v>0</v>
      </c>
      <c r="AH94" s="72">
        <f ca="1">IF($A94="", "", IFERROR(IF('Personalized Bill Menu'!$B$23="ATCO-S", $Y94*$C94, $Z94*$C94), 0))</f>
        <v>0</v>
      </c>
      <c r="AI94" s="72">
        <f ca="1">IF($A94="", "", IFERROR(IF('Personalized Bill Menu'!$B$23="ATCO-S", ($AA94*$C94)+($Z94*$B94), $AA94*$C94), 0))</f>
        <v>0</v>
      </c>
      <c r="AJ94" s="72">
        <f ca="1">IF($A94="", "", IFERROR(IF('Personalized Bill Menu'!$B$23&lt;&gt;"AltaGas",$AB94*$C94,""),0))</f>
        <v>9.2285137062894691</v>
      </c>
      <c r="AK94" s="72">
        <f ca="1">IF($A94="", "", IFERROR(IF('Personalized Bill Menu'!$B$23="ATCO-S",$AC94*$C94,IF('Personalized Bill Menu'!$B$23="ATCO-N",$AC94*1,"")),0))</f>
        <v>-1.0072702070274369</v>
      </c>
      <c r="AL94" s="72">
        <f ca="1">IF($A94="", "", IFERROR(IF('Personalized Bill Menu'!$B$23="ATCO-N",$AD94*$B94,IF('Personalized Bill Menu'!$B$23="ATCO-S",$AD94*1,"")),0))</f>
        <v>0</v>
      </c>
      <c r="AM94" s="72">
        <f ca="1">IF($A94="", "", IFERROR(IF('Personalized Bill Menu'!$B$23="ATCO-S",$AE94*$B94,IF('Personalized Bill Menu'!$B$23="ATCO-N",$AE94*$B94,"")),0))</f>
        <v>0</v>
      </c>
      <c r="AN94" s="70">
        <f ca="1">IF($A94="", "", IFERROR(IF('Personalized Bill Menu'!$B$23="ATCO-S",$AF94*$B94,""),0))</f>
        <v>2.73</v>
      </c>
      <c r="AO94" s="69">
        <f>IF('Personalized Bill Menu'!$B$34="Natural Gas", 'Personalized Bill Menu'!$K91, IF('Personalized Bill Menu'!$B$34="Both",'Personalized Bill Menu'!$O91,""))</f>
        <v>0.27200000000000002</v>
      </c>
      <c r="AP94" s="70">
        <f t="shared" si="28"/>
        <v>8.16</v>
      </c>
      <c r="AQ94" s="89">
        <f ca="1">IF($A94="", "",IF(VLOOKUP($A94, INDIRECT("'" &amp; 'Personalized Bill Menu'!$B$23 &amp; "'!" &amp;"$A$4:$CA$100"), VLOOKUP(VLOOKUP(AQ$5,'Misc. Data &amp; Mechanisms'!$P$601:$S$632,HLOOKUP('Personalized Bill Menu'!$B$23, 'Misc. Data &amp; Mechanisms'!$P$599:$S$600, 2, FALSE), FALSE), 'Misc. Data &amp; Mechanisms'!$L$599:$N$659, 2, FALSE), FALSE) = "", "", VLOOKUP($A94, INDIRECT("'" &amp; 'Personalized Bill Menu'!$B$23 &amp; "'!" &amp;"$A$4:$CA$100"), VLOOKUP(VLOOKUP(AQ$5,'Misc. Data &amp; Mechanisms'!$P$601:$S$632,HLOOKUP('Personalized Bill Menu'!$B$23, 'Misc. Data &amp; Mechanisms'!$P$599:$S$600, 2, FALSE), FALSE), 'Misc. Data &amp; Mechanisms'!$L$599:$N$659, 2, FALSE), FALSE)))</f>
        <v>1.5169999999999999</v>
      </c>
      <c r="AR94" s="70">
        <f t="shared" ca="1" si="29"/>
        <v>14.552656229148779</v>
      </c>
      <c r="AS94" s="91">
        <f ca="1">IF($A94="", "",IF(VLOOKUP($A94, INDIRECT("'" &amp; 'Personalized Bill Menu'!$B$23 &amp; "'!" &amp;"$A$4:$CA$100"), VLOOKUP(VLOOKUP(AS$5,'Misc. Data &amp; Mechanisms'!$P$601:$S$632,HLOOKUP('Personalized Bill Menu'!$B$23, 'Misc. Data &amp; Mechanisms'!$P$599:$S$600, 2, FALSE), FALSE), 'Misc. Data &amp; Mechanisms'!$L$599:$N$659, 2, FALSE), FALSE) = "", "", VLOOKUP($A94, INDIRECT("'" &amp; 'Personalized Bill Menu'!$B$23 &amp; "'!" &amp;"$A$4:$CA$100"), VLOOKUP(VLOOKUP(AS$5,'Misc. Data &amp; Mechanisms'!$P$601:$S$632,HLOOKUP('Personalized Bill Menu'!$B$23, 'Misc. Data &amp; Mechanisms'!$P$599:$S$600, 2, FALSE), FALSE), 'Misc. Data &amp; Mechanisms'!$L$599:$N$659, 2, FALSE), FALSE)))</f>
        <v>0.05</v>
      </c>
    </row>
    <row r="95" spans="1:45" x14ac:dyDescent="0.3">
      <c r="A95" s="83">
        <f>'Personalized Bill Menu'!$H92</f>
        <v>43586</v>
      </c>
      <c r="B95" s="84">
        <f t="shared" si="19"/>
        <v>31</v>
      </c>
      <c r="C95" s="85">
        <f>IF('Personalized Bill Menu'!$B$34="Natural Gas", 'Personalized Bill Menu'!$I92, IF('Personalized Bill Menu'!$B$34="Both",'Personalized Bill Menu'!$M92,""))</f>
        <v>7.5060858462941322</v>
      </c>
      <c r="D95" s="66">
        <f t="shared" ca="1" si="20"/>
        <v>11.896243357339147</v>
      </c>
      <c r="E95" s="66">
        <f ca="1">IF($C95="Not Applicable", "", IFERROR(IFERROR((1+$AS95)*IF('Personalized Bill Menu'!$B$23="ATCO-N", IF(OR('Personalized Bill Menu'!$B$21="Fort McMurray",AND('Personalized Bill Menu'!$B$21="Spruce Grove", $A95&lt;DATE(2019, 5, 1) )),(((1+IF($T95="",0,$T95))*($N95+$P95))+ (IF($U95="", 0, $U95)*$P95)+(1+IF($T95="",0,$T95)+IF($U95="", 0, $U95))*(SUM($Y95:$AB95))),($N95+((1+IF($T95="",0,$T95)+IF($U95="", 0, $U95))*$P95)+(1+IF($T95="",0,$T95)+IF($U95="", 0, $U95))*(SUM($Y95:$AB95)))), IF('Personalized Bill Menu'!$B$23="ATCO-S",IF(OR('Personalized Bill Menu'!$B$21="Calgary",AND('Personalized Bill Menu'!$B$21="Okotoks", $A95&lt;DATE(2019, 1, 1))),((1+IF($T95="",0,$T95))*($N95+$P95+SUM($X95:$Y95,$AA95:$AC95)))+(IF($U95="",0, $U95)*($P95+SUM($X95:$Y95,$AA95:$AC95))), ((1+IF($T95="",0,$T95))*($P95+SUM($Y95,$AA95:$AC95)))+(IF($U95="",0, $U95)*($P95+SUM($X95:$Y95,$AA95:$AC95)))+$N95+IF($X95="", 0, $X95)),IF(AND('Personalized Bill Menu'!$B$21="Athabasca", $A95&lt;DATE(2019, 5, 1)),((1+IF($T95="",0,$T95)+IF($U95="", 0, $U95))*($N95+((1+SUM($X95:$Y95))*$P95)+SUM($Z95:$AA95))),((1+IF($U95="", 0, $U95))*($N95+((1+SUM($X95:$Y95))*$P95)+SUM($Z95:$AA95))) + (IF($T95="",0,$T95)*(((1+SUM($X95:$Y95))*$P95)+SUM($Z95:$AA95)))))), "")+ IF($AQ95="", 0,((1+$AS95)*$AQ95)), ""))</f>
        <v>6.2453712638709673</v>
      </c>
      <c r="F95" s="118">
        <f t="shared" ca="1" si="21"/>
        <v>89.294223888593962</v>
      </c>
      <c r="G95" s="115">
        <f t="shared" si="15"/>
        <v>17.151406158782095</v>
      </c>
      <c r="H95" s="66">
        <f t="shared" ca="1" si="16"/>
        <v>32.169545166577834</v>
      </c>
      <c r="I95" s="66">
        <f t="shared" ca="1" si="17"/>
        <v>6.5952077365448813</v>
      </c>
      <c r="J95" s="66">
        <f t="shared" ca="1" si="22"/>
        <v>10.041854584134954</v>
      </c>
      <c r="K95" s="66">
        <f t="shared" si="18"/>
        <v>8.4320000000000004</v>
      </c>
      <c r="L95" s="66">
        <f t="shared" ca="1" si="23"/>
        <v>10.652104343097346</v>
      </c>
      <c r="M95" s="68">
        <f t="shared" ca="1" si="24"/>
        <v>4.2521058994568559</v>
      </c>
      <c r="N95" s="1290">
        <f>IF('Personalized Bill Menu'!$B$34="Natural Gas", 'Personalized Bill Menu'!$J92, IF('Personalized Bill Menu'!$B$34="Both",'Personalized Bill Menu'!$N92,""))</f>
        <v>2.2850000000000001</v>
      </c>
      <c r="O95" s="70">
        <f t="shared" si="25"/>
        <v>17.151406158782095</v>
      </c>
      <c r="P95" s="89">
        <f ca="1">IF($A95="", "",IFERROR(IF(VLOOKUP($A95, INDIRECT("'" &amp; 'Personalized Bill Menu'!$B$23 &amp; "'!" &amp;"$A$4:$CA$100"), VLOOKUP(VLOOKUP(P$5,'Misc. Data &amp; Mechanisms'!$P$601:$S$632,HLOOKUP('Personalized Bill Menu'!$B$23, 'Misc. Data &amp; Mechanisms'!$P$599:$S$600, 2, FALSE), FALSE), 'Misc. Data &amp; Mechanisms'!$L$599:$N$659, 2, FALSE), FALSE) = "", "", VLOOKUP($A95, INDIRECT("'" &amp; 'Personalized Bill Menu'!$B$23 &amp; "'!" &amp;"$A$4:$CA$100"), VLOOKUP(VLOOKUP(P$5,'Misc. Data &amp; Mechanisms'!$P$601:$S$632,HLOOKUP('Personalized Bill Menu'!$B$23, 'Misc. Data &amp; Mechanisms'!$P$599:$S$600, 2, FALSE), FALSE), 'Misc. Data &amp; Mechanisms'!$L$599:$N$659, 2, FALSE), FALSE)), ""))</f>
        <v>0.82899999999999996</v>
      </c>
      <c r="Q95" s="69">
        <f ca="1">IF($A95="", "",IFERROR(IF(VLOOKUP($A95, INDIRECT("'" &amp; 'Personalized Bill Menu'!$B$23 &amp; "'!" &amp;"$A$4:$CA$100"), VLOOKUP(VLOOKUP(Q$5,'Misc. Data &amp; Mechanisms'!$P$601:$S$632,HLOOKUP('Personalized Bill Menu'!$B$23, 'Misc. Data &amp; Mechanisms'!$P$599:$S$600, 2, FALSE), FALSE), 'Misc. Data &amp; Mechanisms'!$L$599:$N$659, 2, FALSE), FALSE) = "", "", VLOOKUP($A95, INDIRECT("'" &amp; 'Personalized Bill Menu'!$B$23 &amp; "'!" &amp;"$A$4:$CA$100"), VLOOKUP(VLOOKUP(Q$5,'Misc. Data &amp; Mechanisms'!$P$601:$S$632,HLOOKUP('Personalized Bill Menu'!$B$23, 'Misc. Data &amp; Mechanisms'!$P$599:$S$600, 2, FALSE), FALSE), 'Misc. Data &amp; Mechanisms'!$L$599:$N$659, 2, FALSE), FALSE)), ""))</f>
        <v>0.83699999999999997</v>
      </c>
      <c r="R95" s="72">
        <f t="shared" ca="1" si="26"/>
        <v>6.2225451665778353</v>
      </c>
      <c r="S95" s="70">
        <f t="shared" ca="1" si="27"/>
        <v>25.946999999999999</v>
      </c>
      <c r="T95" s="78">
        <f>IFERROR(IF(VLOOKUP($A95,'Misc. Data &amp; Mechanisms'!$A$63:$DY$152,HLOOKUP('Personalized Bill Menu'!$B$21&amp;"_"&amp;'Personalized Bill Menu'!$B$23&amp;"_NG_Y_1",'Misc. Data &amp; Mechanisms'!$A$55:$DY$62,8,FALSE), FALSE)="", "", VLOOKUP($A95,'Misc. Data &amp; Mechanisms'!$A$63:$DY$152,HLOOKUP('Personalized Bill Menu'!$B$21&amp;"_"&amp;'Personalized Bill Menu'!$B$23&amp;"_NG_Y_1",'Misc. Data &amp; Mechanisms'!$A$55:$DY$62,8,FALSE), FALSE)), "")</f>
        <v>0.1111</v>
      </c>
      <c r="U95" s="78" t="str">
        <f>IFERROR(IF(VLOOKUP($A95,'Misc. Data &amp; Mechanisms'!$A$63:$DY$152,HLOOKUP('Personalized Bill Menu'!$B$21&amp;"_"&amp;'Personalized Bill Menu'!$B$23&amp;"_NG_Y_2",'Misc. Data &amp; Mechanisms'!$A$55:$DY$62,8,FALSE), FALSE)="", "",VLOOKUP($A95,'Misc. Data &amp; Mechanisms'!$A$63:$DY$152,HLOOKUP('Personalized Bill Menu'!$B$21&amp;"_"&amp;'Personalized Bill Menu'!$B$23&amp;"_NG_Y_2",'Misc. Data &amp; Mechanisms'!$A$55:$DY$62,8,FALSE), FALSE)), "")</f>
        <v/>
      </c>
      <c r="V95" s="72">
        <f ca="1">IF($A95="", "", IFERROR(IF('Personalized Bill Menu'!$B$23="ATCO-N", IF(OR('Personalized Bill Menu'!$B$21="Fort McMurray",AND('Personalized Bill Menu'!$B$21="Spruce Grove", $A95&lt;DATE(2019, 5, 1))),$T95*($G95+$H95+$J95),$T95*($H95+$J95)), IF('Personalized Bill Menu'!$B$23="ATCO-S",IF(OR('Personalized Bill Menu'!$B$21="Calgary",AND('Personalized Bill Menu'!$B$21="Okotoks", $A95&lt;DATE(2019, 1, 1))),$T95*($G95+$H95+$J95), $T95*($H95+$J95-$AG95)),IF(AND('Personalized Bill Menu'!$B$21="Athabasca", $A95&lt;DATE(2019, 5, 1)),$T95*($G95+$H95+$J95+$K95),$T95*($H95+$J95+$K95)))),0))</f>
        <v>6.5952077365448813</v>
      </c>
      <c r="W95" s="70">
        <f ca="1">IF($A95="", "", IFERROR(IF('Personalized Bill Menu'!$B$23="ATCO-N", $U95*($H95+$J95), IF('Personalized Bill Menu'!$B$23="ATCO-S",$U95*($H95+$J95),$U95*($G95+$H95+$J95+$K95))),0))</f>
        <v>0</v>
      </c>
      <c r="X95" s="89" t="str">
        <f ca="1">IF($A95="", "",IFERROR(IF(VLOOKUP($A95, INDIRECT("'" &amp; 'Personalized Bill Menu'!$B$23 &amp; "'!" &amp;"$A$4:$CA$100"), VLOOKUP(VLOOKUP("RIDER RATE 1",'Misc. Data &amp; Mechanisms'!$P$601:$S$632,HLOOKUP('Personalized Bill Menu'!$B$23, 'Misc. Data &amp; Mechanisms'!$P$599:$S$600, 2, FALSE), FALSE), 'Misc. Data &amp; Mechanisms'!$L$599:$N$659, 2, FALSE), FALSE) = "", "", VLOOKUP($A95, INDIRECT("'" &amp; 'Personalized Bill Menu'!$B$23 &amp; "'!" &amp;"$A$4:$CA$100"), VLOOKUP(VLOOKUP("RIDER RATE 1",'Misc. Data &amp; Mechanisms'!$P$601:$S$632,HLOOKUP('Personalized Bill Menu'!$B$23, 'Misc. Data &amp; Mechanisms'!$P$599:$S$600, 2, FALSE), FALSE), 'Misc. Data &amp; Mechanisms'!$L$599:$N$659, 2, FALSE), FALSE)), ""))</f>
        <v/>
      </c>
      <c r="Y95" s="69" t="str">
        <f ca="1">IF($A95="", "",IFERROR(IF(VLOOKUP($A95, INDIRECT("'" &amp; 'Personalized Bill Menu'!$B$23 &amp; "'!" &amp;"$A$4:$CA$100"), VLOOKUP(VLOOKUP("RIDER RATE 2",'Misc. Data &amp; Mechanisms'!$P$601:$S$632,HLOOKUP('Personalized Bill Menu'!$B$23, 'Misc. Data &amp; Mechanisms'!$P$599:$S$600, 2, FALSE), FALSE), 'Misc. Data &amp; Mechanisms'!$L$599:$N$659, 2, FALSE), FALSE) = "", "", VLOOKUP($A95, INDIRECT("'" &amp; 'Personalized Bill Menu'!$B$23 &amp; "'!" &amp;"$A$4:$CA$100"), VLOOKUP(VLOOKUP("RIDER RATE 2",'Misc. Data &amp; Mechanisms'!$P$601:$S$632,HLOOKUP('Personalized Bill Menu'!$B$23, 'Misc. Data &amp; Mechanisms'!$P$599:$S$600, 2, FALSE), FALSE), 'Misc. Data &amp; Mechanisms'!$L$599:$N$659, 2, FALSE), FALSE)), ""))</f>
        <v/>
      </c>
      <c r="Z95" s="69" t="str">
        <f ca="1">IF($A95="", "",IFERROR(IF(VLOOKUP($A95, INDIRECT("'" &amp; 'Personalized Bill Menu'!$B$23 &amp; "'!" &amp;"$A$4:$CA$100"), VLOOKUP(VLOOKUP("RIDER RATE 3",'Misc. Data &amp; Mechanisms'!$P$601:$S$632,HLOOKUP('Personalized Bill Menu'!$B$23, 'Misc. Data &amp; Mechanisms'!$P$599:$S$600, 2, FALSE), FALSE), 'Misc. Data &amp; Mechanisms'!$L$599:$N$659, 2, FALSE), FALSE) = "", "", VLOOKUP($A95, INDIRECT("'" &amp; 'Personalized Bill Menu'!$B$23 &amp; "'!" &amp;"$A$4:$CA$100"), VLOOKUP(VLOOKUP("RIDER RATE 3",'Misc. Data &amp; Mechanisms'!$P$601:$S$632,HLOOKUP('Personalized Bill Menu'!$B$23, 'Misc. Data &amp; Mechanisms'!$P$599:$S$600, 2, FALSE), FALSE), 'Misc. Data &amp; Mechanisms'!$L$599:$N$659, 2, FALSE), FALSE)), ""))</f>
        <v/>
      </c>
      <c r="AA95" s="69" t="str">
        <f ca="1">IF($A95="", "",IFERROR(IF(VLOOKUP($A95, INDIRECT("'" &amp; 'Personalized Bill Menu'!$B$23 &amp; "'!" &amp;"$A$4:$CA$100"), VLOOKUP(VLOOKUP("RIDER RATE 4",'Misc. Data &amp; Mechanisms'!$P$601:$S$632,HLOOKUP('Personalized Bill Menu'!$B$23, 'Misc. Data &amp; Mechanisms'!$P$599:$S$600, 2, FALSE), FALSE), 'Misc. Data &amp; Mechanisms'!$L$599:$N$659, 2, FALSE), FALSE) = "", "", VLOOKUP($A95, INDIRECT("'" &amp; 'Personalized Bill Menu'!$B$23 &amp; "'!" &amp;"$A$4:$CA$100"), VLOOKUP(VLOOKUP("RIDER RATE 4",'Misc. Data &amp; Mechanisms'!$P$601:$S$632,HLOOKUP('Personalized Bill Menu'!$B$23, 'Misc. Data &amp; Mechanisms'!$P$599:$S$600, 2, FALSE), FALSE), 'Misc. Data &amp; Mechanisms'!$L$599:$N$659, 2, FALSE), FALSE)), ""))</f>
        <v/>
      </c>
      <c r="AB95" s="69">
        <f ca="1">IF($A95="", "",IFERROR(IF(VLOOKUP($A95, INDIRECT("'" &amp; 'Personalized Bill Menu'!$B$23 &amp; "'!" &amp;"$A$4:$CA$100"), VLOOKUP(VLOOKUP("RIDER RATE 5",'Misc. Data &amp; Mechanisms'!$P$601:$S$632,HLOOKUP('Personalized Bill Menu'!$B$23, 'Misc. Data &amp; Mechanisms'!$P$599:$S$600, 2, FALSE), FALSE), 'Misc. Data &amp; Mechanisms'!$L$599:$N$659, 2, FALSE), FALSE) = "", "", VLOOKUP($A95, INDIRECT("'" &amp; 'Personalized Bill Menu'!$B$23 &amp; "'!" &amp;"$A$4:$CA$100"), VLOOKUP(VLOOKUP("RIDER RATE 5",'Misc. Data &amp; Mechanisms'!$P$601:$S$632,HLOOKUP('Personalized Bill Menu'!$B$23, 'Misc. Data &amp; Mechanisms'!$P$599:$S$600, 2, FALSE), FALSE), 'Misc. Data &amp; Mechanisms'!$L$599:$N$659, 2, FALSE), FALSE)), ""))</f>
        <v>0.96199999999999997</v>
      </c>
      <c r="AC95" s="69" t="str">
        <f ca="1">IF($A95="", "",IFERROR(IF(VLOOKUP($A95, INDIRECT("'" &amp; 'Personalized Bill Menu'!$B$23 &amp; "'!" &amp;"$A$4:$CA$100"), VLOOKUP(VLOOKUP("RIDER RATE 6",'Misc. Data &amp; Mechanisms'!$P$601:$S$632,HLOOKUP('Personalized Bill Menu'!$B$23, 'Misc. Data &amp; Mechanisms'!$P$599:$S$600, 2, FALSE), FALSE), 'Misc. Data &amp; Mechanisms'!$L$599:$N$659, 2, FALSE), FALSE) = "", "", VLOOKUP($A95, INDIRECT("'" &amp; 'Personalized Bill Menu'!$B$23 &amp; "'!" &amp;"$A$4:$CA$100"), VLOOKUP(VLOOKUP("RIDER RATE 6",'Misc. Data &amp; Mechanisms'!$P$601:$S$632,HLOOKUP('Personalized Bill Menu'!$B$23, 'Misc. Data &amp; Mechanisms'!$P$599:$S$600, 2, FALSE), FALSE), 'Misc. Data &amp; Mechanisms'!$L$599:$N$659, 2, FALSE), FALSE)), ""))</f>
        <v/>
      </c>
      <c r="AD95" s="69" t="str">
        <f ca="1">IF($A95="", "",IFERROR(IF(VLOOKUP($A95, INDIRECT("'" &amp; 'Personalized Bill Menu'!$B$23 &amp; "'!" &amp;"$A$4:$CA$100"), VLOOKUP(VLOOKUP("RIDER RATE 7",'Misc. Data &amp; Mechanisms'!$P$601:$S$632,HLOOKUP('Personalized Bill Menu'!$B$23, 'Misc. Data &amp; Mechanisms'!$P$599:$S$600, 2, FALSE), FALSE), 'Misc. Data &amp; Mechanisms'!$L$599:$N$659, 2, FALSE), FALSE) = "", "", VLOOKUP($A95, INDIRECT("'" &amp; 'Personalized Bill Menu'!$B$23 &amp; "'!" &amp;"$A$4:$CA$100"), VLOOKUP(VLOOKUP("RIDER RATE 7",'Misc. Data &amp; Mechanisms'!$P$601:$S$632,HLOOKUP('Personalized Bill Menu'!$B$23, 'Misc. Data &amp; Mechanisms'!$P$599:$S$600, 2, FALSE), FALSE), 'Misc. Data &amp; Mechanisms'!$L$599:$N$659, 2, FALSE), FALSE)), ""))</f>
        <v/>
      </c>
      <c r="AE95" s="69" t="str">
        <f ca="1">IF($A95="", "",IFERROR(IF(VLOOKUP($A95, INDIRECT("'" &amp; 'Personalized Bill Menu'!$B$23 &amp; "'!" &amp;"$A$4:$CA$100"), VLOOKUP(VLOOKUP("RIDER RATE 8",'Misc. Data &amp; Mechanisms'!$P$601:$S$632,HLOOKUP('Personalized Bill Menu'!$B$23, 'Misc. Data &amp; Mechanisms'!$P$599:$S$600, 2, FALSE), FALSE), 'Misc. Data &amp; Mechanisms'!$L$599:$N$659, 2, FALSE), FALSE) = "", "", VLOOKUP($A95, INDIRECT("'" &amp; 'Personalized Bill Menu'!$B$23 &amp; "'!" &amp;"$A$4:$CA$100"), VLOOKUP(VLOOKUP("RIDER RATE 8",'Misc. Data &amp; Mechanisms'!$P$601:$S$632,HLOOKUP('Personalized Bill Menu'!$B$23, 'Misc. Data &amp; Mechanisms'!$P$599:$S$600, 2, FALSE), FALSE), 'Misc. Data &amp; Mechanisms'!$L$599:$N$659, 2, FALSE), FALSE)), ""))</f>
        <v/>
      </c>
      <c r="AF95" s="69">
        <f ca="1">IF($A95="", "",IFERROR(IF(VLOOKUP($A95, INDIRECT("'" &amp; 'Personalized Bill Menu'!$B$23 &amp; "'!" &amp;"$A$4:$CA$100"), VLOOKUP(VLOOKUP("RIDER RATE 9",'Misc. Data &amp; Mechanisms'!$P$601:$S$632,HLOOKUP('Personalized Bill Menu'!$B$23, 'Misc. Data &amp; Mechanisms'!$P$599:$S$600, 2, FALSE), FALSE), 'Misc. Data &amp; Mechanisms'!$L$599:$N$659, 2, FALSE), FALSE) = "", "", VLOOKUP($A95, INDIRECT("'" &amp; 'Personalized Bill Menu'!$B$23 &amp; "'!" &amp;"$A$4:$CA$100"), VLOOKUP(VLOOKUP("RIDER RATE 9",'Misc. Data &amp; Mechanisms'!$P$601:$S$632,HLOOKUP('Personalized Bill Menu'!$B$23, 'Misc. Data &amp; Mechanisms'!$P$599:$S$600, 2, FALSE), FALSE), 'Misc. Data &amp; Mechanisms'!$L$599:$N$659, 2, FALSE), FALSE)), ""))</f>
        <v>9.0999999999999998E-2</v>
      </c>
      <c r="AG95" s="72">
        <f ca="1">IF($A95="", "", IFERROR(IF('Personalized Bill Menu'!$B$23="ATCO-N", ($X95*$B95) +($Y95*$C95), IF('Personalized Bill Menu'!$B$23="ATCO-S",$X95*$C95, IF($Y95="", ($X95*$H95), ($Y95*($H95+$K95))))), 0))</f>
        <v>0</v>
      </c>
      <c r="AH95" s="72">
        <f ca="1">IF($A95="", "", IFERROR(IF('Personalized Bill Menu'!$B$23="ATCO-S", $Y95*$C95, $Z95*$C95), 0))</f>
        <v>0</v>
      </c>
      <c r="AI95" s="72">
        <f ca="1">IF($A95="", "", IFERROR(IF('Personalized Bill Menu'!$B$23="ATCO-S", ($AA95*$C95)+($Z95*$B95), $AA95*$C95), 0))</f>
        <v>0</v>
      </c>
      <c r="AJ95" s="72">
        <f ca="1">IF($A95="", "", IFERROR(IF('Personalized Bill Menu'!$B$23&lt;&gt;"AltaGas",$AB95*$C95,""),0))</f>
        <v>7.2208545841349547</v>
      </c>
      <c r="AK95" s="72">
        <f ca="1">IF($A95="", "", IFERROR(IF('Personalized Bill Menu'!$B$23="ATCO-S",$AC95*$C95,IF('Personalized Bill Menu'!$B$23="ATCO-N",$AC95*1,"")),0))</f>
        <v>0</v>
      </c>
      <c r="AL95" s="72">
        <f ca="1">IF($A95="", "", IFERROR(IF('Personalized Bill Menu'!$B$23="ATCO-N",$AD95*$B95,IF('Personalized Bill Menu'!$B$23="ATCO-S",$AD95*1,"")),0))</f>
        <v>0</v>
      </c>
      <c r="AM95" s="72">
        <f ca="1">IF($A95="", "", IFERROR(IF('Personalized Bill Menu'!$B$23="ATCO-S",$AE95*$B95,IF('Personalized Bill Menu'!$B$23="ATCO-N",$AE95*$B95,"")),0))</f>
        <v>0</v>
      </c>
      <c r="AN95" s="70">
        <f ca="1">IF($A95="", "", IFERROR(IF('Personalized Bill Menu'!$B$23="ATCO-S",$AF95*$B95,""),0))</f>
        <v>2.8209999999999997</v>
      </c>
      <c r="AO95" s="69">
        <f>IF('Personalized Bill Menu'!$B$34="Natural Gas", 'Personalized Bill Menu'!$K92, IF('Personalized Bill Menu'!$B$34="Both",'Personalized Bill Menu'!$O92,""))</f>
        <v>0.27200000000000002</v>
      </c>
      <c r="AP95" s="70">
        <f t="shared" si="28"/>
        <v>8.4320000000000004</v>
      </c>
      <c r="AQ95" s="89">
        <f ca="1">IF($A95="", "",IF(VLOOKUP($A95, INDIRECT("'" &amp; 'Personalized Bill Menu'!$B$23 &amp; "'!" &amp;"$A$4:$CA$100"), VLOOKUP(VLOOKUP(AQ$5,'Misc. Data &amp; Mechanisms'!$P$601:$S$632,HLOOKUP('Personalized Bill Menu'!$B$23, 'Misc. Data &amp; Mechanisms'!$P$599:$S$600, 2, FALSE), FALSE), 'Misc. Data &amp; Mechanisms'!$L$599:$N$659, 2, FALSE), FALSE) = "", "", VLOOKUP($A95, INDIRECT("'" &amp; 'Personalized Bill Menu'!$B$23 &amp; "'!" &amp;"$A$4:$CA$100"), VLOOKUP(VLOOKUP(AQ$5,'Misc. Data &amp; Mechanisms'!$P$601:$S$632,HLOOKUP('Personalized Bill Menu'!$B$23, 'Misc. Data &amp; Mechanisms'!$P$599:$S$600, 2, FALSE), FALSE), 'Misc. Data &amp; Mechanisms'!$L$599:$N$659, 2, FALSE), FALSE)))</f>
        <v>1.4191290322580643</v>
      </c>
      <c r="AR95" s="70">
        <f t="shared" ca="1" si="29"/>
        <v>10.652104343097346</v>
      </c>
      <c r="AS95" s="91">
        <f ca="1">IF($A95="", "",IF(VLOOKUP($A95, INDIRECT("'" &amp; 'Personalized Bill Menu'!$B$23 &amp; "'!" &amp;"$A$4:$CA$100"), VLOOKUP(VLOOKUP(AS$5,'Misc. Data &amp; Mechanisms'!$P$601:$S$632,HLOOKUP('Personalized Bill Menu'!$B$23, 'Misc. Data &amp; Mechanisms'!$P$599:$S$600, 2, FALSE), FALSE), 'Misc. Data &amp; Mechanisms'!$L$599:$N$659, 2, FALSE), FALSE) = "", "", VLOOKUP($A95, INDIRECT("'" &amp; 'Personalized Bill Menu'!$B$23 &amp; "'!" &amp;"$A$4:$CA$100"), VLOOKUP(VLOOKUP(AS$5,'Misc. Data &amp; Mechanisms'!$P$601:$S$632,HLOOKUP('Personalized Bill Menu'!$B$23, 'Misc. Data &amp; Mechanisms'!$P$599:$S$600, 2, FALSE), FALSE), 'Misc. Data &amp; Mechanisms'!$L$599:$N$659, 2, FALSE), FALSE)))</f>
        <v>0.05</v>
      </c>
    </row>
    <row r="96" spans="1:45" ht="15" thickBot="1" x14ac:dyDescent="0.35">
      <c r="A96" s="92">
        <f>'Personalized Bill Menu'!$H93</f>
        <v>43617</v>
      </c>
      <c r="B96" s="93">
        <f t="shared" si="19"/>
        <v>30</v>
      </c>
      <c r="C96" s="94">
        <f>IF('Personalized Bill Menu'!$B$34="Natural Gas", 'Personalized Bill Menu'!$I93, IF('Personalized Bill Menu'!$B$34="Both",'Personalized Bill Menu'!$M93,""))</f>
        <v>3.7439440891544029</v>
      </c>
      <c r="D96" s="95">
        <f t="shared" ca="1" si="20"/>
        <v>13.479060368209337</v>
      </c>
      <c r="E96" s="95">
        <f ca="1">IF($C96="Not Applicable", "", IFERROR(IFERROR((1+$AS96)*IF('Personalized Bill Menu'!$B$23="ATCO-N", IF(OR('Personalized Bill Menu'!$B$21="Fort McMurray",AND('Personalized Bill Menu'!$B$21="Spruce Grove", $A96&lt;DATE(2019, 5, 1) )),(((1+IF($T96="",0,$T96))*($N96+$P96))+ (IF($U96="", 0, $U96)*$P96)+(1+IF($T96="",0,$T96)+IF($U96="", 0, $U96))*(SUM($Y96:$AB96))),($N96+((1+IF($T96="",0,$T96)+IF($U96="", 0, $U96))*$P96)+(1+IF($T96="",0,$T96)+IF($U96="", 0, $U96))*(SUM($Y96:$AB96)))), IF('Personalized Bill Menu'!$B$23="ATCO-S",IF(OR('Personalized Bill Menu'!$B$21="Calgary",AND('Personalized Bill Menu'!$B$21="Okotoks", $A96&lt;DATE(2019, 1, 1))),((1+IF($T96="",0,$T96))*($N96+$P96+SUM($X96:$Y96,$AA96:$AC96)))+(IF($U96="",0, $U96)*($P96+SUM($X96:$Y96,$AA96:$AC96))), ((1+IF($T96="",0,$T96))*($P96+SUM($Y96,$AA96:$AC96)))+(IF($U96="",0, $U96)*($P96+SUM($X96:$Y96,$AA96:$AC96)))+$N96+IF($X96="", 0, $X96)),IF(AND('Personalized Bill Menu'!$B$21="Athabasca", $A96&lt;DATE(2019, 5, 1)),((1+IF($T96="",0,$T96)+IF($U96="", 0, $U96))*($N96+((1+SUM($X96:$Y96))*$P96)+SUM($Z96:$AA96))),((1+IF($U96="", 0, $U96))*($N96+((1+SUM($X96:$Y96))*$P96)+SUM($Z96:$AA96))) + (IF($T96="",0,$T96)*(((1+SUM($X96:$Y96))*$P96)+SUM($Z96:$AA96)))))), "")+ IF($AQ96="", 0,((1+$AS96)*$AQ96)), ""))</f>
        <v>2.5153081799999994</v>
      </c>
      <c r="F96" s="119">
        <f t="shared" ca="1" si="21"/>
        <v>50.464848392912721</v>
      </c>
      <c r="G96" s="120">
        <f t="shared" si="15"/>
        <v>1.366539592541357</v>
      </c>
      <c r="H96" s="95">
        <f t="shared" ca="1" si="16"/>
        <v>28.213729649908998</v>
      </c>
      <c r="I96" s="95">
        <f t="shared" ca="1" si="17"/>
        <v>3.9898169179856966</v>
      </c>
      <c r="J96" s="95">
        <f t="shared" ca="1" si="22"/>
        <v>6.3316742137665356</v>
      </c>
      <c r="K96" s="95">
        <f t="shared" si="18"/>
        <v>8.16</v>
      </c>
      <c r="L96" s="95">
        <f t="shared" ca="1" si="23"/>
        <v>0</v>
      </c>
      <c r="M96" s="96">
        <f t="shared" ca="1" si="24"/>
        <v>2.4030880187101298</v>
      </c>
      <c r="N96" s="1291">
        <f>IF('Personalized Bill Menu'!$B$34="Natural Gas", 'Personalized Bill Menu'!$J93, IF('Personalized Bill Menu'!$B$34="Both",'Personalized Bill Menu'!$N93,""))</f>
        <v>0.36499999999999999</v>
      </c>
      <c r="O96" s="98">
        <f t="shared" si="25"/>
        <v>1.366539592541357</v>
      </c>
      <c r="P96" s="105">
        <f ca="1">IF($A96="", "",IFERROR(IF(VLOOKUP($A96, INDIRECT("'" &amp; 'Personalized Bill Menu'!$B$23 &amp; "'!" &amp;"$A$4:$CA$100"), VLOOKUP(VLOOKUP(P$5,'Misc. Data &amp; Mechanisms'!$P$601:$S$632,HLOOKUP('Personalized Bill Menu'!$B$23, 'Misc. Data &amp; Mechanisms'!$P$599:$S$600, 2, FALSE), FALSE), 'Misc. Data &amp; Mechanisms'!$L$599:$N$659, 2, FALSE), FALSE) = "", "", VLOOKUP($A96, INDIRECT("'" &amp; 'Personalized Bill Menu'!$B$23 &amp; "'!" &amp;"$A$4:$CA$100"), VLOOKUP(VLOOKUP(P$5,'Misc. Data &amp; Mechanisms'!$P$601:$S$632,HLOOKUP('Personalized Bill Menu'!$B$23, 'Misc. Data &amp; Mechanisms'!$P$599:$S$600, 2, FALSE), FALSE), 'Misc. Data &amp; Mechanisms'!$L$599:$N$659, 2, FALSE), FALSE)), ""))</f>
        <v>0.82899999999999996</v>
      </c>
      <c r="Q96" s="97">
        <f ca="1">IF($A96="", "",IFERROR(IF(VLOOKUP($A96, INDIRECT("'" &amp; 'Personalized Bill Menu'!$B$23 &amp; "'!" &amp;"$A$4:$CA$100"), VLOOKUP(VLOOKUP(Q$5,'Misc. Data &amp; Mechanisms'!$P$601:$S$632,HLOOKUP('Personalized Bill Menu'!$B$23, 'Misc. Data &amp; Mechanisms'!$P$599:$S$600, 2, FALSE), FALSE), 'Misc. Data &amp; Mechanisms'!$L$599:$N$659, 2, FALSE), FALSE) = "", "", VLOOKUP($A96, INDIRECT("'" &amp; 'Personalized Bill Menu'!$B$23 &amp; "'!" &amp;"$A$4:$CA$100"), VLOOKUP(VLOOKUP(Q$5,'Misc. Data &amp; Mechanisms'!$P$601:$S$632,HLOOKUP('Personalized Bill Menu'!$B$23, 'Misc. Data &amp; Mechanisms'!$P$599:$S$600, 2, FALSE), FALSE), 'Misc. Data &amp; Mechanisms'!$L$599:$N$659, 2, FALSE), FALSE)), ""))</f>
        <v>0.83699999999999997</v>
      </c>
      <c r="R96" s="100">
        <f t="shared" ca="1" si="26"/>
        <v>3.1037296499089999</v>
      </c>
      <c r="S96" s="98">
        <f t="shared" ca="1" si="27"/>
        <v>25.11</v>
      </c>
      <c r="T96" s="104">
        <f>IFERROR(IF(VLOOKUP($A96,'Misc. Data &amp; Mechanisms'!$A$63:$DY$152,HLOOKUP('Personalized Bill Menu'!$B$21&amp;"_"&amp;'Personalized Bill Menu'!$B$23&amp;"_NG_Y_1",'Misc. Data &amp; Mechanisms'!$A$55:$DY$62,8,FALSE), FALSE)="", "", VLOOKUP($A96,'Misc. Data &amp; Mechanisms'!$A$63:$DY$152,HLOOKUP('Personalized Bill Menu'!$B$21&amp;"_"&amp;'Personalized Bill Menu'!$B$23&amp;"_NG_Y_1",'Misc. Data &amp; Mechanisms'!$A$55:$DY$62,8,FALSE), FALSE)), "")</f>
        <v>0.1111</v>
      </c>
      <c r="U96" s="104" t="str">
        <f>IFERROR(IF(VLOOKUP($A96,'Misc. Data &amp; Mechanisms'!$A$63:$DY$152,HLOOKUP('Personalized Bill Menu'!$B$21&amp;"_"&amp;'Personalized Bill Menu'!$B$23&amp;"_NG_Y_2",'Misc. Data &amp; Mechanisms'!$A$55:$DY$62,8,FALSE), FALSE)="", "",VLOOKUP($A96,'Misc. Data &amp; Mechanisms'!$A$63:$DY$152,HLOOKUP('Personalized Bill Menu'!$B$21&amp;"_"&amp;'Personalized Bill Menu'!$B$23&amp;"_NG_Y_2",'Misc. Data &amp; Mechanisms'!$A$55:$DY$62,8,FALSE), FALSE)), "")</f>
        <v/>
      </c>
      <c r="V96" s="100">
        <f ca="1">IF($A96="", "", IFERROR(IF('Personalized Bill Menu'!$B$23="ATCO-N", IF(OR('Personalized Bill Menu'!$B$21="Fort McMurray",AND('Personalized Bill Menu'!$B$21="Spruce Grove", $A96&lt;DATE(2019, 5, 1))),$T96*($G96+$H96+$J96),$T96*($H96+$J96)), IF('Personalized Bill Menu'!$B$23="ATCO-S",IF(OR('Personalized Bill Menu'!$B$21="Calgary",AND('Personalized Bill Menu'!$B$21="Okotoks", $A96&lt;DATE(2019, 1, 1))),$T96*($G96+$H96+$J96), $T96*($H96+$J96-$AG96)),IF(AND('Personalized Bill Menu'!$B$21="Athabasca", $A96&lt;DATE(2019, 5, 1)),$T96*($G96+$H96+$J96+$K96),$T96*($H96+$J96+$K96)))),0))</f>
        <v>3.9898169179856966</v>
      </c>
      <c r="W96" s="98">
        <f ca="1">IF($A96="", "", IFERROR(IF('Personalized Bill Menu'!$B$23="ATCO-N", $U96*($H96+$J96), IF('Personalized Bill Menu'!$B$23="ATCO-S",$U96*($H96+$J96),$U96*($G96+$H96+$J96+$K96))),0))</f>
        <v>0</v>
      </c>
      <c r="X96" s="105" t="str">
        <f ca="1">IF($A96="", "",IFERROR(IF(VLOOKUP($A96, INDIRECT("'" &amp; 'Personalized Bill Menu'!$B$23 &amp; "'!" &amp;"$A$4:$CA$100"), VLOOKUP(VLOOKUP("RIDER RATE 1",'Misc. Data &amp; Mechanisms'!$P$601:$S$632,HLOOKUP('Personalized Bill Menu'!$B$23, 'Misc. Data &amp; Mechanisms'!$P$599:$S$600, 2, FALSE), FALSE), 'Misc. Data &amp; Mechanisms'!$L$599:$N$659, 2, FALSE), FALSE) = "", "", VLOOKUP($A96, INDIRECT("'" &amp; 'Personalized Bill Menu'!$B$23 &amp; "'!" &amp;"$A$4:$CA$100"), VLOOKUP(VLOOKUP("RIDER RATE 1",'Misc. Data &amp; Mechanisms'!$P$601:$S$632,HLOOKUP('Personalized Bill Menu'!$B$23, 'Misc. Data &amp; Mechanisms'!$P$599:$S$600, 2, FALSE), FALSE), 'Misc. Data &amp; Mechanisms'!$L$599:$N$659, 2, FALSE), FALSE)), ""))</f>
        <v/>
      </c>
      <c r="Y96" s="97" t="str">
        <f ca="1">IF($A96="", "",IFERROR(IF(VLOOKUP($A96, INDIRECT("'" &amp; 'Personalized Bill Menu'!$B$23 &amp; "'!" &amp;"$A$4:$CA$100"), VLOOKUP(VLOOKUP("RIDER RATE 2",'Misc. Data &amp; Mechanisms'!$P$601:$S$632,HLOOKUP('Personalized Bill Menu'!$B$23, 'Misc. Data &amp; Mechanisms'!$P$599:$S$600, 2, FALSE), FALSE), 'Misc. Data &amp; Mechanisms'!$L$599:$N$659, 2, FALSE), FALSE) = "", "", VLOOKUP($A96, INDIRECT("'" &amp; 'Personalized Bill Menu'!$B$23 &amp; "'!" &amp;"$A$4:$CA$100"), VLOOKUP(VLOOKUP("RIDER RATE 2",'Misc. Data &amp; Mechanisms'!$P$601:$S$632,HLOOKUP('Personalized Bill Menu'!$B$23, 'Misc. Data &amp; Mechanisms'!$P$599:$S$600, 2, FALSE), FALSE), 'Misc. Data &amp; Mechanisms'!$L$599:$N$659, 2, FALSE), FALSE)), ""))</f>
        <v/>
      </c>
      <c r="Z96" s="97" t="str">
        <f ca="1">IF($A96="", "",IFERROR(IF(VLOOKUP($A96, INDIRECT("'" &amp; 'Personalized Bill Menu'!$B$23 &amp; "'!" &amp;"$A$4:$CA$100"), VLOOKUP(VLOOKUP("RIDER RATE 3",'Misc. Data &amp; Mechanisms'!$P$601:$S$632,HLOOKUP('Personalized Bill Menu'!$B$23, 'Misc. Data &amp; Mechanisms'!$P$599:$S$600, 2, FALSE), FALSE), 'Misc. Data &amp; Mechanisms'!$L$599:$N$659, 2, FALSE), FALSE) = "", "", VLOOKUP($A96, INDIRECT("'" &amp; 'Personalized Bill Menu'!$B$23 &amp; "'!" &amp;"$A$4:$CA$100"), VLOOKUP(VLOOKUP("RIDER RATE 3",'Misc. Data &amp; Mechanisms'!$P$601:$S$632,HLOOKUP('Personalized Bill Menu'!$B$23, 'Misc. Data &amp; Mechanisms'!$P$599:$S$600, 2, FALSE), FALSE), 'Misc. Data &amp; Mechanisms'!$L$599:$N$659, 2, FALSE), FALSE)), ""))</f>
        <v/>
      </c>
      <c r="AA96" s="97" t="str">
        <f ca="1">IF($A96="", "",IFERROR(IF(VLOOKUP($A96, INDIRECT("'" &amp; 'Personalized Bill Menu'!$B$23 &amp; "'!" &amp;"$A$4:$CA$100"), VLOOKUP(VLOOKUP("RIDER RATE 4",'Misc. Data &amp; Mechanisms'!$P$601:$S$632,HLOOKUP('Personalized Bill Menu'!$B$23, 'Misc. Data &amp; Mechanisms'!$P$599:$S$600, 2, FALSE), FALSE), 'Misc. Data &amp; Mechanisms'!$L$599:$N$659, 2, FALSE), FALSE) = "", "", VLOOKUP($A96, INDIRECT("'" &amp; 'Personalized Bill Menu'!$B$23 &amp; "'!" &amp;"$A$4:$CA$100"), VLOOKUP(VLOOKUP("RIDER RATE 4",'Misc. Data &amp; Mechanisms'!$P$601:$S$632,HLOOKUP('Personalized Bill Menu'!$B$23, 'Misc. Data &amp; Mechanisms'!$P$599:$S$600, 2, FALSE), FALSE), 'Misc. Data &amp; Mechanisms'!$L$599:$N$659, 2, FALSE), FALSE)), ""))</f>
        <v/>
      </c>
      <c r="AB96" s="97">
        <f ca="1">IF($A96="", "",IFERROR(IF(VLOOKUP($A96, INDIRECT("'" &amp; 'Personalized Bill Menu'!$B$23 &amp; "'!" &amp;"$A$4:$CA$100"), VLOOKUP(VLOOKUP("RIDER RATE 5",'Misc. Data &amp; Mechanisms'!$P$601:$S$632,HLOOKUP('Personalized Bill Menu'!$B$23, 'Misc. Data &amp; Mechanisms'!$P$599:$S$600, 2, FALSE), FALSE), 'Misc. Data &amp; Mechanisms'!$L$599:$N$659, 2, FALSE), FALSE) = "", "", VLOOKUP($A96, INDIRECT("'" &amp; 'Personalized Bill Menu'!$B$23 &amp; "'!" &amp;"$A$4:$CA$100"), VLOOKUP(VLOOKUP("RIDER RATE 5",'Misc. Data &amp; Mechanisms'!$P$601:$S$632,HLOOKUP('Personalized Bill Menu'!$B$23, 'Misc. Data &amp; Mechanisms'!$P$599:$S$600, 2, FALSE), FALSE), 'Misc. Data &amp; Mechanisms'!$L$599:$N$659, 2, FALSE), FALSE)), ""))</f>
        <v>0.96199999999999997</v>
      </c>
      <c r="AC96" s="97" t="str">
        <f ca="1">IF($A96="", "",IFERROR(IF(VLOOKUP($A96, INDIRECT("'" &amp; 'Personalized Bill Menu'!$B$23 &amp; "'!" &amp;"$A$4:$CA$100"), VLOOKUP(VLOOKUP("RIDER RATE 6",'Misc. Data &amp; Mechanisms'!$P$601:$S$632,HLOOKUP('Personalized Bill Menu'!$B$23, 'Misc. Data &amp; Mechanisms'!$P$599:$S$600, 2, FALSE), FALSE), 'Misc. Data &amp; Mechanisms'!$L$599:$N$659, 2, FALSE), FALSE) = "", "", VLOOKUP($A96, INDIRECT("'" &amp; 'Personalized Bill Menu'!$B$23 &amp; "'!" &amp;"$A$4:$CA$100"), VLOOKUP(VLOOKUP("RIDER RATE 6",'Misc. Data &amp; Mechanisms'!$P$601:$S$632,HLOOKUP('Personalized Bill Menu'!$B$23, 'Misc. Data &amp; Mechanisms'!$P$599:$S$600, 2, FALSE), FALSE), 'Misc. Data &amp; Mechanisms'!$L$599:$N$659, 2, FALSE), FALSE)), ""))</f>
        <v/>
      </c>
      <c r="AD96" s="97" t="str">
        <f ca="1">IF($A96="", "",IFERROR(IF(VLOOKUP($A96, INDIRECT("'" &amp; 'Personalized Bill Menu'!$B$23 &amp; "'!" &amp;"$A$4:$CA$100"), VLOOKUP(VLOOKUP("RIDER RATE 7",'Misc. Data &amp; Mechanisms'!$P$601:$S$632,HLOOKUP('Personalized Bill Menu'!$B$23, 'Misc. Data &amp; Mechanisms'!$P$599:$S$600, 2, FALSE), FALSE), 'Misc. Data &amp; Mechanisms'!$L$599:$N$659, 2, FALSE), FALSE) = "", "", VLOOKUP($A96, INDIRECT("'" &amp; 'Personalized Bill Menu'!$B$23 &amp; "'!" &amp;"$A$4:$CA$100"), VLOOKUP(VLOOKUP("RIDER RATE 7",'Misc. Data &amp; Mechanisms'!$P$601:$S$632,HLOOKUP('Personalized Bill Menu'!$B$23, 'Misc. Data &amp; Mechanisms'!$P$599:$S$600, 2, FALSE), FALSE), 'Misc. Data &amp; Mechanisms'!$L$599:$N$659, 2, FALSE), FALSE)), ""))</f>
        <v/>
      </c>
      <c r="AE96" s="97" t="str">
        <f ca="1">IF($A96="", "",IFERROR(IF(VLOOKUP($A96, INDIRECT("'" &amp; 'Personalized Bill Menu'!$B$23 &amp; "'!" &amp;"$A$4:$CA$100"), VLOOKUP(VLOOKUP("RIDER RATE 8",'Misc. Data &amp; Mechanisms'!$P$601:$S$632,HLOOKUP('Personalized Bill Menu'!$B$23, 'Misc. Data &amp; Mechanisms'!$P$599:$S$600, 2, FALSE), FALSE), 'Misc. Data &amp; Mechanisms'!$L$599:$N$659, 2, FALSE), FALSE) = "", "", VLOOKUP($A96, INDIRECT("'" &amp; 'Personalized Bill Menu'!$B$23 &amp; "'!" &amp;"$A$4:$CA$100"), VLOOKUP(VLOOKUP("RIDER RATE 8",'Misc. Data &amp; Mechanisms'!$P$601:$S$632,HLOOKUP('Personalized Bill Menu'!$B$23, 'Misc. Data &amp; Mechanisms'!$P$599:$S$600, 2, FALSE), FALSE), 'Misc. Data &amp; Mechanisms'!$L$599:$N$659, 2, FALSE), FALSE)), ""))</f>
        <v/>
      </c>
      <c r="AF96" s="97">
        <f ca="1">IF($A96="", "",IFERROR(IF(VLOOKUP($A96, INDIRECT("'" &amp; 'Personalized Bill Menu'!$B$23 &amp; "'!" &amp;"$A$4:$CA$100"), VLOOKUP(VLOOKUP("RIDER RATE 9",'Misc. Data &amp; Mechanisms'!$P$601:$S$632,HLOOKUP('Personalized Bill Menu'!$B$23, 'Misc. Data &amp; Mechanisms'!$P$599:$S$600, 2, FALSE), FALSE), 'Misc. Data &amp; Mechanisms'!$L$599:$N$659, 2, FALSE), FALSE) = "", "", VLOOKUP($A96, INDIRECT("'" &amp; 'Personalized Bill Menu'!$B$23 &amp; "'!" &amp;"$A$4:$CA$100"), VLOOKUP(VLOOKUP("RIDER RATE 9",'Misc. Data &amp; Mechanisms'!$P$601:$S$632,HLOOKUP('Personalized Bill Menu'!$B$23, 'Misc. Data &amp; Mechanisms'!$P$599:$S$600, 2, FALSE), FALSE), 'Misc. Data &amp; Mechanisms'!$L$599:$N$659, 2, FALSE), FALSE)), ""))</f>
        <v>9.0999999999999998E-2</v>
      </c>
      <c r="AG96" s="100">
        <f ca="1">IF($A96="", "", IFERROR(IF('Personalized Bill Menu'!$B$23="ATCO-N", ($X96*$B96) +($Y96*$C96), IF('Personalized Bill Menu'!$B$23="ATCO-S",$X96*$C96, IF($Y96="", ($X96*$H96), ($Y96*($H96+$K96))))), 0))</f>
        <v>0</v>
      </c>
      <c r="AH96" s="100">
        <f ca="1">IF($A96="", "", IFERROR(IF('Personalized Bill Menu'!$B$23="ATCO-S", $Y96*$C96, $Z96*$C96), 0))</f>
        <v>0</v>
      </c>
      <c r="AI96" s="100">
        <f ca="1">IF($A96="", "", IFERROR(IF('Personalized Bill Menu'!$B$23="ATCO-S", ($AA96*$C96)+($Z96*$B96), $AA96*$C96), 0))</f>
        <v>0</v>
      </c>
      <c r="AJ96" s="100">
        <f ca="1">IF($A96="", "", IFERROR(IF('Personalized Bill Menu'!$B$23&lt;&gt;"AltaGas",$AB96*$C96,""),0))</f>
        <v>3.6016742137665356</v>
      </c>
      <c r="AK96" s="100">
        <f ca="1">IF($A96="", "", IFERROR(IF('Personalized Bill Menu'!$B$23="ATCO-S",$AC96*$C96,IF('Personalized Bill Menu'!$B$23="ATCO-N",$AC96*1,"")),0))</f>
        <v>0</v>
      </c>
      <c r="AL96" s="100">
        <f ca="1">IF($A96="", "", IFERROR(IF('Personalized Bill Menu'!$B$23="ATCO-N",$AD96*$B96,IF('Personalized Bill Menu'!$B$23="ATCO-S",$AD96*1,"")),0))</f>
        <v>0</v>
      </c>
      <c r="AM96" s="100">
        <f ca="1">IF($A96="", "", IFERROR(IF('Personalized Bill Menu'!$B$23="ATCO-S",$AE96*$B96,IF('Personalized Bill Menu'!$B$23="ATCO-N",$AE96*$B96,"")),0))</f>
        <v>0</v>
      </c>
      <c r="AN96" s="98">
        <f ca="1">IF($A96="", "", IFERROR(IF('Personalized Bill Menu'!$B$23="ATCO-S",$AF96*$B96,""),0))</f>
        <v>2.73</v>
      </c>
      <c r="AO96" s="97">
        <f>IF('Personalized Bill Menu'!$B$34="Natural Gas", 'Personalized Bill Menu'!$K93, IF('Personalized Bill Menu'!$B$34="Both",'Personalized Bill Menu'!$O93,""))</f>
        <v>0.27200000000000002</v>
      </c>
      <c r="AP96" s="98">
        <f t="shared" si="28"/>
        <v>8.16</v>
      </c>
      <c r="AQ96" s="105" t="str">
        <f ca="1">IF($A96="", "",IF(VLOOKUP($A96, INDIRECT("'" &amp; 'Personalized Bill Menu'!$B$23 &amp; "'!" &amp;"$A$4:$CA$100"), VLOOKUP(VLOOKUP(AQ$5,'Misc. Data &amp; Mechanisms'!$P$601:$S$632,HLOOKUP('Personalized Bill Menu'!$B$23, 'Misc. Data &amp; Mechanisms'!$P$599:$S$600, 2, FALSE), FALSE), 'Misc. Data &amp; Mechanisms'!$L$599:$N$659, 2, FALSE), FALSE) = "", "", VLOOKUP($A96, INDIRECT("'" &amp; 'Personalized Bill Menu'!$B$23 &amp; "'!" &amp;"$A$4:$CA$100"), VLOOKUP(VLOOKUP(AQ$5,'Misc. Data &amp; Mechanisms'!$P$601:$S$632,HLOOKUP('Personalized Bill Menu'!$B$23, 'Misc. Data &amp; Mechanisms'!$P$599:$S$600, 2, FALSE), FALSE), 'Misc. Data &amp; Mechanisms'!$L$599:$N$659, 2, FALSE), FALSE)))</f>
        <v/>
      </c>
      <c r="AR96" s="98">
        <f t="shared" ca="1" si="29"/>
        <v>0</v>
      </c>
      <c r="AS96" s="107">
        <f ca="1">IF($A96="", "",IF(VLOOKUP($A96, INDIRECT("'" &amp; 'Personalized Bill Menu'!$B$23 &amp; "'!" &amp;"$A$4:$CA$100"), VLOOKUP(VLOOKUP(AS$5,'Misc. Data &amp; Mechanisms'!$P$601:$S$632,HLOOKUP('Personalized Bill Menu'!$B$23, 'Misc. Data &amp; Mechanisms'!$P$599:$S$600, 2, FALSE), FALSE), 'Misc. Data &amp; Mechanisms'!$L$599:$N$659, 2, FALSE), FALSE) = "", "", VLOOKUP($A96, INDIRECT("'" &amp; 'Personalized Bill Menu'!$B$23 &amp; "'!" &amp;"$A$4:$CA$100"), VLOOKUP(VLOOKUP(AS$5,'Misc. Data &amp; Mechanisms'!$P$601:$S$632,HLOOKUP('Personalized Bill Menu'!$B$23, 'Misc. Data &amp; Mechanisms'!$P$599:$S$600, 2, FALSE), FALSE), 'Misc. Data &amp; Mechanisms'!$L$599:$N$659, 2, FALSE), FALSE)))</f>
        <v>0.05</v>
      </c>
    </row>
  </sheetData>
  <sheetProtection sheet="1" objects="1" scenarios="1"/>
  <mergeCells count="37">
    <mergeCell ref="N1:O1"/>
    <mergeCell ref="F2:H2"/>
    <mergeCell ref="I2:K2"/>
    <mergeCell ref="S5:S6"/>
    <mergeCell ref="G5:G6"/>
    <mergeCell ref="N4:O4"/>
    <mergeCell ref="P4:S4"/>
    <mergeCell ref="G4:M4"/>
    <mergeCell ref="H5:H6"/>
    <mergeCell ref="I5:I6"/>
    <mergeCell ref="J5:J6"/>
    <mergeCell ref="K5:K6"/>
    <mergeCell ref="L5:L6"/>
    <mergeCell ref="M5:M6"/>
    <mergeCell ref="O5:O6"/>
    <mergeCell ref="R5:R6"/>
    <mergeCell ref="A1:D1"/>
    <mergeCell ref="F1:H1"/>
    <mergeCell ref="I1:K1"/>
    <mergeCell ref="A2:D2"/>
    <mergeCell ref="A4:F4"/>
    <mergeCell ref="AQ4:AR4"/>
    <mergeCell ref="AR5:AR6"/>
    <mergeCell ref="AO4:AP4"/>
    <mergeCell ref="AP5:AP6"/>
    <mergeCell ref="W5:W6"/>
    <mergeCell ref="AG5:AG6"/>
    <mergeCell ref="AH5:AH6"/>
    <mergeCell ref="AI5:AI6"/>
    <mergeCell ref="AJ5:AJ6"/>
    <mergeCell ref="AN5:AN6"/>
    <mergeCell ref="T4:W4"/>
    <mergeCell ref="AK5:AK6"/>
    <mergeCell ref="V5:V6"/>
    <mergeCell ref="X4:AN4"/>
    <mergeCell ref="AL5:AL6"/>
    <mergeCell ref="AM5:AM6"/>
  </mergeCells>
  <conditionalFormatting sqref="X7:X96">
    <cfRule type="expression" dxfId="34" priority="4">
      <formula>$X$6="%"</formula>
    </cfRule>
  </conditionalFormatting>
  <conditionalFormatting sqref="Y7:Y96">
    <cfRule type="expression" dxfId="33" priority="3">
      <formula>$Y$6="%"</formula>
    </cfRule>
  </conditionalFormatting>
  <conditionalFormatting sqref="C7:C96">
    <cfRule type="expression" dxfId="32" priority="1">
      <formula>$I$1&lt;&gt;"My Actual Consumption"</formula>
    </cfRule>
  </conditionalFormatting>
  <hyperlinks>
    <hyperlink ref="N1" location="'Regulated Bill Menu'!A1" display="Return to Regulated Bill Menu"/>
    <hyperlink ref="N1:O1" location="'Personalized Bill Menu'!A1" display="Return to Personalized Bill Menu"/>
  </hyperlinks>
  <pageMargins left="0.7" right="0.7" top="0.75" bottom="0.75" header="0.3" footer="0.3"/>
  <pageSetup orientation="portrait" r:id="rId1"/>
  <ignoredErrors>
    <ignoredError sqref="AR7:AR81 AR82:AR84 AR85:AR90 AR91:AR93 AR94:AR96" formula="1"/>
  </ignoredErrors>
  <extLst>
    <ext xmlns:x14="http://schemas.microsoft.com/office/spreadsheetml/2009/9/main" uri="{78C0D931-6437-407d-A8EE-F0AAD7539E65}">
      <x14:conditionalFormattings>
        <x14:conditionalFormatting xmlns:xm="http://schemas.microsoft.com/office/excel/2006/main">
          <x14:cfRule type="expression" priority="150" id="{25F5EE32-C91C-45D9-8BCF-5576C38A8589}">
            <xm:f>'Personalized Bill Menu'!$B$23="AltaGas"</xm:f>
            <x14:dxf>
              <numFmt numFmtId="178" formatCode="0.0000%"/>
            </x14:dxf>
          </x14:cfRule>
          <xm:sqref>U7:U96</xm:sqref>
        </x14:conditionalFormatting>
      </x14:conditionalFormatting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theme="1"/>
  </sheetPr>
  <dimension ref="A1:AC30"/>
  <sheetViews>
    <sheetView showGridLines="0" zoomScale="80" zoomScaleNormal="80" workbookViewId="0">
      <selection sqref="A1:C1"/>
    </sheetView>
  </sheetViews>
  <sheetFormatPr defaultColWidth="9.1796875" defaultRowHeight="14" x14ac:dyDescent="0.3"/>
  <cols>
    <col min="1" max="1" width="17.1796875" style="47" customWidth="1"/>
    <col min="2" max="2" width="19" style="47" customWidth="1"/>
    <col min="3" max="3" width="18.1796875" style="47" customWidth="1"/>
    <col min="4" max="4" width="1.81640625" style="47" customWidth="1"/>
    <col min="5" max="5" width="11.26953125" style="47" customWidth="1"/>
    <col min="6" max="6" width="9.54296875" style="47" customWidth="1"/>
    <col min="7" max="8" width="9.1796875" style="47"/>
    <col min="9" max="9" width="10" style="47" customWidth="1"/>
    <col min="10" max="10" width="3.453125" style="47" customWidth="1"/>
    <col min="11" max="13" width="7.7265625" style="47" customWidth="1"/>
    <col min="14" max="14" width="3.453125" style="47" customWidth="1"/>
    <col min="15" max="15" width="22.453125" style="47" customWidth="1"/>
    <col min="16" max="16" width="3.453125" style="47" customWidth="1"/>
    <col min="17" max="17" width="1.81640625" style="47" customWidth="1"/>
    <col min="18" max="18" width="11.1796875" style="47" customWidth="1"/>
    <col min="19" max="19" width="12.54296875" style="47" customWidth="1"/>
    <col min="20" max="22" width="9.1796875" style="47"/>
    <col min="23" max="23" width="3.453125" style="47" customWidth="1"/>
    <col min="24" max="26" width="7.7265625" style="47" customWidth="1"/>
    <col min="27" max="27" width="3.453125" style="47" customWidth="1"/>
    <col min="28" max="28" width="18.1796875" style="47" customWidth="1"/>
    <col min="29" max="29" width="3.453125" style="47" customWidth="1"/>
    <col min="30" max="16384" width="9.1796875" style="47"/>
  </cols>
  <sheetData>
    <row r="1" spans="1:29" ht="42" customHeight="1" thickBot="1" x14ac:dyDescent="0.25">
      <c r="A1" s="1796" t="s">
        <v>477</v>
      </c>
      <c r="B1" s="1797"/>
      <c r="C1" s="1798"/>
      <c r="E1" s="1774" t="s">
        <v>311</v>
      </c>
      <c r="F1" s="1775"/>
      <c r="G1" s="1775"/>
      <c r="H1" s="1775"/>
      <c r="I1" s="1775"/>
      <c r="J1" s="1775"/>
      <c r="K1" s="1775"/>
      <c r="L1" s="1775"/>
      <c r="M1" s="1775"/>
      <c r="N1" s="1775"/>
      <c r="O1" s="1775"/>
      <c r="P1" s="1776"/>
      <c r="R1" s="1774" t="s">
        <v>367</v>
      </c>
      <c r="S1" s="1775"/>
      <c r="T1" s="1775"/>
      <c r="U1" s="1775"/>
      <c r="V1" s="1775"/>
      <c r="W1" s="1775"/>
      <c r="X1" s="1775"/>
      <c r="Y1" s="1775"/>
      <c r="Z1" s="1775"/>
      <c r="AA1" s="1775"/>
      <c r="AB1" s="1775"/>
      <c r="AC1" s="1776"/>
    </row>
    <row r="2" spans="1:29" ht="18" customHeight="1" thickBot="1" x14ac:dyDescent="0.35">
      <c r="A2" s="1649" t="s">
        <v>653</v>
      </c>
      <c r="B2" s="1650"/>
      <c r="C2" s="1651"/>
      <c r="E2" s="1135" t="s">
        <v>399</v>
      </c>
      <c r="F2" s="1799" t="s">
        <v>230</v>
      </c>
      <c r="G2" s="1799"/>
      <c r="H2" s="1799"/>
      <c r="I2" s="1799"/>
      <c r="J2" s="1799"/>
      <c r="K2" s="1773" t="s">
        <v>312</v>
      </c>
      <c r="L2" s="1773"/>
      <c r="M2" s="1773"/>
      <c r="N2" s="1773"/>
      <c r="O2" s="1773" t="s">
        <v>616</v>
      </c>
      <c r="P2" s="1773"/>
      <c r="R2" s="1137" t="s">
        <v>399</v>
      </c>
      <c r="S2" s="1779" t="s">
        <v>230</v>
      </c>
      <c r="T2" s="1779"/>
      <c r="U2" s="1779"/>
      <c r="V2" s="1779"/>
      <c r="W2" s="1779"/>
      <c r="X2" s="1773" t="s">
        <v>312</v>
      </c>
      <c r="Y2" s="1773"/>
      <c r="Z2" s="1773"/>
      <c r="AA2" s="1773"/>
      <c r="AB2" s="1773" t="s">
        <v>616</v>
      </c>
      <c r="AC2" s="1773"/>
    </row>
    <row r="3" spans="1:29" ht="18" customHeight="1" thickBot="1" x14ac:dyDescent="0.35">
      <c r="A3" s="1649"/>
      <c r="B3" s="1650"/>
      <c r="C3" s="1651"/>
      <c r="E3" s="131" t="s">
        <v>54</v>
      </c>
      <c r="F3" s="1800" t="s">
        <v>337</v>
      </c>
      <c r="G3" s="1801"/>
      <c r="H3" s="1801"/>
      <c r="I3" s="1801"/>
      <c r="J3" s="25" t="str">
        <f>HYPERLINK("#"&amp;ADDRESS(ROW(), COLUMN()-1), "€")</f>
        <v>€</v>
      </c>
      <c r="K3" s="1800" t="s">
        <v>201</v>
      </c>
      <c r="L3" s="1801"/>
      <c r="M3" s="1801"/>
      <c r="N3" s="1801"/>
      <c r="O3" s="1131" t="s">
        <v>555</v>
      </c>
      <c r="P3" s="25" t="str">
        <f>HYPERLINK("#"&amp;ADDRESS(ROW(), COLUMN()-1), "€")</f>
        <v>€</v>
      </c>
      <c r="R3" s="1136" t="s">
        <v>99</v>
      </c>
      <c r="S3" s="1777" t="s">
        <v>337</v>
      </c>
      <c r="T3" s="1778"/>
      <c r="U3" s="1778"/>
      <c r="V3" s="1778"/>
      <c r="W3" s="1106" t="str">
        <f>HYPERLINK("#"&amp;ADDRESS(ROW(), COLUMN()-1), "€")</f>
        <v>€</v>
      </c>
      <c r="X3" s="1777" t="s">
        <v>202</v>
      </c>
      <c r="Y3" s="1778"/>
      <c r="Z3" s="1778"/>
      <c r="AA3" s="1106" t="str">
        <f>HYPERLINK("#"&amp;ADDRESS(ROW(), COLUMN()-1), "€")</f>
        <v>€</v>
      </c>
      <c r="AB3" s="1200" t="s">
        <v>568</v>
      </c>
      <c r="AC3" s="25" t="str">
        <f t="shared" ref="AC3:AC5" si="0">HYPERLINK("#"&amp;ADDRESS(ROW(), COLUMN()-1), "€")</f>
        <v>€</v>
      </c>
    </row>
    <row r="4" spans="1:29" ht="18" customHeight="1" thickBot="1" x14ac:dyDescent="0.35">
      <c r="A4" s="1649"/>
      <c r="B4" s="1650"/>
      <c r="C4" s="1651"/>
      <c r="E4" s="131" t="s">
        <v>55</v>
      </c>
      <c r="F4" s="1802" t="s">
        <v>337</v>
      </c>
      <c r="G4" s="1803"/>
      <c r="H4" s="1803"/>
      <c r="I4" s="1803"/>
      <c r="J4" s="25" t="str">
        <f>HYPERLINK("#"&amp;ADDRESS(ROW(), COLUMN()-1), "€")</f>
        <v>€</v>
      </c>
      <c r="K4" s="1802" t="s">
        <v>202</v>
      </c>
      <c r="L4" s="1803"/>
      <c r="M4" s="1803"/>
      <c r="N4" s="1803"/>
      <c r="O4" s="1132" t="s">
        <v>555</v>
      </c>
      <c r="P4" s="25" t="str">
        <f>HYPERLINK("#"&amp;ADDRESS(ROW(), COLUMN()-1), "€")</f>
        <v>€</v>
      </c>
      <c r="R4" s="131" t="s">
        <v>100</v>
      </c>
      <c r="S4" s="1780" t="s">
        <v>337</v>
      </c>
      <c r="T4" s="1781"/>
      <c r="U4" s="1781"/>
      <c r="V4" s="1781"/>
      <c r="W4" s="25" t="str">
        <f>HYPERLINK("#"&amp;ADDRESS(ROW(), COLUMN()-1), "€")</f>
        <v>€</v>
      </c>
      <c r="X4" s="1780" t="s">
        <v>201</v>
      </c>
      <c r="Y4" s="1781"/>
      <c r="Z4" s="1781"/>
      <c r="AA4" s="25" t="str">
        <f>HYPERLINK("#"&amp;ADDRESS(ROW(), COLUMN()-1), "€")</f>
        <v>€</v>
      </c>
      <c r="AB4" s="1201" t="s">
        <v>568</v>
      </c>
      <c r="AC4" s="25" t="str">
        <f t="shared" si="0"/>
        <v>€</v>
      </c>
    </row>
    <row r="5" spans="1:29" ht="18" customHeight="1" thickBot="1" x14ac:dyDescent="0.35">
      <c r="A5" s="1649"/>
      <c r="B5" s="1650"/>
      <c r="C5" s="1651"/>
      <c r="E5" s="131" t="s">
        <v>56</v>
      </c>
      <c r="F5" s="1791" t="s">
        <v>337</v>
      </c>
      <c r="G5" s="1792"/>
      <c r="H5" s="1792"/>
      <c r="I5" s="1792"/>
      <c r="J5" s="25" t="str">
        <f>HYPERLINK("#"&amp;ADDRESS(ROW(), COLUMN()-1), "€")</f>
        <v>€</v>
      </c>
      <c r="K5" s="1791" t="s">
        <v>218</v>
      </c>
      <c r="L5" s="1792"/>
      <c r="M5" s="1792"/>
      <c r="N5" s="1130" t="str">
        <f>HYPERLINK("#"&amp;ADDRESS(ROW(), COLUMN()-1), "€")</f>
        <v>€</v>
      </c>
      <c r="O5" s="1133" t="s">
        <v>555</v>
      </c>
      <c r="P5" s="25" t="str">
        <f>HYPERLINK("#"&amp;ADDRESS(ROW(), COLUMN()-1), "€")</f>
        <v>€</v>
      </c>
      <c r="R5" s="132" t="s">
        <v>101</v>
      </c>
      <c r="S5" s="1794" t="s">
        <v>337</v>
      </c>
      <c r="T5" s="1795"/>
      <c r="U5" s="1795"/>
      <c r="V5" s="1795"/>
      <c r="W5" s="25" t="str">
        <f>HYPERLINK("#"&amp;ADDRESS(ROW(), COLUMN()-1), "€")</f>
        <v>€</v>
      </c>
      <c r="X5" s="1794" t="s">
        <v>219</v>
      </c>
      <c r="Y5" s="1795"/>
      <c r="Z5" s="1795"/>
      <c r="AA5" s="25" t="str">
        <f>HYPERLINK("#"&amp;ADDRESS(ROW(), COLUMN()-1), "€")</f>
        <v>€</v>
      </c>
      <c r="AB5" s="1202" t="s">
        <v>568</v>
      </c>
      <c r="AC5" s="25" t="str">
        <f t="shared" si="0"/>
        <v>€</v>
      </c>
    </row>
    <row r="6" spans="1:29" ht="18" customHeight="1" thickBot="1" x14ac:dyDescent="0.35">
      <c r="A6" s="1649"/>
      <c r="B6" s="1650"/>
      <c r="C6" s="1651"/>
      <c r="E6" s="132" t="s">
        <v>57</v>
      </c>
      <c r="F6" s="1789" t="s">
        <v>337</v>
      </c>
      <c r="G6" s="1790"/>
      <c r="H6" s="1790"/>
      <c r="I6" s="1790"/>
      <c r="J6" s="25" t="str">
        <f>HYPERLINK("#"&amp;ADDRESS(ROW(), COLUMN()-1), "€")</f>
        <v>€</v>
      </c>
      <c r="K6" s="1789" t="s">
        <v>207</v>
      </c>
      <c r="L6" s="1790"/>
      <c r="M6" s="1790"/>
      <c r="N6" s="1130" t="str">
        <f>HYPERLINK("#"&amp;ADDRESS(ROW(), COLUMN()-1), "€")</f>
        <v>€</v>
      </c>
      <c r="O6" s="1134" t="s">
        <v>555</v>
      </c>
      <c r="P6" s="25" t="str">
        <f>HYPERLINK("#"&amp;ADDRESS(ROW(), COLUMN()-1), "€")</f>
        <v>€</v>
      </c>
      <c r="R6" s="133"/>
      <c r="S6" s="134"/>
      <c r="T6" s="134"/>
      <c r="U6" s="134"/>
      <c r="V6" s="134"/>
      <c r="W6" s="134"/>
    </row>
    <row r="7" spans="1:29" ht="16.5" customHeight="1" x14ac:dyDescent="0.3">
      <c r="A7" s="1649"/>
      <c r="B7" s="1650"/>
      <c r="C7" s="1651"/>
      <c r="E7" s="135"/>
    </row>
    <row r="8" spans="1:29" ht="16.5" customHeight="1" x14ac:dyDescent="0.3">
      <c r="A8" s="1649"/>
      <c r="B8" s="1650"/>
      <c r="C8" s="1651"/>
    </row>
    <row r="9" spans="1:29" ht="17.25" customHeight="1" thickBot="1" x14ac:dyDescent="0.35">
      <c r="A9" s="1649"/>
      <c r="B9" s="1650"/>
      <c r="C9" s="1651"/>
    </row>
    <row r="10" spans="1:29" ht="16.5" customHeight="1" x14ac:dyDescent="0.3">
      <c r="A10" s="1649"/>
      <c r="B10" s="1650"/>
      <c r="C10" s="1651"/>
      <c r="E10" s="1783" t="s">
        <v>365</v>
      </c>
      <c r="F10" s="1784"/>
      <c r="G10" s="1784"/>
      <c r="H10" s="1784"/>
      <c r="I10" s="1784"/>
      <c r="J10" s="1784"/>
      <c r="K10" s="1784"/>
      <c r="L10" s="1784"/>
      <c r="M10" s="1784"/>
      <c r="N10" s="1784"/>
      <c r="O10" s="1784"/>
      <c r="P10" s="1785"/>
      <c r="R10" s="1783" t="s">
        <v>366</v>
      </c>
      <c r="S10" s="1784"/>
      <c r="T10" s="1784"/>
      <c r="U10" s="1784"/>
      <c r="V10" s="1784"/>
      <c r="W10" s="1784"/>
      <c r="X10" s="1784"/>
      <c r="Y10" s="1784"/>
      <c r="Z10" s="1784"/>
      <c r="AA10" s="1784"/>
      <c r="AB10" s="1784"/>
      <c r="AC10" s="1785"/>
    </row>
    <row r="11" spans="1:29" ht="17.25" customHeight="1" thickBot="1" x14ac:dyDescent="0.35">
      <c r="A11" s="1649"/>
      <c r="B11" s="1650"/>
      <c r="C11" s="1651"/>
      <c r="E11" s="1786"/>
      <c r="F11" s="1787"/>
      <c r="G11" s="1787"/>
      <c r="H11" s="1787"/>
      <c r="I11" s="1787"/>
      <c r="J11" s="1787"/>
      <c r="K11" s="1787"/>
      <c r="L11" s="1787"/>
      <c r="M11" s="1787"/>
      <c r="N11" s="1787"/>
      <c r="O11" s="1787"/>
      <c r="P11" s="1788"/>
      <c r="R11" s="1786"/>
      <c r="S11" s="1787"/>
      <c r="T11" s="1787"/>
      <c r="U11" s="1787"/>
      <c r="V11" s="1787"/>
      <c r="W11" s="1787"/>
      <c r="X11" s="1787"/>
      <c r="Y11" s="1787"/>
      <c r="Z11" s="1787"/>
      <c r="AA11" s="1787"/>
      <c r="AB11" s="1787"/>
      <c r="AC11" s="1788"/>
    </row>
    <row r="12" spans="1:29" ht="16.5" customHeight="1" x14ac:dyDescent="0.3">
      <c r="A12" s="1649"/>
      <c r="B12" s="1650"/>
      <c r="C12" s="1651"/>
    </row>
    <row r="13" spans="1:29" ht="17.25" customHeight="1" x14ac:dyDescent="0.3">
      <c r="A13" s="1649"/>
      <c r="B13" s="1650"/>
      <c r="C13" s="1651"/>
    </row>
    <row r="14" spans="1:29" ht="17.25" customHeight="1" x14ac:dyDescent="0.3">
      <c r="A14" s="1649"/>
      <c r="B14" s="1650"/>
      <c r="C14" s="1651"/>
      <c r="E14" s="1804" t="str">
        <f>IF(AND(OR($F$3="Manually-Entered Consumption", $F$4="Manually-Entered Consumption",$F$5="Manually-Entered Consumption", $F$6="Manually-Entered Consumption"), IF('Personalized Bill Menu'!$B$34&lt;&gt;"Natural Gas", COUNTBLANK('Personalized Bill Menu'!$U$4:$U$93)=COUNTA('Personalized Bill Menu'!$T$4:$T$93),TRUE)), "Error: No manually-entered electricity consumption values available", "")</f>
        <v/>
      </c>
      <c r="F14" s="1804"/>
      <c r="G14" s="1804"/>
      <c r="H14" s="1804"/>
      <c r="I14" s="1804"/>
      <c r="J14" s="1804"/>
      <c r="K14" s="1804"/>
      <c r="L14" s="1804"/>
      <c r="M14" s="1804"/>
      <c r="N14" s="1804"/>
      <c r="O14" s="1804"/>
      <c r="P14" s="1804"/>
      <c r="Q14" s="136"/>
      <c r="R14" s="1793" t="str">
        <f>IF(AND(OR($S$3="Manually-Entered Consumption", $S$4="Manually-Entered Consumption",$S$5="Manually-Entered Consumption"), IF('Personalized Bill Menu'!$B$34="Natural Gas", COUNTBLANK('Personalized Bill Menu'!$U$4:$U$93)=COUNTA('Personalized Bill Menu'!$T$4:$T$93),IF('Personalized Bill Menu'!$B$34="Both",COUNTBLANK('Personalized Bill Menu'!$V$4:$V$93)=COUNTA('Personalized Bill Menu'!$T$4:$T$93), TRUE))), "Error: No manually-entered natural gas consumption values available", "")</f>
        <v/>
      </c>
      <c r="S14" s="1793"/>
      <c r="T14" s="1793"/>
      <c r="U14" s="1793"/>
      <c r="V14" s="1793"/>
      <c r="W14" s="1793"/>
      <c r="X14" s="1793"/>
      <c r="Y14" s="1793"/>
      <c r="Z14" s="1793"/>
      <c r="AA14" s="1793"/>
      <c r="AB14" s="1793"/>
      <c r="AC14" s="1793"/>
    </row>
    <row r="15" spans="1:29" ht="15.75" customHeight="1" x14ac:dyDescent="0.3">
      <c r="A15" s="1649"/>
      <c r="B15" s="1650"/>
      <c r="C15" s="1651"/>
      <c r="D15" s="137"/>
      <c r="E15" s="1289"/>
      <c r="F15" s="1289"/>
      <c r="G15" s="1289"/>
      <c r="H15" s="1289"/>
      <c r="I15" s="1289"/>
      <c r="J15" s="1289"/>
      <c r="K15" s="1289"/>
      <c r="L15" s="1289"/>
      <c r="M15" s="1289"/>
      <c r="N15" s="1289"/>
      <c r="O15" s="1289"/>
      <c r="P15" s="1289"/>
    </row>
    <row r="16" spans="1:29" ht="18" customHeight="1" x14ac:dyDescent="0.3">
      <c r="A16" s="1649"/>
      <c r="B16" s="1650"/>
      <c r="C16" s="1651"/>
      <c r="D16" s="137"/>
      <c r="E16" s="1782" t="str">
        <f>IF($E$14="", "", HYPERLINK('Personalized Bill Menu'!$B$30, "Go to Personalized Bill Menu"))</f>
        <v/>
      </c>
      <c r="F16" s="1782"/>
      <c r="G16" s="1782"/>
      <c r="H16" s="1782"/>
      <c r="I16" s="1782"/>
      <c r="J16" s="1782"/>
      <c r="K16" s="1782"/>
      <c r="L16" s="1782"/>
      <c r="M16" s="1782"/>
      <c r="N16" s="1782"/>
      <c r="O16" s="1782"/>
      <c r="P16" s="1782"/>
      <c r="Q16" s="1289"/>
      <c r="R16" s="1782" t="str">
        <f>IF($R$14="", "", HYPERLINK('Personalized Bill Menu'!$B$30, "Go to Personalized Bill Menu"))</f>
        <v/>
      </c>
      <c r="S16" s="1782"/>
      <c r="T16" s="1782"/>
      <c r="U16" s="1782"/>
      <c r="V16" s="1782"/>
      <c r="W16" s="1782"/>
      <c r="X16" s="1782"/>
      <c r="Y16" s="1782"/>
      <c r="Z16" s="1782"/>
      <c r="AA16" s="1782"/>
      <c r="AB16" s="1782"/>
      <c r="AC16" s="1782"/>
    </row>
    <row r="17" spans="1:29" ht="16.5" customHeight="1" x14ac:dyDescent="0.3">
      <c r="A17" s="1649"/>
      <c r="B17" s="1650"/>
      <c r="C17" s="1651"/>
      <c r="E17" s="1782"/>
      <c r="F17" s="1782"/>
      <c r="G17" s="1782"/>
      <c r="H17" s="1782"/>
      <c r="I17" s="1782"/>
      <c r="J17" s="1782"/>
      <c r="K17" s="1782"/>
      <c r="L17" s="1782"/>
      <c r="M17" s="1782"/>
      <c r="N17" s="1782"/>
      <c r="O17" s="1782"/>
      <c r="P17" s="1782"/>
      <c r="Q17" s="1289"/>
      <c r="R17" s="1782"/>
      <c r="S17" s="1782"/>
      <c r="T17" s="1782"/>
      <c r="U17" s="1782"/>
      <c r="V17" s="1782"/>
      <c r="W17" s="1782"/>
      <c r="X17" s="1782"/>
      <c r="Y17" s="1782"/>
      <c r="Z17" s="1782"/>
      <c r="AA17" s="1782"/>
      <c r="AB17" s="1782"/>
      <c r="AC17" s="1782"/>
    </row>
    <row r="18" spans="1:29" ht="17.25" customHeight="1" x14ac:dyDescent="0.3">
      <c r="A18" s="1649"/>
      <c r="B18" s="1650"/>
      <c r="C18" s="1651"/>
    </row>
    <row r="19" spans="1:29" ht="15" customHeight="1" x14ac:dyDescent="0.3">
      <c r="A19" s="1649"/>
      <c r="B19" s="1650"/>
      <c r="C19" s="1651"/>
    </row>
    <row r="20" spans="1:29" ht="15" customHeight="1" x14ac:dyDescent="0.3">
      <c r="A20" s="1649"/>
      <c r="B20" s="1650"/>
      <c r="C20" s="1651"/>
    </row>
    <row r="21" spans="1:29" ht="15" customHeight="1" x14ac:dyDescent="0.3">
      <c r="A21" s="1649"/>
      <c r="B21" s="1650"/>
      <c r="C21" s="1651"/>
    </row>
    <row r="22" spans="1:29" ht="15" customHeight="1" x14ac:dyDescent="0.3">
      <c r="A22" s="1649"/>
      <c r="B22" s="1650"/>
      <c r="C22" s="1651"/>
    </row>
    <row r="23" spans="1:29" ht="15" customHeight="1" x14ac:dyDescent="0.3">
      <c r="A23" s="1649"/>
      <c r="B23" s="1650"/>
      <c r="C23" s="1651"/>
    </row>
    <row r="24" spans="1:29" ht="15" customHeight="1" x14ac:dyDescent="0.3">
      <c r="A24" s="1649"/>
      <c r="B24" s="1650"/>
      <c r="C24" s="1651"/>
    </row>
    <row r="25" spans="1:29" ht="15" customHeight="1" x14ac:dyDescent="0.3">
      <c r="A25" s="1649"/>
      <c r="B25" s="1650"/>
      <c r="C25" s="1651"/>
    </row>
    <row r="26" spans="1:29" ht="15" customHeight="1" x14ac:dyDescent="0.3">
      <c r="A26" s="1649"/>
      <c r="B26" s="1650"/>
      <c r="C26" s="1651"/>
    </row>
    <row r="27" spans="1:29" ht="15" customHeight="1" x14ac:dyDescent="0.3">
      <c r="A27" s="1649"/>
      <c r="B27" s="1650"/>
      <c r="C27" s="1651"/>
    </row>
    <row r="28" spans="1:29" ht="15" customHeight="1" x14ac:dyDescent="0.3">
      <c r="A28" s="1649"/>
      <c r="B28" s="1650"/>
      <c r="C28" s="1651"/>
    </row>
    <row r="29" spans="1:29" ht="15" customHeight="1" thickBot="1" x14ac:dyDescent="0.35">
      <c r="A29" s="1652"/>
      <c r="B29" s="1653"/>
      <c r="C29" s="1654"/>
    </row>
    <row r="30" spans="1:29" x14ac:dyDescent="0.3">
      <c r="A30" s="138"/>
      <c r="B30" s="138"/>
      <c r="C30" s="138"/>
    </row>
  </sheetData>
  <sheetProtection sheet="1" objects="1" scenarios="1"/>
  <protectedRanges>
    <protectedRange sqref="E2:P6" name="Electricity Menu"/>
    <protectedRange sqref="R2:AC5" name="Natural Gas Menu"/>
  </protectedRanges>
  <mergeCells count="30">
    <mergeCell ref="A2:C29"/>
    <mergeCell ref="A1:C1"/>
    <mergeCell ref="F2:J2"/>
    <mergeCell ref="F6:I6"/>
    <mergeCell ref="F3:I3"/>
    <mergeCell ref="F4:I4"/>
    <mergeCell ref="F5:I5"/>
    <mergeCell ref="E14:P14"/>
    <mergeCell ref="K4:N4"/>
    <mergeCell ref="K3:N3"/>
    <mergeCell ref="S4:V4"/>
    <mergeCell ref="E16:P17"/>
    <mergeCell ref="E10:P11"/>
    <mergeCell ref="K6:M6"/>
    <mergeCell ref="K5:M5"/>
    <mergeCell ref="R10:AC11"/>
    <mergeCell ref="R16:AC17"/>
    <mergeCell ref="R14:AC14"/>
    <mergeCell ref="S5:V5"/>
    <mergeCell ref="X4:Z4"/>
    <mergeCell ref="X5:Z5"/>
    <mergeCell ref="AB2:AC2"/>
    <mergeCell ref="R1:AC1"/>
    <mergeCell ref="X3:Z3"/>
    <mergeCell ref="X2:AA2"/>
    <mergeCell ref="K2:N2"/>
    <mergeCell ref="S2:W2"/>
    <mergeCell ref="E1:P1"/>
    <mergeCell ref="O2:P2"/>
    <mergeCell ref="S3:V3"/>
  </mergeCells>
  <conditionalFormatting sqref="E15:P15 E14 E16">
    <cfRule type="expression" dxfId="30" priority="6">
      <formula>$E$14=""</formula>
    </cfRule>
  </conditionalFormatting>
  <conditionalFormatting sqref="R15:AA15 R16 R14">
    <cfRule type="expression" dxfId="29" priority="5">
      <formula>$R$14=""</formula>
    </cfRule>
  </conditionalFormatting>
  <conditionalFormatting sqref="E14:P14">
    <cfRule type="expression" dxfId="28" priority="4">
      <formula>$E$14&lt;&gt;""</formula>
    </cfRule>
  </conditionalFormatting>
  <conditionalFormatting sqref="E16:P17">
    <cfRule type="expression" dxfId="27" priority="3">
      <formula>$E$16&lt;&gt;""</formula>
    </cfRule>
  </conditionalFormatting>
  <conditionalFormatting sqref="R14:AC14">
    <cfRule type="expression" dxfId="26" priority="2">
      <formula>$R$14&lt;&gt;""</formula>
    </cfRule>
  </conditionalFormatting>
  <conditionalFormatting sqref="R16:AC17">
    <cfRule type="expression" dxfId="25" priority="1">
      <formula>$R$16&lt;&gt;""</formula>
    </cfRule>
  </conditionalFormatting>
  <hyperlinks>
    <hyperlink ref="E3" location="ENMAX!A1" display="ENMAX"/>
    <hyperlink ref="E4" location="EPCOR!A1" display="EPCOR"/>
    <hyperlink ref="E5" location="FORTIS!A1" display="FORTIS"/>
    <hyperlink ref="E6" location="ATCO!A1" display="ATCO"/>
    <hyperlink ref="R3" location="'ATCO-N'!A1" display="ATCO-N"/>
    <hyperlink ref="R4" location="'ATCO-S'!A1" display="ATCO-S"/>
    <hyperlink ref="R5" location="AltaGas!A1" display="AltaGas"/>
    <hyperlink ref="E10" location="'Elec. Analysis'!A1" display="Go to Electricity Analysis"/>
    <hyperlink ref="R10" location="'Elec. Analysis'!A1" display="Go to Electricity Analysis"/>
    <hyperlink ref="R16:W17" location="'Regulated Bill Menu'!H14" display="Go to Regulated Bill Menu"/>
    <hyperlink ref="E16:J17" location="'Regulated Bill Menu'!H14" display="Go to Regulated Bill Menu"/>
    <hyperlink ref="E16:P17" location="'Personalized Bill Menu'!B30" display="'Personalized Bill Menu'!B30"/>
    <hyperlink ref="R16:AC17" location="'Personalized Bill Menu'!B30" display="'Personalized Bill Menu'!B30"/>
  </hyperlink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16">
        <x14:dataValidation type="list" allowBlank="1" showInputMessage="1" showErrorMessage="1">
          <x14:formula1>
            <xm:f>'Misc. Data &amp; Mechanisms'!$F$220:$F$221</xm:f>
          </x14:formula1>
          <xm:sqref>AB5</xm:sqref>
        </x14:dataValidation>
        <x14:dataValidation type="list" allowBlank="1" showInputMessage="1" showErrorMessage="1">
          <x14:formula1>
            <xm:f>ATCO!$AS$5:$AY$5</xm:f>
          </x14:formula1>
          <xm:sqref>F6</xm:sqref>
        </x14:dataValidation>
        <x14:dataValidation type="list" allowBlank="1" showInputMessage="1" showErrorMessage="1">
          <x14:formula1>
            <xm:f>FORTIS!$AL$5:$AR$5</xm:f>
          </x14:formula1>
          <xm:sqref>F5</xm:sqref>
        </x14:dataValidation>
        <x14:dataValidation type="list" allowBlank="1" showInputMessage="1" showErrorMessage="1">
          <x14:formula1>
            <xm:f>EPCOR!$AK$5:$AQ$5</xm:f>
          </x14:formula1>
          <xm:sqref>F4</xm:sqref>
        </x14:dataValidation>
        <x14:dataValidation type="list" allowBlank="1" showInputMessage="1" showErrorMessage="1">
          <x14:formula1>
            <xm:f>ENMAX!$AJ$5:$AP$5</xm:f>
          </x14:formula1>
          <xm:sqref>F3</xm:sqref>
        </x14:dataValidation>
        <x14:dataValidation type="list" allowBlank="1" showInputMessage="1" showErrorMessage="1">
          <x14:formula1>
            <xm:f>AltaGas!$AJ$5:$AO$5</xm:f>
          </x14:formula1>
          <xm:sqref>S5</xm:sqref>
        </x14:dataValidation>
        <x14:dataValidation type="list" allowBlank="1" showInputMessage="1" showErrorMessage="1">
          <x14:formula1>
            <xm:f>'ATCO-S'!$AT$5:$AY$5</xm:f>
          </x14:formula1>
          <xm:sqref>S4</xm:sqref>
        </x14:dataValidation>
        <x14:dataValidation type="list" allowBlank="1" showInputMessage="1" showErrorMessage="1">
          <x14:formula1>
            <xm:f>'ATCO-N'!$AR$5:$AW$5</xm:f>
          </x14:formula1>
          <xm:sqref>S3</xm:sqref>
        </x14:dataValidation>
        <x14:dataValidation type="list" allowBlank="1" showInputMessage="1" showErrorMessage="1">
          <x14:formula1>
            <xm:f>'Misc. Data &amp; Mechanisms'!$B$205:$X$205</xm:f>
          </x14:formula1>
          <xm:sqref>K5:M5</xm:sqref>
        </x14:dataValidation>
        <x14:dataValidation type="list" allowBlank="1" showInputMessage="1" showErrorMessage="1">
          <x14:formula1>
            <xm:f>'Misc. Data &amp; Mechanisms'!$B$206:$H$206</xm:f>
          </x14:formula1>
          <xm:sqref>K6:M6</xm:sqref>
        </x14:dataValidation>
        <x14:dataValidation type="list" allowBlank="1" showInputMessage="1" showErrorMessage="1">
          <x14:formula1>
            <xm:f>'Misc. Data &amp; Mechanisms'!$B$207:$Q$207</xm:f>
          </x14:formula1>
          <xm:sqref>X3:Z3</xm:sqref>
        </x14:dataValidation>
        <x14:dataValidation type="list" allowBlank="1" showInputMessage="1" showErrorMessage="1">
          <x14:formula1>
            <xm:f>'Misc. Data &amp; Mechanisms'!$B$208:$M$208</xm:f>
          </x14:formula1>
          <xm:sqref>X4:Z4</xm:sqref>
        </x14:dataValidation>
        <x14:dataValidation type="list" allowBlank="1" showInputMessage="1" showErrorMessage="1">
          <x14:formula1>
            <xm:f>'Misc. Data &amp; Mechanisms'!$B$209:$E$209</xm:f>
          </x14:formula1>
          <xm:sqref>X5:Z5</xm:sqref>
        </x14:dataValidation>
        <x14:dataValidation type="list" allowBlank="1" showInputMessage="1" showErrorMessage="1">
          <x14:formula1>
            <xm:f>'Misc. Data &amp; Mechanisms'!$E$220:$E$222</xm:f>
          </x14:formula1>
          <xm:sqref>O3:O6</xm:sqref>
        </x14:dataValidation>
        <x14:dataValidation type="list" allowBlank="1" showInputMessage="1" showErrorMessage="1">
          <x14:formula1>
            <xm:f>'Misc. Data &amp; Mechanisms'!$F$220:$F$221</xm:f>
          </x14:formula1>
          <xm:sqref>AB4</xm:sqref>
        </x14:dataValidation>
        <x14:dataValidation type="list" allowBlank="1" showInputMessage="1" showErrorMessage="1">
          <x14:formula1>
            <xm:f>'Misc. Data &amp; Mechanisms'!F220:F221</xm:f>
          </x14:formula1>
          <xm:sqref>AB3</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theme="0" tint="-0.249977111117893"/>
  </sheetPr>
  <dimension ref="A1:BN328"/>
  <sheetViews>
    <sheetView showGridLines="0" zoomScale="70" zoomScaleNormal="70" workbookViewId="0">
      <selection sqref="A1:Q2"/>
    </sheetView>
  </sheetViews>
  <sheetFormatPr defaultColWidth="9.1796875" defaultRowHeight="14" outlineLevelRow="1" x14ac:dyDescent="0.3"/>
  <cols>
    <col min="1" max="1" width="34.54296875" style="47" customWidth="1"/>
    <col min="2" max="2" width="4.453125" style="47" customWidth="1"/>
    <col min="3" max="3" width="21.81640625" style="47" customWidth="1"/>
    <col min="4" max="4" width="22.453125" style="47" customWidth="1"/>
    <col min="5" max="5" width="14.81640625" style="47" customWidth="1"/>
    <col min="6" max="6" width="25.1796875" style="47" customWidth="1"/>
    <col min="7" max="7" width="16.453125" style="47" customWidth="1"/>
    <col min="8" max="8" width="14.1796875" style="47" customWidth="1"/>
    <col min="9" max="9" width="14.26953125" style="47" customWidth="1"/>
    <col min="10" max="10" width="11.26953125" style="47" customWidth="1"/>
    <col min="11" max="11" width="13.453125" style="47" customWidth="1"/>
    <col min="12" max="12" width="10.7265625" style="47" customWidth="1"/>
    <col min="13" max="13" width="14.1796875" style="47" customWidth="1"/>
    <col min="14" max="14" width="14" style="47" customWidth="1"/>
    <col min="15" max="15" width="7.81640625" style="47" customWidth="1"/>
    <col min="16" max="16" width="14.453125" style="47" customWidth="1"/>
    <col min="17" max="22" width="9.1796875" style="47" customWidth="1"/>
    <col min="23" max="23" width="14.81640625" style="47" customWidth="1"/>
    <col min="24" max="24" width="4.453125" style="47" customWidth="1"/>
    <col min="25" max="33" width="9.1796875" style="47" customWidth="1"/>
    <col min="34" max="34" width="20.7265625" style="47" customWidth="1"/>
    <col min="35" max="35" width="14.453125" style="47" customWidth="1"/>
    <col min="36" max="36" width="13" style="47" customWidth="1"/>
    <col min="37" max="37" width="13.453125" style="47" customWidth="1"/>
    <col min="38" max="38" width="12.7265625" style="47" customWidth="1"/>
    <col min="39" max="39" width="19.453125" style="47" customWidth="1"/>
    <col min="40" max="46" width="9.1796875" style="47" customWidth="1"/>
    <col min="47" max="47" width="9.1796875" style="47"/>
    <col min="48" max="48" width="9.26953125" style="47" customWidth="1"/>
    <col min="49" max="49" width="30" style="47" customWidth="1"/>
    <col min="50" max="50" width="11" style="47" customWidth="1"/>
    <col min="51" max="51" width="12.7265625" style="47" customWidth="1"/>
    <col min="52" max="52" width="11.26953125" style="47" customWidth="1"/>
    <col min="53" max="53" width="10.54296875" style="47" customWidth="1"/>
    <col min="54" max="54" width="9.1796875" style="47"/>
    <col min="55" max="55" width="25.453125" style="47" customWidth="1"/>
    <col min="56" max="56" width="30.453125" style="47" customWidth="1"/>
    <col min="57" max="58" width="9.1796875" style="47"/>
    <col min="59" max="59" width="60.453125" style="47" customWidth="1"/>
    <col min="60" max="60" width="21.26953125" style="47" customWidth="1"/>
    <col min="61" max="61" width="21" style="47" customWidth="1"/>
    <col min="62" max="64" width="9.1796875" style="47"/>
    <col min="65" max="65" width="12.81640625" style="47" bestFit="1" customWidth="1"/>
    <col min="66" max="16384" width="9.1796875" style="47"/>
  </cols>
  <sheetData>
    <row r="1" spans="1:47" ht="29.25" customHeight="1" x14ac:dyDescent="0.3">
      <c r="A1" s="1796" t="s">
        <v>618</v>
      </c>
      <c r="B1" s="1886"/>
      <c r="C1" s="1886"/>
      <c r="D1" s="1886"/>
      <c r="E1" s="1886"/>
      <c r="F1" s="1886"/>
      <c r="G1" s="1886"/>
      <c r="H1" s="1886"/>
      <c r="I1" s="1886"/>
      <c r="J1" s="1886"/>
      <c r="K1" s="1886"/>
      <c r="L1" s="1886"/>
      <c r="M1" s="1886"/>
      <c r="N1" s="1886"/>
      <c r="O1" s="1886"/>
      <c r="P1" s="1886"/>
      <c r="Q1" s="1886"/>
      <c r="R1" s="1828"/>
      <c r="S1" s="1828"/>
      <c r="T1" s="1828"/>
      <c r="U1" s="1828"/>
      <c r="V1" s="1828"/>
      <c r="W1" s="1828"/>
      <c r="X1" s="1828"/>
      <c r="Y1" s="1829"/>
      <c r="AU1" s="865"/>
    </row>
    <row r="2" spans="1:47" ht="18" customHeight="1" x14ac:dyDescent="0.3">
      <c r="A2" s="1887"/>
      <c r="B2" s="1888"/>
      <c r="C2" s="1888"/>
      <c r="D2" s="1888"/>
      <c r="E2" s="1888"/>
      <c r="F2" s="1888"/>
      <c r="G2" s="1888"/>
      <c r="H2" s="1888"/>
      <c r="I2" s="1888"/>
      <c r="J2" s="1888"/>
      <c r="K2" s="1888"/>
      <c r="L2" s="1888"/>
      <c r="M2" s="1888"/>
      <c r="N2" s="1888"/>
      <c r="O2" s="1888"/>
      <c r="P2" s="1888"/>
      <c r="Q2" s="1888"/>
      <c r="R2" s="1830"/>
      <c r="S2" s="1830"/>
      <c r="T2" s="1830"/>
      <c r="U2" s="1830"/>
      <c r="V2" s="1830"/>
      <c r="W2" s="1830"/>
      <c r="X2" s="1830"/>
      <c r="Y2" s="1831"/>
      <c r="AU2" s="865"/>
    </row>
    <row r="3" spans="1:47" ht="15.75" customHeight="1" x14ac:dyDescent="0.3">
      <c r="A3" s="1889" t="s">
        <v>617</v>
      </c>
      <c r="B3" s="1890"/>
      <c r="C3" s="1890"/>
      <c r="D3" s="1890"/>
      <c r="E3" s="1890"/>
      <c r="F3" s="1890"/>
      <c r="G3" s="1890"/>
      <c r="H3" s="1890"/>
      <c r="I3" s="1890"/>
      <c r="J3" s="1890"/>
      <c r="K3" s="1890"/>
      <c r="L3" s="1890"/>
      <c r="M3" s="1890"/>
      <c r="N3" s="1890"/>
      <c r="O3" s="1890"/>
      <c r="P3" s="1890"/>
      <c r="Q3" s="1890"/>
      <c r="R3" s="1830"/>
      <c r="S3" s="1830"/>
      <c r="T3" s="1830"/>
      <c r="U3" s="1830"/>
      <c r="V3" s="1830"/>
      <c r="W3" s="1830"/>
      <c r="X3" s="1830"/>
      <c r="Y3" s="1831"/>
      <c r="AU3" s="612"/>
    </row>
    <row r="4" spans="1:47" ht="24.75" customHeight="1" x14ac:dyDescent="0.3">
      <c r="A4" s="1889"/>
      <c r="B4" s="1890"/>
      <c r="C4" s="1890"/>
      <c r="D4" s="1890"/>
      <c r="E4" s="1890"/>
      <c r="F4" s="1890"/>
      <c r="G4" s="1890"/>
      <c r="H4" s="1890"/>
      <c r="I4" s="1890"/>
      <c r="J4" s="1890"/>
      <c r="K4" s="1890"/>
      <c r="L4" s="1890"/>
      <c r="M4" s="1890"/>
      <c r="N4" s="1890"/>
      <c r="O4" s="1890"/>
      <c r="P4" s="1890"/>
      <c r="Q4" s="1890"/>
      <c r="R4" s="1830"/>
      <c r="S4" s="1830"/>
      <c r="T4" s="1830"/>
      <c r="U4" s="1830"/>
      <c r="V4" s="1830"/>
      <c r="W4" s="1830"/>
      <c r="X4" s="1830"/>
      <c r="Y4" s="1831"/>
      <c r="AU4" s="612"/>
    </row>
    <row r="5" spans="1:47" ht="22.5" customHeight="1" x14ac:dyDescent="0.3">
      <c r="A5" s="1889"/>
      <c r="B5" s="1890"/>
      <c r="C5" s="1890"/>
      <c r="D5" s="1890"/>
      <c r="E5" s="1890"/>
      <c r="F5" s="1890"/>
      <c r="G5" s="1890"/>
      <c r="H5" s="1890"/>
      <c r="I5" s="1890"/>
      <c r="J5" s="1890"/>
      <c r="K5" s="1890"/>
      <c r="L5" s="1890"/>
      <c r="M5" s="1890"/>
      <c r="N5" s="1890"/>
      <c r="O5" s="1890"/>
      <c r="P5" s="1890"/>
      <c r="Q5" s="1890"/>
      <c r="R5" s="1830"/>
      <c r="S5" s="1830"/>
      <c r="T5" s="1830"/>
      <c r="U5" s="1830"/>
      <c r="V5" s="1830"/>
      <c r="W5" s="1830"/>
      <c r="X5" s="1830"/>
      <c r="Y5" s="1831"/>
      <c r="AU5" s="612"/>
    </row>
    <row r="6" spans="1:47" ht="18" customHeight="1" thickBot="1" x14ac:dyDescent="0.35">
      <c r="A6" s="1891"/>
      <c r="B6" s="1892"/>
      <c r="C6" s="1892"/>
      <c r="D6" s="1892"/>
      <c r="E6" s="1892"/>
      <c r="F6" s="1892"/>
      <c r="G6" s="1892"/>
      <c r="H6" s="1892"/>
      <c r="I6" s="1892"/>
      <c r="J6" s="1892"/>
      <c r="K6" s="1892"/>
      <c r="L6" s="1892"/>
      <c r="M6" s="1892"/>
      <c r="N6" s="1892"/>
      <c r="O6" s="1892"/>
      <c r="P6" s="1892"/>
      <c r="Q6" s="1892"/>
      <c r="R6" s="1832"/>
      <c r="S6" s="1832"/>
      <c r="T6" s="1832"/>
      <c r="U6" s="1832"/>
      <c r="V6" s="1832"/>
      <c r="W6" s="1832"/>
      <c r="X6" s="1832"/>
      <c r="Y6" s="1833"/>
      <c r="AU6" s="612"/>
    </row>
    <row r="7" spans="1:47" ht="18" customHeight="1" thickBot="1" x14ac:dyDescent="0.25">
      <c r="A7" s="1845"/>
      <c r="B7" s="1845"/>
      <c r="C7" s="575"/>
      <c r="D7" s="575"/>
      <c r="E7" s="575"/>
      <c r="F7" s="575"/>
      <c r="G7" s="575"/>
      <c r="H7" s="612"/>
      <c r="AU7" s="612"/>
    </row>
    <row r="8" spans="1:47" ht="48.75" customHeight="1" thickBot="1" x14ac:dyDescent="0.25">
      <c r="A8" s="1931" t="s">
        <v>247</v>
      </c>
      <c r="B8" s="1932"/>
      <c r="C8" s="1932"/>
      <c r="D8" s="1932"/>
      <c r="E8" s="1932"/>
      <c r="F8" s="1932"/>
      <c r="G8" s="1932"/>
      <c r="H8" s="1933"/>
      <c r="K8" s="1893" t="s">
        <v>478</v>
      </c>
      <c r="L8" s="1894"/>
      <c r="M8" s="1894"/>
      <c r="N8" s="1895"/>
      <c r="P8" s="612"/>
      <c r="Q8" s="612"/>
      <c r="R8" s="612"/>
      <c r="S8" s="612"/>
      <c r="V8" s="818" t="s">
        <v>61</v>
      </c>
      <c r="W8" s="818" t="s">
        <v>463</v>
      </c>
      <c r="AU8" s="612"/>
    </row>
    <row r="9" spans="1:47" ht="18.75" thickBot="1" x14ac:dyDescent="0.25">
      <c r="A9" s="1911"/>
      <c r="B9" s="1912"/>
      <c r="C9" s="1880" t="s">
        <v>246</v>
      </c>
      <c r="D9" s="1881"/>
      <c r="E9" s="1882"/>
      <c r="F9" s="1442" t="s">
        <v>248</v>
      </c>
      <c r="G9" s="1929" t="s">
        <v>554</v>
      </c>
      <c r="H9" s="1930"/>
      <c r="P9" s="612"/>
      <c r="Q9" s="612"/>
      <c r="R9" s="612"/>
      <c r="S9" s="612"/>
      <c r="V9" s="603">
        <v>2012</v>
      </c>
      <c r="W9" s="603" t="s">
        <v>54</v>
      </c>
      <c r="AU9" s="612"/>
    </row>
    <row r="10" spans="1:47" ht="26.25" customHeight="1" x14ac:dyDescent="0.3">
      <c r="A10" s="1916" t="s">
        <v>54</v>
      </c>
      <c r="B10" s="1917"/>
      <c r="C10" s="1883" t="str">
        <f>ENMAX!$I$1</f>
        <v>Detached Home Consumption</v>
      </c>
      <c r="D10" s="1884"/>
      <c r="E10" s="1885"/>
      <c r="F10" s="1351" t="str">
        <f>'Service Zone Menu'!$K$3</f>
        <v>Calgary</v>
      </c>
      <c r="G10" s="1924" t="str">
        <f>'Service Zone Menu'!$O3</f>
        <v>RRO (Capped)</v>
      </c>
      <c r="H10" s="1925"/>
      <c r="K10" s="1902" t="s">
        <v>366</v>
      </c>
      <c r="L10" s="1903"/>
      <c r="M10" s="1903"/>
      <c r="N10" s="1904"/>
      <c r="P10" s="612"/>
      <c r="Q10" s="612"/>
      <c r="R10" s="612"/>
      <c r="S10" s="612"/>
      <c r="V10" s="607">
        <v>2013</v>
      </c>
      <c r="W10" s="607" t="s">
        <v>55</v>
      </c>
      <c r="AU10" s="612"/>
    </row>
    <row r="11" spans="1:47" ht="26.25" customHeight="1" thickBot="1" x14ac:dyDescent="0.35">
      <c r="A11" s="1916" t="s">
        <v>55</v>
      </c>
      <c r="B11" s="1917"/>
      <c r="C11" s="1908" t="str">
        <f>EPCOR!$I$1</f>
        <v>Detached Home Consumption</v>
      </c>
      <c r="D11" s="1908"/>
      <c r="E11" s="1908"/>
      <c r="F11" s="1443" t="str">
        <f>'Service Zone Menu'!$K$4</f>
        <v>Edmonton</v>
      </c>
      <c r="G11" s="1908" t="str">
        <f>'Service Zone Menu'!$O4</f>
        <v>RRO (Capped)</v>
      </c>
      <c r="H11" s="1926"/>
      <c r="K11" s="1905"/>
      <c r="L11" s="1906"/>
      <c r="M11" s="1906"/>
      <c r="N11" s="1907"/>
      <c r="P11" s="612"/>
      <c r="Q11" s="612"/>
      <c r="R11" s="612"/>
      <c r="S11" s="612"/>
      <c r="V11" s="607">
        <v>2014</v>
      </c>
      <c r="W11" s="607" t="s">
        <v>56</v>
      </c>
      <c r="AU11" s="612"/>
    </row>
    <row r="12" spans="1:47" ht="23.25" customHeight="1" thickBot="1" x14ac:dyDescent="0.25">
      <c r="A12" s="1916" t="s">
        <v>56</v>
      </c>
      <c r="B12" s="1917"/>
      <c r="C12" s="1909" t="str">
        <f>FORTIS!$I$1</f>
        <v>Detached Home Consumption</v>
      </c>
      <c r="D12" s="1909"/>
      <c r="E12" s="1909"/>
      <c r="F12" s="1444" t="str">
        <f>'Service Zone Menu'!$K$5</f>
        <v>Hinton</v>
      </c>
      <c r="G12" s="1909" t="str">
        <f>'Service Zone Menu'!$O5</f>
        <v>RRO (Capped)</v>
      </c>
      <c r="H12" s="1927"/>
      <c r="P12" s="612"/>
      <c r="Q12" s="612"/>
      <c r="R12" s="612"/>
      <c r="S12" s="612"/>
      <c r="V12" s="607">
        <v>2015</v>
      </c>
      <c r="W12" s="607" t="s">
        <v>57</v>
      </c>
      <c r="AU12" s="612"/>
    </row>
    <row r="13" spans="1:47" ht="29.25" customHeight="1" thickBot="1" x14ac:dyDescent="0.35">
      <c r="A13" s="1913" t="s">
        <v>57</v>
      </c>
      <c r="B13" s="1914"/>
      <c r="C13" s="1910" t="str">
        <f>ATCO!$I$1</f>
        <v>Detached Home Consumption</v>
      </c>
      <c r="D13" s="1910"/>
      <c r="E13" s="1910"/>
      <c r="F13" s="1445" t="str">
        <f>'Service Zone Menu'!$K$6</f>
        <v>Grande Prairie</v>
      </c>
      <c r="G13" s="1910" t="str">
        <f>'Service Zone Menu'!$O6</f>
        <v>RRO (Capped)</v>
      </c>
      <c r="H13" s="1928"/>
      <c r="K13" s="1896" t="s">
        <v>402</v>
      </c>
      <c r="L13" s="1897"/>
      <c r="M13" s="1897"/>
      <c r="N13" s="1898"/>
      <c r="P13" s="1918" t="s">
        <v>401</v>
      </c>
      <c r="Q13" s="1919"/>
      <c r="R13" s="1919"/>
      <c r="S13" s="1920"/>
      <c r="V13" s="607">
        <v>2016</v>
      </c>
      <c r="W13" s="612"/>
      <c r="AU13" s="612"/>
    </row>
    <row r="14" spans="1:47" ht="14.5" thickBot="1" x14ac:dyDescent="0.35">
      <c r="A14" s="1915"/>
      <c r="B14" s="1915"/>
      <c r="C14" s="612"/>
      <c r="D14" s="612"/>
      <c r="E14" s="612"/>
      <c r="F14" s="612"/>
      <c r="G14" s="575"/>
      <c r="K14" s="1899"/>
      <c r="L14" s="1900"/>
      <c r="M14" s="1900"/>
      <c r="N14" s="1901"/>
      <c r="P14" s="1921"/>
      <c r="Q14" s="1922"/>
      <c r="R14" s="1922"/>
      <c r="S14" s="1923"/>
      <c r="V14" s="1127">
        <v>2017</v>
      </c>
      <c r="AU14" s="612"/>
    </row>
    <row r="15" spans="1:47" ht="18" x14ac:dyDescent="0.2">
      <c r="A15" s="1853"/>
      <c r="B15" s="1853"/>
      <c r="C15" s="1120"/>
      <c r="D15" s="1120"/>
      <c r="E15" s="1120"/>
      <c r="F15" s="1120"/>
      <c r="G15" s="575"/>
      <c r="K15" s="1216"/>
      <c r="L15" s="1216"/>
      <c r="M15" s="1216"/>
      <c r="N15" s="1216"/>
      <c r="P15" s="1217"/>
      <c r="Q15" s="1217"/>
      <c r="R15" s="1217"/>
      <c r="S15" s="1217"/>
      <c r="V15" s="1127">
        <v>2018</v>
      </c>
      <c r="AU15" s="1120"/>
    </row>
    <row r="16" spans="1:47" ht="18.75" thickBot="1" x14ac:dyDescent="0.25">
      <c r="A16" s="1584"/>
      <c r="B16" s="1584"/>
      <c r="C16" s="1583"/>
      <c r="D16" s="1583"/>
      <c r="E16" s="1583"/>
      <c r="F16" s="1583"/>
      <c r="G16" s="1585"/>
      <c r="K16" s="1216"/>
      <c r="L16" s="1216"/>
      <c r="M16" s="1216"/>
      <c r="N16" s="1216"/>
      <c r="P16" s="1217"/>
      <c r="Q16" s="1217"/>
      <c r="R16" s="1217"/>
      <c r="S16" s="1217"/>
      <c r="V16" s="1588">
        <v>2019</v>
      </c>
      <c r="AU16" s="1583"/>
    </row>
    <row r="17" spans="1:66" ht="36" customHeight="1" thickBot="1" x14ac:dyDescent="0.25">
      <c r="A17" s="1804" t="str">
        <f>IF(AND(OR($C$10="Manually-Entered Consumption", $C$11="Manually-Entered Consumption",$C$12="Manually-Entered Consumption", $C$13="Manually-Entered Consumption"), IF('Personalized Bill Menu'!$B$34&lt;&gt;"Natural Gas", COUNTBLANK('Personalized Bill Menu'!$U$4:$U$55)=COUNTA('Personalized Bill Menu'!$T$4:$T$55),TRUE)), "Error: No manually-entered electricity consumption values available:", "")</f>
        <v/>
      </c>
      <c r="B17" s="1804"/>
      <c r="C17" s="1804"/>
      <c r="D17" s="1804"/>
      <c r="E17" s="1854" t="str">
        <f>IF($A$17="", "", HYPERLINK('Personalized Bill Menu'!$B$30, "Go to Regulated Bill Menu"))</f>
        <v/>
      </c>
      <c r="F17" s="1855"/>
      <c r="G17" s="866"/>
      <c r="H17" s="612"/>
      <c r="AU17" s="612"/>
    </row>
    <row r="18" spans="1:66" ht="15" thickBot="1" x14ac:dyDescent="0.25">
      <c r="A18" s="1848"/>
      <c r="B18" s="1848"/>
    </row>
    <row r="19" spans="1:66" ht="32.25" customHeight="1" outlineLevel="1" thickBot="1" x14ac:dyDescent="0.25">
      <c r="A19" s="1860" t="str">
        <f>"Cost Comparison " &amp;  A20 &amp; " by Service Zone"</f>
        <v>Cost Comparison 2019 by Service Zone</v>
      </c>
      <c r="B19" s="1861"/>
      <c r="C19" s="1862"/>
      <c r="D19" s="1862"/>
      <c r="E19" s="1862"/>
      <c r="F19" s="1863"/>
      <c r="G19" s="887"/>
      <c r="H19" s="867"/>
      <c r="I19" s="867"/>
      <c r="J19" s="867"/>
      <c r="K19" s="867"/>
      <c r="L19" s="867"/>
      <c r="M19" s="867"/>
      <c r="N19" s="867"/>
      <c r="O19" s="867"/>
      <c r="P19" s="867"/>
      <c r="Q19" s="867"/>
      <c r="R19" s="867"/>
      <c r="S19" s="867"/>
      <c r="T19" s="867"/>
      <c r="U19" s="867"/>
      <c r="V19" s="867"/>
      <c r="W19" s="867"/>
      <c r="X19" s="867"/>
      <c r="Y19" s="868"/>
    </row>
    <row r="20" spans="1:66" ht="21" customHeight="1" outlineLevel="1" thickBot="1" x14ac:dyDescent="0.3">
      <c r="A20" s="888">
        <v>2019</v>
      </c>
      <c r="B20" s="28" t="str">
        <f>HYPERLINK("#"&amp;ADDRESS(ROW(), COLUMN()-1), "€")</f>
        <v>€</v>
      </c>
      <c r="C20" s="898" t="s">
        <v>54</v>
      </c>
      <c r="D20" s="897" t="s">
        <v>55</v>
      </c>
      <c r="E20" s="897" t="s">
        <v>56</v>
      </c>
      <c r="F20" s="897" t="s">
        <v>57</v>
      </c>
      <c r="G20" s="869"/>
      <c r="H20" s="575"/>
      <c r="I20" s="575"/>
      <c r="J20" s="575"/>
      <c r="K20" s="575"/>
      <c r="L20" s="575"/>
      <c r="M20" s="575"/>
      <c r="N20" s="575"/>
      <c r="O20" s="575"/>
      <c r="P20" s="575"/>
      <c r="Q20" s="575"/>
      <c r="R20" s="575"/>
      <c r="S20" s="575"/>
      <c r="T20" s="575"/>
      <c r="U20" s="575"/>
      <c r="V20" s="575"/>
      <c r="W20" s="575"/>
      <c r="X20" s="575"/>
      <c r="Y20" s="870"/>
    </row>
    <row r="21" spans="1:66" ht="15" outlineLevel="1" x14ac:dyDescent="0.2">
      <c r="A21" s="1856" t="s">
        <v>58</v>
      </c>
      <c r="B21" s="1857"/>
      <c r="C21" s="892">
        <f ca="1">SUM(INDIRECT("'"&amp;C$20&amp;"'!"&amp;'Misc. Data &amp; Mechanisms'!B676&amp;(7+(($A$20-2012)*12))):INDIRECT("'"&amp;C$20&amp;"'!"&amp;'Misc. Data &amp; Mechanisms'!B676&amp;(18+(($A$20-2012)*12))))</f>
        <v>64.188018126130189</v>
      </c>
      <c r="D21" s="892">
        <f ca="1">SUM(INDIRECT("'"&amp;D$20&amp;"'!"&amp;'Misc. Data &amp; Mechanisms'!C676&amp;(7+(($A$20-2012)*12))):INDIRECT("'"&amp;D$20&amp;"'!"&amp;'Misc. Data &amp; Mechanisms'!C676&amp;(18+(($A$20-2012)*12))))</f>
        <v>97.069183719820813</v>
      </c>
      <c r="E21" s="892">
        <f ca="1">SUM(INDIRECT("'"&amp;E$20&amp;"'!"&amp;'Misc. Data &amp; Mechanisms'!D676&amp;(7+(($A$20-2012)*12))):INDIRECT("'"&amp;E$20&amp;"'!"&amp;'Misc. Data &amp; Mechanisms'!D676&amp;(18+(($A$20-2012)*12))))</f>
        <v>169.76227386588337</v>
      </c>
      <c r="F21" s="892">
        <f ca="1">SUM(INDIRECT("'"&amp;F$20&amp;"'!"&amp;'Misc. Data &amp; Mechanisms'!E676&amp;(7+(($A$20-2012)*12))):INDIRECT("'"&amp;F$20&amp;"'!"&amp;'Misc. Data &amp; Mechanisms'!E676&amp;(18+(($A$20-2012)*12))))</f>
        <v>156.18413673972748</v>
      </c>
      <c r="G21" s="871"/>
      <c r="H21" s="575"/>
      <c r="I21" s="575"/>
      <c r="J21" s="575"/>
      <c r="K21" s="575"/>
      <c r="L21" s="575"/>
      <c r="M21" s="575"/>
      <c r="N21" s="575"/>
      <c r="O21" s="575"/>
      <c r="P21" s="575"/>
      <c r="Q21" s="575"/>
      <c r="R21" s="575"/>
      <c r="S21" s="575"/>
      <c r="T21" s="575"/>
      <c r="U21" s="575"/>
      <c r="V21" s="575"/>
      <c r="W21" s="575"/>
      <c r="X21" s="575"/>
      <c r="Y21" s="870"/>
    </row>
    <row r="22" spans="1:66" ht="15" outlineLevel="1" x14ac:dyDescent="0.2">
      <c r="A22" s="1858" t="s">
        <v>59</v>
      </c>
      <c r="B22" s="1859"/>
      <c r="C22" s="893">
        <f ca="1">SUM(INDIRECT("'"&amp;C$20&amp;"'!"&amp;'Misc. Data &amp; Mechanisms'!B677&amp;(7+(($A$20-2012)*12))):INDIRECT("'"&amp;C$20&amp;"'!"&amp;'Misc. Data &amp; Mechanisms'!B677&amp;(18+(($A$20-2012)*12)))) - C$23</f>
        <v>94.261360999999994</v>
      </c>
      <c r="D22" s="893">
        <f ca="1">SUM(INDIRECT("'"&amp;D$20&amp;"'!"&amp;'Misc. Data &amp; Mechanisms'!C677&amp;(7+(($A$20-2012)*12))):INDIRECT("'"&amp;D$20&amp;"'!"&amp;'Misc. Data &amp; Mechanisms'!C677&amp;(18+(($A$20-2012)*12)))) - D$23</f>
        <v>118.03190999999998</v>
      </c>
      <c r="E22" s="893">
        <f ca="1">SUM(INDIRECT("'"&amp;E$20&amp;"'!"&amp;'Misc. Data &amp; Mechanisms'!D677&amp;(7+(($A$20-2012)*12))):INDIRECT("'"&amp;E$20&amp;"'!"&amp;'Misc. Data &amp; Mechanisms'!D677&amp;(18+(($A$20-2012)*12)))) - E$23</f>
        <v>147.04440000000002</v>
      </c>
      <c r="F22" s="893">
        <f ca="1">SUM(INDIRECT("'"&amp;F$20&amp;"'!"&amp;'Misc. Data &amp; Mechanisms'!E677&amp;(7+(($A$20-2012)*12))):INDIRECT("'"&amp;F$20&amp;"'!"&amp;'Misc. Data &amp; Mechanisms'!E677&amp;(18+(($A$20-2012)*12)))) - F$23</f>
        <v>244.73009999999999</v>
      </c>
      <c r="G22" s="872"/>
      <c r="H22" s="575"/>
      <c r="I22" s="575"/>
      <c r="J22" s="575"/>
      <c r="K22" s="575"/>
      <c r="L22" s="575"/>
      <c r="M22" s="575"/>
      <c r="N22" s="575"/>
      <c r="O22" s="575"/>
      <c r="P22" s="575"/>
      <c r="Q22" s="575"/>
      <c r="R22" s="575"/>
      <c r="S22" s="575"/>
      <c r="T22" s="575"/>
      <c r="U22" s="575"/>
      <c r="V22" s="575"/>
      <c r="W22" s="575"/>
      <c r="X22" s="575"/>
      <c r="Y22" s="870"/>
    </row>
    <row r="23" spans="1:66" ht="15" outlineLevel="1" x14ac:dyDescent="0.2">
      <c r="A23" s="1858" t="s">
        <v>60</v>
      </c>
      <c r="B23" s="1859"/>
      <c r="C23" s="893">
        <f ca="1">SUM(INDIRECT("'"&amp;C$20&amp;"'!"&amp;'Misc. Data &amp; Mechanisms'!B678&amp;(7+(($A$20-2012)*12))):INDIRECT("'"&amp;C$20&amp;"'!"&amp;'Misc. Data &amp; Mechanisms'!B678&amp;(18+(($A$20-2012)*12))))</f>
        <v>34.546035548025174</v>
      </c>
      <c r="D23" s="893">
        <f ca="1">SUM(INDIRECT("'"&amp;D$20&amp;"'!"&amp;'Misc. Data &amp; Mechanisms'!C678&amp;(7+(($A$20-2012)*12))):INDIRECT("'"&amp;D$20&amp;"'!"&amp;'Misc. Data &amp; Mechanisms'!C678&amp;(18+(($A$20-2012)*12))))</f>
        <v>29.474072068183141</v>
      </c>
      <c r="E23" s="893">
        <f ca="1">SUM(INDIRECT("'"&amp;E$20&amp;"'!"&amp;'Misc. Data &amp; Mechanisms'!D678&amp;(7+(($A$20-2012)*12))):INDIRECT("'"&amp;E$20&amp;"'!"&amp;'Misc. Data &amp; Mechanisms'!D678&amp;(18+(($A$20-2012)*12))))</f>
        <v>96.877603223982817</v>
      </c>
      <c r="F23" s="893">
        <f ca="1">SUM(INDIRECT("'"&amp;F$20&amp;"'!"&amp;'Misc. Data &amp; Mechanisms'!E678&amp;(7+(($A$20-2012)*12))):INDIRECT("'"&amp;F$20&amp;"'!"&amp;'Misc. Data &amp; Mechanisms'!E678&amp;(18+(($A$20-2012)*12))))</f>
        <v>297.95127624194174</v>
      </c>
      <c r="G23" s="872"/>
      <c r="H23" s="575"/>
      <c r="I23" s="575"/>
      <c r="J23" s="575"/>
      <c r="K23" s="575"/>
      <c r="L23" s="575"/>
      <c r="M23" s="575"/>
      <c r="N23" s="575"/>
      <c r="O23" s="575"/>
      <c r="P23" s="575"/>
      <c r="Q23" s="575"/>
      <c r="R23" s="575"/>
      <c r="S23" s="575"/>
      <c r="T23" s="575"/>
      <c r="U23" s="575"/>
      <c r="V23" s="575"/>
      <c r="W23" s="575"/>
      <c r="X23" s="575"/>
      <c r="Y23" s="870"/>
    </row>
    <row r="24" spans="1:66" outlineLevel="1" x14ac:dyDescent="0.3">
      <c r="A24" s="1858" t="s">
        <v>62</v>
      </c>
      <c r="B24" s="1859"/>
      <c r="C24" s="893">
        <f ca="1">SUM(INDIRECT("'"&amp;C$20&amp;"'!"&amp;'Misc. Data &amp; Mechanisms'!B679&amp;(7+(($A$20-2012)*12))):INDIRECT("'"&amp;C$20&amp;"'!"&amp;'Misc. Data &amp; Mechanisms'!B679&amp;(18+(($A$20-2012)*12))))</f>
        <v>55.671788336897329</v>
      </c>
      <c r="D24" s="893">
        <f ca="1">SUM(INDIRECT("'"&amp;D$20&amp;"'!"&amp;'Misc. Data &amp; Mechanisms'!C679&amp;(7+(($A$20-2012)*12))):INDIRECT("'"&amp;D$20&amp;"'!"&amp;'Misc. Data &amp; Mechanisms'!C679&amp;(18+(($A$20-2012)*12))))</f>
        <v>26.343807842224685</v>
      </c>
      <c r="E24" s="893">
        <f ca="1">SUM(INDIRECT("'"&amp;E$20&amp;"'!"&amp;'Misc. Data &amp; Mechanisms'!D679&amp;(7+(($A$20-2012)*12))):INDIRECT("'"&amp;E$20&amp;"'!"&amp;'Misc. Data &amp; Mechanisms'!D679&amp;(18+(($A$20-2012)*12))))</f>
        <v>56.054219545676865</v>
      </c>
      <c r="F24" s="893">
        <f ca="1">SUM(INDIRECT("'"&amp;F$20&amp;"'!"&amp;'Misc. Data &amp; Mechanisms'!E679&amp;(7+(($A$20-2012)*12))):INDIRECT("'"&amp;F$20&amp;"'!"&amp;'Misc. Data &amp; Mechanisms'!E679&amp;(18+(($A$20-2012)*12))))</f>
        <v>78.591134962256334</v>
      </c>
      <c r="G24" s="872"/>
      <c r="H24" s="575"/>
      <c r="I24" s="575"/>
      <c r="J24" s="575"/>
      <c r="K24" s="575"/>
      <c r="L24" s="575"/>
      <c r="M24" s="575"/>
      <c r="N24" s="575"/>
      <c r="O24" s="575"/>
      <c r="P24" s="575"/>
      <c r="Q24" s="575"/>
      <c r="R24" s="575"/>
      <c r="S24" s="575"/>
      <c r="T24" s="575"/>
      <c r="U24" s="575"/>
      <c r="V24" s="575"/>
      <c r="W24" s="575"/>
      <c r="X24" s="575"/>
      <c r="Y24" s="870"/>
    </row>
    <row r="25" spans="1:66" ht="21.75" customHeight="1" outlineLevel="1" x14ac:dyDescent="0.3">
      <c r="A25" s="1858" t="s">
        <v>63</v>
      </c>
      <c r="B25" s="1859"/>
      <c r="C25" s="893">
        <f ca="1">SUM(INDIRECT("'"&amp;C$20&amp;"'!"&amp;'Misc. Data &amp; Mechanisms'!B680&amp;(7+(($A$20-2012)*12))):INDIRECT("'"&amp;C$20&amp;"'!"&amp;'Misc. Data &amp; Mechanisms'!B680&amp;(18+(($A$20-2012)*12)))) - C$26</f>
        <v>86.905695816945141</v>
      </c>
      <c r="D25" s="893">
        <f ca="1">SUM(INDIRECT("'"&amp;D$20&amp;"'!"&amp;'Misc. Data &amp; Mechanisms'!C680&amp;(7+(($A$20-2012)*12))):INDIRECT("'"&amp;D$20&amp;"'!"&amp;'Misc. Data &amp; Mechanisms'!C680&amp;(18+(($A$20-2012)*12)))) - D$26</f>
        <v>5.4993388518285595</v>
      </c>
      <c r="E25" s="893">
        <f ca="1">SUM(INDIRECT("'"&amp;E$20&amp;"'!"&amp;'Misc. Data &amp; Mechanisms'!D680&amp;(7+(($A$20-2012)*12))):INDIRECT("'"&amp;E$20&amp;"'!"&amp;'Misc. Data &amp; Mechanisms'!D680&amp;(18+(($A$20-2012)*12)))) - E$26</f>
        <v>15.768469318645808</v>
      </c>
      <c r="F25" s="893">
        <f ca="1">SUM(INDIRECT("'"&amp;F$20&amp;"'!"&amp;'Misc. Data &amp; Mechanisms'!E680&amp;(7+(($A$20-2012)*12))):INDIRECT("'"&amp;F$20&amp;"'!"&amp;'Misc. Data &amp; Mechanisms'!E680&amp;(18+(($A$20-2012)*12)))) - F$26</f>
        <v>39.481492531971071</v>
      </c>
      <c r="G25" s="872"/>
      <c r="H25" s="575"/>
      <c r="I25" s="575"/>
      <c r="J25" s="575"/>
      <c r="K25" s="575"/>
      <c r="L25" s="575"/>
      <c r="M25" s="575"/>
      <c r="N25" s="575"/>
      <c r="O25" s="575"/>
      <c r="P25" s="575"/>
      <c r="Q25" s="575"/>
      <c r="R25" s="575"/>
      <c r="S25" s="575"/>
      <c r="T25" s="575"/>
      <c r="U25" s="575"/>
      <c r="V25" s="575"/>
      <c r="W25" s="575"/>
      <c r="X25" s="575"/>
      <c r="Y25" s="870"/>
    </row>
    <row r="26" spans="1:66" ht="23.25" customHeight="1" outlineLevel="1" x14ac:dyDescent="0.3">
      <c r="A26" s="1864" t="s">
        <v>64</v>
      </c>
      <c r="B26" s="1865"/>
      <c r="C26" s="827">
        <f ca="1">SUM(INDIRECT("'"&amp;C$20&amp;"'!"&amp;'Misc. Data &amp; Mechanisms'!B681&amp;(7+(($A$20-2012)*12))):INDIRECT("'"&amp;C$20&amp;"'!"&amp;'Misc. Data &amp; Mechanisms'!B681&amp;(18+(($A$20-2012)*12))))</f>
        <v>9.7916161854020736</v>
      </c>
      <c r="D26" s="827">
        <f ca="1">SUM(INDIRECT("'"&amp;D$20&amp;"'!"&amp;'Misc. Data &amp; Mechanisms'!C681&amp;(7+(($A$20-2012)*12))):INDIRECT("'"&amp;D$20&amp;"'!"&amp;'Misc. Data &amp; Mechanisms'!C681&amp;(18+(($A$20-2012)*12))))</f>
        <v>9.2978145325498875</v>
      </c>
      <c r="E26" s="827">
        <f ca="1">SUM(INDIRECT("'"&amp;E$20&amp;"'!"&amp;'Misc. Data &amp; Mechanisms'!D681&amp;(7+(($A$20-2012)*12))):INDIRECT("'"&amp;E$20&amp;"'!"&amp;'Misc. Data &amp; Mechanisms'!D681&amp;(18+(($A$20-2012)*12))))</f>
        <v>12.648356131838709</v>
      </c>
      <c r="F26" s="827">
        <f ca="1">SUM(INDIRECT("'"&amp;F$20&amp;"'!"&amp;'Misc. Data &amp; Mechanisms'!E681&amp;(7+(($A$20-2012)*12))):INDIRECT("'"&amp;F$20&amp;"'!"&amp;'Misc. Data &amp; Mechanisms'!E681&amp;(18+(($A$20-2012)*12))))</f>
        <v>12.214400437337664</v>
      </c>
      <c r="G26" s="873"/>
      <c r="H26" s="575"/>
      <c r="I26" s="575"/>
      <c r="J26" s="575"/>
      <c r="K26" s="575"/>
      <c r="L26" s="575"/>
      <c r="M26" s="575"/>
      <c r="N26" s="575"/>
      <c r="O26" s="575"/>
      <c r="P26" s="575"/>
      <c r="Q26" s="575"/>
      <c r="R26" s="575"/>
      <c r="S26" s="575"/>
      <c r="T26" s="575"/>
      <c r="U26" s="575"/>
      <c r="V26" s="575"/>
      <c r="W26" s="575"/>
      <c r="X26" s="575"/>
      <c r="Y26" s="870"/>
    </row>
    <row r="27" spans="1:66" outlineLevel="1" x14ac:dyDescent="0.3">
      <c r="A27" s="1858" t="s">
        <v>65</v>
      </c>
      <c r="B27" s="1859"/>
      <c r="C27" s="893">
        <f ca="1">SUM(INDIRECT("'"&amp;C$20&amp;"'!"&amp;'Misc. Data &amp; Mechanisms'!B682&amp;(7+(($A$20-2012)*12))):INDIRECT("'"&amp;C$20&amp;"'!"&amp;'Misc. Data &amp; Mechanisms'!B682&amp;(18+(($A$20-2012)*12))))</f>
        <v>211.40347797603863</v>
      </c>
      <c r="D27" s="893">
        <f ca="1">SUM(INDIRECT("'"&amp;D$20&amp;"'!"&amp;'Misc. Data &amp; Mechanisms'!C682&amp;(7+(($A$20-2012)*12))):INDIRECT("'"&amp;D$20&amp;"'!"&amp;'Misc. Data &amp; Mechanisms'!C682&amp;(18+(($A$20-2012)*12))))</f>
        <v>206.39779734706747</v>
      </c>
      <c r="E27" s="893">
        <f ca="1">SUM(INDIRECT("'"&amp;E$20&amp;"'!"&amp;'Misc. Data &amp; Mechanisms'!D682&amp;(7+(($A$20-2012)*12))):INDIRECT("'"&amp;E$20&amp;"'!"&amp;'Misc. Data &amp; Mechanisms'!D682&amp;(18+(($A$20-2012)*12))))</f>
        <v>281.2737150008582</v>
      </c>
      <c r="F27" s="893">
        <f ca="1">SUM(INDIRECT("'"&amp;F$20&amp;"'!"&amp;'Misc. Data &amp; Mechanisms'!E682&amp;(7+(($A$20-2012)*12))):INDIRECT("'"&amp;F$20&amp;"'!"&amp;'Misc. Data &amp; Mechanisms'!E682&amp;(18+(($A$20-2012)*12))))</f>
        <v>255.38239192184992</v>
      </c>
      <c r="G27" s="872"/>
      <c r="H27" s="575"/>
      <c r="I27" s="575"/>
      <c r="J27" s="575"/>
      <c r="K27" s="575"/>
      <c r="L27" s="575"/>
      <c r="M27" s="575"/>
      <c r="N27" s="575"/>
      <c r="O27" s="575"/>
      <c r="P27" s="575"/>
      <c r="Q27" s="575"/>
      <c r="R27" s="575"/>
      <c r="S27" s="575"/>
      <c r="T27" s="575"/>
      <c r="U27" s="575"/>
      <c r="V27" s="575"/>
      <c r="W27" s="575"/>
      <c r="X27" s="575"/>
      <c r="Y27" s="870"/>
    </row>
    <row r="28" spans="1:66" ht="24.75" customHeight="1" outlineLevel="1" x14ac:dyDescent="0.3">
      <c r="A28" s="1858" t="s">
        <v>66</v>
      </c>
      <c r="B28" s="1859"/>
      <c r="C28" s="893">
        <f ca="1">SUM(INDIRECT("'"&amp;C$20&amp;"'!"&amp;'Misc. Data &amp; Mechanisms'!B683&amp;(7+(($A$20-2012)*12))):INDIRECT("'"&amp;C$20&amp;"'!"&amp;'Misc. Data &amp; Mechanisms'!B683&amp;(18+(($A$20-2012)*12))))</f>
        <v>37.358400000000003</v>
      </c>
      <c r="D28" s="893">
        <f ca="1">SUM(INDIRECT("'"&amp;D$20&amp;"'!"&amp;'Misc. Data &amp; Mechanisms'!C683&amp;(7+(($A$20-2012)*12))):INDIRECT("'"&amp;D$20&amp;"'!"&amp;'Misc. Data &amp; Mechanisms'!C683&amp;(18+(($A$20-2012)*12))))</f>
        <v>32.160000000000004</v>
      </c>
      <c r="E28" s="893">
        <f ca="1">SUM(INDIRECT("'"&amp;E$20&amp;"'!"&amp;'Misc. Data &amp; Mechanisms'!D683&amp;(7+(($A$20-2012)*12))):INDIRECT("'"&amp;E$20&amp;"'!"&amp;'Misc. Data &amp; Mechanisms'!D683&amp;(18+(($A$20-2012)*12))))</f>
        <v>32.76</v>
      </c>
      <c r="F28" s="893">
        <f ca="1">SUM(INDIRECT("'"&amp;F$20&amp;"'!"&amp;'Misc. Data &amp; Mechanisms'!E683&amp;(7+(($A$20-2012)*12))):INDIRECT("'"&amp;F$20&amp;"'!"&amp;'Misc. Data &amp; Mechanisms'!E683&amp;(18+(($A$20-2012)*12))))</f>
        <v>70.046999999999997</v>
      </c>
      <c r="G28" s="872"/>
      <c r="H28" s="575"/>
      <c r="I28" s="575"/>
      <c r="J28" s="575"/>
      <c r="K28" s="575"/>
      <c r="L28" s="575"/>
      <c r="M28" s="575"/>
      <c r="N28" s="575"/>
      <c r="O28" s="575"/>
      <c r="P28" s="575"/>
      <c r="Q28" s="575"/>
      <c r="R28" s="575"/>
      <c r="S28" s="575"/>
      <c r="T28" s="575"/>
      <c r="U28" s="575"/>
      <c r="V28" s="575"/>
      <c r="W28" s="575"/>
      <c r="X28" s="575"/>
      <c r="Y28" s="870"/>
    </row>
    <row r="29" spans="1:66" outlineLevel="1" x14ac:dyDescent="0.3">
      <c r="A29" s="1858" t="s">
        <v>21</v>
      </c>
      <c r="B29" s="1859"/>
      <c r="C29" s="893">
        <f ca="1">SUM(INDIRECT("'"&amp;C$20&amp;"'!"&amp;'Misc. Data &amp; Mechanisms'!B684&amp;(7+(($A$20-2012)*12))):INDIRECT("'"&amp;C$20&amp;"'!"&amp;'Misc. Data &amp; Mechanisms'!B684&amp;(18+(($A$20-2012)*12))))</f>
        <v>29.706319649471929</v>
      </c>
      <c r="D29" s="893">
        <f ca="1">SUM(INDIRECT("'"&amp;D$20&amp;"'!"&amp;'Misc. Data &amp; Mechanisms'!C684&amp;(7+(($A$20-2012)*12))):INDIRECT("'"&amp;D$20&amp;"'!"&amp;'Misc. Data &amp; Mechanisms'!C684&amp;(18+(($A$20-2012)*12))))</f>
        <v>26.213696218083733</v>
      </c>
      <c r="E29" s="893">
        <f ca="1">SUM(INDIRECT("'"&amp;E$20&amp;"'!"&amp;'Misc. Data &amp; Mechanisms'!D684&amp;(7+(($A$20-2012)*12))):INDIRECT("'"&amp;E$20&amp;"'!"&amp;'Misc. Data &amp; Mechanisms'!D684&amp;(18+(($A$20-2012)*12))))</f>
        <v>40.609451854344293</v>
      </c>
      <c r="F29" s="893">
        <f ca="1">SUM(INDIRECT("'"&amp;F$20&amp;"'!"&amp;'Misc. Data &amp; Mechanisms'!E684&amp;(7+(($A$20-2012)*12))):INDIRECT("'"&amp;F$20&amp;"'!"&amp;'Misc. Data &amp; Mechanisms'!E684&amp;(18+(($A$20-2012)*12))))</f>
        <v>57.729096641754218</v>
      </c>
      <c r="G29" s="872"/>
      <c r="H29" s="575"/>
      <c r="I29" s="575"/>
      <c r="J29" s="575"/>
      <c r="K29" s="575"/>
      <c r="L29" s="575"/>
      <c r="M29" s="575"/>
      <c r="N29" s="575"/>
      <c r="O29" s="575"/>
      <c r="P29" s="575"/>
      <c r="Q29" s="575"/>
      <c r="R29" s="575"/>
      <c r="S29" s="575"/>
      <c r="T29" s="575"/>
      <c r="U29" s="575"/>
      <c r="V29" s="575"/>
      <c r="W29" s="575"/>
      <c r="X29" s="575"/>
      <c r="Y29" s="870"/>
      <c r="BM29" s="108"/>
      <c r="BN29" s="108"/>
    </row>
    <row r="30" spans="1:66" ht="14.5" outlineLevel="1" thickBot="1" x14ac:dyDescent="0.35">
      <c r="A30" s="1870" t="s">
        <v>70</v>
      </c>
      <c r="B30" s="1871"/>
      <c r="C30" s="874">
        <f ca="1">SUM(C21:C29)</f>
        <v>623.83271263891027</v>
      </c>
      <c r="D30" s="874">
        <f ca="1">SUM(D21:D29)</f>
        <v>550.4876205797583</v>
      </c>
      <c r="E30" s="874">
        <f ca="1">SUM(E21:E29)</f>
        <v>852.79848894123006</v>
      </c>
      <c r="F30" s="874">
        <f ca="1">SUM(F21:F29)</f>
        <v>1212.3110294768385</v>
      </c>
      <c r="G30" s="875"/>
      <c r="H30" s="575"/>
      <c r="I30" s="575"/>
      <c r="J30" s="575"/>
      <c r="K30" s="575"/>
      <c r="L30" s="575"/>
      <c r="M30" s="575"/>
      <c r="N30" s="575"/>
      <c r="O30" s="575"/>
      <c r="P30" s="575"/>
      <c r="Q30" s="575"/>
      <c r="R30" s="575"/>
      <c r="S30" s="575"/>
      <c r="T30" s="575"/>
      <c r="U30" s="575"/>
      <c r="V30" s="575"/>
      <c r="W30" s="575"/>
      <c r="X30" s="575"/>
      <c r="Y30" s="870"/>
      <c r="BM30" s="108"/>
      <c r="BN30" s="108"/>
    </row>
    <row r="31" spans="1:66" ht="34.5" customHeight="1" outlineLevel="1" x14ac:dyDescent="0.3">
      <c r="A31" s="1872" t="str">
        <f xml:space="preserve"> "Total Bill, Relative to EPCOR in " &amp; A20</f>
        <v>Total Bill, Relative to EPCOR in 2019</v>
      </c>
      <c r="B31" s="1873"/>
      <c r="C31" s="876">
        <f ca="1">C$30/$D$30</f>
        <v>1.1332365875583306</v>
      </c>
      <c r="D31" s="876">
        <f ca="1">D$30/$D$30</f>
        <v>1</v>
      </c>
      <c r="E31" s="876">
        <f ca="1">E$30/$D$30</f>
        <v>1.549169240251191</v>
      </c>
      <c r="F31" s="876">
        <f ca="1">F$30/$D$30</f>
        <v>2.2022493951817954</v>
      </c>
      <c r="G31" s="877"/>
      <c r="H31" s="575"/>
      <c r="I31" s="575"/>
      <c r="J31" s="575"/>
      <c r="K31" s="575"/>
      <c r="L31" s="575"/>
      <c r="M31" s="575"/>
      <c r="N31" s="575"/>
      <c r="O31" s="575"/>
      <c r="P31" s="575"/>
      <c r="Q31" s="575"/>
      <c r="R31" s="575"/>
      <c r="S31" s="575"/>
      <c r="T31" s="575"/>
      <c r="U31" s="575"/>
      <c r="V31" s="575"/>
      <c r="W31" s="575"/>
      <c r="X31" s="575"/>
      <c r="Y31" s="870"/>
      <c r="BM31" s="108"/>
      <c r="BN31" s="108"/>
    </row>
    <row r="32" spans="1:66" outlineLevel="1" x14ac:dyDescent="0.3">
      <c r="A32" s="1866"/>
      <c r="B32" s="1867"/>
      <c r="C32" s="612"/>
      <c r="D32" s="612"/>
      <c r="E32" s="612"/>
      <c r="F32" s="612"/>
      <c r="G32" s="612"/>
      <c r="H32" s="575"/>
      <c r="I32" s="575"/>
      <c r="J32" s="575"/>
      <c r="K32" s="575"/>
      <c r="L32" s="575"/>
      <c r="M32" s="575"/>
      <c r="N32" s="575"/>
      <c r="O32" s="575"/>
      <c r="P32" s="575"/>
      <c r="Q32" s="575"/>
      <c r="R32" s="575"/>
      <c r="S32" s="575"/>
      <c r="T32" s="575"/>
      <c r="U32" s="575"/>
      <c r="V32" s="575"/>
      <c r="W32" s="575"/>
      <c r="X32" s="575"/>
      <c r="Y32" s="870"/>
    </row>
    <row r="33" spans="1:25" ht="34.5" customHeight="1" outlineLevel="1" x14ac:dyDescent="0.3">
      <c r="A33" s="1868" t="str">
        <f>"Proportion of Energy and D&amp;T - " &amp; $A$20</f>
        <v>Proportion of Energy and D&amp;T - 2019</v>
      </c>
      <c r="B33" s="1869"/>
      <c r="C33" s="831">
        <f ca="1">SUM(C$21:C$23,C$27)/C$30</f>
        <v>0.64824893670535999</v>
      </c>
      <c r="D33" s="831">
        <f ca="1">SUM(D$21:D$23,D$27)/D$30</f>
        <v>0.81922453162546904</v>
      </c>
      <c r="E33" s="831">
        <f ca="1">SUM(E$21:E$23,E$27)/E$30</f>
        <v>0.81491466167292537</v>
      </c>
      <c r="F33" s="831">
        <f ca="1">SUM(F$21:F$23,F$27)/F$30</f>
        <v>0.78713125732702105</v>
      </c>
      <c r="G33" s="877"/>
      <c r="H33" s="575"/>
      <c r="I33" s="575"/>
      <c r="J33" s="575"/>
      <c r="K33" s="575"/>
      <c r="L33" s="575"/>
      <c r="M33" s="575"/>
      <c r="N33" s="575"/>
      <c r="O33" s="575"/>
      <c r="P33" s="575"/>
      <c r="Q33" s="575"/>
      <c r="R33" s="575"/>
      <c r="S33" s="575"/>
      <c r="T33" s="575"/>
      <c r="U33" s="575"/>
      <c r="V33" s="575"/>
      <c r="W33" s="575"/>
      <c r="X33" s="575"/>
      <c r="Y33" s="870"/>
    </row>
    <row r="34" spans="1:25" outlineLevel="1" x14ac:dyDescent="0.3">
      <c r="A34" s="1868" t="str">
        <f>"Proportion: D&amp;T - " &amp; $A$20</f>
        <v>Proportion: D&amp;T - 2019</v>
      </c>
      <c r="B34" s="1869"/>
      <c r="C34" s="831">
        <f ca="1">SUM(C$21:C$23)/C$30</f>
        <v>0.30937046224740999</v>
      </c>
      <c r="D34" s="831">
        <f ca="1">SUM(D$21:D$23)/D$30</f>
        <v>0.44428822128720019</v>
      </c>
      <c r="E34" s="831">
        <f ca="1">SUM(E$21:E$23)/E$30</f>
        <v>0.48509030263815928</v>
      </c>
      <c r="F34" s="831">
        <f ca="1">SUM(F$21:F$23)/F$30</f>
        <v>0.57647377280998435</v>
      </c>
      <c r="G34" s="877"/>
      <c r="H34" s="575"/>
      <c r="I34" s="575"/>
      <c r="J34" s="575"/>
      <c r="K34" s="575"/>
      <c r="L34" s="575"/>
      <c r="M34" s="575"/>
      <c r="N34" s="575"/>
      <c r="O34" s="575"/>
      <c r="P34" s="575"/>
      <c r="Q34" s="575"/>
      <c r="R34" s="575"/>
      <c r="S34" s="575"/>
      <c r="T34" s="575"/>
      <c r="U34" s="575"/>
      <c r="V34" s="575"/>
      <c r="W34" s="575"/>
      <c r="X34" s="575"/>
      <c r="Y34" s="870"/>
    </row>
    <row r="35" spans="1:25" ht="33" customHeight="1" outlineLevel="1" x14ac:dyDescent="0.3">
      <c r="A35" s="1868" t="str">
        <f>"Proportion: Energy - "&amp; $A$20</f>
        <v>Proportion: Energy - 2019</v>
      </c>
      <c r="B35" s="1869"/>
      <c r="C35" s="876">
        <f ca="1">C$27/C$30</f>
        <v>0.33887847445795005</v>
      </c>
      <c r="D35" s="876">
        <f ca="1">D$27/D$30</f>
        <v>0.37493631033826885</v>
      </c>
      <c r="E35" s="876">
        <f ca="1">E$27/E$30</f>
        <v>0.32982435903476603</v>
      </c>
      <c r="F35" s="876">
        <f ca="1">F$27/F$30</f>
        <v>0.2106574845170367</v>
      </c>
      <c r="G35" s="877"/>
      <c r="H35" s="575"/>
      <c r="I35" s="575"/>
      <c r="J35" s="575"/>
      <c r="K35" s="575"/>
      <c r="L35" s="575"/>
      <c r="M35" s="575"/>
      <c r="N35" s="575"/>
      <c r="O35" s="575"/>
      <c r="P35" s="575"/>
      <c r="Q35" s="575"/>
      <c r="R35" s="575"/>
      <c r="S35" s="575"/>
      <c r="T35" s="575"/>
      <c r="U35" s="575"/>
      <c r="V35" s="575"/>
      <c r="W35" s="575"/>
      <c r="X35" s="575"/>
      <c r="Y35" s="870"/>
    </row>
    <row r="36" spans="1:25" ht="30.75" customHeight="1" outlineLevel="1" x14ac:dyDescent="0.3">
      <c r="A36" s="1868" t="str">
        <f>"Proportion: Non-Energy - "&amp; $A$20</f>
        <v>Proportion: Non-Energy - 2019</v>
      </c>
      <c r="B36" s="1869"/>
      <c r="C36" s="878">
        <f ca="1">1-C$35</f>
        <v>0.66112152554204995</v>
      </c>
      <c r="D36" s="878">
        <f ca="1">1-D$35</f>
        <v>0.6250636896617312</v>
      </c>
      <c r="E36" s="878">
        <f ca="1">1-E$35</f>
        <v>0.67017564096523397</v>
      </c>
      <c r="F36" s="878">
        <f ca="1">1-F$35</f>
        <v>0.7893425154829633</v>
      </c>
      <c r="G36" s="879"/>
      <c r="H36" s="575"/>
      <c r="I36" s="575"/>
      <c r="J36" s="575"/>
      <c r="K36" s="575"/>
      <c r="L36" s="575"/>
      <c r="M36" s="575"/>
      <c r="N36" s="575"/>
      <c r="O36" s="575"/>
      <c r="P36" s="575"/>
      <c r="Q36" s="575"/>
      <c r="R36" s="575"/>
      <c r="S36" s="575"/>
      <c r="T36" s="575"/>
      <c r="U36" s="575"/>
      <c r="V36" s="575"/>
      <c r="W36" s="575"/>
      <c r="X36" s="575"/>
      <c r="Y36" s="870"/>
    </row>
    <row r="37" spans="1:25" ht="14.5" outlineLevel="1" thickBot="1" x14ac:dyDescent="0.35">
      <c r="A37" s="1846"/>
      <c r="B37" s="1847"/>
      <c r="C37" s="703"/>
      <c r="D37" s="703"/>
      <c r="E37" s="703"/>
      <c r="F37" s="703"/>
      <c r="G37" s="703"/>
      <c r="H37" s="880"/>
      <c r="I37" s="880"/>
      <c r="J37" s="880"/>
      <c r="K37" s="880"/>
      <c r="L37" s="880"/>
      <c r="M37" s="880"/>
      <c r="N37" s="880"/>
      <c r="O37" s="880"/>
      <c r="P37" s="880"/>
      <c r="Q37" s="880"/>
      <c r="R37" s="880"/>
      <c r="S37" s="880"/>
      <c r="T37" s="880"/>
      <c r="U37" s="880"/>
      <c r="V37" s="880"/>
      <c r="W37" s="880"/>
      <c r="X37" s="880"/>
      <c r="Y37" s="881"/>
    </row>
    <row r="38" spans="1:25" ht="16.5" customHeight="1" x14ac:dyDescent="0.3">
      <c r="A38" s="1843" t="s">
        <v>620</v>
      </c>
      <c r="B38" s="1843"/>
      <c r="C38" s="1843"/>
      <c r="D38" s="1843"/>
      <c r="E38" s="1843"/>
      <c r="F38" s="1843"/>
      <c r="G38" s="1843"/>
      <c r="H38" s="1843"/>
      <c r="I38" s="1843"/>
      <c r="J38" s="1843"/>
      <c r="K38" s="1843"/>
      <c r="L38" s="1843"/>
      <c r="M38" s="1843"/>
      <c r="N38" s="1843"/>
      <c r="O38" s="1843"/>
      <c r="P38" s="1843"/>
      <c r="Q38" s="1843"/>
      <c r="R38" s="1843"/>
      <c r="S38" s="1843"/>
      <c r="T38" s="1843"/>
      <c r="U38" s="1843"/>
      <c r="V38" s="1843"/>
      <c r="W38" s="1843"/>
      <c r="X38" s="1843"/>
      <c r="Y38" s="1843"/>
    </row>
    <row r="39" spans="1:25" ht="16.5" customHeight="1" x14ac:dyDescent="0.3">
      <c r="A39" s="1844"/>
      <c r="B39" s="1844"/>
      <c r="C39" s="1844"/>
      <c r="D39" s="1844"/>
      <c r="E39" s="1844"/>
      <c r="F39" s="1844"/>
      <c r="G39" s="1844"/>
      <c r="H39" s="1844"/>
      <c r="I39" s="1844"/>
      <c r="J39" s="1844"/>
      <c r="K39" s="1844"/>
      <c r="L39" s="1844"/>
      <c r="M39" s="1844"/>
      <c r="N39" s="1844"/>
      <c r="O39" s="1844"/>
      <c r="P39" s="1844"/>
      <c r="Q39" s="1844"/>
      <c r="R39" s="1844"/>
      <c r="S39" s="1844"/>
      <c r="T39" s="1844"/>
      <c r="U39" s="1844"/>
      <c r="V39" s="1844"/>
      <c r="W39" s="1844"/>
      <c r="X39" s="1844"/>
      <c r="Y39" s="1844"/>
    </row>
    <row r="40" spans="1:25" s="719" customFormat="1" ht="16.5" customHeight="1" x14ac:dyDescent="0.3">
      <c r="A40" s="1874"/>
      <c r="B40" s="1874"/>
      <c r="C40" s="836"/>
      <c r="D40" s="836"/>
      <c r="E40" s="836"/>
      <c r="F40" s="836"/>
      <c r="G40" s="836"/>
      <c r="H40" s="836"/>
      <c r="I40" s="836"/>
      <c r="J40" s="836"/>
      <c r="K40" s="836"/>
      <c r="L40" s="836"/>
      <c r="M40" s="836"/>
      <c r="N40" s="836"/>
      <c r="O40" s="836"/>
      <c r="P40" s="836"/>
      <c r="Q40" s="836"/>
      <c r="R40" s="836"/>
      <c r="S40" s="836"/>
      <c r="T40" s="836"/>
      <c r="U40" s="836"/>
      <c r="V40" s="836"/>
      <c r="W40" s="836"/>
      <c r="X40" s="836"/>
      <c r="Y40" s="836"/>
    </row>
    <row r="41" spans="1:25" s="719" customFormat="1" ht="16.5" customHeight="1" thickBot="1" x14ac:dyDescent="0.35">
      <c r="A41" s="1950"/>
      <c r="B41" s="1950"/>
      <c r="C41" s="836"/>
      <c r="D41" s="836"/>
      <c r="E41" s="836"/>
      <c r="F41" s="836"/>
      <c r="G41" s="836"/>
      <c r="H41" s="836"/>
      <c r="I41" s="836"/>
      <c r="J41" s="836"/>
      <c r="K41" s="836"/>
      <c r="L41" s="836"/>
      <c r="M41" s="836"/>
      <c r="N41" s="836"/>
      <c r="O41" s="836"/>
      <c r="P41" s="836"/>
      <c r="Q41" s="836"/>
      <c r="R41" s="836"/>
      <c r="S41" s="836"/>
      <c r="T41" s="836"/>
      <c r="U41" s="836"/>
      <c r="V41" s="836"/>
      <c r="W41" s="836"/>
      <c r="X41" s="836"/>
      <c r="Y41" s="836"/>
    </row>
    <row r="42" spans="1:25" outlineLevel="1" x14ac:dyDescent="0.3">
      <c r="A42" s="1637" t="s">
        <v>621</v>
      </c>
      <c r="B42" s="1638"/>
      <c r="C42" s="1638"/>
      <c r="D42" s="1638"/>
      <c r="E42" s="1638"/>
      <c r="F42" s="1638"/>
      <c r="G42" s="1638"/>
      <c r="H42" s="1638"/>
      <c r="I42" s="1638"/>
      <c r="J42" s="1638"/>
      <c r="K42" s="1638"/>
      <c r="L42" s="1638"/>
      <c r="M42" s="1638"/>
      <c r="N42" s="1638"/>
      <c r="O42" s="1638"/>
      <c r="P42" s="1638"/>
      <c r="Q42" s="1638"/>
      <c r="R42" s="1638"/>
      <c r="S42" s="1638"/>
      <c r="T42" s="1638"/>
      <c r="U42" s="1638"/>
      <c r="V42" s="1638"/>
      <c r="W42" s="1638"/>
      <c r="X42" s="1638"/>
      <c r="Y42" s="1639"/>
    </row>
    <row r="43" spans="1:25" ht="14.5" outlineLevel="1" thickBot="1" x14ac:dyDescent="0.35">
      <c r="A43" s="1834"/>
      <c r="B43" s="1835"/>
      <c r="C43" s="1835"/>
      <c r="D43" s="1835"/>
      <c r="E43" s="1835"/>
      <c r="F43" s="1835"/>
      <c r="G43" s="1835"/>
      <c r="H43" s="1835"/>
      <c r="I43" s="1835"/>
      <c r="J43" s="1835"/>
      <c r="K43" s="1835"/>
      <c r="L43" s="1835"/>
      <c r="M43" s="1835"/>
      <c r="N43" s="1835"/>
      <c r="O43" s="1835"/>
      <c r="P43" s="1835"/>
      <c r="Q43" s="1835"/>
      <c r="R43" s="1835"/>
      <c r="S43" s="1835"/>
      <c r="T43" s="1835"/>
      <c r="U43" s="1835"/>
      <c r="V43" s="1835"/>
      <c r="W43" s="1835"/>
      <c r="X43" s="1835"/>
      <c r="Y43" s="1836"/>
    </row>
    <row r="44" spans="1:25" ht="14.5" outlineLevel="1" thickBot="1" x14ac:dyDescent="0.35">
      <c r="A44" s="1814"/>
      <c r="B44" s="1815"/>
      <c r="C44" s="612"/>
      <c r="D44" s="612"/>
      <c r="E44" s="612"/>
      <c r="F44" s="612"/>
      <c r="G44" s="612"/>
      <c r="H44" s="612"/>
      <c r="I44" s="612"/>
      <c r="J44" s="612"/>
      <c r="K44" s="612"/>
      <c r="L44" s="612"/>
      <c r="M44" s="612"/>
      <c r="N44" s="612"/>
      <c r="O44" s="612"/>
      <c r="P44" s="612"/>
      <c r="Q44" s="612"/>
      <c r="R44" s="612"/>
      <c r="S44" s="612"/>
      <c r="T44" s="612"/>
      <c r="U44" s="612"/>
      <c r="V44" s="612"/>
      <c r="W44" s="612"/>
      <c r="X44" s="612"/>
      <c r="Y44" s="647"/>
    </row>
    <row r="45" spans="1:25" ht="21.75" customHeight="1" outlineLevel="1" thickBot="1" x14ac:dyDescent="0.35">
      <c r="A45" s="822" t="s">
        <v>54</v>
      </c>
      <c r="B45" s="25" t="str">
        <f>HYPERLINK("#"&amp;ADDRESS(ROW(), COLUMN()-1), "€")</f>
        <v>€</v>
      </c>
      <c r="C45" s="612"/>
      <c r="D45" s="612"/>
      <c r="E45" s="612"/>
      <c r="F45" s="612"/>
      <c r="G45" s="612"/>
      <c r="H45" s="612"/>
      <c r="I45" s="612"/>
      <c r="J45" s="612"/>
      <c r="K45" s="612"/>
      <c r="L45" s="612"/>
      <c r="M45" s="612"/>
      <c r="N45" s="612"/>
      <c r="O45" s="612"/>
      <c r="P45" s="612"/>
      <c r="Q45" s="612"/>
      <c r="R45" s="612"/>
      <c r="S45" s="612"/>
      <c r="T45" s="612"/>
      <c r="U45" s="612"/>
      <c r="V45" s="612"/>
      <c r="W45" s="612"/>
      <c r="X45" s="612"/>
      <c r="Y45" s="647"/>
    </row>
    <row r="46" spans="1:25" outlineLevel="1" x14ac:dyDescent="0.3">
      <c r="A46" s="1816"/>
      <c r="B46" s="1817"/>
      <c r="C46" s="612"/>
      <c r="D46" s="612"/>
      <c r="E46" s="612"/>
      <c r="F46" s="612"/>
      <c r="G46" s="612"/>
      <c r="H46" s="612"/>
      <c r="I46" s="612"/>
      <c r="J46" s="612"/>
      <c r="K46" s="612"/>
      <c r="L46" s="612"/>
      <c r="M46" s="612"/>
      <c r="N46" s="612"/>
      <c r="O46" s="612"/>
      <c r="P46" s="612"/>
      <c r="Q46" s="612"/>
      <c r="R46" s="612"/>
      <c r="S46" s="612"/>
      <c r="T46" s="612"/>
      <c r="U46" s="612"/>
      <c r="V46" s="612"/>
      <c r="W46" s="612"/>
      <c r="X46" s="612"/>
      <c r="Y46" s="647"/>
    </row>
    <row r="47" spans="1:25" outlineLevel="1" x14ac:dyDescent="0.3">
      <c r="A47" s="1805"/>
      <c r="B47" s="1806"/>
      <c r="C47" s="612"/>
      <c r="D47" s="612"/>
      <c r="E47" s="612"/>
      <c r="F47" s="612"/>
      <c r="G47" s="612"/>
      <c r="H47" s="612"/>
      <c r="I47" s="612"/>
      <c r="J47" s="612"/>
      <c r="K47" s="612"/>
      <c r="L47" s="612"/>
      <c r="M47" s="612"/>
      <c r="N47" s="612"/>
      <c r="O47" s="612"/>
      <c r="P47" s="612"/>
      <c r="Q47" s="612"/>
      <c r="R47" s="612"/>
      <c r="S47" s="612"/>
      <c r="T47" s="612"/>
      <c r="U47" s="612"/>
      <c r="V47" s="612"/>
      <c r="W47" s="612"/>
      <c r="X47" s="612"/>
      <c r="Y47" s="647"/>
    </row>
    <row r="48" spans="1:25" outlineLevel="1" x14ac:dyDescent="0.3">
      <c r="A48" s="1805"/>
      <c r="B48" s="1806"/>
      <c r="C48" s="612"/>
      <c r="D48" s="612"/>
      <c r="E48" s="612"/>
      <c r="F48" s="612"/>
      <c r="G48" s="612"/>
      <c r="H48" s="612"/>
      <c r="I48" s="612"/>
      <c r="J48" s="612"/>
      <c r="K48" s="612"/>
      <c r="L48" s="612"/>
      <c r="M48" s="612"/>
      <c r="N48" s="612"/>
      <c r="O48" s="612"/>
      <c r="P48" s="612"/>
      <c r="Q48" s="612"/>
      <c r="R48" s="612"/>
      <c r="S48" s="612"/>
      <c r="T48" s="612"/>
      <c r="U48" s="612"/>
      <c r="V48" s="612"/>
      <c r="W48" s="612"/>
      <c r="X48" s="612"/>
      <c r="Y48" s="647"/>
    </row>
    <row r="49" spans="1:25" outlineLevel="1" x14ac:dyDescent="0.3">
      <c r="A49" s="1805"/>
      <c r="B49" s="1806"/>
      <c r="C49" s="612"/>
      <c r="D49" s="612"/>
      <c r="E49" s="612"/>
      <c r="F49" s="612"/>
      <c r="G49" s="612"/>
      <c r="H49" s="612"/>
      <c r="I49" s="612"/>
      <c r="J49" s="612"/>
      <c r="K49" s="612"/>
      <c r="L49" s="612"/>
      <c r="M49" s="612"/>
      <c r="N49" s="612"/>
      <c r="O49" s="612"/>
      <c r="P49" s="612"/>
      <c r="Q49" s="612"/>
      <c r="R49" s="612"/>
      <c r="S49" s="612"/>
      <c r="T49" s="612"/>
      <c r="U49" s="612"/>
      <c r="V49" s="612"/>
      <c r="W49" s="612"/>
      <c r="X49" s="612"/>
      <c r="Y49" s="647"/>
    </row>
    <row r="50" spans="1:25" outlineLevel="1" x14ac:dyDescent="0.3">
      <c r="A50" s="1805"/>
      <c r="B50" s="1806"/>
      <c r="C50" s="612"/>
      <c r="D50" s="612"/>
      <c r="E50" s="612"/>
      <c r="F50" s="612"/>
      <c r="G50" s="612"/>
      <c r="H50" s="612"/>
      <c r="I50" s="612"/>
      <c r="J50" s="612"/>
      <c r="K50" s="612"/>
      <c r="L50" s="612"/>
      <c r="M50" s="612"/>
      <c r="N50" s="612"/>
      <c r="O50" s="612"/>
      <c r="P50" s="612"/>
      <c r="Q50" s="612"/>
      <c r="R50" s="612"/>
      <c r="S50" s="612"/>
      <c r="T50" s="612"/>
      <c r="U50" s="612"/>
      <c r="V50" s="612"/>
      <c r="W50" s="612"/>
      <c r="X50" s="612"/>
      <c r="Y50" s="647"/>
    </row>
    <row r="51" spans="1:25" outlineLevel="1" x14ac:dyDescent="0.3">
      <c r="A51" s="1805"/>
      <c r="B51" s="1806"/>
      <c r="C51" s="612"/>
      <c r="D51" s="612"/>
      <c r="E51" s="612"/>
      <c r="F51" s="612"/>
      <c r="G51" s="612"/>
      <c r="H51" s="612"/>
      <c r="I51" s="612"/>
      <c r="J51" s="612"/>
      <c r="K51" s="612"/>
      <c r="L51" s="612"/>
      <c r="M51" s="612"/>
      <c r="N51" s="612"/>
      <c r="O51" s="612"/>
      <c r="P51" s="612"/>
      <c r="Q51" s="612"/>
      <c r="R51" s="612"/>
      <c r="S51" s="612"/>
      <c r="T51" s="612"/>
      <c r="U51" s="612"/>
      <c r="V51" s="612"/>
      <c r="W51" s="612"/>
      <c r="X51" s="612"/>
      <c r="Y51" s="647"/>
    </row>
    <row r="52" spans="1:25" outlineLevel="1" x14ac:dyDescent="0.3">
      <c r="A52" s="1805"/>
      <c r="B52" s="1806"/>
      <c r="C52" s="612"/>
      <c r="D52" s="612"/>
      <c r="E52" s="612"/>
      <c r="F52" s="612"/>
      <c r="G52" s="612"/>
      <c r="H52" s="612"/>
      <c r="I52" s="612"/>
      <c r="J52" s="612"/>
      <c r="K52" s="612"/>
      <c r="L52" s="612"/>
      <c r="M52" s="612"/>
      <c r="N52" s="612"/>
      <c r="O52" s="612"/>
      <c r="P52" s="612"/>
      <c r="Q52" s="612"/>
      <c r="R52" s="612"/>
      <c r="S52" s="612"/>
      <c r="T52" s="612"/>
      <c r="U52" s="612"/>
      <c r="V52" s="612"/>
      <c r="W52" s="612"/>
      <c r="X52" s="612"/>
      <c r="Y52" s="647"/>
    </row>
    <row r="53" spans="1:25" outlineLevel="1" x14ac:dyDescent="0.3">
      <c r="A53" s="1805"/>
      <c r="B53" s="1806"/>
      <c r="C53" s="612"/>
      <c r="D53" s="612"/>
      <c r="E53" s="612"/>
      <c r="F53" s="612"/>
      <c r="G53" s="612"/>
      <c r="H53" s="612"/>
      <c r="I53" s="612"/>
      <c r="J53" s="612"/>
      <c r="K53" s="612"/>
      <c r="L53" s="612"/>
      <c r="M53" s="612"/>
      <c r="N53" s="612"/>
      <c r="O53" s="612"/>
      <c r="P53" s="612"/>
      <c r="Q53" s="612"/>
      <c r="R53" s="612"/>
      <c r="S53" s="612"/>
      <c r="T53" s="612"/>
      <c r="U53" s="612"/>
      <c r="V53" s="612"/>
      <c r="W53" s="612"/>
      <c r="X53" s="612"/>
      <c r="Y53" s="647"/>
    </row>
    <row r="54" spans="1:25" outlineLevel="1" x14ac:dyDescent="0.3">
      <c r="A54" s="1805"/>
      <c r="B54" s="1806"/>
      <c r="C54" s="612"/>
      <c r="D54" s="612"/>
      <c r="E54" s="612"/>
      <c r="F54" s="612"/>
      <c r="G54" s="612"/>
      <c r="H54" s="612"/>
      <c r="I54" s="612"/>
      <c r="J54" s="612"/>
      <c r="K54" s="612"/>
      <c r="L54" s="612"/>
      <c r="M54" s="612"/>
      <c r="N54" s="612"/>
      <c r="O54" s="612"/>
      <c r="P54" s="612"/>
      <c r="Q54" s="612"/>
      <c r="R54" s="612"/>
      <c r="S54" s="612"/>
      <c r="T54" s="612"/>
      <c r="U54" s="612"/>
      <c r="V54" s="612"/>
      <c r="W54" s="612"/>
      <c r="X54" s="612"/>
      <c r="Y54" s="647"/>
    </row>
    <row r="55" spans="1:25" outlineLevel="1" x14ac:dyDescent="0.3">
      <c r="A55" s="1805"/>
      <c r="B55" s="1806"/>
      <c r="C55" s="612"/>
      <c r="D55" s="612"/>
      <c r="E55" s="612"/>
      <c r="F55" s="612"/>
      <c r="G55" s="612"/>
      <c r="H55" s="612"/>
      <c r="I55" s="612"/>
      <c r="J55" s="612"/>
      <c r="K55" s="612"/>
      <c r="L55" s="612"/>
      <c r="M55" s="612"/>
      <c r="N55" s="612"/>
      <c r="O55" s="612"/>
      <c r="P55" s="612"/>
      <c r="Q55" s="612"/>
      <c r="R55" s="612"/>
      <c r="S55" s="612"/>
      <c r="T55" s="612"/>
      <c r="U55" s="612"/>
      <c r="V55" s="612"/>
      <c r="W55" s="612"/>
      <c r="X55" s="612"/>
      <c r="Y55" s="647"/>
    </row>
    <row r="56" spans="1:25" outlineLevel="1" x14ac:dyDescent="0.3">
      <c r="A56" s="1805"/>
      <c r="B56" s="1806"/>
      <c r="C56" s="612"/>
      <c r="D56" s="612"/>
      <c r="E56" s="612"/>
      <c r="F56" s="612"/>
      <c r="G56" s="612"/>
      <c r="H56" s="612"/>
      <c r="I56" s="612"/>
      <c r="J56" s="612"/>
      <c r="K56" s="612"/>
      <c r="L56" s="612"/>
      <c r="M56" s="612"/>
      <c r="N56" s="612"/>
      <c r="O56" s="612"/>
      <c r="P56" s="612"/>
      <c r="Q56" s="612"/>
      <c r="R56" s="612"/>
      <c r="S56" s="612"/>
      <c r="T56" s="612"/>
      <c r="U56" s="612"/>
      <c r="V56" s="612"/>
      <c r="W56" s="612"/>
      <c r="X56" s="612"/>
      <c r="Y56" s="647"/>
    </row>
    <row r="57" spans="1:25" outlineLevel="1" x14ac:dyDescent="0.3">
      <c r="A57" s="1805"/>
      <c r="B57" s="1806"/>
      <c r="C57" s="612"/>
      <c r="D57" s="612"/>
      <c r="E57" s="612"/>
      <c r="F57" s="612"/>
      <c r="G57" s="612"/>
      <c r="H57" s="612"/>
      <c r="I57" s="612"/>
      <c r="J57" s="612"/>
      <c r="K57" s="612"/>
      <c r="L57" s="612"/>
      <c r="M57" s="612"/>
      <c r="N57" s="612"/>
      <c r="O57" s="612"/>
      <c r="P57" s="612"/>
      <c r="Q57" s="612"/>
      <c r="R57" s="612"/>
      <c r="S57" s="612"/>
      <c r="T57" s="612"/>
      <c r="U57" s="612"/>
      <c r="V57" s="612"/>
      <c r="W57" s="612"/>
      <c r="X57" s="612"/>
      <c r="Y57" s="647"/>
    </row>
    <row r="58" spans="1:25" outlineLevel="1" x14ac:dyDescent="0.3">
      <c r="A58" s="1805"/>
      <c r="B58" s="1806"/>
      <c r="C58" s="612"/>
      <c r="D58" s="612"/>
      <c r="E58" s="612"/>
      <c r="F58" s="612"/>
      <c r="G58" s="612"/>
      <c r="H58" s="612"/>
      <c r="I58" s="612"/>
      <c r="J58" s="612"/>
      <c r="K58" s="612"/>
      <c r="L58" s="612"/>
      <c r="M58" s="612"/>
      <c r="N58" s="612"/>
      <c r="O58" s="612"/>
      <c r="P58" s="612"/>
      <c r="Q58" s="612"/>
      <c r="R58" s="612"/>
      <c r="S58" s="612"/>
      <c r="T58" s="612"/>
      <c r="U58" s="612"/>
      <c r="V58" s="612"/>
      <c r="W58" s="612"/>
      <c r="X58" s="612"/>
      <c r="Y58" s="647"/>
    </row>
    <row r="59" spans="1:25" outlineLevel="1" x14ac:dyDescent="0.3">
      <c r="A59" s="1805"/>
      <c r="B59" s="1806"/>
      <c r="C59" s="612"/>
      <c r="D59" s="612"/>
      <c r="E59" s="612"/>
      <c r="F59" s="612"/>
      <c r="G59" s="612"/>
      <c r="H59" s="612"/>
      <c r="I59" s="612"/>
      <c r="J59" s="612"/>
      <c r="K59" s="612"/>
      <c r="L59" s="612"/>
      <c r="M59" s="612"/>
      <c r="N59" s="612"/>
      <c r="O59" s="612"/>
      <c r="P59" s="612"/>
      <c r="Q59" s="612"/>
      <c r="R59" s="612"/>
      <c r="S59" s="612"/>
      <c r="T59" s="612"/>
      <c r="U59" s="612"/>
      <c r="V59" s="612"/>
      <c r="W59" s="612"/>
      <c r="X59" s="612"/>
      <c r="Y59" s="647"/>
    </row>
    <row r="60" spans="1:25" outlineLevel="1" x14ac:dyDescent="0.3">
      <c r="A60" s="1805"/>
      <c r="B60" s="1806"/>
      <c r="C60" s="612"/>
      <c r="D60" s="612"/>
      <c r="E60" s="612"/>
      <c r="F60" s="612"/>
      <c r="G60" s="612"/>
      <c r="H60" s="612"/>
      <c r="I60" s="612"/>
      <c r="J60" s="612"/>
      <c r="K60" s="612"/>
      <c r="L60" s="612"/>
      <c r="M60" s="612"/>
      <c r="N60" s="612"/>
      <c r="O60" s="612"/>
      <c r="P60" s="612"/>
      <c r="Q60" s="612"/>
      <c r="R60" s="612"/>
      <c r="S60" s="612"/>
      <c r="T60" s="612"/>
      <c r="U60" s="612"/>
      <c r="V60" s="612"/>
      <c r="W60" s="612"/>
      <c r="X60" s="612"/>
      <c r="Y60" s="647"/>
    </row>
    <row r="61" spans="1:25" outlineLevel="1" x14ac:dyDescent="0.3">
      <c r="A61" s="1805"/>
      <c r="B61" s="1806"/>
      <c r="C61" s="612"/>
      <c r="D61" s="612"/>
      <c r="E61" s="612"/>
      <c r="F61" s="612"/>
      <c r="G61" s="612"/>
      <c r="H61" s="612"/>
      <c r="I61" s="612"/>
      <c r="J61" s="612"/>
      <c r="K61" s="612"/>
      <c r="L61" s="612"/>
      <c r="M61" s="612"/>
      <c r="N61" s="612"/>
      <c r="O61" s="612"/>
      <c r="P61" s="612"/>
      <c r="Q61" s="612"/>
      <c r="R61" s="612"/>
      <c r="S61" s="612"/>
      <c r="T61" s="612"/>
      <c r="U61" s="612"/>
      <c r="V61" s="612"/>
      <c r="W61" s="612"/>
      <c r="X61" s="612"/>
      <c r="Y61" s="647"/>
    </row>
    <row r="62" spans="1:25" outlineLevel="1" x14ac:dyDescent="0.3">
      <c r="A62" s="1805"/>
      <c r="B62" s="1806"/>
      <c r="C62" s="612"/>
      <c r="D62" s="612"/>
      <c r="E62" s="612"/>
      <c r="F62" s="612"/>
      <c r="G62" s="612"/>
      <c r="H62" s="612"/>
      <c r="I62" s="612"/>
      <c r="J62" s="612"/>
      <c r="K62" s="612"/>
      <c r="L62" s="612"/>
      <c r="M62" s="612"/>
      <c r="N62" s="612"/>
      <c r="O62" s="612"/>
      <c r="P62" s="612"/>
      <c r="Q62" s="612"/>
      <c r="R62" s="612"/>
      <c r="S62" s="612"/>
      <c r="T62" s="612"/>
      <c r="U62" s="612"/>
      <c r="V62" s="612"/>
      <c r="W62" s="612"/>
      <c r="X62" s="612"/>
      <c r="Y62" s="647"/>
    </row>
    <row r="63" spans="1:25" outlineLevel="1" x14ac:dyDescent="0.3">
      <c r="A63" s="1805"/>
      <c r="B63" s="1806"/>
      <c r="C63" s="612"/>
      <c r="D63" s="612"/>
      <c r="E63" s="612"/>
      <c r="F63" s="612"/>
      <c r="G63" s="612"/>
      <c r="H63" s="612"/>
      <c r="I63" s="612"/>
      <c r="J63" s="612"/>
      <c r="K63" s="612"/>
      <c r="L63" s="612"/>
      <c r="M63" s="612"/>
      <c r="N63" s="612"/>
      <c r="O63" s="612"/>
      <c r="P63" s="612"/>
      <c r="Q63" s="612"/>
      <c r="R63" s="612"/>
      <c r="S63" s="612"/>
      <c r="T63" s="612"/>
      <c r="U63" s="612"/>
      <c r="V63" s="612"/>
      <c r="W63" s="612"/>
      <c r="X63" s="612"/>
      <c r="Y63" s="647"/>
    </row>
    <row r="64" spans="1:25" outlineLevel="1" x14ac:dyDescent="0.3">
      <c r="A64" s="1805"/>
      <c r="B64" s="1806"/>
      <c r="C64" s="612"/>
      <c r="D64" s="612"/>
      <c r="E64" s="612"/>
      <c r="F64" s="612"/>
      <c r="G64" s="612"/>
      <c r="H64" s="612"/>
      <c r="I64" s="612"/>
      <c r="J64" s="612"/>
      <c r="K64" s="612"/>
      <c r="L64" s="612"/>
      <c r="M64" s="612"/>
      <c r="N64" s="612"/>
      <c r="O64" s="612"/>
      <c r="P64" s="612"/>
      <c r="Q64" s="612"/>
      <c r="R64" s="612"/>
      <c r="S64" s="612"/>
      <c r="T64" s="612"/>
      <c r="U64" s="612"/>
      <c r="V64" s="612"/>
      <c r="W64" s="612"/>
      <c r="X64" s="612"/>
      <c r="Y64" s="647"/>
    </row>
    <row r="65" spans="1:34" outlineLevel="1" x14ac:dyDescent="0.3">
      <c r="A65" s="1805"/>
      <c r="B65" s="1806"/>
      <c r="C65" s="612"/>
      <c r="D65" s="612"/>
      <c r="E65" s="612"/>
      <c r="F65" s="612"/>
      <c r="G65" s="612"/>
      <c r="H65" s="612"/>
      <c r="I65" s="612"/>
      <c r="J65" s="612"/>
      <c r="K65" s="612"/>
      <c r="L65" s="612"/>
      <c r="M65" s="612"/>
      <c r="N65" s="612"/>
      <c r="O65" s="612"/>
      <c r="P65" s="612"/>
      <c r="Q65" s="612"/>
      <c r="R65" s="612"/>
      <c r="S65" s="612"/>
      <c r="T65" s="612"/>
      <c r="U65" s="612"/>
      <c r="V65" s="612"/>
      <c r="W65" s="612"/>
      <c r="X65" s="612"/>
      <c r="Y65" s="647"/>
    </row>
    <row r="66" spans="1:34" outlineLevel="1" x14ac:dyDescent="0.3">
      <c r="A66" s="1805"/>
      <c r="B66" s="1806"/>
      <c r="C66" s="612"/>
      <c r="D66" s="612"/>
      <c r="E66" s="612"/>
      <c r="F66" s="612"/>
      <c r="G66" s="612"/>
      <c r="H66" s="612"/>
      <c r="I66" s="612"/>
      <c r="J66" s="612"/>
      <c r="K66" s="612"/>
      <c r="L66" s="612"/>
      <c r="M66" s="612"/>
      <c r="N66" s="612"/>
      <c r="O66" s="612"/>
      <c r="P66" s="612"/>
      <c r="Q66" s="612"/>
      <c r="R66" s="612"/>
      <c r="S66" s="612"/>
      <c r="T66" s="612"/>
      <c r="U66" s="612"/>
      <c r="V66" s="612"/>
      <c r="W66" s="612"/>
      <c r="X66" s="612"/>
      <c r="Y66" s="647"/>
    </row>
    <row r="67" spans="1:34" outlineLevel="1" x14ac:dyDescent="0.3">
      <c r="A67" s="1805"/>
      <c r="B67" s="1806"/>
      <c r="C67" s="612"/>
      <c r="D67" s="612"/>
      <c r="E67" s="612"/>
      <c r="F67" s="612"/>
      <c r="G67" s="612"/>
      <c r="H67" s="612"/>
      <c r="I67" s="612"/>
      <c r="J67" s="612"/>
      <c r="K67" s="612"/>
      <c r="L67" s="612"/>
      <c r="M67" s="612"/>
      <c r="N67" s="612"/>
      <c r="O67" s="612"/>
      <c r="P67" s="612"/>
      <c r="Q67" s="612"/>
      <c r="R67" s="612"/>
      <c r="S67" s="612"/>
      <c r="T67" s="612"/>
      <c r="U67" s="612"/>
      <c r="V67" s="612"/>
      <c r="W67" s="612"/>
      <c r="X67" s="612"/>
      <c r="Y67" s="647"/>
    </row>
    <row r="68" spans="1:34" outlineLevel="1" x14ac:dyDescent="0.3">
      <c r="A68" s="1805"/>
      <c r="B68" s="1806"/>
      <c r="C68" s="612"/>
      <c r="D68" s="612"/>
      <c r="E68" s="612"/>
      <c r="F68" s="612"/>
      <c r="G68" s="612"/>
      <c r="H68" s="612"/>
      <c r="I68" s="612"/>
      <c r="J68" s="612"/>
      <c r="K68" s="612"/>
      <c r="L68" s="612"/>
      <c r="M68" s="612"/>
      <c r="N68" s="612"/>
      <c r="O68" s="612"/>
      <c r="P68" s="612"/>
      <c r="Q68" s="612"/>
      <c r="R68" s="612"/>
      <c r="S68" s="612"/>
      <c r="T68" s="612"/>
      <c r="U68" s="612"/>
      <c r="V68" s="612"/>
      <c r="W68" s="612"/>
      <c r="X68" s="612"/>
      <c r="Y68" s="647"/>
    </row>
    <row r="69" spans="1:34" outlineLevel="1" x14ac:dyDescent="0.3">
      <c r="A69" s="1805"/>
      <c r="B69" s="1806"/>
      <c r="C69" s="612"/>
      <c r="D69" s="612"/>
      <c r="E69" s="612"/>
      <c r="F69" s="612"/>
      <c r="G69" s="612"/>
      <c r="H69" s="612"/>
      <c r="I69" s="612"/>
      <c r="J69" s="612"/>
      <c r="K69" s="612"/>
      <c r="L69" s="612"/>
      <c r="M69" s="612"/>
      <c r="N69" s="612"/>
      <c r="O69" s="612"/>
      <c r="P69" s="612"/>
      <c r="Q69" s="612"/>
      <c r="R69" s="612"/>
      <c r="S69" s="612"/>
      <c r="T69" s="612"/>
      <c r="U69" s="612"/>
      <c r="V69" s="612"/>
      <c r="W69" s="612"/>
      <c r="X69" s="612"/>
      <c r="Y69" s="647"/>
    </row>
    <row r="70" spans="1:34" outlineLevel="1" x14ac:dyDescent="0.3">
      <c r="A70" s="1805"/>
      <c r="B70" s="1806"/>
      <c r="C70" s="612"/>
      <c r="D70" s="612"/>
      <c r="E70" s="612"/>
      <c r="F70" s="612"/>
      <c r="G70" s="612"/>
      <c r="H70" s="612"/>
      <c r="I70" s="612"/>
      <c r="J70" s="612"/>
      <c r="K70" s="612"/>
      <c r="L70" s="612"/>
      <c r="M70" s="612"/>
      <c r="N70" s="612"/>
      <c r="O70" s="612"/>
      <c r="P70" s="612"/>
      <c r="Q70" s="612"/>
      <c r="R70" s="612"/>
      <c r="S70" s="612"/>
      <c r="T70" s="612"/>
      <c r="U70" s="612"/>
      <c r="V70" s="612"/>
      <c r="W70" s="612"/>
      <c r="X70" s="612"/>
      <c r="Y70" s="647"/>
    </row>
    <row r="71" spans="1:34" outlineLevel="1" x14ac:dyDescent="0.3">
      <c r="A71" s="1805"/>
      <c r="B71" s="1806"/>
      <c r="C71" s="612"/>
      <c r="D71" s="612"/>
      <c r="E71" s="612"/>
      <c r="F71" s="612"/>
      <c r="G71" s="612"/>
      <c r="H71" s="612"/>
      <c r="I71" s="612"/>
      <c r="J71" s="612"/>
      <c r="K71" s="612"/>
      <c r="L71" s="612"/>
      <c r="M71" s="612"/>
      <c r="N71" s="612"/>
      <c r="O71" s="612"/>
      <c r="P71" s="612"/>
      <c r="Q71" s="612"/>
      <c r="R71" s="612"/>
      <c r="S71" s="612"/>
      <c r="T71" s="612"/>
      <c r="U71" s="612"/>
      <c r="V71" s="612"/>
      <c r="W71" s="612"/>
      <c r="X71" s="612"/>
      <c r="Y71" s="647"/>
    </row>
    <row r="72" spans="1:34" outlineLevel="1" x14ac:dyDescent="0.3">
      <c r="A72" s="1805"/>
      <c r="B72" s="1806"/>
      <c r="C72" s="612"/>
      <c r="D72" s="612"/>
      <c r="E72" s="612"/>
      <c r="F72" s="612"/>
      <c r="G72" s="612"/>
      <c r="H72" s="612"/>
      <c r="I72" s="612"/>
      <c r="J72" s="612"/>
      <c r="K72" s="612"/>
      <c r="L72" s="612"/>
      <c r="M72" s="612"/>
      <c r="N72" s="612"/>
      <c r="O72" s="612"/>
      <c r="P72" s="612"/>
      <c r="Q72" s="612"/>
      <c r="R72" s="612"/>
      <c r="S72" s="612"/>
      <c r="T72" s="612"/>
      <c r="U72" s="612"/>
      <c r="V72" s="612"/>
      <c r="W72" s="612"/>
      <c r="X72" s="612"/>
      <c r="Y72" s="647"/>
    </row>
    <row r="73" spans="1:34" outlineLevel="1" x14ac:dyDescent="0.3">
      <c r="A73" s="1805"/>
      <c r="B73" s="1806"/>
      <c r="C73" s="612"/>
      <c r="D73" s="612"/>
      <c r="E73" s="612"/>
      <c r="F73" s="612"/>
      <c r="G73" s="612"/>
      <c r="H73" s="612"/>
      <c r="I73" s="612"/>
      <c r="J73" s="612"/>
      <c r="K73" s="612"/>
      <c r="L73" s="612"/>
      <c r="M73" s="612"/>
      <c r="N73" s="612"/>
      <c r="O73" s="612"/>
      <c r="P73" s="612"/>
      <c r="Q73" s="612"/>
      <c r="R73" s="612"/>
      <c r="S73" s="612"/>
      <c r="T73" s="612"/>
      <c r="U73" s="612"/>
      <c r="V73" s="612"/>
      <c r="W73" s="612"/>
      <c r="X73" s="612"/>
      <c r="Y73" s="647"/>
    </row>
    <row r="74" spans="1:34" outlineLevel="1" x14ac:dyDescent="0.3">
      <c r="A74" s="1805"/>
      <c r="B74" s="1806"/>
      <c r="C74" s="612"/>
      <c r="D74" s="612"/>
      <c r="E74" s="612"/>
      <c r="F74" s="612"/>
      <c r="G74" s="612"/>
      <c r="H74" s="612"/>
      <c r="I74" s="612"/>
      <c r="J74" s="612"/>
      <c r="K74" s="612"/>
      <c r="L74" s="612"/>
      <c r="M74" s="612"/>
      <c r="N74" s="612"/>
      <c r="O74" s="612"/>
      <c r="P74" s="612"/>
      <c r="Q74" s="612"/>
      <c r="R74" s="612"/>
      <c r="S74" s="612"/>
      <c r="T74" s="612"/>
      <c r="U74" s="612"/>
      <c r="V74" s="612"/>
      <c r="W74" s="612"/>
      <c r="X74" s="612"/>
      <c r="Y74" s="647"/>
    </row>
    <row r="75" spans="1:34" ht="14.5" outlineLevel="1" thickBot="1" x14ac:dyDescent="0.35">
      <c r="A75" s="1948"/>
      <c r="B75" s="1818"/>
      <c r="C75" s="612"/>
      <c r="D75" s="612"/>
      <c r="E75" s="612"/>
      <c r="F75" s="612"/>
      <c r="G75" s="612"/>
      <c r="H75" s="612"/>
      <c r="I75" s="612"/>
      <c r="J75" s="612"/>
      <c r="K75" s="612"/>
      <c r="L75" s="612"/>
      <c r="M75" s="612"/>
      <c r="N75" s="612"/>
      <c r="O75" s="612"/>
      <c r="P75" s="612"/>
      <c r="Q75" s="612"/>
      <c r="R75" s="612"/>
      <c r="S75" s="612"/>
      <c r="T75" s="612"/>
      <c r="U75" s="612"/>
      <c r="V75" s="612"/>
      <c r="W75" s="612"/>
      <c r="X75" s="612"/>
      <c r="Y75" s="647"/>
    </row>
    <row r="76" spans="1:34" x14ac:dyDescent="0.3">
      <c r="A76" s="1875" t="s">
        <v>622</v>
      </c>
      <c r="B76" s="1826"/>
      <c r="C76" s="1826"/>
      <c r="D76" s="1826"/>
      <c r="E76" s="1826"/>
      <c r="F76" s="1826"/>
      <c r="G76" s="1826"/>
      <c r="H76" s="1826"/>
      <c r="I76" s="1826"/>
      <c r="J76" s="1826"/>
      <c r="K76" s="1826"/>
      <c r="L76" s="1826"/>
      <c r="M76" s="1826"/>
      <c r="N76" s="1826"/>
      <c r="O76" s="1826"/>
      <c r="P76" s="1826"/>
      <c r="Q76" s="1826"/>
      <c r="R76" s="1826"/>
      <c r="S76" s="1826"/>
      <c r="T76" s="1826"/>
      <c r="U76" s="1826"/>
      <c r="V76" s="1826"/>
      <c r="W76" s="1826"/>
      <c r="X76" s="1826"/>
      <c r="Y76" s="1876"/>
    </row>
    <row r="77" spans="1:34" ht="14.5" thickBot="1" x14ac:dyDescent="0.35">
      <c r="A77" s="1877"/>
      <c r="B77" s="1878"/>
      <c r="C77" s="1878"/>
      <c r="D77" s="1878"/>
      <c r="E77" s="1878"/>
      <c r="F77" s="1878"/>
      <c r="G77" s="1878"/>
      <c r="H77" s="1878"/>
      <c r="I77" s="1878"/>
      <c r="J77" s="1878"/>
      <c r="K77" s="1878"/>
      <c r="L77" s="1878"/>
      <c r="M77" s="1878"/>
      <c r="N77" s="1878"/>
      <c r="O77" s="1878"/>
      <c r="P77" s="1878"/>
      <c r="Q77" s="1878"/>
      <c r="R77" s="1878"/>
      <c r="S77" s="1878"/>
      <c r="T77" s="1878"/>
      <c r="U77" s="1878"/>
      <c r="V77" s="1878"/>
      <c r="W77" s="1878"/>
      <c r="X77" s="1878"/>
      <c r="Y77" s="1879"/>
    </row>
    <row r="78" spans="1:34" s="719" customFormat="1" ht="17.25" customHeight="1" x14ac:dyDescent="0.3">
      <c r="A78" s="1949"/>
      <c r="B78" s="1949"/>
      <c r="C78" s="838"/>
      <c r="D78" s="838"/>
      <c r="E78" s="838"/>
      <c r="F78" s="838"/>
      <c r="G78" s="838"/>
      <c r="H78" s="838"/>
      <c r="I78" s="838"/>
      <c r="J78" s="838"/>
      <c r="K78" s="838"/>
      <c r="L78" s="838"/>
      <c r="M78" s="838"/>
      <c r="N78" s="838"/>
      <c r="O78" s="838"/>
      <c r="P78" s="838"/>
      <c r="Q78" s="838"/>
      <c r="R78" s="838"/>
      <c r="S78" s="838"/>
      <c r="T78" s="838"/>
      <c r="U78" s="838"/>
      <c r="V78" s="838"/>
      <c r="W78" s="838"/>
      <c r="X78" s="838"/>
      <c r="Y78" s="838"/>
    </row>
    <row r="79" spans="1:34" ht="14.5" thickBot="1" x14ac:dyDescent="0.35">
      <c r="A79" s="1848"/>
      <c r="B79" s="1848"/>
      <c r="AE79" s="108"/>
      <c r="AF79" s="108"/>
      <c r="AG79" s="108"/>
      <c r="AH79" s="108"/>
    </row>
    <row r="80" spans="1:34" ht="32.25" customHeight="1" outlineLevel="1" thickBot="1" x14ac:dyDescent="0.35">
      <c r="A80" s="1774" t="str">
        <f>A81 &amp; " Zone Cost Component Variation in " &amp; A82</f>
        <v>ENMAX Zone Cost Component Variation in 2019</v>
      </c>
      <c r="B80" s="1775"/>
      <c r="C80" s="1775"/>
      <c r="D80" s="1775"/>
      <c r="E80" s="1775"/>
      <c r="F80" s="1775"/>
      <c r="G80" s="1775"/>
      <c r="H80" s="1775"/>
      <c r="I80" s="1775"/>
      <c r="J80" s="1775"/>
      <c r="K80" s="1775"/>
      <c r="L80" s="1775"/>
      <c r="M80" s="1775"/>
      <c r="N80" s="1776"/>
      <c r="O80" s="644"/>
      <c r="P80" s="644"/>
      <c r="Q80" s="644"/>
      <c r="R80" s="644"/>
      <c r="S80" s="644"/>
      <c r="T80" s="644"/>
      <c r="U80" s="644"/>
      <c r="V80" s="644"/>
      <c r="W80" s="644"/>
      <c r="X80" s="644"/>
      <c r="Y80" s="645"/>
      <c r="AE80" s="108"/>
      <c r="AF80" s="108"/>
      <c r="AG80" s="108"/>
      <c r="AH80" s="108"/>
    </row>
    <row r="81" spans="1:34" ht="21" customHeight="1" outlineLevel="1" thickBot="1" x14ac:dyDescent="0.35">
      <c r="A81" s="888" t="s">
        <v>54</v>
      </c>
      <c r="B81" s="28" t="str">
        <f>HYPERLINK("#"&amp;ADDRESS(ROW(), COLUMN()-1), "€")</f>
        <v>€</v>
      </c>
      <c r="C81" s="839" t="s">
        <v>71</v>
      </c>
      <c r="D81" s="839" t="s">
        <v>72</v>
      </c>
      <c r="E81" s="839" t="s">
        <v>73</v>
      </c>
      <c r="F81" s="839" t="s">
        <v>74</v>
      </c>
      <c r="G81" s="839" t="s">
        <v>75</v>
      </c>
      <c r="H81" s="839" t="s">
        <v>76</v>
      </c>
      <c r="I81" s="839" t="s">
        <v>77</v>
      </c>
      <c r="J81" s="839" t="s">
        <v>78</v>
      </c>
      <c r="K81" s="839" t="s">
        <v>79</v>
      </c>
      <c r="L81" s="839" t="s">
        <v>80</v>
      </c>
      <c r="M81" s="839" t="s">
        <v>81</v>
      </c>
      <c r="N81" s="839" t="s">
        <v>82</v>
      </c>
      <c r="O81" s="612"/>
      <c r="P81" s="612"/>
      <c r="Q81" s="612"/>
      <c r="R81" s="612"/>
      <c r="S81" s="612"/>
      <c r="T81" s="612"/>
      <c r="U81" s="612"/>
      <c r="V81" s="612"/>
      <c r="W81" s="612"/>
      <c r="X81" s="612"/>
      <c r="Y81" s="647"/>
      <c r="AE81" s="108"/>
      <c r="AF81" s="108"/>
      <c r="AG81" s="108"/>
      <c r="AH81" s="108"/>
    </row>
    <row r="82" spans="1:34" ht="21" customHeight="1" outlineLevel="1" thickBot="1" x14ac:dyDescent="0.35">
      <c r="A82" s="822">
        <v>2019</v>
      </c>
      <c r="B82" s="25" t="str">
        <f>HYPERLINK("#"&amp;ADDRESS(ROW(), COLUMN()-1), "€")</f>
        <v>€</v>
      </c>
      <c r="C82" s="841">
        <f>7+(($A$82-2012)*12)</f>
        <v>91</v>
      </c>
      <c r="D82" s="842">
        <f>C82+1</f>
        <v>92</v>
      </c>
      <c r="E82" s="842">
        <f t="shared" ref="E82:N82" si="0">D82+1</f>
        <v>93</v>
      </c>
      <c r="F82" s="842">
        <f t="shared" si="0"/>
        <v>94</v>
      </c>
      <c r="G82" s="842">
        <f t="shared" si="0"/>
        <v>95</v>
      </c>
      <c r="H82" s="842">
        <f t="shared" si="0"/>
        <v>96</v>
      </c>
      <c r="I82" s="842">
        <f t="shared" si="0"/>
        <v>97</v>
      </c>
      <c r="J82" s="842">
        <f t="shared" si="0"/>
        <v>98</v>
      </c>
      <c r="K82" s="842">
        <f t="shared" si="0"/>
        <v>99</v>
      </c>
      <c r="L82" s="842">
        <f t="shared" si="0"/>
        <v>100</v>
      </c>
      <c r="M82" s="842">
        <f t="shared" si="0"/>
        <v>101</v>
      </c>
      <c r="N82" s="842">
        <f t="shared" si="0"/>
        <v>102</v>
      </c>
      <c r="O82" s="612"/>
      <c r="P82" s="612"/>
      <c r="Q82" s="612"/>
      <c r="R82" s="612"/>
      <c r="S82" s="612"/>
      <c r="T82" s="612"/>
      <c r="U82" s="612"/>
      <c r="V82" s="612"/>
      <c r="W82" s="612"/>
      <c r="X82" s="612"/>
      <c r="Y82" s="647"/>
      <c r="AE82" s="108"/>
      <c r="AF82" s="108"/>
      <c r="AG82" s="108"/>
      <c r="AH82" s="108"/>
    </row>
    <row r="83" spans="1:34" outlineLevel="1" x14ac:dyDescent="0.3">
      <c r="A83" s="1807" t="s">
        <v>58</v>
      </c>
      <c r="B83" s="1808"/>
      <c r="C83" s="843">
        <f ca="1">IF(ISBLANK(INDIRECT("'"&amp;$A$81&amp;"'!"&amp;HLOOKUP($A$81, 'Misc. Data &amp; Mechanisms'!$A$675:$E$684,ROW('Misc. Data &amp; Mechanisms'!$A676)-ROW('Misc. Data &amp; Mechanisms'!$A$675) + 1, FALSE)&amp;C$82)), "", INDIRECT("'"&amp;$A$81&amp;"'!"&amp;HLOOKUP($A$81, 'Misc. Data &amp; Mechanisms'!$A$675:$E$684,ROW('Misc. Data &amp; Mechanisms'!$A676)-ROW('Misc. Data &amp; Mechanisms'!$A$675) + 1, FALSE)&amp;C$82))</f>
        <v>11.756793629373167</v>
      </c>
      <c r="D83" s="843">
        <f ca="1">IF(ISBLANK(INDIRECT("'"&amp;$A$81&amp;"'!"&amp;HLOOKUP($A$81, 'Misc. Data &amp; Mechanisms'!$A$675:$E$684,ROW('Misc. Data &amp; Mechanisms'!$A676)-ROW('Misc. Data &amp; Mechanisms'!$A$675) + 1, FALSE)&amp;D$82)), "", INDIRECT("'"&amp;$A$81&amp;"'!"&amp;HLOOKUP($A$81, 'Misc. Data &amp; Mechanisms'!$A$675:$E$684,ROW('Misc. Data &amp; Mechanisms'!$A676)-ROW('Misc. Data &amp; Mechanisms'!$A$675) + 1, FALSE)&amp;D$82))</f>
        <v>12.288850572617701</v>
      </c>
      <c r="E83" s="843">
        <f ca="1">IF(ISBLANK(INDIRECT("'"&amp;$A$81&amp;"'!"&amp;HLOOKUP($A$81, 'Misc. Data &amp; Mechanisms'!$A$675:$E$684,ROW('Misc. Data &amp; Mechanisms'!$A676)-ROW('Misc. Data &amp; Mechanisms'!$A$675) + 1, FALSE)&amp;E$82)), "", INDIRECT("'"&amp;$A$81&amp;"'!"&amp;HLOOKUP($A$81, 'Misc. Data &amp; Mechanisms'!$A$675:$E$684,ROW('Misc. Data &amp; Mechanisms'!$A676)-ROW('Misc. Data &amp; Mechanisms'!$A$675) + 1, FALSE)&amp;E$82))</f>
        <v>11.255044002309154</v>
      </c>
      <c r="F83" s="843">
        <f ca="1">IF(ISBLANK(INDIRECT("'"&amp;$A$81&amp;"'!"&amp;HLOOKUP($A$81, 'Misc. Data &amp; Mechanisms'!$A$675:$E$684,ROW('Misc. Data &amp; Mechanisms'!$A676)-ROW('Misc. Data &amp; Mechanisms'!$A$675) + 1, FALSE)&amp;F$82)), "", INDIRECT("'"&amp;$A$81&amp;"'!"&amp;HLOOKUP($A$81, 'Misc. Data &amp; Mechanisms'!$A$675:$E$684,ROW('Misc. Data &amp; Mechanisms'!$A676)-ROW('Misc. Data &amp; Mechanisms'!$A$675) + 1, FALSE)&amp;F$82))</f>
        <v>9.9612632133702341</v>
      </c>
      <c r="G83" s="843">
        <f ca="1">IF(ISBLANK(INDIRECT("'"&amp;$A$81&amp;"'!"&amp;HLOOKUP($A$81, 'Misc. Data &amp; Mechanisms'!$A$675:$E$684,ROW('Misc. Data &amp; Mechanisms'!$A676)-ROW('Misc. Data &amp; Mechanisms'!$A$675) + 1, FALSE)&amp;G$82)), "", INDIRECT("'"&amp;$A$81&amp;"'!"&amp;HLOOKUP($A$81, 'Misc. Data &amp; Mechanisms'!$A$675:$E$684,ROW('Misc. Data &amp; Mechanisms'!$A676)-ROW('Misc. Data &amp; Mechanisms'!$A$675) + 1, FALSE)&amp;G$82))</f>
        <v>9.5978677149152052</v>
      </c>
      <c r="H83" s="843">
        <f ca="1">IF(ISBLANK(INDIRECT("'"&amp;$A$81&amp;"'!"&amp;HLOOKUP($A$81, 'Misc. Data &amp; Mechanisms'!$A$675:$E$684,ROW('Misc. Data &amp; Mechanisms'!$A676)-ROW('Misc. Data &amp; Mechanisms'!$A$675) + 1, FALSE)&amp;H$82)), "", INDIRECT("'"&amp;$A$81&amp;"'!"&amp;HLOOKUP($A$81, 'Misc. Data &amp; Mechanisms'!$A$675:$E$684,ROW('Misc. Data &amp; Mechanisms'!$A676)-ROW('Misc. Data &amp; Mechanisms'!$A$675) + 1, FALSE)&amp;H$82))</f>
        <v>9.3281989935447278</v>
      </c>
      <c r="I83" s="843" t="str">
        <f ca="1">IF(ISBLANK(INDIRECT("'"&amp;$A$81&amp;"'!"&amp;HLOOKUP($A$81, 'Misc. Data &amp; Mechanisms'!$A$675:$E$684,ROW('Misc. Data &amp; Mechanisms'!$A676)-ROW('Misc. Data &amp; Mechanisms'!$A$675) + 1, FALSE)&amp;I$82)), "", INDIRECT("'"&amp;$A$81&amp;"'!"&amp;HLOOKUP($A$81, 'Misc. Data &amp; Mechanisms'!$A$675:$E$684,ROW('Misc. Data &amp; Mechanisms'!$A676)-ROW('Misc. Data &amp; Mechanisms'!$A$675) + 1, FALSE)&amp;I$82))</f>
        <v/>
      </c>
      <c r="J83" s="843" t="str">
        <f ca="1">IF(ISBLANK(INDIRECT("'"&amp;$A$81&amp;"'!"&amp;HLOOKUP($A$81, 'Misc. Data &amp; Mechanisms'!$A$675:$E$684,ROW('Misc. Data &amp; Mechanisms'!$A676)-ROW('Misc. Data &amp; Mechanisms'!$A$675) + 1, FALSE)&amp;J$82)), "", INDIRECT("'"&amp;$A$81&amp;"'!"&amp;HLOOKUP($A$81, 'Misc. Data &amp; Mechanisms'!$A$675:$E$684,ROW('Misc. Data &amp; Mechanisms'!$A676)-ROW('Misc. Data &amp; Mechanisms'!$A$675) + 1, FALSE)&amp;J$82))</f>
        <v/>
      </c>
      <c r="K83" s="843" t="str">
        <f ca="1">IF(ISBLANK(INDIRECT("'"&amp;$A$81&amp;"'!"&amp;HLOOKUP($A$81, 'Misc. Data &amp; Mechanisms'!$A$675:$E$684,ROW('Misc. Data &amp; Mechanisms'!$A676)-ROW('Misc. Data &amp; Mechanisms'!$A$675) + 1, FALSE)&amp;K$82)), "", INDIRECT("'"&amp;$A$81&amp;"'!"&amp;HLOOKUP($A$81, 'Misc. Data &amp; Mechanisms'!$A$675:$E$684,ROW('Misc. Data &amp; Mechanisms'!$A676)-ROW('Misc. Data &amp; Mechanisms'!$A$675) + 1, FALSE)&amp;K$82))</f>
        <v/>
      </c>
      <c r="L83" s="843" t="str">
        <f ca="1">IF(ISBLANK(INDIRECT("'"&amp;$A$81&amp;"'!"&amp;HLOOKUP($A$81, 'Misc. Data &amp; Mechanisms'!$A$675:$E$684,ROW('Misc. Data &amp; Mechanisms'!$A676)-ROW('Misc. Data &amp; Mechanisms'!$A$675) + 1, FALSE)&amp;L$82)), "", INDIRECT("'"&amp;$A$81&amp;"'!"&amp;HLOOKUP($A$81, 'Misc. Data &amp; Mechanisms'!$A$675:$E$684,ROW('Misc. Data &amp; Mechanisms'!$A676)-ROW('Misc. Data &amp; Mechanisms'!$A$675) + 1, FALSE)&amp;L$82))</f>
        <v/>
      </c>
      <c r="M83" s="843" t="str">
        <f ca="1">IF(ISBLANK(INDIRECT("'"&amp;$A$81&amp;"'!"&amp;HLOOKUP($A$81, 'Misc. Data &amp; Mechanisms'!$A$675:$E$684,ROW('Misc. Data &amp; Mechanisms'!$A676)-ROW('Misc. Data &amp; Mechanisms'!$A$675) + 1, FALSE)&amp;M$82)), "", INDIRECT("'"&amp;$A$81&amp;"'!"&amp;HLOOKUP($A$81, 'Misc. Data &amp; Mechanisms'!$A$675:$E$684,ROW('Misc. Data &amp; Mechanisms'!$A676)-ROW('Misc. Data &amp; Mechanisms'!$A$675) + 1, FALSE)&amp;M$82))</f>
        <v/>
      </c>
      <c r="N83" s="843" t="str">
        <f ca="1">IF(ISBLANK(INDIRECT("'"&amp;$A$81&amp;"'!"&amp;HLOOKUP($A$81, 'Misc. Data &amp; Mechanisms'!$A$675:$E$684,ROW('Misc. Data &amp; Mechanisms'!$A676)-ROW('Misc. Data &amp; Mechanisms'!$A$675) + 1, FALSE)&amp;N$82)), "", INDIRECT("'"&amp;$A$81&amp;"'!"&amp;HLOOKUP($A$81, 'Misc. Data &amp; Mechanisms'!$A$675:$E$684,ROW('Misc. Data &amp; Mechanisms'!$A676)-ROW('Misc. Data &amp; Mechanisms'!$A$675) + 1, FALSE)&amp;N$82))</f>
        <v/>
      </c>
      <c r="O83" s="183"/>
      <c r="P83" s="612"/>
      <c r="Q83" s="612"/>
      <c r="R83" s="612"/>
      <c r="S83" s="612"/>
      <c r="T83" s="612"/>
      <c r="U83" s="612"/>
      <c r="V83" s="612"/>
      <c r="W83" s="612"/>
      <c r="X83" s="612"/>
      <c r="Y83" s="647"/>
      <c r="AE83" s="882"/>
      <c r="AF83" s="882"/>
      <c r="AG83" s="108"/>
      <c r="AH83" s="108"/>
    </row>
    <row r="84" spans="1:34" outlineLevel="1" x14ac:dyDescent="0.3">
      <c r="A84" s="1809" t="s">
        <v>59</v>
      </c>
      <c r="B84" s="1810"/>
      <c r="C84" s="843">
        <f ca="1">IFERROR(IF(ISBLANK(INDIRECT("'"&amp;$A$81&amp;"'!"&amp;HLOOKUP($A$81, 'Misc. Data &amp; Mechanisms'!$A$675:$E$684,ROW('Misc. Data &amp; Mechanisms'!$A677)-ROW('Misc. Data &amp; Mechanisms'!$A$675) + 1, FALSE)&amp;C$82)-C85), "", INDIRECT("'"&amp;$A$81&amp;"'!"&amp;HLOOKUP($A$81, 'Misc. Data &amp; Mechanisms'!$A$675:$E$684,ROW('Misc. Data &amp; Mechanisms'!$A677)-ROW('Misc. Data &amp; Mechanisms'!$A$675) + 1, FALSE)&amp;C$82)-C85), "")</f>
        <v>16.144211000000002</v>
      </c>
      <c r="D84" s="843">
        <f ca="1">IFERROR(IF(ISBLANK(INDIRECT("'"&amp;$A$81&amp;"'!"&amp;HLOOKUP($A$81, 'Misc. Data &amp; Mechanisms'!$A$675:$E$684,ROW('Misc. Data &amp; Mechanisms'!$A677)-ROW('Misc. Data &amp; Mechanisms'!$A$675) + 1, FALSE)&amp;D$82)-D85), "", INDIRECT("'"&amp;$A$81&amp;"'!"&amp;HLOOKUP($A$81, 'Misc. Data &amp; Mechanisms'!$A$675:$E$684,ROW('Misc. Data &amp; Mechanisms'!$A677)-ROW('Misc. Data &amp; Mechanisms'!$A$675) + 1, FALSE)&amp;D$82)-D85), "")</f>
        <v>14.581868000000002</v>
      </c>
      <c r="E84" s="843">
        <f ca="1">IFERROR(IF(ISBLANK(INDIRECT("'"&amp;$A$81&amp;"'!"&amp;HLOOKUP($A$81, 'Misc. Data &amp; Mechanisms'!$A$675:$E$684,ROW('Misc. Data &amp; Mechanisms'!$A677)-ROW('Misc. Data &amp; Mechanisms'!$A$675) + 1, FALSE)&amp;E$82)-E85), "", INDIRECT("'"&amp;$A$81&amp;"'!"&amp;HLOOKUP($A$81, 'Misc. Data &amp; Mechanisms'!$A$675:$E$684,ROW('Misc. Data &amp; Mechanisms'!$A677)-ROW('Misc. Data &amp; Mechanisms'!$A$675) + 1, FALSE)&amp;E$82)-E85), "")</f>
        <v>16.144211000000002</v>
      </c>
      <c r="F84" s="843">
        <f ca="1">IFERROR(IF(ISBLANK(INDIRECT("'"&amp;$A$81&amp;"'!"&amp;HLOOKUP($A$81, 'Misc. Data &amp; Mechanisms'!$A$675:$E$684,ROW('Misc. Data &amp; Mechanisms'!$A677)-ROW('Misc. Data &amp; Mechanisms'!$A$675) + 1, FALSE)&amp;F$82)-F85), "", INDIRECT("'"&amp;$A$81&amp;"'!"&amp;HLOOKUP($A$81, 'Misc. Data &amp; Mechanisms'!$A$675:$E$684,ROW('Misc. Data &amp; Mechanisms'!$A677)-ROW('Misc. Data &amp; Mechanisms'!$A$675) + 1, FALSE)&amp;F$82)-F85), "")</f>
        <v>15.623430000000003</v>
      </c>
      <c r="G84" s="843">
        <f ca="1">IFERROR(IF(ISBLANK(INDIRECT("'"&amp;$A$81&amp;"'!"&amp;HLOOKUP($A$81, 'Misc. Data &amp; Mechanisms'!$A$675:$E$684,ROW('Misc. Data &amp; Mechanisms'!$A677)-ROW('Misc. Data &amp; Mechanisms'!$A$675) + 1, FALSE)&amp;G$82)-G85), "", INDIRECT("'"&amp;$A$81&amp;"'!"&amp;HLOOKUP($A$81, 'Misc. Data &amp; Mechanisms'!$A$675:$E$684,ROW('Misc. Data &amp; Mechanisms'!$A677)-ROW('Misc. Data &amp; Mechanisms'!$A$675) + 1, FALSE)&amp;G$82)-G85), "")</f>
        <v>16.144211000000002</v>
      </c>
      <c r="H84" s="843">
        <f ca="1">IFERROR(IF(ISBLANK(INDIRECT("'"&amp;$A$81&amp;"'!"&amp;HLOOKUP($A$81, 'Misc. Data &amp; Mechanisms'!$A$675:$E$684,ROW('Misc. Data &amp; Mechanisms'!$A677)-ROW('Misc. Data &amp; Mechanisms'!$A$675) + 1, FALSE)&amp;H$82)-H85), "", INDIRECT("'"&amp;$A$81&amp;"'!"&amp;HLOOKUP($A$81, 'Misc. Data &amp; Mechanisms'!$A$675:$E$684,ROW('Misc. Data &amp; Mechanisms'!$A677)-ROW('Misc. Data &amp; Mechanisms'!$A$675) + 1, FALSE)&amp;H$82)-H85), "")</f>
        <v>15.623429999999999</v>
      </c>
      <c r="I84" s="843" t="str">
        <f ca="1">IFERROR(IF(ISBLANK(INDIRECT("'"&amp;$A$81&amp;"'!"&amp;HLOOKUP($A$81, 'Misc. Data &amp; Mechanisms'!$A$675:$E$684,ROW('Misc. Data &amp; Mechanisms'!$A677)-ROW('Misc. Data &amp; Mechanisms'!$A$675) + 1, FALSE)&amp;I$82)-I85), "", INDIRECT("'"&amp;$A$81&amp;"'!"&amp;HLOOKUP($A$81, 'Misc. Data &amp; Mechanisms'!$A$675:$E$684,ROW('Misc. Data &amp; Mechanisms'!$A677)-ROW('Misc. Data &amp; Mechanisms'!$A$675) + 1, FALSE)&amp;I$82)-I85), "")</f>
        <v/>
      </c>
      <c r="J84" s="843" t="str">
        <f ca="1">IFERROR(IF(ISBLANK(INDIRECT("'"&amp;$A$81&amp;"'!"&amp;HLOOKUP($A$81, 'Misc. Data &amp; Mechanisms'!$A$675:$E$684,ROW('Misc. Data &amp; Mechanisms'!$A677)-ROW('Misc. Data &amp; Mechanisms'!$A$675) + 1, FALSE)&amp;J$82)-J85), "", INDIRECT("'"&amp;$A$81&amp;"'!"&amp;HLOOKUP($A$81, 'Misc. Data &amp; Mechanisms'!$A$675:$E$684,ROW('Misc. Data &amp; Mechanisms'!$A677)-ROW('Misc. Data &amp; Mechanisms'!$A$675) + 1, FALSE)&amp;J$82)-J85), "")</f>
        <v/>
      </c>
      <c r="K84" s="843" t="str">
        <f ca="1">IFERROR(IF(ISBLANK(INDIRECT("'"&amp;$A$81&amp;"'!"&amp;HLOOKUP($A$81, 'Misc. Data &amp; Mechanisms'!$A$675:$E$684,ROW('Misc. Data &amp; Mechanisms'!$A677)-ROW('Misc. Data &amp; Mechanisms'!$A$675) + 1, FALSE)&amp;K$82)-K85), "", INDIRECT("'"&amp;$A$81&amp;"'!"&amp;HLOOKUP($A$81, 'Misc. Data &amp; Mechanisms'!$A$675:$E$684,ROW('Misc. Data &amp; Mechanisms'!$A677)-ROW('Misc. Data &amp; Mechanisms'!$A$675) + 1, FALSE)&amp;K$82)-K85), "")</f>
        <v/>
      </c>
      <c r="L84" s="843" t="str">
        <f ca="1">IFERROR(IF(ISBLANK(INDIRECT("'"&amp;$A$81&amp;"'!"&amp;HLOOKUP($A$81, 'Misc. Data &amp; Mechanisms'!$A$675:$E$684,ROW('Misc. Data &amp; Mechanisms'!$A677)-ROW('Misc. Data &amp; Mechanisms'!$A$675) + 1, FALSE)&amp;L$82)-L85), "", INDIRECT("'"&amp;$A$81&amp;"'!"&amp;HLOOKUP($A$81, 'Misc. Data &amp; Mechanisms'!$A$675:$E$684,ROW('Misc. Data &amp; Mechanisms'!$A677)-ROW('Misc. Data &amp; Mechanisms'!$A$675) + 1, FALSE)&amp;L$82)-L85), "")</f>
        <v/>
      </c>
      <c r="M84" s="843" t="str">
        <f ca="1">IFERROR(IF(ISBLANK(INDIRECT("'"&amp;$A$81&amp;"'!"&amp;HLOOKUP($A$81, 'Misc. Data &amp; Mechanisms'!$A$675:$E$684,ROW('Misc. Data &amp; Mechanisms'!$A677)-ROW('Misc. Data &amp; Mechanisms'!$A$675) + 1, FALSE)&amp;M$82)-M85), "", INDIRECT("'"&amp;$A$81&amp;"'!"&amp;HLOOKUP($A$81, 'Misc. Data &amp; Mechanisms'!$A$675:$E$684,ROW('Misc. Data &amp; Mechanisms'!$A677)-ROW('Misc. Data &amp; Mechanisms'!$A$675) + 1, FALSE)&amp;M$82)-M85), "")</f>
        <v/>
      </c>
      <c r="N84" s="843" t="str">
        <f ca="1">IFERROR(IF(ISBLANK(INDIRECT("'"&amp;$A$81&amp;"'!"&amp;HLOOKUP($A$81, 'Misc. Data &amp; Mechanisms'!$A$675:$E$684,ROW('Misc. Data &amp; Mechanisms'!$A677)-ROW('Misc. Data &amp; Mechanisms'!$A$675) + 1, FALSE)&amp;N$82)-N85), "", INDIRECT("'"&amp;$A$81&amp;"'!"&amp;HLOOKUP($A$81, 'Misc. Data &amp; Mechanisms'!$A$675:$E$684,ROW('Misc. Data &amp; Mechanisms'!$A677)-ROW('Misc. Data &amp; Mechanisms'!$A$675) + 1, FALSE)&amp;N$82)-N85), "")</f>
        <v/>
      </c>
      <c r="O84" s="183"/>
      <c r="P84" s="612"/>
      <c r="Q84" s="612"/>
      <c r="R84" s="612"/>
      <c r="S84" s="612"/>
      <c r="T84" s="612"/>
      <c r="U84" s="612"/>
      <c r="V84" s="612"/>
      <c r="W84" s="612"/>
      <c r="X84" s="612"/>
      <c r="Y84" s="647"/>
      <c r="AE84" s="108"/>
      <c r="AF84" s="108"/>
      <c r="AG84" s="108"/>
      <c r="AH84" s="108"/>
    </row>
    <row r="85" spans="1:34" outlineLevel="1" x14ac:dyDescent="0.3">
      <c r="A85" s="1809" t="s">
        <v>60</v>
      </c>
      <c r="B85" s="1810"/>
      <c r="C85" s="843">
        <f ca="1">IF(ISBLANK(INDIRECT("'"&amp;$A$81&amp;"'!"&amp;HLOOKUP($A$81, 'Misc. Data &amp; Mechanisms'!$A$675:$E$684,ROW('Misc. Data &amp; Mechanisms'!$A678)-ROW('Misc. Data &amp; Mechanisms'!$A$675) + 1, FALSE)&amp;C$82)), "", INDIRECT("'"&amp;$A$81&amp;"'!"&amp;HLOOKUP($A$81, 'Misc. Data &amp; Mechanisms'!$A$675:$E$684,ROW('Misc. Data &amp; Mechanisms'!$A678)-ROW('Misc. Data &amp; Mechanisms'!$A$675) + 1, FALSE)&amp;C$82))</f>
        <v>6.3275144257146358</v>
      </c>
      <c r="D85" s="843">
        <f ca="1">IF(ISBLANK(INDIRECT("'"&amp;$A$81&amp;"'!"&amp;HLOOKUP($A$81, 'Misc. Data &amp; Mechanisms'!$A$675:$E$684,ROW('Misc. Data &amp; Mechanisms'!$A678)-ROW('Misc. Data &amp; Mechanisms'!$A$675) + 1, FALSE)&amp;D$82)), "", INDIRECT("'"&amp;$A$81&amp;"'!"&amp;HLOOKUP($A$81, 'Misc. Data &amp; Mechanisms'!$A$675:$E$684,ROW('Misc. Data &amp; Mechanisms'!$A678)-ROW('Misc. Data &amp; Mechanisms'!$A$675) + 1, FALSE)&amp;D$82))</f>
        <v>6.6138678388825181</v>
      </c>
      <c r="E85" s="843">
        <f ca="1">IF(ISBLANK(INDIRECT("'"&amp;$A$81&amp;"'!"&amp;HLOOKUP($A$81, 'Misc. Data &amp; Mechanisms'!$A$675:$E$684,ROW('Misc. Data &amp; Mechanisms'!$A678)-ROW('Misc. Data &amp; Mechanisms'!$A$675) + 1, FALSE)&amp;E$82)), "", INDIRECT("'"&amp;$A$81&amp;"'!"&amp;HLOOKUP($A$81, 'Misc. Data &amp; Mechanisms'!$A$675:$E$684,ROW('Misc. Data &amp; Mechanisms'!$A678)-ROW('Misc. Data &amp; Mechanisms'!$A$675) + 1, FALSE)&amp;E$82))</f>
        <v>6.0574724309812682</v>
      </c>
      <c r="F85" s="843">
        <f ca="1">IF(ISBLANK(INDIRECT("'"&amp;$A$81&amp;"'!"&amp;HLOOKUP($A$81, 'Misc. Data &amp; Mechanisms'!$A$675:$E$684,ROW('Misc. Data &amp; Mechanisms'!$A678)-ROW('Misc. Data &amp; Mechanisms'!$A$675) + 1, FALSE)&amp;F$82)), "", INDIRECT("'"&amp;$A$81&amp;"'!"&amp;HLOOKUP($A$81, 'Misc. Data &amp; Mechanisms'!$A$675:$E$684,ROW('Misc. Data &amp; Mechanisms'!$A678)-ROW('Misc. Data &amp; Mechanisms'!$A$675) + 1, FALSE)&amp;F$82))</f>
        <v>5.3611587196245809</v>
      </c>
      <c r="G85" s="843">
        <f ca="1">IF(ISBLANK(INDIRECT("'"&amp;$A$81&amp;"'!"&amp;HLOOKUP($A$81, 'Misc. Data &amp; Mechanisms'!$A$675:$E$684,ROW('Misc. Data &amp; Mechanisms'!$A678)-ROW('Misc. Data &amp; Mechanisms'!$A$675) + 1, FALSE)&amp;G$82)), "", INDIRECT("'"&amp;$A$81&amp;"'!"&amp;HLOOKUP($A$81, 'Misc. Data &amp; Mechanisms'!$A$675:$E$684,ROW('Misc. Data &amp; Mechanisms'!$A678)-ROW('Misc. Data &amp; Mechanisms'!$A$675) + 1, FALSE)&amp;G$82))</f>
        <v>5.1655790121634277</v>
      </c>
      <c r="H85" s="843">
        <f ca="1">IF(ISBLANK(INDIRECT("'"&amp;$A$81&amp;"'!"&amp;HLOOKUP($A$81, 'Misc. Data &amp; Mechanisms'!$A$675:$E$684,ROW('Misc. Data &amp; Mechanisms'!$A678)-ROW('Misc. Data &amp; Mechanisms'!$A$675) + 1, FALSE)&amp;H$82)), "", INDIRECT("'"&amp;$A$81&amp;"'!"&amp;HLOOKUP($A$81, 'Misc. Data &amp; Mechanisms'!$A$675:$E$684,ROW('Misc. Data &amp; Mechanisms'!$A678)-ROW('Misc. Data &amp; Mechanisms'!$A$675) + 1, FALSE)&amp;H$82))</f>
        <v>5.0204431206587401</v>
      </c>
      <c r="I85" s="843" t="str">
        <f ca="1">IF(ISBLANK(INDIRECT("'"&amp;$A$81&amp;"'!"&amp;HLOOKUP($A$81, 'Misc. Data &amp; Mechanisms'!$A$675:$E$684,ROW('Misc. Data &amp; Mechanisms'!$A678)-ROW('Misc. Data &amp; Mechanisms'!$A$675) + 1, FALSE)&amp;I$82)), "", INDIRECT("'"&amp;$A$81&amp;"'!"&amp;HLOOKUP($A$81, 'Misc. Data &amp; Mechanisms'!$A$675:$E$684,ROW('Misc. Data &amp; Mechanisms'!$A678)-ROW('Misc. Data &amp; Mechanisms'!$A$675) + 1, FALSE)&amp;I$82))</f>
        <v/>
      </c>
      <c r="J85" s="843" t="str">
        <f ca="1">IF(ISBLANK(INDIRECT("'"&amp;$A$81&amp;"'!"&amp;HLOOKUP($A$81, 'Misc. Data &amp; Mechanisms'!$A$675:$E$684,ROW('Misc. Data &amp; Mechanisms'!$A678)-ROW('Misc. Data &amp; Mechanisms'!$A$675) + 1, FALSE)&amp;J$82)), "", INDIRECT("'"&amp;$A$81&amp;"'!"&amp;HLOOKUP($A$81, 'Misc. Data &amp; Mechanisms'!$A$675:$E$684,ROW('Misc. Data &amp; Mechanisms'!$A678)-ROW('Misc. Data &amp; Mechanisms'!$A$675) + 1, FALSE)&amp;J$82))</f>
        <v/>
      </c>
      <c r="K85" s="843" t="str">
        <f ca="1">IF(ISBLANK(INDIRECT("'"&amp;$A$81&amp;"'!"&amp;HLOOKUP($A$81, 'Misc. Data &amp; Mechanisms'!$A$675:$E$684,ROW('Misc. Data &amp; Mechanisms'!$A678)-ROW('Misc. Data &amp; Mechanisms'!$A$675) + 1, FALSE)&amp;K$82)), "", INDIRECT("'"&amp;$A$81&amp;"'!"&amp;HLOOKUP($A$81, 'Misc. Data &amp; Mechanisms'!$A$675:$E$684,ROW('Misc. Data &amp; Mechanisms'!$A678)-ROW('Misc. Data &amp; Mechanisms'!$A$675) + 1, FALSE)&amp;K$82))</f>
        <v/>
      </c>
      <c r="L85" s="843" t="str">
        <f ca="1">IF(ISBLANK(INDIRECT("'"&amp;$A$81&amp;"'!"&amp;HLOOKUP($A$81, 'Misc. Data &amp; Mechanisms'!$A$675:$E$684,ROW('Misc. Data &amp; Mechanisms'!$A678)-ROW('Misc. Data &amp; Mechanisms'!$A$675) + 1, FALSE)&amp;L$82)), "", INDIRECT("'"&amp;$A$81&amp;"'!"&amp;HLOOKUP($A$81, 'Misc. Data &amp; Mechanisms'!$A$675:$E$684,ROW('Misc. Data &amp; Mechanisms'!$A678)-ROW('Misc. Data &amp; Mechanisms'!$A$675) + 1, FALSE)&amp;L$82))</f>
        <v/>
      </c>
      <c r="M85" s="843" t="str">
        <f ca="1">IF(ISBLANK(INDIRECT("'"&amp;$A$81&amp;"'!"&amp;HLOOKUP($A$81, 'Misc. Data &amp; Mechanisms'!$A$675:$E$684,ROW('Misc. Data &amp; Mechanisms'!$A678)-ROW('Misc. Data &amp; Mechanisms'!$A$675) + 1, FALSE)&amp;M$82)), "", INDIRECT("'"&amp;$A$81&amp;"'!"&amp;HLOOKUP($A$81, 'Misc. Data &amp; Mechanisms'!$A$675:$E$684,ROW('Misc. Data &amp; Mechanisms'!$A678)-ROW('Misc. Data &amp; Mechanisms'!$A$675) + 1, FALSE)&amp;M$82))</f>
        <v/>
      </c>
      <c r="N85" s="843" t="str">
        <f ca="1">IF(ISBLANK(INDIRECT("'"&amp;$A$81&amp;"'!"&amp;HLOOKUP($A$81, 'Misc. Data &amp; Mechanisms'!$A$675:$E$684,ROW('Misc. Data &amp; Mechanisms'!$A678)-ROW('Misc. Data &amp; Mechanisms'!$A$675) + 1, FALSE)&amp;N$82)), "", INDIRECT("'"&amp;$A$81&amp;"'!"&amp;HLOOKUP($A$81, 'Misc. Data &amp; Mechanisms'!$A$675:$E$684,ROW('Misc. Data &amp; Mechanisms'!$A678)-ROW('Misc. Data &amp; Mechanisms'!$A$675) + 1, FALSE)&amp;N$82))</f>
        <v/>
      </c>
      <c r="O85" s="844"/>
      <c r="P85" s="845"/>
      <c r="Q85" s="612"/>
      <c r="R85" s="612"/>
      <c r="S85" s="612"/>
      <c r="T85" s="612"/>
      <c r="U85" s="612"/>
      <c r="V85" s="612"/>
      <c r="W85" s="612"/>
      <c r="X85" s="612"/>
      <c r="Y85" s="647"/>
      <c r="AE85" s="108"/>
      <c r="AF85" s="108"/>
      <c r="AG85" s="108"/>
      <c r="AH85" s="108"/>
    </row>
    <row r="86" spans="1:34" outlineLevel="1" x14ac:dyDescent="0.3">
      <c r="A86" s="1809" t="s">
        <v>62</v>
      </c>
      <c r="B86" s="1810"/>
      <c r="C86" s="843">
        <f ca="1">IF(ISBLANK(INDIRECT("'"&amp;$A$81&amp;"'!"&amp;HLOOKUP($A$81, 'Misc. Data &amp; Mechanisms'!$A$675:$E$684,ROW('Misc. Data &amp; Mechanisms'!$A679)-ROW('Misc. Data &amp; Mechanisms'!$A$675) + 1, FALSE)&amp;C$82)), "", INDIRECT("'"&amp;$A$81&amp;"'!"&amp;HLOOKUP($A$81, 'Misc. Data &amp; Mechanisms'!$A$675:$E$684,ROW('Misc. Data &amp; Mechanisms'!$A679)-ROW('Misc. Data &amp; Mechanisms'!$A$675) + 1, FALSE)&amp;C$82))</f>
        <v>10.302466363166253</v>
      </c>
      <c r="D86" s="843">
        <f ca="1">IF(ISBLANK(INDIRECT("'"&amp;$A$81&amp;"'!"&amp;HLOOKUP($A$81, 'Misc. Data &amp; Mechanisms'!$A$675:$E$684,ROW('Misc. Data &amp; Mechanisms'!$A679)-ROW('Misc. Data &amp; Mechanisms'!$A$675) + 1, FALSE)&amp;D$82)), "", INDIRECT("'"&amp;$A$81&amp;"'!"&amp;HLOOKUP($A$81, 'Misc. Data &amp; Mechanisms'!$A$675:$E$684,ROW('Misc. Data &amp; Mechanisms'!$A679)-ROW('Misc. Data &amp; Mechanisms'!$A$675) + 1, FALSE)&amp;D$82))</f>
        <v>10.508661424130576</v>
      </c>
      <c r="E86" s="843">
        <f ca="1">IF(ISBLANK(INDIRECT("'"&amp;$A$81&amp;"'!"&amp;HLOOKUP($A$81, 'Misc. Data &amp; Mechanisms'!$A$675:$E$684,ROW('Misc. Data &amp; Mechanisms'!$A679)-ROW('Misc. Data &amp; Mechanisms'!$A$675) + 1, FALSE)&amp;E$82)), "", INDIRECT("'"&amp;$A$81&amp;"'!"&amp;HLOOKUP($A$81, 'Misc. Data &amp; Mechanisms'!$A$675:$E$684,ROW('Misc. Data &amp; Mechanisms'!$A679)-ROW('Misc. Data &amp; Mechanisms'!$A$675) + 1, FALSE)&amp;E$82))</f>
        <v>9.3716963955057278</v>
      </c>
      <c r="F86" s="843">
        <f ca="1">IF(ISBLANK(INDIRECT("'"&amp;$A$81&amp;"'!"&amp;HLOOKUP($A$81, 'Misc. Data &amp; Mechanisms'!$A$675:$E$684,ROW('Misc. Data &amp; Mechanisms'!$A679)-ROW('Misc. Data &amp; Mechanisms'!$A$675) + 1, FALSE)&amp;F$82)), "", INDIRECT("'"&amp;$A$81&amp;"'!"&amp;HLOOKUP($A$81, 'Misc. Data &amp; Mechanisms'!$A$675:$E$684,ROW('Misc. Data &amp; Mechanisms'!$A679)-ROW('Misc. Data &amp; Mechanisms'!$A$675) + 1, FALSE)&amp;F$82))</f>
        <v>8.5873991990290754</v>
      </c>
      <c r="G86" s="843">
        <f ca="1">IF(ISBLANK(INDIRECT("'"&amp;$A$81&amp;"'!"&amp;HLOOKUP($A$81, 'Misc. Data &amp; Mechanisms'!$A$675:$E$684,ROW('Misc. Data &amp; Mechanisms'!$A679)-ROW('Misc. Data &amp; Mechanisms'!$A$675) + 1, FALSE)&amp;G$82)), "", INDIRECT("'"&amp;$A$81&amp;"'!"&amp;HLOOKUP($A$81, 'Misc. Data &amp; Mechanisms'!$A$675:$E$684,ROW('Misc. Data &amp; Mechanisms'!$A679)-ROW('Misc. Data &amp; Mechanisms'!$A$675) + 1, FALSE)&amp;G$82))</f>
        <v>8.5747875462120167</v>
      </c>
      <c r="H86" s="843">
        <f ca="1">IF(ISBLANK(INDIRECT("'"&amp;$A$81&amp;"'!"&amp;HLOOKUP($A$81, 'Misc. Data &amp; Mechanisms'!$A$675:$E$684,ROW('Misc. Data &amp; Mechanisms'!$A679)-ROW('Misc. Data &amp; Mechanisms'!$A$675) + 1, FALSE)&amp;H$82)), "", INDIRECT("'"&amp;$A$81&amp;"'!"&amp;HLOOKUP($A$81, 'Misc. Data &amp; Mechanisms'!$A$675:$E$684,ROW('Misc. Data &amp; Mechanisms'!$A679)-ROW('Misc. Data &amp; Mechanisms'!$A$675) + 1, FALSE)&amp;H$82))</f>
        <v>8.326777408853685</v>
      </c>
      <c r="I86" s="843" t="str">
        <f ca="1">IF(ISBLANK(INDIRECT("'"&amp;$A$81&amp;"'!"&amp;HLOOKUP($A$81, 'Misc. Data &amp; Mechanisms'!$A$675:$E$684,ROW('Misc. Data &amp; Mechanisms'!$A679)-ROW('Misc. Data &amp; Mechanisms'!$A$675) + 1, FALSE)&amp;I$82)), "", INDIRECT("'"&amp;$A$81&amp;"'!"&amp;HLOOKUP($A$81, 'Misc. Data &amp; Mechanisms'!$A$675:$E$684,ROW('Misc. Data &amp; Mechanisms'!$A679)-ROW('Misc. Data &amp; Mechanisms'!$A$675) + 1, FALSE)&amp;I$82))</f>
        <v/>
      </c>
      <c r="J86" s="843" t="str">
        <f ca="1">IF(ISBLANK(INDIRECT("'"&amp;$A$81&amp;"'!"&amp;HLOOKUP($A$81, 'Misc. Data &amp; Mechanisms'!$A$675:$E$684,ROW('Misc. Data &amp; Mechanisms'!$A679)-ROW('Misc. Data &amp; Mechanisms'!$A$675) + 1, FALSE)&amp;J$82)), "", INDIRECT("'"&amp;$A$81&amp;"'!"&amp;HLOOKUP($A$81, 'Misc. Data &amp; Mechanisms'!$A$675:$E$684,ROW('Misc. Data &amp; Mechanisms'!$A679)-ROW('Misc. Data &amp; Mechanisms'!$A$675) + 1, FALSE)&amp;J$82))</f>
        <v/>
      </c>
      <c r="K86" s="843" t="str">
        <f ca="1">IF(ISBLANK(INDIRECT("'"&amp;$A$81&amp;"'!"&amp;HLOOKUP($A$81, 'Misc. Data &amp; Mechanisms'!$A$675:$E$684,ROW('Misc. Data &amp; Mechanisms'!$A679)-ROW('Misc. Data &amp; Mechanisms'!$A$675) + 1, FALSE)&amp;K$82)), "", INDIRECT("'"&amp;$A$81&amp;"'!"&amp;HLOOKUP($A$81, 'Misc. Data &amp; Mechanisms'!$A$675:$E$684,ROW('Misc. Data &amp; Mechanisms'!$A679)-ROW('Misc. Data &amp; Mechanisms'!$A$675) + 1, FALSE)&amp;K$82))</f>
        <v/>
      </c>
      <c r="L86" s="843" t="str">
        <f ca="1">IF(ISBLANK(INDIRECT("'"&amp;$A$81&amp;"'!"&amp;HLOOKUP($A$81, 'Misc. Data &amp; Mechanisms'!$A$675:$E$684,ROW('Misc. Data &amp; Mechanisms'!$A679)-ROW('Misc. Data &amp; Mechanisms'!$A$675) + 1, FALSE)&amp;L$82)), "", INDIRECT("'"&amp;$A$81&amp;"'!"&amp;HLOOKUP($A$81, 'Misc. Data &amp; Mechanisms'!$A$675:$E$684,ROW('Misc. Data &amp; Mechanisms'!$A679)-ROW('Misc. Data &amp; Mechanisms'!$A$675) + 1, FALSE)&amp;L$82))</f>
        <v/>
      </c>
      <c r="M86" s="843" t="str">
        <f ca="1">IF(ISBLANK(INDIRECT("'"&amp;$A$81&amp;"'!"&amp;HLOOKUP($A$81, 'Misc. Data &amp; Mechanisms'!$A$675:$E$684,ROW('Misc. Data &amp; Mechanisms'!$A679)-ROW('Misc. Data &amp; Mechanisms'!$A$675) + 1, FALSE)&amp;M$82)), "", INDIRECT("'"&amp;$A$81&amp;"'!"&amp;HLOOKUP($A$81, 'Misc. Data &amp; Mechanisms'!$A$675:$E$684,ROW('Misc. Data &amp; Mechanisms'!$A679)-ROW('Misc. Data &amp; Mechanisms'!$A$675) + 1, FALSE)&amp;M$82))</f>
        <v/>
      </c>
      <c r="N86" s="843" t="str">
        <f ca="1">IF(ISBLANK(INDIRECT("'"&amp;$A$81&amp;"'!"&amp;HLOOKUP($A$81, 'Misc. Data &amp; Mechanisms'!$A$675:$E$684,ROW('Misc. Data &amp; Mechanisms'!$A679)-ROW('Misc. Data &amp; Mechanisms'!$A$675) + 1, FALSE)&amp;N$82)), "", INDIRECT("'"&amp;$A$81&amp;"'!"&amp;HLOOKUP($A$81, 'Misc. Data &amp; Mechanisms'!$A$675:$E$684,ROW('Misc. Data &amp; Mechanisms'!$A679)-ROW('Misc. Data &amp; Mechanisms'!$A$675) + 1, FALSE)&amp;N$82))</f>
        <v/>
      </c>
      <c r="O86" s="183"/>
      <c r="P86" s="612"/>
      <c r="Q86" s="612"/>
      <c r="R86" s="612"/>
      <c r="S86" s="612"/>
      <c r="T86" s="612"/>
      <c r="U86" s="612"/>
      <c r="V86" s="612"/>
      <c r="W86" s="612"/>
      <c r="X86" s="612"/>
      <c r="Y86" s="647"/>
      <c r="AE86" s="108"/>
      <c r="AF86" s="108"/>
      <c r="AG86" s="108"/>
      <c r="AH86" s="108"/>
    </row>
    <row r="87" spans="1:34" outlineLevel="1" x14ac:dyDescent="0.3">
      <c r="A87" s="1809" t="s">
        <v>63</v>
      </c>
      <c r="B87" s="1810"/>
      <c r="C87" s="843">
        <f ca="1">IFERROR(IF(ISBLANK(INDIRECT("'"&amp;$A$81&amp;"'!"&amp;HLOOKUP($A$81, 'Misc. Data &amp; Mechanisms'!$A$675:$E$684,ROW('Misc. Data &amp; Mechanisms'!$A680)-ROW('Misc. Data &amp; Mechanisms'!$A$675) + 1, FALSE)&amp;C$82)-C88), "", INDIRECT("'"&amp;$A$81&amp;"'!"&amp;HLOOKUP($A$81, 'Misc. Data &amp; Mechanisms'!$A$675:$E$684,ROW('Misc. Data &amp; Mechanisms'!$A680)-ROW('Misc. Data &amp; Mechanisms'!$A$675) + 1, FALSE)&amp;C$82)-C88), "")</f>
        <v>15.633512574909027</v>
      </c>
      <c r="D87" s="843">
        <f ca="1">IFERROR(IF(ISBLANK(INDIRECT("'"&amp;$A$81&amp;"'!"&amp;HLOOKUP($A$81, 'Misc. Data &amp; Mechanisms'!$A$675:$E$684,ROW('Misc. Data &amp; Mechanisms'!$A680)-ROW('Misc. Data &amp; Mechanisms'!$A$675) + 1, FALSE)&amp;D$82)-D88), "", INDIRECT("'"&amp;$A$81&amp;"'!"&amp;HLOOKUP($A$81, 'Misc. Data &amp; Mechanisms'!$A$675:$E$684,ROW('Misc. Data &amp; Mechanisms'!$A680)-ROW('Misc. Data &amp; Mechanisms'!$A$675) + 1, FALSE)&amp;D$82)-D88), "")</f>
        <v>16.2933180673412</v>
      </c>
      <c r="E87" s="843">
        <f ca="1">IFERROR(IF(ISBLANK(INDIRECT("'"&amp;$A$81&amp;"'!"&amp;HLOOKUP($A$81, 'Misc. Data &amp; Mechanisms'!$A$675:$E$684,ROW('Misc. Data &amp; Mechanisms'!$A680)-ROW('Misc. Data &amp; Mechanisms'!$A$675) + 1, FALSE)&amp;E$82)-E88), "", INDIRECT("'"&amp;$A$81&amp;"'!"&amp;HLOOKUP($A$81, 'Misc. Data &amp; Mechanisms'!$A$675:$E$684,ROW('Misc. Data &amp; Mechanisms'!$A680)-ROW('Misc. Data &amp; Mechanisms'!$A$675) + 1, FALSE)&amp;E$82)-E88), "")</f>
        <v>14.980645643015643</v>
      </c>
      <c r="F87" s="843">
        <f ca="1">IFERROR(IF(ISBLANK(INDIRECT("'"&amp;$A$81&amp;"'!"&amp;HLOOKUP($A$81, 'Misc. Data &amp; Mechanisms'!$A$675:$E$684,ROW('Misc. Data &amp; Mechanisms'!$A680)-ROW('Misc. Data &amp; Mechanisms'!$A$675) + 1, FALSE)&amp;F$82)-F88), "", INDIRECT("'"&amp;$A$81&amp;"'!"&amp;HLOOKUP($A$81, 'Misc. Data &amp; Mechanisms'!$A$675:$E$684,ROW('Misc. Data &amp; Mechanisms'!$A680)-ROW('Misc. Data &amp; Mechanisms'!$A$675) + 1, FALSE)&amp;F$82)-F88), "")</f>
        <v>13.777703726461645</v>
      </c>
      <c r="G87" s="843">
        <f ca="1">IFERROR(IF(ISBLANK(INDIRECT("'"&amp;$A$81&amp;"'!"&amp;HLOOKUP($A$81, 'Misc. Data &amp; Mechanisms'!$A$675:$E$684,ROW('Misc. Data &amp; Mechanisms'!$A680)-ROW('Misc. Data &amp; Mechanisms'!$A$675) + 1, FALSE)&amp;G$82)-G88), "", INDIRECT("'"&amp;$A$81&amp;"'!"&amp;HLOOKUP($A$81, 'Misc. Data &amp; Mechanisms'!$A$675:$E$684,ROW('Misc. Data &amp; Mechanisms'!$A680)-ROW('Misc. Data &amp; Mechanisms'!$A$675) + 1, FALSE)&amp;G$82)-G88), "")</f>
        <v>13.297768511495391</v>
      </c>
      <c r="H87" s="843">
        <f ca="1">IFERROR(IF(ISBLANK(INDIRECT("'"&amp;$A$81&amp;"'!"&amp;HLOOKUP($A$81, 'Misc. Data &amp; Mechanisms'!$A$675:$E$684,ROW('Misc. Data &amp; Mechanisms'!$A680)-ROW('Misc. Data &amp; Mechanisms'!$A$675) + 1, FALSE)&amp;H$82)-H88), "", INDIRECT("'"&amp;$A$81&amp;"'!"&amp;HLOOKUP($A$81, 'Misc. Data &amp; Mechanisms'!$A$675:$E$684,ROW('Misc. Data &amp; Mechanisms'!$A680)-ROW('Misc. Data &amp; Mechanisms'!$A$675) + 1, FALSE)&amp;H$82)-H88), "")</f>
        <v>12.922747293722241</v>
      </c>
      <c r="I87" s="843" t="str">
        <f ca="1">IFERROR(IF(ISBLANK(INDIRECT("'"&amp;$A$81&amp;"'!"&amp;HLOOKUP($A$81, 'Misc. Data &amp; Mechanisms'!$A$675:$E$684,ROW('Misc. Data &amp; Mechanisms'!$A680)-ROW('Misc. Data &amp; Mechanisms'!$A$675) + 1, FALSE)&amp;I$82)-I88), "", INDIRECT("'"&amp;$A$81&amp;"'!"&amp;HLOOKUP($A$81, 'Misc. Data &amp; Mechanisms'!$A$675:$E$684,ROW('Misc. Data &amp; Mechanisms'!$A680)-ROW('Misc. Data &amp; Mechanisms'!$A$675) + 1, FALSE)&amp;I$82)-I88), "")</f>
        <v/>
      </c>
      <c r="J87" s="843" t="str">
        <f ca="1">IFERROR(IF(ISBLANK(INDIRECT("'"&amp;$A$81&amp;"'!"&amp;HLOOKUP($A$81, 'Misc. Data &amp; Mechanisms'!$A$675:$E$684,ROW('Misc. Data &amp; Mechanisms'!$A680)-ROW('Misc. Data &amp; Mechanisms'!$A$675) + 1, FALSE)&amp;J$82)-J88), "", INDIRECT("'"&amp;$A$81&amp;"'!"&amp;HLOOKUP($A$81, 'Misc. Data &amp; Mechanisms'!$A$675:$E$684,ROW('Misc. Data &amp; Mechanisms'!$A680)-ROW('Misc. Data &amp; Mechanisms'!$A$675) + 1, FALSE)&amp;J$82)-J88), "")</f>
        <v/>
      </c>
      <c r="K87" s="843" t="str">
        <f ca="1">IFERROR(IF(ISBLANK(INDIRECT("'"&amp;$A$81&amp;"'!"&amp;HLOOKUP($A$81, 'Misc. Data &amp; Mechanisms'!$A$675:$E$684,ROW('Misc. Data &amp; Mechanisms'!$A680)-ROW('Misc. Data &amp; Mechanisms'!$A$675) + 1, FALSE)&amp;K$82)-K88), "", INDIRECT("'"&amp;$A$81&amp;"'!"&amp;HLOOKUP($A$81, 'Misc. Data &amp; Mechanisms'!$A$675:$E$684,ROW('Misc. Data &amp; Mechanisms'!$A680)-ROW('Misc. Data &amp; Mechanisms'!$A$675) + 1, FALSE)&amp;K$82)-K88), "")</f>
        <v/>
      </c>
      <c r="L87" s="843" t="str">
        <f ca="1">IFERROR(IF(ISBLANK(INDIRECT("'"&amp;$A$81&amp;"'!"&amp;HLOOKUP($A$81, 'Misc. Data &amp; Mechanisms'!$A$675:$E$684,ROW('Misc. Data &amp; Mechanisms'!$A680)-ROW('Misc. Data &amp; Mechanisms'!$A$675) + 1, FALSE)&amp;L$82)-L88), "", INDIRECT("'"&amp;$A$81&amp;"'!"&amp;HLOOKUP($A$81, 'Misc. Data &amp; Mechanisms'!$A$675:$E$684,ROW('Misc. Data &amp; Mechanisms'!$A680)-ROW('Misc. Data &amp; Mechanisms'!$A$675) + 1, FALSE)&amp;L$82)-L88), "")</f>
        <v/>
      </c>
      <c r="M87" s="843" t="str">
        <f ca="1">IFERROR(IF(ISBLANK(INDIRECT("'"&amp;$A$81&amp;"'!"&amp;HLOOKUP($A$81, 'Misc. Data &amp; Mechanisms'!$A$675:$E$684,ROW('Misc. Data &amp; Mechanisms'!$A680)-ROW('Misc. Data &amp; Mechanisms'!$A$675) + 1, FALSE)&amp;M$82)-M88), "", INDIRECT("'"&amp;$A$81&amp;"'!"&amp;HLOOKUP($A$81, 'Misc. Data &amp; Mechanisms'!$A$675:$E$684,ROW('Misc. Data &amp; Mechanisms'!$A680)-ROW('Misc. Data &amp; Mechanisms'!$A$675) + 1, FALSE)&amp;M$82)-M88), "")</f>
        <v/>
      </c>
      <c r="N87" s="843" t="str">
        <f ca="1">IFERROR(IF(ISBLANK(INDIRECT("'"&amp;$A$81&amp;"'!"&amp;HLOOKUP($A$81, 'Misc. Data &amp; Mechanisms'!$A$675:$E$684,ROW('Misc. Data &amp; Mechanisms'!$A680)-ROW('Misc. Data &amp; Mechanisms'!$A$675) + 1, FALSE)&amp;N$82)-N88), "", INDIRECT("'"&amp;$A$81&amp;"'!"&amp;HLOOKUP($A$81, 'Misc. Data &amp; Mechanisms'!$A$675:$E$684,ROW('Misc. Data &amp; Mechanisms'!$A680)-ROW('Misc. Data &amp; Mechanisms'!$A$675) + 1, FALSE)&amp;N$82)-N88), "")</f>
        <v/>
      </c>
      <c r="O87" s="846"/>
      <c r="P87" s="847"/>
      <c r="Q87" s="612"/>
      <c r="R87" s="612"/>
      <c r="S87" s="612"/>
      <c r="T87" s="612"/>
      <c r="U87" s="612"/>
      <c r="V87" s="612"/>
      <c r="W87" s="612"/>
      <c r="X87" s="612"/>
      <c r="Y87" s="647"/>
      <c r="AE87" s="108"/>
      <c r="AF87" s="108"/>
      <c r="AG87" s="108"/>
      <c r="AH87" s="108"/>
    </row>
    <row r="88" spans="1:34" outlineLevel="1" x14ac:dyDescent="0.3">
      <c r="A88" s="1809" t="s">
        <v>64</v>
      </c>
      <c r="B88" s="1810"/>
      <c r="C88" s="843">
        <f ca="1">IF(ISBLANK(INDIRECT("'"&amp;$A$81&amp;"'!"&amp;HLOOKUP($A$81, 'Misc. Data &amp; Mechanisms'!$A$675:$E$684,ROW('Misc. Data &amp; Mechanisms'!$A681)-ROW('Misc. Data &amp; Mechanisms'!$A$675) + 1, FALSE)&amp;C$82)), "", INDIRECT("'"&amp;$A$81&amp;"'!"&amp;HLOOKUP($A$81, 'Misc. Data &amp; Mechanisms'!$A$675:$E$684,ROW('Misc. Data &amp; Mechanisms'!$A681)-ROW('Misc. Data &amp; Mechanisms'!$A$675) + 1, FALSE)&amp;C$82))</f>
        <v>1.7934501508302387</v>
      </c>
      <c r="D88" s="843">
        <f ca="1">IF(ISBLANK(INDIRECT("'"&amp;$A$81&amp;"'!"&amp;HLOOKUP($A$81, 'Misc. Data &amp; Mechanisms'!$A$675:$E$684,ROW('Misc. Data &amp; Mechanisms'!$A681)-ROW('Misc. Data &amp; Mechanisms'!$A$675) + 1, FALSE)&amp;D$82)), "", INDIRECT("'"&amp;$A$81&amp;"'!"&amp;HLOOKUP($A$81, 'Misc. Data &amp; Mechanisms'!$A$675:$E$684,ROW('Misc. Data &amp; Mechanisms'!$A681)-ROW('Misc. Data &amp; Mechanisms'!$A$675) + 1, FALSE)&amp;D$82))</f>
        <v>1.8746132328059373</v>
      </c>
      <c r="E88" s="843">
        <f ca="1">IF(ISBLANK(INDIRECT("'"&amp;$A$81&amp;"'!"&amp;HLOOKUP($A$81, 'Misc. Data &amp; Mechanisms'!$A$675:$E$684,ROW('Misc. Data &amp; Mechanisms'!$A681)-ROW('Misc. Data &amp; Mechanisms'!$A$675) + 1, FALSE)&amp;E$82)), "", INDIRECT("'"&amp;$A$81&amp;"'!"&amp;HLOOKUP($A$81, 'Misc. Data &amp; Mechanisms'!$A$675:$E$684,ROW('Misc. Data &amp; Mechanisms'!$A681)-ROW('Misc. Data &amp; Mechanisms'!$A$675) + 1, FALSE)&amp;E$82))</f>
        <v>1.7169103243516355</v>
      </c>
      <c r="F88" s="843">
        <f ca="1">IF(ISBLANK(INDIRECT("'"&amp;$A$81&amp;"'!"&amp;HLOOKUP($A$81, 'Misc. Data &amp; Mechanisms'!$A$675:$E$684,ROW('Misc. Data &amp; Mechanisms'!$A681)-ROW('Misc. Data &amp; Mechanisms'!$A$675) + 1, FALSE)&amp;F$82)), "", INDIRECT("'"&amp;$A$81&amp;"'!"&amp;HLOOKUP($A$81, 'Misc. Data &amp; Mechanisms'!$A$675:$E$684,ROW('Misc. Data &amp; Mechanisms'!$A681)-ROW('Misc. Data &amp; Mechanisms'!$A$675) + 1, FALSE)&amp;F$82))</f>
        <v>1.5195494261160265</v>
      </c>
      <c r="G88" s="843">
        <f ca="1">IF(ISBLANK(INDIRECT("'"&amp;$A$81&amp;"'!"&amp;HLOOKUP($A$81, 'Misc. Data &amp; Mechanisms'!$A$675:$E$684,ROW('Misc. Data &amp; Mechanisms'!$A681)-ROW('Misc. Data &amp; Mechanisms'!$A$675) + 1, FALSE)&amp;G$82)), "", INDIRECT("'"&amp;$A$81&amp;"'!"&amp;HLOOKUP($A$81, 'Misc. Data &amp; Mechanisms'!$A$675:$E$684,ROW('Misc. Data &amp; Mechanisms'!$A681)-ROW('Misc. Data &amp; Mechanisms'!$A$675) + 1, FALSE)&amp;G$82))</f>
        <v>1.4641149486504261</v>
      </c>
      <c r="H88" s="843">
        <f ca="1">IF(ISBLANK(INDIRECT("'"&amp;$A$81&amp;"'!"&amp;HLOOKUP($A$81, 'Misc. Data &amp; Mechanisms'!$A$675:$E$684,ROW('Misc. Data &amp; Mechanisms'!$A681)-ROW('Misc. Data &amp; Mechanisms'!$A$675) + 1, FALSE)&amp;H$82)), "", INDIRECT("'"&amp;$A$81&amp;"'!"&amp;HLOOKUP($A$81, 'Misc. Data &amp; Mechanisms'!$A$675:$E$684,ROW('Misc. Data &amp; Mechanisms'!$A681)-ROW('Misc. Data &amp; Mechanisms'!$A$675) + 1, FALSE)&amp;H$82))</f>
        <v>1.4229781026478086</v>
      </c>
      <c r="I88" s="843" t="str">
        <f ca="1">IF(ISBLANK(INDIRECT("'"&amp;$A$81&amp;"'!"&amp;HLOOKUP($A$81, 'Misc. Data &amp; Mechanisms'!$A$675:$E$684,ROW('Misc. Data &amp; Mechanisms'!$A681)-ROW('Misc. Data &amp; Mechanisms'!$A$675) + 1, FALSE)&amp;I$82)), "", INDIRECT("'"&amp;$A$81&amp;"'!"&amp;HLOOKUP($A$81, 'Misc. Data &amp; Mechanisms'!$A$675:$E$684,ROW('Misc. Data &amp; Mechanisms'!$A681)-ROW('Misc. Data &amp; Mechanisms'!$A$675) + 1, FALSE)&amp;I$82))</f>
        <v/>
      </c>
      <c r="J88" s="843" t="str">
        <f ca="1">IF(ISBLANK(INDIRECT("'"&amp;$A$81&amp;"'!"&amp;HLOOKUP($A$81, 'Misc. Data &amp; Mechanisms'!$A$675:$E$684,ROW('Misc. Data &amp; Mechanisms'!$A681)-ROW('Misc. Data &amp; Mechanisms'!$A$675) + 1, FALSE)&amp;J$82)), "", INDIRECT("'"&amp;$A$81&amp;"'!"&amp;HLOOKUP($A$81, 'Misc. Data &amp; Mechanisms'!$A$675:$E$684,ROW('Misc. Data &amp; Mechanisms'!$A681)-ROW('Misc. Data &amp; Mechanisms'!$A$675) + 1, FALSE)&amp;J$82))</f>
        <v/>
      </c>
      <c r="K88" s="843" t="str">
        <f ca="1">IF(ISBLANK(INDIRECT("'"&amp;$A$81&amp;"'!"&amp;HLOOKUP($A$81, 'Misc. Data &amp; Mechanisms'!$A$675:$E$684,ROW('Misc. Data &amp; Mechanisms'!$A681)-ROW('Misc. Data &amp; Mechanisms'!$A$675) + 1, FALSE)&amp;K$82)), "", INDIRECT("'"&amp;$A$81&amp;"'!"&amp;HLOOKUP($A$81, 'Misc. Data &amp; Mechanisms'!$A$675:$E$684,ROW('Misc. Data &amp; Mechanisms'!$A681)-ROW('Misc. Data &amp; Mechanisms'!$A$675) + 1, FALSE)&amp;K$82))</f>
        <v/>
      </c>
      <c r="L88" s="843" t="str">
        <f ca="1">IF(ISBLANK(INDIRECT("'"&amp;$A$81&amp;"'!"&amp;HLOOKUP($A$81, 'Misc. Data &amp; Mechanisms'!$A$675:$E$684,ROW('Misc. Data &amp; Mechanisms'!$A681)-ROW('Misc. Data &amp; Mechanisms'!$A$675) + 1, FALSE)&amp;L$82)), "", INDIRECT("'"&amp;$A$81&amp;"'!"&amp;HLOOKUP($A$81, 'Misc. Data &amp; Mechanisms'!$A$675:$E$684,ROW('Misc. Data &amp; Mechanisms'!$A681)-ROW('Misc. Data &amp; Mechanisms'!$A$675) + 1, FALSE)&amp;L$82))</f>
        <v/>
      </c>
      <c r="M88" s="843" t="str">
        <f ca="1">IF(ISBLANK(INDIRECT("'"&amp;$A$81&amp;"'!"&amp;HLOOKUP($A$81, 'Misc. Data &amp; Mechanisms'!$A$675:$E$684,ROW('Misc. Data &amp; Mechanisms'!$A681)-ROW('Misc. Data &amp; Mechanisms'!$A$675) + 1, FALSE)&amp;M$82)), "", INDIRECT("'"&amp;$A$81&amp;"'!"&amp;HLOOKUP($A$81, 'Misc. Data &amp; Mechanisms'!$A$675:$E$684,ROW('Misc. Data &amp; Mechanisms'!$A681)-ROW('Misc. Data &amp; Mechanisms'!$A$675) + 1, FALSE)&amp;M$82))</f>
        <v/>
      </c>
      <c r="N88" s="843" t="str">
        <f ca="1">IF(ISBLANK(INDIRECT("'"&amp;$A$81&amp;"'!"&amp;HLOOKUP($A$81, 'Misc. Data &amp; Mechanisms'!$A$675:$E$684,ROW('Misc. Data &amp; Mechanisms'!$A681)-ROW('Misc. Data &amp; Mechanisms'!$A$675) + 1, FALSE)&amp;N$82)), "", INDIRECT("'"&amp;$A$81&amp;"'!"&amp;HLOOKUP($A$81, 'Misc. Data &amp; Mechanisms'!$A$675:$E$684,ROW('Misc. Data &amp; Mechanisms'!$A681)-ROW('Misc. Data &amp; Mechanisms'!$A$675) + 1, FALSE)&amp;N$82))</f>
        <v/>
      </c>
      <c r="O88" s="883"/>
      <c r="P88" s="845"/>
      <c r="Q88" s="612"/>
      <c r="R88" s="612"/>
      <c r="S88" s="612"/>
      <c r="T88" s="612"/>
      <c r="U88" s="612"/>
      <c r="V88" s="612"/>
      <c r="W88" s="612"/>
      <c r="X88" s="612"/>
      <c r="Y88" s="647"/>
      <c r="AE88" s="108"/>
      <c r="AF88" s="108"/>
      <c r="AG88" s="108"/>
      <c r="AH88" s="108"/>
    </row>
    <row r="89" spans="1:34" outlineLevel="1" x14ac:dyDescent="0.3">
      <c r="A89" s="1809" t="s">
        <v>65</v>
      </c>
      <c r="B89" s="1810"/>
      <c r="C89" s="843">
        <f ca="1">IF(ISBLANK(INDIRECT("'"&amp;$A$81&amp;"'!"&amp;HLOOKUP($A$81, 'Misc. Data &amp; Mechanisms'!$A$675:$E$684,ROW('Misc. Data &amp; Mechanisms'!$A682)-ROW('Misc. Data &amp; Mechanisms'!$A$675) + 1, FALSE)&amp;C$82)), "", INDIRECT("'"&amp;$A$81&amp;"'!"&amp;HLOOKUP($A$81, 'Misc. Data &amp; Mechanisms'!$A$675:$E$684,ROW('Misc. Data &amp; Mechanisms'!$A682)-ROW('Misc. Data &amp; Mechanisms'!$A$675) + 1, FALSE)&amp;C$82))</f>
        <v>41.075988634710761</v>
      </c>
      <c r="D89" s="843">
        <f ca="1">IF(ISBLANK(INDIRECT("'"&amp;$A$81&amp;"'!"&amp;HLOOKUP($A$81, 'Misc. Data &amp; Mechanisms'!$A$675:$E$684,ROW('Misc. Data &amp; Mechanisms'!$A682)-ROW('Misc. Data &amp; Mechanisms'!$A$675) + 1, FALSE)&amp;D$82)), "", INDIRECT("'"&amp;$A$81&amp;"'!"&amp;HLOOKUP($A$81, 'Misc. Data &amp; Mechanisms'!$A$675:$E$684,ROW('Misc. Data &amp; Mechanisms'!$A682)-ROW('Misc. Data &amp; Mechanisms'!$A$675) + 1, FALSE)&amp;D$82))</f>
        <v>42.93489384668365</v>
      </c>
      <c r="E89" s="843">
        <f ca="1">IF(ISBLANK(INDIRECT("'"&amp;$A$81&amp;"'!"&amp;HLOOKUP($A$81, 'Misc. Data &amp; Mechanisms'!$A$675:$E$684,ROW('Misc. Data &amp; Mechanisms'!$A682)-ROW('Misc. Data &amp; Mechanisms'!$A$675) + 1, FALSE)&amp;E$82)), "", INDIRECT("'"&amp;$A$81&amp;"'!"&amp;HLOOKUP($A$81, 'Misc. Data &amp; Mechanisms'!$A$675:$E$684,ROW('Misc. Data &amp; Mechanisms'!$A682)-ROW('Misc. Data &amp; Mechanisms'!$A$675) + 1, FALSE)&amp;E$82))</f>
        <v>34.199419529186834</v>
      </c>
      <c r="F89" s="843">
        <f ca="1">IF(ISBLANK(INDIRECT("'"&amp;$A$81&amp;"'!"&amp;HLOOKUP($A$81, 'Misc. Data &amp; Mechanisms'!$A$675:$E$684,ROW('Misc. Data &amp; Mechanisms'!$A682)-ROW('Misc. Data &amp; Mechanisms'!$A$675) + 1, FALSE)&amp;F$82)), "", INDIRECT("'"&amp;$A$81&amp;"'!"&amp;HLOOKUP($A$81, 'Misc. Data &amp; Mechanisms'!$A$675:$E$684,ROW('Misc. Data &amp; Mechanisms'!$A682)-ROW('Misc. Data &amp; Mechanisms'!$A$675) + 1, FALSE)&amp;F$82))</f>
        <v>31.051217137911532</v>
      </c>
      <c r="G89" s="843">
        <f ca="1">IF(ISBLANK(INDIRECT("'"&amp;$A$81&amp;"'!"&amp;HLOOKUP($A$81, 'Misc. Data &amp; Mechanisms'!$A$675:$E$684,ROW('Misc. Data &amp; Mechanisms'!$A682)-ROW('Misc. Data &amp; Mechanisms'!$A$675) + 1, FALSE)&amp;G$82)), "", INDIRECT("'"&amp;$A$81&amp;"'!"&amp;HLOOKUP($A$81, 'Misc. Data &amp; Mechanisms'!$A$675:$E$684,ROW('Misc. Data &amp; Mechanisms'!$A682)-ROW('Misc. Data &amp; Mechanisms'!$A$675) + 1, FALSE)&amp;G$82))</f>
        <v>31.51126480928334</v>
      </c>
      <c r="H89" s="843">
        <f ca="1">IF(ISBLANK(INDIRECT("'"&amp;$A$81&amp;"'!"&amp;HLOOKUP($A$81, 'Misc. Data &amp; Mechanisms'!$A$675:$E$684,ROW('Misc. Data &amp; Mechanisms'!$A682)-ROW('Misc. Data &amp; Mechanisms'!$A$675) + 1, FALSE)&amp;H$82)), "", INDIRECT("'"&amp;$A$81&amp;"'!"&amp;HLOOKUP($A$81, 'Misc. Data &amp; Mechanisms'!$A$675:$E$684,ROW('Misc. Data &amp; Mechanisms'!$A682)-ROW('Misc. Data &amp; Mechanisms'!$A$675) + 1, FALSE)&amp;H$82))</f>
        <v>30.630694018262528</v>
      </c>
      <c r="I89" s="843" t="str">
        <f ca="1">IF(ISBLANK(INDIRECT("'"&amp;$A$81&amp;"'!"&amp;HLOOKUP($A$81, 'Misc. Data &amp; Mechanisms'!$A$675:$E$684,ROW('Misc. Data &amp; Mechanisms'!$A682)-ROW('Misc. Data &amp; Mechanisms'!$A$675) + 1, FALSE)&amp;I$82)), "", INDIRECT("'"&amp;$A$81&amp;"'!"&amp;HLOOKUP($A$81, 'Misc. Data &amp; Mechanisms'!$A$675:$E$684,ROW('Misc. Data &amp; Mechanisms'!$A682)-ROW('Misc. Data &amp; Mechanisms'!$A$675) + 1, FALSE)&amp;I$82))</f>
        <v/>
      </c>
      <c r="J89" s="843" t="str">
        <f ca="1">IF(ISBLANK(INDIRECT("'"&amp;$A$81&amp;"'!"&amp;HLOOKUP($A$81, 'Misc. Data &amp; Mechanisms'!$A$675:$E$684,ROW('Misc. Data &amp; Mechanisms'!$A682)-ROW('Misc. Data &amp; Mechanisms'!$A$675) + 1, FALSE)&amp;J$82)), "", INDIRECT("'"&amp;$A$81&amp;"'!"&amp;HLOOKUP($A$81, 'Misc. Data &amp; Mechanisms'!$A$675:$E$684,ROW('Misc. Data &amp; Mechanisms'!$A682)-ROW('Misc. Data &amp; Mechanisms'!$A$675) + 1, FALSE)&amp;J$82))</f>
        <v/>
      </c>
      <c r="K89" s="843" t="str">
        <f ca="1">IF(ISBLANK(INDIRECT("'"&amp;$A$81&amp;"'!"&amp;HLOOKUP($A$81, 'Misc. Data &amp; Mechanisms'!$A$675:$E$684,ROW('Misc. Data &amp; Mechanisms'!$A682)-ROW('Misc. Data &amp; Mechanisms'!$A$675) + 1, FALSE)&amp;K$82)), "", INDIRECT("'"&amp;$A$81&amp;"'!"&amp;HLOOKUP($A$81, 'Misc. Data &amp; Mechanisms'!$A$675:$E$684,ROW('Misc. Data &amp; Mechanisms'!$A682)-ROW('Misc. Data &amp; Mechanisms'!$A$675) + 1, FALSE)&amp;K$82))</f>
        <v/>
      </c>
      <c r="L89" s="843" t="str">
        <f ca="1">IF(ISBLANK(INDIRECT("'"&amp;$A$81&amp;"'!"&amp;HLOOKUP($A$81, 'Misc. Data &amp; Mechanisms'!$A$675:$E$684,ROW('Misc. Data &amp; Mechanisms'!$A682)-ROW('Misc. Data &amp; Mechanisms'!$A$675) + 1, FALSE)&amp;L$82)), "", INDIRECT("'"&amp;$A$81&amp;"'!"&amp;HLOOKUP($A$81, 'Misc. Data &amp; Mechanisms'!$A$675:$E$684,ROW('Misc. Data &amp; Mechanisms'!$A682)-ROW('Misc. Data &amp; Mechanisms'!$A$675) + 1, FALSE)&amp;L$82))</f>
        <v/>
      </c>
      <c r="M89" s="843" t="str">
        <f ca="1">IF(ISBLANK(INDIRECT("'"&amp;$A$81&amp;"'!"&amp;HLOOKUP($A$81, 'Misc. Data &amp; Mechanisms'!$A$675:$E$684,ROW('Misc. Data &amp; Mechanisms'!$A682)-ROW('Misc. Data &amp; Mechanisms'!$A$675) + 1, FALSE)&amp;M$82)), "", INDIRECT("'"&amp;$A$81&amp;"'!"&amp;HLOOKUP($A$81, 'Misc. Data &amp; Mechanisms'!$A$675:$E$684,ROW('Misc. Data &amp; Mechanisms'!$A682)-ROW('Misc. Data &amp; Mechanisms'!$A$675) + 1, FALSE)&amp;M$82))</f>
        <v/>
      </c>
      <c r="N89" s="843" t="str">
        <f ca="1">IF(ISBLANK(INDIRECT("'"&amp;$A$81&amp;"'!"&amp;HLOOKUP($A$81, 'Misc. Data &amp; Mechanisms'!$A$675:$E$684,ROW('Misc. Data &amp; Mechanisms'!$A682)-ROW('Misc. Data &amp; Mechanisms'!$A$675) + 1, FALSE)&amp;N$82)), "", INDIRECT("'"&amp;$A$81&amp;"'!"&amp;HLOOKUP($A$81, 'Misc. Data &amp; Mechanisms'!$A$675:$E$684,ROW('Misc. Data &amp; Mechanisms'!$A682)-ROW('Misc. Data &amp; Mechanisms'!$A$675) + 1, FALSE)&amp;N$82))</f>
        <v/>
      </c>
      <c r="O89" s="183"/>
      <c r="P89" s="612"/>
      <c r="Q89" s="612"/>
      <c r="R89" s="612"/>
      <c r="S89" s="612"/>
      <c r="T89" s="612"/>
      <c r="U89" s="612"/>
      <c r="V89" s="612"/>
      <c r="W89" s="612"/>
      <c r="X89" s="612"/>
      <c r="Y89" s="647"/>
      <c r="AE89" s="108"/>
      <c r="AF89" s="108"/>
      <c r="AG89" s="108"/>
      <c r="AH89" s="108"/>
    </row>
    <row r="90" spans="1:34" outlineLevel="1" x14ac:dyDescent="0.3">
      <c r="A90" s="1809" t="s">
        <v>66</v>
      </c>
      <c r="B90" s="1810"/>
      <c r="C90" s="843">
        <f ca="1">IF(ISBLANK(INDIRECT("'"&amp;$A$81&amp;"'!"&amp;HLOOKUP($A$81, 'Misc. Data &amp; Mechanisms'!$A$675:$E$684,ROW('Misc. Data &amp; Mechanisms'!$A683)-ROW('Misc. Data &amp; Mechanisms'!$A$675) + 1, FALSE)&amp;C$82)), "", INDIRECT("'"&amp;$A$81&amp;"'!"&amp;HLOOKUP($A$81, 'Misc. Data &amp; Mechanisms'!$A$675:$E$684,ROW('Misc. Data &amp; Mechanisms'!$A683)-ROW('Misc. Data &amp; Mechanisms'!$A$675) + 1, FALSE)&amp;C$82))</f>
        <v>6.3983999999999996</v>
      </c>
      <c r="D90" s="843">
        <f ca="1">IF(ISBLANK(INDIRECT("'"&amp;$A$81&amp;"'!"&amp;HLOOKUP($A$81, 'Misc. Data &amp; Mechanisms'!$A$675:$E$684,ROW('Misc. Data &amp; Mechanisms'!$A683)-ROW('Misc. Data &amp; Mechanisms'!$A$675) + 1, FALSE)&amp;D$82)), "", INDIRECT("'"&amp;$A$81&amp;"'!"&amp;HLOOKUP($A$81, 'Misc. Data &amp; Mechanisms'!$A$675:$E$684,ROW('Misc. Data &amp; Mechanisms'!$A683)-ROW('Misc. Data &amp; Mechanisms'!$A$675) + 1, FALSE)&amp;D$82))</f>
        <v>5.7792000000000003</v>
      </c>
      <c r="E90" s="843">
        <f ca="1">IF(ISBLANK(INDIRECT("'"&amp;$A$81&amp;"'!"&amp;HLOOKUP($A$81, 'Misc. Data &amp; Mechanisms'!$A$675:$E$684,ROW('Misc. Data &amp; Mechanisms'!$A683)-ROW('Misc. Data &amp; Mechanisms'!$A$675) + 1, FALSE)&amp;E$82)), "", INDIRECT("'"&amp;$A$81&amp;"'!"&amp;HLOOKUP($A$81, 'Misc. Data &amp; Mechanisms'!$A$675:$E$684,ROW('Misc. Data &amp; Mechanisms'!$A683)-ROW('Misc. Data &amp; Mechanisms'!$A$675) + 1, FALSE)&amp;E$82))</f>
        <v>6.3983999999999996</v>
      </c>
      <c r="F90" s="843">
        <f ca="1">IF(ISBLANK(INDIRECT("'"&amp;$A$81&amp;"'!"&amp;HLOOKUP($A$81, 'Misc. Data &amp; Mechanisms'!$A$675:$E$684,ROW('Misc. Data &amp; Mechanisms'!$A683)-ROW('Misc. Data &amp; Mechanisms'!$A$675) + 1, FALSE)&amp;F$82)), "", INDIRECT("'"&amp;$A$81&amp;"'!"&amp;HLOOKUP($A$81, 'Misc. Data &amp; Mechanisms'!$A$675:$E$684,ROW('Misc. Data &amp; Mechanisms'!$A683)-ROW('Misc. Data &amp; Mechanisms'!$A$675) + 1, FALSE)&amp;F$82))</f>
        <v>6.1920000000000002</v>
      </c>
      <c r="G90" s="843">
        <f ca="1">IF(ISBLANK(INDIRECT("'"&amp;$A$81&amp;"'!"&amp;HLOOKUP($A$81, 'Misc. Data &amp; Mechanisms'!$A$675:$E$684,ROW('Misc. Data &amp; Mechanisms'!$A683)-ROW('Misc. Data &amp; Mechanisms'!$A$675) + 1, FALSE)&amp;G$82)), "", INDIRECT("'"&amp;$A$81&amp;"'!"&amp;HLOOKUP($A$81, 'Misc. Data &amp; Mechanisms'!$A$675:$E$684,ROW('Misc. Data &amp; Mechanisms'!$A683)-ROW('Misc. Data &amp; Mechanisms'!$A$675) + 1, FALSE)&amp;G$82))</f>
        <v>6.3983999999999996</v>
      </c>
      <c r="H90" s="843">
        <f ca="1">IF(ISBLANK(INDIRECT("'"&amp;$A$81&amp;"'!"&amp;HLOOKUP($A$81, 'Misc. Data &amp; Mechanisms'!$A$675:$E$684,ROW('Misc. Data &amp; Mechanisms'!$A683)-ROW('Misc. Data &amp; Mechanisms'!$A$675) + 1, FALSE)&amp;H$82)), "", INDIRECT("'"&amp;$A$81&amp;"'!"&amp;HLOOKUP($A$81, 'Misc. Data &amp; Mechanisms'!$A$675:$E$684,ROW('Misc. Data &amp; Mechanisms'!$A683)-ROW('Misc. Data &amp; Mechanisms'!$A$675) + 1, FALSE)&amp;H$82))</f>
        <v>6.1920000000000002</v>
      </c>
      <c r="I90" s="843" t="str">
        <f ca="1">IF(ISBLANK(INDIRECT("'"&amp;$A$81&amp;"'!"&amp;HLOOKUP($A$81, 'Misc. Data &amp; Mechanisms'!$A$675:$E$684,ROW('Misc. Data &amp; Mechanisms'!$A683)-ROW('Misc. Data &amp; Mechanisms'!$A$675) + 1, FALSE)&amp;I$82)), "", INDIRECT("'"&amp;$A$81&amp;"'!"&amp;HLOOKUP($A$81, 'Misc. Data &amp; Mechanisms'!$A$675:$E$684,ROW('Misc. Data &amp; Mechanisms'!$A683)-ROW('Misc. Data &amp; Mechanisms'!$A$675) + 1, FALSE)&amp;I$82))</f>
        <v/>
      </c>
      <c r="J90" s="843" t="str">
        <f ca="1">IF(ISBLANK(INDIRECT("'"&amp;$A$81&amp;"'!"&amp;HLOOKUP($A$81, 'Misc. Data &amp; Mechanisms'!$A$675:$E$684,ROW('Misc. Data &amp; Mechanisms'!$A683)-ROW('Misc. Data &amp; Mechanisms'!$A$675) + 1, FALSE)&amp;J$82)), "", INDIRECT("'"&amp;$A$81&amp;"'!"&amp;HLOOKUP($A$81, 'Misc. Data &amp; Mechanisms'!$A$675:$E$684,ROW('Misc. Data &amp; Mechanisms'!$A683)-ROW('Misc. Data &amp; Mechanisms'!$A$675) + 1, FALSE)&amp;J$82))</f>
        <v/>
      </c>
      <c r="K90" s="843" t="str">
        <f ca="1">IF(ISBLANK(INDIRECT("'"&amp;$A$81&amp;"'!"&amp;HLOOKUP($A$81, 'Misc. Data &amp; Mechanisms'!$A$675:$E$684,ROW('Misc. Data &amp; Mechanisms'!$A683)-ROW('Misc. Data &amp; Mechanisms'!$A$675) + 1, FALSE)&amp;K$82)), "", INDIRECT("'"&amp;$A$81&amp;"'!"&amp;HLOOKUP($A$81, 'Misc. Data &amp; Mechanisms'!$A$675:$E$684,ROW('Misc. Data &amp; Mechanisms'!$A683)-ROW('Misc. Data &amp; Mechanisms'!$A$675) + 1, FALSE)&amp;K$82))</f>
        <v/>
      </c>
      <c r="L90" s="843" t="str">
        <f ca="1">IF(ISBLANK(INDIRECT("'"&amp;$A$81&amp;"'!"&amp;HLOOKUP($A$81, 'Misc. Data &amp; Mechanisms'!$A$675:$E$684,ROW('Misc. Data &amp; Mechanisms'!$A683)-ROW('Misc. Data &amp; Mechanisms'!$A$675) + 1, FALSE)&amp;L$82)), "", INDIRECT("'"&amp;$A$81&amp;"'!"&amp;HLOOKUP($A$81, 'Misc. Data &amp; Mechanisms'!$A$675:$E$684,ROW('Misc. Data &amp; Mechanisms'!$A683)-ROW('Misc. Data &amp; Mechanisms'!$A$675) + 1, FALSE)&amp;L$82))</f>
        <v/>
      </c>
      <c r="M90" s="843" t="str">
        <f ca="1">IF(ISBLANK(INDIRECT("'"&amp;$A$81&amp;"'!"&amp;HLOOKUP($A$81, 'Misc. Data &amp; Mechanisms'!$A$675:$E$684,ROW('Misc. Data &amp; Mechanisms'!$A683)-ROW('Misc. Data &amp; Mechanisms'!$A$675) + 1, FALSE)&amp;M$82)), "", INDIRECT("'"&amp;$A$81&amp;"'!"&amp;HLOOKUP($A$81, 'Misc. Data &amp; Mechanisms'!$A$675:$E$684,ROW('Misc. Data &amp; Mechanisms'!$A683)-ROW('Misc. Data &amp; Mechanisms'!$A$675) + 1, FALSE)&amp;M$82))</f>
        <v/>
      </c>
      <c r="N90" s="843" t="str">
        <f ca="1">IF(ISBLANK(INDIRECT("'"&amp;$A$81&amp;"'!"&amp;HLOOKUP($A$81, 'Misc. Data &amp; Mechanisms'!$A$675:$E$684,ROW('Misc. Data &amp; Mechanisms'!$A683)-ROW('Misc. Data &amp; Mechanisms'!$A$675) + 1, FALSE)&amp;N$82)), "", INDIRECT("'"&amp;$A$81&amp;"'!"&amp;HLOOKUP($A$81, 'Misc. Data &amp; Mechanisms'!$A$675:$E$684,ROW('Misc. Data &amp; Mechanisms'!$A683)-ROW('Misc. Data &amp; Mechanisms'!$A$675) + 1, FALSE)&amp;N$82))</f>
        <v/>
      </c>
      <c r="O90" s="183"/>
      <c r="P90" s="612"/>
      <c r="Q90" s="612"/>
      <c r="R90" s="612"/>
      <c r="S90" s="612"/>
      <c r="T90" s="612"/>
      <c r="U90" s="612"/>
      <c r="V90" s="612"/>
      <c r="W90" s="612"/>
      <c r="X90" s="612"/>
      <c r="Y90" s="647"/>
    </row>
    <row r="91" spans="1:34" outlineLevel="1" x14ac:dyDescent="0.3">
      <c r="A91" s="1809" t="s">
        <v>21</v>
      </c>
      <c r="B91" s="1810"/>
      <c r="C91" s="843">
        <f ca="1">IF(ISBLANK(INDIRECT("'"&amp;$A$81&amp;"'!"&amp;HLOOKUP($A$81, 'Misc. Data &amp; Mechanisms'!$A$675:$E$684,ROW('Misc. Data &amp; Mechanisms'!$A684)-ROW('Misc. Data &amp; Mechanisms'!$A$675) + 1, FALSE)&amp;C$82)), "", INDIRECT("'"&amp;$A$81&amp;"'!"&amp;HLOOKUP($A$81, 'Misc. Data &amp; Mechanisms'!$A$675:$E$684,ROW('Misc. Data &amp; Mechanisms'!$A684)-ROW('Misc. Data &amp; Mechanisms'!$A$675) + 1, FALSE)&amp;C$82))</f>
        <v>5.4716168389352049</v>
      </c>
      <c r="D91" s="843">
        <f ca="1">IF(ISBLANK(INDIRECT("'"&amp;$A$81&amp;"'!"&amp;HLOOKUP($A$81, 'Misc. Data &amp; Mechanisms'!$A$675:$E$684,ROW('Misc. Data &amp; Mechanisms'!$A684)-ROW('Misc. Data &amp; Mechanisms'!$A$675) + 1, FALSE)&amp;D$82)), "", INDIRECT("'"&amp;$A$81&amp;"'!"&amp;HLOOKUP($A$81, 'Misc. Data &amp; Mechanisms'!$A$675:$E$684,ROW('Misc. Data &amp; Mechanisms'!$A684)-ROW('Misc. Data &amp; Mechanisms'!$A$675) + 1, FALSE)&amp;D$82))</f>
        <v>5.5437636491230808</v>
      </c>
      <c r="E91" s="843">
        <f ca="1">IF(ISBLANK(INDIRECT("'"&amp;$A$81&amp;"'!"&amp;HLOOKUP($A$81, 'Misc. Data &amp; Mechanisms'!$A$675:$E$684,ROW('Misc. Data &amp; Mechanisms'!$A684)-ROW('Misc. Data &amp; Mechanisms'!$A$675) + 1, FALSE)&amp;E$82)), "", INDIRECT("'"&amp;$A$81&amp;"'!"&amp;HLOOKUP($A$81, 'Misc. Data &amp; Mechanisms'!$A$675:$E$684,ROW('Misc. Data &amp; Mechanisms'!$A684)-ROW('Misc. Data &amp; Mechanisms'!$A$675) + 1, FALSE)&amp;E$82))</f>
        <v>5.0061899662675131</v>
      </c>
      <c r="F91" s="843">
        <f ca="1">IF(ISBLANK(INDIRECT("'"&amp;$A$81&amp;"'!"&amp;HLOOKUP($A$81, 'Misc. Data &amp; Mechanisms'!$A$675:$E$684,ROW('Misc. Data &amp; Mechanisms'!$A684)-ROW('Misc. Data &amp; Mechanisms'!$A$675) + 1, FALSE)&amp;F$82)), "", INDIRECT("'"&amp;$A$81&amp;"'!"&amp;HLOOKUP($A$81, 'Misc. Data &amp; Mechanisms'!$A$675:$E$684,ROW('Misc. Data &amp; Mechanisms'!$A684)-ROW('Misc. Data &amp; Mechanisms'!$A$675) + 1, FALSE)&amp;F$82))</f>
        <v>4.6036860711256553</v>
      </c>
      <c r="G91" s="843">
        <f ca="1">IF(ISBLANK(INDIRECT("'"&amp;$A$81&amp;"'!"&amp;HLOOKUP($A$81, 'Misc. Data &amp; Mechanisms'!$A$675:$E$684,ROW('Misc. Data &amp; Mechanisms'!$A684)-ROW('Misc. Data &amp; Mechanisms'!$A$675) + 1, FALSE)&amp;G$82)), "", INDIRECT("'"&amp;$A$81&amp;"'!"&amp;HLOOKUP($A$81, 'Misc. Data &amp; Mechanisms'!$A$675:$E$684,ROW('Misc. Data &amp; Mechanisms'!$A684)-ROW('Misc. Data &amp; Mechanisms'!$A$675) + 1, FALSE)&amp;G$82))</f>
        <v>4.607699677135991</v>
      </c>
      <c r="H91" s="843">
        <f ca="1">IF(ISBLANK(INDIRECT("'"&amp;$A$81&amp;"'!"&amp;HLOOKUP($A$81, 'Misc. Data &amp; Mechanisms'!$A$675:$E$684,ROW('Misc. Data &amp; Mechanisms'!$A684)-ROW('Misc. Data &amp; Mechanisms'!$A$675) + 1, FALSE)&amp;H$82)), "", INDIRECT("'"&amp;$A$81&amp;"'!"&amp;HLOOKUP($A$81, 'Misc. Data &amp; Mechanisms'!$A$675:$E$684,ROW('Misc. Data &amp; Mechanisms'!$A684)-ROW('Misc. Data &amp; Mechanisms'!$A$675) + 1, FALSE)&amp;H$82))</f>
        <v>4.4733634468844867</v>
      </c>
      <c r="I91" s="843" t="str">
        <f ca="1">IF(ISBLANK(INDIRECT("'"&amp;$A$81&amp;"'!"&amp;HLOOKUP($A$81, 'Misc. Data &amp; Mechanisms'!$A$675:$E$684,ROW('Misc. Data &amp; Mechanisms'!$A684)-ROW('Misc. Data &amp; Mechanisms'!$A$675) + 1, FALSE)&amp;I$82)), "", INDIRECT("'"&amp;$A$81&amp;"'!"&amp;HLOOKUP($A$81, 'Misc. Data &amp; Mechanisms'!$A$675:$E$684,ROW('Misc. Data &amp; Mechanisms'!$A684)-ROW('Misc. Data &amp; Mechanisms'!$A$675) + 1, FALSE)&amp;I$82))</f>
        <v/>
      </c>
      <c r="J91" s="843" t="str">
        <f ca="1">IF(ISBLANK(INDIRECT("'"&amp;$A$81&amp;"'!"&amp;HLOOKUP($A$81, 'Misc. Data &amp; Mechanisms'!$A$675:$E$684,ROW('Misc. Data &amp; Mechanisms'!$A684)-ROW('Misc. Data &amp; Mechanisms'!$A$675) + 1, FALSE)&amp;J$82)), "", INDIRECT("'"&amp;$A$81&amp;"'!"&amp;HLOOKUP($A$81, 'Misc. Data &amp; Mechanisms'!$A$675:$E$684,ROW('Misc. Data &amp; Mechanisms'!$A684)-ROW('Misc. Data &amp; Mechanisms'!$A$675) + 1, FALSE)&amp;J$82))</f>
        <v/>
      </c>
      <c r="K91" s="843" t="str">
        <f ca="1">IF(ISBLANK(INDIRECT("'"&amp;$A$81&amp;"'!"&amp;HLOOKUP($A$81, 'Misc. Data &amp; Mechanisms'!$A$675:$E$684,ROW('Misc. Data &amp; Mechanisms'!$A684)-ROW('Misc. Data &amp; Mechanisms'!$A$675) + 1, FALSE)&amp;K$82)), "", INDIRECT("'"&amp;$A$81&amp;"'!"&amp;HLOOKUP($A$81, 'Misc. Data &amp; Mechanisms'!$A$675:$E$684,ROW('Misc. Data &amp; Mechanisms'!$A684)-ROW('Misc. Data &amp; Mechanisms'!$A$675) + 1, FALSE)&amp;K$82))</f>
        <v/>
      </c>
      <c r="L91" s="843" t="str">
        <f ca="1">IF(ISBLANK(INDIRECT("'"&amp;$A$81&amp;"'!"&amp;HLOOKUP($A$81, 'Misc. Data &amp; Mechanisms'!$A$675:$E$684,ROW('Misc. Data &amp; Mechanisms'!$A684)-ROW('Misc. Data &amp; Mechanisms'!$A$675) + 1, FALSE)&amp;L$82)), "", INDIRECT("'"&amp;$A$81&amp;"'!"&amp;HLOOKUP($A$81, 'Misc. Data &amp; Mechanisms'!$A$675:$E$684,ROW('Misc. Data &amp; Mechanisms'!$A684)-ROW('Misc. Data &amp; Mechanisms'!$A$675) + 1, FALSE)&amp;L$82))</f>
        <v/>
      </c>
      <c r="M91" s="843" t="str">
        <f ca="1">IF(ISBLANK(INDIRECT("'"&amp;$A$81&amp;"'!"&amp;HLOOKUP($A$81, 'Misc. Data &amp; Mechanisms'!$A$675:$E$684,ROW('Misc. Data &amp; Mechanisms'!$A684)-ROW('Misc. Data &amp; Mechanisms'!$A$675) + 1, FALSE)&amp;M$82)), "", INDIRECT("'"&amp;$A$81&amp;"'!"&amp;HLOOKUP($A$81, 'Misc. Data &amp; Mechanisms'!$A$675:$E$684,ROW('Misc. Data &amp; Mechanisms'!$A684)-ROW('Misc. Data &amp; Mechanisms'!$A$675) + 1, FALSE)&amp;M$82))</f>
        <v/>
      </c>
      <c r="N91" s="843" t="str">
        <f ca="1">IF(ISBLANK(INDIRECT("'"&amp;$A$81&amp;"'!"&amp;HLOOKUP($A$81, 'Misc. Data &amp; Mechanisms'!$A$675:$E$684,ROW('Misc. Data &amp; Mechanisms'!$A684)-ROW('Misc. Data &amp; Mechanisms'!$A$675) + 1, FALSE)&amp;N$82)), "", INDIRECT("'"&amp;$A$81&amp;"'!"&amp;HLOOKUP($A$81, 'Misc. Data &amp; Mechanisms'!$A$675:$E$684,ROW('Misc. Data &amp; Mechanisms'!$A684)-ROW('Misc. Data &amp; Mechanisms'!$A$675) + 1, FALSE)&amp;N$82))</f>
        <v/>
      </c>
      <c r="O91" s="183"/>
      <c r="P91" s="612"/>
      <c r="Q91" s="612"/>
      <c r="R91" s="612"/>
      <c r="S91" s="612"/>
      <c r="T91" s="612"/>
      <c r="U91" s="612"/>
      <c r="V91" s="612"/>
      <c r="W91" s="612"/>
      <c r="X91" s="612"/>
      <c r="Y91" s="647"/>
    </row>
    <row r="92" spans="1:34" outlineLevel="1" x14ac:dyDescent="0.3">
      <c r="A92" s="1822" t="s">
        <v>70</v>
      </c>
      <c r="B92" s="1823"/>
      <c r="C92" s="848">
        <f t="shared" ref="C92:N92" ca="1" si="1">SUM(C83:C91)</f>
        <v>114.90395361763929</v>
      </c>
      <c r="D92" s="848">
        <f t="shared" ca="1" si="1"/>
        <v>116.41903663158466</v>
      </c>
      <c r="E92" s="848">
        <f t="shared" ca="1" si="1"/>
        <v>105.12998929161778</v>
      </c>
      <c r="F92" s="848">
        <f t="shared" ca="1" si="1"/>
        <v>96.677407493638754</v>
      </c>
      <c r="G92" s="884">
        <f ca="1">SUM(G83:G91)</f>
        <v>96.7616932198558</v>
      </c>
      <c r="H92" s="848">
        <f t="shared" ca="1" si="1"/>
        <v>93.940632384574229</v>
      </c>
      <c r="I92" s="848">
        <f t="shared" ca="1" si="1"/>
        <v>0</v>
      </c>
      <c r="J92" s="848">
        <f t="shared" ca="1" si="1"/>
        <v>0</v>
      </c>
      <c r="K92" s="848">
        <f t="shared" ca="1" si="1"/>
        <v>0</v>
      </c>
      <c r="L92" s="848">
        <f t="shared" ca="1" si="1"/>
        <v>0</v>
      </c>
      <c r="M92" s="848">
        <f t="shared" ca="1" si="1"/>
        <v>0</v>
      </c>
      <c r="N92" s="848">
        <f t="shared" ca="1" si="1"/>
        <v>0</v>
      </c>
      <c r="O92" s="183"/>
      <c r="P92" s="612"/>
      <c r="Q92" s="612"/>
      <c r="R92" s="612"/>
      <c r="S92" s="612"/>
      <c r="T92" s="612"/>
      <c r="U92" s="612"/>
      <c r="V92" s="612"/>
      <c r="W92" s="612"/>
      <c r="X92" s="612"/>
      <c r="Y92" s="647"/>
    </row>
    <row r="93" spans="1:34" outlineLevel="1" x14ac:dyDescent="0.3">
      <c r="A93" s="1824"/>
      <c r="B93" s="1825"/>
      <c r="C93" s="123"/>
      <c r="D93" s="123"/>
      <c r="E93" s="123"/>
      <c r="F93" s="123"/>
      <c r="G93" s="123"/>
      <c r="H93" s="123"/>
      <c r="I93" s="123"/>
      <c r="J93" s="123"/>
      <c r="K93" s="123"/>
      <c r="L93" s="123"/>
      <c r="M93" s="123"/>
      <c r="N93" s="123"/>
      <c r="O93" s="612"/>
      <c r="P93" s="612"/>
      <c r="Q93" s="612"/>
      <c r="R93" s="612"/>
      <c r="S93" s="612"/>
      <c r="T93" s="612"/>
      <c r="U93" s="612"/>
      <c r="V93" s="612"/>
      <c r="W93" s="612"/>
      <c r="X93" s="612"/>
      <c r="Y93" s="647"/>
    </row>
    <row r="94" spans="1:34" outlineLevel="1" x14ac:dyDescent="0.3">
      <c r="A94" s="646"/>
      <c r="B94" s="612"/>
      <c r="O94" s="612"/>
      <c r="P94" s="612"/>
      <c r="Q94" s="612"/>
      <c r="R94" s="612"/>
      <c r="S94" s="612"/>
      <c r="T94" s="612"/>
      <c r="U94" s="612"/>
      <c r="V94" s="612"/>
      <c r="W94" s="612"/>
      <c r="X94" s="612"/>
      <c r="Y94" s="647"/>
    </row>
    <row r="95" spans="1:34" outlineLevel="1" x14ac:dyDescent="0.3">
      <c r="A95" s="646"/>
      <c r="B95" s="612"/>
      <c r="C95" s="612"/>
      <c r="D95" s="612"/>
      <c r="E95" s="612"/>
      <c r="F95" s="612"/>
      <c r="G95" s="612"/>
      <c r="H95" s="612"/>
      <c r="I95" s="612"/>
      <c r="J95" s="612"/>
      <c r="K95" s="612"/>
      <c r="L95" s="612"/>
      <c r="M95" s="612"/>
      <c r="N95" s="612"/>
      <c r="O95" s="612"/>
      <c r="P95" s="612"/>
      <c r="Q95" s="612"/>
      <c r="R95" s="612"/>
      <c r="S95" s="612"/>
      <c r="T95" s="612"/>
      <c r="U95" s="612"/>
      <c r="V95" s="612"/>
      <c r="W95" s="612"/>
      <c r="X95" s="612"/>
      <c r="Y95" s="647"/>
    </row>
    <row r="96" spans="1:34" outlineLevel="1" x14ac:dyDescent="0.3">
      <c r="A96" s="646"/>
      <c r="B96" s="612"/>
      <c r="C96" s="612"/>
      <c r="D96" s="612"/>
      <c r="E96" s="612"/>
      <c r="F96" s="612"/>
      <c r="G96" s="612"/>
      <c r="H96" s="612"/>
      <c r="I96" s="612"/>
      <c r="J96" s="612"/>
      <c r="K96" s="612"/>
      <c r="L96" s="612"/>
      <c r="M96" s="612"/>
      <c r="N96" s="612"/>
      <c r="O96" s="612"/>
      <c r="P96" s="612"/>
      <c r="Q96" s="612"/>
      <c r="R96" s="612"/>
      <c r="S96" s="612"/>
      <c r="T96" s="612"/>
      <c r="U96" s="612"/>
      <c r="V96" s="612"/>
      <c r="W96" s="612"/>
      <c r="X96" s="612"/>
      <c r="Y96" s="647"/>
    </row>
    <row r="97" spans="1:25" outlineLevel="1" x14ac:dyDescent="0.3">
      <c r="A97" s="646"/>
      <c r="B97" s="612"/>
      <c r="C97" s="612"/>
      <c r="D97" s="612"/>
      <c r="E97" s="612"/>
      <c r="F97" s="612"/>
      <c r="G97" s="612"/>
      <c r="H97" s="612"/>
      <c r="I97" s="612"/>
      <c r="J97" s="612"/>
      <c r="K97" s="612"/>
      <c r="L97" s="612"/>
      <c r="M97" s="612"/>
      <c r="N97" s="612"/>
      <c r="O97" s="612"/>
      <c r="P97" s="612"/>
      <c r="Q97" s="612"/>
      <c r="R97" s="612"/>
      <c r="S97" s="612"/>
      <c r="T97" s="612"/>
      <c r="U97" s="612"/>
      <c r="V97" s="612"/>
      <c r="W97" s="612"/>
      <c r="X97" s="612"/>
      <c r="Y97" s="647"/>
    </row>
    <row r="98" spans="1:25" outlineLevel="1" x14ac:dyDescent="0.3">
      <c r="A98" s="646"/>
      <c r="B98" s="612"/>
      <c r="C98" s="612"/>
      <c r="D98" s="612"/>
      <c r="E98" s="612"/>
      <c r="F98" s="612"/>
      <c r="G98" s="612"/>
      <c r="H98" s="612"/>
      <c r="I98" s="612"/>
      <c r="J98" s="612"/>
      <c r="K98" s="612"/>
      <c r="L98" s="612"/>
      <c r="M98" s="612"/>
      <c r="N98" s="612"/>
      <c r="O98" s="612"/>
      <c r="P98" s="612"/>
      <c r="Q98" s="612"/>
      <c r="R98" s="612"/>
      <c r="S98" s="612"/>
      <c r="T98" s="612"/>
      <c r="U98" s="612"/>
      <c r="V98" s="612"/>
      <c r="W98" s="612"/>
      <c r="X98" s="612"/>
      <c r="Y98" s="647"/>
    </row>
    <row r="99" spans="1:25" outlineLevel="1" x14ac:dyDescent="0.3">
      <c r="A99" s="646"/>
      <c r="B99" s="612"/>
      <c r="C99" s="612"/>
      <c r="D99" s="612"/>
      <c r="E99" s="612"/>
      <c r="F99" s="612"/>
      <c r="G99" s="612"/>
      <c r="H99" s="612"/>
      <c r="I99" s="612"/>
      <c r="J99" s="612"/>
      <c r="K99" s="612"/>
      <c r="L99" s="612"/>
      <c r="M99" s="612"/>
      <c r="N99" s="612"/>
      <c r="O99" s="612"/>
      <c r="P99" s="612"/>
      <c r="Q99" s="612"/>
      <c r="R99" s="612"/>
      <c r="S99" s="612"/>
      <c r="T99" s="612"/>
      <c r="U99" s="612"/>
      <c r="V99" s="612"/>
      <c r="W99" s="612"/>
      <c r="X99" s="612"/>
      <c r="Y99" s="647"/>
    </row>
    <row r="100" spans="1:25" outlineLevel="1" x14ac:dyDescent="0.3">
      <c r="A100" s="646"/>
      <c r="B100" s="612"/>
      <c r="C100" s="612"/>
      <c r="D100" s="612"/>
      <c r="E100" s="612"/>
      <c r="F100" s="612"/>
      <c r="G100" s="612"/>
      <c r="H100" s="612"/>
      <c r="I100" s="612"/>
      <c r="J100" s="612"/>
      <c r="K100" s="612"/>
      <c r="L100" s="612"/>
      <c r="M100" s="612"/>
      <c r="N100" s="612"/>
      <c r="O100" s="612"/>
      <c r="P100" s="612"/>
      <c r="Q100" s="612"/>
      <c r="R100" s="612"/>
      <c r="S100" s="612"/>
      <c r="T100" s="612"/>
      <c r="U100" s="612"/>
      <c r="V100" s="612"/>
      <c r="W100" s="612"/>
      <c r="X100" s="612"/>
      <c r="Y100" s="647"/>
    </row>
    <row r="101" spans="1:25" outlineLevel="1" x14ac:dyDescent="0.3">
      <c r="A101" s="646"/>
      <c r="B101" s="612"/>
      <c r="C101" s="612"/>
      <c r="D101" s="612"/>
      <c r="E101" s="612"/>
      <c r="F101" s="612"/>
      <c r="G101" s="612"/>
      <c r="H101" s="612"/>
      <c r="I101" s="612"/>
      <c r="J101" s="612"/>
      <c r="K101" s="612"/>
      <c r="L101" s="612"/>
      <c r="M101" s="612"/>
      <c r="N101" s="612"/>
      <c r="O101" s="612"/>
      <c r="P101" s="612"/>
      <c r="Q101" s="612"/>
      <c r="R101" s="612"/>
      <c r="S101" s="612"/>
      <c r="T101" s="612"/>
      <c r="U101" s="612"/>
      <c r="V101" s="612"/>
      <c r="W101" s="612"/>
      <c r="X101" s="612"/>
      <c r="Y101" s="647"/>
    </row>
    <row r="102" spans="1:25" outlineLevel="1" x14ac:dyDescent="0.3">
      <c r="A102" s="646"/>
      <c r="B102" s="612"/>
      <c r="C102" s="612"/>
      <c r="D102" s="612"/>
      <c r="E102" s="612"/>
      <c r="F102" s="612"/>
      <c r="G102" s="612"/>
      <c r="H102" s="612"/>
      <c r="I102" s="612"/>
      <c r="J102" s="612"/>
      <c r="K102" s="612"/>
      <c r="L102" s="612"/>
      <c r="M102" s="612"/>
      <c r="N102" s="612"/>
      <c r="O102" s="612"/>
      <c r="P102" s="612"/>
      <c r="Q102" s="612"/>
      <c r="R102" s="612"/>
      <c r="S102" s="612"/>
      <c r="T102" s="612"/>
      <c r="U102" s="612"/>
      <c r="V102" s="612"/>
      <c r="W102" s="612"/>
      <c r="X102" s="612"/>
      <c r="Y102" s="647"/>
    </row>
    <row r="103" spans="1:25" outlineLevel="1" x14ac:dyDescent="0.3">
      <c r="A103" s="646"/>
      <c r="B103" s="612"/>
      <c r="C103" s="612"/>
      <c r="D103" s="612"/>
      <c r="E103" s="612"/>
      <c r="F103" s="612"/>
      <c r="G103" s="612"/>
      <c r="H103" s="612"/>
      <c r="I103" s="612"/>
      <c r="J103" s="612"/>
      <c r="K103" s="612"/>
      <c r="L103" s="612"/>
      <c r="M103" s="612"/>
      <c r="N103" s="612"/>
      <c r="O103" s="612"/>
      <c r="P103" s="612"/>
      <c r="Q103" s="612"/>
      <c r="R103" s="612"/>
      <c r="S103" s="612"/>
      <c r="T103" s="612"/>
      <c r="U103" s="612"/>
      <c r="V103" s="612"/>
      <c r="W103" s="612"/>
      <c r="X103" s="612"/>
      <c r="Y103" s="647"/>
    </row>
    <row r="104" spans="1:25" outlineLevel="1" x14ac:dyDescent="0.3">
      <c r="A104" s="646"/>
      <c r="B104" s="612"/>
      <c r="C104" s="612"/>
      <c r="D104" s="612"/>
      <c r="E104" s="612"/>
      <c r="F104" s="612"/>
      <c r="G104" s="612"/>
      <c r="H104" s="612"/>
      <c r="I104" s="612"/>
      <c r="J104" s="612"/>
      <c r="K104" s="612"/>
      <c r="L104" s="612"/>
      <c r="M104" s="612"/>
      <c r="N104" s="612"/>
      <c r="O104" s="612"/>
      <c r="P104" s="612"/>
      <c r="Q104" s="612"/>
      <c r="R104" s="612"/>
      <c r="S104" s="612"/>
      <c r="T104" s="612"/>
      <c r="U104" s="612"/>
      <c r="V104" s="612"/>
      <c r="W104" s="612"/>
      <c r="X104" s="612"/>
      <c r="Y104" s="647"/>
    </row>
    <row r="105" spans="1:25" outlineLevel="1" x14ac:dyDescent="0.3">
      <c r="A105" s="646"/>
      <c r="B105" s="612"/>
      <c r="C105" s="612"/>
      <c r="D105" s="612"/>
      <c r="E105" s="612"/>
      <c r="F105" s="612"/>
      <c r="G105" s="612"/>
      <c r="H105" s="612"/>
      <c r="I105" s="612"/>
      <c r="J105" s="612"/>
      <c r="K105" s="612"/>
      <c r="L105" s="612"/>
      <c r="M105" s="612"/>
      <c r="N105" s="612"/>
      <c r="O105" s="612"/>
      <c r="P105" s="612"/>
      <c r="Q105" s="612"/>
      <c r="R105" s="612"/>
      <c r="S105" s="612"/>
      <c r="T105" s="612"/>
      <c r="U105" s="612"/>
      <c r="V105" s="612"/>
      <c r="W105" s="612"/>
      <c r="X105" s="612"/>
      <c r="Y105" s="647"/>
    </row>
    <row r="106" spans="1:25" outlineLevel="1" x14ac:dyDescent="0.3">
      <c r="A106" s="646"/>
      <c r="B106" s="612"/>
      <c r="C106" s="612"/>
      <c r="D106" s="612"/>
      <c r="E106" s="612"/>
      <c r="F106" s="612"/>
      <c r="G106" s="612"/>
      <c r="H106" s="612"/>
      <c r="I106" s="612"/>
      <c r="J106" s="612"/>
      <c r="K106" s="612"/>
      <c r="L106" s="612"/>
      <c r="M106" s="612"/>
      <c r="N106" s="612"/>
      <c r="O106" s="612"/>
      <c r="P106" s="612"/>
      <c r="Q106" s="612"/>
      <c r="R106" s="612"/>
      <c r="S106" s="612"/>
      <c r="T106" s="612"/>
      <c r="U106" s="612"/>
      <c r="V106" s="612"/>
      <c r="W106" s="612"/>
      <c r="X106" s="612"/>
      <c r="Y106" s="647"/>
    </row>
    <row r="107" spans="1:25" outlineLevel="1" x14ac:dyDescent="0.3">
      <c r="A107" s="646"/>
      <c r="B107" s="612"/>
      <c r="C107" s="612"/>
      <c r="D107" s="612"/>
      <c r="E107" s="612"/>
      <c r="F107" s="612"/>
      <c r="G107" s="612"/>
      <c r="H107" s="612"/>
      <c r="I107" s="612"/>
      <c r="J107" s="612"/>
      <c r="K107" s="612"/>
      <c r="L107" s="612"/>
      <c r="M107" s="612"/>
      <c r="N107" s="612"/>
      <c r="O107" s="612"/>
      <c r="P107" s="612"/>
      <c r="Q107" s="612"/>
      <c r="R107" s="612"/>
      <c r="S107" s="612"/>
      <c r="T107" s="612"/>
      <c r="U107" s="612"/>
      <c r="V107" s="612"/>
      <c r="W107" s="612"/>
      <c r="X107" s="612"/>
      <c r="Y107" s="647"/>
    </row>
    <row r="108" spans="1:25" outlineLevel="1" x14ac:dyDescent="0.3">
      <c r="A108" s="646"/>
      <c r="B108" s="612"/>
      <c r="C108" s="612"/>
      <c r="D108" s="612"/>
      <c r="E108" s="612"/>
      <c r="F108" s="612"/>
      <c r="G108" s="612"/>
      <c r="H108" s="612"/>
      <c r="I108" s="612"/>
      <c r="J108" s="612"/>
      <c r="K108" s="612"/>
      <c r="L108" s="612"/>
      <c r="M108" s="612"/>
      <c r="N108" s="612"/>
      <c r="O108" s="612"/>
      <c r="P108" s="612"/>
      <c r="Q108" s="612"/>
      <c r="R108" s="612"/>
      <c r="S108" s="612"/>
      <c r="T108" s="612"/>
      <c r="U108" s="612"/>
      <c r="V108" s="612"/>
      <c r="W108" s="612"/>
      <c r="X108" s="612"/>
      <c r="Y108" s="647"/>
    </row>
    <row r="109" spans="1:25" outlineLevel="1" x14ac:dyDescent="0.3">
      <c r="A109" s="646"/>
      <c r="B109" s="612"/>
      <c r="C109" s="612"/>
      <c r="D109" s="612"/>
      <c r="E109" s="612"/>
      <c r="F109" s="612"/>
      <c r="G109" s="612"/>
      <c r="H109" s="612"/>
      <c r="I109" s="612"/>
      <c r="J109" s="612"/>
      <c r="K109" s="612"/>
      <c r="L109" s="612"/>
      <c r="M109" s="612"/>
      <c r="N109" s="612"/>
      <c r="O109" s="612"/>
      <c r="P109" s="612"/>
      <c r="Q109" s="612"/>
      <c r="R109" s="612"/>
      <c r="S109" s="612"/>
      <c r="T109" s="612"/>
      <c r="U109" s="612"/>
      <c r="V109" s="612"/>
      <c r="W109" s="612"/>
      <c r="X109" s="612"/>
      <c r="Y109" s="647"/>
    </row>
    <row r="110" spans="1:25" outlineLevel="1" x14ac:dyDescent="0.3">
      <c r="A110" s="646"/>
      <c r="B110" s="612"/>
      <c r="C110" s="612"/>
      <c r="D110" s="612"/>
      <c r="E110" s="612"/>
      <c r="F110" s="612"/>
      <c r="G110" s="612"/>
      <c r="H110" s="612"/>
      <c r="I110" s="612"/>
      <c r="J110" s="612"/>
      <c r="K110" s="612"/>
      <c r="L110" s="612"/>
      <c r="M110" s="612"/>
      <c r="N110" s="612"/>
      <c r="O110" s="612"/>
      <c r="P110" s="612"/>
      <c r="Q110" s="612"/>
      <c r="R110" s="612"/>
      <c r="S110" s="612"/>
      <c r="T110" s="612"/>
      <c r="U110" s="612"/>
      <c r="V110" s="612"/>
      <c r="W110" s="612"/>
      <c r="X110" s="612"/>
      <c r="Y110" s="647"/>
    </row>
    <row r="111" spans="1:25" outlineLevel="1" x14ac:dyDescent="0.3">
      <c r="A111" s="646"/>
      <c r="B111" s="612"/>
      <c r="C111" s="612"/>
      <c r="D111" s="612"/>
      <c r="E111" s="612"/>
      <c r="F111" s="612"/>
      <c r="G111" s="612"/>
      <c r="H111" s="612"/>
      <c r="I111" s="612"/>
      <c r="J111" s="612"/>
      <c r="K111" s="612"/>
      <c r="L111" s="612"/>
      <c r="M111" s="612"/>
      <c r="N111" s="612"/>
      <c r="O111" s="612"/>
      <c r="P111" s="612"/>
      <c r="Q111" s="612"/>
      <c r="R111" s="612"/>
      <c r="S111" s="612"/>
      <c r="T111" s="612"/>
      <c r="U111" s="612"/>
      <c r="V111" s="612"/>
      <c r="W111" s="612"/>
      <c r="X111" s="612"/>
      <c r="Y111" s="647"/>
    </row>
    <row r="112" spans="1:25" outlineLevel="1" x14ac:dyDescent="0.3">
      <c r="A112" s="646"/>
      <c r="B112" s="612"/>
      <c r="C112" s="612"/>
      <c r="D112" s="612"/>
      <c r="E112" s="612"/>
      <c r="F112" s="612"/>
      <c r="G112" s="612"/>
      <c r="H112" s="612"/>
      <c r="I112" s="612"/>
      <c r="J112" s="612"/>
      <c r="K112" s="612"/>
      <c r="L112" s="612"/>
      <c r="M112" s="612"/>
      <c r="N112" s="612"/>
      <c r="O112" s="612"/>
      <c r="P112" s="612"/>
      <c r="Q112" s="612"/>
      <c r="R112" s="612"/>
      <c r="S112" s="612"/>
      <c r="T112" s="612"/>
      <c r="U112" s="612"/>
      <c r="V112" s="612"/>
      <c r="W112" s="612"/>
      <c r="X112" s="612"/>
      <c r="Y112" s="647"/>
    </row>
    <row r="113" spans="1:34" ht="14.5" outlineLevel="1" thickBot="1" x14ac:dyDescent="0.35">
      <c r="A113" s="702"/>
      <c r="B113" s="703"/>
      <c r="C113" s="703"/>
      <c r="D113" s="703"/>
      <c r="E113" s="703"/>
      <c r="F113" s="703"/>
      <c r="G113" s="703"/>
      <c r="H113" s="703"/>
      <c r="I113" s="703"/>
      <c r="J113" s="703"/>
      <c r="K113" s="703"/>
      <c r="L113" s="703"/>
      <c r="M113" s="703"/>
      <c r="N113" s="703"/>
      <c r="O113" s="703"/>
      <c r="P113" s="703"/>
      <c r="Q113" s="703"/>
      <c r="R113" s="703"/>
      <c r="S113" s="703"/>
      <c r="T113" s="703"/>
      <c r="U113" s="703"/>
      <c r="V113" s="703"/>
      <c r="W113" s="703"/>
      <c r="X113" s="703"/>
      <c r="Y113" s="704"/>
    </row>
    <row r="114" spans="1:34" ht="16.5" customHeight="1" x14ac:dyDescent="0.3">
      <c r="A114" s="1826" t="s">
        <v>623</v>
      </c>
      <c r="B114" s="1826"/>
      <c r="C114" s="1826"/>
      <c r="D114" s="1826"/>
      <c r="E114" s="1826"/>
      <c r="F114" s="1826"/>
      <c r="G114" s="1826"/>
      <c r="H114" s="1826"/>
      <c r="I114" s="1826"/>
      <c r="J114" s="1826"/>
      <c r="K114" s="1826"/>
      <c r="L114" s="1826"/>
      <c r="M114" s="1826"/>
      <c r="N114" s="1826"/>
      <c r="O114" s="1826"/>
      <c r="P114" s="1826"/>
      <c r="Q114" s="1826"/>
      <c r="R114" s="1826"/>
      <c r="S114" s="1826"/>
      <c r="T114" s="1826"/>
      <c r="U114" s="1826"/>
      <c r="V114" s="1826"/>
      <c r="W114" s="1826"/>
      <c r="X114" s="1826"/>
      <c r="Y114" s="1826"/>
    </row>
    <row r="115" spans="1:34" ht="16.5" customHeight="1" x14ac:dyDescent="0.3">
      <c r="A115" s="1827"/>
      <c r="B115" s="1827"/>
      <c r="C115" s="1827"/>
      <c r="D115" s="1827"/>
      <c r="E115" s="1827"/>
      <c r="F115" s="1827"/>
      <c r="G115" s="1827"/>
      <c r="H115" s="1827"/>
      <c r="I115" s="1827"/>
      <c r="J115" s="1827"/>
      <c r="K115" s="1827"/>
      <c r="L115" s="1827"/>
      <c r="M115" s="1827"/>
      <c r="N115" s="1827"/>
      <c r="O115" s="1827"/>
      <c r="P115" s="1827"/>
      <c r="Q115" s="1827"/>
      <c r="R115" s="1827"/>
      <c r="S115" s="1827"/>
      <c r="T115" s="1827"/>
      <c r="U115" s="1827"/>
      <c r="V115" s="1827"/>
      <c r="W115" s="1827"/>
      <c r="X115" s="1827"/>
      <c r="Y115" s="1827"/>
    </row>
    <row r="116" spans="1:34" s="719" customFormat="1" ht="16.5" customHeight="1" x14ac:dyDescent="0.3">
      <c r="A116" s="1813"/>
      <c r="B116" s="1813"/>
      <c r="C116" s="852"/>
      <c r="D116" s="852"/>
      <c r="E116" s="852"/>
      <c r="F116" s="852"/>
      <c r="G116" s="852"/>
      <c r="H116" s="852"/>
      <c r="I116" s="852"/>
      <c r="J116" s="852"/>
      <c r="K116" s="852"/>
      <c r="L116" s="852"/>
      <c r="M116" s="852"/>
      <c r="N116" s="852"/>
      <c r="O116" s="852"/>
      <c r="P116" s="852"/>
      <c r="Q116" s="852"/>
      <c r="R116" s="852"/>
      <c r="S116" s="852"/>
      <c r="T116" s="852"/>
      <c r="U116" s="852"/>
      <c r="V116" s="852"/>
      <c r="W116" s="852"/>
      <c r="X116" s="852"/>
      <c r="Y116" s="852"/>
    </row>
    <row r="117" spans="1:34" s="719" customFormat="1" ht="16.5" customHeight="1" thickBot="1" x14ac:dyDescent="0.35">
      <c r="A117" s="1821"/>
      <c r="B117" s="1821"/>
      <c r="C117" s="852"/>
      <c r="D117" s="852"/>
      <c r="E117" s="852"/>
      <c r="F117" s="852"/>
      <c r="G117" s="852"/>
      <c r="H117" s="852"/>
      <c r="I117" s="852"/>
      <c r="J117" s="852"/>
      <c r="K117" s="852"/>
      <c r="L117" s="852"/>
      <c r="M117" s="852"/>
      <c r="N117" s="852"/>
      <c r="O117" s="852"/>
      <c r="P117" s="852"/>
      <c r="Q117" s="852"/>
      <c r="R117" s="852"/>
      <c r="S117" s="852"/>
      <c r="T117" s="852"/>
      <c r="U117" s="852"/>
      <c r="V117" s="852"/>
      <c r="W117" s="852"/>
      <c r="X117" s="852"/>
      <c r="Y117" s="852"/>
    </row>
    <row r="118" spans="1:34" ht="16.5" customHeight="1" outlineLevel="1" x14ac:dyDescent="0.3">
      <c r="A118" s="1637" t="s">
        <v>381</v>
      </c>
      <c r="B118" s="1638"/>
      <c r="C118" s="1638"/>
      <c r="D118" s="1638"/>
      <c r="E118" s="1638"/>
      <c r="F118" s="1638"/>
      <c r="G118" s="1638"/>
      <c r="H118" s="1638"/>
      <c r="I118" s="1638"/>
      <c r="J118" s="1638"/>
      <c r="K118" s="1638"/>
      <c r="L118" s="1638"/>
      <c r="M118" s="1638"/>
      <c r="N118" s="1638"/>
      <c r="O118" s="1638"/>
      <c r="P118" s="1638"/>
      <c r="Q118" s="1638"/>
      <c r="R118" s="1638"/>
      <c r="S118" s="1638"/>
      <c r="T118" s="1638"/>
      <c r="U118" s="1638"/>
      <c r="V118" s="1638"/>
      <c r="W118" s="1638"/>
      <c r="X118" s="1638"/>
      <c r="Y118" s="1639"/>
    </row>
    <row r="119" spans="1:34" ht="16.5" customHeight="1" outlineLevel="1" thickBot="1" x14ac:dyDescent="0.35">
      <c r="A119" s="1834"/>
      <c r="B119" s="1835"/>
      <c r="C119" s="1835"/>
      <c r="D119" s="1835"/>
      <c r="E119" s="1835"/>
      <c r="F119" s="1835"/>
      <c r="G119" s="1835"/>
      <c r="H119" s="1835"/>
      <c r="I119" s="1835"/>
      <c r="J119" s="1835"/>
      <c r="K119" s="1835"/>
      <c r="L119" s="1835"/>
      <c r="M119" s="1835"/>
      <c r="N119" s="1835"/>
      <c r="O119" s="1835"/>
      <c r="P119" s="1835"/>
      <c r="Q119" s="1835"/>
      <c r="R119" s="1835"/>
      <c r="S119" s="1835"/>
      <c r="T119" s="1835"/>
      <c r="U119" s="1835"/>
      <c r="V119" s="1835"/>
      <c r="W119" s="1835"/>
      <c r="X119" s="1835"/>
      <c r="Y119" s="1836"/>
    </row>
    <row r="120" spans="1:34" ht="14.5" outlineLevel="1" thickBot="1" x14ac:dyDescent="0.35">
      <c r="A120" s="1814"/>
      <c r="B120" s="1815"/>
      <c r="C120" s="612"/>
      <c r="D120" s="612"/>
      <c r="E120" s="612"/>
      <c r="F120" s="612"/>
      <c r="G120" s="612"/>
      <c r="H120" s="612"/>
      <c r="I120" s="612"/>
      <c r="J120" s="612"/>
      <c r="K120" s="612"/>
      <c r="L120" s="612"/>
      <c r="M120" s="612"/>
      <c r="N120" s="612"/>
      <c r="O120" s="612"/>
      <c r="P120" s="612"/>
      <c r="Q120" s="612"/>
      <c r="R120" s="612"/>
      <c r="S120" s="612"/>
      <c r="T120" s="612"/>
      <c r="U120" s="612"/>
      <c r="V120" s="612"/>
      <c r="W120" s="612"/>
      <c r="X120" s="612"/>
      <c r="Y120" s="647"/>
    </row>
    <row r="121" spans="1:34" ht="20.5" outlineLevel="1" thickBot="1" x14ac:dyDescent="0.35">
      <c r="A121" s="849" t="s">
        <v>54</v>
      </c>
      <c r="B121" s="25" t="str">
        <f>HYPERLINK("#"&amp;ADDRESS(ROW(), COLUMN()-1), "€")</f>
        <v>€</v>
      </c>
      <c r="C121" s="737"/>
      <c r="D121" s="737"/>
      <c r="E121" s="737"/>
      <c r="F121" s="737"/>
      <c r="G121" s="737"/>
      <c r="H121" s="885"/>
      <c r="I121" s="612"/>
      <c r="J121" s="612"/>
      <c r="K121" s="612"/>
      <c r="L121" s="612"/>
      <c r="M121" s="612"/>
      <c r="N121" s="612"/>
      <c r="O121" s="612"/>
      <c r="P121" s="612"/>
      <c r="Q121" s="612"/>
      <c r="R121" s="612"/>
      <c r="S121" s="612"/>
      <c r="T121" s="612"/>
      <c r="U121" s="612"/>
      <c r="V121" s="612"/>
      <c r="W121" s="612"/>
      <c r="X121" s="612"/>
      <c r="Y121" s="647"/>
    </row>
    <row r="122" spans="1:34" ht="21" customHeight="1" outlineLevel="1" x14ac:dyDescent="0.3">
      <c r="A122" s="1816"/>
      <c r="B122" s="1817"/>
      <c r="C122" s="612"/>
      <c r="D122" s="612"/>
      <c r="E122" s="612"/>
      <c r="F122" s="612"/>
      <c r="G122" s="612"/>
      <c r="H122" s="612"/>
      <c r="I122" s="612"/>
      <c r="J122" s="612"/>
      <c r="K122" s="612"/>
      <c r="L122" s="612"/>
      <c r="M122" s="612"/>
      <c r="N122" s="612"/>
      <c r="O122" s="612"/>
      <c r="P122" s="612"/>
      <c r="Q122" s="612"/>
      <c r="R122" s="612"/>
      <c r="S122" s="612"/>
      <c r="T122" s="612"/>
      <c r="U122" s="612"/>
      <c r="V122" s="612"/>
      <c r="W122" s="612"/>
      <c r="X122" s="612"/>
      <c r="Y122" s="647"/>
      <c r="AA122" s="1078"/>
      <c r="AB122" s="1078"/>
      <c r="AC122" s="1078"/>
      <c r="AD122" s="1078"/>
      <c r="AE122" s="1078"/>
      <c r="AF122" s="1078"/>
      <c r="AG122" s="1078"/>
      <c r="AH122" s="1078"/>
    </row>
    <row r="123" spans="1:34" outlineLevel="1" x14ac:dyDescent="0.3">
      <c r="A123" s="850"/>
      <c r="B123" s="851"/>
      <c r="C123" s="851"/>
      <c r="D123" s="851"/>
      <c r="E123" s="851"/>
      <c r="F123" s="851"/>
      <c r="G123" s="851"/>
      <c r="H123" s="851"/>
      <c r="I123" s="851"/>
      <c r="J123" s="851"/>
      <c r="K123" s="851"/>
      <c r="L123" s="851"/>
      <c r="M123" s="851"/>
      <c r="N123" s="851"/>
      <c r="O123" s="851"/>
      <c r="P123" s="851"/>
      <c r="Q123" s="851"/>
      <c r="R123" s="851"/>
      <c r="S123" s="612"/>
      <c r="T123" s="612"/>
      <c r="U123" s="612"/>
      <c r="V123" s="612"/>
      <c r="W123" s="612"/>
      <c r="X123" s="612"/>
      <c r="Y123" s="647"/>
    </row>
    <row r="124" spans="1:34" outlineLevel="1" x14ac:dyDescent="0.3">
      <c r="A124" s="850"/>
      <c r="B124" s="851"/>
      <c r="C124" s="851"/>
      <c r="D124" s="851"/>
      <c r="E124" s="851"/>
      <c r="F124" s="851"/>
      <c r="G124" s="851"/>
      <c r="H124" s="851"/>
      <c r="I124" s="851"/>
      <c r="J124" s="851"/>
      <c r="K124" s="851"/>
      <c r="L124" s="851"/>
      <c r="M124" s="851"/>
      <c r="N124" s="851"/>
      <c r="O124" s="851"/>
      <c r="P124" s="851"/>
      <c r="Q124" s="851"/>
      <c r="R124" s="851"/>
      <c r="S124" s="612"/>
      <c r="T124" s="612"/>
      <c r="U124" s="612"/>
      <c r="V124" s="612"/>
      <c r="W124" s="612"/>
      <c r="X124" s="612"/>
      <c r="Y124" s="647"/>
    </row>
    <row r="125" spans="1:34" outlineLevel="1" x14ac:dyDescent="0.3">
      <c r="A125" s="850"/>
      <c r="B125" s="851"/>
      <c r="C125" s="851"/>
      <c r="D125" s="851"/>
      <c r="E125" s="851"/>
      <c r="F125" s="851"/>
      <c r="G125" s="851"/>
      <c r="H125" s="851"/>
      <c r="I125" s="851"/>
      <c r="J125" s="851"/>
      <c r="K125" s="851"/>
      <c r="L125" s="851"/>
      <c r="M125" s="851"/>
      <c r="N125" s="851"/>
      <c r="O125" s="851"/>
      <c r="P125" s="851"/>
      <c r="Q125" s="851"/>
      <c r="R125" s="851"/>
      <c r="S125" s="612"/>
      <c r="T125" s="612"/>
      <c r="U125" s="612"/>
      <c r="V125" s="612"/>
      <c r="W125" s="612"/>
      <c r="X125" s="612"/>
      <c r="Y125" s="647"/>
    </row>
    <row r="126" spans="1:34" outlineLevel="1" x14ac:dyDescent="0.3">
      <c r="A126" s="850"/>
      <c r="B126" s="851"/>
      <c r="C126" s="851"/>
      <c r="D126" s="851"/>
      <c r="E126" s="851"/>
      <c r="F126" s="851"/>
      <c r="G126" s="851"/>
      <c r="H126" s="851"/>
      <c r="I126" s="851"/>
      <c r="J126" s="851"/>
      <c r="K126" s="851"/>
      <c r="L126" s="851"/>
      <c r="M126" s="851"/>
      <c r="N126" s="851"/>
      <c r="O126" s="851"/>
      <c r="P126" s="851"/>
      <c r="Q126" s="851"/>
      <c r="R126" s="851"/>
      <c r="S126" s="612"/>
      <c r="T126" s="612"/>
      <c r="U126" s="612"/>
      <c r="V126" s="612"/>
      <c r="W126" s="612"/>
      <c r="X126" s="612"/>
      <c r="Y126" s="647"/>
    </row>
    <row r="127" spans="1:34" outlineLevel="1" x14ac:dyDescent="0.3">
      <c r="A127" s="850"/>
      <c r="B127" s="851"/>
      <c r="C127" s="851"/>
      <c r="D127" s="851"/>
      <c r="E127" s="851"/>
      <c r="F127" s="851"/>
      <c r="G127" s="851"/>
      <c r="H127" s="851"/>
      <c r="I127" s="851"/>
      <c r="J127" s="851"/>
      <c r="K127" s="851"/>
      <c r="L127" s="851"/>
      <c r="M127" s="851"/>
      <c r="N127" s="851"/>
      <c r="O127" s="851"/>
      <c r="P127" s="851"/>
      <c r="Q127" s="851"/>
      <c r="R127" s="851"/>
      <c r="S127" s="612"/>
      <c r="T127" s="612"/>
      <c r="U127" s="612"/>
      <c r="V127" s="612"/>
      <c r="W127" s="612"/>
      <c r="X127" s="612"/>
      <c r="Y127" s="647"/>
    </row>
    <row r="128" spans="1:34" outlineLevel="1" x14ac:dyDescent="0.3">
      <c r="A128" s="850"/>
      <c r="B128" s="851"/>
      <c r="C128" s="851"/>
      <c r="D128" s="851"/>
      <c r="E128" s="851"/>
      <c r="F128" s="851"/>
      <c r="G128" s="851"/>
      <c r="H128" s="851"/>
      <c r="I128" s="851"/>
      <c r="J128" s="851"/>
      <c r="K128" s="851"/>
      <c r="L128" s="851"/>
      <c r="M128" s="851"/>
      <c r="N128" s="851"/>
      <c r="O128" s="851"/>
      <c r="P128" s="851"/>
      <c r="Q128" s="851"/>
      <c r="R128" s="851"/>
      <c r="S128" s="612"/>
      <c r="T128" s="612"/>
      <c r="U128" s="612"/>
      <c r="V128" s="612"/>
      <c r="W128" s="612"/>
      <c r="X128" s="612"/>
      <c r="Y128" s="647"/>
    </row>
    <row r="129" spans="1:25" outlineLevel="1" x14ac:dyDescent="0.3">
      <c r="A129" s="850"/>
      <c r="B129" s="851"/>
      <c r="C129" s="851"/>
      <c r="D129" s="851"/>
      <c r="E129" s="851"/>
      <c r="F129" s="851"/>
      <c r="G129" s="851"/>
      <c r="H129" s="851"/>
      <c r="I129" s="851"/>
      <c r="J129" s="851"/>
      <c r="K129" s="851"/>
      <c r="L129" s="851"/>
      <c r="M129" s="851"/>
      <c r="N129" s="851"/>
      <c r="O129" s="851"/>
      <c r="P129" s="851"/>
      <c r="Q129" s="851"/>
      <c r="R129" s="851"/>
      <c r="S129" s="612"/>
      <c r="T129" s="612"/>
      <c r="U129" s="612"/>
      <c r="V129" s="612"/>
      <c r="W129" s="612"/>
      <c r="X129" s="612"/>
      <c r="Y129" s="647"/>
    </row>
    <row r="130" spans="1:25" outlineLevel="1" x14ac:dyDescent="0.3">
      <c r="A130" s="850"/>
      <c r="B130" s="851"/>
      <c r="C130" s="851"/>
      <c r="D130" s="851"/>
      <c r="E130" s="851"/>
      <c r="F130" s="851"/>
      <c r="G130" s="851"/>
      <c r="H130" s="851"/>
      <c r="I130" s="851"/>
      <c r="J130" s="851"/>
      <c r="K130" s="851"/>
      <c r="L130" s="851"/>
      <c r="M130" s="851"/>
      <c r="N130" s="851"/>
      <c r="O130" s="851"/>
      <c r="P130" s="851"/>
      <c r="Q130" s="851"/>
      <c r="R130" s="851"/>
      <c r="S130" s="612"/>
      <c r="T130" s="612"/>
      <c r="U130" s="612"/>
      <c r="V130" s="612"/>
      <c r="W130" s="612"/>
      <c r="X130" s="612"/>
      <c r="Y130" s="647"/>
    </row>
    <row r="131" spans="1:25" outlineLevel="1" x14ac:dyDescent="0.3">
      <c r="A131" s="850"/>
      <c r="B131" s="851"/>
      <c r="C131" s="851"/>
      <c r="D131" s="851"/>
      <c r="E131" s="851"/>
      <c r="F131" s="851"/>
      <c r="G131" s="851"/>
      <c r="H131" s="851"/>
      <c r="I131" s="851"/>
      <c r="J131" s="851"/>
      <c r="K131" s="851"/>
      <c r="L131" s="851"/>
      <c r="M131" s="851"/>
      <c r="N131" s="851"/>
      <c r="O131" s="851"/>
      <c r="P131" s="851"/>
      <c r="Q131" s="851"/>
      <c r="R131" s="851"/>
      <c r="S131" s="612"/>
      <c r="T131" s="612"/>
      <c r="U131" s="612"/>
      <c r="V131" s="612"/>
      <c r="W131" s="612"/>
      <c r="X131" s="612"/>
      <c r="Y131" s="647"/>
    </row>
    <row r="132" spans="1:25" outlineLevel="1" x14ac:dyDescent="0.3">
      <c r="A132" s="850"/>
      <c r="B132" s="851"/>
      <c r="C132" s="851"/>
      <c r="D132" s="851"/>
      <c r="E132" s="851"/>
      <c r="F132" s="851"/>
      <c r="G132" s="851"/>
      <c r="H132" s="851"/>
      <c r="I132" s="851"/>
      <c r="J132" s="851"/>
      <c r="K132" s="851"/>
      <c r="L132" s="851"/>
      <c r="M132" s="851"/>
      <c r="N132" s="851"/>
      <c r="O132" s="851"/>
      <c r="P132" s="851"/>
      <c r="Q132" s="851"/>
      <c r="R132" s="851"/>
      <c r="S132" s="612"/>
      <c r="T132" s="612"/>
      <c r="U132" s="612"/>
      <c r="V132" s="612"/>
      <c r="W132" s="612"/>
      <c r="X132" s="612"/>
      <c r="Y132" s="647"/>
    </row>
    <row r="133" spans="1:25" outlineLevel="1" x14ac:dyDescent="0.3">
      <c r="A133" s="850"/>
      <c r="B133" s="851"/>
      <c r="C133" s="851"/>
      <c r="D133" s="851"/>
      <c r="E133" s="851"/>
      <c r="F133" s="851"/>
      <c r="G133" s="851"/>
      <c r="H133" s="851"/>
      <c r="I133" s="851"/>
      <c r="J133" s="851"/>
      <c r="K133" s="851"/>
      <c r="L133" s="851"/>
      <c r="M133" s="851"/>
      <c r="N133" s="851"/>
      <c r="O133" s="851"/>
      <c r="P133" s="851"/>
      <c r="Q133" s="851"/>
      <c r="R133" s="851"/>
      <c r="S133" s="612"/>
      <c r="T133" s="612"/>
      <c r="U133" s="612"/>
      <c r="V133" s="612"/>
      <c r="W133" s="612"/>
      <c r="X133" s="612"/>
      <c r="Y133" s="647"/>
    </row>
    <row r="134" spans="1:25" outlineLevel="1" x14ac:dyDescent="0.3">
      <c r="A134" s="850"/>
      <c r="B134" s="851"/>
      <c r="C134" s="851"/>
      <c r="D134" s="851"/>
      <c r="E134" s="851"/>
      <c r="F134" s="851"/>
      <c r="G134" s="851"/>
      <c r="H134" s="851"/>
      <c r="I134" s="851"/>
      <c r="J134" s="851"/>
      <c r="K134" s="851"/>
      <c r="L134" s="851"/>
      <c r="M134" s="851"/>
      <c r="N134" s="851"/>
      <c r="O134" s="851"/>
      <c r="P134" s="851"/>
      <c r="Q134" s="851"/>
      <c r="R134" s="851"/>
      <c r="S134" s="612"/>
      <c r="T134" s="612"/>
      <c r="U134" s="612"/>
      <c r="V134" s="612"/>
      <c r="W134" s="612"/>
      <c r="X134" s="612"/>
      <c r="Y134" s="647"/>
    </row>
    <row r="135" spans="1:25" outlineLevel="1" x14ac:dyDescent="0.3">
      <c r="A135" s="850"/>
      <c r="B135" s="851"/>
      <c r="C135" s="851"/>
      <c r="D135" s="851"/>
      <c r="E135" s="851"/>
      <c r="F135" s="851"/>
      <c r="G135" s="851"/>
      <c r="H135" s="851"/>
      <c r="I135" s="851"/>
      <c r="J135" s="851"/>
      <c r="K135" s="851"/>
      <c r="L135" s="851"/>
      <c r="M135" s="851"/>
      <c r="N135" s="851"/>
      <c r="O135" s="851"/>
      <c r="P135" s="851"/>
      <c r="Q135" s="851"/>
      <c r="R135" s="851"/>
      <c r="S135" s="612"/>
      <c r="T135" s="612"/>
      <c r="U135" s="612"/>
      <c r="V135" s="612"/>
      <c r="W135" s="612"/>
      <c r="X135" s="612"/>
      <c r="Y135" s="647"/>
    </row>
    <row r="136" spans="1:25" outlineLevel="1" x14ac:dyDescent="0.3">
      <c r="A136" s="850"/>
      <c r="B136" s="851"/>
      <c r="C136" s="851"/>
      <c r="D136" s="851"/>
      <c r="E136" s="851"/>
      <c r="F136" s="851"/>
      <c r="G136" s="851"/>
      <c r="H136" s="851"/>
      <c r="I136" s="851"/>
      <c r="J136" s="851"/>
      <c r="K136" s="851"/>
      <c r="L136" s="851"/>
      <c r="M136" s="851"/>
      <c r="N136" s="851"/>
      <c r="O136" s="851"/>
      <c r="P136" s="851"/>
      <c r="Q136" s="851"/>
      <c r="R136" s="851"/>
      <c r="S136" s="612"/>
      <c r="T136" s="612"/>
      <c r="U136" s="612"/>
      <c r="V136" s="612"/>
      <c r="W136" s="612"/>
      <c r="X136" s="612"/>
      <c r="Y136" s="647"/>
    </row>
    <row r="137" spans="1:25" outlineLevel="1" x14ac:dyDescent="0.3">
      <c r="A137" s="850"/>
      <c r="B137" s="851"/>
      <c r="C137" s="851"/>
      <c r="D137" s="851"/>
      <c r="E137" s="851"/>
      <c r="F137" s="851"/>
      <c r="G137" s="851"/>
      <c r="H137" s="851"/>
      <c r="I137" s="851"/>
      <c r="J137" s="851"/>
      <c r="K137" s="851"/>
      <c r="L137" s="851"/>
      <c r="M137" s="851"/>
      <c r="N137" s="851"/>
      <c r="O137" s="851"/>
      <c r="P137" s="851"/>
      <c r="Q137" s="851"/>
      <c r="R137" s="851"/>
      <c r="S137" s="612"/>
      <c r="T137" s="612"/>
      <c r="U137" s="612"/>
      <c r="V137" s="612"/>
      <c r="W137" s="612"/>
      <c r="X137" s="612"/>
      <c r="Y137" s="647"/>
    </row>
    <row r="138" spans="1:25" outlineLevel="1" x14ac:dyDescent="0.3">
      <c r="A138" s="850"/>
      <c r="B138" s="851"/>
      <c r="C138" s="851"/>
      <c r="D138" s="851"/>
      <c r="E138" s="851"/>
      <c r="F138" s="851"/>
      <c r="G138" s="851"/>
      <c r="H138" s="851"/>
      <c r="I138" s="851"/>
      <c r="J138" s="851"/>
      <c r="K138" s="851"/>
      <c r="L138" s="851"/>
      <c r="M138" s="851"/>
      <c r="N138" s="851"/>
      <c r="O138" s="851"/>
      <c r="P138" s="851"/>
      <c r="Q138" s="851"/>
      <c r="R138" s="851"/>
      <c r="S138" s="612"/>
      <c r="T138" s="612"/>
      <c r="U138" s="612"/>
      <c r="V138" s="612"/>
      <c r="W138" s="612"/>
      <c r="X138" s="612"/>
      <c r="Y138" s="647"/>
    </row>
    <row r="139" spans="1:25" outlineLevel="1" x14ac:dyDescent="0.3">
      <c r="A139" s="850"/>
      <c r="B139" s="851"/>
      <c r="C139" s="851"/>
      <c r="D139" s="851"/>
      <c r="E139" s="851"/>
      <c r="F139" s="851"/>
      <c r="G139" s="851"/>
      <c r="H139" s="851"/>
      <c r="I139" s="851"/>
      <c r="J139" s="851"/>
      <c r="K139" s="851"/>
      <c r="L139" s="851"/>
      <c r="M139" s="851"/>
      <c r="N139" s="851"/>
      <c r="O139" s="851"/>
      <c r="P139" s="851"/>
      <c r="Q139" s="851"/>
      <c r="R139" s="851"/>
      <c r="S139" s="612"/>
      <c r="T139" s="612"/>
      <c r="U139" s="612"/>
      <c r="V139" s="612"/>
      <c r="W139" s="612"/>
      <c r="X139" s="612"/>
      <c r="Y139" s="647"/>
    </row>
    <row r="140" spans="1:25" outlineLevel="1" x14ac:dyDescent="0.3">
      <c r="A140" s="850"/>
      <c r="B140" s="851"/>
      <c r="C140" s="851"/>
      <c r="D140" s="851"/>
      <c r="E140" s="851"/>
      <c r="F140" s="851"/>
      <c r="G140" s="851"/>
      <c r="H140" s="851"/>
      <c r="I140" s="851"/>
      <c r="J140" s="851"/>
      <c r="K140" s="851"/>
      <c r="L140" s="851"/>
      <c r="M140" s="851"/>
      <c r="N140" s="851"/>
      <c r="O140" s="851"/>
      <c r="P140" s="851"/>
      <c r="Q140" s="851"/>
      <c r="R140" s="851"/>
      <c r="S140" s="612"/>
      <c r="T140" s="612"/>
      <c r="U140" s="612"/>
      <c r="V140" s="612"/>
      <c r="W140" s="612"/>
      <c r="X140" s="612"/>
      <c r="Y140" s="647"/>
    </row>
    <row r="141" spans="1:25" outlineLevel="1" x14ac:dyDescent="0.3">
      <c r="A141" s="850"/>
      <c r="B141" s="851"/>
      <c r="C141" s="851"/>
      <c r="D141" s="851"/>
      <c r="E141" s="851"/>
      <c r="F141" s="851"/>
      <c r="G141" s="851"/>
      <c r="H141" s="851"/>
      <c r="I141" s="851"/>
      <c r="J141" s="851"/>
      <c r="K141" s="851"/>
      <c r="L141" s="851"/>
      <c r="M141" s="851"/>
      <c r="N141" s="851"/>
      <c r="O141" s="851"/>
      <c r="P141" s="851"/>
      <c r="Q141" s="851"/>
      <c r="R141" s="851"/>
      <c r="S141" s="612"/>
      <c r="T141" s="612"/>
      <c r="U141" s="612"/>
      <c r="V141" s="612"/>
      <c r="W141" s="612"/>
      <c r="X141" s="612"/>
      <c r="Y141" s="647"/>
    </row>
    <row r="142" spans="1:25" outlineLevel="1" x14ac:dyDescent="0.3">
      <c r="A142" s="850"/>
      <c r="B142" s="851"/>
      <c r="C142" s="851"/>
      <c r="D142" s="851"/>
      <c r="E142" s="851"/>
      <c r="F142" s="851"/>
      <c r="G142" s="851"/>
      <c r="H142" s="851"/>
      <c r="I142" s="851"/>
      <c r="J142" s="851"/>
      <c r="K142" s="851"/>
      <c r="L142" s="851"/>
      <c r="M142" s="851"/>
      <c r="N142" s="851"/>
      <c r="O142" s="851"/>
      <c r="P142" s="851"/>
      <c r="Q142" s="851"/>
      <c r="R142" s="851"/>
      <c r="S142" s="612"/>
      <c r="T142" s="612"/>
      <c r="U142" s="612"/>
      <c r="V142" s="612"/>
      <c r="W142" s="612"/>
      <c r="X142" s="612"/>
      <c r="Y142" s="647"/>
    </row>
    <row r="143" spans="1:25" outlineLevel="1" x14ac:dyDescent="0.3">
      <c r="A143" s="646"/>
      <c r="B143" s="612"/>
      <c r="C143" s="612"/>
      <c r="D143" s="612"/>
      <c r="E143" s="612"/>
      <c r="F143" s="612"/>
      <c r="G143" s="612"/>
      <c r="H143" s="612"/>
      <c r="I143" s="612"/>
      <c r="J143" s="612"/>
      <c r="K143" s="612"/>
      <c r="L143" s="612"/>
      <c r="M143" s="612"/>
      <c r="N143" s="612"/>
      <c r="O143" s="612"/>
      <c r="P143" s="612"/>
      <c r="Q143" s="612"/>
      <c r="R143" s="612"/>
      <c r="S143" s="612"/>
      <c r="T143" s="612"/>
      <c r="U143" s="612"/>
      <c r="V143" s="612"/>
      <c r="W143" s="612"/>
      <c r="X143" s="612"/>
      <c r="Y143" s="647"/>
    </row>
    <row r="144" spans="1:25" outlineLevel="1" x14ac:dyDescent="0.3">
      <c r="A144" s="646"/>
      <c r="B144" s="612"/>
      <c r="C144" s="612"/>
      <c r="D144" s="612"/>
      <c r="E144" s="612"/>
      <c r="F144" s="612"/>
      <c r="G144" s="612"/>
      <c r="H144" s="612"/>
      <c r="I144" s="612"/>
      <c r="J144" s="612"/>
      <c r="K144" s="612"/>
      <c r="L144" s="612"/>
      <c r="M144" s="612"/>
      <c r="N144" s="612"/>
      <c r="O144" s="612"/>
      <c r="P144" s="612"/>
      <c r="Q144" s="612"/>
      <c r="R144" s="612"/>
      <c r="S144" s="612"/>
      <c r="T144" s="612"/>
      <c r="U144" s="612"/>
      <c r="V144" s="612"/>
      <c r="W144" s="612"/>
      <c r="X144" s="612"/>
      <c r="Y144" s="647"/>
    </row>
    <row r="145" spans="1:25" outlineLevel="1" x14ac:dyDescent="0.3">
      <c r="A145" s="646"/>
      <c r="B145" s="612"/>
      <c r="C145" s="612"/>
      <c r="D145" s="612"/>
      <c r="E145" s="612"/>
      <c r="F145" s="612"/>
      <c r="G145" s="612"/>
      <c r="H145" s="612"/>
      <c r="I145" s="612"/>
      <c r="J145" s="612"/>
      <c r="K145" s="612"/>
      <c r="L145" s="612"/>
      <c r="M145" s="612"/>
      <c r="N145" s="612"/>
      <c r="O145" s="612"/>
      <c r="P145" s="612"/>
      <c r="Q145" s="612"/>
      <c r="R145" s="612"/>
      <c r="S145" s="612"/>
      <c r="T145" s="612"/>
      <c r="U145" s="612"/>
      <c r="V145" s="612"/>
      <c r="W145" s="612"/>
      <c r="X145" s="612"/>
      <c r="Y145" s="647"/>
    </row>
    <row r="146" spans="1:25" outlineLevel="1" x14ac:dyDescent="0.3">
      <c r="A146" s="646"/>
      <c r="B146" s="612"/>
      <c r="C146" s="612"/>
      <c r="D146" s="612"/>
      <c r="E146" s="612"/>
      <c r="F146" s="612"/>
      <c r="G146" s="612"/>
      <c r="H146" s="612"/>
      <c r="I146" s="612"/>
      <c r="J146" s="612"/>
      <c r="K146" s="612"/>
      <c r="L146" s="612"/>
      <c r="M146" s="612"/>
      <c r="N146" s="612"/>
      <c r="O146" s="612"/>
      <c r="P146" s="612"/>
      <c r="Q146" s="612"/>
      <c r="R146" s="612"/>
      <c r="S146" s="612"/>
      <c r="T146" s="612"/>
      <c r="U146" s="612"/>
      <c r="V146" s="612"/>
      <c r="W146" s="612"/>
      <c r="X146" s="612"/>
      <c r="Y146" s="647"/>
    </row>
    <row r="147" spans="1:25" outlineLevel="1" x14ac:dyDescent="0.3">
      <c r="A147" s="646"/>
      <c r="B147" s="612"/>
      <c r="C147" s="612"/>
      <c r="D147" s="612"/>
      <c r="E147" s="612"/>
      <c r="F147" s="612"/>
      <c r="G147" s="612"/>
      <c r="H147" s="612"/>
      <c r="I147" s="612"/>
      <c r="J147" s="612"/>
      <c r="K147" s="612"/>
      <c r="L147" s="612"/>
      <c r="M147" s="612"/>
      <c r="N147" s="612"/>
      <c r="O147" s="612"/>
      <c r="P147" s="612"/>
      <c r="Q147" s="612"/>
      <c r="R147" s="612"/>
      <c r="S147" s="612"/>
      <c r="T147" s="612"/>
      <c r="U147" s="612"/>
      <c r="V147" s="612"/>
      <c r="W147" s="612"/>
      <c r="X147" s="612"/>
      <c r="Y147" s="647"/>
    </row>
    <row r="148" spans="1:25" ht="14.5" outlineLevel="1" thickBot="1" x14ac:dyDescent="0.35">
      <c r="A148" s="702"/>
      <c r="B148" s="703"/>
      <c r="C148" s="703"/>
      <c r="D148" s="703"/>
      <c r="E148" s="703"/>
      <c r="F148" s="703"/>
      <c r="G148" s="703"/>
      <c r="H148" s="703"/>
      <c r="I148" s="703"/>
      <c r="J148" s="703"/>
      <c r="K148" s="703"/>
      <c r="L148" s="703"/>
      <c r="M148" s="703"/>
      <c r="N148" s="703"/>
      <c r="O148" s="703"/>
      <c r="P148" s="703"/>
      <c r="Q148" s="703"/>
      <c r="R148" s="703"/>
      <c r="S148" s="703"/>
      <c r="T148" s="703"/>
      <c r="U148" s="703"/>
      <c r="V148" s="703"/>
      <c r="W148" s="703"/>
      <c r="X148" s="703"/>
      <c r="Y148" s="704"/>
    </row>
    <row r="149" spans="1:25" x14ac:dyDescent="0.3">
      <c r="A149" s="1826" t="s">
        <v>383</v>
      </c>
      <c r="B149" s="1826"/>
      <c r="C149" s="1826"/>
      <c r="D149" s="1826"/>
      <c r="E149" s="1826"/>
      <c r="F149" s="1826"/>
      <c r="G149" s="1826"/>
      <c r="H149" s="1826"/>
      <c r="I149" s="1826"/>
      <c r="J149" s="1826"/>
      <c r="K149" s="1826"/>
      <c r="L149" s="1826"/>
      <c r="M149" s="1826"/>
      <c r="N149" s="1826"/>
      <c r="O149" s="1826"/>
      <c r="P149" s="1826"/>
      <c r="Q149" s="1826"/>
      <c r="R149" s="1826"/>
      <c r="S149" s="1826"/>
      <c r="T149" s="1826"/>
      <c r="U149" s="1826"/>
      <c r="V149" s="1826"/>
      <c r="W149" s="1826"/>
      <c r="X149" s="1826"/>
      <c r="Y149" s="1826"/>
    </row>
    <row r="150" spans="1:25" x14ac:dyDescent="0.3">
      <c r="A150" s="1827"/>
      <c r="B150" s="1827"/>
      <c r="C150" s="1827"/>
      <c r="D150" s="1827"/>
      <c r="E150" s="1827"/>
      <c r="F150" s="1827"/>
      <c r="G150" s="1827"/>
      <c r="H150" s="1827"/>
      <c r="I150" s="1827"/>
      <c r="J150" s="1827"/>
      <c r="K150" s="1827"/>
      <c r="L150" s="1827"/>
      <c r="M150" s="1827"/>
      <c r="N150" s="1827"/>
      <c r="O150" s="1827"/>
      <c r="P150" s="1827"/>
      <c r="Q150" s="1827"/>
      <c r="R150" s="1827"/>
      <c r="S150" s="1827"/>
      <c r="T150" s="1827"/>
      <c r="U150" s="1827"/>
      <c r="V150" s="1827"/>
      <c r="W150" s="1827"/>
      <c r="X150" s="1827"/>
      <c r="Y150" s="1827"/>
    </row>
    <row r="151" spans="1:25" s="719" customFormat="1" ht="16.5" customHeight="1" x14ac:dyDescent="0.3">
      <c r="A151" s="1813"/>
      <c r="B151" s="1813"/>
      <c r="C151" s="852"/>
      <c r="D151" s="852"/>
      <c r="E151" s="852"/>
      <c r="F151" s="852"/>
      <c r="G151" s="852"/>
      <c r="H151" s="852"/>
      <c r="I151" s="852"/>
      <c r="J151" s="852"/>
      <c r="K151" s="852"/>
      <c r="L151" s="852"/>
      <c r="M151" s="852"/>
      <c r="N151" s="852"/>
      <c r="O151" s="852"/>
      <c r="P151" s="852"/>
      <c r="Q151" s="852"/>
      <c r="R151" s="852"/>
      <c r="S151" s="852"/>
      <c r="T151" s="852"/>
      <c r="U151" s="852"/>
      <c r="V151" s="852"/>
      <c r="W151" s="852"/>
      <c r="X151" s="852"/>
      <c r="Y151" s="852"/>
    </row>
    <row r="152" spans="1:25" s="719" customFormat="1" ht="16.5" customHeight="1" thickBot="1" x14ac:dyDescent="0.35">
      <c r="A152" s="1821"/>
      <c r="B152" s="1821"/>
      <c r="C152" s="852"/>
      <c r="D152" s="852"/>
      <c r="E152" s="852"/>
      <c r="F152" s="852"/>
      <c r="G152" s="852"/>
      <c r="H152" s="852"/>
      <c r="I152" s="852"/>
      <c r="J152" s="852"/>
      <c r="K152" s="852"/>
      <c r="L152" s="852"/>
      <c r="M152" s="852"/>
      <c r="N152" s="852"/>
      <c r="O152" s="852"/>
      <c r="P152" s="852"/>
      <c r="Q152" s="852"/>
      <c r="R152" s="852"/>
      <c r="S152" s="852"/>
      <c r="T152" s="852"/>
      <c r="U152" s="852"/>
      <c r="V152" s="852"/>
      <c r="W152" s="852"/>
      <c r="X152" s="852"/>
      <c r="Y152" s="852"/>
    </row>
    <row r="153" spans="1:25" ht="16.5" customHeight="1" outlineLevel="1" x14ac:dyDescent="0.3">
      <c r="A153" s="1637" t="s">
        <v>465</v>
      </c>
      <c r="B153" s="1638"/>
      <c r="C153" s="1638"/>
      <c r="D153" s="1638"/>
      <c r="E153" s="1638"/>
      <c r="F153" s="1638"/>
      <c r="G153" s="1638"/>
      <c r="H153" s="1638"/>
      <c r="I153" s="1638"/>
      <c r="J153" s="1638"/>
      <c r="K153" s="1638"/>
      <c r="L153" s="1638"/>
      <c r="M153" s="1638"/>
      <c r="N153" s="1638"/>
      <c r="O153" s="1638"/>
      <c r="P153" s="1638"/>
      <c r="Q153" s="1638"/>
      <c r="R153" s="1638"/>
      <c r="S153" s="1638"/>
      <c r="T153" s="1638"/>
      <c r="U153" s="1638"/>
      <c r="V153" s="1638"/>
      <c r="W153" s="1638"/>
      <c r="X153" s="1638"/>
      <c r="Y153" s="1639"/>
    </row>
    <row r="154" spans="1:25" ht="16.5" customHeight="1" outlineLevel="1" thickBot="1" x14ac:dyDescent="0.35">
      <c r="A154" s="1834"/>
      <c r="B154" s="1835"/>
      <c r="C154" s="1835"/>
      <c r="D154" s="1835"/>
      <c r="E154" s="1835"/>
      <c r="F154" s="1835"/>
      <c r="G154" s="1835"/>
      <c r="H154" s="1835"/>
      <c r="I154" s="1835"/>
      <c r="J154" s="1835"/>
      <c r="K154" s="1835"/>
      <c r="L154" s="1835"/>
      <c r="M154" s="1835"/>
      <c r="N154" s="1835"/>
      <c r="O154" s="1835"/>
      <c r="P154" s="1835"/>
      <c r="Q154" s="1835"/>
      <c r="R154" s="1835"/>
      <c r="S154" s="1835"/>
      <c r="T154" s="1835"/>
      <c r="U154" s="1835"/>
      <c r="V154" s="1835"/>
      <c r="W154" s="1835"/>
      <c r="X154" s="1835"/>
      <c r="Y154" s="1836"/>
    </row>
    <row r="155" spans="1:25" ht="14.5" outlineLevel="1" thickBot="1" x14ac:dyDescent="0.35">
      <c r="A155" s="1816"/>
      <c r="B155" s="1817"/>
      <c r="C155" s="612"/>
      <c r="D155" s="612"/>
      <c r="E155" s="612"/>
      <c r="F155" s="612"/>
      <c r="G155" s="612"/>
      <c r="H155" s="612"/>
      <c r="I155" s="612"/>
      <c r="J155" s="612"/>
      <c r="K155" s="612"/>
      <c r="L155" s="612"/>
      <c r="M155" s="612"/>
      <c r="N155" s="612"/>
      <c r="O155" s="612"/>
      <c r="P155" s="612"/>
      <c r="Q155" s="612"/>
      <c r="R155" s="612"/>
      <c r="S155" s="612"/>
      <c r="T155" s="612"/>
      <c r="U155" s="612"/>
      <c r="V155" s="612"/>
      <c r="W155" s="612"/>
      <c r="X155" s="612"/>
      <c r="Y155" s="647"/>
    </row>
    <row r="156" spans="1:25" ht="21" customHeight="1" outlineLevel="1" x14ac:dyDescent="0.3">
      <c r="A156" s="1849" t="s">
        <v>69</v>
      </c>
      <c r="B156" s="1851" t="str">
        <f>HYPERLINK("#"&amp;ADDRESS(ROW(), COLUMN()-1), "€")</f>
        <v>€</v>
      </c>
      <c r="C156" s="737"/>
      <c r="D156" s="1938" t="str">
        <f>IF(OR($A$156="RRO Rate (¢/kWh)", $A$156="Administration Charge ($)"),"Note that the " &amp; $A$156 &amp;" is managed by EPCOR in the FORTIS Zone, while Direct Energy Regulated Services manages the ATCO " &amp; $A$156, "")</f>
        <v>Note that the RRO Rate (¢/kWh) is managed by EPCOR in the FORTIS Zone, while Direct Energy Regulated Services manages the ATCO RRO Rate (¢/kWh)</v>
      </c>
      <c r="E156" s="1939"/>
      <c r="F156" s="1939"/>
      <c r="G156" s="1939"/>
      <c r="H156" s="1939"/>
      <c r="I156" s="1939"/>
      <c r="J156" s="1939"/>
      <c r="K156" s="1939"/>
      <c r="L156" s="1939"/>
      <c r="M156" s="1939"/>
      <c r="N156" s="1939"/>
      <c r="O156" s="1940"/>
      <c r="P156" s="612"/>
      <c r="Q156" s="612"/>
      <c r="R156" s="612"/>
      <c r="S156" s="612"/>
      <c r="T156" s="612"/>
      <c r="U156" s="612"/>
      <c r="V156" s="612"/>
      <c r="W156" s="612"/>
      <c r="X156" s="612"/>
      <c r="Y156" s="647"/>
    </row>
    <row r="157" spans="1:25" ht="38.25" customHeight="1" outlineLevel="1" thickBot="1" x14ac:dyDescent="0.35">
      <c r="A157" s="1850"/>
      <c r="B157" s="1852"/>
      <c r="C157" s="612"/>
      <c r="D157" s="1941"/>
      <c r="E157" s="1942"/>
      <c r="F157" s="1942"/>
      <c r="G157" s="1942"/>
      <c r="H157" s="1942"/>
      <c r="I157" s="1942"/>
      <c r="J157" s="1942"/>
      <c r="K157" s="1942"/>
      <c r="L157" s="1942"/>
      <c r="M157" s="1942"/>
      <c r="N157" s="1942"/>
      <c r="O157" s="1943"/>
      <c r="P157" s="612"/>
      <c r="Q157" s="612"/>
      <c r="R157" s="612"/>
      <c r="S157" s="612"/>
      <c r="T157" s="612"/>
      <c r="U157" s="612"/>
      <c r="V157" s="612"/>
      <c r="W157" s="612"/>
      <c r="X157" s="612"/>
      <c r="Y157" s="647"/>
    </row>
    <row r="158" spans="1:25" ht="16.5" customHeight="1" outlineLevel="1" x14ac:dyDescent="0.3">
      <c r="A158" s="850"/>
      <c r="B158" s="851"/>
      <c r="C158" s="851"/>
      <c r="D158" s="851"/>
      <c r="E158" s="851"/>
      <c r="F158" s="851"/>
      <c r="G158" s="851"/>
      <c r="H158" s="851"/>
      <c r="I158" s="851"/>
      <c r="J158" s="851"/>
      <c r="K158" s="851"/>
      <c r="L158" s="851"/>
      <c r="M158" s="851"/>
      <c r="N158" s="851"/>
      <c r="O158" s="851"/>
      <c r="P158" s="851"/>
      <c r="Q158" s="851"/>
      <c r="R158" s="851"/>
      <c r="S158" s="612"/>
      <c r="T158" s="612"/>
      <c r="U158" s="612"/>
      <c r="V158" s="612"/>
      <c r="W158" s="612"/>
      <c r="X158" s="612"/>
      <c r="Y158" s="647"/>
    </row>
    <row r="159" spans="1:25" outlineLevel="1" x14ac:dyDescent="0.3">
      <c r="A159" s="850"/>
      <c r="B159" s="851"/>
      <c r="C159" s="851"/>
      <c r="D159" s="851"/>
      <c r="E159" s="851"/>
      <c r="F159" s="851"/>
      <c r="G159" s="851"/>
      <c r="H159" s="851"/>
      <c r="I159" s="851"/>
      <c r="J159" s="851"/>
      <c r="K159" s="851"/>
      <c r="L159" s="851"/>
      <c r="M159" s="851"/>
      <c r="N159" s="851"/>
      <c r="O159" s="851"/>
      <c r="P159" s="851"/>
      <c r="Q159" s="851"/>
      <c r="R159" s="851"/>
      <c r="S159" s="612"/>
      <c r="T159" s="612"/>
      <c r="U159" s="612"/>
      <c r="V159" s="612"/>
      <c r="W159" s="612"/>
      <c r="X159" s="612"/>
      <c r="Y159" s="647"/>
    </row>
    <row r="160" spans="1:25" outlineLevel="1" x14ac:dyDescent="0.3">
      <c r="A160" s="850"/>
      <c r="B160" s="851"/>
      <c r="C160" s="851"/>
      <c r="D160" s="851"/>
      <c r="E160" s="851"/>
      <c r="F160" s="851"/>
      <c r="G160" s="851"/>
      <c r="H160" s="851"/>
      <c r="I160" s="851"/>
      <c r="J160" s="851"/>
      <c r="K160" s="851"/>
      <c r="L160" s="851"/>
      <c r="M160" s="851"/>
      <c r="N160" s="851"/>
      <c r="O160" s="851"/>
      <c r="P160" s="851"/>
      <c r="Q160" s="851"/>
      <c r="R160" s="851"/>
      <c r="S160" s="612"/>
      <c r="T160" s="612"/>
      <c r="U160" s="612"/>
      <c r="V160" s="612"/>
      <c r="W160" s="612"/>
      <c r="X160" s="612"/>
      <c r="Y160" s="647"/>
    </row>
    <row r="161" spans="1:25" outlineLevel="1" x14ac:dyDescent="0.3">
      <c r="A161" s="850"/>
      <c r="B161" s="851"/>
      <c r="C161" s="851"/>
      <c r="D161" s="851"/>
      <c r="E161" s="851"/>
      <c r="F161" s="851"/>
      <c r="G161" s="851"/>
      <c r="H161" s="851"/>
      <c r="I161" s="851"/>
      <c r="J161" s="851"/>
      <c r="K161" s="851"/>
      <c r="L161" s="851"/>
      <c r="M161" s="851"/>
      <c r="N161" s="851"/>
      <c r="O161" s="851"/>
      <c r="P161" s="851"/>
      <c r="Q161" s="851"/>
      <c r="R161" s="851"/>
      <c r="S161" s="612"/>
      <c r="T161" s="612"/>
      <c r="U161" s="612"/>
      <c r="V161" s="612"/>
      <c r="W161" s="612"/>
      <c r="X161" s="612"/>
      <c r="Y161" s="647"/>
    </row>
    <row r="162" spans="1:25" outlineLevel="1" x14ac:dyDescent="0.3">
      <c r="A162" s="850"/>
      <c r="B162" s="851"/>
      <c r="C162" s="851"/>
      <c r="D162" s="851"/>
      <c r="E162" s="851"/>
      <c r="F162" s="851"/>
      <c r="G162" s="851"/>
      <c r="H162" s="851"/>
      <c r="I162" s="851"/>
      <c r="J162" s="851"/>
      <c r="K162" s="851"/>
      <c r="L162" s="851"/>
      <c r="M162" s="851"/>
      <c r="N162" s="851"/>
      <c r="O162" s="851"/>
      <c r="P162" s="851"/>
      <c r="Q162" s="851"/>
      <c r="R162" s="851"/>
      <c r="S162" s="612"/>
      <c r="T162" s="612"/>
      <c r="U162" s="612"/>
      <c r="V162" s="612"/>
      <c r="W162" s="612"/>
      <c r="X162" s="612"/>
      <c r="Y162" s="647"/>
    </row>
    <row r="163" spans="1:25" outlineLevel="1" x14ac:dyDescent="0.3">
      <c r="A163" s="850"/>
      <c r="B163" s="851"/>
      <c r="C163" s="851"/>
      <c r="D163" s="851"/>
      <c r="E163" s="851"/>
      <c r="F163" s="851"/>
      <c r="G163" s="851"/>
      <c r="H163" s="851"/>
      <c r="I163" s="851"/>
      <c r="J163" s="851"/>
      <c r="K163" s="851"/>
      <c r="L163" s="851"/>
      <c r="M163" s="851"/>
      <c r="N163" s="851"/>
      <c r="O163" s="851"/>
      <c r="P163" s="851"/>
      <c r="Q163" s="851"/>
      <c r="R163" s="851"/>
      <c r="S163" s="612"/>
      <c r="T163" s="612"/>
      <c r="U163" s="612"/>
      <c r="V163" s="612"/>
      <c r="W163" s="612"/>
      <c r="X163" s="612"/>
      <c r="Y163" s="647"/>
    </row>
    <row r="164" spans="1:25" outlineLevel="1" x14ac:dyDescent="0.3">
      <c r="A164" s="850"/>
      <c r="B164" s="851"/>
      <c r="C164" s="851"/>
      <c r="D164" s="851"/>
      <c r="E164" s="851"/>
      <c r="F164" s="851"/>
      <c r="G164" s="851"/>
      <c r="H164" s="851"/>
      <c r="I164" s="851"/>
      <c r="J164" s="851"/>
      <c r="K164" s="851"/>
      <c r="L164" s="851"/>
      <c r="M164" s="851"/>
      <c r="N164" s="851"/>
      <c r="O164" s="851"/>
      <c r="P164" s="851"/>
      <c r="Q164" s="851"/>
      <c r="R164" s="851"/>
      <c r="S164" s="612"/>
      <c r="T164" s="612"/>
      <c r="U164" s="612"/>
      <c r="V164" s="612"/>
      <c r="W164" s="612"/>
      <c r="X164" s="612"/>
      <c r="Y164" s="647"/>
    </row>
    <row r="165" spans="1:25" outlineLevel="1" x14ac:dyDescent="0.3">
      <c r="A165" s="850"/>
      <c r="B165" s="851"/>
      <c r="C165" s="851"/>
      <c r="D165" s="851"/>
      <c r="E165" s="851"/>
      <c r="F165" s="851"/>
      <c r="G165" s="851"/>
      <c r="H165" s="851"/>
      <c r="I165" s="851"/>
      <c r="J165" s="851"/>
      <c r="K165" s="851"/>
      <c r="L165" s="851"/>
      <c r="M165" s="851"/>
      <c r="N165" s="851"/>
      <c r="O165" s="851"/>
      <c r="P165" s="851"/>
      <c r="Q165" s="851"/>
      <c r="R165" s="851"/>
      <c r="S165" s="612"/>
      <c r="T165" s="612"/>
      <c r="U165" s="612"/>
      <c r="V165" s="612"/>
      <c r="W165" s="612"/>
      <c r="X165" s="612"/>
      <c r="Y165" s="647"/>
    </row>
    <row r="166" spans="1:25" outlineLevel="1" x14ac:dyDescent="0.3">
      <c r="A166" s="850"/>
      <c r="B166" s="851"/>
      <c r="C166" s="851"/>
      <c r="D166" s="851"/>
      <c r="E166" s="851"/>
      <c r="F166" s="851"/>
      <c r="G166" s="851"/>
      <c r="H166" s="851"/>
      <c r="I166" s="851"/>
      <c r="J166" s="851"/>
      <c r="K166" s="851"/>
      <c r="L166" s="851"/>
      <c r="M166" s="851"/>
      <c r="N166" s="851"/>
      <c r="O166" s="851"/>
      <c r="P166" s="851"/>
      <c r="Q166" s="851"/>
      <c r="R166" s="851"/>
      <c r="S166" s="612"/>
      <c r="T166" s="612"/>
      <c r="U166" s="612"/>
      <c r="V166" s="612"/>
      <c r="W166" s="612"/>
      <c r="X166" s="612"/>
      <c r="Y166" s="647"/>
    </row>
    <row r="167" spans="1:25" outlineLevel="1" x14ac:dyDescent="0.3">
      <c r="A167" s="850"/>
      <c r="B167" s="851"/>
      <c r="C167" s="851"/>
      <c r="D167" s="851"/>
      <c r="E167" s="851"/>
      <c r="F167" s="851"/>
      <c r="G167" s="851"/>
      <c r="H167" s="851"/>
      <c r="I167" s="851"/>
      <c r="J167" s="851"/>
      <c r="K167" s="851"/>
      <c r="L167" s="851"/>
      <c r="M167" s="851"/>
      <c r="N167" s="851"/>
      <c r="O167" s="851"/>
      <c r="P167" s="851"/>
      <c r="Q167" s="851"/>
      <c r="R167" s="851"/>
      <c r="S167" s="612"/>
      <c r="T167" s="612"/>
      <c r="U167" s="612"/>
      <c r="V167" s="612"/>
      <c r="W167" s="612"/>
      <c r="X167" s="612"/>
      <c r="Y167" s="647"/>
    </row>
    <row r="168" spans="1:25" outlineLevel="1" x14ac:dyDescent="0.3">
      <c r="A168" s="850"/>
      <c r="B168" s="851"/>
      <c r="C168" s="851"/>
      <c r="D168" s="851"/>
      <c r="E168" s="851"/>
      <c r="F168" s="851"/>
      <c r="G168" s="851"/>
      <c r="H168" s="851"/>
      <c r="I168" s="851"/>
      <c r="J168" s="851"/>
      <c r="K168" s="851"/>
      <c r="L168" s="851"/>
      <c r="M168" s="851"/>
      <c r="N168" s="851"/>
      <c r="O168" s="851"/>
      <c r="P168" s="851"/>
      <c r="Q168" s="851"/>
      <c r="R168" s="851"/>
      <c r="S168" s="612"/>
      <c r="T168" s="612"/>
      <c r="U168" s="612"/>
      <c r="V168" s="612"/>
      <c r="W168" s="612"/>
      <c r="X168" s="612"/>
      <c r="Y168" s="647"/>
    </row>
    <row r="169" spans="1:25" outlineLevel="1" x14ac:dyDescent="0.3">
      <c r="A169" s="850"/>
      <c r="B169" s="851"/>
      <c r="C169" s="851"/>
      <c r="D169" s="851"/>
      <c r="E169" s="851"/>
      <c r="F169" s="851"/>
      <c r="G169" s="851"/>
      <c r="H169" s="851"/>
      <c r="I169" s="851"/>
      <c r="J169" s="851"/>
      <c r="K169" s="851"/>
      <c r="L169" s="851"/>
      <c r="M169" s="851"/>
      <c r="N169" s="851"/>
      <c r="O169" s="851"/>
      <c r="P169" s="851"/>
      <c r="Q169" s="851"/>
      <c r="R169" s="851"/>
      <c r="S169" s="612"/>
      <c r="T169" s="612"/>
      <c r="U169" s="612"/>
      <c r="V169" s="612"/>
      <c r="W169" s="612"/>
      <c r="X169" s="612"/>
      <c r="Y169" s="647"/>
    </row>
    <row r="170" spans="1:25" outlineLevel="1" x14ac:dyDescent="0.3">
      <c r="A170" s="850"/>
      <c r="B170" s="851"/>
      <c r="C170" s="851"/>
      <c r="D170" s="851"/>
      <c r="E170" s="851"/>
      <c r="F170" s="851"/>
      <c r="G170" s="851"/>
      <c r="H170" s="851"/>
      <c r="I170" s="851"/>
      <c r="J170" s="851"/>
      <c r="K170" s="851"/>
      <c r="L170" s="851"/>
      <c r="M170" s="851"/>
      <c r="N170" s="851"/>
      <c r="O170" s="851"/>
      <c r="P170" s="851"/>
      <c r="Q170" s="851"/>
      <c r="R170" s="851"/>
      <c r="S170" s="612"/>
      <c r="T170" s="612"/>
      <c r="U170" s="612"/>
      <c r="V170" s="612"/>
      <c r="W170" s="612"/>
      <c r="X170" s="612"/>
      <c r="Y170" s="647"/>
    </row>
    <row r="171" spans="1:25" outlineLevel="1" x14ac:dyDescent="0.3">
      <c r="A171" s="850"/>
      <c r="B171" s="851"/>
      <c r="C171" s="851"/>
      <c r="D171" s="851"/>
      <c r="E171" s="851"/>
      <c r="F171" s="851"/>
      <c r="G171" s="851"/>
      <c r="H171" s="851"/>
      <c r="I171" s="851"/>
      <c r="J171" s="851"/>
      <c r="K171" s="851"/>
      <c r="L171" s="851"/>
      <c r="M171" s="851"/>
      <c r="N171" s="851"/>
      <c r="O171" s="851"/>
      <c r="P171" s="851"/>
      <c r="Q171" s="851"/>
      <c r="R171" s="851"/>
      <c r="S171" s="612"/>
      <c r="T171" s="612"/>
      <c r="U171" s="612"/>
      <c r="V171" s="612"/>
      <c r="W171" s="612"/>
      <c r="X171" s="612"/>
      <c r="Y171" s="647"/>
    </row>
    <row r="172" spans="1:25" outlineLevel="1" x14ac:dyDescent="0.3">
      <c r="A172" s="850"/>
      <c r="B172" s="851"/>
      <c r="C172" s="851"/>
      <c r="D172" s="851"/>
      <c r="E172" s="851"/>
      <c r="F172" s="851"/>
      <c r="G172" s="851"/>
      <c r="H172" s="851"/>
      <c r="I172" s="851"/>
      <c r="J172" s="851"/>
      <c r="K172" s="851"/>
      <c r="L172" s="851"/>
      <c r="M172" s="851"/>
      <c r="N172" s="851"/>
      <c r="O172" s="851"/>
      <c r="P172" s="851"/>
      <c r="Q172" s="851"/>
      <c r="R172" s="851"/>
      <c r="S172" s="612"/>
      <c r="T172" s="612"/>
      <c r="U172" s="612"/>
      <c r="V172" s="612"/>
      <c r="W172" s="612"/>
      <c r="X172" s="612"/>
      <c r="Y172" s="647"/>
    </row>
    <row r="173" spans="1:25" outlineLevel="1" x14ac:dyDescent="0.3">
      <c r="A173" s="850"/>
      <c r="B173" s="851"/>
      <c r="C173" s="851"/>
      <c r="D173" s="851"/>
      <c r="E173" s="851"/>
      <c r="F173" s="851"/>
      <c r="G173" s="851"/>
      <c r="H173" s="851"/>
      <c r="I173" s="851"/>
      <c r="J173" s="851"/>
      <c r="K173" s="851"/>
      <c r="L173" s="851"/>
      <c r="M173" s="851"/>
      <c r="N173" s="851"/>
      <c r="O173" s="851"/>
      <c r="P173" s="851"/>
      <c r="Q173" s="851"/>
      <c r="R173" s="851"/>
      <c r="S173" s="612"/>
      <c r="T173" s="612"/>
      <c r="U173" s="612"/>
      <c r="V173" s="612"/>
      <c r="W173" s="612"/>
      <c r="X173" s="612"/>
      <c r="Y173" s="647"/>
    </row>
    <row r="174" spans="1:25" outlineLevel="1" x14ac:dyDescent="0.3">
      <c r="A174" s="850"/>
      <c r="B174" s="851"/>
      <c r="C174" s="851"/>
      <c r="D174" s="851"/>
      <c r="E174" s="851"/>
      <c r="F174" s="851"/>
      <c r="G174" s="851"/>
      <c r="H174" s="851"/>
      <c r="I174" s="851"/>
      <c r="J174" s="851"/>
      <c r="K174" s="851"/>
      <c r="L174" s="851"/>
      <c r="M174" s="851"/>
      <c r="N174" s="851"/>
      <c r="O174" s="851"/>
      <c r="P174" s="851"/>
      <c r="Q174" s="851"/>
      <c r="R174" s="851"/>
      <c r="S174" s="612"/>
      <c r="T174" s="612"/>
      <c r="U174" s="612"/>
      <c r="V174" s="612"/>
      <c r="W174" s="612"/>
      <c r="X174" s="612"/>
      <c r="Y174" s="647"/>
    </row>
    <row r="175" spans="1:25" outlineLevel="1" x14ac:dyDescent="0.3">
      <c r="A175" s="850"/>
      <c r="B175" s="851"/>
      <c r="C175" s="851"/>
      <c r="D175" s="851"/>
      <c r="E175" s="851"/>
      <c r="F175" s="851"/>
      <c r="G175" s="851"/>
      <c r="H175" s="851"/>
      <c r="I175" s="851"/>
      <c r="J175" s="851"/>
      <c r="K175" s="851"/>
      <c r="L175" s="851"/>
      <c r="M175" s="851"/>
      <c r="N175" s="851"/>
      <c r="O175" s="851"/>
      <c r="P175" s="851"/>
      <c r="Q175" s="851"/>
      <c r="R175" s="851"/>
      <c r="S175" s="612"/>
      <c r="T175" s="612"/>
      <c r="U175" s="612"/>
      <c r="V175" s="612"/>
      <c r="W175" s="612"/>
      <c r="X175" s="612"/>
      <c r="Y175" s="647"/>
    </row>
    <row r="176" spans="1:25" outlineLevel="1" x14ac:dyDescent="0.3">
      <c r="A176" s="850"/>
      <c r="B176" s="851"/>
      <c r="C176" s="851"/>
      <c r="D176" s="851"/>
      <c r="E176" s="851"/>
      <c r="F176" s="851"/>
      <c r="G176" s="851"/>
      <c r="H176" s="851"/>
      <c r="I176" s="851"/>
      <c r="J176" s="851"/>
      <c r="K176" s="851"/>
      <c r="L176" s="851"/>
      <c r="M176" s="851"/>
      <c r="N176" s="851"/>
      <c r="O176" s="851"/>
      <c r="P176" s="851"/>
      <c r="Q176" s="851"/>
      <c r="R176" s="851"/>
      <c r="S176" s="612"/>
      <c r="T176" s="612"/>
      <c r="U176" s="612"/>
      <c r="V176" s="612"/>
      <c r="W176" s="612"/>
      <c r="X176" s="612"/>
      <c r="Y176" s="647"/>
    </row>
    <row r="177" spans="1:25" outlineLevel="1" x14ac:dyDescent="0.3">
      <c r="A177" s="850"/>
      <c r="B177" s="851"/>
      <c r="C177" s="851"/>
      <c r="D177" s="851"/>
      <c r="E177" s="851"/>
      <c r="F177" s="851"/>
      <c r="G177" s="851"/>
      <c r="H177" s="851"/>
      <c r="I177" s="851"/>
      <c r="J177" s="851"/>
      <c r="K177" s="851"/>
      <c r="L177" s="851"/>
      <c r="M177" s="851"/>
      <c r="N177" s="851"/>
      <c r="O177" s="851"/>
      <c r="P177" s="851"/>
      <c r="Q177" s="851"/>
      <c r="R177" s="851"/>
      <c r="S177" s="612"/>
      <c r="T177" s="612"/>
      <c r="U177" s="612"/>
      <c r="V177" s="612"/>
      <c r="W177" s="612"/>
      <c r="X177" s="612"/>
      <c r="Y177" s="647"/>
    </row>
    <row r="178" spans="1:25" outlineLevel="1" x14ac:dyDescent="0.3">
      <c r="A178" s="850"/>
      <c r="B178" s="851"/>
      <c r="C178" s="851"/>
      <c r="D178" s="851"/>
      <c r="E178" s="851"/>
      <c r="F178" s="851"/>
      <c r="G178" s="851"/>
      <c r="H178" s="851"/>
      <c r="I178" s="851"/>
      <c r="J178" s="851"/>
      <c r="K178" s="851"/>
      <c r="L178" s="851"/>
      <c r="M178" s="851"/>
      <c r="N178" s="851"/>
      <c r="O178" s="851"/>
      <c r="P178" s="851"/>
      <c r="Q178" s="851"/>
      <c r="R178" s="851"/>
      <c r="S178" s="612"/>
      <c r="T178" s="612"/>
      <c r="U178" s="612"/>
      <c r="V178" s="612"/>
      <c r="W178" s="612"/>
      <c r="X178" s="612"/>
      <c r="Y178" s="647"/>
    </row>
    <row r="179" spans="1:25" outlineLevel="1" x14ac:dyDescent="0.3">
      <c r="A179" s="850"/>
      <c r="B179" s="851"/>
      <c r="C179" s="851"/>
      <c r="D179" s="851"/>
      <c r="E179" s="851"/>
      <c r="F179" s="851"/>
      <c r="G179" s="851"/>
      <c r="H179" s="851"/>
      <c r="I179" s="851"/>
      <c r="J179" s="851"/>
      <c r="K179" s="851"/>
      <c r="L179" s="851"/>
      <c r="M179" s="851"/>
      <c r="N179" s="851"/>
      <c r="O179" s="851"/>
      <c r="P179" s="851"/>
      <c r="Q179" s="851"/>
      <c r="R179" s="851"/>
      <c r="S179" s="612"/>
      <c r="T179" s="612"/>
      <c r="U179" s="612"/>
      <c r="V179" s="612"/>
      <c r="W179" s="612"/>
      <c r="X179" s="612"/>
      <c r="Y179" s="647"/>
    </row>
    <row r="180" spans="1:25" outlineLevel="1" x14ac:dyDescent="0.3">
      <c r="A180" s="646"/>
      <c r="B180" s="612"/>
      <c r="C180" s="612"/>
      <c r="D180" s="612"/>
      <c r="E180" s="612"/>
      <c r="F180" s="612"/>
      <c r="G180" s="612"/>
      <c r="H180" s="612"/>
      <c r="I180" s="612"/>
      <c r="J180" s="612"/>
      <c r="K180" s="612"/>
      <c r="L180" s="612"/>
      <c r="M180" s="612"/>
      <c r="N180" s="612"/>
      <c r="O180" s="612"/>
      <c r="P180" s="612"/>
      <c r="Q180" s="612"/>
      <c r="R180" s="612"/>
      <c r="S180" s="612"/>
      <c r="T180" s="612"/>
      <c r="U180" s="612"/>
      <c r="V180" s="612"/>
      <c r="W180" s="612"/>
      <c r="X180" s="612"/>
      <c r="Y180" s="647"/>
    </row>
    <row r="181" spans="1:25" outlineLevel="1" x14ac:dyDescent="0.3">
      <c r="A181" s="646"/>
      <c r="B181" s="612"/>
      <c r="C181" s="612"/>
      <c r="D181" s="612"/>
      <c r="E181" s="612"/>
      <c r="F181" s="612"/>
      <c r="G181" s="612"/>
      <c r="H181" s="612"/>
      <c r="I181" s="612"/>
      <c r="J181" s="612"/>
      <c r="K181" s="612"/>
      <c r="L181" s="612"/>
      <c r="M181" s="612"/>
      <c r="N181" s="612"/>
      <c r="O181" s="612"/>
      <c r="P181" s="612"/>
      <c r="Q181" s="612"/>
      <c r="R181" s="612"/>
      <c r="S181" s="612"/>
      <c r="T181" s="612"/>
      <c r="U181" s="612"/>
      <c r="V181" s="612"/>
      <c r="W181" s="612"/>
      <c r="X181" s="612"/>
      <c r="Y181" s="647"/>
    </row>
    <row r="182" spans="1:25" outlineLevel="1" x14ac:dyDescent="0.3">
      <c r="A182" s="646"/>
      <c r="B182" s="612"/>
      <c r="C182" s="612"/>
      <c r="D182" s="612"/>
      <c r="E182" s="612"/>
      <c r="F182" s="612"/>
      <c r="G182" s="612"/>
      <c r="H182" s="612"/>
      <c r="I182" s="612"/>
      <c r="J182" s="612"/>
      <c r="K182" s="612"/>
      <c r="L182" s="612"/>
      <c r="M182" s="612"/>
      <c r="N182" s="612"/>
      <c r="O182" s="612"/>
      <c r="P182" s="612"/>
      <c r="Q182" s="612"/>
      <c r="R182" s="612"/>
      <c r="S182" s="612"/>
      <c r="T182" s="612"/>
      <c r="U182" s="612"/>
      <c r="V182" s="612"/>
      <c r="W182" s="612"/>
      <c r="X182" s="612"/>
      <c r="Y182" s="647"/>
    </row>
    <row r="183" spans="1:25" outlineLevel="1" x14ac:dyDescent="0.3">
      <c r="A183" s="646"/>
      <c r="B183" s="612"/>
      <c r="C183" s="612"/>
      <c r="D183" s="612"/>
      <c r="E183" s="612"/>
      <c r="F183" s="612"/>
      <c r="G183" s="612"/>
      <c r="H183" s="612"/>
      <c r="I183" s="612"/>
      <c r="J183" s="612"/>
      <c r="K183" s="612"/>
      <c r="L183" s="612"/>
      <c r="M183" s="612"/>
      <c r="N183" s="612"/>
      <c r="O183" s="612"/>
      <c r="P183" s="612"/>
      <c r="Q183" s="612"/>
      <c r="R183" s="612"/>
      <c r="S183" s="612"/>
      <c r="T183" s="612"/>
      <c r="U183" s="612"/>
      <c r="V183" s="612"/>
      <c r="W183" s="612"/>
      <c r="X183" s="612"/>
      <c r="Y183" s="647"/>
    </row>
    <row r="184" spans="1:25" outlineLevel="1" x14ac:dyDescent="0.3">
      <c r="A184" s="646"/>
      <c r="B184" s="612"/>
      <c r="C184" s="612"/>
      <c r="D184" s="612"/>
      <c r="E184" s="612"/>
      <c r="F184" s="612"/>
      <c r="G184" s="612"/>
      <c r="H184" s="612"/>
      <c r="I184" s="612"/>
      <c r="J184" s="612"/>
      <c r="K184" s="612"/>
      <c r="L184" s="612"/>
      <c r="M184" s="612"/>
      <c r="N184" s="612"/>
      <c r="O184" s="612"/>
      <c r="P184" s="612"/>
      <c r="Q184" s="612"/>
      <c r="R184" s="612"/>
      <c r="S184" s="612"/>
      <c r="T184" s="612"/>
      <c r="U184" s="612"/>
      <c r="V184" s="612"/>
      <c r="W184" s="612"/>
      <c r="X184" s="612"/>
      <c r="Y184" s="647"/>
    </row>
    <row r="185" spans="1:25" ht="14.5" outlineLevel="1" thickBot="1" x14ac:dyDescent="0.35">
      <c r="A185" s="702"/>
      <c r="B185" s="703"/>
      <c r="C185" s="703"/>
      <c r="D185" s="703"/>
      <c r="E185" s="703"/>
      <c r="F185" s="703"/>
      <c r="G185" s="703"/>
      <c r="H185" s="703"/>
      <c r="I185" s="703"/>
      <c r="J185" s="703"/>
      <c r="K185" s="703"/>
      <c r="L185" s="703"/>
      <c r="M185" s="703"/>
      <c r="N185" s="703"/>
      <c r="O185" s="703"/>
      <c r="P185" s="703"/>
      <c r="Q185" s="703"/>
      <c r="R185" s="703"/>
      <c r="S185" s="703"/>
      <c r="T185" s="703"/>
      <c r="U185" s="703"/>
      <c r="V185" s="703"/>
      <c r="W185" s="703"/>
      <c r="X185" s="703"/>
      <c r="Y185" s="704"/>
    </row>
    <row r="186" spans="1:25" ht="16.5" customHeight="1" x14ac:dyDescent="0.3">
      <c r="A186" s="1826" t="s">
        <v>460</v>
      </c>
      <c r="B186" s="1826"/>
      <c r="C186" s="1826"/>
      <c r="D186" s="1826"/>
      <c r="E186" s="1826"/>
      <c r="F186" s="1826"/>
      <c r="G186" s="1826"/>
      <c r="H186" s="1826"/>
      <c r="I186" s="1826"/>
      <c r="J186" s="1826"/>
      <c r="K186" s="1826"/>
      <c r="L186" s="1826"/>
      <c r="M186" s="1826"/>
      <c r="N186" s="1826"/>
      <c r="O186" s="1826"/>
      <c r="P186" s="1826"/>
      <c r="Q186" s="1826"/>
      <c r="R186" s="1826"/>
      <c r="S186" s="1826"/>
      <c r="T186" s="1826"/>
      <c r="U186" s="1826"/>
      <c r="V186" s="1826"/>
      <c r="W186" s="1826"/>
      <c r="X186" s="1826"/>
      <c r="Y186" s="1826"/>
    </row>
    <row r="187" spans="1:25" ht="16.5" customHeight="1" x14ac:dyDescent="0.3">
      <c r="A187" s="1827"/>
      <c r="B187" s="1827"/>
      <c r="C187" s="1827"/>
      <c r="D187" s="1827"/>
      <c r="E187" s="1827"/>
      <c r="F187" s="1827"/>
      <c r="G187" s="1827"/>
      <c r="H187" s="1827"/>
      <c r="I187" s="1827"/>
      <c r="J187" s="1827"/>
      <c r="K187" s="1827"/>
      <c r="L187" s="1827"/>
      <c r="M187" s="1827"/>
      <c r="N187" s="1827"/>
      <c r="O187" s="1827"/>
      <c r="P187" s="1827"/>
      <c r="Q187" s="1827"/>
      <c r="R187" s="1827"/>
      <c r="S187" s="1827"/>
      <c r="T187" s="1827"/>
      <c r="U187" s="1827"/>
      <c r="V187" s="1827"/>
      <c r="W187" s="1827"/>
      <c r="X187" s="1827"/>
      <c r="Y187" s="1827"/>
    </row>
    <row r="188" spans="1:25" s="719" customFormat="1" ht="16.5" customHeight="1" x14ac:dyDescent="0.3">
      <c r="A188" s="1813"/>
      <c r="B188" s="1813"/>
      <c r="C188" s="852"/>
      <c r="D188" s="852"/>
      <c r="E188" s="852"/>
      <c r="F188" s="852"/>
      <c r="G188" s="852"/>
      <c r="H188" s="852"/>
      <c r="I188" s="852"/>
      <c r="J188" s="852"/>
      <c r="K188" s="852"/>
      <c r="L188" s="852"/>
      <c r="M188" s="852"/>
      <c r="N188" s="852"/>
      <c r="O188" s="852"/>
      <c r="P188" s="852"/>
      <c r="Q188" s="852"/>
      <c r="R188" s="852"/>
      <c r="S188" s="852"/>
      <c r="T188" s="852"/>
      <c r="U188" s="852"/>
      <c r="V188" s="852"/>
      <c r="W188" s="852"/>
      <c r="X188" s="852"/>
      <c r="Y188" s="852"/>
    </row>
    <row r="189" spans="1:25" ht="14.5" thickBot="1" x14ac:dyDescent="0.35">
      <c r="A189" s="1818"/>
      <c r="B189" s="1818"/>
    </row>
    <row r="190" spans="1:25" ht="16.5" customHeight="1" outlineLevel="1" x14ac:dyDescent="0.3">
      <c r="A190" s="1637" t="s">
        <v>461</v>
      </c>
      <c r="B190" s="1638"/>
      <c r="C190" s="1638"/>
      <c r="D190" s="1638"/>
      <c r="E190" s="1638"/>
      <c r="F190" s="1638"/>
      <c r="G190" s="1638"/>
      <c r="H190" s="1638"/>
      <c r="I190" s="1638"/>
      <c r="J190" s="1638"/>
      <c r="K190" s="1638"/>
      <c r="L190" s="1638"/>
      <c r="M190" s="1638"/>
      <c r="N190" s="1638"/>
      <c r="O190" s="1638"/>
      <c r="P190" s="1638"/>
      <c r="Q190" s="1638"/>
      <c r="R190" s="1638"/>
      <c r="S190" s="1638"/>
      <c r="T190" s="1638"/>
      <c r="U190" s="1638"/>
      <c r="V190" s="1638"/>
      <c r="W190" s="1638"/>
      <c r="X190" s="1638"/>
      <c r="Y190" s="1639"/>
    </row>
    <row r="191" spans="1:25" ht="16.5" customHeight="1" outlineLevel="1" thickBot="1" x14ac:dyDescent="0.35">
      <c r="A191" s="1834"/>
      <c r="B191" s="1835"/>
      <c r="C191" s="1835"/>
      <c r="D191" s="1835"/>
      <c r="E191" s="1835"/>
      <c r="F191" s="1835"/>
      <c r="G191" s="1835"/>
      <c r="H191" s="1835"/>
      <c r="I191" s="1835"/>
      <c r="J191" s="1835"/>
      <c r="K191" s="1835"/>
      <c r="L191" s="1835"/>
      <c r="M191" s="1835"/>
      <c r="N191" s="1835"/>
      <c r="O191" s="1835"/>
      <c r="P191" s="1835"/>
      <c r="Q191" s="1835"/>
      <c r="R191" s="1835"/>
      <c r="S191" s="1835"/>
      <c r="T191" s="1835"/>
      <c r="U191" s="1835"/>
      <c r="V191" s="1835"/>
      <c r="W191" s="1835"/>
      <c r="X191" s="1835"/>
      <c r="Y191" s="1836"/>
    </row>
    <row r="192" spans="1:25" ht="14.5" outlineLevel="1" thickBot="1" x14ac:dyDescent="0.35">
      <c r="A192" s="1816"/>
      <c r="B192" s="1817"/>
      <c r="C192" s="612"/>
      <c r="D192" s="612"/>
      <c r="E192" s="612"/>
      <c r="F192" s="612"/>
      <c r="G192" s="612"/>
      <c r="H192" s="612"/>
      <c r="I192" s="612"/>
      <c r="J192" s="612"/>
      <c r="K192" s="612"/>
      <c r="L192" s="612"/>
      <c r="M192" s="612"/>
      <c r="N192" s="612"/>
      <c r="O192" s="612"/>
      <c r="P192" s="612"/>
      <c r="Q192" s="612"/>
      <c r="R192" s="612"/>
      <c r="S192" s="612"/>
      <c r="T192" s="612"/>
      <c r="U192" s="612"/>
      <c r="V192" s="612"/>
      <c r="W192" s="612"/>
      <c r="X192" s="612"/>
      <c r="Y192" s="647"/>
    </row>
    <row r="193" spans="1:25" ht="20.5" outlineLevel="1" thickBot="1" x14ac:dyDescent="0.35">
      <c r="A193" s="849" t="s">
        <v>54</v>
      </c>
      <c r="B193" s="25" t="str">
        <f>HYPERLINK("#"&amp;ADDRESS(ROW(), COLUMN()-1), "€")</f>
        <v>€</v>
      </c>
      <c r="C193" s="737"/>
      <c r="H193" s="886"/>
      <c r="I193" s="575"/>
      <c r="J193" s="737"/>
      <c r="K193" s="737"/>
      <c r="L193" s="737"/>
      <c r="M193" s="737"/>
      <c r="N193" s="737"/>
      <c r="O193" s="737"/>
      <c r="P193" s="612"/>
      <c r="Q193" s="1840" t="s">
        <v>193</v>
      </c>
      <c r="R193" s="1841"/>
      <c r="S193" s="1842"/>
      <c r="T193" s="1837">
        <v>2012</v>
      </c>
      <c r="U193" s="1838"/>
      <c r="V193" s="1838"/>
      <c r="W193" s="1839"/>
      <c r="X193" s="25" t="str">
        <f>HYPERLINK("#"&amp;ADDRESS(ROW(), COLUMN()-1), "€")</f>
        <v>€</v>
      </c>
      <c r="Y193" s="647"/>
    </row>
    <row r="194" spans="1:25" ht="23.25" customHeight="1" outlineLevel="1" thickBot="1" x14ac:dyDescent="0.35">
      <c r="A194" s="1934" t="s">
        <v>626</v>
      </c>
      <c r="B194" s="1936" t="str">
        <f>HYPERLINK("#"&amp;ADDRESS(ROW(), COLUMN()-1), "€")</f>
        <v>€</v>
      </c>
      <c r="C194" s="612"/>
      <c r="D194" s="1938" t="str">
        <f>IF(OR($A$194="RRO Rate", LEFT($A$194, 14)="RRO Provider ("), IF($A$193="FORTIS", "Note that the " &amp; $A$194 &amp;" is managed by EPCOR in the FORTIS Zone", IF($A$193="ATCO", "Note that the " &amp; $A$194 &amp;" is managed by Direct Energy Regulated Services in the ATCO Zone","")), "")</f>
        <v/>
      </c>
      <c r="E194" s="1939"/>
      <c r="F194" s="1939"/>
      <c r="G194" s="1939"/>
      <c r="H194" s="1939"/>
      <c r="I194" s="1939"/>
      <c r="J194" s="1939"/>
      <c r="K194" s="1939"/>
      <c r="L194" s="1939"/>
      <c r="M194" s="1939"/>
      <c r="N194" s="1939"/>
      <c r="O194" s="1940"/>
      <c r="P194" s="612"/>
      <c r="Q194" s="1840" t="s">
        <v>192</v>
      </c>
      <c r="R194" s="1841"/>
      <c r="S194" s="1841"/>
      <c r="T194" s="1837">
        <v>2019</v>
      </c>
      <c r="U194" s="1838"/>
      <c r="V194" s="1838"/>
      <c r="W194" s="1839"/>
      <c r="X194" s="25" t="str">
        <f>HYPERLINK("#"&amp;ADDRESS(ROW(), COLUMN()-1), "€")</f>
        <v>€</v>
      </c>
      <c r="Y194" s="647"/>
    </row>
    <row r="195" spans="1:25" ht="38.25" customHeight="1" outlineLevel="1" thickBot="1" x14ac:dyDescent="0.35">
      <c r="A195" s="1935"/>
      <c r="B195" s="1937"/>
      <c r="C195" s="612"/>
      <c r="D195" s="1941"/>
      <c r="E195" s="1942"/>
      <c r="F195" s="1942"/>
      <c r="G195" s="1942"/>
      <c r="H195" s="1942"/>
      <c r="I195" s="1942"/>
      <c r="J195" s="1942"/>
      <c r="K195" s="1942"/>
      <c r="L195" s="1942"/>
      <c r="M195" s="1942"/>
      <c r="N195" s="1942"/>
      <c r="O195" s="1943"/>
      <c r="P195" s="612"/>
      <c r="Q195" s="612"/>
      <c r="R195" s="612"/>
      <c r="S195" s="612"/>
      <c r="T195" s="612"/>
      <c r="U195" s="612"/>
      <c r="V195" s="612"/>
      <c r="W195" s="612"/>
      <c r="X195" s="612"/>
      <c r="Y195" s="647"/>
    </row>
    <row r="196" spans="1:25" ht="16.5" customHeight="1" outlineLevel="1" x14ac:dyDescent="0.3">
      <c r="A196" s="646"/>
      <c r="B196" s="612"/>
      <c r="C196" s="612"/>
      <c r="D196" s="612"/>
      <c r="E196" s="612"/>
      <c r="F196" s="612"/>
      <c r="G196" s="612"/>
      <c r="H196" s="612"/>
      <c r="I196" s="612"/>
      <c r="J196" s="612"/>
      <c r="K196" s="612"/>
      <c r="L196" s="612"/>
      <c r="M196" s="612"/>
      <c r="N196" s="612"/>
      <c r="O196" s="612"/>
      <c r="P196" s="612"/>
      <c r="Q196" s="612"/>
      <c r="R196" s="612"/>
      <c r="S196" s="612"/>
      <c r="T196" s="612"/>
      <c r="U196" s="612"/>
      <c r="V196" s="612"/>
      <c r="W196" s="612"/>
      <c r="X196" s="612"/>
      <c r="Y196" s="647"/>
    </row>
    <row r="197" spans="1:25" outlineLevel="1" x14ac:dyDescent="0.3">
      <c r="A197" s="646"/>
      <c r="B197" s="612"/>
      <c r="C197" s="612"/>
      <c r="D197" s="612"/>
      <c r="E197" s="612"/>
      <c r="F197" s="612"/>
      <c r="G197" s="612"/>
      <c r="H197" s="612"/>
      <c r="I197" s="612"/>
      <c r="J197" s="612"/>
      <c r="K197" s="612"/>
      <c r="L197" s="612"/>
      <c r="M197" s="612"/>
      <c r="N197" s="612"/>
      <c r="O197" s="612"/>
      <c r="P197" s="612"/>
      <c r="Q197" s="612"/>
      <c r="R197" s="612"/>
      <c r="S197" s="612"/>
      <c r="T197" s="612"/>
      <c r="U197" s="612"/>
      <c r="V197" s="612"/>
      <c r="W197" s="612"/>
      <c r="X197" s="612"/>
      <c r="Y197" s="647"/>
    </row>
    <row r="198" spans="1:25" outlineLevel="1" x14ac:dyDescent="0.3">
      <c r="A198" s="646"/>
      <c r="B198" s="612"/>
      <c r="C198" s="612"/>
      <c r="D198" s="612"/>
      <c r="E198" s="612"/>
      <c r="F198" s="612"/>
      <c r="G198" s="612"/>
      <c r="H198" s="612"/>
      <c r="I198" s="612"/>
      <c r="J198" s="612"/>
      <c r="K198" s="612"/>
      <c r="L198" s="612"/>
      <c r="M198" s="612"/>
      <c r="N198" s="612"/>
      <c r="O198" s="612"/>
      <c r="P198" s="612"/>
      <c r="Q198" s="612"/>
      <c r="R198" s="612"/>
      <c r="S198" s="612"/>
      <c r="T198" s="612"/>
      <c r="U198" s="612"/>
      <c r="V198" s="612"/>
      <c r="W198" s="612"/>
      <c r="X198" s="612"/>
      <c r="Y198" s="647"/>
    </row>
    <row r="199" spans="1:25" outlineLevel="1" x14ac:dyDescent="0.3">
      <c r="A199" s="646"/>
      <c r="B199" s="612"/>
      <c r="C199" s="612"/>
      <c r="D199" s="612"/>
      <c r="E199" s="612"/>
      <c r="F199" s="612"/>
      <c r="G199" s="612"/>
      <c r="H199" s="612"/>
      <c r="I199" s="612"/>
      <c r="J199" s="612"/>
      <c r="K199" s="612"/>
      <c r="L199" s="612"/>
      <c r="M199" s="612"/>
      <c r="N199" s="612"/>
      <c r="O199" s="612"/>
      <c r="P199" s="612"/>
      <c r="Q199" s="612"/>
      <c r="R199" s="612"/>
      <c r="S199" s="612"/>
      <c r="T199" s="612"/>
      <c r="U199" s="612"/>
      <c r="V199" s="612"/>
      <c r="W199" s="612"/>
      <c r="X199" s="612"/>
      <c r="Y199" s="647"/>
    </row>
    <row r="200" spans="1:25" outlineLevel="1" x14ac:dyDescent="0.3">
      <c r="A200" s="646"/>
      <c r="B200" s="612"/>
      <c r="C200" s="612"/>
      <c r="D200" s="612"/>
      <c r="E200" s="612"/>
      <c r="F200" s="612"/>
      <c r="G200" s="612"/>
      <c r="H200" s="612"/>
      <c r="I200" s="612"/>
      <c r="J200" s="612"/>
      <c r="K200" s="612"/>
      <c r="L200" s="612"/>
      <c r="M200" s="612"/>
      <c r="N200" s="612"/>
      <c r="O200" s="612"/>
      <c r="P200" s="612"/>
      <c r="Q200" s="612"/>
      <c r="R200" s="612"/>
      <c r="S200" s="612"/>
      <c r="T200" s="612"/>
      <c r="U200" s="612"/>
      <c r="V200" s="612"/>
      <c r="W200" s="612"/>
      <c r="X200" s="612"/>
      <c r="Y200" s="647"/>
    </row>
    <row r="201" spans="1:25" outlineLevel="1" x14ac:dyDescent="0.3">
      <c r="A201" s="646"/>
      <c r="B201" s="612"/>
      <c r="C201" s="612"/>
      <c r="D201" s="612"/>
      <c r="E201" s="612"/>
      <c r="F201" s="612"/>
      <c r="G201" s="612"/>
      <c r="H201" s="612"/>
      <c r="I201" s="612"/>
      <c r="J201" s="612"/>
      <c r="K201" s="612"/>
      <c r="L201" s="612"/>
      <c r="M201" s="612"/>
      <c r="N201" s="612"/>
      <c r="O201" s="612"/>
      <c r="P201" s="612"/>
      <c r="Q201" s="612"/>
      <c r="R201" s="612"/>
      <c r="S201" s="612"/>
      <c r="T201" s="612"/>
      <c r="U201" s="612"/>
      <c r="V201" s="612"/>
      <c r="W201" s="612"/>
      <c r="X201" s="612"/>
      <c r="Y201" s="647"/>
    </row>
    <row r="202" spans="1:25" outlineLevel="1" x14ac:dyDescent="0.3">
      <c r="A202" s="646"/>
      <c r="B202" s="612"/>
      <c r="C202" s="612"/>
      <c r="D202" s="612"/>
      <c r="E202" s="612"/>
      <c r="F202" s="612"/>
      <c r="G202" s="612"/>
      <c r="H202" s="612"/>
      <c r="I202" s="612"/>
      <c r="J202" s="612"/>
      <c r="K202" s="612"/>
      <c r="L202" s="612"/>
      <c r="M202" s="612"/>
      <c r="N202" s="612"/>
      <c r="O202" s="612"/>
      <c r="P202" s="612"/>
      <c r="Q202" s="612"/>
      <c r="R202" s="612"/>
      <c r="S202" s="612"/>
      <c r="T202" s="612"/>
      <c r="U202" s="612"/>
      <c r="V202" s="612"/>
      <c r="W202" s="612"/>
      <c r="X202" s="612"/>
      <c r="Y202" s="647"/>
    </row>
    <row r="203" spans="1:25" outlineLevel="1" x14ac:dyDescent="0.3">
      <c r="A203" s="646"/>
      <c r="B203" s="612"/>
      <c r="C203" s="612"/>
      <c r="D203" s="612"/>
      <c r="E203" s="612"/>
      <c r="F203" s="612"/>
      <c r="G203" s="612"/>
      <c r="H203" s="612"/>
      <c r="I203" s="612"/>
      <c r="J203" s="612"/>
      <c r="K203" s="612"/>
      <c r="L203" s="612"/>
      <c r="M203" s="612"/>
      <c r="N203" s="612"/>
      <c r="O203" s="612"/>
      <c r="P203" s="612"/>
      <c r="Q203" s="612"/>
      <c r="R203" s="612"/>
      <c r="S203" s="612"/>
      <c r="T203" s="612"/>
      <c r="U203" s="612"/>
      <c r="V203" s="612"/>
      <c r="W203" s="612"/>
      <c r="X203" s="612"/>
      <c r="Y203" s="647"/>
    </row>
    <row r="204" spans="1:25" outlineLevel="1" x14ac:dyDescent="0.3">
      <c r="A204" s="646"/>
      <c r="B204" s="612"/>
      <c r="C204" s="612"/>
      <c r="D204" s="612"/>
      <c r="E204" s="612"/>
      <c r="F204" s="612"/>
      <c r="G204" s="612"/>
      <c r="H204" s="612"/>
      <c r="I204" s="612"/>
      <c r="J204" s="612"/>
      <c r="K204" s="612"/>
      <c r="L204" s="612"/>
      <c r="M204" s="612"/>
      <c r="N204" s="612"/>
      <c r="O204" s="612"/>
      <c r="P204" s="612"/>
      <c r="Q204" s="612"/>
      <c r="R204" s="612"/>
      <c r="S204" s="612"/>
      <c r="T204" s="612"/>
      <c r="U204" s="612"/>
      <c r="V204" s="612"/>
      <c r="W204" s="612"/>
      <c r="X204" s="612"/>
      <c r="Y204" s="647"/>
    </row>
    <row r="205" spans="1:25" outlineLevel="1" x14ac:dyDescent="0.3">
      <c r="A205" s="646"/>
      <c r="B205" s="612"/>
      <c r="C205" s="612"/>
      <c r="D205" s="612"/>
      <c r="E205" s="612"/>
      <c r="F205" s="612"/>
      <c r="G205" s="612"/>
      <c r="H205" s="612"/>
      <c r="I205" s="612"/>
      <c r="J205" s="612"/>
      <c r="K205" s="612"/>
      <c r="L205" s="612"/>
      <c r="M205" s="612"/>
      <c r="N205" s="612"/>
      <c r="O205" s="612"/>
      <c r="P205" s="612"/>
      <c r="Q205" s="612"/>
      <c r="R205" s="612"/>
      <c r="S205" s="612"/>
      <c r="T205" s="612"/>
      <c r="U205" s="612"/>
      <c r="V205" s="612"/>
      <c r="W205" s="612"/>
      <c r="X205" s="612"/>
      <c r="Y205" s="647"/>
    </row>
    <row r="206" spans="1:25" outlineLevel="1" x14ac:dyDescent="0.3">
      <c r="A206" s="646"/>
      <c r="B206" s="612"/>
      <c r="C206" s="612"/>
      <c r="D206" s="612"/>
      <c r="E206" s="612"/>
      <c r="F206" s="612"/>
      <c r="G206" s="612"/>
      <c r="H206" s="612"/>
      <c r="I206" s="612"/>
      <c r="J206" s="612"/>
      <c r="K206" s="612"/>
      <c r="L206" s="612"/>
      <c r="M206" s="612"/>
      <c r="N206" s="612"/>
      <c r="O206" s="612"/>
      <c r="P206" s="612"/>
      <c r="Q206" s="612"/>
      <c r="R206" s="612"/>
      <c r="S206" s="612"/>
      <c r="T206" s="612"/>
      <c r="U206" s="612"/>
      <c r="V206" s="612"/>
      <c r="W206" s="612"/>
      <c r="X206" s="612"/>
      <c r="Y206" s="647"/>
    </row>
    <row r="207" spans="1:25" outlineLevel="1" x14ac:dyDescent="0.3">
      <c r="A207" s="646"/>
      <c r="B207" s="612"/>
      <c r="C207" s="612"/>
      <c r="D207" s="612"/>
      <c r="E207" s="612"/>
      <c r="F207" s="612"/>
      <c r="G207" s="612"/>
      <c r="H207" s="612"/>
      <c r="I207" s="612"/>
      <c r="J207" s="612"/>
      <c r="K207" s="612"/>
      <c r="L207" s="612"/>
      <c r="M207" s="612"/>
      <c r="N207" s="612"/>
      <c r="O207" s="612"/>
      <c r="P207" s="612"/>
      <c r="Q207" s="612"/>
      <c r="R207" s="612"/>
      <c r="S207" s="612"/>
      <c r="T207" s="612"/>
      <c r="U207" s="612"/>
      <c r="V207" s="612"/>
      <c r="W207" s="612"/>
      <c r="X207" s="612"/>
      <c r="Y207" s="647"/>
    </row>
    <row r="208" spans="1:25" outlineLevel="1" x14ac:dyDescent="0.3">
      <c r="A208" s="646"/>
      <c r="B208" s="612"/>
      <c r="C208" s="612"/>
      <c r="D208" s="612"/>
      <c r="E208" s="612"/>
      <c r="F208" s="612"/>
      <c r="G208" s="612"/>
      <c r="H208" s="612"/>
      <c r="I208" s="612"/>
      <c r="J208" s="612"/>
      <c r="K208" s="612"/>
      <c r="L208" s="612"/>
      <c r="M208" s="612"/>
      <c r="N208" s="612"/>
      <c r="O208" s="612"/>
      <c r="P208" s="612"/>
      <c r="Q208" s="612"/>
      <c r="R208" s="612"/>
      <c r="S208" s="612"/>
      <c r="T208" s="612"/>
      <c r="U208" s="612"/>
      <c r="V208" s="612"/>
      <c r="W208" s="612"/>
      <c r="X208" s="612"/>
      <c r="Y208" s="647"/>
    </row>
    <row r="209" spans="1:25" outlineLevel="1" x14ac:dyDescent="0.3">
      <c r="A209" s="646"/>
      <c r="B209" s="612"/>
      <c r="C209" s="612"/>
      <c r="D209" s="612"/>
      <c r="E209" s="612"/>
      <c r="F209" s="612"/>
      <c r="G209" s="612"/>
      <c r="H209" s="612"/>
      <c r="I209" s="612"/>
      <c r="J209" s="612"/>
      <c r="K209" s="612"/>
      <c r="L209" s="612"/>
      <c r="M209" s="612"/>
      <c r="N209" s="612"/>
      <c r="O209" s="612"/>
      <c r="P209" s="612"/>
      <c r="Q209" s="612"/>
      <c r="R209" s="612"/>
      <c r="S209" s="612"/>
      <c r="T209" s="612"/>
      <c r="U209" s="612"/>
      <c r="V209" s="612"/>
      <c r="W209" s="612"/>
      <c r="X209" s="612"/>
      <c r="Y209" s="647"/>
    </row>
    <row r="210" spans="1:25" outlineLevel="1" x14ac:dyDescent="0.3">
      <c r="A210" s="646"/>
      <c r="B210" s="612"/>
      <c r="C210" s="612"/>
      <c r="D210" s="612"/>
      <c r="E210" s="612"/>
      <c r="F210" s="612"/>
      <c r="G210" s="612"/>
      <c r="H210" s="612"/>
      <c r="I210" s="612"/>
      <c r="J210" s="612"/>
      <c r="K210" s="612"/>
      <c r="L210" s="612"/>
      <c r="M210" s="612"/>
      <c r="N210" s="612"/>
      <c r="O210" s="612"/>
      <c r="P210" s="612"/>
      <c r="Q210" s="612"/>
      <c r="R210" s="612"/>
      <c r="S210" s="612"/>
      <c r="T210" s="612"/>
      <c r="U210" s="612"/>
      <c r="V210" s="612"/>
      <c r="W210" s="612"/>
      <c r="X210" s="612"/>
      <c r="Y210" s="647"/>
    </row>
    <row r="211" spans="1:25" outlineLevel="1" x14ac:dyDescent="0.3">
      <c r="A211" s="646"/>
      <c r="B211" s="612"/>
      <c r="C211" s="612"/>
      <c r="D211" s="612"/>
      <c r="E211" s="612"/>
      <c r="F211" s="612"/>
      <c r="G211" s="612"/>
      <c r="H211" s="612"/>
      <c r="I211" s="612"/>
      <c r="J211" s="612"/>
      <c r="K211" s="612"/>
      <c r="L211" s="612"/>
      <c r="M211" s="612"/>
      <c r="N211" s="612"/>
      <c r="O211" s="612"/>
      <c r="P211" s="612"/>
      <c r="Q211" s="612"/>
      <c r="R211" s="612"/>
      <c r="S211" s="612"/>
      <c r="T211" s="612"/>
      <c r="U211" s="612"/>
      <c r="V211" s="612"/>
      <c r="W211" s="612"/>
      <c r="X211" s="612"/>
      <c r="Y211" s="647"/>
    </row>
    <row r="212" spans="1:25" outlineLevel="1" x14ac:dyDescent="0.3">
      <c r="A212" s="646"/>
      <c r="B212" s="612"/>
      <c r="C212" s="612"/>
      <c r="D212" s="612"/>
      <c r="E212" s="612"/>
      <c r="F212" s="612"/>
      <c r="G212" s="612"/>
      <c r="H212" s="612"/>
      <c r="I212" s="612"/>
      <c r="J212" s="612"/>
      <c r="K212" s="612"/>
      <c r="L212" s="612"/>
      <c r="M212" s="612"/>
      <c r="N212" s="612"/>
      <c r="O212" s="612"/>
      <c r="P212" s="612"/>
      <c r="Q212" s="612"/>
      <c r="R212" s="612"/>
      <c r="S212" s="612"/>
      <c r="T212" s="612"/>
      <c r="U212" s="612"/>
      <c r="V212" s="612"/>
      <c r="W212" s="612"/>
      <c r="X212" s="612"/>
      <c r="Y212" s="647"/>
    </row>
    <row r="213" spans="1:25" outlineLevel="1" x14ac:dyDescent="0.3">
      <c r="A213" s="646"/>
      <c r="B213" s="612"/>
      <c r="C213" s="612"/>
      <c r="D213" s="612"/>
      <c r="E213" s="612"/>
      <c r="F213" s="612"/>
      <c r="G213" s="612"/>
      <c r="H213" s="612"/>
      <c r="I213" s="612"/>
      <c r="J213" s="612"/>
      <c r="K213" s="612"/>
      <c r="L213" s="612"/>
      <c r="M213" s="612"/>
      <c r="N213" s="612"/>
      <c r="O213" s="612"/>
      <c r="P213" s="612"/>
      <c r="Q213" s="612"/>
      <c r="R213" s="612"/>
      <c r="S213" s="612"/>
      <c r="T213" s="612"/>
      <c r="U213" s="612"/>
      <c r="V213" s="612"/>
      <c r="W213" s="612"/>
      <c r="X213" s="612"/>
      <c r="Y213" s="647"/>
    </row>
    <row r="214" spans="1:25" outlineLevel="1" x14ac:dyDescent="0.3">
      <c r="A214" s="646"/>
      <c r="B214" s="612"/>
      <c r="C214" s="612"/>
      <c r="D214" s="612"/>
      <c r="E214" s="612"/>
      <c r="F214" s="612"/>
      <c r="G214" s="612"/>
      <c r="H214" s="612"/>
      <c r="I214" s="612"/>
      <c r="J214" s="612"/>
      <c r="K214" s="612"/>
      <c r="L214" s="612"/>
      <c r="M214" s="612"/>
      <c r="N214" s="612"/>
      <c r="O214" s="612"/>
      <c r="P214" s="612"/>
      <c r="Q214" s="612"/>
      <c r="R214" s="612"/>
      <c r="S214" s="612"/>
      <c r="T214" s="612"/>
      <c r="U214" s="612"/>
      <c r="V214" s="612"/>
      <c r="W214" s="612"/>
      <c r="X214" s="612"/>
      <c r="Y214" s="647"/>
    </row>
    <row r="215" spans="1:25" outlineLevel="1" x14ac:dyDescent="0.3">
      <c r="A215" s="646"/>
      <c r="B215" s="612"/>
      <c r="C215" s="612"/>
      <c r="D215" s="612"/>
      <c r="E215" s="612"/>
      <c r="F215" s="612"/>
      <c r="G215" s="612"/>
      <c r="H215" s="612"/>
      <c r="I215" s="612"/>
      <c r="J215" s="612"/>
      <c r="K215" s="612"/>
      <c r="L215" s="612"/>
      <c r="M215" s="612"/>
      <c r="N215" s="612"/>
      <c r="O215" s="612"/>
      <c r="P215" s="612"/>
      <c r="Q215" s="612"/>
      <c r="R215" s="612"/>
      <c r="S215" s="612"/>
      <c r="T215" s="612"/>
      <c r="U215" s="612"/>
      <c r="V215" s="612"/>
      <c r="W215" s="612"/>
      <c r="X215" s="612"/>
      <c r="Y215" s="647"/>
    </row>
    <row r="216" spans="1:25" outlineLevel="1" x14ac:dyDescent="0.3">
      <c r="A216" s="646"/>
      <c r="B216" s="612"/>
      <c r="C216" s="612"/>
      <c r="D216" s="612"/>
      <c r="E216" s="612"/>
      <c r="F216" s="612"/>
      <c r="G216" s="612"/>
      <c r="H216" s="612"/>
      <c r="I216" s="612"/>
      <c r="J216" s="612"/>
      <c r="K216" s="612"/>
      <c r="L216" s="612"/>
      <c r="M216" s="612"/>
      <c r="N216" s="612"/>
      <c r="O216" s="612"/>
      <c r="P216" s="612"/>
      <c r="Q216" s="612"/>
      <c r="R216" s="612"/>
      <c r="S216" s="612"/>
      <c r="T216" s="612"/>
      <c r="U216" s="612"/>
      <c r="V216" s="612"/>
      <c r="W216" s="612"/>
      <c r="X216" s="612"/>
      <c r="Y216" s="647"/>
    </row>
    <row r="217" spans="1:25" outlineLevel="1" x14ac:dyDescent="0.3">
      <c r="A217" s="646"/>
      <c r="B217" s="612"/>
      <c r="C217" s="612"/>
      <c r="D217" s="612"/>
      <c r="E217" s="612"/>
      <c r="F217" s="612"/>
      <c r="G217" s="612"/>
      <c r="H217" s="612"/>
      <c r="I217" s="612"/>
      <c r="J217" s="612"/>
      <c r="K217" s="612"/>
      <c r="L217" s="612"/>
      <c r="M217" s="612"/>
      <c r="N217" s="612"/>
      <c r="O217" s="612"/>
      <c r="P217" s="612"/>
      <c r="Q217" s="612"/>
      <c r="R217" s="612"/>
      <c r="S217" s="612"/>
      <c r="T217" s="612"/>
      <c r="U217" s="612"/>
      <c r="V217" s="612"/>
      <c r="W217" s="612"/>
      <c r="X217" s="612"/>
      <c r="Y217" s="647"/>
    </row>
    <row r="218" spans="1:25" outlineLevel="1" x14ac:dyDescent="0.3">
      <c r="A218" s="646"/>
      <c r="B218" s="612"/>
      <c r="C218" s="612"/>
      <c r="D218" s="612"/>
      <c r="E218" s="612"/>
      <c r="F218" s="612"/>
      <c r="G218" s="612"/>
      <c r="H218" s="612"/>
      <c r="I218" s="612"/>
      <c r="J218" s="612"/>
      <c r="K218" s="612"/>
      <c r="L218" s="612"/>
      <c r="M218" s="612"/>
      <c r="N218" s="612"/>
      <c r="O218" s="612"/>
      <c r="P218" s="612"/>
      <c r="Q218" s="612"/>
      <c r="R218" s="612"/>
      <c r="S218" s="612"/>
      <c r="T218" s="612"/>
      <c r="U218" s="612"/>
      <c r="V218" s="612"/>
      <c r="W218" s="612"/>
      <c r="X218" s="612"/>
      <c r="Y218" s="647"/>
    </row>
    <row r="219" spans="1:25" outlineLevel="1" x14ac:dyDescent="0.3">
      <c r="A219" s="646"/>
      <c r="B219" s="612"/>
      <c r="C219" s="612"/>
      <c r="D219" s="612"/>
      <c r="E219" s="612"/>
      <c r="F219" s="612"/>
      <c r="G219" s="612"/>
      <c r="H219" s="612"/>
      <c r="I219" s="612"/>
      <c r="J219" s="612"/>
      <c r="K219" s="612"/>
      <c r="L219" s="612"/>
      <c r="M219" s="612"/>
      <c r="N219" s="612"/>
      <c r="O219" s="612"/>
      <c r="P219" s="612"/>
      <c r="Q219" s="612"/>
      <c r="R219" s="612"/>
      <c r="S219" s="612"/>
      <c r="T219" s="612"/>
      <c r="U219" s="612"/>
      <c r="V219" s="612"/>
      <c r="W219" s="612"/>
      <c r="X219" s="612"/>
      <c r="Y219" s="647"/>
    </row>
    <row r="220" spans="1:25" outlineLevel="1" x14ac:dyDescent="0.3">
      <c r="A220" s="646"/>
      <c r="B220" s="612"/>
      <c r="C220" s="612"/>
      <c r="D220" s="612"/>
      <c r="E220" s="612"/>
      <c r="F220" s="612"/>
      <c r="G220" s="612"/>
      <c r="H220" s="612"/>
      <c r="I220" s="612"/>
      <c r="J220" s="612"/>
      <c r="K220" s="612"/>
      <c r="L220" s="612"/>
      <c r="M220" s="612"/>
      <c r="N220" s="612"/>
      <c r="O220" s="612"/>
      <c r="P220" s="612"/>
      <c r="Q220" s="612"/>
      <c r="R220" s="612"/>
      <c r="S220" s="612"/>
      <c r="T220" s="612"/>
      <c r="U220" s="612"/>
      <c r="V220" s="612"/>
      <c r="W220" s="612"/>
      <c r="X220" s="612"/>
      <c r="Y220" s="647"/>
    </row>
    <row r="221" spans="1:25" outlineLevel="1" x14ac:dyDescent="0.3">
      <c r="A221" s="646"/>
      <c r="B221" s="612"/>
      <c r="C221" s="612"/>
      <c r="D221" s="612"/>
      <c r="E221" s="612"/>
      <c r="F221" s="612"/>
      <c r="G221" s="612"/>
      <c r="H221" s="612"/>
      <c r="I221" s="612"/>
      <c r="J221" s="612"/>
      <c r="K221" s="612"/>
      <c r="L221" s="612"/>
      <c r="M221" s="612"/>
      <c r="N221" s="612"/>
      <c r="O221" s="612"/>
      <c r="P221" s="612"/>
      <c r="Q221" s="612"/>
      <c r="R221" s="612"/>
      <c r="S221" s="612"/>
      <c r="T221" s="612"/>
      <c r="U221" s="612"/>
      <c r="V221" s="612"/>
      <c r="W221" s="612"/>
      <c r="X221" s="612"/>
      <c r="Y221" s="647"/>
    </row>
    <row r="222" spans="1:25" outlineLevel="1" x14ac:dyDescent="0.3">
      <c r="A222" s="646"/>
      <c r="B222" s="612"/>
      <c r="C222" s="612"/>
      <c r="D222" s="612"/>
      <c r="E222" s="612"/>
      <c r="F222" s="612"/>
      <c r="G222" s="612"/>
      <c r="H222" s="612"/>
      <c r="I222" s="612"/>
      <c r="J222" s="612"/>
      <c r="K222" s="612"/>
      <c r="L222" s="612"/>
      <c r="M222" s="612"/>
      <c r="N222" s="612"/>
      <c r="O222" s="612"/>
      <c r="P222" s="612"/>
      <c r="Q222" s="612"/>
      <c r="R222" s="612"/>
      <c r="S222" s="612"/>
      <c r="T222" s="612"/>
      <c r="U222" s="612"/>
      <c r="V222" s="612"/>
      <c r="W222" s="612"/>
      <c r="X222" s="612"/>
      <c r="Y222" s="647"/>
    </row>
    <row r="223" spans="1:25" outlineLevel="1" x14ac:dyDescent="0.3">
      <c r="A223" s="646"/>
      <c r="B223" s="612"/>
      <c r="C223" s="612"/>
      <c r="D223" s="612"/>
      <c r="E223" s="612"/>
      <c r="F223" s="612"/>
      <c r="G223" s="612"/>
      <c r="H223" s="612"/>
      <c r="I223" s="612"/>
      <c r="J223" s="612"/>
      <c r="K223" s="612"/>
      <c r="L223" s="612"/>
      <c r="M223" s="612"/>
      <c r="N223" s="612"/>
      <c r="O223" s="612"/>
      <c r="P223" s="612"/>
      <c r="Q223" s="612"/>
      <c r="R223" s="612"/>
      <c r="S223" s="612"/>
      <c r="T223" s="612"/>
      <c r="U223" s="612"/>
      <c r="V223" s="612"/>
      <c r="W223" s="612"/>
      <c r="X223" s="612"/>
      <c r="Y223" s="647"/>
    </row>
    <row r="224" spans="1:25" outlineLevel="1" x14ac:dyDescent="0.3">
      <c r="A224" s="646"/>
      <c r="B224" s="612"/>
      <c r="C224" s="612"/>
      <c r="D224" s="612"/>
      <c r="E224" s="612"/>
      <c r="F224" s="612"/>
      <c r="G224" s="612"/>
      <c r="H224" s="612"/>
      <c r="I224" s="612"/>
      <c r="J224" s="612"/>
      <c r="K224" s="612"/>
      <c r="L224" s="612"/>
      <c r="M224" s="612"/>
      <c r="N224" s="612"/>
      <c r="O224" s="612"/>
      <c r="P224" s="612"/>
      <c r="Q224" s="612"/>
      <c r="R224" s="612"/>
      <c r="S224" s="612"/>
      <c r="T224" s="612"/>
      <c r="U224" s="612"/>
      <c r="V224" s="612"/>
      <c r="W224" s="612"/>
      <c r="X224" s="612"/>
      <c r="Y224" s="647"/>
    </row>
    <row r="225" spans="1:25" outlineLevel="1" x14ac:dyDescent="0.3">
      <c r="A225" s="646"/>
      <c r="B225" s="612"/>
      <c r="C225" s="612"/>
      <c r="D225" s="612"/>
      <c r="E225" s="612"/>
      <c r="F225" s="612"/>
      <c r="G225" s="612"/>
      <c r="H225" s="612"/>
      <c r="I225" s="612"/>
      <c r="J225" s="612"/>
      <c r="K225" s="612"/>
      <c r="L225" s="612"/>
      <c r="M225" s="612"/>
      <c r="N225" s="612"/>
      <c r="O225" s="612"/>
      <c r="P225" s="612"/>
      <c r="Q225" s="612"/>
      <c r="R225" s="612"/>
      <c r="S225" s="612"/>
      <c r="T225" s="612"/>
      <c r="U225" s="612"/>
      <c r="V225" s="612"/>
      <c r="W225" s="612"/>
      <c r="X225" s="612"/>
      <c r="Y225" s="647"/>
    </row>
    <row r="226" spans="1:25" outlineLevel="1" x14ac:dyDescent="0.3">
      <c r="A226" s="646"/>
      <c r="B226" s="612"/>
      <c r="C226" s="612"/>
      <c r="D226" s="612"/>
      <c r="E226" s="612"/>
      <c r="F226" s="612"/>
      <c r="G226" s="612"/>
      <c r="H226" s="612"/>
      <c r="I226" s="612"/>
      <c r="J226" s="612"/>
      <c r="K226" s="612"/>
      <c r="L226" s="612"/>
      <c r="M226" s="612"/>
      <c r="N226" s="612"/>
      <c r="O226" s="612"/>
      <c r="P226" s="612"/>
      <c r="Q226" s="612"/>
      <c r="R226" s="612"/>
      <c r="S226" s="612"/>
      <c r="T226" s="612"/>
      <c r="U226" s="612"/>
      <c r="V226" s="612"/>
      <c r="W226" s="612"/>
      <c r="X226" s="612"/>
      <c r="Y226" s="647"/>
    </row>
    <row r="227" spans="1:25" ht="14.5" outlineLevel="1" thickBot="1" x14ac:dyDescent="0.35">
      <c r="A227" s="702"/>
      <c r="B227" s="703"/>
      <c r="C227" s="703"/>
      <c r="D227" s="703"/>
      <c r="E227" s="703"/>
      <c r="F227" s="703"/>
      <c r="G227" s="703"/>
      <c r="H227" s="703"/>
      <c r="I227" s="703"/>
      <c r="J227" s="703"/>
      <c r="K227" s="703"/>
      <c r="L227" s="703"/>
      <c r="M227" s="703"/>
      <c r="N227" s="703"/>
      <c r="O227" s="703"/>
      <c r="P227" s="703"/>
      <c r="Q227" s="703"/>
      <c r="R227" s="703"/>
      <c r="S227" s="703"/>
      <c r="T227" s="703"/>
      <c r="U227" s="703"/>
      <c r="V227" s="703"/>
      <c r="W227" s="703"/>
      <c r="X227" s="703"/>
      <c r="Y227" s="704"/>
    </row>
    <row r="228" spans="1:25" ht="16.5" customHeight="1" x14ac:dyDescent="0.3">
      <c r="A228" s="1826" t="s">
        <v>462</v>
      </c>
      <c r="B228" s="1826"/>
      <c r="C228" s="1826"/>
      <c r="D228" s="1826"/>
      <c r="E228" s="1826"/>
      <c r="F228" s="1826"/>
      <c r="G228" s="1826"/>
      <c r="H228" s="1826"/>
      <c r="I228" s="1826"/>
      <c r="J228" s="1826"/>
      <c r="K228" s="1826"/>
      <c r="L228" s="1826"/>
      <c r="M228" s="1826"/>
      <c r="N228" s="1826"/>
      <c r="O228" s="1826"/>
      <c r="P228" s="1826"/>
      <c r="Q228" s="1826"/>
      <c r="R228" s="1826"/>
      <c r="S228" s="1826"/>
      <c r="T228" s="1826"/>
      <c r="U228" s="1826"/>
      <c r="V228" s="1826"/>
      <c r="W228" s="1826"/>
      <c r="X228" s="1826"/>
      <c r="Y228" s="1826"/>
    </row>
    <row r="229" spans="1:25" ht="16.5" customHeight="1" x14ac:dyDescent="0.3">
      <c r="A229" s="1827"/>
      <c r="B229" s="1827"/>
      <c r="C229" s="1827"/>
      <c r="D229" s="1827"/>
      <c r="E229" s="1827"/>
      <c r="F229" s="1827"/>
      <c r="G229" s="1827"/>
      <c r="H229" s="1827"/>
      <c r="I229" s="1827"/>
      <c r="J229" s="1827"/>
      <c r="K229" s="1827"/>
      <c r="L229" s="1827"/>
      <c r="M229" s="1827"/>
      <c r="N229" s="1827"/>
      <c r="O229" s="1827"/>
      <c r="P229" s="1827"/>
      <c r="Q229" s="1827"/>
      <c r="R229" s="1827"/>
      <c r="S229" s="1827"/>
      <c r="T229" s="1827"/>
      <c r="U229" s="1827"/>
      <c r="V229" s="1827"/>
      <c r="W229" s="1827"/>
      <c r="X229" s="1827"/>
      <c r="Y229" s="1827"/>
    </row>
    <row r="230" spans="1:25" s="719" customFormat="1" ht="16.5" customHeight="1" x14ac:dyDescent="0.3">
      <c r="A230" s="1813"/>
      <c r="B230" s="1813"/>
      <c r="C230" s="852"/>
      <c r="D230" s="852"/>
      <c r="E230" s="852"/>
      <c r="F230" s="852"/>
      <c r="G230" s="852"/>
      <c r="H230" s="852"/>
      <c r="I230" s="852"/>
      <c r="J230" s="852"/>
      <c r="K230" s="852"/>
      <c r="L230" s="852"/>
      <c r="M230" s="852"/>
      <c r="N230" s="852"/>
      <c r="O230" s="852"/>
      <c r="P230" s="852"/>
      <c r="Q230" s="852"/>
      <c r="R230" s="852"/>
      <c r="S230" s="852"/>
      <c r="T230" s="852"/>
      <c r="U230" s="852"/>
      <c r="V230" s="852"/>
      <c r="W230" s="852"/>
      <c r="X230" s="852"/>
      <c r="Y230" s="852"/>
    </row>
    <row r="231" spans="1:25" ht="14.5" thickBot="1" x14ac:dyDescent="0.35">
      <c r="A231" s="1818"/>
      <c r="B231" s="1818"/>
    </row>
    <row r="232" spans="1:25" ht="33" customHeight="1" outlineLevel="1" thickBot="1" x14ac:dyDescent="0.35">
      <c r="A232" s="1774" t="str">
        <f>$A$233 &amp; " Key Metrics"</f>
        <v>ENMAX Key Metrics</v>
      </c>
      <c r="B232" s="1775"/>
      <c r="C232" s="1775"/>
      <c r="D232" s="1775"/>
      <c r="E232" s="1776"/>
      <c r="F232" s="644"/>
      <c r="G232" s="644"/>
      <c r="H232" s="644"/>
      <c r="I232" s="644"/>
      <c r="J232" s="644"/>
      <c r="K232" s="644"/>
      <c r="L232" s="644"/>
      <c r="M232" s="644"/>
      <c r="N232" s="644"/>
      <c r="O232" s="644"/>
      <c r="P232" s="644"/>
      <c r="Q232" s="644"/>
      <c r="R232" s="644"/>
      <c r="S232" s="644"/>
      <c r="T232" s="644"/>
      <c r="U232" s="644"/>
      <c r="V232" s="644"/>
      <c r="W232" s="644"/>
      <c r="X232" s="644"/>
      <c r="Y232" s="645"/>
    </row>
    <row r="233" spans="1:25" ht="65.25" customHeight="1" outlineLevel="1" thickBot="1" x14ac:dyDescent="0.35">
      <c r="A233" s="888" t="s">
        <v>54</v>
      </c>
      <c r="B233" s="889" t="str">
        <f>HYPERLINK("#"&amp;ADDRESS(ROW(), COLUMN()-1), "€")</f>
        <v>€</v>
      </c>
      <c r="C233" s="854" t="str">
        <f>$A$233&amp; " Total Monthly Bill ($)"</f>
        <v>ENMAX Total Monthly Bill ($)</v>
      </c>
      <c r="D233" s="649" t="str">
        <f ca="1">INDIRECT("'" &amp; $A$233 &amp; "'!$I$1") &amp; " (kWh)"</f>
        <v>Detached Home Consumption (kWh)</v>
      </c>
      <c r="E233" s="649" t="str">
        <f ca="1">INDIRECT("'" &amp; $A$233 &amp; "'!$N$5")&amp; " (¢/kWh)"</f>
        <v>RRO Energy Rate (¢/kWh)</v>
      </c>
      <c r="F233" s="612"/>
      <c r="G233" s="612"/>
      <c r="H233" s="612"/>
      <c r="I233" s="612"/>
      <c r="J233" s="612"/>
      <c r="K233" s="612"/>
      <c r="L233" s="612"/>
      <c r="M233" s="612"/>
      <c r="N233" s="612"/>
      <c r="O233" s="612"/>
      <c r="P233" s="612"/>
      <c r="Q233" s="612"/>
      <c r="R233" s="612"/>
      <c r="S233" s="612"/>
      <c r="T233" s="612"/>
      <c r="U233" s="612"/>
      <c r="V233" s="612"/>
      <c r="W233" s="612"/>
      <c r="X233" s="612"/>
      <c r="Y233" s="647"/>
    </row>
    <row r="234" spans="1:25" outlineLevel="1" x14ac:dyDescent="0.3">
      <c r="A234" s="1819">
        <v>40909</v>
      </c>
      <c r="B234" s="1820"/>
      <c r="C234" s="855">
        <f ca="1">VLOOKUP($A234,INDIRECT("'"&amp;$A$233&amp;"'!"&amp;"$A$5:$N$100"),6,FALSE)</f>
        <v>176.03224583567183</v>
      </c>
      <c r="D234" s="856">
        <f ca="1">VLOOKUP($A234,INDIRECT("'"&amp;$A$233&amp;"'!"&amp;"$A$5:$N$100"),3,FALSE)</f>
        <v>706.749077999924</v>
      </c>
      <c r="E234" s="857">
        <f ca="1">VLOOKUP($A234,INDIRECT("'"&amp;$A$233&amp;"'!"&amp;"$A$5:$N$100"),14,FALSE)</f>
        <v>15.284000000000001</v>
      </c>
      <c r="F234" s="612"/>
      <c r="G234" s="612"/>
      <c r="H234" s="612"/>
      <c r="I234" s="612"/>
      <c r="J234" s="612"/>
      <c r="K234" s="612"/>
      <c r="L234" s="612"/>
      <c r="M234" s="612"/>
      <c r="N234" s="612"/>
      <c r="O234" s="612"/>
      <c r="P234" s="612"/>
      <c r="Q234" s="612"/>
      <c r="R234" s="612"/>
      <c r="S234" s="612"/>
      <c r="T234" s="612"/>
      <c r="U234" s="612"/>
      <c r="V234" s="612"/>
      <c r="W234" s="612"/>
      <c r="X234" s="612"/>
      <c r="Y234" s="647"/>
    </row>
    <row r="235" spans="1:25" outlineLevel="1" x14ac:dyDescent="0.3">
      <c r="A235" s="1811">
        <v>40940</v>
      </c>
      <c r="B235" s="1812"/>
      <c r="C235" s="855">
        <f t="shared" ref="C235:C298" ca="1" si="2">VLOOKUP($A235,INDIRECT("'"&amp;$A$233&amp;"'!"&amp;"$A$5:$N$100"),6,FALSE)</f>
        <v>146.38684193791593</v>
      </c>
      <c r="D235" s="856">
        <f t="shared" ref="D235:D298" ca="1" si="3">VLOOKUP($A235,INDIRECT("'"&amp;$A$233&amp;"'!"&amp;"$A$5:$N$100"),3,FALSE)</f>
        <v>631.50245411531682</v>
      </c>
      <c r="E235" s="857">
        <f t="shared" ref="E235:E298" ca="1" si="4">VLOOKUP($A235,INDIRECT("'"&amp;$A$233&amp;"'!"&amp;"$A$5:$N$100"),14,FALSE)</f>
        <v>13.69</v>
      </c>
      <c r="F235" s="612"/>
      <c r="G235" s="612"/>
      <c r="H235" s="612"/>
      <c r="I235" s="612"/>
      <c r="J235" s="612"/>
      <c r="K235" s="612"/>
      <c r="L235" s="612"/>
      <c r="M235" s="612"/>
      <c r="N235" s="612"/>
      <c r="O235" s="612"/>
      <c r="P235" s="612"/>
      <c r="Q235" s="612"/>
      <c r="R235" s="612"/>
      <c r="S235" s="612"/>
      <c r="T235" s="612"/>
      <c r="U235" s="612"/>
      <c r="V235" s="612"/>
      <c r="W235" s="612"/>
      <c r="X235" s="612"/>
      <c r="Y235" s="647"/>
    </row>
    <row r="236" spans="1:25" outlineLevel="1" x14ac:dyDescent="0.3">
      <c r="A236" s="1811">
        <v>40969</v>
      </c>
      <c r="B236" s="1812"/>
      <c r="C236" s="855">
        <f t="shared" ca="1" si="2"/>
        <v>104.46397338464241</v>
      </c>
      <c r="D236" s="856">
        <f t="shared" ca="1" si="3"/>
        <v>610.5311897530521</v>
      </c>
      <c r="E236" s="857">
        <f t="shared" ca="1" si="4"/>
        <v>8.218</v>
      </c>
      <c r="F236" s="612"/>
      <c r="G236" s="612"/>
      <c r="H236" s="612"/>
      <c r="I236" s="612"/>
      <c r="J236" s="612"/>
      <c r="K236" s="612"/>
      <c r="L236" s="612"/>
      <c r="M236" s="612"/>
      <c r="N236" s="612"/>
      <c r="O236" s="612"/>
      <c r="P236" s="612"/>
      <c r="Q236" s="612"/>
      <c r="R236" s="612"/>
      <c r="S236" s="612"/>
      <c r="T236" s="612"/>
      <c r="U236" s="612"/>
      <c r="V236" s="612"/>
      <c r="W236" s="612"/>
      <c r="X236" s="612"/>
      <c r="Y236" s="647"/>
    </row>
    <row r="237" spans="1:25" outlineLevel="1" x14ac:dyDescent="0.3">
      <c r="A237" s="1811">
        <v>41000</v>
      </c>
      <c r="B237" s="1812"/>
      <c r="C237" s="855">
        <f t="shared" ca="1" si="2"/>
        <v>89.20275930212344</v>
      </c>
      <c r="D237" s="856">
        <f t="shared" ca="1" si="3"/>
        <v>553.50674210245211</v>
      </c>
      <c r="E237" s="857">
        <f t="shared" ca="1" si="4"/>
        <v>7.1760000000000002</v>
      </c>
      <c r="F237" s="612"/>
      <c r="G237" s="612"/>
      <c r="H237" s="612"/>
      <c r="I237" s="612"/>
      <c r="J237" s="612"/>
      <c r="K237" s="612"/>
      <c r="L237" s="612"/>
      <c r="M237" s="612"/>
      <c r="N237" s="612"/>
      <c r="O237" s="612"/>
      <c r="P237" s="612"/>
      <c r="Q237" s="612"/>
      <c r="R237" s="612"/>
      <c r="S237" s="612"/>
      <c r="T237" s="612"/>
      <c r="U237" s="612"/>
      <c r="V237" s="612"/>
      <c r="W237" s="612"/>
      <c r="X237" s="612"/>
      <c r="Y237" s="647"/>
    </row>
    <row r="238" spans="1:25" outlineLevel="1" x14ac:dyDescent="0.3">
      <c r="A238" s="1811">
        <v>41030</v>
      </c>
      <c r="B238" s="1812"/>
      <c r="C238" s="855">
        <f t="shared" ca="1" si="2"/>
        <v>83.166867696355169</v>
      </c>
      <c r="D238" s="856">
        <f t="shared" ca="1" si="3"/>
        <v>541.91428860302665</v>
      </c>
      <c r="E238" s="857">
        <f t="shared" ca="1" si="4"/>
        <v>6.3503999999999996</v>
      </c>
      <c r="F238" s="612"/>
      <c r="G238" s="612"/>
      <c r="H238" s="612"/>
      <c r="I238" s="612"/>
      <c r="J238" s="612"/>
      <c r="K238" s="612"/>
      <c r="L238" s="612"/>
      <c r="M238" s="612"/>
      <c r="N238" s="612"/>
      <c r="O238" s="612"/>
      <c r="P238" s="612"/>
      <c r="Q238" s="612"/>
      <c r="R238" s="612"/>
      <c r="S238" s="612"/>
      <c r="T238" s="612"/>
      <c r="U238" s="612"/>
      <c r="V238" s="612"/>
      <c r="W238" s="612"/>
      <c r="X238" s="612"/>
      <c r="Y238" s="647"/>
    </row>
    <row r="239" spans="1:25" outlineLevel="1" x14ac:dyDescent="0.3">
      <c r="A239" s="1811">
        <v>41061</v>
      </c>
      <c r="B239" s="1812"/>
      <c r="C239" s="855">
        <f t="shared" ca="1" si="2"/>
        <v>87.41731040655921</v>
      </c>
      <c r="D239" s="856">
        <f t="shared" ca="1" si="3"/>
        <v>515.57253474242975</v>
      </c>
      <c r="E239" s="857">
        <f t="shared" ca="1" si="4"/>
        <v>7.6746999999999996</v>
      </c>
      <c r="F239" s="612"/>
      <c r="G239" s="612"/>
      <c r="H239" s="612"/>
      <c r="I239" s="612"/>
      <c r="J239" s="612"/>
      <c r="K239" s="612"/>
      <c r="L239" s="612"/>
      <c r="M239" s="612"/>
      <c r="N239" s="612"/>
      <c r="O239" s="612"/>
      <c r="P239" s="612"/>
      <c r="Q239" s="612"/>
      <c r="R239" s="612"/>
      <c r="S239" s="612"/>
      <c r="T239" s="612"/>
      <c r="U239" s="612"/>
      <c r="V239" s="612"/>
      <c r="W239" s="612"/>
      <c r="X239" s="612"/>
      <c r="Y239" s="647"/>
    </row>
    <row r="240" spans="1:25" outlineLevel="1" x14ac:dyDescent="0.3">
      <c r="A240" s="1811">
        <v>41091</v>
      </c>
      <c r="B240" s="1812"/>
      <c r="C240" s="855">
        <f t="shared" ca="1" si="2"/>
        <v>103.51440278901468</v>
      </c>
      <c r="D240" s="856">
        <f t="shared" ca="1" si="3"/>
        <v>564.82318192701314</v>
      </c>
      <c r="E240" s="857">
        <f t="shared" ca="1" si="4"/>
        <v>9.0332000000000008</v>
      </c>
      <c r="F240" s="612"/>
      <c r="G240" s="612"/>
      <c r="H240" s="612"/>
      <c r="I240" s="612"/>
      <c r="J240" s="612"/>
      <c r="K240" s="612"/>
      <c r="L240" s="612"/>
      <c r="M240" s="612"/>
      <c r="N240" s="612"/>
      <c r="O240" s="612"/>
      <c r="P240" s="612"/>
      <c r="Q240" s="612"/>
      <c r="R240" s="612"/>
      <c r="S240" s="612"/>
      <c r="T240" s="612"/>
      <c r="U240" s="612"/>
      <c r="V240" s="612"/>
      <c r="W240" s="612"/>
      <c r="X240" s="612"/>
      <c r="Y240" s="647"/>
    </row>
    <row r="241" spans="1:55" outlineLevel="1" x14ac:dyDescent="0.3">
      <c r="A241" s="1811">
        <v>41122</v>
      </c>
      <c r="B241" s="1812"/>
      <c r="C241" s="855">
        <f t="shared" ca="1" si="2"/>
        <v>115.39031338141906</v>
      </c>
      <c r="D241" s="856">
        <f t="shared" ca="1" si="3"/>
        <v>546.71745545533315</v>
      </c>
      <c r="E241" s="857">
        <f t="shared" ca="1" si="4"/>
        <v>11.3147</v>
      </c>
      <c r="F241" s="612"/>
      <c r="G241" s="612"/>
      <c r="H241" s="612"/>
      <c r="I241" s="612"/>
      <c r="J241" s="612"/>
      <c r="K241" s="612"/>
      <c r="L241" s="612"/>
      <c r="M241" s="612"/>
      <c r="N241" s="612"/>
      <c r="O241" s="612"/>
      <c r="P241" s="612"/>
      <c r="Q241" s="612"/>
      <c r="R241" s="612"/>
      <c r="S241" s="612"/>
      <c r="T241" s="612"/>
      <c r="U241" s="612"/>
      <c r="V241" s="612"/>
      <c r="W241" s="612"/>
      <c r="X241" s="612"/>
      <c r="Y241" s="647"/>
    </row>
    <row r="242" spans="1:55" outlineLevel="1" x14ac:dyDescent="0.3">
      <c r="A242" s="1811">
        <v>41153</v>
      </c>
      <c r="B242" s="1812"/>
      <c r="C242" s="855">
        <f t="shared" ca="1" si="2"/>
        <v>110.05570077540159</v>
      </c>
      <c r="D242" s="856">
        <f t="shared" ca="1" si="3"/>
        <v>539.75497456034395</v>
      </c>
      <c r="E242" s="857">
        <f t="shared" ca="1" si="4"/>
        <v>10.763</v>
      </c>
      <c r="F242" s="612"/>
      <c r="G242" s="612"/>
      <c r="H242" s="612"/>
      <c r="I242" s="612"/>
      <c r="J242" s="612"/>
      <c r="K242" s="612"/>
      <c r="L242" s="612"/>
      <c r="M242" s="612"/>
      <c r="N242" s="612"/>
      <c r="O242" s="612"/>
      <c r="P242" s="612"/>
      <c r="Q242" s="612"/>
      <c r="R242" s="612"/>
      <c r="S242" s="612"/>
      <c r="T242" s="612"/>
      <c r="U242" s="612"/>
      <c r="V242" s="612"/>
      <c r="W242" s="612"/>
      <c r="X242" s="612"/>
      <c r="Y242" s="647"/>
    </row>
    <row r="243" spans="1:55" outlineLevel="1" x14ac:dyDescent="0.3">
      <c r="A243" s="1811">
        <v>41183</v>
      </c>
      <c r="B243" s="1812"/>
      <c r="C243" s="855">
        <f t="shared" ca="1" si="2"/>
        <v>110.1496103260307</v>
      </c>
      <c r="D243" s="856">
        <f t="shared" ca="1" si="3"/>
        <v>629.88348353718152</v>
      </c>
      <c r="E243" s="857">
        <f t="shared" ca="1" si="4"/>
        <v>9.6221999999999994</v>
      </c>
      <c r="F243" s="612"/>
      <c r="G243" s="612"/>
      <c r="H243" s="612"/>
      <c r="I243" s="612"/>
      <c r="J243" s="612"/>
      <c r="K243" s="612"/>
      <c r="L243" s="612"/>
      <c r="M243" s="612"/>
      <c r="N243" s="612"/>
      <c r="O243" s="612"/>
      <c r="P243" s="612"/>
      <c r="Q243" s="612"/>
      <c r="R243" s="612"/>
      <c r="S243" s="612"/>
      <c r="T243" s="612"/>
      <c r="U243" s="612"/>
      <c r="V243" s="612"/>
      <c r="W243" s="612"/>
      <c r="X243" s="612"/>
      <c r="Y243" s="647"/>
    </row>
    <row r="244" spans="1:55" outlineLevel="1" x14ac:dyDescent="0.3">
      <c r="A244" s="1811">
        <v>41214</v>
      </c>
      <c r="B244" s="1812"/>
      <c r="C244" s="855">
        <f t="shared" ca="1" si="2"/>
        <v>96.461293354412746</v>
      </c>
      <c r="D244" s="856">
        <f t="shared" ca="1" si="3"/>
        <v>657.98042355140103</v>
      </c>
      <c r="E244" s="857">
        <f t="shared" ca="1" si="4"/>
        <v>7.3994999999999997</v>
      </c>
      <c r="F244" s="612"/>
      <c r="G244" s="612"/>
      <c r="H244" s="612"/>
      <c r="I244" s="612"/>
      <c r="J244" s="612"/>
      <c r="K244" s="612"/>
      <c r="L244" s="612"/>
      <c r="M244" s="612"/>
      <c r="N244" s="612"/>
      <c r="O244" s="612"/>
      <c r="P244" s="612"/>
      <c r="Q244" s="612"/>
      <c r="R244" s="612"/>
      <c r="S244" s="612"/>
      <c r="T244" s="612"/>
      <c r="U244" s="612"/>
      <c r="V244" s="612"/>
      <c r="W244" s="612"/>
      <c r="X244" s="612"/>
      <c r="Y244" s="647"/>
    </row>
    <row r="245" spans="1:55" outlineLevel="1" x14ac:dyDescent="0.3">
      <c r="A245" s="1944">
        <v>41244</v>
      </c>
      <c r="B245" s="1945"/>
      <c r="C245" s="855">
        <f t="shared" ca="1" si="2"/>
        <v>118.81779023041705</v>
      </c>
      <c r="D245" s="856">
        <f t="shared" ca="1" si="3"/>
        <v>761.27007914030821</v>
      </c>
      <c r="E245" s="857">
        <f t="shared" ca="1" si="4"/>
        <v>8.4816000000000003</v>
      </c>
      <c r="F245" s="612"/>
      <c r="G245" s="612"/>
      <c r="H245" s="612"/>
      <c r="I245" s="612"/>
      <c r="J245" s="612"/>
      <c r="K245" s="612"/>
      <c r="L245" s="612"/>
      <c r="M245" s="612"/>
      <c r="N245" s="612"/>
      <c r="O245" s="612"/>
      <c r="P245" s="612"/>
      <c r="Q245" s="612"/>
      <c r="R245" s="612"/>
      <c r="S245" s="612"/>
      <c r="T245" s="612"/>
      <c r="U245" s="612"/>
      <c r="V245" s="612"/>
      <c r="W245" s="612"/>
      <c r="X245" s="612"/>
      <c r="Y245" s="647"/>
    </row>
    <row r="246" spans="1:55" outlineLevel="1" x14ac:dyDescent="0.3">
      <c r="A246" s="1946">
        <v>41275</v>
      </c>
      <c r="B246" s="1947"/>
      <c r="C246" s="858">
        <f t="shared" ca="1" si="2"/>
        <v>115.67277820131953</v>
      </c>
      <c r="D246" s="859">
        <f t="shared" ca="1" si="3"/>
        <v>695.70470034835296</v>
      </c>
      <c r="E246" s="860">
        <f t="shared" ca="1" si="4"/>
        <v>9.1424000000000003</v>
      </c>
      <c r="F246" s="612"/>
      <c r="G246" s="612"/>
      <c r="H246" s="612"/>
      <c r="I246" s="612"/>
      <c r="J246" s="612"/>
      <c r="K246" s="612"/>
      <c r="L246" s="612"/>
      <c r="M246" s="612"/>
      <c r="N246" s="612"/>
      <c r="O246" s="612"/>
      <c r="P246" s="612"/>
      <c r="Q246" s="612"/>
      <c r="R246" s="612"/>
      <c r="S246" s="612"/>
      <c r="T246" s="612"/>
      <c r="U246" s="612"/>
      <c r="V246" s="612"/>
      <c r="W246" s="612"/>
      <c r="X246" s="612"/>
      <c r="Y246" s="647"/>
      <c r="AW246" s="612"/>
      <c r="AX246" s="612"/>
      <c r="AY246" s="612"/>
      <c r="AZ246" s="612"/>
      <c r="BA246" s="612"/>
      <c r="BC246" s="882" t="str">
        <f t="shared" ref="BC246:BC281" si="5">IF(AND($AW246&lt;=DATE($T$194, 12,1),$AW246&gt;=DATE($T$193, 1, 1)), $AW246, "")</f>
        <v/>
      </c>
    </row>
    <row r="247" spans="1:55" outlineLevel="1" x14ac:dyDescent="0.3">
      <c r="A247" s="1811">
        <v>41306</v>
      </c>
      <c r="B247" s="1812"/>
      <c r="C247" s="855">
        <f t="shared" ca="1" si="2"/>
        <v>89.04222337749988</v>
      </c>
      <c r="D247" s="856">
        <f t="shared" ca="1" si="3"/>
        <v>588.63103674874526</v>
      </c>
      <c r="E247" s="857">
        <f t="shared" ca="1" si="4"/>
        <v>7.6902999999999997</v>
      </c>
      <c r="F247" s="612"/>
      <c r="G247" s="612"/>
      <c r="H247" s="612"/>
      <c r="I247" s="612"/>
      <c r="J247" s="612"/>
      <c r="K247" s="612"/>
      <c r="L247" s="612"/>
      <c r="M247" s="612"/>
      <c r="N247" s="612"/>
      <c r="O247" s="612"/>
      <c r="P247" s="612"/>
      <c r="Q247" s="612"/>
      <c r="R247" s="612"/>
      <c r="S247" s="612"/>
      <c r="T247" s="612"/>
      <c r="U247" s="612"/>
      <c r="V247" s="612"/>
      <c r="W247" s="612"/>
      <c r="X247" s="612"/>
      <c r="Y247" s="647"/>
      <c r="AW247" s="612"/>
      <c r="AX247" s="612"/>
      <c r="AY247" s="612"/>
      <c r="AZ247" s="612"/>
      <c r="BA247" s="612"/>
      <c r="BC247" s="882" t="str">
        <f t="shared" si="5"/>
        <v/>
      </c>
    </row>
    <row r="248" spans="1:55" outlineLevel="1" x14ac:dyDescent="0.3">
      <c r="A248" s="1811">
        <v>41334</v>
      </c>
      <c r="B248" s="1812"/>
      <c r="C248" s="855">
        <f t="shared" ca="1" si="2"/>
        <v>93.242061887794094</v>
      </c>
      <c r="D248" s="856">
        <f t="shared" ca="1" si="3"/>
        <v>635.48405455189265</v>
      </c>
      <c r="E248" s="857">
        <f t="shared" ca="1" si="4"/>
        <v>7.2336</v>
      </c>
      <c r="F248" s="612"/>
      <c r="G248" s="612"/>
      <c r="H248" s="612"/>
      <c r="I248" s="612"/>
      <c r="J248" s="612"/>
      <c r="K248" s="612"/>
      <c r="L248" s="612"/>
      <c r="M248" s="612"/>
      <c r="N248" s="612"/>
      <c r="O248" s="612"/>
      <c r="P248" s="612"/>
      <c r="Q248" s="612"/>
      <c r="R248" s="612"/>
      <c r="S248" s="612"/>
      <c r="T248" s="612"/>
      <c r="U248" s="612"/>
      <c r="V248" s="612"/>
      <c r="W248" s="612"/>
      <c r="X248" s="612"/>
      <c r="Y248" s="647"/>
      <c r="AW248" s="612"/>
      <c r="AX248" s="612"/>
      <c r="AY248" s="612"/>
      <c r="AZ248" s="612"/>
      <c r="BA248" s="612"/>
      <c r="BC248" s="882" t="str">
        <f t="shared" si="5"/>
        <v/>
      </c>
    </row>
    <row r="249" spans="1:55" outlineLevel="1" x14ac:dyDescent="0.3">
      <c r="A249" s="1811">
        <v>41365</v>
      </c>
      <c r="B249" s="1812"/>
      <c r="C249" s="855">
        <f t="shared" ca="1" si="2"/>
        <v>98.476380221446362</v>
      </c>
      <c r="D249" s="856">
        <f t="shared" ca="1" si="3"/>
        <v>582.137273709135</v>
      </c>
      <c r="E249" s="857">
        <f t="shared" ca="1" si="4"/>
        <v>8.3926999999999996</v>
      </c>
      <c r="F249" s="612"/>
      <c r="G249" s="612"/>
      <c r="H249" s="612"/>
      <c r="I249" s="612"/>
      <c r="J249" s="612"/>
      <c r="K249" s="612"/>
      <c r="L249" s="612"/>
      <c r="M249" s="612"/>
      <c r="N249" s="612"/>
      <c r="O249" s="612"/>
      <c r="P249" s="612"/>
      <c r="Q249" s="612"/>
      <c r="R249" s="612"/>
      <c r="S249" s="612"/>
      <c r="T249" s="612"/>
      <c r="U249" s="612"/>
      <c r="V249" s="612"/>
      <c r="W249" s="612"/>
      <c r="X249" s="612"/>
      <c r="Y249" s="647"/>
      <c r="AW249" s="612"/>
      <c r="AX249" s="612"/>
      <c r="AY249" s="612"/>
      <c r="AZ249" s="612"/>
      <c r="BA249" s="612"/>
      <c r="BC249" s="882" t="str">
        <f t="shared" si="5"/>
        <v/>
      </c>
    </row>
    <row r="250" spans="1:55" outlineLevel="1" x14ac:dyDescent="0.3">
      <c r="A250" s="1811">
        <v>41395</v>
      </c>
      <c r="B250" s="1812"/>
      <c r="C250" s="855">
        <f t="shared" ca="1" si="2"/>
        <v>84.05004054674572</v>
      </c>
      <c r="D250" s="856">
        <f t="shared" ca="1" si="3"/>
        <v>524.18966004109279</v>
      </c>
      <c r="E250" s="857">
        <f t="shared" ca="1" si="4"/>
        <v>7.2154999999999996</v>
      </c>
      <c r="F250" s="612"/>
      <c r="G250" s="612"/>
      <c r="H250" s="612"/>
      <c r="I250" s="612"/>
      <c r="J250" s="612"/>
      <c r="K250" s="612"/>
      <c r="L250" s="612"/>
      <c r="M250" s="612"/>
      <c r="N250" s="612"/>
      <c r="O250" s="612"/>
      <c r="P250" s="612"/>
      <c r="Q250" s="612"/>
      <c r="R250" s="612"/>
      <c r="S250" s="612"/>
      <c r="T250" s="612"/>
      <c r="U250" s="612"/>
      <c r="V250" s="612"/>
      <c r="W250" s="612"/>
      <c r="X250" s="612"/>
      <c r="Y250" s="647"/>
      <c r="AW250" s="612"/>
      <c r="AX250" s="612"/>
      <c r="AY250" s="612"/>
      <c r="AZ250" s="612"/>
      <c r="BA250" s="612"/>
      <c r="BC250" s="882" t="str">
        <f t="shared" si="5"/>
        <v/>
      </c>
    </row>
    <row r="251" spans="1:55" outlineLevel="1" x14ac:dyDescent="0.3">
      <c r="A251" s="1811">
        <v>41426</v>
      </c>
      <c r="B251" s="1812"/>
      <c r="C251" s="855">
        <f t="shared" ca="1" si="2"/>
        <v>85.968160553757244</v>
      </c>
      <c r="D251" s="856">
        <f t="shared" ca="1" si="3"/>
        <v>529.52087601301878</v>
      </c>
      <c r="E251" s="857">
        <f t="shared" ca="1" si="4"/>
        <v>7.7211999999999996</v>
      </c>
      <c r="F251" s="612"/>
      <c r="G251" s="612"/>
      <c r="H251" s="612"/>
      <c r="I251" s="612"/>
      <c r="J251" s="612"/>
      <c r="K251" s="612"/>
      <c r="L251" s="612"/>
      <c r="M251" s="612"/>
      <c r="N251" s="612"/>
      <c r="O251" s="612"/>
      <c r="P251" s="612"/>
      <c r="Q251" s="612"/>
      <c r="R251" s="612"/>
      <c r="S251" s="612"/>
      <c r="T251" s="612"/>
      <c r="U251" s="612"/>
      <c r="V251" s="612"/>
      <c r="W251" s="612"/>
      <c r="X251" s="612"/>
      <c r="Y251" s="647"/>
      <c r="AW251" s="612"/>
      <c r="AX251" s="612"/>
      <c r="AY251" s="612"/>
      <c r="AZ251" s="612"/>
      <c r="BA251" s="612"/>
      <c r="BC251" s="882" t="str">
        <f t="shared" si="5"/>
        <v/>
      </c>
    </row>
    <row r="252" spans="1:55" outlineLevel="1" x14ac:dyDescent="0.3">
      <c r="A252" s="1811">
        <v>41456</v>
      </c>
      <c r="B252" s="1812"/>
      <c r="C252" s="855">
        <f t="shared" ca="1" si="2"/>
        <v>108.53599142391927</v>
      </c>
      <c r="D252" s="856">
        <f t="shared" ca="1" si="3"/>
        <v>542.78935903304478</v>
      </c>
      <c r="E252" s="857">
        <f t="shared" ca="1" si="4"/>
        <v>11.292999999999999</v>
      </c>
      <c r="F252" s="612"/>
      <c r="G252" s="612"/>
      <c r="H252" s="612"/>
      <c r="I252" s="612"/>
      <c r="J252" s="612"/>
      <c r="K252" s="612"/>
      <c r="L252" s="612"/>
      <c r="M252" s="612"/>
      <c r="N252" s="612"/>
      <c r="O252" s="612"/>
      <c r="P252" s="612"/>
      <c r="Q252" s="612"/>
      <c r="R252" s="612"/>
      <c r="S252" s="612"/>
      <c r="T252" s="612"/>
      <c r="U252" s="612"/>
      <c r="V252" s="612"/>
      <c r="W252" s="612"/>
      <c r="X252" s="612"/>
      <c r="Y252" s="647"/>
      <c r="AW252" s="612"/>
      <c r="AX252" s="612"/>
      <c r="AY252" s="612"/>
      <c r="AZ252" s="612"/>
      <c r="BA252" s="612"/>
      <c r="BC252" s="882" t="str">
        <f t="shared" si="5"/>
        <v/>
      </c>
    </row>
    <row r="253" spans="1:55" outlineLevel="1" x14ac:dyDescent="0.3">
      <c r="A253" s="1811">
        <v>41487</v>
      </c>
      <c r="B253" s="1812"/>
      <c r="C253" s="855">
        <f t="shared" ca="1" si="2"/>
        <v>109.6193005300434</v>
      </c>
      <c r="D253" s="856">
        <f t="shared" ca="1" si="3"/>
        <v>552.5367918507244</v>
      </c>
      <c r="E253" s="857">
        <f t="shared" ca="1" si="4"/>
        <v>11.211</v>
      </c>
      <c r="F253" s="612"/>
      <c r="G253" s="612"/>
      <c r="H253" s="612"/>
      <c r="I253" s="612"/>
      <c r="J253" s="612"/>
      <c r="K253" s="612"/>
      <c r="L253" s="612"/>
      <c r="M253" s="612"/>
      <c r="N253" s="612"/>
      <c r="O253" s="612"/>
      <c r="P253" s="612"/>
      <c r="Q253" s="612"/>
      <c r="R253" s="612"/>
      <c r="S253" s="612"/>
      <c r="T253" s="612"/>
      <c r="U253" s="612"/>
      <c r="V253" s="612"/>
      <c r="W253" s="612"/>
      <c r="X253" s="612"/>
      <c r="Y253" s="647"/>
      <c r="AW253" s="612"/>
      <c r="AX253" s="612"/>
      <c r="AY253" s="612"/>
      <c r="AZ253" s="612"/>
      <c r="BA253" s="612"/>
      <c r="BC253" s="882" t="str">
        <f t="shared" si="5"/>
        <v/>
      </c>
    </row>
    <row r="254" spans="1:55" outlineLevel="1" x14ac:dyDescent="0.3">
      <c r="A254" s="1811">
        <v>41518</v>
      </c>
      <c r="B254" s="1812"/>
      <c r="C254" s="855">
        <f t="shared" ca="1" si="2"/>
        <v>107.86766277802467</v>
      </c>
      <c r="D254" s="856">
        <f t="shared" ca="1" si="3"/>
        <v>548.43636134944279</v>
      </c>
      <c r="E254" s="857">
        <f t="shared" ca="1" si="4"/>
        <v>10.948</v>
      </c>
      <c r="F254" s="612"/>
      <c r="G254" s="612"/>
      <c r="H254" s="612"/>
      <c r="I254" s="612"/>
      <c r="J254" s="612"/>
      <c r="K254" s="612"/>
      <c r="L254" s="612"/>
      <c r="M254" s="612"/>
      <c r="N254" s="612"/>
      <c r="O254" s="612"/>
      <c r="P254" s="612"/>
      <c r="Q254" s="612"/>
      <c r="R254" s="612"/>
      <c r="S254" s="612"/>
      <c r="T254" s="612"/>
      <c r="U254" s="612"/>
      <c r="V254" s="612"/>
      <c r="W254" s="612"/>
      <c r="X254" s="612"/>
      <c r="Y254" s="647"/>
      <c r="AW254" s="612"/>
      <c r="AX254" s="612"/>
      <c r="AY254" s="612"/>
      <c r="AZ254" s="612"/>
      <c r="BA254" s="612"/>
      <c r="BC254" s="882" t="str">
        <f t="shared" si="5"/>
        <v/>
      </c>
    </row>
    <row r="255" spans="1:55" outlineLevel="1" x14ac:dyDescent="0.3">
      <c r="A255" s="1811">
        <v>41548</v>
      </c>
      <c r="B255" s="1812"/>
      <c r="C255" s="855">
        <f t="shared" ca="1" si="2"/>
        <v>104.79381364046809</v>
      </c>
      <c r="D255" s="856">
        <f t="shared" ca="1" si="3"/>
        <v>603.77371963474275</v>
      </c>
      <c r="E255" s="857">
        <f t="shared" ca="1" si="4"/>
        <v>8.0594000000000001</v>
      </c>
      <c r="F255" s="612"/>
      <c r="G255" s="612"/>
      <c r="H255" s="612"/>
      <c r="I255" s="612"/>
      <c r="J255" s="612"/>
      <c r="K255" s="612"/>
      <c r="L255" s="612"/>
      <c r="M255" s="612"/>
      <c r="N255" s="612"/>
      <c r="O255" s="612"/>
      <c r="P255" s="612"/>
      <c r="Q255" s="612"/>
      <c r="R255" s="612"/>
      <c r="S255" s="612"/>
      <c r="T255" s="612"/>
      <c r="U255" s="612"/>
      <c r="V255" s="612"/>
      <c r="W255" s="612"/>
      <c r="X255" s="612"/>
      <c r="Y255" s="647"/>
      <c r="AW255" s="612"/>
      <c r="AX255" s="612"/>
      <c r="AY255" s="612"/>
      <c r="AZ255" s="612"/>
      <c r="BA255" s="612"/>
      <c r="BC255" s="882" t="str">
        <f t="shared" si="5"/>
        <v/>
      </c>
    </row>
    <row r="256" spans="1:55" outlineLevel="1" x14ac:dyDescent="0.3">
      <c r="A256" s="1811">
        <v>41579</v>
      </c>
      <c r="B256" s="1812"/>
      <c r="C256" s="855">
        <f t="shared" ca="1" si="2"/>
        <v>110.01465976738784</v>
      </c>
      <c r="D256" s="856">
        <f t="shared" ca="1" si="3"/>
        <v>654.080202180794</v>
      </c>
      <c r="E256" s="857">
        <f t="shared" ca="1" si="4"/>
        <v>7.9027000000000003</v>
      </c>
      <c r="F256" s="612"/>
      <c r="G256" s="612"/>
      <c r="H256" s="612"/>
      <c r="I256" s="612"/>
      <c r="J256" s="612"/>
      <c r="K256" s="612"/>
      <c r="L256" s="612"/>
      <c r="M256" s="612"/>
      <c r="N256" s="612"/>
      <c r="O256" s="612"/>
      <c r="P256" s="612"/>
      <c r="Q256" s="612"/>
      <c r="R256" s="612"/>
      <c r="S256" s="612"/>
      <c r="T256" s="612"/>
      <c r="U256" s="612"/>
      <c r="V256" s="612"/>
      <c r="W256" s="612"/>
      <c r="X256" s="612"/>
      <c r="Y256" s="647"/>
      <c r="AW256" s="612"/>
      <c r="AX256" s="612"/>
      <c r="AY256" s="612"/>
      <c r="AZ256" s="612"/>
      <c r="BA256" s="612"/>
      <c r="BC256" s="882" t="str">
        <f t="shared" si="5"/>
        <v/>
      </c>
    </row>
    <row r="257" spans="1:55" outlineLevel="1" x14ac:dyDescent="0.3">
      <c r="A257" s="1944">
        <v>41609</v>
      </c>
      <c r="B257" s="1945"/>
      <c r="C257" s="861">
        <f t="shared" ca="1" si="2"/>
        <v>125.24407138526182</v>
      </c>
      <c r="D257" s="862">
        <f t="shared" ca="1" si="3"/>
        <v>767.71589655293087</v>
      </c>
      <c r="E257" s="863">
        <f t="shared" ca="1" si="4"/>
        <v>7.5796000000000001</v>
      </c>
      <c r="F257" s="612"/>
      <c r="G257" s="612"/>
      <c r="H257" s="612"/>
      <c r="I257" s="612"/>
      <c r="J257" s="612"/>
      <c r="K257" s="612"/>
      <c r="L257" s="612"/>
      <c r="M257" s="612"/>
      <c r="N257" s="612"/>
      <c r="O257" s="612"/>
      <c r="P257" s="612"/>
      <c r="Q257" s="612"/>
      <c r="R257" s="612"/>
      <c r="S257" s="612"/>
      <c r="T257" s="612"/>
      <c r="U257" s="612"/>
      <c r="V257" s="612"/>
      <c r="W257" s="612"/>
      <c r="X257" s="612"/>
      <c r="Y257" s="647"/>
      <c r="AW257" s="612"/>
      <c r="AX257" s="612"/>
      <c r="AY257" s="612"/>
      <c r="AZ257" s="612"/>
      <c r="BA257" s="612"/>
      <c r="BC257" s="882" t="str">
        <f t="shared" si="5"/>
        <v/>
      </c>
    </row>
    <row r="258" spans="1:55" outlineLevel="1" x14ac:dyDescent="0.3">
      <c r="A258" s="1946">
        <v>41640</v>
      </c>
      <c r="B258" s="1947"/>
      <c r="C258" s="855">
        <f t="shared" ca="1" si="2"/>
        <v>118.94385744842</v>
      </c>
      <c r="D258" s="856">
        <f t="shared" ca="1" si="3"/>
        <v>679.80526265539095</v>
      </c>
      <c r="E258" s="857">
        <f t="shared" ca="1" si="4"/>
        <v>7.8040000000000003</v>
      </c>
      <c r="F258" s="612"/>
      <c r="G258" s="612"/>
      <c r="H258" s="612"/>
      <c r="I258" s="612"/>
      <c r="J258" s="612"/>
      <c r="K258" s="612"/>
      <c r="L258" s="612"/>
      <c r="M258" s="612"/>
      <c r="N258" s="612"/>
      <c r="O258" s="612"/>
      <c r="P258" s="612"/>
      <c r="Q258" s="612"/>
      <c r="R258" s="612"/>
      <c r="S258" s="612"/>
      <c r="T258" s="612"/>
      <c r="U258" s="612"/>
      <c r="V258" s="612"/>
      <c r="W258" s="612"/>
      <c r="X258" s="612"/>
      <c r="Y258" s="647"/>
      <c r="AW258" s="612"/>
      <c r="AX258" s="612"/>
      <c r="AY258" s="612"/>
      <c r="AZ258" s="612"/>
      <c r="BA258" s="612"/>
      <c r="BC258" s="882" t="str">
        <f t="shared" si="5"/>
        <v/>
      </c>
    </row>
    <row r="259" spans="1:55" outlineLevel="1" x14ac:dyDescent="0.3">
      <c r="A259" s="1811">
        <v>41671</v>
      </c>
      <c r="B259" s="1812"/>
      <c r="C259" s="855">
        <f t="shared" ca="1" si="2"/>
        <v>108.11127147150229</v>
      </c>
      <c r="D259" s="856">
        <f t="shared" ca="1" si="3"/>
        <v>651.69079712842574</v>
      </c>
      <c r="E259" s="857">
        <f t="shared" ca="1" si="4"/>
        <v>7.1909000000000001</v>
      </c>
      <c r="F259" s="612"/>
      <c r="G259" s="612"/>
      <c r="H259" s="612"/>
      <c r="I259" s="612"/>
      <c r="J259" s="612"/>
      <c r="K259" s="612"/>
      <c r="L259" s="612"/>
      <c r="M259" s="612"/>
      <c r="N259" s="612"/>
      <c r="O259" s="612"/>
      <c r="P259" s="612"/>
      <c r="Q259" s="612"/>
      <c r="R259" s="612"/>
      <c r="S259" s="612"/>
      <c r="T259" s="612"/>
      <c r="U259" s="612"/>
      <c r="V259" s="612"/>
      <c r="W259" s="612"/>
      <c r="X259" s="612"/>
      <c r="Y259" s="647"/>
      <c r="AW259" s="612"/>
      <c r="AX259" s="612"/>
      <c r="AY259" s="612"/>
      <c r="AZ259" s="612"/>
      <c r="BA259" s="612"/>
      <c r="BC259" s="882" t="str">
        <f t="shared" si="5"/>
        <v/>
      </c>
    </row>
    <row r="260" spans="1:55" outlineLevel="1" x14ac:dyDescent="0.3">
      <c r="A260" s="1811">
        <v>41699</v>
      </c>
      <c r="B260" s="1812"/>
      <c r="C260" s="855">
        <f t="shared" ca="1" si="2"/>
        <v>116.9334600996698</v>
      </c>
      <c r="D260" s="856">
        <f t="shared" ca="1" si="3"/>
        <v>672.47295275973647</v>
      </c>
      <c r="E260" s="857">
        <f t="shared" ca="1" si="4"/>
        <v>7.3186999999999998</v>
      </c>
      <c r="F260" s="612"/>
      <c r="G260" s="612"/>
      <c r="H260" s="612"/>
      <c r="I260" s="612"/>
      <c r="J260" s="612"/>
      <c r="K260" s="612"/>
      <c r="L260" s="612"/>
      <c r="M260" s="612"/>
      <c r="N260" s="612"/>
      <c r="O260" s="612"/>
      <c r="P260" s="612"/>
      <c r="Q260" s="612"/>
      <c r="R260" s="612"/>
      <c r="S260" s="612"/>
      <c r="T260" s="612"/>
      <c r="U260" s="612"/>
      <c r="V260" s="612"/>
      <c r="W260" s="612"/>
      <c r="X260" s="612"/>
      <c r="Y260" s="647"/>
      <c r="AW260" s="612"/>
      <c r="AX260" s="612"/>
      <c r="AY260" s="612"/>
      <c r="AZ260" s="612"/>
      <c r="BA260" s="612"/>
      <c r="BC260" s="882" t="str">
        <f t="shared" si="5"/>
        <v/>
      </c>
    </row>
    <row r="261" spans="1:55" outlineLevel="1" x14ac:dyDescent="0.3">
      <c r="A261" s="1811">
        <v>41730</v>
      </c>
      <c r="B261" s="1812"/>
      <c r="C261" s="855">
        <f t="shared" ca="1" si="2"/>
        <v>87.840720182916058</v>
      </c>
      <c r="D261" s="856">
        <f t="shared" ca="1" si="3"/>
        <v>549.22593994361023</v>
      </c>
      <c r="E261" s="857">
        <f t="shared" ca="1" si="4"/>
        <v>7.0838000000000001</v>
      </c>
      <c r="F261" s="612"/>
      <c r="G261" s="612"/>
      <c r="H261" s="612"/>
      <c r="I261" s="612"/>
      <c r="J261" s="612"/>
      <c r="K261" s="612"/>
      <c r="L261" s="612"/>
      <c r="M261" s="612"/>
      <c r="N261" s="612"/>
      <c r="O261" s="612"/>
      <c r="P261" s="612"/>
      <c r="Q261" s="612"/>
      <c r="R261" s="612"/>
      <c r="S261" s="612"/>
      <c r="T261" s="612"/>
      <c r="U261" s="612"/>
      <c r="V261" s="612"/>
      <c r="W261" s="612"/>
      <c r="X261" s="612"/>
      <c r="Y261" s="647"/>
      <c r="AW261" s="612"/>
      <c r="AX261" s="612"/>
      <c r="AY261" s="612"/>
      <c r="AZ261" s="612"/>
      <c r="BA261" s="612"/>
      <c r="BC261" s="882" t="str">
        <f t="shared" si="5"/>
        <v/>
      </c>
    </row>
    <row r="262" spans="1:55" outlineLevel="1" x14ac:dyDescent="0.3">
      <c r="A262" s="1811">
        <v>41760</v>
      </c>
      <c r="B262" s="1812"/>
      <c r="C262" s="855">
        <f t="shared" ca="1" si="2"/>
        <v>110.5563265567594</v>
      </c>
      <c r="D262" s="856">
        <f t="shared" ca="1" si="3"/>
        <v>544.89601415275456</v>
      </c>
      <c r="E262" s="857">
        <f t="shared" ca="1" si="4"/>
        <v>10.612</v>
      </c>
      <c r="F262" s="612"/>
      <c r="G262" s="612"/>
      <c r="H262" s="612"/>
      <c r="I262" s="612"/>
      <c r="J262" s="612"/>
      <c r="K262" s="612"/>
      <c r="L262" s="612"/>
      <c r="M262" s="612"/>
      <c r="N262" s="612"/>
      <c r="O262" s="612"/>
      <c r="P262" s="612"/>
      <c r="Q262" s="612"/>
      <c r="R262" s="612"/>
      <c r="S262" s="612"/>
      <c r="T262" s="612"/>
      <c r="U262" s="612"/>
      <c r="V262" s="612"/>
      <c r="W262" s="612"/>
      <c r="X262" s="612"/>
      <c r="Y262" s="647"/>
      <c r="AW262" s="612"/>
      <c r="AX262" s="612"/>
      <c r="AY262" s="612"/>
      <c r="AZ262" s="612"/>
      <c r="BA262" s="612"/>
      <c r="BC262" s="882" t="str">
        <f t="shared" si="5"/>
        <v/>
      </c>
    </row>
    <row r="263" spans="1:55" outlineLevel="1" x14ac:dyDescent="0.3">
      <c r="A263" s="1811">
        <v>41791</v>
      </c>
      <c r="B263" s="1812"/>
      <c r="C263" s="855">
        <f t="shared" ca="1" si="2"/>
        <v>72.498197170599155</v>
      </c>
      <c r="D263" s="856">
        <f t="shared" ca="1" si="3"/>
        <v>508.11715523587856</v>
      </c>
      <c r="E263" s="857">
        <f t="shared" ca="1" si="4"/>
        <v>5.4981</v>
      </c>
      <c r="F263" s="612"/>
      <c r="G263" s="612"/>
      <c r="H263" s="612"/>
      <c r="I263" s="612"/>
      <c r="J263" s="612"/>
      <c r="K263" s="612"/>
      <c r="L263" s="612"/>
      <c r="M263" s="612"/>
      <c r="N263" s="612"/>
      <c r="O263" s="612"/>
      <c r="P263" s="612"/>
      <c r="Q263" s="612"/>
      <c r="R263" s="612"/>
      <c r="S263" s="612"/>
      <c r="T263" s="612"/>
      <c r="U263" s="612"/>
      <c r="V263" s="612"/>
      <c r="W263" s="612"/>
      <c r="X263" s="612"/>
      <c r="Y263" s="647"/>
      <c r="AW263" s="612"/>
      <c r="AX263" s="612"/>
      <c r="AY263" s="612"/>
      <c r="AZ263" s="612"/>
      <c r="BA263" s="612"/>
      <c r="BC263" s="882" t="str">
        <f t="shared" si="5"/>
        <v/>
      </c>
    </row>
    <row r="264" spans="1:55" outlineLevel="1" x14ac:dyDescent="0.3">
      <c r="A264" s="1811">
        <v>41821</v>
      </c>
      <c r="B264" s="1812"/>
      <c r="C264" s="855">
        <f t="shared" ca="1" si="2"/>
        <v>92.784785516980946</v>
      </c>
      <c r="D264" s="856">
        <f t="shared" ca="1" si="3"/>
        <v>550.27564308737453</v>
      </c>
      <c r="E264" s="857">
        <f t="shared" ca="1" si="4"/>
        <v>7.7039999999999997</v>
      </c>
      <c r="F264" s="612"/>
      <c r="G264" s="612"/>
      <c r="H264" s="612"/>
      <c r="I264" s="612"/>
      <c r="J264" s="612"/>
      <c r="K264" s="612"/>
      <c r="L264" s="612"/>
      <c r="M264" s="612"/>
      <c r="N264" s="612"/>
      <c r="O264" s="612"/>
      <c r="P264" s="612"/>
      <c r="Q264" s="612"/>
      <c r="R264" s="612"/>
      <c r="S264" s="612"/>
      <c r="T264" s="612"/>
      <c r="U264" s="612"/>
      <c r="V264" s="612"/>
      <c r="W264" s="612"/>
      <c r="X264" s="612"/>
      <c r="Y264" s="647"/>
      <c r="AW264" s="612"/>
      <c r="AX264" s="612"/>
      <c r="AY264" s="612"/>
      <c r="AZ264" s="612"/>
      <c r="BA264" s="612"/>
      <c r="BC264" s="882" t="str">
        <f t="shared" si="5"/>
        <v/>
      </c>
    </row>
    <row r="265" spans="1:55" outlineLevel="1" x14ac:dyDescent="0.3">
      <c r="A265" s="1811">
        <v>41852</v>
      </c>
      <c r="B265" s="1812"/>
      <c r="C265" s="855">
        <f t="shared" ca="1" si="2"/>
        <v>98.559841179175223</v>
      </c>
      <c r="D265" s="856">
        <f t="shared" ca="1" si="3"/>
        <v>548.4852192164833</v>
      </c>
      <c r="E265" s="857">
        <f t="shared" ca="1" si="4"/>
        <v>8.6411999999999995</v>
      </c>
      <c r="F265" s="612"/>
      <c r="G265" s="612"/>
      <c r="H265" s="612"/>
      <c r="I265" s="612"/>
      <c r="J265" s="612"/>
      <c r="K265" s="612"/>
      <c r="L265" s="612"/>
      <c r="M265" s="612"/>
      <c r="N265" s="612"/>
      <c r="O265" s="612"/>
      <c r="P265" s="612"/>
      <c r="Q265" s="612"/>
      <c r="R265" s="612"/>
      <c r="S265" s="612"/>
      <c r="T265" s="612"/>
      <c r="U265" s="612"/>
      <c r="V265" s="612"/>
      <c r="W265" s="612"/>
      <c r="X265" s="612"/>
      <c r="Y265" s="647"/>
      <c r="AW265" s="612"/>
      <c r="AX265" s="612"/>
      <c r="AY265" s="612"/>
      <c r="AZ265" s="612"/>
      <c r="BA265" s="612"/>
      <c r="BC265" s="882" t="str">
        <f t="shared" si="5"/>
        <v/>
      </c>
    </row>
    <row r="266" spans="1:55" outlineLevel="1" x14ac:dyDescent="0.3">
      <c r="A266" s="1811">
        <v>41883</v>
      </c>
      <c r="B266" s="1812"/>
      <c r="C266" s="855">
        <f t="shared" ca="1" si="2"/>
        <v>98.842115917858933</v>
      </c>
      <c r="D266" s="856">
        <f t="shared" ca="1" si="3"/>
        <v>539.49057792869712</v>
      </c>
      <c r="E266" s="857">
        <f t="shared" ca="1" si="4"/>
        <v>9.0046999999999997</v>
      </c>
      <c r="F266" s="612"/>
      <c r="G266" s="612"/>
      <c r="H266" s="612"/>
      <c r="I266" s="612"/>
      <c r="J266" s="612"/>
      <c r="K266" s="612"/>
      <c r="L266" s="612"/>
      <c r="M266" s="612"/>
      <c r="N266" s="612"/>
      <c r="O266" s="612"/>
      <c r="P266" s="612"/>
      <c r="Q266" s="612"/>
      <c r="R266" s="612"/>
      <c r="S266" s="612"/>
      <c r="T266" s="612"/>
      <c r="U266" s="612"/>
      <c r="V266" s="612"/>
      <c r="W266" s="612"/>
      <c r="X266" s="612"/>
      <c r="Y266" s="647"/>
      <c r="AW266" s="612"/>
      <c r="AX266" s="612"/>
      <c r="AY266" s="612"/>
      <c r="AZ266" s="612"/>
      <c r="BA266" s="612"/>
      <c r="BC266" s="882" t="str">
        <f t="shared" si="5"/>
        <v/>
      </c>
    </row>
    <row r="267" spans="1:55" outlineLevel="1" x14ac:dyDescent="0.3">
      <c r="A267" s="1811">
        <v>41913</v>
      </c>
      <c r="B267" s="1812"/>
      <c r="C267" s="855">
        <f t="shared" ca="1" si="2"/>
        <v>103.0807358200106</v>
      </c>
      <c r="D267" s="856">
        <f t="shared" ca="1" si="3"/>
        <v>577.81210120705612</v>
      </c>
      <c r="E267" s="857">
        <f t="shared" ca="1" si="4"/>
        <v>8.4507999999999992</v>
      </c>
      <c r="F267" s="612"/>
      <c r="G267" s="612"/>
      <c r="H267" s="612"/>
      <c r="I267" s="612"/>
      <c r="J267" s="612"/>
      <c r="K267" s="612"/>
      <c r="L267" s="612"/>
      <c r="M267" s="612"/>
      <c r="N267" s="612"/>
      <c r="O267" s="612"/>
      <c r="P267" s="612"/>
      <c r="Q267" s="612"/>
      <c r="R267" s="612"/>
      <c r="S267" s="612"/>
      <c r="T267" s="612"/>
      <c r="U267" s="612"/>
      <c r="V267" s="612"/>
      <c r="W267" s="612"/>
      <c r="X267" s="612"/>
      <c r="Y267" s="647"/>
      <c r="AW267" s="612"/>
      <c r="AX267" s="612"/>
      <c r="AY267" s="612"/>
      <c r="AZ267" s="612"/>
      <c r="BA267" s="612"/>
      <c r="BC267" s="882" t="str">
        <f t="shared" si="5"/>
        <v/>
      </c>
    </row>
    <row r="268" spans="1:55" outlineLevel="1" x14ac:dyDescent="0.3">
      <c r="A268" s="1811">
        <v>41944</v>
      </c>
      <c r="B268" s="1812"/>
      <c r="C268" s="855">
        <f t="shared" ca="1" si="2"/>
        <v>99.432182382399986</v>
      </c>
      <c r="D268" s="856">
        <f t="shared" ca="1" si="3"/>
        <v>681.40742022456311</v>
      </c>
      <c r="E268" s="857">
        <f t="shared" ca="1" si="4"/>
        <v>6.3208000000000002</v>
      </c>
      <c r="F268" s="612"/>
      <c r="G268" s="612"/>
      <c r="H268" s="612"/>
      <c r="I268" s="612"/>
      <c r="J268" s="612"/>
      <c r="K268" s="612"/>
      <c r="L268" s="612"/>
      <c r="M268" s="612"/>
      <c r="N268" s="612"/>
      <c r="O268" s="612"/>
      <c r="P268" s="612"/>
      <c r="Q268" s="612"/>
      <c r="R268" s="612"/>
      <c r="S268" s="612"/>
      <c r="T268" s="612"/>
      <c r="U268" s="612"/>
      <c r="V268" s="612"/>
      <c r="W268" s="612"/>
      <c r="X268" s="612"/>
      <c r="Y268" s="647"/>
      <c r="AW268" s="612"/>
      <c r="AX268" s="612"/>
      <c r="AY268" s="612"/>
      <c r="AZ268" s="612"/>
      <c r="BA268" s="612"/>
      <c r="BC268" s="882" t="str">
        <f t="shared" si="5"/>
        <v/>
      </c>
    </row>
    <row r="269" spans="1:55" outlineLevel="1" x14ac:dyDescent="0.3">
      <c r="A269" s="1944">
        <v>41974</v>
      </c>
      <c r="B269" s="1945"/>
      <c r="C269" s="855">
        <f t="shared" ca="1" si="2"/>
        <v>110.66245763938612</v>
      </c>
      <c r="D269" s="856">
        <f t="shared" ca="1" si="3"/>
        <v>703.19710101169528</v>
      </c>
      <c r="E269" s="857">
        <f t="shared" ca="1" si="4"/>
        <v>7.2981999999999996</v>
      </c>
      <c r="F269" s="612"/>
      <c r="G269" s="612"/>
      <c r="H269" s="612"/>
      <c r="I269" s="612"/>
      <c r="J269" s="612"/>
      <c r="K269" s="612"/>
      <c r="L269" s="612"/>
      <c r="M269" s="612"/>
      <c r="N269" s="612"/>
      <c r="O269" s="612"/>
      <c r="P269" s="612"/>
      <c r="Q269" s="612"/>
      <c r="R269" s="612"/>
      <c r="S269" s="612"/>
      <c r="T269" s="612"/>
      <c r="U269" s="612"/>
      <c r="V269" s="612"/>
      <c r="W269" s="612"/>
      <c r="X269" s="612"/>
      <c r="Y269" s="647"/>
      <c r="AW269" s="612"/>
      <c r="AX269" s="612"/>
      <c r="AY269" s="612"/>
      <c r="AZ269" s="612"/>
      <c r="BA269" s="612"/>
      <c r="BC269" s="882" t="str">
        <f t="shared" si="5"/>
        <v/>
      </c>
    </row>
    <row r="270" spans="1:55" outlineLevel="1" x14ac:dyDescent="0.3">
      <c r="A270" s="1946">
        <v>42005</v>
      </c>
      <c r="B270" s="1947"/>
      <c r="C270" s="858">
        <f t="shared" ca="1" si="2"/>
        <v>113.20600559155233</v>
      </c>
      <c r="D270" s="859">
        <f t="shared" ca="1" si="3"/>
        <v>672.43278272761768</v>
      </c>
      <c r="E270" s="860">
        <f t="shared" ca="1" si="4"/>
        <v>7.4088000000000003</v>
      </c>
      <c r="F270" s="612"/>
      <c r="G270" s="612"/>
      <c r="H270" s="612"/>
      <c r="I270" s="612"/>
      <c r="J270" s="612"/>
      <c r="K270" s="612"/>
      <c r="L270" s="612"/>
      <c r="M270" s="612"/>
      <c r="N270" s="612"/>
      <c r="O270" s="612"/>
      <c r="P270" s="612"/>
      <c r="Q270" s="612"/>
      <c r="R270" s="612"/>
      <c r="S270" s="612"/>
      <c r="T270" s="612"/>
      <c r="U270" s="612"/>
      <c r="V270" s="612"/>
      <c r="W270" s="612"/>
      <c r="X270" s="612"/>
      <c r="Y270" s="647"/>
      <c r="AW270" s="612"/>
      <c r="AX270" s="612"/>
      <c r="AY270" s="612"/>
      <c r="AZ270" s="612"/>
      <c r="BA270" s="612"/>
      <c r="BC270" s="882" t="str">
        <f t="shared" si="5"/>
        <v/>
      </c>
    </row>
    <row r="271" spans="1:55" outlineLevel="1" x14ac:dyDescent="0.3">
      <c r="A271" s="1811">
        <v>42036</v>
      </c>
      <c r="B271" s="1812"/>
      <c r="C271" s="855">
        <f t="shared" ca="1" si="2"/>
        <v>89.713420061713649</v>
      </c>
      <c r="D271" s="856">
        <f t="shared" ca="1" si="3"/>
        <v>589.22827055193079</v>
      </c>
      <c r="E271" s="857">
        <f t="shared" ca="1" si="4"/>
        <v>5.9298999999999999</v>
      </c>
      <c r="F271" s="612"/>
      <c r="G271" s="612"/>
      <c r="H271" s="612"/>
      <c r="I271" s="612"/>
      <c r="J271" s="612"/>
      <c r="K271" s="612"/>
      <c r="L271" s="612"/>
      <c r="M271" s="612"/>
      <c r="N271" s="612"/>
      <c r="O271" s="612"/>
      <c r="P271" s="612"/>
      <c r="Q271" s="612"/>
      <c r="R271" s="612"/>
      <c r="S271" s="612"/>
      <c r="T271" s="612"/>
      <c r="U271" s="612"/>
      <c r="V271" s="612"/>
      <c r="W271" s="612"/>
      <c r="X271" s="612"/>
      <c r="Y271" s="647"/>
      <c r="AW271" s="612"/>
      <c r="AX271" s="612"/>
      <c r="AY271" s="612"/>
      <c r="AZ271" s="612"/>
      <c r="BA271" s="612"/>
      <c r="BC271" s="882" t="str">
        <f t="shared" si="5"/>
        <v/>
      </c>
    </row>
    <row r="272" spans="1:55" outlineLevel="1" x14ac:dyDescent="0.3">
      <c r="A272" s="1811">
        <v>42064</v>
      </c>
      <c r="B272" s="1812"/>
      <c r="C272" s="855">
        <f t="shared" ca="1" si="2"/>
        <v>85.446869439449046</v>
      </c>
      <c r="D272" s="856">
        <f t="shared" ca="1" si="3"/>
        <v>591.76623672893038</v>
      </c>
      <c r="E272" s="857">
        <f t="shared" ca="1" si="4"/>
        <v>4.9176000000000002</v>
      </c>
      <c r="F272" s="612"/>
      <c r="G272" s="612"/>
      <c r="H272" s="612"/>
      <c r="I272" s="612"/>
      <c r="J272" s="612"/>
      <c r="K272" s="612"/>
      <c r="L272" s="612"/>
      <c r="M272" s="612"/>
      <c r="N272" s="612"/>
      <c r="O272" s="612"/>
      <c r="P272" s="612"/>
      <c r="Q272" s="612"/>
      <c r="R272" s="612"/>
      <c r="S272" s="612"/>
      <c r="T272" s="612"/>
      <c r="U272" s="612"/>
      <c r="V272" s="612"/>
      <c r="W272" s="612"/>
      <c r="X272" s="612"/>
      <c r="Y272" s="647"/>
      <c r="AW272" s="612"/>
      <c r="AX272" s="612"/>
      <c r="AY272" s="612"/>
      <c r="AZ272" s="612"/>
      <c r="BA272" s="612"/>
      <c r="BC272" s="882" t="str">
        <f t="shared" si="5"/>
        <v/>
      </c>
    </row>
    <row r="273" spans="1:55" outlineLevel="1" x14ac:dyDescent="0.3">
      <c r="A273" s="1811">
        <v>42095</v>
      </c>
      <c r="B273" s="1812"/>
      <c r="C273" s="855">
        <f t="shared" ca="1" si="2"/>
        <v>75.564647608827087</v>
      </c>
      <c r="D273" s="856">
        <f t="shared" ca="1" si="3"/>
        <v>534.43170590601471</v>
      </c>
      <c r="E273" s="857">
        <f t="shared" ca="1" si="4"/>
        <v>5.1140999999999996</v>
      </c>
      <c r="F273" s="612"/>
      <c r="G273" s="612"/>
      <c r="H273" s="612"/>
      <c r="I273" s="612"/>
      <c r="J273" s="612"/>
      <c r="K273" s="612"/>
      <c r="L273" s="612"/>
      <c r="M273" s="612"/>
      <c r="N273" s="612"/>
      <c r="O273" s="612"/>
      <c r="P273" s="612"/>
      <c r="Q273" s="612"/>
      <c r="R273" s="612"/>
      <c r="S273" s="612"/>
      <c r="T273" s="612"/>
      <c r="U273" s="612"/>
      <c r="V273" s="612"/>
      <c r="W273" s="612"/>
      <c r="X273" s="612"/>
      <c r="Y273" s="647"/>
      <c r="AW273" s="612"/>
      <c r="AX273" s="612"/>
      <c r="AY273" s="612"/>
      <c r="AZ273" s="612"/>
      <c r="BA273" s="612"/>
      <c r="BC273" s="882" t="str">
        <f t="shared" si="5"/>
        <v/>
      </c>
    </row>
    <row r="274" spans="1:55" outlineLevel="1" x14ac:dyDescent="0.3">
      <c r="A274" s="1811">
        <v>42125</v>
      </c>
      <c r="B274" s="1812"/>
      <c r="C274" s="855">
        <f t="shared" ca="1" si="2"/>
        <v>71.931584570078343</v>
      </c>
      <c r="D274" s="856">
        <f t="shared" ca="1" si="3"/>
        <v>527.54718087523224</v>
      </c>
      <c r="E274" s="857">
        <f t="shared" ca="1" si="4"/>
        <v>4.5153999999999996</v>
      </c>
      <c r="F274" s="612"/>
      <c r="G274" s="612"/>
      <c r="H274" s="612"/>
      <c r="I274" s="612"/>
      <c r="J274" s="612"/>
      <c r="K274" s="612"/>
      <c r="L274" s="612"/>
      <c r="M274" s="612"/>
      <c r="N274" s="612"/>
      <c r="O274" s="612"/>
      <c r="P274" s="612"/>
      <c r="Q274" s="612"/>
      <c r="R274" s="612"/>
      <c r="S274" s="612"/>
      <c r="T274" s="612"/>
      <c r="U274" s="612"/>
      <c r="V274" s="612"/>
      <c r="W274" s="612"/>
      <c r="X274" s="612"/>
      <c r="Y274" s="647"/>
      <c r="AW274" s="612"/>
      <c r="AX274" s="612"/>
      <c r="AY274" s="612"/>
      <c r="AZ274" s="612"/>
      <c r="BA274" s="612"/>
      <c r="BC274" s="882" t="str">
        <f t="shared" si="5"/>
        <v/>
      </c>
    </row>
    <row r="275" spans="1:55" outlineLevel="1" x14ac:dyDescent="0.3">
      <c r="A275" s="1811">
        <v>42156</v>
      </c>
      <c r="B275" s="1812"/>
      <c r="C275" s="855">
        <f t="shared" ca="1" si="2"/>
        <v>67.377849207802342</v>
      </c>
      <c r="D275" s="856">
        <f t="shared" ca="1" si="3"/>
        <v>534.45054632951371</v>
      </c>
      <c r="E275" s="857">
        <f t="shared" ca="1" si="4"/>
        <v>3.8008000000000002</v>
      </c>
      <c r="F275" s="612"/>
      <c r="G275" s="612"/>
      <c r="H275" s="612"/>
      <c r="I275" s="612"/>
      <c r="J275" s="612"/>
      <c r="K275" s="612"/>
      <c r="L275" s="612"/>
      <c r="M275" s="612"/>
      <c r="N275" s="612"/>
      <c r="O275" s="612"/>
      <c r="P275" s="612"/>
      <c r="Q275" s="612"/>
      <c r="R275" s="612"/>
      <c r="S275" s="612"/>
      <c r="T275" s="612"/>
      <c r="U275" s="612"/>
      <c r="V275" s="612"/>
      <c r="W275" s="612"/>
      <c r="X275" s="612"/>
      <c r="Y275" s="647"/>
      <c r="AW275" s="612"/>
      <c r="AX275" s="612"/>
      <c r="AY275" s="612"/>
      <c r="AZ275" s="612"/>
      <c r="BA275" s="612"/>
      <c r="BC275" s="882" t="str">
        <f t="shared" si="5"/>
        <v/>
      </c>
    </row>
    <row r="276" spans="1:55" outlineLevel="1" x14ac:dyDescent="0.3">
      <c r="A276" s="1811">
        <v>42186</v>
      </c>
      <c r="B276" s="1812"/>
      <c r="C276" s="855">
        <f t="shared" ca="1" si="2"/>
        <v>96.213593449055423</v>
      </c>
      <c r="D276" s="856">
        <f t="shared" ca="1" si="3"/>
        <v>545.29132412881165</v>
      </c>
      <c r="E276" s="857">
        <f t="shared" ca="1" si="4"/>
        <v>8.2159999999999993</v>
      </c>
      <c r="F276" s="612"/>
      <c r="G276" s="612"/>
      <c r="H276" s="612"/>
      <c r="I276" s="612"/>
      <c r="J276" s="612"/>
      <c r="K276" s="612"/>
      <c r="L276" s="612"/>
      <c r="M276" s="612"/>
      <c r="N276" s="612"/>
      <c r="O276" s="612"/>
      <c r="P276" s="612"/>
      <c r="Q276" s="612"/>
      <c r="R276" s="612"/>
      <c r="S276" s="612"/>
      <c r="T276" s="612"/>
      <c r="U276" s="612"/>
      <c r="V276" s="612"/>
      <c r="W276" s="612"/>
      <c r="X276" s="612"/>
      <c r="Y276" s="647"/>
      <c r="AW276" s="612"/>
      <c r="AX276" s="612"/>
      <c r="AY276" s="612"/>
      <c r="AZ276" s="612"/>
      <c r="BA276" s="612"/>
      <c r="BC276" s="882" t="str">
        <f t="shared" si="5"/>
        <v/>
      </c>
    </row>
    <row r="277" spans="1:55" outlineLevel="1" x14ac:dyDescent="0.3">
      <c r="A277" s="1811">
        <v>42217</v>
      </c>
      <c r="B277" s="1812"/>
      <c r="C277" s="855">
        <f t="shared" ca="1" si="2"/>
        <v>94.564390313877794</v>
      </c>
      <c r="D277" s="856">
        <f t="shared" ca="1" si="3"/>
        <v>548.24925977459793</v>
      </c>
      <c r="E277" s="857">
        <f t="shared" ca="1" si="4"/>
        <v>7.8959999999999999</v>
      </c>
      <c r="F277" s="612"/>
      <c r="G277" s="612"/>
      <c r="H277" s="612"/>
      <c r="I277" s="612"/>
      <c r="J277" s="612"/>
      <c r="K277" s="612"/>
      <c r="L277" s="612"/>
      <c r="M277" s="612"/>
      <c r="N277" s="612"/>
      <c r="O277" s="612"/>
      <c r="P277" s="612"/>
      <c r="Q277" s="612"/>
      <c r="R277" s="612"/>
      <c r="S277" s="612"/>
      <c r="T277" s="612"/>
      <c r="U277" s="612"/>
      <c r="V277" s="612"/>
      <c r="W277" s="612"/>
      <c r="X277" s="612"/>
      <c r="Y277" s="647"/>
      <c r="AW277" s="612"/>
      <c r="AX277" s="612"/>
      <c r="AY277" s="612"/>
      <c r="AZ277" s="612"/>
      <c r="BA277" s="612"/>
      <c r="BC277" s="882" t="str">
        <f t="shared" si="5"/>
        <v/>
      </c>
    </row>
    <row r="278" spans="1:55" outlineLevel="1" x14ac:dyDescent="0.3">
      <c r="A278" s="1811">
        <v>42248</v>
      </c>
      <c r="B278" s="1812"/>
      <c r="C278" s="855">
        <f t="shared" ca="1" si="2"/>
        <v>74.719712869783052</v>
      </c>
      <c r="D278" s="856">
        <f t="shared" ca="1" si="3"/>
        <v>519.19357702298203</v>
      </c>
      <c r="E278" s="857">
        <f t="shared" ca="1" si="4"/>
        <v>5.407</v>
      </c>
      <c r="F278" s="612"/>
      <c r="G278" s="612"/>
      <c r="H278" s="612"/>
      <c r="I278" s="612"/>
      <c r="J278" s="612"/>
      <c r="K278" s="612"/>
      <c r="L278" s="612"/>
      <c r="M278" s="612"/>
      <c r="N278" s="612"/>
      <c r="O278" s="612"/>
      <c r="P278" s="612"/>
      <c r="Q278" s="612"/>
      <c r="R278" s="612"/>
      <c r="S278" s="612"/>
      <c r="T278" s="612"/>
      <c r="U278" s="612"/>
      <c r="V278" s="612"/>
      <c r="W278" s="612"/>
      <c r="X278" s="612"/>
      <c r="Y278" s="647"/>
      <c r="AW278" s="612"/>
      <c r="AX278" s="612"/>
      <c r="AY278" s="612"/>
      <c r="AZ278" s="612"/>
      <c r="BA278" s="612"/>
      <c r="BC278" s="882" t="str">
        <f t="shared" si="5"/>
        <v/>
      </c>
    </row>
    <row r="279" spans="1:55" outlineLevel="1" x14ac:dyDescent="0.3">
      <c r="A279" s="1811">
        <v>42278</v>
      </c>
      <c r="B279" s="1812"/>
      <c r="C279" s="855">
        <f t="shared" ca="1" si="2"/>
        <v>84.375683962990621</v>
      </c>
      <c r="D279" s="856">
        <f t="shared" ca="1" si="3"/>
        <v>571.6210749094887</v>
      </c>
      <c r="E279" s="857">
        <f t="shared" ca="1" si="4"/>
        <v>5.5547000000000004</v>
      </c>
      <c r="F279" s="612"/>
      <c r="G279" s="612"/>
      <c r="H279" s="612"/>
      <c r="I279" s="612"/>
      <c r="J279" s="612"/>
      <c r="K279" s="612"/>
      <c r="L279" s="612"/>
      <c r="M279" s="612"/>
      <c r="N279" s="612"/>
      <c r="O279" s="612"/>
      <c r="P279" s="612"/>
      <c r="Q279" s="612"/>
      <c r="R279" s="612"/>
      <c r="S279" s="612"/>
      <c r="T279" s="612"/>
      <c r="U279" s="612"/>
      <c r="V279" s="612"/>
      <c r="W279" s="612"/>
      <c r="X279" s="612"/>
      <c r="Y279" s="647"/>
      <c r="AW279" s="612"/>
      <c r="AX279" s="612"/>
      <c r="AY279" s="612"/>
      <c r="AZ279" s="612"/>
      <c r="BA279" s="612"/>
      <c r="BC279" s="882" t="str">
        <f t="shared" si="5"/>
        <v/>
      </c>
    </row>
    <row r="280" spans="1:55" outlineLevel="1" x14ac:dyDescent="0.3">
      <c r="A280" s="1811">
        <v>42309</v>
      </c>
      <c r="B280" s="1812"/>
      <c r="C280" s="855">
        <f t="shared" ca="1" si="2"/>
        <v>84.990315900775997</v>
      </c>
      <c r="D280" s="856">
        <f t="shared" ca="1" si="3"/>
        <v>621.16898918569302</v>
      </c>
      <c r="E280" s="857">
        <f t="shared" ca="1" si="4"/>
        <v>5.0035999999999996</v>
      </c>
      <c r="F280" s="612"/>
      <c r="G280" s="612"/>
      <c r="H280" s="612"/>
      <c r="I280" s="612"/>
      <c r="J280" s="612"/>
      <c r="K280" s="612"/>
      <c r="L280" s="612"/>
      <c r="M280" s="612"/>
      <c r="N280" s="612"/>
      <c r="O280" s="612"/>
      <c r="P280" s="612"/>
      <c r="Q280" s="612"/>
      <c r="R280" s="612"/>
      <c r="S280" s="612"/>
      <c r="T280" s="612"/>
      <c r="U280" s="612"/>
      <c r="V280" s="612"/>
      <c r="W280" s="612"/>
      <c r="X280" s="612"/>
      <c r="Y280" s="647"/>
      <c r="AW280" s="612"/>
      <c r="AX280" s="612"/>
      <c r="AY280" s="612"/>
      <c r="AZ280" s="612"/>
      <c r="BA280" s="612"/>
      <c r="BC280" s="882" t="str">
        <f t="shared" si="5"/>
        <v/>
      </c>
    </row>
    <row r="281" spans="1:55" outlineLevel="1" x14ac:dyDescent="0.3">
      <c r="A281" s="1944">
        <v>42339</v>
      </c>
      <c r="B281" s="1945"/>
      <c r="C281" s="861">
        <f t="shared" ca="1" si="2"/>
        <v>95.604645306803775</v>
      </c>
      <c r="D281" s="862">
        <f t="shared" ca="1" si="3"/>
        <v>703.35853981851835</v>
      </c>
      <c r="E281" s="863">
        <f t="shared" ca="1" si="4"/>
        <v>5.1921999999999997</v>
      </c>
      <c r="F281" s="612"/>
      <c r="G281" s="612"/>
      <c r="H281" s="612"/>
      <c r="I281" s="612"/>
      <c r="J281" s="612"/>
      <c r="K281" s="612"/>
      <c r="L281" s="612"/>
      <c r="M281" s="612"/>
      <c r="N281" s="612"/>
      <c r="O281" s="612"/>
      <c r="P281" s="612"/>
      <c r="Q281" s="612"/>
      <c r="R281" s="612"/>
      <c r="S281" s="612"/>
      <c r="T281" s="612"/>
      <c r="U281" s="612"/>
      <c r="V281" s="612"/>
      <c r="W281" s="612"/>
      <c r="X281" s="612"/>
      <c r="Y281" s="647"/>
      <c r="AW281" s="612"/>
      <c r="AX281" s="612"/>
      <c r="AY281" s="612"/>
      <c r="AZ281" s="612"/>
      <c r="BA281" s="612"/>
      <c r="BC281" s="882" t="str">
        <f t="shared" si="5"/>
        <v/>
      </c>
    </row>
    <row r="282" spans="1:55" outlineLevel="1" x14ac:dyDescent="0.3">
      <c r="A282" s="1946">
        <v>42370</v>
      </c>
      <c r="B282" s="1947"/>
      <c r="C282" s="858">
        <f t="shared" ca="1" si="2"/>
        <v>92.292263290884136</v>
      </c>
      <c r="D282" s="859">
        <f t="shared" ca="1" si="3"/>
        <v>648.81494461562306</v>
      </c>
      <c r="E282" s="860">
        <f t="shared" ca="1" si="4"/>
        <v>4.7946999999999997</v>
      </c>
      <c r="F282" s="612"/>
      <c r="G282" s="612"/>
      <c r="H282" s="612"/>
      <c r="I282" s="612"/>
      <c r="J282" s="612"/>
      <c r="K282" s="612"/>
      <c r="L282" s="612"/>
      <c r="M282" s="612"/>
      <c r="N282" s="612"/>
      <c r="O282" s="612"/>
      <c r="P282" s="612"/>
      <c r="Q282" s="612"/>
      <c r="R282" s="612"/>
      <c r="S282" s="612"/>
      <c r="T282" s="612"/>
      <c r="U282" s="612"/>
      <c r="V282" s="612"/>
      <c r="W282" s="612"/>
      <c r="X282" s="612"/>
      <c r="Y282" s="647"/>
    </row>
    <row r="283" spans="1:55" outlineLevel="1" x14ac:dyDescent="0.3">
      <c r="A283" s="1811">
        <v>42401</v>
      </c>
      <c r="B283" s="1812"/>
      <c r="C283" s="855">
        <f t="shared" ca="1" si="2"/>
        <v>79.919934134559725</v>
      </c>
      <c r="D283" s="856">
        <f t="shared" ca="1" si="3"/>
        <v>572.05995122032334</v>
      </c>
      <c r="E283" s="857">
        <f t="shared" ca="1" si="4"/>
        <v>4.3921000000000001</v>
      </c>
      <c r="F283" s="612"/>
      <c r="G283" s="612"/>
      <c r="H283" s="612"/>
      <c r="I283" s="612"/>
      <c r="J283" s="612"/>
      <c r="K283" s="612"/>
      <c r="L283" s="612"/>
      <c r="M283" s="612"/>
      <c r="N283" s="612"/>
      <c r="O283" s="612"/>
      <c r="P283" s="612"/>
      <c r="Q283" s="612"/>
      <c r="R283" s="612"/>
      <c r="S283" s="612"/>
      <c r="T283" s="612"/>
      <c r="U283" s="612"/>
      <c r="V283" s="612"/>
      <c r="W283" s="612"/>
      <c r="X283" s="612"/>
      <c r="Y283" s="647"/>
    </row>
    <row r="284" spans="1:55" outlineLevel="1" x14ac:dyDescent="0.3">
      <c r="A284" s="1811">
        <v>42430</v>
      </c>
      <c r="B284" s="1812"/>
      <c r="C284" s="855">
        <f t="shared" ca="1" si="2"/>
        <v>79.626628662128496</v>
      </c>
      <c r="D284" s="856">
        <f t="shared" ca="1" si="3"/>
        <v>568.09995204782911</v>
      </c>
      <c r="E284" s="857">
        <f t="shared" ca="1" si="4"/>
        <v>4.1858000000000004</v>
      </c>
      <c r="F284" s="612"/>
      <c r="G284" s="612"/>
      <c r="H284" s="612"/>
      <c r="I284" s="612"/>
      <c r="J284" s="612"/>
      <c r="K284" s="612"/>
      <c r="L284" s="612"/>
      <c r="M284" s="612"/>
      <c r="N284" s="612"/>
      <c r="O284" s="612"/>
      <c r="P284" s="612"/>
      <c r="Q284" s="612"/>
      <c r="R284" s="612"/>
      <c r="S284" s="612"/>
      <c r="T284" s="612"/>
      <c r="U284" s="612"/>
      <c r="V284" s="612"/>
      <c r="W284" s="612"/>
      <c r="X284" s="612"/>
      <c r="Y284" s="647"/>
    </row>
    <row r="285" spans="1:55" outlineLevel="1" x14ac:dyDescent="0.3">
      <c r="A285" s="1811">
        <v>42461</v>
      </c>
      <c r="B285" s="1812"/>
      <c r="C285" s="855">
        <f t="shared" ca="1" si="2"/>
        <v>66.143398610381837</v>
      </c>
      <c r="D285" s="856">
        <f t="shared" ca="1" si="3"/>
        <v>507.02427047604448</v>
      </c>
      <c r="E285" s="857">
        <f t="shared" ca="1" si="4"/>
        <v>3.3496999999999999</v>
      </c>
      <c r="F285" s="612"/>
      <c r="G285" s="612"/>
      <c r="H285" s="612"/>
      <c r="I285" s="612"/>
      <c r="J285" s="612"/>
      <c r="K285" s="612"/>
      <c r="L285" s="612"/>
      <c r="M285" s="612"/>
      <c r="N285" s="612"/>
      <c r="O285" s="612"/>
      <c r="P285" s="612"/>
      <c r="Q285" s="612"/>
      <c r="R285" s="612"/>
      <c r="S285" s="612"/>
      <c r="T285" s="612"/>
      <c r="U285" s="612"/>
      <c r="V285" s="612"/>
      <c r="W285" s="612"/>
      <c r="X285" s="612"/>
      <c r="Y285" s="647"/>
    </row>
    <row r="286" spans="1:55" outlineLevel="1" x14ac:dyDescent="0.3">
      <c r="A286" s="1811">
        <v>42491</v>
      </c>
      <c r="B286" s="1812"/>
      <c r="C286" s="855">
        <f t="shared" ca="1" si="2"/>
        <v>68.482426679410551</v>
      </c>
      <c r="D286" s="856">
        <f t="shared" ca="1" si="3"/>
        <v>528.70316044981587</v>
      </c>
      <c r="E286" s="857">
        <f t="shared" ca="1" si="4"/>
        <v>3.3043</v>
      </c>
      <c r="F286" s="612"/>
      <c r="G286" s="612"/>
      <c r="H286" s="612"/>
      <c r="I286" s="612"/>
      <c r="J286" s="612"/>
      <c r="K286" s="612"/>
      <c r="L286" s="612"/>
      <c r="M286" s="612"/>
      <c r="N286" s="612"/>
      <c r="O286" s="612"/>
      <c r="P286" s="612"/>
      <c r="Q286" s="612"/>
      <c r="R286" s="612"/>
      <c r="S286" s="612"/>
      <c r="T286" s="612"/>
      <c r="U286" s="612"/>
      <c r="V286" s="612"/>
      <c r="W286" s="612"/>
      <c r="X286" s="612"/>
      <c r="Y286" s="647"/>
    </row>
    <row r="287" spans="1:55" outlineLevel="1" x14ac:dyDescent="0.3">
      <c r="A287" s="1811">
        <v>42522</v>
      </c>
      <c r="B287" s="1812"/>
      <c r="C287" s="855">
        <f t="shared" ca="1" si="2"/>
        <v>66.722339694954314</v>
      </c>
      <c r="D287" s="856">
        <f t="shared" ca="1" si="3"/>
        <v>505.94066890972266</v>
      </c>
      <c r="E287" s="857">
        <f t="shared" ca="1" si="4"/>
        <v>3.4636999999999998</v>
      </c>
      <c r="F287" s="612"/>
      <c r="G287" s="612"/>
      <c r="H287" s="612"/>
      <c r="I287" s="612"/>
      <c r="J287" s="612"/>
      <c r="K287" s="612"/>
      <c r="L287" s="612"/>
      <c r="M287" s="612"/>
      <c r="N287" s="612"/>
      <c r="O287" s="612"/>
      <c r="P287" s="612"/>
      <c r="Q287" s="612"/>
      <c r="R287" s="612"/>
      <c r="S287" s="612"/>
      <c r="T287" s="612"/>
      <c r="U287" s="612"/>
      <c r="V287" s="612"/>
      <c r="W287" s="612"/>
      <c r="X287" s="612"/>
      <c r="Y287" s="647"/>
    </row>
    <row r="288" spans="1:55" outlineLevel="1" x14ac:dyDescent="0.3">
      <c r="A288" s="1811">
        <v>42552</v>
      </c>
      <c r="B288" s="1812"/>
      <c r="C288" s="855">
        <f t="shared" ca="1" si="2"/>
        <v>78.629381891768517</v>
      </c>
      <c r="D288" s="856">
        <f t="shared" ca="1" si="3"/>
        <v>525.29824868173444</v>
      </c>
      <c r="E288" s="857">
        <f t="shared" ca="1" si="4"/>
        <v>4.9828000000000001</v>
      </c>
      <c r="F288" s="612"/>
      <c r="G288" s="612"/>
      <c r="H288" s="612"/>
      <c r="I288" s="612"/>
      <c r="J288" s="612"/>
      <c r="K288" s="612"/>
      <c r="L288" s="612"/>
      <c r="M288" s="612"/>
      <c r="N288" s="612"/>
      <c r="O288" s="612"/>
      <c r="P288" s="612"/>
      <c r="Q288" s="612"/>
      <c r="R288" s="612"/>
      <c r="S288" s="612"/>
      <c r="T288" s="612"/>
      <c r="U288" s="612"/>
      <c r="V288" s="612"/>
      <c r="W288" s="612"/>
      <c r="X288" s="612"/>
      <c r="Y288" s="647"/>
    </row>
    <row r="289" spans="1:25" outlineLevel="1" x14ac:dyDescent="0.3">
      <c r="A289" s="1811">
        <v>42583</v>
      </c>
      <c r="B289" s="1812"/>
      <c r="C289" s="855">
        <f t="shared" ca="1" si="2"/>
        <v>76.785878756948549</v>
      </c>
      <c r="D289" s="856">
        <f t="shared" ca="1" si="3"/>
        <v>514.49747885704483</v>
      </c>
      <c r="E289" s="857">
        <f t="shared" ca="1" si="4"/>
        <v>4.8665000000000003</v>
      </c>
      <c r="F289" s="612"/>
      <c r="G289" s="612"/>
      <c r="H289" s="612"/>
      <c r="I289" s="612"/>
      <c r="J289" s="612"/>
      <c r="K289" s="612"/>
      <c r="L289" s="612"/>
      <c r="M289" s="612"/>
      <c r="N289" s="612"/>
      <c r="O289" s="612"/>
      <c r="P289" s="612"/>
      <c r="Q289" s="612"/>
      <c r="R289" s="612"/>
      <c r="S289" s="612"/>
      <c r="T289" s="612"/>
      <c r="U289" s="612"/>
      <c r="V289" s="612"/>
      <c r="W289" s="612"/>
      <c r="X289" s="612"/>
      <c r="Y289" s="647"/>
    </row>
    <row r="290" spans="1:25" outlineLevel="1" x14ac:dyDescent="0.3">
      <c r="A290" s="1811">
        <v>42614</v>
      </c>
      <c r="B290" s="1812"/>
      <c r="C290" s="855">
        <f t="shared" ca="1" si="2"/>
        <v>67.488154638459207</v>
      </c>
      <c r="D290" s="856">
        <f t="shared" ca="1" si="3"/>
        <v>499.54586897401543</v>
      </c>
      <c r="E290" s="857">
        <f t="shared" ca="1" si="4"/>
        <v>3.6665999999999999</v>
      </c>
      <c r="F290" s="612"/>
      <c r="G290" s="612"/>
      <c r="H290" s="612"/>
      <c r="I290" s="612"/>
      <c r="J290" s="612"/>
      <c r="K290" s="612"/>
      <c r="L290" s="612"/>
      <c r="M290" s="612"/>
      <c r="N290" s="612"/>
      <c r="O290" s="612"/>
      <c r="P290" s="612"/>
      <c r="Q290" s="612"/>
      <c r="R290" s="612"/>
      <c r="S290" s="612"/>
      <c r="T290" s="612"/>
      <c r="U290" s="612"/>
      <c r="V290" s="612"/>
      <c r="W290" s="612"/>
      <c r="X290" s="612"/>
      <c r="Y290" s="647"/>
    </row>
    <row r="291" spans="1:25" outlineLevel="1" x14ac:dyDescent="0.3">
      <c r="A291" s="1811">
        <v>42644</v>
      </c>
      <c r="B291" s="1812"/>
      <c r="C291" s="855">
        <f t="shared" ca="1" si="2"/>
        <v>71.405808375660001</v>
      </c>
      <c r="D291" s="856">
        <f t="shared" ca="1" si="3"/>
        <v>581.41581667192713</v>
      </c>
      <c r="E291" s="857">
        <f t="shared" ca="1" si="4"/>
        <v>4.1272000000000002</v>
      </c>
      <c r="F291" s="612"/>
      <c r="G291" s="612"/>
      <c r="H291" s="612"/>
      <c r="I291" s="612"/>
      <c r="J291" s="612"/>
      <c r="K291" s="612"/>
      <c r="L291" s="612"/>
      <c r="M291" s="612"/>
      <c r="N291" s="612"/>
      <c r="O291" s="612"/>
      <c r="P291" s="612"/>
      <c r="Q291" s="612"/>
      <c r="R291" s="612"/>
      <c r="S291" s="612"/>
      <c r="T291" s="612"/>
      <c r="U291" s="612"/>
      <c r="V291" s="612"/>
      <c r="W291" s="612"/>
      <c r="X291" s="612"/>
      <c r="Y291" s="647"/>
    </row>
    <row r="292" spans="1:25" outlineLevel="1" x14ac:dyDescent="0.3">
      <c r="A292" s="1811">
        <v>42675</v>
      </c>
      <c r="B292" s="1812"/>
      <c r="C292" s="855">
        <f t="shared" ca="1" si="2"/>
        <v>63.797060121675813</v>
      </c>
      <c r="D292" s="856">
        <f t="shared" ca="1" si="3"/>
        <v>576.30672568593138</v>
      </c>
      <c r="E292" s="857">
        <f t="shared" ca="1" si="4"/>
        <v>3.8113999999999999</v>
      </c>
      <c r="F292" s="612"/>
      <c r="G292" s="612"/>
      <c r="H292" s="612"/>
      <c r="I292" s="612"/>
      <c r="J292" s="612"/>
      <c r="K292" s="612"/>
      <c r="L292" s="612"/>
      <c r="M292" s="612"/>
      <c r="N292" s="612"/>
      <c r="O292" s="612"/>
      <c r="P292" s="612"/>
      <c r="Q292" s="612"/>
      <c r="R292" s="612"/>
      <c r="S292" s="612"/>
      <c r="T292" s="612"/>
      <c r="U292" s="612"/>
      <c r="V292" s="612"/>
      <c r="W292" s="612"/>
      <c r="X292" s="612"/>
      <c r="Y292" s="647"/>
    </row>
    <row r="293" spans="1:25" outlineLevel="1" x14ac:dyDescent="0.3">
      <c r="A293" s="1944">
        <v>42705</v>
      </c>
      <c r="B293" s="1945"/>
      <c r="C293" s="861">
        <f t="shared" ca="1" si="2"/>
        <v>82.098728358227334</v>
      </c>
      <c r="D293" s="862">
        <f t="shared" ca="1" si="3"/>
        <v>758.93857168514921</v>
      </c>
      <c r="E293" s="863">
        <f t="shared" ca="1" si="4"/>
        <v>4.1670999999999996</v>
      </c>
      <c r="F293" s="612"/>
      <c r="G293" s="612"/>
      <c r="H293" s="612"/>
      <c r="I293" s="612"/>
      <c r="J293" s="612"/>
      <c r="K293" s="612"/>
      <c r="L293" s="612"/>
      <c r="M293" s="612"/>
      <c r="N293" s="612"/>
      <c r="O293" s="612"/>
      <c r="P293" s="612"/>
      <c r="Q293" s="612"/>
      <c r="R293" s="612"/>
      <c r="S293" s="612"/>
      <c r="T293" s="612"/>
      <c r="U293" s="612"/>
      <c r="V293" s="612"/>
      <c r="W293" s="612"/>
      <c r="X293" s="612"/>
      <c r="Y293" s="647"/>
    </row>
    <row r="294" spans="1:25" outlineLevel="1" x14ac:dyDescent="0.3">
      <c r="A294" s="1946">
        <v>42736</v>
      </c>
      <c r="B294" s="1947"/>
      <c r="C294" s="858">
        <f t="shared" ca="1" si="2"/>
        <v>81.172660945086108</v>
      </c>
      <c r="D294" s="859">
        <f t="shared" ca="1" si="3"/>
        <v>647.80149995356771</v>
      </c>
      <c r="E294" s="860">
        <f t="shared" ca="1" si="4"/>
        <v>4.3943000000000003</v>
      </c>
      <c r="F294" s="612"/>
      <c r="G294" s="612"/>
      <c r="H294" s="612"/>
      <c r="I294" s="612"/>
      <c r="J294" s="612"/>
      <c r="K294" s="612"/>
      <c r="L294" s="612"/>
      <c r="M294" s="612"/>
      <c r="N294" s="612"/>
      <c r="O294" s="612"/>
      <c r="P294" s="612"/>
      <c r="Q294" s="612"/>
      <c r="R294" s="612"/>
      <c r="S294" s="612"/>
      <c r="T294" s="612"/>
      <c r="U294" s="612"/>
      <c r="V294" s="612"/>
      <c r="W294" s="612"/>
      <c r="X294" s="612"/>
      <c r="Y294" s="647"/>
    </row>
    <row r="295" spans="1:25" outlineLevel="1" x14ac:dyDescent="0.3">
      <c r="A295" s="1811">
        <v>42767</v>
      </c>
      <c r="B295" s="1812"/>
      <c r="C295" s="855">
        <f t="shared" ca="1" si="2"/>
        <v>68.651904841888083</v>
      </c>
      <c r="D295" s="856">
        <f t="shared" ca="1" si="3"/>
        <v>568.43198073192229</v>
      </c>
      <c r="E295" s="857">
        <f t="shared" ca="1" si="4"/>
        <v>3.9241999999999999</v>
      </c>
      <c r="F295" s="612"/>
      <c r="G295" s="612"/>
      <c r="H295" s="612"/>
      <c r="I295" s="612"/>
      <c r="J295" s="612"/>
      <c r="K295" s="612"/>
      <c r="L295" s="612"/>
      <c r="M295" s="612"/>
      <c r="N295" s="612"/>
      <c r="O295" s="612"/>
      <c r="P295" s="612"/>
      <c r="Q295" s="612"/>
      <c r="R295" s="612"/>
      <c r="S295" s="612"/>
      <c r="T295" s="612"/>
      <c r="U295" s="612"/>
      <c r="V295" s="612"/>
      <c r="W295" s="612"/>
      <c r="X295" s="612"/>
      <c r="Y295" s="647"/>
    </row>
    <row r="296" spans="1:25" outlineLevel="1" x14ac:dyDescent="0.3">
      <c r="A296" s="1811">
        <v>42795</v>
      </c>
      <c r="B296" s="1812"/>
      <c r="C296" s="855">
        <f t="shared" ca="1" si="2"/>
        <v>69.307154646758036</v>
      </c>
      <c r="D296" s="856">
        <f t="shared" ca="1" si="3"/>
        <v>590.90640142097993</v>
      </c>
      <c r="E296" s="857">
        <f t="shared" ca="1" si="4"/>
        <v>3.4390000000000001</v>
      </c>
      <c r="F296" s="612"/>
      <c r="G296" s="612"/>
      <c r="H296" s="612"/>
      <c r="I296" s="612"/>
      <c r="J296" s="612"/>
      <c r="K296" s="612"/>
      <c r="L296" s="612"/>
      <c r="M296" s="612"/>
      <c r="N296" s="612"/>
      <c r="O296" s="612"/>
      <c r="P296" s="612"/>
      <c r="Q296" s="612"/>
      <c r="R296" s="612"/>
      <c r="S296" s="612"/>
      <c r="T296" s="612"/>
      <c r="U296" s="612"/>
      <c r="V296" s="612"/>
      <c r="W296" s="612"/>
      <c r="X296" s="612"/>
      <c r="Y296" s="647"/>
    </row>
    <row r="297" spans="1:25" outlineLevel="1" x14ac:dyDescent="0.3">
      <c r="A297" s="1811">
        <v>42826</v>
      </c>
      <c r="B297" s="1812"/>
      <c r="C297" s="855">
        <f t="shared" ca="1" si="2"/>
        <v>66.692254981087331</v>
      </c>
      <c r="D297" s="856">
        <f t="shared" ca="1" si="3"/>
        <v>521.96284196970953</v>
      </c>
      <c r="E297" s="857">
        <f t="shared" ca="1" si="4"/>
        <v>3.0567000000000002</v>
      </c>
      <c r="F297" s="612"/>
      <c r="G297" s="612"/>
      <c r="H297" s="612"/>
      <c r="I297" s="612"/>
      <c r="J297" s="612"/>
      <c r="K297" s="612"/>
      <c r="L297" s="612"/>
      <c r="M297" s="612"/>
      <c r="N297" s="612"/>
      <c r="O297" s="612"/>
      <c r="P297" s="612"/>
      <c r="Q297" s="612"/>
      <c r="R297" s="612"/>
      <c r="S297" s="612"/>
      <c r="T297" s="612"/>
      <c r="U297" s="612"/>
      <c r="V297" s="612"/>
      <c r="W297" s="612"/>
      <c r="X297" s="612"/>
      <c r="Y297" s="647"/>
    </row>
    <row r="298" spans="1:25" outlineLevel="1" x14ac:dyDescent="0.3">
      <c r="A298" s="1811">
        <v>42856</v>
      </c>
      <c r="B298" s="1812"/>
      <c r="C298" s="855">
        <f t="shared" ca="1" si="2"/>
        <v>68.701949839346156</v>
      </c>
      <c r="D298" s="856">
        <f t="shared" ca="1" si="3"/>
        <v>499.78475479463549</v>
      </c>
      <c r="E298" s="857">
        <f t="shared" ca="1" si="4"/>
        <v>2.9834999999999998</v>
      </c>
      <c r="F298" s="612"/>
      <c r="G298" s="612"/>
      <c r="H298" s="612"/>
      <c r="I298" s="612"/>
      <c r="J298" s="612"/>
      <c r="K298" s="612"/>
      <c r="L298" s="612"/>
      <c r="M298" s="612"/>
      <c r="N298" s="612"/>
      <c r="O298" s="612"/>
      <c r="P298" s="612"/>
      <c r="Q298" s="612"/>
      <c r="R298" s="612"/>
      <c r="S298" s="612"/>
      <c r="T298" s="612"/>
      <c r="U298" s="612"/>
      <c r="V298" s="612"/>
      <c r="W298" s="612"/>
      <c r="X298" s="612"/>
      <c r="Y298" s="647"/>
    </row>
    <row r="299" spans="1:25" outlineLevel="1" x14ac:dyDescent="0.3">
      <c r="A299" s="1811">
        <v>42887</v>
      </c>
      <c r="B299" s="1812"/>
      <c r="C299" s="855">
        <f t="shared" ref="C299:C316" ca="1" si="6">VLOOKUP($A299,INDIRECT("'"&amp;$A$233&amp;"'!"&amp;"$A$5:$N$100"),6,FALSE)</f>
        <v>68.184002802872556</v>
      </c>
      <c r="D299" s="856">
        <f t="shared" ref="D299:D323" ca="1" si="7">VLOOKUP($A299,INDIRECT("'"&amp;$A$233&amp;"'!"&amp;"$A$5:$N$100"),3,FALSE)</f>
        <v>476.9507488479735</v>
      </c>
      <c r="E299" s="857">
        <f t="shared" ref="E299:E323" ca="1" si="8">VLOOKUP($A299,INDIRECT("'"&amp;$A$233&amp;"'!"&amp;"$A$5:$N$100"),14,FALSE)</f>
        <v>3.3946999999999998</v>
      </c>
      <c r="F299" s="612"/>
      <c r="G299" s="612"/>
      <c r="H299" s="612"/>
      <c r="I299" s="612"/>
      <c r="J299" s="612"/>
      <c r="K299" s="612"/>
      <c r="L299" s="612"/>
      <c r="M299" s="612"/>
      <c r="N299" s="612"/>
      <c r="O299" s="612"/>
      <c r="P299" s="612"/>
      <c r="Q299" s="612"/>
      <c r="R299" s="612"/>
      <c r="S299" s="612"/>
      <c r="T299" s="612"/>
      <c r="U299" s="612"/>
      <c r="V299" s="612"/>
      <c r="W299" s="612"/>
      <c r="X299" s="612"/>
      <c r="Y299" s="647"/>
    </row>
    <row r="300" spans="1:25" outlineLevel="1" x14ac:dyDescent="0.3">
      <c r="A300" s="1811">
        <v>42917</v>
      </c>
      <c r="B300" s="1812"/>
      <c r="C300" s="855">
        <f t="shared" ca="1" si="6"/>
        <v>81.314809741058738</v>
      </c>
      <c r="D300" s="856">
        <f t="shared" ca="1" si="7"/>
        <v>553.28116548516766</v>
      </c>
      <c r="E300" s="857">
        <f t="shared" ca="1" si="8"/>
        <v>4.2127999999999997</v>
      </c>
      <c r="F300" s="612"/>
      <c r="G300" s="612"/>
      <c r="H300" s="612"/>
      <c r="I300" s="612"/>
      <c r="J300" s="612"/>
      <c r="K300" s="612"/>
      <c r="L300" s="612"/>
      <c r="M300" s="612"/>
      <c r="N300" s="612"/>
      <c r="O300" s="612"/>
      <c r="P300" s="612"/>
      <c r="Q300" s="612"/>
      <c r="R300" s="612"/>
      <c r="S300" s="612"/>
      <c r="T300" s="612"/>
      <c r="U300" s="612"/>
      <c r="V300" s="612"/>
      <c r="W300" s="612"/>
      <c r="X300" s="612"/>
      <c r="Y300" s="647"/>
    </row>
    <row r="301" spans="1:25" outlineLevel="1" x14ac:dyDescent="0.3">
      <c r="A301" s="1811">
        <v>42948</v>
      </c>
      <c r="B301" s="1812"/>
      <c r="C301" s="855">
        <f t="shared" ca="1" si="6"/>
        <v>76.278948511532576</v>
      </c>
      <c r="D301" s="856">
        <f t="shared" ca="1" si="7"/>
        <v>510.2761997497081</v>
      </c>
      <c r="E301" s="857">
        <f t="shared" ca="1" si="8"/>
        <v>4.1050000000000004</v>
      </c>
      <c r="F301" s="612"/>
      <c r="G301" s="612"/>
      <c r="H301" s="612"/>
      <c r="I301" s="612"/>
      <c r="J301" s="612"/>
      <c r="K301" s="612"/>
      <c r="L301" s="612"/>
      <c r="M301" s="612"/>
      <c r="N301" s="612"/>
      <c r="O301" s="612"/>
      <c r="P301" s="612"/>
      <c r="Q301" s="612"/>
      <c r="R301" s="612"/>
      <c r="S301" s="612"/>
      <c r="T301" s="612"/>
      <c r="U301" s="612"/>
      <c r="V301" s="612"/>
      <c r="W301" s="612"/>
      <c r="X301" s="612"/>
      <c r="Y301" s="647"/>
    </row>
    <row r="302" spans="1:25" outlineLevel="1" x14ac:dyDescent="0.3">
      <c r="A302" s="1811">
        <v>42979</v>
      </c>
      <c r="B302" s="1812"/>
      <c r="C302" s="855">
        <f t="shared" ca="1" si="6"/>
        <v>73.42519585960018</v>
      </c>
      <c r="D302" s="856">
        <f t="shared" ca="1" si="7"/>
        <v>509.90285276586809</v>
      </c>
      <c r="E302" s="857">
        <f t="shared" ca="1" si="8"/>
        <v>3.766</v>
      </c>
      <c r="F302" s="612"/>
      <c r="G302" s="612"/>
      <c r="H302" s="612"/>
      <c r="I302" s="612"/>
      <c r="J302" s="612"/>
      <c r="K302" s="612"/>
      <c r="L302" s="612"/>
      <c r="M302" s="612"/>
      <c r="N302" s="612"/>
      <c r="O302" s="612"/>
      <c r="P302" s="612"/>
      <c r="Q302" s="612"/>
      <c r="R302" s="612"/>
      <c r="S302" s="612"/>
      <c r="T302" s="612"/>
      <c r="U302" s="612"/>
      <c r="V302" s="612"/>
      <c r="W302" s="612"/>
      <c r="X302" s="612"/>
      <c r="Y302" s="647"/>
    </row>
    <row r="303" spans="1:25" outlineLevel="1" x14ac:dyDescent="0.3">
      <c r="A303" s="1811">
        <v>43009</v>
      </c>
      <c r="B303" s="1812"/>
      <c r="C303" s="855">
        <f t="shared" ca="1" si="6"/>
        <v>78.635927532328026</v>
      </c>
      <c r="D303" s="856">
        <f t="shared" ca="1" si="7"/>
        <v>551.15949519938317</v>
      </c>
      <c r="E303" s="857">
        <f t="shared" ca="1" si="8"/>
        <v>3.8519999999999999</v>
      </c>
      <c r="F303" s="612"/>
      <c r="G303" s="612"/>
      <c r="H303" s="612"/>
      <c r="I303" s="612"/>
      <c r="J303" s="612"/>
      <c r="K303" s="612"/>
      <c r="L303" s="612"/>
      <c r="M303" s="612"/>
      <c r="N303" s="612"/>
      <c r="O303" s="612"/>
      <c r="P303" s="612"/>
      <c r="Q303" s="612"/>
      <c r="R303" s="612"/>
      <c r="S303" s="612"/>
      <c r="T303" s="612"/>
      <c r="U303" s="612"/>
      <c r="V303" s="612"/>
      <c r="W303" s="612"/>
      <c r="X303" s="612"/>
      <c r="Y303" s="647"/>
    </row>
    <row r="304" spans="1:25" outlineLevel="1" x14ac:dyDescent="0.3">
      <c r="A304" s="1811">
        <v>43040</v>
      </c>
      <c r="B304" s="1812"/>
      <c r="C304" s="855">
        <f t="shared" ca="1" si="6"/>
        <v>81.538955698710438</v>
      </c>
      <c r="D304" s="856">
        <f t="shared" ca="1" si="7"/>
        <v>603.38881925349096</v>
      </c>
      <c r="E304" s="857">
        <f t="shared" ca="1" si="8"/>
        <v>3.653</v>
      </c>
      <c r="F304" s="612"/>
      <c r="G304" s="612"/>
      <c r="H304" s="612"/>
      <c r="I304" s="612"/>
      <c r="J304" s="612"/>
      <c r="K304" s="612"/>
      <c r="L304" s="612"/>
      <c r="M304" s="612"/>
      <c r="N304" s="612"/>
      <c r="O304" s="612"/>
      <c r="P304" s="612"/>
      <c r="Q304" s="612"/>
      <c r="R304" s="612"/>
      <c r="S304" s="612"/>
      <c r="T304" s="612"/>
      <c r="U304" s="612"/>
      <c r="V304" s="612"/>
      <c r="W304" s="612"/>
      <c r="X304" s="612"/>
      <c r="Y304" s="647"/>
    </row>
    <row r="305" spans="1:25" outlineLevel="1" x14ac:dyDescent="0.3">
      <c r="A305" s="1944">
        <v>43070</v>
      </c>
      <c r="B305" s="1945"/>
      <c r="C305" s="861">
        <f t="shared" ca="1" si="6"/>
        <v>92.239618493565786</v>
      </c>
      <c r="D305" s="862">
        <f t="shared" ca="1" si="7"/>
        <v>678.71552709613513</v>
      </c>
      <c r="E305" s="863">
        <f t="shared" ca="1" si="8"/>
        <v>3.996</v>
      </c>
      <c r="F305" s="612"/>
      <c r="G305" s="612"/>
      <c r="H305" s="612"/>
      <c r="I305" s="612"/>
      <c r="J305" s="612"/>
      <c r="K305" s="612"/>
      <c r="L305" s="612"/>
      <c r="M305" s="612"/>
      <c r="N305" s="612"/>
      <c r="O305" s="612"/>
      <c r="P305" s="612"/>
      <c r="Q305" s="612"/>
      <c r="R305" s="612"/>
      <c r="S305" s="612"/>
      <c r="T305" s="612"/>
      <c r="U305" s="612"/>
      <c r="V305" s="612"/>
      <c r="W305" s="612"/>
      <c r="X305" s="612"/>
      <c r="Y305" s="647"/>
    </row>
    <row r="306" spans="1:25" outlineLevel="1" x14ac:dyDescent="0.3">
      <c r="A306" s="1946">
        <v>43101</v>
      </c>
      <c r="B306" s="1947"/>
      <c r="C306" s="858">
        <f t="shared" ca="1" si="6"/>
        <v>97.04768000615276</v>
      </c>
      <c r="D306" s="859">
        <f t="shared" ca="1" si="7"/>
        <v>635.97821266527023</v>
      </c>
      <c r="E306" s="860">
        <f t="shared" ca="1" si="8"/>
        <v>5.1120000000000001</v>
      </c>
      <c r="F306" s="612"/>
      <c r="G306" s="612"/>
      <c r="H306" s="612"/>
      <c r="I306" s="612"/>
      <c r="J306" s="612"/>
      <c r="K306" s="612"/>
      <c r="L306" s="612"/>
      <c r="M306" s="612"/>
      <c r="N306" s="612"/>
      <c r="O306" s="612"/>
      <c r="P306" s="612"/>
      <c r="Q306" s="612"/>
      <c r="R306" s="612"/>
      <c r="S306" s="612"/>
      <c r="T306" s="612"/>
      <c r="U306" s="612"/>
      <c r="V306" s="612"/>
      <c r="W306" s="612"/>
      <c r="X306" s="612"/>
      <c r="Y306" s="647"/>
    </row>
    <row r="307" spans="1:25" outlineLevel="1" x14ac:dyDescent="0.3">
      <c r="A307" s="1811">
        <v>43132</v>
      </c>
      <c r="B307" s="1812"/>
      <c r="C307" s="855">
        <f t="shared" ca="1" si="6"/>
        <v>90.414418526864011</v>
      </c>
      <c r="D307" s="856">
        <f t="shared" ca="1" si="7"/>
        <v>594.37508025101431</v>
      </c>
      <c r="E307" s="857">
        <f t="shared" ca="1" si="8"/>
        <v>5.1829999999999998</v>
      </c>
      <c r="F307" s="612"/>
      <c r="G307" s="612"/>
      <c r="H307" s="612"/>
      <c r="I307" s="612"/>
      <c r="J307" s="612"/>
      <c r="K307" s="612"/>
      <c r="L307" s="612"/>
      <c r="M307" s="612"/>
      <c r="N307" s="612"/>
      <c r="O307" s="612"/>
      <c r="P307" s="612"/>
      <c r="Q307" s="612"/>
      <c r="R307" s="612"/>
      <c r="S307" s="612"/>
      <c r="T307" s="612"/>
      <c r="U307" s="612"/>
      <c r="V307" s="612"/>
      <c r="W307" s="612"/>
      <c r="X307" s="612"/>
      <c r="Y307" s="647"/>
    </row>
    <row r="308" spans="1:25" outlineLevel="1" x14ac:dyDescent="0.3">
      <c r="A308" s="1811">
        <v>43160</v>
      </c>
      <c r="B308" s="1812"/>
      <c r="C308" s="855">
        <f ca="1">VLOOKUP($A308,INDIRECT("'"&amp;$A$233&amp;"'!"&amp;"$A$5:$N$100"),6,FALSE)</f>
        <v>91.688336430019945</v>
      </c>
      <c r="D308" s="856">
        <f t="shared" ca="1" si="7"/>
        <v>588.93374180774288</v>
      </c>
      <c r="E308" s="857">
        <f t="shared" ca="1" si="8"/>
        <v>5.1100000000000003</v>
      </c>
      <c r="F308" s="612"/>
      <c r="G308" s="612"/>
      <c r="H308" s="612"/>
      <c r="I308" s="612"/>
      <c r="J308" s="612"/>
      <c r="K308" s="612"/>
      <c r="L308" s="612"/>
      <c r="M308" s="612"/>
      <c r="N308" s="612"/>
      <c r="O308" s="612"/>
      <c r="P308" s="612"/>
      <c r="Q308" s="612"/>
      <c r="R308" s="612"/>
      <c r="S308" s="612"/>
      <c r="T308" s="612"/>
      <c r="U308" s="612"/>
      <c r="V308" s="612"/>
      <c r="W308" s="612"/>
      <c r="X308" s="612"/>
      <c r="Y308" s="647"/>
    </row>
    <row r="309" spans="1:25" outlineLevel="1" x14ac:dyDescent="0.3">
      <c r="A309" s="1811">
        <v>43191</v>
      </c>
      <c r="B309" s="1812"/>
      <c r="C309" s="855">
        <f t="shared" ca="1" si="6"/>
        <v>98.143887448812052</v>
      </c>
      <c r="D309" s="856">
        <f t="shared" ca="1" si="7"/>
        <v>528.01162456374163</v>
      </c>
      <c r="E309" s="857">
        <f t="shared" ca="1" si="8"/>
        <v>6.8</v>
      </c>
      <c r="F309" s="612"/>
      <c r="G309" s="612"/>
      <c r="H309" s="612"/>
      <c r="I309" s="612"/>
      <c r="J309" s="612"/>
      <c r="K309" s="612"/>
      <c r="L309" s="612"/>
      <c r="M309" s="612"/>
      <c r="N309" s="612"/>
      <c r="O309" s="612"/>
      <c r="P309" s="612"/>
      <c r="Q309" s="612"/>
      <c r="R309" s="612"/>
      <c r="S309" s="612"/>
      <c r="T309" s="612"/>
      <c r="U309" s="612"/>
      <c r="V309" s="612"/>
      <c r="W309" s="612"/>
      <c r="X309" s="612"/>
      <c r="Y309" s="647"/>
    </row>
    <row r="310" spans="1:25" outlineLevel="1" x14ac:dyDescent="0.3">
      <c r="A310" s="1811">
        <v>43221</v>
      </c>
      <c r="B310" s="1812"/>
      <c r="C310" s="855">
        <f t="shared" ca="1" si="6"/>
        <v>87.366600450974673</v>
      </c>
      <c r="D310" s="856">
        <f t="shared" ca="1" si="7"/>
        <v>494.83267205155215</v>
      </c>
      <c r="E310" s="857">
        <f t="shared" ca="1" si="8"/>
        <v>5.5659999999999998</v>
      </c>
      <c r="F310" s="612"/>
      <c r="G310" s="612"/>
      <c r="H310" s="612"/>
      <c r="I310" s="612"/>
      <c r="J310" s="612"/>
      <c r="K310" s="612"/>
      <c r="L310" s="612"/>
      <c r="M310" s="612"/>
      <c r="N310" s="612"/>
      <c r="O310" s="612"/>
      <c r="P310" s="612"/>
      <c r="Q310" s="612"/>
      <c r="R310" s="612"/>
      <c r="S310" s="612"/>
      <c r="T310" s="612"/>
      <c r="U310" s="612"/>
      <c r="V310" s="612"/>
      <c r="W310" s="612"/>
      <c r="X310" s="612"/>
      <c r="Y310" s="647"/>
    </row>
    <row r="311" spans="1:25" outlineLevel="1" x14ac:dyDescent="0.3">
      <c r="A311" s="1811">
        <v>43252</v>
      </c>
      <c r="B311" s="1812"/>
      <c r="C311" s="855">
        <f t="shared" ca="1" si="6"/>
        <v>82.016944173843683</v>
      </c>
      <c r="D311" s="856">
        <f t="shared" ca="1" si="7"/>
        <v>481.31960825480462</v>
      </c>
      <c r="E311" s="857">
        <f t="shared" ca="1" si="8"/>
        <v>5.0620000000000003</v>
      </c>
      <c r="F311" s="1120"/>
      <c r="G311" s="1120"/>
      <c r="H311" s="1120"/>
      <c r="I311" s="1120"/>
      <c r="J311" s="1120"/>
      <c r="K311" s="1120"/>
      <c r="L311" s="1120"/>
      <c r="M311" s="1120"/>
      <c r="N311" s="1120"/>
      <c r="O311" s="1120"/>
      <c r="P311" s="1120"/>
      <c r="Q311" s="1120"/>
      <c r="R311" s="1120"/>
      <c r="S311" s="1120"/>
      <c r="T311" s="1120"/>
      <c r="U311" s="1120"/>
      <c r="V311" s="1120"/>
      <c r="W311" s="1120"/>
      <c r="X311" s="1120"/>
      <c r="Y311" s="647"/>
    </row>
    <row r="312" spans="1:25" outlineLevel="1" x14ac:dyDescent="0.3">
      <c r="A312" s="1811">
        <v>43282</v>
      </c>
      <c r="B312" s="1812"/>
      <c r="C312" s="855">
        <f ca="1">VLOOKUP($A312,INDIRECT("'"&amp;$A$233&amp;"'!"&amp;"$A$5:$N$100"),6,FALSE)</f>
        <v>95.772531450151874</v>
      </c>
      <c r="D312" s="856">
        <f t="shared" ca="1" si="7"/>
        <v>515.53500390451472</v>
      </c>
      <c r="E312" s="857">
        <f t="shared" ca="1" si="8"/>
        <v>6.8</v>
      </c>
      <c r="F312" s="1120"/>
      <c r="G312" s="1120"/>
      <c r="H312" s="1120"/>
      <c r="I312" s="1120"/>
      <c r="J312" s="1120"/>
      <c r="K312" s="1120"/>
      <c r="L312" s="1120"/>
      <c r="M312" s="1120"/>
      <c r="N312" s="1120"/>
      <c r="O312" s="1120"/>
      <c r="P312" s="1120"/>
      <c r="Q312" s="1120"/>
      <c r="R312" s="1120"/>
      <c r="S312" s="1120"/>
      <c r="T312" s="1120"/>
      <c r="U312" s="1120"/>
      <c r="V312" s="1120"/>
      <c r="W312" s="1120"/>
      <c r="X312" s="1120"/>
      <c r="Y312" s="647"/>
    </row>
    <row r="313" spans="1:25" outlineLevel="1" x14ac:dyDescent="0.3">
      <c r="A313" s="1811">
        <v>43313</v>
      </c>
      <c r="B313" s="1812"/>
      <c r="C313" s="855">
        <f t="shared" ca="1" si="6"/>
        <v>97.676571480872184</v>
      </c>
      <c r="D313" s="856">
        <f t="shared" ca="1" si="7"/>
        <v>529.47012813338006</v>
      </c>
      <c r="E313" s="857">
        <f t="shared" ca="1" si="8"/>
        <v>6.8</v>
      </c>
      <c r="F313" s="1120"/>
      <c r="G313" s="1120"/>
      <c r="H313" s="1120"/>
      <c r="I313" s="1120"/>
      <c r="J313" s="1120"/>
      <c r="K313" s="1120"/>
      <c r="L313" s="1120"/>
      <c r="M313" s="1120"/>
      <c r="N313" s="1120"/>
      <c r="O313" s="1120"/>
      <c r="P313" s="1120"/>
      <c r="Q313" s="1120"/>
      <c r="R313" s="1120"/>
      <c r="S313" s="1120"/>
      <c r="T313" s="1120"/>
      <c r="U313" s="1120"/>
      <c r="V313" s="1120"/>
      <c r="W313" s="1120"/>
      <c r="X313" s="1120"/>
      <c r="Y313" s="647"/>
    </row>
    <row r="314" spans="1:25" outlineLevel="1" x14ac:dyDescent="0.3">
      <c r="A314" s="1811">
        <v>43344</v>
      </c>
      <c r="B314" s="1812"/>
      <c r="C314" s="855">
        <f t="shared" ca="1" si="6"/>
        <v>94.427956990055407</v>
      </c>
      <c r="D314" s="856">
        <f t="shared" ca="1" si="7"/>
        <v>511.67498853221838</v>
      </c>
      <c r="E314" s="857">
        <f t="shared" ca="1" si="8"/>
        <v>6.8</v>
      </c>
      <c r="F314" s="1120"/>
      <c r="G314" s="1120"/>
      <c r="H314" s="1120"/>
      <c r="I314" s="1120"/>
      <c r="J314" s="1120"/>
      <c r="K314" s="1120"/>
      <c r="L314" s="1120"/>
      <c r="M314" s="1120"/>
      <c r="N314" s="1120"/>
      <c r="O314" s="1120"/>
      <c r="P314" s="1120"/>
      <c r="Q314" s="1120"/>
      <c r="R314" s="1120"/>
      <c r="S314" s="1120"/>
      <c r="T314" s="1120"/>
      <c r="U314" s="1120"/>
      <c r="V314" s="1120"/>
      <c r="W314" s="1120"/>
      <c r="X314" s="1120"/>
      <c r="Y314" s="647"/>
    </row>
    <row r="315" spans="1:25" outlineLevel="1" x14ac:dyDescent="0.3">
      <c r="A315" s="1811">
        <v>43374</v>
      </c>
      <c r="B315" s="1812"/>
      <c r="C315" s="855">
        <f t="shared" ca="1" si="6"/>
        <v>99.808261723978561</v>
      </c>
      <c r="D315" s="856">
        <f t="shared" ca="1" si="7"/>
        <v>545.14156168933403</v>
      </c>
      <c r="E315" s="857">
        <f t="shared" ca="1" si="8"/>
        <v>6.4139999999999997</v>
      </c>
      <c r="F315" s="1120"/>
      <c r="G315" s="1120"/>
      <c r="H315" s="1120"/>
      <c r="I315" s="1120"/>
      <c r="J315" s="1120"/>
      <c r="K315" s="1120"/>
      <c r="L315" s="1120"/>
      <c r="M315" s="1120"/>
      <c r="N315" s="1120"/>
      <c r="O315" s="1120"/>
      <c r="P315" s="1120"/>
      <c r="Q315" s="1120"/>
      <c r="R315" s="1120"/>
      <c r="S315" s="1120"/>
      <c r="T315" s="1120"/>
      <c r="U315" s="1120"/>
      <c r="V315" s="1120"/>
      <c r="W315" s="1120"/>
      <c r="X315" s="1120"/>
      <c r="Y315" s="647"/>
    </row>
    <row r="316" spans="1:25" outlineLevel="1" x14ac:dyDescent="0.3">
      <c r="A316" s="1811">
        <v>43405</v>
      </c>
      <c r="B316" s="1812"/>
      <c r="C316" s="855">
        <f t="shared" ca="1" si="6"/>
        <v>103.62204058208933</v>
      </c>
      <c r="D316" s="856">
        <f t="shared" ca="1" si="7"/>
        <v>584.09010167112854</v>
      </c>
      <c r="E316" s="857">
        <f t="shared" ca="1" si="8"/>
        <v>6.306</v>
      </c>
      <c r="F316" s="1120"/>
      <c r="G316" s="1120"/>
      <c r="H316" s="1120"/>
      <c r="I316" s="1120"/>
      <c r="J316" s="1120"/>
      <c r="K316" s="1120"/>
      <c r="L316" s="1120"/>
      <c r="M316" s="1120"/>
      <c r="N316" s="1120"/>
      <c r="O316" s="1120"/>
      <c r="P316" s="1120"/>
      <c r="Q316" s="1120"/>
      <c r="R316" s="1120"/>
      <c r="S316" s="1120"/>
      <c r="T316" s="1120"/>
      <c r="U316" s="1120"/>
      <c r="V316" s="1120"/>
      <c r="W316" s="1120"/>
      <c r="X316" s="1120"/>
      <c r="Y316" s="647"/>
    </row>
    <row r="317" spans="1:25" outlineLevel="1" x14ac:dyDescent="0.3">
      <c r="A317" s="1944">
        <v>43435</v>
      </c>
      <c r="B317" s="1945"/>
      <c r="C317" s="861">
        <f ca="1">VLOOKUP($A317,INDIRECT("'"&amp;$A$233&amp;"'!"&amp;"$A$5:$N$100"),6,FALSE)</f>
        <v>114.01081373421792</v>
      </c>
      <c r="D317" s="862">
        <f t="shared" ca="1" si="7"/>
        <v>627.91108023765605</v>
      </c>
      <c r="E317" s="863">
        <f t="shared" ca="1" si="8"/>
        <v>6.8</v>
      </c>
      <c r="F317" s="1120"/>
      <c r="G317" s="1120"/>
      <c r="H317" s="1120"/>
      <c r="I317" s="1120"/>
      <c r="J317" s="1120"/>
      <c r="K317" s="1120"/>
      <c r="L317" s="1120"/>
      <c r="M317" s="1120"/>
      <c r="N317" s="1120"/>
      <c r="O317" s="1120"/>
      <c r="P317" s="1120"/>
      <c r="Q317" s="1120"/>
      <c r="R317" s="1120"/>
      <c r="S317" s="1120"/>
      <c r="T317" s="1120"/>
      <c r="U317" s="1120"/>
      <c r="V317" s="1120"/>
      <c r="W317" s="1120"/>
      <c r="X317" s="1120"/>
      <c r="Y317" s="647"/>
    </row>
    <row r="318" spans="1:25" outlineLevel="1" x14ac:dyDescent="0.3">
      <c r="A318" s="1811">
        <v>43466</v>
      </c>
      <c r="B318" s="1812"/>
      <c r="C318" s="1549">
        <f t="shared" ref="C318:C323" ca="1" si="9">VLOOKUP($A318,INDIRECT("'"&amp;$A$233&amp;"'!"&amp;"$A$5:$N$100"),6,FALSE)</f>
        <v>114.90395361763929</v>
      </c>
      <c r="D318" s="856">
        <f t="shared" ca="1" si="7"/>
        <v>604.05865639280523</v>
      </c>
      <c r="E318" s="857">
        <f t="shared" ca="1" si="8"/>
        <v>6.8</v>
      </c>
      <c r="F318" s="1583"/>
      <c r="G318" s="1583"/>
      <c r="H318" s="1583"/>
      <c r="I318" s="1583"/>
      <c r="J318" s="1583"/>
      <c r="K318" s="1583"/>
      <c r="L318" s="1583"/>
      <c r="M318" s="1583"/>
      <c r="N318" s="1583"/>
      <c r="O318" s="1583"/>
      <c r="P318" s="1583"/>
      <c r="Q318" s="1583"/>
      <c r="R318" s="1583"/>
      <c r="S318" s="1583"/>
      <c r="T318" s="1583"/>
      <c r="U318" s="1583"/>
      <c r="V318" s="1583"/>
      <c r="W318" s="1583"/>
      <c r="X318" s="1583"/>
      <c r="Y318" s="1493"/>
    </row>
    <row r="319" spans="1:25" outlineLevel="1" x14ac:dyDescent="0.3">
      <c r="A319" s="1811">
        <v>43497</v>
      </c>
      <c r="B319" s="1812"/>
      <c r="C319" s="1549">
        <f t="shared" ca="1" si="9"/>
        <v>116.41903663158469</v>
      </c>
      <c r="D319" s="856">
        <f t="shared" ca="1" si="7"/>
        <v>631.39549774534771</v>
      </c>
      <c r="E319" s="857">
        <f t="shared" ca="1" si="8"/>
        <v>6.8</v>
      </c>
      <c r="F319" s="1583"/>
      <c r="G319" s="1583"/>
      <c r="H319" s="1583"/>
      <c r="I319" s="1583"/>
      <c r="J319" s="1583"/>
      <c r="K319" s="1583"/>
      <c r="L319" s="1583"/>
      <c r="M319" s="1583"/>
      <c r="N319" s="1583"/>
      <c r="O319" s="1583"/>
      <c r="P319" s="1583"/>
      <c r="Q319" s="1583"/>
      <c r="R319" s="1583"/>
      <c r="S319" s="1583"/>
      <c r="T319" s="1583"/>
      <c r="U319" s="1583"/>
      <c r="V319" s="1583"/>
      <c r="W319" s="1583"/>
      <c r="X319" s="1583"/>
      <c r="Y319" s="1493"/>
    </row>
    <row r="320" spans="1:25" outlineLevel="1" x14ac:dyDescent="0.3">
      <c r="A320" s="1811">
        <v>43525</v>
      </c>
      <c r="B320" s="1812"/>
      <c r="C320" s="1549">
        <f t="shared" ca="1" si="9"/>
        <v>105.12998929161778</v>
      </c>
      <c r="D320" s="856">
        <f t="shared" ca="1" si="7"/>
        <v>578.27899102446463</v>
      </c>
      <c r="E320" s="857">
        <f t="shared" ca="1" si="8"/>
        <v>5.9139999999999997</v>
      </c>
      <c r="F320" s="1583"/>
      <c r="G320" s="1583"/>
      <c r="H320" s="1583"/>
      <c r="I320" s="1583"/>
      <c r="J320" s="1583"/>
      <c r="K320" s="1583"/>
      <c r="L320" s="1583"/>
      <c r="M320" s="1583"/>
      <c r="N320" s="1583"/>
      <c r="O320" s="1583"/>
      <c r="P320" s="1583"/>
      <c r="Q320" s="1583"/>
      <c r="R320" s="1583"/>
      <c r="S320" s="1583"/>
      <c r="T320" s="1583"/>
      <c r="U320" s="1583"/>
      <c r="V320" s="1583"/>
      <c r="W320" s="1583"/>
      <c r="X320" s="1583"/>
      <c r="Y320" s="1493"/>
    </row>
    <row r="321" spans="1:25" outlineLevel="1" x14ac:dyDescent="0.3">
      <c r="A321" s="1811">
        <v>43556</v>
      </c>
      <c r="B321" s="1812"/>
      <c r="C321" s="1549">
        <f t="shared" ca="1" si="9"/>
        <v>96.677407493638754</v>
      </c>
      <c r="D321" s="856">
        <f t="shared" ca="1" si="7"/>
        <v>511.80512836511508</v>
      </c>
      <c r="E321" s="857">
        <f t="shared" ca="1" si="8"/>
        <v>6.0670000000000002</v>
      </c>
      <c r="F321" s="1120"/>
      <c r="G321" s="1120"/>
      <c r="H321" s="1120"/>
      <c r="I321" s="1120"/>
      <c r="J321" s="1120"/>
      <c r="K321" s="1120"/>
      <c r="L321" s="1120"/>
      <c r="M321" s="1120"/>
      <c r="N321" s="1120"/>
      <c r="O321" s="1120"/>
      <c r="P321" s="1120"/>
      <c r="Q321" s="1120"/>
      <c r="R321" s="1120"/>
      <c r="S321" s="1120"/>
      <c r="T321" s="1120"/>
      <c r="U321" s="1120"/>
      <c r="V321" s="1120"/>
      <c r="W321" s="1120"/>
      <c r="X321" s="1120"/>
      <c r="Y321" s="647"/>
    </row>
    <row r="322" spans="1:25" outlineLevel="1" x14ac:dyDescent="0.3">
      <c r="A322" s="1811">
        <v>43586</v>
      </c>
      <c r="B322" s="1812"/>
      <c r="C322" s="1549">
        <f t="shared" ca="1" si="9"/>
        <v>96.761693219855815</v>
      </c>
      <c r="D322" s="856">
        <f t="shared" ca="1" si="7"/>
        <v>493.13403457407418</v>
      </c>
      <c r="E322" s="857">
        <f t="shared" ca="1" si="8"/>
        <v>6.39</v>
      </c>
      <c r="F322" s="612"/>
      <c r="G322" s="612"/>
      <c r="H322" s="612"/>
      <c r="I322" s="612"/>
      <c r="J322" s="612"/>
      <c r="K322" s="612"/>
      <c r="L322" s="612"/>
      <c r="M322" s="612"/>
      <c r="N322" s="612"/>
      <c r="O322" s="612"/>
      <c r="P322" s="612"/>
      <c r="Q322" s="612"/>
      <c r="R322" s="612"/>
      <c r="S322" s="612"/>
      <c r="T322" s="612"/>
      <c r="U322" s="612"/>
      <c r="V322" s="612"/>
      <c r="W322" s="612"/>
      <c r="X322" s="612"/>
      <c r="Y322" s="647"/>
    </row>
    <row r="323" spans="1:25" outlineLevel="1" x14ac:dyDescent="0.3">
      <c r="A323" s="1811">
        <v>43617</v>
      </c>
      <c r="B323" s="1812"/>
      <c r="C323" s="1549">
        <f t="shared" ca="1" si="9"/>
        <v>93.940632384574229</v>
      </c>
      <c r="D323" s="856">
        <f t="shared" ca="1" si="7"/>
        <v>479.27857953782711</v>
      </c>
      <c r="E323" s="857">
        <f t="shared" ca="1" si="8"/>
        <v>6.391</v>
      </c>
      <c r="F323" s="1609"/>
      <c r="G323" s="1609"/>
      <c r="H323" s="1609"/>
      <c r="I323" s="1609"/>
      <c r="J323" s="1609"/>
      <c r="K323" s="1609"/>
      <c r="L323" s="1609"/>
      <c r="M323" s="1609"/>
      <c r="N323" s="1609"/>
      <c r="O323" s="1609"/>
      <c r="P323" s="1609"/>
      <c r="Q323" s="1609"/>
      <c r="R323" s="1609"/>
      <c r="S323" s="1609"/>
      <c r="T323" s="1609"/>
      <c r="U323" s="1609"/>
      <c r="V323" s="1609"/>
      <c r="W323" s="1609"/>
      <c r="X323" s="1609"/>
      <c r="Y323" s="1493"/>
    </row>
    <row r="324" spans="1:25" outlineLevel="1" x14ac:dyDescent="0.3">
      <c r="A324" s="1608"/>
      <c r="B324" s="1609"/>
      <c r="C324" s="1609"/>
      <c r="D324" s="1609"/>
      <c r="E324" s="1609"/>
      <c r="F324" s="1609"/>
      <c r="G324" s="1609"/>
      <c r="H324" s="1609"/>
      <c r="I324" s="1609"/>
      <c r="J324" s="1609"/>
      <c r="K324" s="1609"/>
      <c r="L324" s="1609"/>
      <c r="M324" s="1609"/>
      <c r="N324" s="1609"/>
      <c r="O324" s="1609"/>
      <c r="P324" s="1609"/>
      <c r="Q324" s="1609"/>
      <c r="R324" s="1609"/>
      <c r="S324" s="1609"/>
      <c r="T324" s="1609"/>
      <c r="U324" s="1609"/>
      <c r="V324" s="1609"/>
      <c r="W324" s="1609"/>
      <c r="X324" s="1609"/>
      <c r="Y324" s="1493"/>
    </row>
    <row r="325" spans="1:25" outlineLevel="1" x14ac:dyDescent="0.3">
      <c r="A325" s="1608"/>
      <c r="B325" s="1609"/>
      <c r="C325" s="1609"/>
      <c r="D325" s="1609"/>
      <c r="E325" s="1609"/>
      <c r="F325" s="1609"/>
      <c r="G325" s="1609"/>
      <c r="H325" s="1609"/>
      <c r="I325" s="1609"/>
      <c r="J325" s="1609"/>
      <c r="K325" s="1609"/>
      <c r="L325" s="1609"/>
      <c r="M325" s="1609"/>
      <c r="N325" s="1609"/>
      <c r="O325" s="1609"/>
      <c r="P325" s="1609"/>
      <c r="Q325" s="1609"/>
      <c r="R325" s="1609"/>
      <c r="S325" s="1609"/>
      <c r="T325" s="1609"/>
      <c r="U325" s="1609"/>
      <c r="V325" s="1609"/>
      <c r="W325" s="1609"/>
      <c r="X325" s="1609"/>
      <c r="Y325" s="1493"/>
    </row>
    <row r="326" spans="1:25" ht="14.5" outlineLevel="1" thickBot="1" x14ac:dyDescent="0.35">
      <c r="A326" s="1948"/>
      <c r="B326" s="1818"/>
      <c r="C326" s="703"/>
      <c r="D326" s="703"/>
      <c r="E326" s="703"/>
      <c r="F326" s="703"/>
      <c r="G326" s="703"/>
      <c r="H326" s="703"/>
      <c r="I326" s="703"/>
      <c r="J326" s="703"/>
      <c r="K326" s="703"/>
      <c r="L326" s="703"/>
      <c r="M326" s="703"/>
      <c r="N326" s="703"/>
      <c r="O326" s="703"/>
      <c r="P326" s="703"/>
      <c r="Q326" s="703"/>
      <c r="R326" s="703"/>
      <c r="S326" s="703"/>
      <c r="T326" s="703"/>
      <c r="U326" s="703"/>
      <c r="V326" s="703"/>
      <c r="W326" s="703"/>
      <c r="X326" s="703"/>
      <c r="Y326" s="704"/>
    </row>
    <row r="327" spans="1:25" ht="16.5" customHeight="1" x14ac:dyDescent="0.3">
      <c r="A327" s="1826" t="s">
        <v>467</v>
      </c>
      <c r="B327" s="1826"/>
      <c r="C327" s="1826"/>
      <c r="D327" s="1826"/>
      <c r="E327" s="1826"/>
      <c r="F327" s="1826"/>
      <c r="G327" s="1826"/>
      <c r="H327" s="1826"/>
      <c r="I327" s="1826"/>
      <c r="J327" s="1826"/>
      <c r="K327" s="1826"/>
      <c r="L327" s="1826"/>
      <c r="M327" s="1826"/>
      <c r="N327" s="1826"/>
      <c r="O327" s="1826"/>
      <c r="P327" s="1826"/>
      <c r="Q327" s="1826"/>
      <c r="R327" s="1826"/>
      <c r="S327" s="1826"/>
      <c r="T327" s="1826"/>
      <c r="U327" s="1826"/>
      <c r="V327" s="1826"/>
      <c r="W327" s="1826"/>
      <c r="X327" s="1826"/>
      <c r="Y327" s="1826"/>
    </row>
    <row r="328" spans="1:25" ht="16.5" customHeight="1" x14ac:dyDescent="0.3">
      <c r="A328" s="1827"/>
      <c r="B328" s="1827"/>
      <c r="C328" s="1827"/>
      <c r="D328" s="1827"/>
      <c r="E328" s="1827"/>
      <c r="F328" s="1827"/>
      <c r="G328" s="1827"/>
      <c r="H328" s="1827"/>
      <c r="I328" s="1827"/>
      <c r="J328" s="1827"/>
      <c r="K328" s="1827"/>
      <c r="L328" s="1827"/>
      <c r="M328" s="1827"/>
      <c r="N328" s="1827"/>
      <c r="O328" s="1827"/>
      <c r="P328" s="1827"/>
      <c r="Q328" s="1827"/>
      <c r="R328" s="1827"/>
      <c r="S328" s="1827"/>
      <c r="T328" s="1827"/>
      <c r="U328" s="1827"/>
      <c r="V328" s="1827"/>
      <c r="W328" s="1827"/>
      <c r="X328" s="1827"/>
      <c r="Y328" s="1827"/>
    </row>
  </sheetData>
  <mergeCells count="219">
    <mergeCell ref="A41:B41"/>
    <mergeCell ref="A44:B44"/>
    <mergeCell ref="A59:B59"/>
    <mergeCell ref="A60:B60"/>
    <mergeCell ref="A61:B61"/>
    <mergeCell ref="A62:B62"/>
    <mergeCell ref="A63:B63"/>
    <mergeCell ref="A64:B64"/>
    <mergeCell ref="A65:B65"/>
    <mergeCell ref="A50:B50"/>
    <mergeCell ref="A51:B51"/>
    <mergeCell ref="A52:B52"/>
    <mergeCell ref="A53:B53"/>
    <mergeCell ref="A54:B54"/>
    <mergeCell ref="A46:B46"/>
    <mergeCell ref="A47:B47"/>
    <mergeCell ref="A48:B48"/>
    <mergeCell ref="A49:B49"/>
    <mergeCell ref="A55:B55"/>
    <mergeCell ref="A56:B56"/>
    <mergeCell ref="A57:B57"/>
    <mergeCell ref="A58:B58"/>
    <mergeCell ref="A42:Y43"/>
    <mergeCell ref="A295:B295"/>
    <mergeCell ref="A296:B296"/>
    <mergeCell ref="A297:B297"/>
    <mergeCell ref="A298:B298"/>
    <mergeCell ref="A299:B299"/>
    <mergeCell ref="A290:B290"/>
    <mergeCell ref="A68:B68"/>
    <mergeCell ref="A69:B69"/>
    <mergeCell ref="A70:B70"/>
    <mergeCell ref="A71:B71"/>
    <mergeCell ref="A72:B72"/>
    <mergeCell ref="A73:B73"/>
    <mergeCell ref="A74:B74"/>
    <mergeCell ref="A75:B75"/>
    <mergeCell ref="A291:B291"/>
    <mergeCell ref="A292:B292"/>
    <mergeCell ref="A78:B78"/>
    <mergeCell ref="A293:B293"/>
    <mergeCell ref="A294:B294"/>
    <mergeCell ref="A285:B285"/>
    <mergeCell ref="A286:B286"/>
    <mergeCell ref="A287:B287"/>
    <mergeCell ref="A288:B288"/>
    <mergeCell ref="A289:B289"/>
    <mergeCell ref="A310:B310"/>
    <mergeCell ref="A322:B322"/>
    <mergeCell ref="A326:B326"/>
    <mergeCell ref="A305:B305"/>
    <mergeCell ref="A306:B306"/>
    <mergeCell ref="A307:B307"/>
    <mergeCell ref="A308:B308"/>
    <mergeCell ref="A309:B309"/>
    <mergeCell ref="A300:B300"/>
    <mergeCell ref="A301:B301"/>
    <mergeCell ref="A302:B302"/>
    <mergeCell ref="A303:B303"/>
    <mergeCell ref="A304:B304"/>
    <mergeCell ref="A311:B311"/>
    <mergeCell ref="A312:B312"/>
    <mergeCell ref="A313:B313"/>
    <mergeCell ref="A314:B314"/>
    <mergeCell ref="A315:B315"/>
    <mergeCell ref="A316:B316"/>
    <mergeCell ref="A317:B317"/>
    <mergeCell ref="A321:B321"/>
    <mergeCell ref="A318:B318"/>
    <mergeCell ref="A319:B319"/>
    <mergeCell ref="A320:B320"/>
    <mergeCell ref="A280:B280"/>
    <mergeCell ref="A281:B281"/>
    <mergeCell ref="A282:B282"/>
    <mergeCell ref="A283:B283"/>
    <mergeCell ref="A284:B284"/>
    <mergeCell ref="A275:B275"/>
    <mergeCell ref="A276:B276"/>
    <mergeCell ref="A277:B277"/>
    <mergeCell ref="A278:B278"/>
    <mergeCell ref="A279:B279"/>
    <mergeCell ref="A270:B270"/>
    <mergeCell ref="A271:B271"/>
    <mergeCell ref="A272:B272"/>
    <mergeCell ref="A273:B273"/>
    <mergeCell ref="A274:B274"/>
    <mergeCell ref="A265:B265"/>
    <mergeCell ref="A266:B266"/>
    <mergeCell ref="A267:B267"/>
    <mergeCell ref="A268:B268"/>
    <mergeCell ref="A269:B269"/>
    <mergeCell ref="A255:B255"/>
    <mergeCell ref="A250:B250"/>
    <mergeCell ref="A251:B251"/>
    <mergeCell ref="A252:B252"/>
    <mergeCell ref="A253:B253"/>
    <mergeCell ref="A254:B254"/>
    <mergeCell ref="A247:B247"/>
    <mergeCell ref="A248:B248"/>
    <mergeCell ref="A249:B249"/>
    <mergeCell ref="A260:B260"/>
    <mergeCell ref="A261:B261"/>
    <mergeCell ref="A262:B262"/>
    <mergeCell ref="A263:B263"/>
    <mergeCell ref="A264:B264"/>
    <mergeCell ref="A256:B256"/>
    <mergeCell ref="A257:B257"/>
    <mergeCell ref="A258:B258"/>
    <mergeCell ref="A259:B259"/>
    <mergeCell ref="B194:B195"/>
    <mergeCell ref="A230:B230"/>
    <mergeCell ref="D194:O195"/>
    <mergeCell ref="D156:O157"/>
    <mergeCell ref="A245:B245"/>
    <mergeCell ref="A246:B246"/>
    <mergeCell ref="A237:B237"/>
    <mergeCell ref="A238:B238"/>
    <mergeCell ref="A239:B239"/>
    <mergeCell ref="A240:B240"/>
    <mergeCell ref="A241:B241"/>
    <mergeCell ref="A242:B242"/>
    <mergeCell ref="A243:B243"/>
    <mergeCell ref="A244:B244"/>
    <mergeCell ref="A232:E232"/>
    <mergeCell ref="C9:E9"/>
    <mergeCell ref="C10:E10"/>
    <mergeCell ref="A1:Q2"/>
    <mergeCell ref="A3:Q6"/>
    <mergeCell ref="K8:N8"/>
    <mergeCell ref="K13:N14"/>
    <mergeCell ref="K10:N11"/>
    <mergeCell ref="C11:E11"/>
    <mergeCell ref="C12:E12"/>
    <mergeCell ref="C13:E13"/>
    <mergeCell ref="A9:B9"/>
    <mergeCell ref="A13:B13"/>
    <mergeCell ref="A14:B14"/>
    <mergeCell ref="A10:B10"/>
    <mergeCell ref="A11:B11"/>
    <mergeCell ref="A12:B12"/>
    <mergeCell ref="P13:S14"/>
    <mergeCell ref="G10:H10"/>
    <mergeCell ref="G11:H11"/>
    <mergeCell ref="G12:H12"/>
    <mergeCell ref="G13:H13"/>
    <mergeCell ref="G9:H9"/>
    <mergeCell ref="A8:H8"/>
    <mergeCell ref="A15:B15"/>
    <mergeCell ref="E17:F17"/>
    <mergeCell ref="A17:D17"/>
    <mergeCell ref="A21:B21"/>
    <mergeCell ref="A22:B22"/>
    <mergeCell ref="A19:F19"/>
    <mergeCell ref="A80:N80"/>
    <mergeCell ref="A23:B23"/>
    <mergeCell ref="A24:B24"/>
    <mergeCell ref="A25:B25"/>
    <mergeCell ref="A26:B26"/>
    <mergeCell ref="A27:B27"/>
    <mergeCell ref="A28:B28"/>
    <mergeCell ref="A32:B32"/>
    <mergeCell ref="A18:B18"/>
    <mergeCell ref="A35:B35"/>
    <mergeCell ref="A36:B36"/>
    <mergeCell ref="A29:B29"/>
    <mergeCell ref="A30:B30"/>
    <mergeCell ref="A31:B31"/>
    <mergeCell ref="A33:B33"/>
    <mergeCell ref="A40:B40"/>
    <mergeCell ref="A34:B34"/>
    <mergeCell ref="A76:Y77"/>
    <mergeCell ref="A327:Y328"/>
    <mergeCell ref="R1:Y6"/>
    <mergeCell ref="A118:Y119"/>
    <mergeCell ref="A149:Y150"/>
    <mergeCell ref="T193:W193"/>
    <mergeCell ref="T194:W194"/>
    <mergeCell ref="A153:Y154"/>
    <mergeCell ref="A190:Y191"/>
    <mergeCell ref="Q193:S193"/>
    <mergeCell ref="Q194:S194"/>
    <mergeCell ref="A38:Y39"/>
    <mergeCell ref="A114:Y115"/>
    <mergeCell ref="A186:Y187"/>
    <mergeCell ref="A85:B85"/>
    <mergeCell ref="A86:B86"/>
    <mergeCell ref="A87:B87"/>
    <mergeCell ref="A88:B88"/>
    <mergeCell ref="A89:B89"/>
    <mergeCell ref="A7:B7"/>
    <mergeCell ref="A37:B37"/>
    <mergeCell ref="A79:B79"/>
    <mergeCell ref="A156:A157"/>
    <mergeCell ref="B156:B157"/>
    <mergeCell ref="A323:B323"/>
    <mergeCell ref="A66:B66"/>
    <mergeCell ref="A67:B67"/>
    <mergeCell ref="A83:B83"/>
    <mergeCell ref="A84:B84"/>
    <mergeCell ref="A235:B235"/>
    <mergeCell ref="A236:B236"/>
    <mergeCell ref="A188:B188"/>
    <mergeCell ref="A151:B151"/>
    <mergeCell ref="A120:B120"/>
    <mergeCell ref="A122:B122"/>
    <mergeCell ref="A116:B116"/>
    <mergeCell ref="A189:B189"/>
    <mergeCell ref="A192:B192"/>
    <mergeCell ref="A231:B231"/>
    <mergeCell ref="A234:B234"/>
    <mergeCell ref="A152:B152"/>
    <mergeCell ref="A155:B155"/>
    <mergeCell ref="A90:B90"/>
    <mergeCell ref="A91:B91"/>
    <mergeCell ref="A92:B92"/>
    <mergeCell ref="A93:B93"/>
    <mergeCell ref="A117:B117"/>
    <mergeCell ref="A228:Y229"/>
    <mergeCell ref="A194:A195"/>
  </mergeCells>
  <conditionalFormatting sqref="A17:G17">
    <cfRule type="expression" dxfId="24" priority="4">
      <formula>$A$17=""</formula>
    </cfRule>
  </conditionalFormatting>
  <conditionalFormatting sqref="D156:O157">
    <cfRule type="expression" dxfId="23" priority="2">
      <formula>IF(OR($A$156="RRO Rate (¢/kWh)", $A$156="Administration Charge ($)"), FALSE,TRUE)</formula>
    </cfRule>
  </conditionalFormatting>
  <conditionalFormatting sqref="D194:O195">
    <cfRule type="expression" dxfId="22" priority="1">
      <formula>IF(AND(OR($A$194="RRO Rate", LEFT($A$194, 14)="RRO Provider ("), OR($A$193="FORTIS", $A$193="ATCO")), FALSE, TRUE)</formula>
    </cfRule>
  </conditionalFormatting>
  <dataValidations count="2">
    <dataValidation type="list" allowBlank="1" showInputMessage="1" showErrorMessage="1" sqref="A81 A45 A193 A121 A233">
      <formula1>$W$9:$W$12</formula1>
    </dataValidation>
    <dataValidation type="list" allowBlank="1" showInputMessage="1" showErrorMessage="1" sqref="A20 A82 T193:W194">
      <formula1>$V$9:$V$16</formula1>
    </dataValidation>
  </dataValidations>
  <hyperlinks>
    <hyperlink ref="A10" location="ENMAX!A1" display="ENMAX"/>
    <hyperlink ref="A11" location="EPCOR!A1" display="EPCOR"/>
    <hyperlink ref="A12" location="FORTIS!A1" display="FORTIS"/>
    <hyperlink ref="A13" location="ATCO!A1" display="ATCO"/>
    <hyperlink ref="K8" location="'Regional Menu'!A1" display="Return to Regional Menu"/>
    <hyperlink ref="E17:F17" location="'Regulated Bill Menu'!H14" display="Go to Regulated Bill Menu"/>
    <hyperlink ref="K10" location="'Elec. Analysis'!A1" display="Go to Electricity Analysis"/>
    <hyperlink ref="K10:L10" location="'NG Analysis'!A1" display="Go to Natural Gas Analysis"/>
    <hyperlink ref="K13:L14" location="'Data Appendix'!A262" display="'Data Appendix'!A262"/>
    <hyperlink ref="K13:N14" location="'Misc. Data &amp; Mechanisms'!A1" display="Go to Mechanisms"/>
    <hyperlink ref="K8:N8" location="'Service Zone Menu'!A1" display="Return to Service Zonel Menu (to Reselect Parameters)"/>
  </hyperlinks>
  <pageMargins left="0.7" right="0.7" top="0.75" bottom="0.75" header="0.3" footer="0.3"/>
  <pageSetup orientation="portrait"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14:formula1>
            <xm:f>'Misc. Data &amp; Mechanisms'!$K$677:$K$736</xm:f>
          </x14:formula1>
          <xm:sqref>A194</xm:sqref>
        </x14:dataValidation>
        <x14:dataValidation type="list" allowBlank="1" showInputMessage="1" showErrorMessage="1">
          <x14:formula1>
            <xm:f>'Misc. Data &amp; Mechanisms'!$A$689:$A$703</xm:f>
          </x14:formula1>
          <xm:sqref>A156</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C00000"/>
  </sheetPr>
  <dimension ref="A1:AU168"/>
  <sheetViews>
    <sheetView zoomScale="80" zoomScaleNormal="80" workbookViewId="0">
      <selection sqref="A1:D1"/>
    </sheetView>
  </sheetViews>
  <sheetFormatPr defaultColWidth="9.1796875" defaultRowHeight="14.5" x14ac:dyDescent="0.35"/>
  <cols>
    <col min="1" max="1" width="11.453125" style="10" customWidth="1"/>
    <col min="2" max="2" width="10.1796875" style="1" bestFit="1" customWidth="1"/>
    <col min="3" max="3" width="14.81640625" style="1" bestFit="1" customWidth="1"/>
    <col min="4" max="4" width="15.54296875" style="11" bestFit="1" customWidth="1"/>
    <col min="5" max="5" width="15" style="11" bestFit="1" customWidth="1"/>
    <col min="6" max="6" width="17.1796875" style="7" bestFit="1" customWidth="1"/>
    <col min="7" max="7" width="14.26953125" style="7" bestFit="1" customWidth="1"/>
    <col min="8" max="8" width="15.26953125" style="7" bestFit="1" customWidth="1"/>
    <col min="9" max="9" width="14.54296875" style="7" customWidth="1"/>
    <col min="10" max="10" width="16.7265625" style="7" bestFit="1" customWidth="1"/>
    <col min="11" max="11" width="11.453125" style="7" bestFit="1" customWidth="1"/>
    <col min="12" max="12" width="16.26953125" style="7" bestFit="1" customWidth="1"/>
    <col min="13" max="13" width="8.81640625" style="7" customWidth="1"/>
    <col min="14" max="14" width="12" style="12" bestFit="1" customWidth="1"/>
    <col min="15" max="15" width="17.26953125" style="7" customWidth="1"/>
    <col min="16" max="16" width="15.26953125" style="12" bestFit="1" customWidth="1"/>
    <col min="17" max="17" width="15.26953125" style="7" bestFit="1" customWidth="1"/>
    <col min="18" max="18" width="16.453125" style="12" bestFit="1" customWidth="1"/>
    <col min="19" max="19" width="15.81640625" style="12" bestFit="1" customWidth="1"/>
    <col min="20" max="21" width="12.81640625" style="7" bestFit="1" customWidth="1"/>
    <col min="22" max="22" width="15.54296875" style="12" bestFit="1" customWidth="1"/>
    <col min="23" max="24" width="12.81640625" style="7" bestFit="1" customWidth="1"/>
    <col min="25" max="25" width="17" style="12" bestFit="1" customWidth="1"/>
    <col min="26" max="26" width="18.453125" style="12" bestFit="1" customWidth="1"/>
    <col min="27" max="27" width="18.1796875" style="6" bestFit="1" customWidth="1"/>
    <col min="28" max="28" width="16.26953125" style="13" customWidth="1"/>
    <col min="29" max="29" width="16.453125" style="7" bestFit="1" customWidth="1"/>
    <col min="30" max="30" width="17" style="7" bestFit="1" customWidth="1"/>
    <col min="31" max="31" width="17.26953125" style="7" bestFit="1" customWidth="1"/>
    <col min="32" max="32" width="14.7265625" style="7" customWidth="1"/>
    <col min="33" max="33" width="16.26953125" style="12" bestFit="1" customWidth="1"/>
    <col min="34" max="34" width="16.26953125" style="7" bestFit="1" customWidth="1"/>
    <col min="35" max="35" width="8" style="8" bestFit="1" customWidth="1"/>
    <col min="36" max="37" width="15.26953125" style="14" bestFit="1" customWidth="1"/>
    <col min="38" max="40" width="15.26953125" style="15" bestFit="1" customWidth="1"/>
    <col min="41" max="41" width="15.26953125" style="5" bestFit="1" customWidth="1"/>
    <col min="42" max="42" width="14.81640625" style="1" bestFit="1" customWidth="1"/>
    <col min="43" max="43" width="19.7265625" style="1" customWidth="1"/>
    <col min="44" max="44" width="20.453125" style="1" customWidth="1"/>
    <col min="45" max="16384" width="9.1796875" style="1"/>
  </cols>
  <sheetData>
    <row r="1" spans="1:47" ht="16.5" customHeight="1" x14ac:dyDescent="0.25">
      <c r="A1" s="1953" t="s">
        <v>0</v>
      </c>
      <c r="B1" s="1954"/>
      <c r="C1" s="1954"/>
      <c r="D1" s="1954"/>
      <c r="E1" s="139"/>
      <c r="F1" s="1955" t="s">
        <v>458</v>
      </c>
      <c r="G1" s="1956"/>
      <c r="H1" s="1956"/>
      <c r="I1" s="1965" t="str">
        <f>'Service Zone Menu'!$F$3</f>
        <v>Detached Home Consumption</v>
      </c>
      <c r="J1" s="1965"/>
      <c r="K1" s="1966"/>
      <c r="L1" s="140"/>
      <c r="M1" s="141"/>
      <c r="N1" s="1957" t="s">
        <v>479</v>
      </c>
      <c r="O1" s="1957"/>
      <c r="P1" s="142"/>
      <c r="Q1" s="143"/>
      <c r="R1" s="142"/>
      <c r="S1" s="142"/>
      <c r="T1" s="143"/>
      <c r="U1" s="143"/>
      <c r="V1" s="144"/>
      <c r="W1" s="143"/>
      <c r="X1" s="143"/>
      <c r="Y1" s="144"/>
      <c r="Z1" s="144"/>
      <c r="AA1" s="145"/>
      <c r="AB1" s="145"/>
      <c r="AC1" s="143"/>
      <c r="AD1" s="143"/>
      <c r="AE1" s="143"/>
      <c r="AF1" s="143"/>
      <c r="AG1" s="144"/>
      <c r="AH1" s="143"/>
      <c r="AI1" s="146"/>
      <c r="AJ1" s="144"/>
      <c r="AK1" s="144"/>
      <c r="AL1" s="147"/>
      <c r="AM1" s="147"/>
      <c r="AN1" s="147"/>
      <c r="AO1" s="148"/>
      <c r="AP1" s="148"/>
      <c r="AQ1" s="148"/>
      <c r="AR1" s="149"/>
    </row>
    <row r="2" spans="1:47" ht="38.25" customHeight="1" thickBot="1" x14ac:dyDescent="0.3">
      <c r="A2" s="1958" t="str">
        <f>"ENMAX Service Zone ("&amp; 'Service Zone Menu'!$K$3 &amp;")"</f>
        <v>ENMAX Service Zone (Calgary)</v>
      </c>
      <c r="B2" s="1959"/>
      <c r="C2" s="1959"/>
      <c r="D2" s="1959"/>
      <c r="E2" s="1138"/>
      <c r="F2" s="1961" t="s">
        <v>557</v>
      </c>
      <c r="G2" s="1962"/>
      <c r="H2" s="1962"/>
      <c r="I2" s="1963" t="str">
        <f>'Service Zone Menu'!$O$3</f>
        <v>RRO (Capped)</v>
      </c>
      <c r="J2" s="1963"/>
      <c r="K2" s="1964"/>
      <c r="L2" s="1139"/>
      <c r="M2" s="1139"/>
      <c r="N2" s="1957" t="s">
        <v>365</v>
      </c>
      <c r="O2" s="1957"/>
      <c r="P2" s="1140"/>
      <c r="Q2" s="1139"/>
      <c r="R2" s="1140"/>
      <c r="S2" s="1140"/>
      <c r="T2" s="1139"/>
      <c r="U2" s="1139"/>
      <c r="V2" s="1141"/>
      <c r="W2" s="1139"/>
      <c r="X2" s="1139"/>
      <c r="Y2" s="1141"/>
      <c r="Z2" s="1141"/>
      <c r="AA2" s="1142"/>
      <c r="AB2" s="1142"/>
      <c r="AC2" s="1139"/>
      <c r="AD2" s="1139"/>
      <c r="AE2" s="1139"/>
      <c r="AF2" s="1139"/>
      <c r="AG2" s="1141"/>
      <c r="AH2" s="1139"/>
      <c r="AI2" s="1143"/>
      <c r="AJ2" s="1141"/>
      <c r="AK2" s="1141"/>
      <c r="AL2" s="1144"/>
      <c r="AM2" s="1144"/>
      <c r="AN2" s="1144"/>
      <c r="AO2" s="1145"/>
      <c r="AP2" s="1145"/>
      <c r="AQ2" s="1145"/>
      <c r="AR2" s="1146"/>
    </row>
    <row r="3" spans="1:47" ht="12.75" customHeight="1" x14ac:dyDescent="0.25">
      <c r="A3" s="1107"/>
      <c r="B3" s="1107"/>
      <c r="C3" s="1107"/>
      <c r="D3" s="1107"/>
      <c r="E3" s="1107"/>
      <c r="F3" s="1147"/>
      <c r="G3" s="1147"/>
      <c r="H3" s="1147"/>
      <c r="I3" s="1148"/>
      <c r="J3" s="1148"/>
      <c r="K3" s="1148"/>
      <c r="L3" s="150"/>
      <c r="M3" s="150"/>
      <c r="N3" s="1108"/>
      <c r="O3" s="1108"/>
      <c r="P3" s="151"/>
      <c r="Q3" s="150"/>
      <c r="R3" s="151"/>
      <c r="S3" s="151"/>
      <c r="T3" s="150"/>
      <c r="U3" s="150"/>
      <c r="V3" s="152"/>
      <c r="W3" s="150"/>
      <c r="X3" s="150"/>
      <c r="Y3" s="152"/>
      <c r="Z3" s="152"/>
      <c r="AA3" s="153"/>
      <c r="AB3" s="153"/>
      <c r="AC3" s="150"/>
      <c r="AD3" s="150"/>
      <c r="AE3" s="150"/>
      <c r="AF3" s="150"/>
      <c r="AG3" s="152"/>
      <c r="AH3" s="150"/>
      <c r="AI3" s="154"/>
      <c r="AJ3" s="152"/>
      <c r="AK3" s="152"/>
      <c r="AL3" s="155"/>
      <c r="AM3" s="155"/>
      <c r="AN3" s="155"/>
      <c r="AO3" s="156"/>
      <c r="AP3" s="156"/>
      <c r="AQ3" s="156"/>
      <c r="AR3" s="157"/>
    </row>
    <row r="4" spans="1:47" ht="24" customHeight="1" x14ac:dyDescent="0.25">
      <c r="A4" s="1967" t="s">
        <v>3</v>
      </c>
      <c r="B4" s="1967"/>
      <c r="C4" s="1967"/>
      <c r="D4" s="1967"/>
      <c r="E4" s="1967"/>
      <c r="F4" s="1968"/>
      <c r="G4" s="1969" t="s">
        <v>4</v>
      </c>
      <c r="H4" s="1951"/>
      <c r="I4" s="1951"/>
      <c r="J4" s="1951"/>
      <c r="K4" s="1951"/>
      <c r="L4" s="1951"/>
      <c r="M4" s="1970"/>
      <c r="N4" s="1960" t="s">
        <v>5</v>
      </c>
      <c r="O4" s="1952"/>
      <c r="P4" s="1951" t="s">
        <v>6</v>
      </c>
      <c r="Q4" s="1952"/>
      <c r="R4" s="1951" t="s">
        <v>7</v>
      </c>
      <c r="S4" s="1951"/>
      <c r="T4" s="1951"/>
      <c r="U4" s="1952"/>
      <c r="V4" s="1976" t="s">
        <v>8</v>
      </c>
      <c r="W4" s="1951"/>
      <c r="X4" s="1952"/>
      <c r="Y4" s="1976" t="s">
        <v>9</v>
      </c>
      <c r="Z4" s="1951"/>
      <c r="AA4" s="1951"/>
      <c r="AB4" s="1951"/>
      <c r="AC4" s="1951"/>
      <c r="AD4" s="1951"/>
      <c r="AE4" s="1951"/>
      <c r="AF4" s="1952"/>
      <c r="AG4" s="1951" t="s">
        <v>10</v>
      </c>
      <c r="AH4" s="1952"/>
      <c r="AI4" s="158" t="s">
        <v>11</v>
      </c>
      <c r="AJ4" s="1976" t="s">
        <v>12</v>
      </c>
      <c r="AK4" s="1951"/>
      <c r="AL4" s="1951"/>
      <c r="AM4" s="1951"/>
      <c r="AN4" s="1951"/>
      <c r="AO4" s="1951"/>
      <c r="AP4" s="1952"/>
      <c r="AQ4" s="1747" t="s">
        <v>558</v>
      </c>
      <c r="AR4" s="1726"/>
      <c r="AS4" s="2"/>
      <c r="AT4" s="2"/>
      <c r="AU4" s="2"/>
    </row>
    <row r="5" spans="1:47" s="4" customFormat="1" ht="58" x14ac:dyDescent="0.35">
      <c r="A5" s="50" t="s">
        <v>13</v>
      </c>
      <c r="B5" s="50" t="s">
        <v>14</v>
      </c>
      <c r="C5" s="50" t="s">
        <v>12</v>
      </c>
      <c r="D5" s="50" t="s">
        <v>541</v>
      </c>
      <c r="E5" s="50" t="s">
        <v>545</v>
      </c>
      <c r="F5" s="51" t="s">
        <v>626</v>
      </c>
      <c r="G5" s="159" t="s">
        <v>15</v>
      </c>
      <c r="H5" s="160" t="s">
        <v>16</v>
      </c>
      <c r="I5" s="160" t="s">
        <v>17</v>
      </c>
      <c r="J5" s="160" t="s">
        <v>18</v>
      </c>
      <c r="K5" s="160" t="s">
        <v>19</v>
      </c>
      <c r="L5" s="160" t="s">
        <v>20</v>
      </c>
      <c r="M5" s="161" t="s">
        <v>21</v>
      </c>
      <c r="N5" s="162" t="str">
        <f>IF($I$2&lt;&gt;"Custom", "RRO Energy Rate", "Custom Energy Rate")</f>
        <v>RRO Energy Rate</v>
      </c>
      <c r="O5" s="1972" t="s">
        <v>23</v>
      </c>
      <c r="P5" s="163" t="s">
        <v>268</v>
      </c>
      <c r="Q5" s="1974" t="s">
        <v>24</v>
      </c>
      <c r="R5" s="164" t="s">
        <v>420</v>
      </c>
      <c r="S5" s="162" t="s">
        <v>421</v>
      </c>
      <c r="T5" s="1974" t="s">
        <v>105</v>
      </c>
      <c r="U5" s="1972" t="s">
        <v>104</v>
      </c>
      <c r="V5" s="162" t="s">
        <v>25</v>
      </c>
      <c r="W5" s="1974" t="s">
        <v>426</v>
      </c>
      <c r="X5" s="1972" t="s">
        <v>427</v>
      </c>
      <c r="Y5" s="163" t="s">
        <v>439</v>
      </c>
      <c r="Z5" s="162" t="s">
        <v>440</v>
      </c>
      <c r="AA5" s="165" t="s">
        <v>26</v>
      </c>
      <c r="AB5" s="165" t="s">
        <v>27</v>
      </c>
      <c r="AC5" s="1974" t="s">
        <v>428</v>
      </c>
      <c r="AD5" s="1974" t="s">
        <v>438</v>
      </c>
      <c r="AE5" s="1974" t="s">
        <v>441</v>
      </c>
      <c r="AF5" s="1971" t="s">
        <v>29</v>
      </c>
      <c r="AG5" s="162" t="str">
        <f>IF($I$2&lt;&gt;"Custom", "RRO Provider (ENMAX) Administration Rate", "Custom Administration Rate")</f>
        <v>RRO Provider (ENMAX) Administration Rate</v>
      </c>
      <c r="AH5" s="1972" t="s">
        <v>274</v>
      </c>
      <c r="AI5" s="165" t="s">
        <v>30</v>
      </c>
      <c r="AJ5" s="164" t="s">
        <v>1</v>
      </c>
      <c r="AK5" s="52" t="s">
        <v>31</v>
      </c>
      <c r="AL5" s="166" t="s">
        <v>337</v>
      </c>
      <c r="AM5" s="166" t="s">
        <v>338</v>
      </c>
      <c r="AN5" s="166" t="s">
        <v>336</v>
      </c>
      <c r="AO5" s="166" t="s">
        <v>605</v>
      </c>
      <c r="AP5" s="756" t="s">
        <v>374</v>
      </c>
      <c r="AQ5" s="1571" t="s">
        <v>559</v>
      </c>
      <c r="AR5" s="1572" t="s">
        <v>560</v>
      </c>
      <c r="AS5" s="3"/>
      <c r="AT5" s="3"/>
      <c r="AU5" s="3"/>
    </row>
    <row r="6" spans="1:47" s="4" customFormat="1" x14ac:dyDescent="0.35">
      <c r="A6" s="168"/>
      <c r="B6" s="56"/>
      <c r="C6" s="57" t="s">
        <v>32</v>
      </c>
      <c r="D6" s="58" t="s">
        <v>33</v>
      </c>
      <c r="E6" s="58" t="s">
        <v>33</v>
      </c>
      <c r="F6" s="59" t="s">
        <v>34</v>
      </c>
      <c r="G6" s="169"/>
      <c r="H6" s="170"/>
      <c r="I6" s="170"/>
      <c r="J6" s="170"/>
      <c r="K6" s="170"/>
      <c r="L6" s="170"/>
      <c r="M6" s="171"/>
      <c r="N6" s="172" t="s">
        <v>33</v>
      </c>
      <c r="O6" s="1973"/>
      <c r="P6" s="173" t="s">
        <v>33</v>
      </c>
      <c r="Q6" s="1975"/>
      <c r="R6" s="173" t="s">
        <v>33</v>
      </c>
      <c r="S6" s="172" t="s">
        <v>35</v>
      </c>
      <c r="T6" s="1975"/>
      <c r="U6" s="1973"/>
      <c r="V6" s="172" t="s">
        <v>36</v>
      </c>
      <c r="W6" s="1975"/>
      <c r="X6" s="1973"/>
      <c r="Y6" s="173" t="s">
        <v>33</v>
      </c>
      <c r="Z6" s="172" t="s">
        <v>33</v>
      </c>
      <c r="AA6" s="165" t="s">
        <v>36</v>
      </c>
      <c r="AB6" s="165" t="s">
        <v>35</v>
      </c>
      <c r="AC6" s="1974"/>
      <c r="AD6" s="1974"/>
      <c r="AE6" s="1975"/>
      <c r="AF6" s="1972"/>
      <c r="AG6" s="172" t="str">
        <f>IF($I$2&lt;&gt;"Custom", "$/day", $AR$6)</f>
        <v>$/day</v>
      </c>
      <c r="AH6" s="1973"/>
      <c r="AI6" s="174" t="s">
        <v>36</v>
      </c>
      <c r="AJ6" s="60" t="s">
        <v>32</v>
      </c>
      <c r="AK6" s="57" t="s">
        <v>32</v>
      </c>
      <c r="AL6" s="57" t="s">
        <v>32</v>
      </c>
      <c r="AM6" s="57" t="s">
        <v>32</v>
      </c>
      <c r="AN6" s="57" t="s">
        <v>32</v>
      </c>
      <c r="AO6" s="57" t="s">
        <v>32</v>
      </c>
      <c r="AP6" s="175" t="s">
        <v>32</v>
      </c>
      <c r="AQ6" s="172" t="s">
        <v>33</v>
      </c>
      <c r="AR6" s="1152" t="str">
        <f>'Electricity Bill'!$AP$6</f>
        <v>$/day</v>
      </c>
      <c r="AS6" s="3"/>
      <c r="AT6" s="3"/>
      <c r="AU6" s="3"/>
    </row>
    <row r="7" spans="1:47" ht="15" x14ac:dyDescent="0.25">
      <c r="A7" s="176">
        <v>40909</v>
      </c>
      <c r="B7" s="177">
        <f>DAY(DATE(YEAR($A7),MONTH($A7)+1,1)-1)</f>
        <v>31</v>
      </c>
      <c r="C7" s="1581">
        <f>IFERROR(VLOOKUP($A7,$A$5:$AP$96,MATCH($I$1,$A$5:$AP$5,0),FALSE),0)</f>
        <v>706.749077999924</v>
      </c>
      <c r="D7" s="178">
        <f>IFERROR(($F7*100)/$C7, "")</f>
        <v>24.907318780498041</v>
      </c>
      <c r="E7" s="178">
        <f>(1+$AI7)*(((1+$V7)*($N7+$P7+$R7+$Y7+$Z7))+((1+$V7)*($AA7*$R7)))</f>
        <v>22.073462596500001</v>
      </c>
      <c r="F7" s="179">
        <f>SUM($G7:$M7)</f>
        <v>176.03224583567183</v>
      </c>
      <c r="G7" s="180">
        <f>SUM($O7)</f>
        <v>108.01952908150838</v>
      </c>
      <c r="H7" s="181">
        <f>SUM($Q7)</f>
        <v>13.75545730511252</v>
      </c>
      <c r="I7" s="181">
        <f>SUM($T7:$U7)</f>
        <v>15.571577575503468</v>
      </c>
      <c r="J7" s="181">
        <f>SUM($W7:$X7)</f>
        <v>16.039062133915458</v>
      </c>
      <c r="K7" s="181">
        <f>SUM($AC7:$AF7)</f>
        <v>7.0194318426952442</v>
      </c>
      <c r="L7" s="181">
        <f>SUM($AH7)</f>
        <v>7.2446999999999999</v>
      </c>
      <c r="M7" s="182">
        <f t="shared" ref="M7:M38" si="0">SUM($AI7)*SUM($G7:$L7)</f>
        <v>8.3824878969367536</v>
      </c>
      <c r="N7" s="273">
        <f>IF($I$2="RRO (Capped)",VLOOKUP(A7,'Misc. Data &amp; Mechanisms'!$A$1278:$E$1368,2,FALSE),IF($I$2="RRO (Uncapped)",VLOOKUP(A7,'Misc. Data &amp; Mechanisms'!$G$1278:$K$1368,2,FALSE),AQ7))</f>
        <v>15.284000000000001</v>
      </c>
      <c r="O7" s="183">
        <f>($N7/100)*$C7</f>
        <v>108.01952908150838</v>
      </c>
      <c r="P7" s="184">
        <v>1.9462999999999999</v>
      </c>
      <c r="Q7" s="183">
        <f t="shared" ref="Q7:Q38" si="1">($P7/100)*$C7</f>
        <v>13.75545730511252</v>
      </c>
      <c r="R7" s="184">
        <v>0.69679999999999997</v>
      </c>
      <c r="S7" s="185">
        <v>0.34344999999999998</v>
      </c>
      <c r="T7" s="186">
        <f t="shared" ref="T7:T38" si="2">($R7/100)*$C7</f>
        <v>4.9246275755034699</v>
      </c>
      <c r="U7" s="187">
        <f t="shared" ref="U7:U38" si="3">$S7*$B7</f>
        <v>10.646949999999999</v>
      </c>
      <c r="V7" s="126">
        <v>0.1111</v>
      </c>
      <c r="W7" s="123">
        <f>$V7*($H7+$I7+$K7)</f>
        <v>4.0380924529598783</v>
      </c>
      <c r="X7" s="123">
        <f>$V7*$G7</f>
        <v>12.000969680955581</v>
      </c>
      <c r="Y7" s="188">
        <v>-0.56559999999999999</v>
      </c>
      <c r="Z7" s="189">
        <v>1.5588</v>
      </c>
      <c r="AA7" s="190"/>
      <c r="AB7" s="1449"/>
      <c r="AC7" s="191">
        <f t="shared" ref="AC7:AC38" si="4">($Y7/100)*$C7</f>
        <v>-3.99737278516757</v>
      </c>
      <c r="AD7" s="191">
        <f t="shared" ref="AD7:AD38" si="5">($Z7/100)*$C7</f>
        <v>11.016804627862815</v>
      </c>
      <c r="AE7" s="192">
        <f t="shared" ref="AE7:AE38" si="6">$AA7*$I7</f>
        <v>0</v>
      </c>
      <c r="AF7" s="193">
        <f t="shared" ref="AF7:AF38" si="7">$AB7*$B7</f>
        <v>0</v>
      </c>
      <c r="AG7" s="188">
        <f>IF(OR($I$2="RRO (Capped)",$I$2="RRO (Uncapped)"),VLOOKUP(A7,'Misc. Data &amp; Mechanisms'!$A$1483:$H$1574,2,FALSE),AR7)</f>
        <v>0.23369999999999999</v>
      </c>
      <c r="AH7" s="193">
        <f>IF($AG$6="$/day", $AG7*$B7,$AG7)</f>
        <v>7.2446999999999999</v>
      </c>
      <c r="AI7" s="195">
        <f>5%</f>
        <v>0.05</v>
      </c>
      <c r="AJ7" s="341">
        <f>'Misc. Data &amp; Mechanisms'!AH280</f>
        <v>627.19087443768547</v>
      </c>
      <c r="AK7" s="196">
        <f>'Misc. Data &amp; Mechanisms'!AP280</f>
        <v>672.08273643058499</v>
      </c>
      <c r="AL7" s="196">
        <f>'Misc. Data &amp; Mechanisms'!K280</f>
        <v>706.749077999924</v>
      </c>
      <c r="AM7" s="196">
        <f>'Misc. Data &amp; Mechanisms'!L280</f>
        <v>536.35729064155578</v>
      </c>
      <c r="AN7" s="196">
        <f>'Misc. Data &amp; Mechanisms'!M280</f>
        <v>396.94008541680813</v>
      </c>
      <c r="AO7" s="1463">
        <f>'Misc. Data &amp; Mechanisms'!$B$259</f>
        <v>611.34673880086393</v>
      </c>
      <c r="AP7" s="1254">
        <f>IFERROR(IF('Personalized Bill Menu'!$B$30="Yes", IF('Personalized Bill Menu'!$B$34="Natural Gas",0,VLOOKUP($A7, 'Personalized Bill Menu'!$H$4:$L$93, 2, FALSE)), 0), 0)</f>
        <v>0</v>
      </c>
      <c r="AQ7" s="1343">
        <f>IFERROR(IF('Personalized Bill Menu'!$C$36="Custom", IF('Personalized Bill Menu'!$B$34="Natural Gas",0,VLOOKUP($A7, 'Personalized Bill Menu'!$H$4:$L$93, 3, FALSE)), 0), 0)</f>
        <v>0</v>
      </c>
      <c r="AR7" s="1344">
        <f>IFERROR(IF('Personalized Bill Menu'!$C$36="Custom", IF('Personalized Bill Menu'!$B$34="Natural Gas",0,VLOOKUP($A7, 'Personalized Bill Menu'!$H$4:$L$93, 4, FALSE)), 0), 0)</f>
        <v>0</v>
      </c>
      <c r="AS7" s="2"/>
      <c r="AT7" s="2"/>
      <c r="AU7" s="2"/>
    </row>
    <row r="8" spans="1:47" ht="15" x14ac:dyDescent="0.25">
      <c r="A8" s="176">
        <v>40940</v>
      </c>
      <c r="B8" s="177">
        <f t="shared" ref="B8:B57" si="8">DAY(DATE(YEAR($A8),MONTH($A8)+1,1)-1)</f>
        <v>29</v>
      </c>
      <c r="C8" s="1581">
        <f t="shared" ref="C8:C71" si="9">IFERROR(VLOOKUP($A8,$A$5:$AP$96,MATCH($I$1,$A$5:$AP$5,0),FALSE),0)</f>
        <v>631.50245411531682</v>
      </c>
      <c r="D8" s="178">
        <f t="shared" ref="D8:D71" si="10">IFERROR(($F8*100)/$C8, "")</f>
        <v>23.180724157753573</v>
      </c>
      <c r="E8" s="178">
        <f t="shared" ref="E8:E71" si="11">(1+$AI8)*(((1+$V8)*($N8+$P8+$R8+$Y8+$Z8))+((1+$V8)*($AA8*$R8)))</f>
        <v>20.213814526499998</v>
      </c>
      <c r="F8" s="179">
        <f t="shared" ref="F8:F71" si="12">SUM($G8:$M8)</f>
        <v>146.38684193791593</v>
      </c>
      <c r="G8" s="180">
        <f t="shared" ref="G8:G71" si="13">SUM($O8)</f>
        <v>86.452685968386874</v>
      </c>
      <c r="H8" s="181">
        <f t="shared" ref="H8:H71" si="14">SUM($Q8)</f>
        <v>12.290932264446409</v>
      </c>
      <c r="I8" s="181">
        <f t="shared" ref="I8:I71" si="15">SUM($T8:$U8)</f>
        <v>14.360359100275527</v>
      </c>
      <c r="J8" s="181">
        <f t="shared" ref="J8:J71" si="16">SUM($W8:$X8)</f>
        <v>13.262680233490155</v>
      </c>
      <c r="K8" s="181">
        <f t="shared" ref="K8:K71" si="17">SUM($AC8:$AF8)</f>
        <v>6.2720823742733263</v>
      </c>
      <c r="L8" s="181">
        <f t="shared" ref="L8:L71" si="18">SUM($AH8)</f>
        <v>6.7772999999999994</v>
      </c>
      <c r="M8" s="182">
        <f t="shared" si="0"/>
        <v>6.9708019970436155</v>
      </c>
      <c r="N8" s="273">
        <f>IF($I$2="RRO (Capped)",VLOOKUP(A8,'Misc. Data &amp; Mechanisms'!$A$1278:$E$1368,2,FALSE),IF($I$2="RRO (Uncapped)",VLOOKUP(A8,'Misc. Data &amp; Mechanisms'!$G$1278:$K$1368,2,FALSE),AQ8))</f>
        <v>13.69</v>
      </c>
      <c r="O8" s="183">
        <f t="shared" ref="O8:O57" si="19">($N8/100)*$C8</f>
        <v>86.452685968386874</v>
      </c>
      <c r="P8" s="198">
        <v>1.9462999999999999</v>
      </c>
      <c r="Q8" s="183">
        <f t="shared" si="1"/>
        <v>12.290932264446409</v>
      </c>
      <c r="R8" s="198">
        <v>0.69679999999999997</v>
      </c>
      <c r="S8" s="199">
        <v>0.34344999999999998</v>
      </c>
      <c r="T8" s="183">
        <f t="shared" si="2"/>
        <v>4.4003091002755275</v>
      </c>
      <c r="U8" s="194">
        <f t="shared" si="3"/>
        <v>9.960049999999999</v>
      </c>
      <c r="V8" s="126">
        <v>0.1111</v>
      </c>
      <c r="W8" s="123">
        <f t="shared" ref="W8:W38" si="20">$V8*($H8+$I8+$K8)</f>
        <v>3.6577868224023735</v>
      </c>
      <c r="X8" s="123">
        <f t="shared" ref="X8:X38" si="21">$V8*$G8</f>
        <v>9.6048934110877813</v>
      </c>
      <c r="Y8" s="200">
        <v>-0.56559999999999999</v>
      </c>
      <c r="Z8" s="201">
        <v>1.5588</v>
      </c>
      <c r="AA8" s="202"/>
      <c r="AB8" s="1450"/>
      <c r="AC8" s="192">
        <f t="shared" si="4"/>
        <v>-3.5717778804762315</v>
      </c>
      <c r="AD8" s="192">
        <f t="shared" si="5"/>
        <v>9.8438602547495577</v>
      </c>
      <c r="AE8" s="192">
        <f t="shared" si="6"/>
        <v>0</v>
      </c>
      <c r="AF8" s="203">
        <f t="shared" si="7"/>
        <v>0</v>
      </c>
      <c r="AG8" s="200">
        <f>IF(OR($I$2="RRO (Capped)",$I$2="RRO (Uncapped)"),VLOOKUP(A8,'Misc. Data &amp; Mechanisms'!$A$1483:$H$1574,2,FALSE),AR8)</f>
        <v>0.23369999999999999</v>
      </c>
      <c r="AH8" s="203">
        <f t="shared" ref="AH8:AH71" si="22">IF($AG$6="$/day", $AG8*$B8,$AG8)</f>
        <v>6.7772999999999994</v>
      </c>
      <c r="AI8" s="195">
        <f>5%</f>
        <v>0.05</v>
      </c>
      <c r="AJ8" s="341">
        <f>'Misc. Data &amp; Mechanisms'!AH281</f>
        <v>560.41470549491476</v>
      </c>
      <c r="AK8" s="196">
        <f>'Misc. Data &amp; Mechanisms'!AP281</f>
        <v>583.35082458599743</v>
      </c>
      <c r="AL8" s="196">
        <f>'Misc. Data &amp; Mechanisms'!K281</f>
        <v>631.50245411531682</v>
      </c>
      <c r="AM8" s="196">
        <f>'Misc. Data &amp; Mechanisms'!L281</f>
        <v>479.25205121077101</v>
      </c>
      <c r="AN8" s="196">
        <f>'Misc. Data &amp; Mechanisms'!M281</f>
        <v>354.67840833530568</v>
      </c>
      <c r="AO8" s="1463">
        <f>'Misc. Data &amp; Mechanisms'!$B$259</f>
        <v>611.34673880086393</v>
      </c>
      <c r="AP8" s="197">
        <f>IFERROR(IF('Personalized Bill Menu'!$B$30="Yes", IF('Personalized Bill Menu'!$B$34="Natural Gas",0,VLOOKUP($A8, 'Personalized Bill Menu'!$H$4:$L$93, 2, FALSE)), 0), 0)</f>
        <v>0</v>
      </c>
      <c r="AQ8" s="1343">
        <f>IFERROR(IF('Personalized Bill Menu'!$C$36="Custom", IF('Personalized Bill Menu'!$B$34="Natural Gas",0,VLOOKUP($A8, 'Personalized Bill Menu'!$H$4:$L$93, 3, FALSE)), 0), 0)</f>
        <v>0</v>
      </c>
      <c r="AR8" s="1344">
        <f>IFERROR(IF('Personalized Bill Menu'!$C$36="Custom", IF('Personalized Bill Menu'!$B$34="Natural Gas",0,VLOOKUP($A8, 'Personalized Bill Menu'!$H$4:$L$93, 4, FALSE)), 0), 0)</f>
        <v>0</v>
      </c>
      <c r="AS8" s="2"/>
      <c r="AT8" s="2"/>
      <c r="AU8" s="2"/>
    </row>
    <row r="9" spans="1:47" ht="15" x14ac:dyDescent="0.25">
      <c r="A9" s="176">
        <v>40969</v>
      </c>
      <c r="B9" s="177">
        <f t="shared" si="8"/>
        <v>31</v>
      </c>
      <c r="C9" s="1581">
        <f t="shared" si="9"/>
        <v>610.5311897530521</v>
      </c>
      <c r="D9" s="178">
        <f t="shared" si="10"/>
        <v>17.110341803650694</v>
      </c>
      <c r="E9" s="178">
        <f t="shared" si="11"/>
        <v>13.829878366500001</v>
      </c>
      <c r="F9" s="179">
        <f t="shared" si="12"/>
        <v>104.46397338464241</v>
      </c>
      <c r="G9" s="180">
        <f t="shared" si="13"/>
        <v>50.173453173905827</v>
      </c>
      <c r="H9" s="181">
        <f t="shared" si="14"/>
        <v>11.882768546163652</v>
      </c>
      <c r="I9" s="181">
        <f t="shared" si="15"/>
        <v>14.901131330199267</v>
      </c>
      <c r="J9" s="181">
        <f t="shared" si="16"/>
        <v>9.2236496346681527</v>
      </c>
      <c r="K9" s="181">
        <f t="shared" si="17"/>
        <v>6.0637957766273125</v>
      </c>
      <c r="L9" s="181">
        <f t="shared" si="18"/>
        <v>7.2446999999999999</v>
      </c>
      <c r="M9" s="182">
        <f t="shared" si="0"/>
        <v>4.974474923078211</v>
      </c>
      <c r="N9" s="273">
        <f>IF($I$2="RRO (Capped)",VLOOKUP(A9,'Misc. Data &amp; Mechanisms'!$A$1278:$E$1368,2,FALSE),IF($I$2="RRO (Uncapped)",VLOOKUP(A9,'Misc. Data &amp; Mechanisms'!$G$1278:$K$1368,2,FALSE),AQ9))</f>
        <v>8.218</v>
      </c>
      <c r="O9" s="183">
        <f t="shared" si="19"/>
        <v>50.173453173905827</v>
      </c>
      <c r="P9" s="198">
        <v>1.9462999999999999</v>
      </c>
      <c r="Q9" s="183">
        <f t="shared" si="1"/>
        <v>11.882768546163652</v>
      </c>
      <c r="R9" s="198">
        <v>0.69679999999999997</v>
      </c>
      <c r="S9" s="199">
        <v>0.34344999999999998</v>
      </c>
      <c r="T9" s="183">
        <f t="shared" si="2"/>
        <v>4.254181330199267</v>
      </c>
      <c r="U9" s="194">
        <f t="shared" si="3"/>
        <v>10.646949999999999</v>
      </c>
      <c r="V9" s="126">
        <v>0.1111</v>
      </c>
      <c r="W9" s="123">
        <f t="shared" si="20"/>
        <v>3.6493789870472142</v>
      </c>
      <c r="X9" s="123">
        <f t="shared" si="21"/>
        <v>5.5742706476209376</v>
      </c>
      <c r="Y9" s="200">
        <v>-0.56559999999999999</v>
      </c>
      <c r="Z9" s="201">
        <v>1.5588</v>
      </c>
      <c r="AA9" s="202"/>
      <c r="AB9" s="1450"/>
      <c r="AC9" s="192">
        <f t="shared" si="4"/>
        <v>-3.4531644092432625</v>
      </c>
      <c r="AD9" s="192">
        <f t="shared" si="5"/>
        <v>9.516960185870575</v>
      </c>
      <c r="AE9" s="192">
        <f t="shared" si="6"/>
        <v>0</v>
      </c>
      <c r="AF9" s="203">
        <f t="shared" si="7"/>
        <v>0</v>
      </c>
      <c r="AG9" s="200">
        <f>IF(OR($I$2="RRO (Capped)",$I$2="RRO (Uncapped)"),VLOOKUP(A9,'Misc. Data &amp; Mechanisms'!$A$1483:$H$1574,2,FALSE),AR9)</f>
        <v>0.23369999999999999</v>
      </c>
      <c r="AH9" s="203">
        <f t="shared" si="22"/>
        <v>7.2446999999999999</v>
      </c>
      <c r="AI9" s="195">
        <f>5%</f>
        <v>0.05</v>
      </c>
      <c r="AJ9" s="341">
        <f>'Misc. Data &amp; Mechanisms'!AH282</f>
        <v>541.80416033416941</v>
      </c>
      <c r="AK9" s="196">
        <f>'Misc. Data &amp; Mechanisms'!AP282</f>
        <v>568.16792301245562</v>
      </c>
      <c r="AL9" s="196">
        <f>'Misc. Data &amp; Mechanisms'!K282</f>
        <v>610.5311897530521</v>
      </c>
      <c r="AM9" s="196">
        <f>'Misc. Data &amp; Mechanisms'!L282</f>
        <v>463.33679799741856</v>
      </c>
      <c r="AN9" s="196">
        <f>'Misc. Data &amp; Mechanisms'!M282</f>
        <v>342.90006192300689</v>
      </c>
      <c r="AO9" s="1463">
        <f>'Misc. Data &amp; Mechanisms'!$B$259</f>
        <v>611.34673880086393</v>
      </c>
      <c r="AP9" s="197">
        <f>IFERROR(IF('Personalized Bill Menu'!$B$30="Yes", IF('Personalized Bill Menu'!$B$34="Natural Gas",0,VLOOKUP($A9, 'Personalized Bill Menu'!$H$4:$L$93, 2, FALSE)), 0), 0)</f>
        <v>0</v>
      </c>
      <c r="AQ9" s="1343">
        <f>IFERROR(IF('Personalized Bill Menu'!$C$36="Custom", IF('Personalized Bill Menu'!$B$34="Natural Gas",0,VLOOKUP($A9, 'Personalized Bill Menu'!$H$4:$L$93, 3, FALSE)), 0), 0)</f>
        <v>0</v>
      </c>
      <c r="AR9" s="1344">
        <f>IFERROR(IF('Personalized Bill Menu'!$C$36="Custom", IF('Personalized Bill Menu'!$B$34="Natural Gas",0,VLOOKUP($A9, 'Personalized Bill Menu'!$H$4:$L$93, 4, FALSE)), 0), 0)</f>
        <v>0</v>
      </c>
      <c r="AS9" s="2"/>
      <c r="AT9" s="2"/>
      <c r="AU9" s="2"/>
    </row>
    <row r="10" spans="1:47" ht="15" x14ac:dyDescent="0.25">
      <c r="A10" s="176">
        <v>41000</v>
      </c>
      <c r="B10" s="177">
        <f t="shared" si="8"/>
        <v>30</v>
      </c>
      <c r="C10" s="1581">
        <f t="shared" si="9"/>
        <v>553.50674210245211</v>
      </c>
      <c r="D10" s="178">
        <f t="shared" si="10"/>
        <v>16.115930036063105</v>
      </c>
      <c r="E10" s="178">
        <f t="shared" si="11"/>
        <v>12.614223856499997</v>
      </c>
      <c r="F10" s="179">
        <f t="shared" si="12"/>
        <v>89.20275930212344</v>
      </c>
      <c r="G10" s="180">
        <f t="shared" si="13"/>
        <v>39.719643813271965</v>
      </c>
      <c r="H10" s="181">
        <f t="shared" si="14"/>
        <v>10.772901721540023</v>
      </c>
      <c r="I10" s="181">
        <f t="shared" si="15"/>
        <v>14.160334978969885</v>
      </c>
      <c r="J10" s="181">
        <f t="shared" si="16"/>
        <v>7.7936993828217549</v>
      </c>
      <c r="K10" s="181">
        <f t="shared" si="17"/>
        <v>5.4974289625615533</v>
      </c>
      <c r="L10" s="181">
        <f t="shared" si="18"/>
        <v>7.0110000000000001</v>
      </c>
      <c r="M10" s="182">
        <f t="shared" si="0"/>
        <v>4.2477504429582593</v>
      </c>
      <c r="N10" s="273">
        <f>IF($I$2="RRO (Capped)",VLOOKUP(A10,'Misc. Data &amp; Mechanisms'!$A$1278:$E$1368,2,FALSE),IF($I$2="RRO (Uncapped)",VLOOKUP(A10,'Misc. Data &amp; Mechanisms'!$G$1278:$K$1368,2,FALSE),AQ10))</f>
        <v>7.1760000000000002</v>
      </c>
      <c r="O10" s="183">
        <f t="shared" si="19"/>
        <v>39.719643813271965</v>
      </c>
      <c r="P10" s="198">
        <v>1.9462999999999999</v>
      </c>
      <c r="Q10" s="183">
        <f t="shared" si="1"/>
        <v>10.772901721540023</v>
      </c>
      <c r="R10" s="198">
        <v>0.69679999999999997</v>
      </c>
      <c r="S10" s="199">
        <v>0.34344999999999998</v>
      </c>
      <c r="T10" s="183">
        <f t="shared" si="2"/>
        <v>3.8568349789698861</v>
      </c>
      <c r="U10" s="194">
        <f t="shared" si="3"/>
        <v>10.3035</v>
      </c>
      <c r="V10" s="126">
        <v>0.1111</v>
      </c>
      <c r="W10" s="123">
        <f t="shared" si="20"/>
        <v>3.3808469551672395</v>
      </c>
      <c r="X10" s="123">
        <f t="shared" si="21"/>
        <v>4.4128524276545154</v>
      </c>
      <c r="Y10" s="200">
        <v>-0.56559999999999999</v>
      </c>
      <c r="Z10" s="201">
        <v>1.5588</v>
      </c>
      <c r="AA10" s="202"/>
      <c r="AB10" s="1450"/>
      <c r="AC10" s="192">
        <f t="shared" si="4"/>
        <v>-3.1306341333314687</v>
      </c>
      <c r="AD10" s="192">
        <f t="shared" si="5"/>
        <v>8.6280630958930224</v>
      </c>
      <c r="AE10" s="192">
        <f t="shared" si="6"/>
        <v>0</v>
      </c>
      <c r="AF10" s="203">
        <f t="shared" si="7"/>
        <v>0</v>
      </c>
      <c r="AG10" s="200">
        <f>IF(OR($I$2="RRO (Capped)",$I$2="RRO (Uncapped)"),VLOOKUP(A10,'Misc. Data &amp; Mechanisms'!$A$1483:$H$1574,2,FALSE),AR10)</f>
        <v>0.23369999999999999</v>
      </c>
      <c r="AH10" s="203">
        <f t="shared" si="22"/>
        <v>7.0110000000000001</v>
      </c>
      <c r="AI10" s="195">
        <f>5%</f>
        <v>0.05</v>
      </c>
      <c r="AJ10" s="341">
        <f>'Misc. Data &amp; Mechanisms'!AH283</f>
        <v>491.19891117343451</v>
      </c>
      <c r="AK10" s="196">
        <f>'Misc. Data &amp; Mechanisms'!AP283</f>
        <v>506.34972670588797</v>
      </c>
      <c r="AL10" s="196">
        <f>'Misc. Data &amp; Mechanisms'!K283</f>
        <v>553.50674210245211</v>
      </c>
      <c r="AM10" s="196">
        <f>'Misc. Data &amp; Mechanisms'!L283</f>
        <v>420.06050773502034</v>
      </c>
      <c r="AN10" s="196">
        <f>'Misc. Data &amp; Mechanisms'!M283</f>
        <v>310.87272743346989</v>
      </c>
      <c r="AO10" s="1463">
        <f>'Misc. Data &amp; Mechanisms'!$B$259</f>
        <v>611.34673880086393</v>
      </c>
      <c r="AP10" s="197">
        <f>IFERROR(IF('Personalized Bill Menu'!$B$30="Yes", IF('Personalized Bill Menu'!$B$34="Natural Gas",0,VLOOKUP($A10, 'Personalized Bill Menu'!$H$4:$L$93, 2, FALSE)), 0), 0)</f>
        <v>0</v>
      </c>
      <c r="AQ10" s="1343">
        <f>IFERROR(IF('Personalized Bill Menu'!$C$36="Custom", IF('Personalized Bill Menu'!$B$34="Natural Gas",0,VLOOKUP($A10, 'Personalized Bill Menu'!$H$4:$L$93, 3, FALSE)), 0), 0)</f>
        <v>0</v>
      </c>
      <c r="AR10" s="1344">
        <f>IFERROR(IF('Personalized Bill Menu'!$C$36="Custom", IF('Personalized Bill Menu'!$B$34="Natural Gas",0,VLOOKUP($A10, 'Personalized Bill Menu'!$H$4:$L$93, 4, FALSE)), 0), 0)</f>
        <v>0</v>
      </c>
      <c r="AS10" s="2"/>
      <c r="AT10" s="2"/>
      <c r="AU10" s="2"/>
    </row>
    <row r="11" spans="1:47" ht="15" x14ac:dyDescent="0.25">
      <c r="A11" s="176">
        <v>41030</v>
      </c>
      <c r="B11" s="177">
        <f t="shared" si="8"/>
        <v>31</v>
      </c>
      <c r="C11" s="1581">
        <f t="shared" si="9"/>
        <v>541.91428860302665</v>
      </c>
      <c r="D11" s="178">
        <f t="shared" si="10"/>
        <v>15.34686747432824</v>
      </c>
      <c r="E11" s="178">
        <f t="shared" si="11"/>
        <v>11.6510334885</v>
      </c>
      <c r="F11" s="179">
        <f t="shared" si="12"/>
        <v>83.166867696355169</v>
      </c>
      <c r="G11" s="180">
        <f t="shared" si="13"/>
        <v>34.413724983446599</v>
      </c>
      <c r="H11" s="181">
        <f t="shared" si="14"/>
        <v>10.547277799080707</v>
      </c>
      <c r="I11" s="181">
        <f t="shared" si="15"/>
        <v>14.423008762985887</v>
      </c>
      <c r="J11" s="181">
        <f t="shared" si="16"/>
        <v>7.1955364032769404</v>
      </c>
      <c r="K11" s="181">
        <f t="shared" si="17"/>
        <v>5.3822927144052599</v>
      </c>
      <c r="L11" s="181">
        <f t="shared" si="18"/>
        <v>7.2446999999999999</v>
      </c>
      <c r="M11" s="182">
        <f t="shared" si="0"/>
        <v>3.96032703315977</v>
      </c>
      <c r="N11" s="273">
        <f>IF($I$2="RRO (Capped)",VLOOKUP(A11,'Misc. Data &amp; Mechanisms'!$A$1278:$E$1368,2,FALSE),IF($I$2="RRO (Uncapped)",VLOOKUP(A11,'Misc. Data &amp; Mechanisms'!$G$1278:$K$1368,2,FALSE),AQ11))</f>
        <v>6.3503999999999996</v>
      </c>
      <c r="O11" s="183">
        <f t="shared" si="19"/>
        <v>34.413724983446599</v>
      </c>
      <c r="P11" s="198">
        <v>1.9462999999999999</v>
      </c>
      <c r="Q11" s="183">
        <f t="shared" si="1"/>
        <v>10.547277799080707</v>
      </c>
      <c r="R11" s="198">
        <v>0.69679999999999997</v>
      </c>
      <c r="S11" s="199">
        <v>0.34344999999999998</v>
      </c>
      <c r="T11" s="183">
        <f t="shared" si="2"/>
        <v>3.7760587629858895</v>
      </c>
      <c r="U11" s="194">
        <f t="shared" si="3"/>
        <v>10.646949999999999</v>
      </c>
      <c r="V11" s="126">
        <v>0.1111</v>
      </c>
      <c r="W11" s="123">
        <f t="shared" si="20"/>
        <v>3.3721715576160229</v>
      </c>
      <c r="X11" s="123">
        <f t="shared" si="21"/>
        <v>3.8233648456609175</v>
      </c>
      <c r="Y11" s="200">
        <v>-0.56559999999999999</v>
      </c>
      <c r="Z11" s="201">
        <v>1.5588</v>
      </c>
      <c r="AA11" s="202"/>
      <c r="AB11" s="1450"/>
      <c r="AC11" s="192">
        <f t="shared" si="4"/>
        <v>-3.0650672163387185</v>
      </c>
      <c r="AD11" s="192">
        <f t="shared" si="5"/>
        <v>8.4473599307439784</v>
      </c>
      <c r="AE11" s="192">
        <f t="shared" si="6"/>
        <v>0</v>
      </c>
      <c r="AF11" s="203">
        <f t="shared" si="7"/>
        <v>0</v>
      </c>
      <c r="AG11" s="200">
        <f>IF(OR($I$2="RRO (Capped)",$I$2="RRO (Uncapped)"),VLOOKUP(A11,'Misc. Data &amp; Mechanisms'!$A$1483:$H$1574,2,FALSE),AR11)</f>
        <v>0.23369999999999999</v>
      </c>
      <c r="AH11" s="203">
        <f t="shared" si="22"/>
        <v>7.2446999999999999</v>
      </c>
      <c r="AI11" s="195">
        <f>5%</f>
        <v>0.05</v>
      </c>
      <c r="AJ11" s="341">
        <f>'Misc. Data &amp; Mechanisms'!AH284</f>
        <v>480.91141130465695</v>
      </c>
      <c r="AK11" s="196">
        <f>'Misc. Data &amp; Mechanisms'!AP284</f>
        <v>487.31009480207774</v>
      </c>
      <c r="AL11" s="196">
        <f>'Misc. Data &amp; Mechanisms'!K284</f>
        <v>541.91428860302665</v>
      </c>
      <c r="AM11" s="196">
        <f>'Misc. Data &amp; Mechanisms'!L284</f>
        <v>411.26290594905703</v>
      </c>
      <c r="AN11" s="196">
        <f>'Misc. Data &amp; Mechanisms'!M284</f>
        <v>304.36191670093319</v>
      </c>
      <c r="AO11" s="1463">
        <f>'Misc. Data &amp; Mechanisms'!$B$259</f>
        <v>611.34673880086393</v>
      </c>
      <c r="AP11" s="197">
        <f>IFERROR(IF('Personalized Bill Menu'!$B$30="Yes", IF('Personalized Bill Menu'!$B$34="Natural Gas",0,VLOOKUP($A11, 'Personalized Bill Menu'!$H$4:$L$93, 2, FALSE)), 0), 0)</f>
        <v>0</v>
      </c>
      <c r="AQ11" s="1343">
        <f>IFERROR(IF('Personalized Bill Menu'!$C$36="Custom", IF('Personalized Bill Menu'!$B$34="Natural Gas",0,VLOOKUP($A11, 'Personalized Bill Menu'!$H$4:$L$93, 3, FALSE)), 0), 0)</f>
        <v>0</v>
      </c>
      <c r="AR11" s="1344">
        <f>IFERROR(IF('Personalized Bill Menu'!$C$36="Custom", IF('Personalized Bill Menu'!$B$34="Natural Gas",0,VLOOKUP($A11, 'Personalized Bill Menu'!$H$4:$L$93, 4, FALSE)), 0), 0)</f>
        <v>0</v>
      </c>
      <c r="AS11" s="2"/>
      <c r="AT11" s="2"/>
      <c r="AU11" s="2"/>
    </row>
    <row r="12" spans="1:47" ht="15" x14ac:dyDescent="0.25">
      <c r="A12" s="176">
        <v>41061</v>
      </c>
      <c r="B12" s="177">
        <f t="shared" si="8"/>
        <v>30</v>
      </c>
      <c r="C12" s="1581">
        <f t="shared" si="9"/>
        <v>515.57253474242975</v>
      </c>
      <c r="D12" s="178">
        <f t="shared" si="10"/>
        <v>16.955385424134597</v>
      </c>
      <c r="E12" s="178">
        <f t="shared" si="11"/>
        <v>13.196034704999999</v>
      </c>
      <c r="F12" s="179">
        <f t="shared" si="12"/>
        <v>87.41731040655921</v>
      </c>
      <c r="G12" s="180">
        <f t="shared" si="13"/>
        <v>39.568645323877256</v>
      </c>
      <c r="H12" s="181">
        <f t="shared" si="14"/>
        <v>10.034588243691909</v>
      </c>
      <c r="I12" s="181">
        <f t="shared" si="15"/>
        <v>13.89600942208525</v>
      </c>
      <c r="J12" s="181">
        <f t="shared" si="16"/>
        <v>7.6236719348639728</v>
      </c>
      <c r="K12" s="181">
        <f t="shared" si="17"/>
        <v>5.1206664150618124</v>
      </c>
      <c r="L12" s="181">
        <f t="shared" si="18"/>
        <v>7.0110000000000001</v>
      </c>
      <c r="M12" s="182">
        <f t="shared" si="0"/>
        <v>4.1627290669790105</v>
      </c>
      <c r="N12" s="273">
        <f>IF($I$2="RRO (Capped)",VLOOKUP(A12,'Misc. Data &amp; Mechanisms'!$A$1278:$E$1368,2,FALSE),IF($I$2="RRO (Uncapped)",VLOOKUP(A12,'Misc. Data &amp; Mechanisms'!$G$1278:$K$1368,2,FALSE),AQ12))</f>
        <v>7.6746999999999996</v>
      </c>
      <c r="O12" s="183">
        <f t="shared" si="19"/>
        <v>39.568645323877256</v>
      </c>
      <c r="P12" s="198">
        <v>1.9462999999999999</v>
      </c>
      <c r="Q12" s="183">
        <f t="shared" si="1"/>
        <v>10.034588243691909</v>
      </c>
      <c r="R12" s="198">
        <v>0.69679999999999997</v>
      </c>
      <c r="S12" s="199">
        <v>0.34344999999999998</v>
      </c>
      <c r="T12" s="183">
        <f t="shared" si="2"/>
        <v>3.59250942208525</v>
      </c>
      <c r="U12" s="194">
        <f t="shared" si="3"/>
        <v>10.3035</v>
      </c>
      <c r="V12" s="126">
        <v>0.1111</v>
      </c>
      <c r="W12" s="123">
        <f t="shared" si="20"/>
        <v>3.2275954393812096</v>
      </c>
      <c r="X12" s="123">
        <f t="shared" si="21"/>
        <v>4.3960764954827631</v>
      </c>
      <c r="Y12" s="200">
        <v>-0.56559999999999999</v>
      </c>
      <c r="Z12" s="201">
        <v>1.5588</v>
      </c>
      <c r="AA12" s="202"/>
      <c r="AB12" s="1450"/>
      <c r="AC12" s="192">
        <f t="shared" si="4"/>
        <v>-2.9160782565031824</v>
      </c>
      <c r="AD12" s="192">
        <f t="shared" si="5"/>
        <v>8.0367446715649944</v>
      </c>
      <c r="AE12" s="192">
        <f t="shared" si="6"/>
        <v>0</v>
      </c>
      <c r="AF12" s="203">
        <f t="shared" si="7"/>
        <v>0</v>
      </c>
      <c r="AG12" s="200">
        <f>IF(OR($I$2="RRO (Capped)",$I$2="RRO (Uncapped)"),VLOOKUP(A12,'Misc. Data &amp; Mechanisms'!$A$1483:$H$1574,2,FALSE),AR12)</f>
        <v>0.23369999999999999</v>
      </c>
      <c r="AH12" s="203">
        <f t="shared" si="22"/>
        <v>7.0110000000000001</v>
      </c>
      <c r="AI12" s="195">
        <f>5%</f>
        <v>0.05</v>
      </c>
      <c r="AJ12" s="341">
        <f>'Misc. Data &amp; Mechanisms'!AH285</f>
        <v>457.53492854389447</v>
      </c>
      <c r="AK12" s="196">
        <f>'Misc. Data &amp; Mechanisms'!AP285</f>
        <v>466.44653969695224</v>
      </c>
      <c r="AL12" s="196">
        <f>'Misc. Data &amp; Mechanisms'!K285</f>
        <v>515.57253474242975</v>
      </c>
      <c r="AM12" s="196">
        <f>'Misc. Data &amp; Mechanisms'!L285</f>
        <v>391.27194710493671</v>
      </c>
      <c r="AN12" s="196">
        <f>'Misc. Data &amp; Mechanisms'!M285</f>
        <v>289.56727691584251</v>
      </c>
      <c r="AO12" s="1463">
        <f>'Misc. Data &amp; Mechanisms'!$B$259</f>
        <v>611.34673880086393</v>
      </c>
      <c r="AP12" s="197">
        <f>IFERROR(IF('Personalized Bill Menu'!$B$30="Yes", IF('Personalized Bill Menu'!$B$34="Natural Gas",0,VLOOKUP($A12, 'Personalized Bill Menu'!$H$4:$L$93, 2, FALSE)), 0), 0)</f>
        <v>0</v>
      </c>
      <c r="AQ12" s="1343">
        <f>IFERROR(IF('Personalized Bill Menu'!$C$36="Custom", IF('Personalized Bill Menu'!$B$34="Natural Gas",0,VLOOKUP($A12, 'Personalized Bill Menu'!$H$4:$L$93, 3, FALSE)), 0), 0)</f>
        <v>0</v>
      </c>
      <c r="AR12" s="1344">
        <f>IFERROR(IF('Personalized Bill Menu'!$C$36="Custom", IF('Personalized Bill Menu'!$B$34="Natural Gas",0,VLOOKUP($A12, 'Personalized Bill Menu'!$H$4:$L$93, 4, FALSE)), 0), 0)</f>
        <v>0</v>
      </c>
      <c r="AS12" s="2"/>
      <c r="AT12" s="2"/>
      <c r="AU12" s="2"/>
    </row>
    <row r="13" spans="1:47" ht="15" x14ac:dyDescent="0.25">
      <c r="A13" s="176">
        <v>41091</v>
      </c>
      <c r="B13" s="177">
        <f t="shared" si="8"/>
        <v>31</v>
      </c>
      <c r="C13" s="1581">
        <f t="shared" si="9"/>
        <v>564.82318192701314</v>
      </c>
      <c r="D13" s="178">
        <f t="shared" si="10"/>
        <v>18.326868673458748</v>
      </c>
      <c r="E13" s="178">
        <f t="shared" si="11"/>
        <v>14.780935522500002</v>
      </c>
      <c r="F13" s="179">
        <f t="shared" si="12"/>
        <v>103.51440278901468</v>
      </c>
      <c r="G13" s="180">
        <f t="shared" si="13"/>
        <v>51.021607669830956</v>
      </c>
      <c r="H13" s="181">
        <f t="shared" si="14"/>
        <v>10.993153589845456</v>
      </c>
      <c r="I13" s="181">
        <f t="shared" si="15"/>
        <v>14.582637931667426</v>
      </c>
      <c r="J13" s="181">
        <f t="shared" si="16"/>
        <v>9.1332224791043899</v>
      </c>
      <c r="K13" s="181">
        <f t="shared" si="17"/>
        <v>5.609823842899095</v>
      </c>
      <c r="L13" s="181">
        <f t="shared" si="18"/>
        <v>7.2446999999999999</v>
      </c>
      <c r="M13" s="182">
        <f t="shared" si="0"/>
        <v>4.929257275667366</v>
      </c>
      <c r="N13" s="273">
        <f>IF($I$2="RRO (Capped)",VLOOKUP(A13,'Misc. Data &amp; Mechanisms'!$A$1278:$E$1368,2,FALSE),IF($I$2="RRO (Uncapped)",VLOOKUP(A13,'Misc. Data &amp; Mechanisms'!$G$1278:$K$1368,2,FALSE),AQ13))</f>
        <v>9.0332000000000008</v>
      </c>
      <c r="O13" s="183">
        <f t="shared" si="19"/>
        <v>51.021607669830956</v>
      </c>
      <c r="P13" s="198">
        <v>1.9462999999999999</v>
      </c>
      <c r="Q13" s="183">
        <f t="shared" si="1"/>
        <v>10.993153589845456</v>
      </c>
      <c r="R13" s="198">
        <v>0.69679999999999997</v>
      </c>
      <c r="S13" s="199">
        <v>0.34344999999999998</v>
      </c>
      <c r="T13" s="183">
        <f t="shared" si="2"/>
        <v>3.9356879316674274</v>
      </c>
      <c r="U13" s="194">
        <f t="shared" si="3"/>
        <v>10.646949999999999</v>
      </c>
      <c r="V13" s="126">
        <v>0.1111</v>
      </c>
      <c r="W13" s="123">
        <f t="shared" si="20"/>
        <v>3.4647218669861712</v>
      </c>
      <c r="X13" s="123">
        <f t="shared" si="21"/>
        <v>5.6685006121182191</v>
      </c>
      <c r="Y13" s="200">
        <v>-0.56559999999999999</v>
      </c>
      <c r="Z13" s="201">
        <v>1.5588</v>
      </c>
      <c r="AA13" s="205"/>
      <c r="AB13" s="386"/>
      <c r="AC13" s="192">
        <f t="shared" si="4"/>
        <v>-3.1946399169791859</v>
      </c>
      <c r="AD13" s="192">
        <f t="shared" si="5"/>
        <v>8.8044637598782813</v>
      </c>
      <c r="AE13" s="192">
        <f t="shared" si="6"/>
        <v>0</v>
      </c>
      <c r="AF13" s="203">
        <f t="shared" si="7"/>
        <v>0</v>
      </c>
      <c r="AG13" s="200">
        <f>IF(OR($I$2="RRO (Capped)",$I$2="RRO (Uncapped)"),VLOOKUP(A13,'Misc. Data &amp; Mechanisms'!$A$1483:$H$1574,2,FALSE),AR13)</f>
        <v>0.23369999999999999</v>
      </c>
      <c r="AH13" s="203">
        <f t="shared" si="22"/>
        <v>7.2446999999999999</v>
      </c>
      <c r="AI13" s="195">
        <f>5%</f>
        <v>0.05</v>
      </c>
      <c r="AJ13" s="341">
        <f>'Misc. Data &amp; Mechanisms'!AH286</f>
        <v>501.24146801577774</v>
      </c>
      <c r="AK13" s="196">
        <f>'Misc. Data &amp; Mechanisms'!AP286</f>
        <v>525.04940993829064</v>
      </c>
      <c r="AL13" s="196">
        <f>'Misc. Data &amp; Mechanisms'!K286</f>
        <v>564.82318192701314</v>
      </c>
      <c r="AM13" s="196">
        <f>'Misc. Data &amp; Mechanisms'!L286</f>
        <v>428.64864062822016</v>
      </c>
      <c r="AN13" s="196">
        <f>'Misc. Data &amp; Mechanisms'!M286</f>
        <v>317.22851724686097</v>
      </c>
      <c r="AO13" s="1463">
        <f>'Misc. Data &amp; Mechanisms'!$B$259</f>
        <v>611.34673880086393</v>
      </c>
      <c r="AP13" s="197">
        <f>IFERROR(IF('Personalized Bill Menu'!$B$30="Yes", IF('Personalized Bill Menu'!$B$34="Natural Gas",0,VLOOKUP($A13, 'Personalized Bill Menu'!$H$4:$L$93, 2, FALSE)), 0), 0)</f>
        <v>0</v>
      </c>
      <c r="AQ13" s="1343">
        <f>IFERROR(IF('Personalized Bill Menu'!$C$36="Custom", IF('Personalized Bill Menu'!$B$34="Natural Gas",0,VLOOKUP($A13, 'Personalized Bill Menu'!$H$4:$L$93, 3, FALSE)), 0), 0)</f>
        <v>0</v>
      </c>
      <c r="AR13" s="1344">
        <f>IFERROR(IF('Personalized Bill Menu'!$C$36="Custom", IF('Personalized Bill Menu'!$B$34="Natural Gas",0,VLOOKUP($A13, 'Personalized Bill Menu'!$H$4:$L$93, 4, FALSE)), 0), 0)</f>
        <v>0</v>
      </c>
      <c r="AS13" s="2"/>
      <c r="AT13" s="2"/>
      <c r="AU13" s="2"/>
    </row>
    <row r="14" spans="1:47" ht="15" x14ac:dyDescent="0.25">
      <c r="A14" s="176">
        <v>41122</v>
      </c>
      <c r="B14" s="177">
        <f t="shared" si="8"/>
        <v>31</v>
      </c>
      <c r="C14" s="1581">
        <f t="shared" si="9"/>
        <v>546.71745545533315</v>
      </c>
      <c r="D14" s="178">
        <f t="shared" si="10"/>
        <v>21.106023272170145</v>
      </c>
      <c r="E14" s="178">
        <f t="shared" si="11"/>
        <v>17.442658904999998</v>
      </c>
      <c r="F14" s="179">
        <f t="shared" si="12"/>
        <v>115.39031338141906</v>
      </c>
      <c r="G14" s="180">
        <f t="shared" si="13"/>
        <v>61.859439932404577</v>
      </c>
      <c r="H14" s="181">
        <f t="shared" si="14"/>
        <v>10.640761835527147</v>
      </c>
      <c r="I14" s="181">
        <f t="shared" si="15"/>
        <v>14.456477229612759</v>
      </c>
      <c r="J14" s="181">
        <f t="shared" si="16"/>
        <v>10.264159788605594</v>
      </c>
      <c r="K14" s="181">
        <f t="shared" si="17"/>
        <v>5.4299977675823676</v>
      </c>
      <c r="L14" s="181">
        <f t="shared" si="18"/>
        <v>7.2446999999999999</v>
      </c>
      <c r="M14" s="182">
        <f t="shared" si="0"/>
        <v>5.4947768276866222</v>
      </c>
      <c r="N14" s="273">
        <f>IF($I$2="RRO (Capped)",VLOOKUP(A14,'Misc. Data &amp; Mechanisms'!$A$1278:$E$1368,2,FALSE),IF($I$2="RRO (Uncapped)",VLOOKUP(A14,'Misc. Data &amp; Mechanisms'!$G$1278:$K$1368,2,FALSE),AQ14))</f>
        <v>11.3147</v>
      </c>
      <c r="O14" s="183">
        <f t="shared" si="19"/>
        <v>61.859439932404577</v>
      </c>
      <c r="P14" s="198">
        <v>1.9462999999999999</v>
      </c>
      <c r="Q14" s="183">
        <f t="shared" si="1"/>
        <v>10.640761835527147</v>
      </c>
      <c r="R14" s="198">
        <v>0.69679999999999997</v>
      </c>
      <c r="S14" s="199">
        <v>0.34344999999999998</v>
      </c>
      <c r="T14" s="183">
        <f t="shared" si="2"/>
        <v>3.8095272296127609</v>
      </c>
      <c r="U14" s="194">
        <f t="shared" si="3"/>
        <v>10.646949999999999</v>
      </c>
      <c r="V14" s="126">
        <v>0.1111</v>
      </c>
      <c r="W14" s="123">
        <f t="shared" si="20"/>
        <v>3.3915760121154448</v>
      </c>
      <c r="X14" s="123">
        <f t="shared" si="21"/>
        <v>6.8725837764901492</v>
      </c>
      <c r="Y14" s="200">
        <v>-0.56559999999999999</v>
      </c>
      <c r="Z14" s="201">
        <v>1.5588</v>
      </c>
      <c r="AA14" s="202"/>
      <c r="AB14" s="1450"/>
      <c r="AC14" s="192">
        <f t="shared" si="4"/>
        <v>-3.0922339280553639</v>
      </c>
      <c r="AD14" s="192">
        <f t="shared" si="5"/>
        <v>8.522231695637732</v>
      </c>
      <c r="AE14" s="192">
        <f t="shared" si="6"/>
        <v>0</v>
      </c>
      <c r="AF14" s="203">
        <f t="shared" si="7"/>
        <v>0</v>
      </c>
      <c r="AG14" s="200">
        <f>IF(OR($I$2="RRO (Capped)",$I$2="RRO (Uncapped)"),VLOOKUP(A14,'Misc. Data &amp; Mechanisms'!$A$1483:$H$1574,2,FALSE),AR14)</f>
        <v>0.23369999999999999</v>
      </c>
      <c r="AH14" s="203">
        <f t="shared" si="22"/>
        <v>7.2446999999999999</v>
      </c>
      <c r="AI14" s="195">
        <f>5%</f>
        <v>0.05</v>
      </c>
      <c r="AJ14" s="341">
        <f>'Misc. Data &amp; Mechanisms'!AH287</f>
        <v>485.17388933532317</v>
      </c>
      <c r="AK14" s="196">
        <f>'Misc. Data &amp; Mechanisms'!AP287</f>
        <v>510.98777443754619</v>
      </c>
      <c r="AL14" s="196">
        <f>'Misc. Data &amp; Mechanisms'!K287</f>
        <v>546.71745545533315</v>
      </c>
      <c r="AM14" s="196">
        <f>'Misc. Data &amp; Mechanisms'!L287</f>
        <v>414.90806607674062</v>
      </c>
      <c r="AN14" s="196">
        <f>'Misc. Data &amp; Mechanisms'!M287</f>
        <v>307.05957775203962</v>
      </c>
      <c r="AO14" s="1463">
        <f>'Misc. Data &amp; Mechanisms'!$B$259</f>
        <v>611.34673880086393</v>
      </c>
      <c r="AP14" s="197">
        <f>IFERROR(IF('Personalized Bill Menu'!$B$30="Yes", IF('Personalized Bill Menu'!$B$34="Natural Gas",0,VLOOKUP($A14, 'Personalized Bill Menu'!$H$4:$L$93, 2, FALSE)), 0), 0)</f>
        <v>0</v>
      </c>
      <c r="AQ14" s="1343">
        <f>IFERROR(IF('Personalized Bill Menu'!$C$36="Custom", IF('Personalized Bill Menu'!$B$34="Natural Gas",0,VLOOKUP($A14, 'Personalized Bill Menu'!$H$4:$L$93, 3, FALSE)), 0), 0)</f>
        <v>0</v>
      </c>
      <c r="AR14" s="1344">
        <f>IFERROR(IF('Personalized Bill Menu'!$C$36="Custom", IF('Personalized Bill Menu'!$B$34="Natural Gas",0,VLOOKUP($A14, 'Personalized Bill Menu'!$H$4:$L$93, 4, FALSE)), 0), 0)</f>
        <v>0</v>
      </c>
      <c r="AS14" s="2"/>
      <c r="AT14" s="2"/>
      <c r="AU14" s="2"/>
    </row>
    <row r="15" spans="1:47" ht="15" x14ac:dyDescent="0.25">
      <c r="A15" s="176">
        <v>41153</v>
      </c>
      <c r="B15" s="177">
        <f t="shared" si="8"/>
        <v>30</v>
      </c>
      <c r="C15" s="1581">
        <f t="shared" si="9"/>
        <v>539.75497456034395</v>
      </c>
      <c r="D15" s="178">
        <f t="shared" si="10"/>
        <v>20.389937279419645</v>
      </c>
      <c r="E15" s="178">
        <f t="shared" si="11"/>
        <v>16.799015341499999</v>
      </c>
      <c r="F15" s="179">
        <f t="shared" si="12"/>
        <v>110.05570077540159</v>
      </c>
      <c r="G15" s="180">
        <f t="shared" si="13"/>
        <v>58.093827911929822</v>
      </c>
      <c r="H15" s="181">
        <f t="shared" si="14"/>
        <v>10.505251069867974</v>
      </c>
      <c r="I15" s="181">
        <f t="shared" si="15"/>
        <v>14.064512662736476</v>
      </c>
      <c r="J15" s="181">
        <f t="shared" si="16"/>
        <v>9.7795150675624924</v>
      </c>
      <c r="K15" s="181">
        <f t="shared" si="17"/>
        <v>5.3608464073333355</v>
      </c>
      <c r="L15" s="181">
        <f t="shared" si="18"/>
        <v>7.0110000000000001</v>
      </c>
      <c r="M15" s="182">
        <f t="shared" si="0"/>
        <v>5.2407476559715045</v>
      </c>
      <c r="N15" s="273">
        <f>IF($I$2="RRO (Capped)",VLOOKUP(A15,'Misc. Data &amp; Mechanisms'!$A$1278:$E$1368,2,FALSE),IF($I$2="RRO (Uncapped)",VLOOKUP(A15,'Misc. Data &amp; Mechanisms'!$G$1278:$K$1368,2,FALSE),AQ15))</f>
        <v>10.763</v>
      </c>
      <c r="O15" s="183">
        <f t="shared" si="19"/>
        <v>58.093827911929822</v>
      </c>
      <c r="P15" s="198">
        <v>1.9462999999999999</v>
      </c>
      <c r="Q15" s="183">
        <f t="shared" si="1"/>
        <v>10.505251069867974</v>
      </c>
      <c r="R15" s="198">
        <v>0.69679999999999997</v>
      </c>
      <c r="S15" s="199">
        <v>0.34344999999999998</v>
      </c>
      <c r="T15" s="183">
        <f t="shared" si="2"/>
        <v>3.7610126627364764</v>
      </c>
      <c r="U15" s="194">
        <f t="shared" si="3"/>
        <v>10.3035</v>
      </c>
      <c r="V15" s="126">
        <v>0.1111</v>
      </c>
      <c r="W15" s="123">
        <f t="shared" si="20"/>
        <v>3.3252907865470878</v>
      </c>
      <c r="X15" s="123">
        <f t="shared" si="21"/>
        <v>6.4542242810154038</v>
      </c>
      <c r="Y15" s="200">
        <v>-0.56559999999999999</v>
      </c>
      <c r="Z15" s="201">
        <v>1.5588</v>
      </c>
      <c r="AA15" s="202"/>
      <c r="AB15" s="1450"/>
      <c r="AC15" s="192">
        <f t="shared" si="4"/>
        <v>-3.052854136113305</v>
      </c>
      <c r="AD15" s="192">
        <f t="shared" si="5"/>
        <v>8.413700543446641</v>
      </c>
      <c r="AE15" s="192">
        <f t="shared" si="6"/>
        <v>0</v>
      </c>
      <c r="AF15" s="203">
        <f t="shared" si="7"/>
        <v>0</v>
      </c>
      <c r="AG15" s="200">
        <f>IF(OR($I$2="RRO (Capped)",$I$2="RRO (Uncapped)"),VLOOKUP(A15,'Misc. Data &amp; Mechanisms'!$A$1483:$H$1574,2,FALSE),AR15)</f>
        <v>0.23369999999999999</v>
      </c>
      <c r="AH15" s="203">
        <f t="shared" si="22"/>
        <v>7.0110000000000001</v>
      </c>
      <c r="AI15" s="195">
        <f>5%</f>
        <v>0.05</v>
      </c>
      <c r="AJ15" s="341">
        <f>'Misc. Data &amp; Mechanisms'!AH288</f>
        <v>478.99516959345681</v>
      </c>
      <c r="AK15" s="196">
        <f>'Misc. Data &amp; Mechanisms'!AP288</f>
        <v>477.09322011784911</v>
      </c>
      <c r="AL15" s="196">
        <f>'Misc. Data &amp; Mechanisms'!K288</f>
        <v>539.75497456034395</v>
      </c>
      <c r="AM15" s="196">
        <f>'Misc. Data &amp; Mechanisms'!L288</f>
        <v>409.62418597668</v>
      </c>
      <c r="AN15" s="196">
        <f>'Misc. Data &amp; Mechanisms'!M288</f>
        <v>303.14915487750108</v>
      </c>
      <c r="AO15" s="1463">
        <f>'Misc. Data &amp; Mechanisms'!$B$259</f>
        <v>611.34673880086393</v>
      </c>
      <c r="AP15" s="197">
        <f>IFERROR(IF('Personalized Bill Menu'!$B$30="Yes", IF('Personalized Bill Menu'!$B$34="Natural Gas",0,VLOOKUP($A15, 'Personalized Bill Menu'!$H$4:$L$93, 2, FALSE)), 0), 0)</f>
        <v>0</v>
      </c>
      <c r="AQ15" s="1343">
        <f>IFERROR(IF('Personalized Bill Menu'!$C$36="Custom", IF('Personalized Bill Menu'!$B$34="Natural Gas",0,VLOOKUP($A15, 'Personalized Bill Menu'!$H$4:$L$93, 3, FALSE)), 0), 0)</f>
        <v>0</v>
      </c>
      <c r="AR15" s="1344">
        <f>IFERROR(IF('Personalized Bill Menu'!$C$36="Custom", IF('Personalized Bill Menu'!$B$34="Natural Gas",0,VLOOKUP($A15, 'Personalized Bill Menu'!$H$4:$L$93, 4, FALSE)), 0), 0)</f>
        <v>0</v>
      </c>
      <c r="AS15" s="2"/>
      <c r="AT15" s="2"/>
      <c r="AU15" s="2"/>
    </row>
    <row r="16" spans="1:47" ht="15" x14ac:dyDescent="0.25">
      <c r="A16" s="176">
        <v>41183</v>
      </c>
      <c r="B16" s="177">
        <f t="shared" si="8"/>
        <v>31</v>
      </c>
      <c r="C16" s="1581">
        <f t="shared" si="9"/>
        <v>629.88348353718152</v>
      </c>
      <c r="D16" s="178">
        <f t="shared" si="10"/>
        <v>17.487299350583566</v>
      </c>
      <c r="E16" s="178">
        <f t="shared" si="11"/>
        <v>14.307623588999999</v>
      </c>
      <c r="F16" s="179">
        <f t="shared" si="12"/>
        <v>110.1496103260307</v>
      </c>
      <c r="G16" s="180">
        <f t="shared" si="13"/>
        <v>60.608648552914673</v>
      </c>
      <c r="H16" s="181">
        <f t="shared" si="14"/>
        <v>12.259422240084163</v>
      </c>
      <c r="I16" s="181">
        <f t="shared" si="15"/>
        <v>15.035978113287079</v>
      </c>
      <c r="J16" s="181">
        <f t="shared" si="16"/>
        <v>9.765090132663051</v>
      </c>
      <c r="K16" s="181">
        <f>SUM($AC16:$AF16)</f>
        <v>-9.4482522530574542E-3</v>
      </c>
      <c r="L16" s="181">
        <f t="shared" si="18"/>
        <v>7.2446999999999999</v>
      </c>
      <c r="M16" s="182">
        <f t="shared" si="0"/>
        <v>5.2452195393347951</v>
      </c>
      <c r="N16" s="273">
        <f>IF($I$2="RRO (Capped)",VLOOKUP(A16,'Misc. Data &amp; Mechanisms'!$A$1278:$E$1368,2,FALSE),IF($I$2="RRO (Uncapped)",VLOOKUP(A16,'Misc. Data &amp; Mechanisms'!$G$1278:$K$1368,2,FALSE),AQ16))</f>
        <v>9.6221999999999994</v>
      </c>
      <c r="O16" s="183">
        <f t="shared" si="19"/>
        <v>60.608648552914673</v>
      </c>
      <c r="P16" s="198">
        <v>1.9462999999999999</v>
      </c>
      <c r="Q16" s="183">
        <f t="shared" si="1"/>
        <v>12.259422240084163</v>
      </c>
      <c r="R16" s="198">
        <v>0.69679999999999997</v>
      </c>
      <c r="S16" s="199">
        <v>0.34344999999999998</v>
      </c>
      <c r="T16" s="183">
        <f t="shared" si="2"/>
        <v>4.3890281132870808</v>
      </c>
      <c r="U16" s="194">
        <f t="shared" si="3"/>
        <v>10.646949999999999</v>
      </c>
      <c r="V16" s="126">
        <v>0.1111</v>
      </c>
      <c r="W16" s="123">
        <f t="shared" si="20"/>
        <v>3.0314692784342303</v>
      </c>
      <c r="X16" s="123">
        <f t="shared" si="21"/>
        <v>6.7336208542288203</v>
      </c>
      <c r="Y16" s="200">
        <v>-0.56559999999999999</v>
      </c>
      <c r="Z16" s="204">
        <v>0.56410000000000005</v>
      </c>
      <c r="AA16" s="205"/>
      <c r="AB16" s="386"/>
      <c r="AC16" s="192">
        <f t="shared" si="4"/>
        <v>-3.5626209828862985</v>
      </c>
      <c r="AD16" s="192">
        <f t="shared" si="5"/>
        <v>3.553172730633241</v>
      </c>
      <c r="AE16" s="192">
        <f t="shared" si="6"/>
        <v>0</v>
      </c>
      <c r="AF16" s="203">
        <f t="shared" si="7"/>
        <v>0</v>
      </c>
      <c r="AG16" s="200">
        <f>IF(OR($I$2="RRO (Capped)",$I$2="RRO (Uncapped)"),VLOOKUP(A16,'Misc. Data &amp; Mechanisms'!$A$1483:$H$1574,2,FALSE),AR16)</f>
        <v>0.23369999999999999</v>
      </c>
      <c r="AH16" s="203">
        <f t="shared" si="22"/>
        <v>7.2446999999999999</v>
      </c>
      <c r="AI16" s="195">
        <f>5%</f>
        <v>0.05</v>
      </c>
      <c r="AJ16" s="341">
        <f>'Misc. Data &amp; Mechanisms'!AH289</f>
        <v>558.97798119742697</v>
      </c>
      <c r="AK16" s="196">
        <f>'Misc. Data &amp; Mechanisms'!AP289</f>
        <v>561.42480335661935</v>
      </c>
      <c r="AL16" s="196">
        <f>'Misc. Data &amp; Mechanisms'!K289</f>
        <v>629.88348353718152</v>
      </c>
      <c r="AM16" s="196">
        <f>'Misc. Data &amp; Mechanisms'!L289</f>
        <v>478.02340203393095</v>
      </c>
      <c r="AN16" s="196">
        <f>'Misc. Data &amp; Mechanisms'!M289</f>
        <v>353.76912618754403</v>
      </c>
      <c r="AO16" s="1463">
        <f>'Misc. Data &amp; Mechanisms'!$B$259</f>
        <v>611.34673880086393</v>
      </c>
      <c r="AP16" s="197">
        <f>IFERROR(IF('Personalized Bill Menu'!$B$30="Yes", IF('Personalized Bill Menu'!$B$34="Natural Gas",0,VLOOKUP($A16, 'Personalized Bill Menu'!$H$4:$L$93, 2, FALSE)), 0), 0)</f>
        <v>0</v>
      </c>
      <c r="AQ16" s="1343">
        <f>IFERROR(IF('Personalized Bill Menu'!$C$36="Custom", IF('Personalized Bill Menu'!$B$34="Natural Gas",0,VLOOKUP($A16, 'Personalized Bill Menu'!$H$4:$L$93, 3, FALSE)), 0), 0)</f>
        <v>0</v>
      </c>
      <c r="AR16" s="1344">
        <f>IFERROR(IF('Personalized Bill Menu'!$C$36="Custom", IF('Personalized Bill Menu'!$B$34="Natural Gas",0,VLOOKUP($A16, 'Personalized Bill Menu'!$H$4:$L$93, 4, FALSE)), 0), 0)</f>
        <v>0</v>
      </c>
      <c r="AS16" s="2"/>
      <c r="AT16" s="2"/>
      <c r="AU16" s="2"/>
    </row>
    <row r="17" spans="1:47" ht="15" x14ac:dyDescent="0.25">
      <c r="A17" s="176">
        <v>41214</v>
      </c>
      <c r="B17" s="177">
        <f t="shared" si="8"/>
        <v>30</v>
      </c>
      <c r="C17" s="1581">
        <f t="shared" si="9"/>
        <v>657.98042355140103</v>
      </c>
      <c r="D17" s="178">
        <f t="shared" si="10"/>
        <v>14.660207188805099</v>
      </c>
      <c r="E17" s="178">
        <f t="shared" si="11"/>
        <v>11.7144995205</v>
      </c>
      <c r="F17" s="179">
        <f t="shared" si="12"/>
        <v>96.461293354412746</v>
      </c>
      <c r="G17" s="180">
        <f t="shared" si="13"/>
        <v>48.687261440685916</v>
      </c>
      <c r="H17" s="181">
        <f t="shared" si="14"/>
        <v>12.806272983580916</v>
      </c>
      <c r="I17" s="181">
        <f t="shared" si="15"/>
        <v>14.888307591306162</v>
      </c>
      <c r="J17" s="181">
        <f t="shared" si="16"/>
        <v>8.4849261235543114</v>
      </c>
      <c r="K17" s="181">
        <f t="shared" si="17"/>
        <v>-9.8697063532702245E-3</v>
      </c>
      <c r="L17" s="181">
        <f t="shared" si="18"/>
        <v>7.0110000000000001</v>
      </c>
      <c r="M17" s="182">
        <f t="shared" si="0"/>
        <v>4.5933949216387022</v>
      </c>
      <c r="N17" s="273">
        <f>IF($I$2="RRO (Capped)",VLOOKUP(A17,'Misc. Data &amp; Mechanisms'!$A$1278:$E$1368,2,FALSE),IF($I$2="RRO (Uncapped)",VLOOKUP(A17,'Misc. Data &amp; Mechanisms'!$G$1278:$K$1368,2,FALSE),AQ17))</f>
        <v>7.3994999999999997</v>
      </c>
      <c r="O17" s="183">
        <f t="shared" si="19"/>
        <v>48.687261440685916</v>
      </c>
      <c r="P17" s="198">
        <v>1.9462999999999999</v>
      </c>
      <c r="Q17" s="183">
        <f t="shared" si="1"/>
        <v>12.806272983580916</v>
      </c>
      <c r="R17" s="198">
        <v>0.69679999999999997</v>
      </c>
      <c r="S17" s="199">
        <v>0.34344999999999998</v>
      </c>
      <c r="T17" s="183">
        <f t="shared" si="2"/>
        <v>4.5848075913061619</v>
      </c>
      <c r="U17" s="194">
        <f t="shared" si="3"/>
        <v>10.3035</v>
      </c>
      <c r="V17" s="126">
        <v>0.1111</v>
      </c>
      <c r="W17" s="123">
        <f t="shared" si="20"/>
        <v>3.0757713774941058</v>
      </c>
      <c r="X17" s="123">
        <f t="shared" si="21"/>
        <v>5.4091547460602056</v>
      </c>
      <c r="Y17" s="200">
        <v>-0.56559999999999999</v>
      </c>
      <c r="Z17" s="204">
        <v>0.56410000000000005</v>
      </c>
      <c r="AA17" s="205"/>
      <c r="AB17" s="386"/>
      <c r="AC17" s="192">
        <f t="shared" si="4"/>
        <v>-3.7215372756067238</v>
      </c>
      <c r="AD17" s="192">
        <f t="shared" si="5"/>
        <v>3.7116675692534535</v>
      </c>
      <c r="AE17" s="192">
        <f t="shared" si="6"/>
        <v>0</v>
      </c>
      <c r="AF17" s="203">
        <f t="shared" si="7"/>
        <v>0</v>
      </c>
      <c r="AG17" s="200">
        <f>IF(OR($I$2="RRO (Capped)",$I$2="RRO (Uncapped)"),VLOOKUP(A17,'Misc. Data &amp; Mechanisms'!$A$1483:$H$1574,2,FALSE),AR17)</f>
        <v>0.23369999999999999</v>
      </c>
      <c r="AH17" s="203">
        <f t="shared" si="22"/>
        <v>7.0110000000000001</v>
      </c>
      <c r="AI17" s="195">
        <f>5%</f>
        <v>0.05</v>
      </c>
      <c r="AJ17" s="341">
        <f>'Misc. Data &amp; Mechanisms'!AH290</f>
        <v>583.9120701479377</v>
      </c>
      <c r="AK17" s="196">
        <f>'Misc. Data &amp; Mechanisms'!AP290</f>
        <v>607.35645018924583</v>
      </c>
      <c r="AL17" s="196">
        <f>'Misc. Data &amp; Mechanisms'!K290</f>
        <v>657.98042355140103</v>
      </c>
      <c r="AM17" s="196">
        <f>'Misc. Data &amp; Mechanisms'!L290</f>
        <v>499.34638509885792</v>
      </c>
      <c r="AN17" s="196">
        <f>'Misc. Data &amp; Mechanisms'!M290</f>
        <v>369.54955253172443</v>
      </c>
      <c r="AO17" s="1463">
        <f>'Misc. Data &amp; Mechanisms'!$B$259</f>
        <v>611.34673880086393</v>
      </c>
      <c r="AP17" s="197">
        <f>IFERROR(IF('Personalized Bill Menu'!$B$30="Yes", IF('Personalized Bill Menu'!$B$34="Natural Gas",0,VLOOKUP($A17, 'Personalized Bill Menu'!$H$4:$L$93, 2, FALSE)), 0), 0)</f>
        <v>0</v>
      </c>
      <c r="AQ17" s="1343">
        <f>IFERROR(IF('Personalized Bill Menu'!$C$36="Custom", IF('Personalized Bill Menu'!$B$34="Natural Gas",0,VLOOKUP($A17, 'Personalized Bill Menu'!$H$4:$L$93, 3, FALSE)), 0), 0)</f>
        <v>0</v>
      </c>
      <c r="AR17" s="1344">
        <f>IFERROR(IF('Personalized Bill Menu'!$C$36="Custom", IF('Personalized Bill Menu'!$B$34="Natural Gas",0,VLOOKUP($A17, 'Personalized Bill Menu'!$H$4:$L$93, 4, FALSE)), 0), 0)</f>
        <v>0</v>
      </c>
      <c r="AS17" s="2"/>
      <c r="AT17" s="2"/>
      <c r="AU17" s="2"/>
    </row>
    <row r="18" spans="1:47" ht="15" x14ac:dyDescent="0.25">
      <c r="A18" s="229">
        <v>41244</v>
      </c>
      <c r="B18" s="230">
        <f t="shared" si="8"/>
        <v>31</v>
      </c>
      <c r="C18" s="231">
        <f t="shared" si="9"/>
        <v>761.27007914030821</v>
      </c>
      <c r="D18" s="208">
        <f t="shared" si="10"/>
        <v>15.607836625418976</v>
      </c>
      <c r="E18" s="208">
        <f t="shared" si="11"/>
        <v>12.976936896000002</v>
      </c>
      <c r="F18" s="232">
        <f t="shared" si="12"/>
        <v>118.81779023041705</v>
      </c>
      <c r="G18" s="233">
        <f t="shared" si="13"/>
        <v>64.567883032364378</v>
      </c>
      <c r="H18" s="208">
        <f t="shared" si="14"/>
        <v>14.816599550307817</v>
      </c>
      <c r="I18" s="208">
        <f t="shared" si="15"/>
        <v>15.951479911449667</v>
      </c>
      <c r="J18" s="1149">
        <f t="shared" si="16"/>
        <v>10.590556776510052</v>
      </c>
      <c r="K18" s="208">
        <f t="shared" si="17"/>
        <v>-1.1419051187104401E-2</v>
      </c>
      <c r="L18" s="208">
        <f t="shared" si="18"/>
        <v>7.2446999999999999</v>
      </c>
      <c r="M18" s="234">
        <f t="shared" si="0"/>
        <v>5.6579900109722407</v>
      </c>
      <c r="N18" s="1243">
        <f>IF($I$2="RRO (Capped)",VLOOKUP(A18,'Misc. Data &amp; Mechanisms'!$A$1278:$E$1368,2,FALSE),IF($I$2="RRO (Uncapped)",VLOOKUP(A18,'Misc. Data &amp; Mechanisms'!$G$1278:$K$1368,2,FALSE),AQ18))</f>
        <v>8.4816000000000003</v>
      </c>
      <c r="O18" s="235">
        <f t="shared" si="19"/>
        <v>64.567883032364378</v>
      </c>
      <c r="P18" s="236">
        <v>1.9462999999999999</v>
      </c>
      <c r="Q18" s="235">
        <f t="shared" si="1"/>
        <v>14.816599550307817</v>
      </c>
      <c r="R18" s="236">
        <v>0.69679999999999997</v>
      </c>
      <c r="S18" s="1235">
        <v>0.34344999999999998</v>
      </c>
      <c r="T18" s="235">
        <f t="shared" si="2"/>
        <v>5.3045299114496673</v>
      </c>
      <c r="U18" s="237">
        <f t="shared" si="3"/>
        <v>10.646949999999999</v>
      </c>
      <c r="V18" s="238">
        <v>0.1111</v>
      </c>
      <c r="W18" s="235">
        <f t="shared" si="20"/>
        <v>3.4170649716143693</v>
      </c>
      <c r="X18" s="235">
        <f t="shared" si="21"/>
        <v>7.1734918048956828</v>
      </c>
      <c r="Y18" s="239">
        <v>-0.56559999999999999</v>
      </c>
      <c r="Z18" s="1236">
        <v>0.56410000000000005</v>
      </c>
      <c r="AA18" s="246"/>
      <c r="AB18" s="399"/>
      <c r="AC18" s="240">
        <f t="shared" si="4"/>
        <v>-4.3057435676175828</v>
      </c>
      <c r="AD18" s="240">
        <f t="shared" si="5"/>
        <v>4.2943245164304784</v>
      </c>
      <c r="AE18" s="240">
        <f t="shared" si="6"/>
        <v>0</v>
      </c>
      <c r="AF18" s="241">
        <f t="shared" si="7"/>
        <v>0</v>
      </c>
      <c r="AG18" s="239">
        <f>IF(OR($I$2="RRO (Capped)",$I$2="RRO (Uncapped)"),VLOOKUP(A18,'Misc. Data &amp; Mechanisms'!$A$1483:$H$1574,2,FALSE),AR18)</f>
        <v>0.23369999999999999</v>
      </c>
      <c r="AH18" s="241">
        <f t="shared" si="22"/>
        <v>7.2446999999999999</v>
      </c>
      <c r="AI18" s="242">
        <f>5%</f>
        <v>0.05</v>
      </c>
      <c r="AJ18" s="352">
        <f>'Misc. Data &amp; Mechanisms'!AH291</f>
        <v>675.57448814854672</v>
      </c>
      <c r="AK18" s="1089">
        <f>'Misc. Data &amp; Mechanisms'!AP291</f>
        <v>714.27882923412301</v>
      </c>
      <c r="AL18" s="1089">
        <f>'Misc. Data &amp; Mechanisms'!K291</f>
        <v>761.27007914030821</v>
      </c>
      <c r="AM18" s="1089">
        <f>'Misc. Data &amp; Mechanisms'!L291</f>
        <v>577.73369616510831</v>
      </c>
      <c r="AN18" s="1089">
        <f>'Misc. Data &amp; Mechanisms'!M291</f>
        <v>427.56137877727338</v>
      </c>
      <c r="AO18" s="1464">
        <f>'Misc. Data &amp; Mechanisms'!$B$259</f>
        <v>611.34673880086393</v>
      </c>
      <c r="AP18" s="243">
        <f>IFERROR(IF('Personalized Bill Menu'!$B$30="Yes", IF('Personalized Bill Menu'!$B$34="Natural Gas",0,VLOOKUP($A18, 'Personalized Bill Menu'!$H$4:$L$93, 2, FALSE)), 0), 0)</f>
        <v>0</v>
      </c>
      <c r="AQ18" s="1345">
        <f>IFERROR(IF('Personalized Bill Menu'!$C$36="Custom", IF('Personalized Bill Menu'!$B$34="Natural Gas",0,VLOOKUP($A18, 'Personalized Bill Menu'!$H$4:$L$93, 3, FALSE)), 0), 0)</f>
        <v>0</v>
      </c>
      <c r="AR18" s="1346">
        <f>IFERROR(IF('Personalized Bill Menu'!$C$36="Custom", IF('Personalized Bill Menu'!$B$34="Natural Gas",0,VLOOKUP($A18, 'Personalized Bill Menu'!$H$4:$L$93, 4, FALSE)), 0), 0)</f>
        <v>0</v>
      </c>
      <c r="AS18" s="2"/>
      <c r="AT18" s="2"/>
      <c r="AU18" s="2"/>
    </row>
    <row r="19" spans="1:47" ht="15" x14ac:dyDescent="0.25">
      <c r="A19" s="210">
        <v>41275</v>
      </c>
      <c r="B19" s="211">
        <f t="shared" si="8"/>
        <v>31</v>
      </c>
      <c r="C19" s="212">
        <f t="shared" si="9"/>
        <v>695.70470034835296</v>
      </c>
      <c r="D19" s="215">
        <f t="shared" si="10"/>
        <v>16.626706437860761</v>
      </c>
      <c r="E19" s="215">
        <f t="shared" si="11"/>
        <v>13.74786252</v>
      </c>
      <c r="F19" s="213">
        <f t="shared" si="12"/>
        <v>115.67277820131953</v>
      </c>
      <c r="G19" s="214">
        <f t="shared" si="13"/>
        <v>63.604106524647825</v>
      </c>
      <c r="H19" s="215">
        <f t="shared" si="14"/>
        <v>13.540500582879991</v>
      </c>
      <c r="I19" s="215">
        <f t="shared" si="15"/>
        <v>15.494620352027322</v>
      </c>
      <c r="J19" s="215">
        <f t="shared" si="16"/>
        <v>10.291058778873445</v>
      </c>
      <c r="K19" s="215">
        <f t="shared" si="17"/>
        <v>-1.0435570505225034E-2</v>
      </c>
      <c r="L19" s="215">
        <f t="shared" si="18"/>
        <v>7.2446999999999999</v>
      </c>
      <c r="M19" s="216">
        <f t="shared" si="0"/>
        <v>5.5082275333961688</v>
      </c>
      <c r="N19" s="273">
        <f>IF($I$2="RRO (Capped)",VLOOKUP(A19,'Misc. Data &amp; Mechanisms'!$A$1278:$E$1368,2,FALSE),IF($I$2="RRO (Uncapped)",VLOOKUP(A19,'Misc. Data &amp; Mechanisms'!$G$1278:$K$1368,2,FALSE),AQ19))</f>
        <v>9.1424000000000003</v>
      </c>
      <c r="O19" s="217">
        <f t="shared" si="19"/>
        <v>63.604106524647825</v>
      </c>
      <c r="P19" s="218">
        <v>1.9462999999999999</v>
      </c>
      <c r="Q19" s="217">
        <f t="shared" si="1"/>
        <v>13.540500582879991</v>
      </c>
      <c r="R19" s="218">
        <v>0.69679999999999997</v>
      </c>
      <c r="S19" s="1237">
        <v>0.34344999999999998</v>
      </c>
      <c r="T19" s="217">
        <f t="shared" si="2"/>
        <v>4.8476703520273228</v>
      </c>
      <c r="U19" s="219">
        <f t="shared" si="3"/>
        <v>10.646949999999999</v>
      </c>
      <c r="V19" s="220">
        <v>0.1111</v>
      </c>
      <c r="W19" s="217">
        <f t="shared" si="20"/>
        <v>3.2246425439850719</v>
      </c>
      <c r="X19" s="217">
        <f t="shared" si="21"/>
        <v>7.0664162348883739</v>
      </c>
      <c r="Y19" s="221">
        <v>-0.56559999999999999</v>
      </c>
      <c r="Z19" s="1238">
        <v>0.56410000000000005</v>
      </c>
      <c r="AA19" s="245"/>
      <c r="AB19" s="1451"/>
      <c r="AC19" s="223">
        <f t="shared" si="4"/>
        <v>-3.934905785170284</v>
      </c>
      <c r="AD19" s="223">
        <f t="shared" si="5"/>
        <v>3.924470214665059</v>
      </c>
      <c r="AE19" s="223">
        <f t="shared" si="6"/>
        <v>0</v>
      </c>
      <c r="AF19" s="224">
        <f t="shared" si="7"/>
        <v>0</v>
      </c>
      <c r="AG19" s="200">
        <f>IF(OR($I$2="RRO (Capped)",$I$2="RRO (Uncapped)"),VLOOKUP(A19,'Misc. Data &amp; Mechanisms'!$A$1483:$H$1574,2,FALSE),AR19)</f>
        <v>0.23369999999999999</v>
      </c>
      <c r="AH19" s="224">
        <f t="shared" si="22"/>
        <v>7.2446999999999999</v>
      </c>
      <c r="AI19" s="225">
        <f>5%</f>
        <v>0.05</v>
      </c>
      <c r="AJ19" s="341">
        <f>'Misc. Data &amp; Mechanisms'!AH292</f>
        <v>617.38975393744818</v>
      </c>
      <c r="AK19" s="1239">
        <f>'Misc. Data &amp; Mechanisms'!AP292</f>
        <v>663.94521568698838</v>
      </c>
      <c r="AL19" s="1239">
        <f>'Misc. Data &amp; Mechanisms'!K292</f>
        <v>695.70470034835296</v>
      </c>
      <c r="AM19" s="1239">
        <f>'Misc. Data &amp; Mechanisms'!L292</f>
        <v>527.97562781606939</v>
      </c>
      <c r="AN19" s="1239">
        <f>'Misc. Data &amp; Mechanisms'!M292</f>
        <v>390.73709719247745</v>
      </c>
      <c r="AO19" s="1465">
        <f>'Misc. Data &amp; Mechanisms'!$B$259</f>
        <v>611.34673880086393</v>
      </c>
      <c r="AP19" s="197">
        <f>IFERROR(IF('Personalized Bill Menu'!$B$30="Yes", IF('Personalized Bill Menu'!$B$34="Natural Gas",0,VLOOKUP($A19, 'Personalized Bill Menu'!$H$4:$L$93, 2, FALSE)), 0), 0)</f>
        <v>0</v>
      </c>
      <c r="AQ19" s="1343">
        <f>IFERROR(IF('Personalized Bill Menu'!$C$36="Custom", IF('Personalized Bill Menu'!$B$34="Natural Gas",0,VLOOKUP($A19, 'Personalized Bill Menu'!$H$4:$L$93, 3, FALSE)), 0), 0)</f>
        <v>0</v>
      </c>
      <c r="AR19" s="1344">
        <f>IFERROR(IF('Personalized Bill Menu'!$C$36="Custom", IF('Personalized Bill Menu'!$B$34="Natural Gas",0,VLOOKUP($A19, 'Personalized Bill Menu'!$H$4:$L$93, 4, FALSE)), 0), 0)</f>
        <v>0</v>
      </c>
      <c r="AS19" s="2"/>
      <c r="AT19" s="2"/>
      <c r="AU19" s="2"/>
    </row>
    <row r="20" spans="1:47" ht="15" x14ac:dyDescent="0.25">
      <c r="A20" s="176">
        <v>41306</v>
      </c>
      <c r="B20" s="177">
        <f t="shared" si="8"/>
        <v>28</v>
      </c>
      <c r="C20" s="1581">
        <f t="shared" si="9"/>
        <v>588.63103674874526</v>
      </c>
      <c r="D20" s="178">
        <f t="shared" si="10"/>
        <v>15.127001095510904</v>
      </c>
      <c r="E20" s="178">
        <f t="shared" si="11"/>
        <v>12.053762794499999</v>
      </c>
      <c r="F20" s="179">
        <f t="shared" si="12"/>
        <v>89.04222337749988</v>
      </c>
      <c r="G20" s="180">
        <f t="shared" si="13"/>
        <v>45.267492619088756</v>
      </c>
      <c r="H20" s="181">
        <f t="shared" si="14"/>
        <v>11.456525868240828</v>
      </c>
      <c r="I20" s="181">
        <f t="shared" si="15"/>
        <v>13.718181064065256</v>
      </c>
      <c r="J20" s="181">
        <f t="shared" si="16"/>
        <v>7.8251474165372255</v>
      </c>
      <c r="K20" s="181">
        <f t="shared" si="17"/>
        <v>-8.8294655512308751E-3</v>
      </c>
      <c r="L20" s="181">
        <f t="shared" si="18"/>
        <v>6.5435999999999996</v>
      </c>
      <c r="M20" s="182">
        <f t="shared" si="0"/>
        <v>4.2401058751190419</v>
      </c>
      <c r="N20" s="273">
        <f>IF($I$2="RRO (Capped)",VLOOKUP(A20,'Misc. Data &amp; Mechanisms'!$A$1278:$E$1368,2,FALSE),IF($I$2="RRO (Uncapped)",VLOOKUP(A20,'Misc. Data &amp; Mechanisms'!$G$1278:$K$1368,2,FALSE),AQ20))</f>
        <v>7.6902999999999997</v>
      </c>
      <c r="O20" s="183">
        <f t="shared" si="19"/>
        <v>45.267492619088756</v>
      </c>
      <c r="P20" s="198">
        <v>1.9462999999999999</v>
      </c>
      <c r="Q20" s="183">
        <f t="shared" si="1"/>
        <v>11.456525868240828</v>
      </c>
      <c r="R20" s="198">
        <v>0.69679999999999997</v>
      </c>
      <c r="S20" s="199">
        <v>0.34344999999999998</v>
      </c>
      <c r="T20" s="183">
        <f t="shared" si="2"/>
        <v>4.1015810640652566</v>
      </c>
      <c r="U20" s="194">
        <f t="shared" si="3"/>
        <v>9.6166</v>
      </c>
      <c r="V20" s="126">
        <v>0.1111</v>
      </c>
      <c r="W20" s="123">
        <f t="shared" si="20"/>
        <v>2.7959289865564645</v>
      </c>
      <c r="X20" s="123">
        <f t="shared" si="21"/>
        <v>5.0292184299807614</v>
      </c>
      <c r="Y20" s="200">
        <v>-0.56559999999999999</v>
      </c>
      <c r="Z20" s="201">
        <v>0.56410000000000005</v>
      </c>
      <c r="AA20" s="202"/>
      <c r="AB20" s="1450"/>
      <c r="AC20" s="192">
        <f t="shared" si="4"/>
        <v>-3.3292971438509031</v>
      </c>
      <c r="AD20" s="192">
        <f t="shared" si="5"/>
        <v>3.3204676782996723</v>
      </c>
      <c r="AE20" s="192">
        <f t="shared" si="6"/>
        <v>0</v>
      </c>
      <c r="AF20" s="203">
        <f t="shared" si="7"/>
        <v>0</v>
      </c>
      <c r="AG20" s="200">
        <f>IF(OR($I$2="RRO (Capped)",$I$2="RRO (Uncapped)"),VLOOKUP(A20,'Misc. Data &amp; Mechanisms'!$A$1483:$H$1574,2,FALSE),AR20)</f>
        <v>0.23369999999999999</v>
      </c>
      <c r="AH20" s="203">
        <f t="shared" si="22"/>
        <v>6.5435999999999996</v>
      </c>
      <c r="AI20" s="195">
        <f>5%</f>
        <v>0.05</v>
      </c>
      <c r="AJ20" s="341">
        <f>'Misc. Data &amp; Mechanisms'!AH293</f>
        <v>522.36929081589358</v>
      </c>
      <c r="AK20" s="196">
        <f>'Misc. Data &amp; Mechanisms'!AP293</f>
        <v>549.528043350958</v>
      </c>
      <c r="AL20" s="196">
        <f>'Misc. Data &amp; Mechanisms'!K293</f>
        <v>588.63103674874526</v>
      </c>
      <c r="AM20" s="196">
        <f>'Misc. Data &amp; Mechanisms'!L293</f>
        <v>446.71660407616554</v>
      </c>
      <c r="AN20" s="196">
        <f>'Misc. Data &amp; Mechanisms'!M293</f>
        <v>330.60001247862459</v>
      </c>
      <c r="AO20" s="1463">
        <f>'Misc. Data &amp; Mechanisms'!$B$259</f>
        <v>611.34673880086393</v>
      </c>
      <c r="AP20" s="197">
        <f>IFERROR(IF('Personalized Bill Menu'!$B$30="Yes", IF('Personalized Bill Menu'!$B$34="Natural Gas",0,VLOOKUP($A20, 'Personalized Bill Menu'!$H$4:$L$93, 2, FALSE)), 0), 0)</f>
        <v>0</v>
      </c>
      <c r="AQ20" s="1343">
        <f>IFERROR(IF('Personalized Bill Menu'!$C$36="Custom", IF('Personalized Bill Menu'!$B$34="Natural Gas",0,VLOOKUP($A20, 'Personalized Bill Menu'!$H$4:$L$93, 3, FALSE)), 0), 0)</f>
        <v>0</v>
      </c>
      <c r="AR20" s="1344">
        <f>IFERROR(IF('Personalized Bill Menu'!$C$36="Custom", IF('Personalized Bill Menu'!$B$34="Natural Gas",0,VLOOKUP($A20, 'Personalized Bill Menu'!$H$4:$L$93, 4, FALSE)), 0), 0)</f>
        <v>0</v>
      </c>
      <c r="AS20" s="2"/>
      <c r="AT20" s="2"/>
      <c r="AU20" s="2"/>
    </row>
    <row r="21" spans="1:47" ht="15" x14ac:dyDescent="0.25">
      <c r="A21" s="176">
        <v>41334</v>
      </c>
      <c r="B21" s="177">
        <f t="shared" si="8"/>
        <v>31</v>
      </c>
      <c r="C21" s="1581">
        <f t="shared" si="9"/>
        <v>635.48405455189265</v>
      </c>
      <c r="D21" s="178">
        <f t="shared" si="10"/>
        <v>14.672604484709394</v>
      </c>
      <c r="E21" s="178">
        <f t="shared" si="11"/>
        <v>11.520951455999999</v>
      </c>
      <c r="F21" s="179">
        <f t="shared" si="12"/>
        <v>93.242061887794094</v>
      </c>
      <c r="G21" s="180">
        <f t="shared" si="13"/>
        <v>45.968374570065706</v>
      </c>
      <c r="H21" s="181">
        <f t="shared" si="14"/>
        <v>12.368426153743485</v>
      </c>
      <c r="I21" s="181">
        <f t="shared" si="15"/>
        <v>15.075002892117586</v>
      </c>
      <c r="J21" s="181">
        <f t="shared" si="16"/>
        <v>8.1549923475525539</v>
      </c>
      <c r="K21" s="181">
        <f>SUM($AC21:$AF21)</f>
        <v>-9.5322608182781821E-3</v>
      </c>
      <c r="L21" s="181">
        <f t="shared" si="18"/>
        <v>7.2446999999999999</v>
      </c>
      <c r="M21" s="182">
        <f t="shared" si="0"/>
        <v>4.4400981851330519</v>
      </c>
      <c r="N21" s="273">
        <f>IF($I$2="RRO (Capped)",VLOOKUP(A21,'Misc. Data &amp; Mechanisms'!$A$1278:$E$1368,2,FALSE),IF($I$2="RRO (Uncapped)",VLOOKUP(A21,'Misc. Data &amp; Mechanisms'!$G$1278:$K$1368,2,FALSE),AQ21))</f>
        <v>7.2336</v>
      </c>
      <c r="O21" s="183">
        <f t="shared" si="19"/>
        <v>45.968374570065706</v>
      </c>
      <c r="P21" s="198">
        <v>1.9462999999999999</v>
      </c>
      <c r="Q21" s="183">
        <f t="shared" si="1"/>
        <v>12.368426153743485</v>
      </c>
      <c r="R21" s="198">
        <v>0.69679999999999997</v>
      </c>
      <c r="S21" s="199">
        <v>0.34344999999999998</v>
      </c>
      <c r="T21" s="183">
        <f t="shared" si="2"/>
        <v>4.4280528921175879</v>
      </c>
      <c r="U21" s="194">
        <f t="shared" si="3"/>
        <v>10.646949999999999</v>
      </c>
      <c r="V21" s="126">
        <v>0.1111</v>
      </c>
      <c r="W21" s="123">
        <f t="shared" si="20"/>
        <v>3.0479059328182547</v>
      </c>
      <c r="X21" s="123">
        <f t="shared" si="21"/>
        <v>5.1070864147343</v>
      </c>
      <c r="Y21" s="200">
        <v>-0.56559999999999999</v>
      </c>
      <c r="Z21" s="201">
        <v>0.56410000000000005</v>
      </c>
      <c r="AA21" s="202"/>
      <c r="AB21" s="1450"/>
      <c r="AC21" s="192">
        <f t="shared" si="4"/>
        <v>-3.5942978125455047</v>
      </c>
      <c r="AD21" s="192">
        <f t="shared" si="5"/>
        <v>3.5847655517272266</v>
      </c>
      <c r="AE21" s="192">
        <f t="shared" si="6"/>
        <v>0</v>
      </c>
      <c r="AF21" s="203">
        <f t="shared" si="7"/>
        <v>0</v>
      </c>
      <c r="AG21" s="200">
        <f>IF(OR($I$2="RRO (Capped)",$I$2="RRO (Uncapped)"),VLOOKUP(A21,'Misc. Data &amp; Mechanisms'!$A$1483:$H$1574,2,FALSE),AR21)</f>
        <v>0.23369999999999999</v>
      </c>
      <c r="AH21" s="203">
        <f t="shared" si="22"/>
        <v>7.2446999999999999</v>
      </c>
      <c r="AI21" s="195">
        <f>5%</f>
        <v>0.05</v>
      </c>
      <c r="AJ21" s="341">
        <f>'Misc. Data &amp; Mechanisms'!AH294</f>
        <v>563.94810021336912</v>
      </c>
      <c r="AK21" s="196">
        <f>'Misc. Data &amp; Mechanisms'!AP294</f>
        <v>578.69697125062407</v>
      </c>
      <c r="AL21" s="196">
        <f>'Misc. Data &amp; Mechanisms'!K294</f>
        <v>635.48405455189265</v>
      </c>
      <c r="AM21" s="196">
        <f>'Misc. Data &amp; Mechanisms'!L294</f>
        <v>482.27371829044034</v>
      </c>
      <c r="AN21" s="196">
        <f>'Misc. Data &amp; Mechanisms'!M294</f>
        <v>356.91464304234285</v>
      </c>
      <c r="AO21" s="1463">
        <f>'Misc. Data &amp; Mechanisms'!$B$259</f>
        <v>611.34673880086393</v>
      </c>
      <c r="AP21" s="197">
        <f>IFERROR(IF('Personalized Bill Menu'!$B$30="Yes", IF('Personalized Bill Menu'!$B$34="Natural Gas",0,VLOOKUP($A21, 'Personalized Bill Menu'!$H$4:$L$93, 2, FALSE)), 0), 0)</f>
        <v>0</v>
      </c>
      <c r="AQ21" s="1343">
        <f>IFERROR(IF('Personalized Bill Menu'!$C$36="Custom", IF('Personalized Bill Menu'!$B$34="Natural Gas",0,VLOOKUP($A21, 'Personalized Bill Menu'!$H$4:$L$93, 3, FALSE)), 0), 0)</f>
        <v>0</v>
      </c>
      <c r="AR21" s="1344">
        <f>IFERROR(IF('Personalized Bill Menu'!$C$36="Custom", IF('Personalized Bill Menu'!$B$34="Natural Gas",0,VLOOKUP($A21, 'Personalized Bill Menu'!$H$4:$L$93, 4, FALSE)), 0), 0)</f>
        <v>0</v>
      </c>
      <c r="AS21" s="2"/>
      <c r="AT21" s="2"/>
      <c r="AU21" s="2"/>
    </row>
    <row r="22" spans="1:47" ht="15" x14ac:dyDescent="0.25">
      <c r="A22" s="176">
        <v>41365</v>
      </c>
      <c r="B22" s="177">
        <f t="shared" si="8"/>
        <v>30</v>
      </c>
      <c r="C22" s="1581">
        <f t="shared" si="9"/>
        <v>582.137273709135</v>
      </c>
      <c r="D22" s="178">
        <f t="shared" si="10"/>
        <v>16.916350261167111</v>
      </c>
      <c r="E22" s="178">
        <f t="shared" si="11"/>
        <v>13.58686413</v>
      </c>
      <c r="F22" s="179">
        <f t="shared" si="12"/>
        <v>98.476380221446362</v>
      </c>
      <c r="G22" s="180">
        <f t="shared" si="13"/>
        <v>48.857034970586575</v>
      </c>
      <c r="H22" s="181">
        <f t="shared" si="14"/>
        <v>11.330137758200893</v>
      </c>
      <c r="I22" s="181">
        <f t="shared" si="15"/>
        <v>14.359832523205252</v>
      </c>
      <c r="J22" s="181">
        <f t="shared" si="16"/>
        <v>8.6768218861640278</v>
      </c>
      <c r="K22" s="181">
        <f t="shared" si="17"/>
        <v>3.5522016441731412</v>
      </c>
      <c r="L22" s="181">
        <f t="shared" si="18"/>
        <v>7.0110000000000001</v>
      </c>
      <c r="M22" s="182">
        <f t="shared" si="0"/>
        <v>4.6893514391164937</v>
      </c>
      <c r="N22" s="273">
        <f>IF($I$2="RRO (Capped)",VLOOKUP(A22,'Misc. Data &amp; Mechanisms'!$A$1278:$E$1368,2,FALSE),IF($I$2="RRO (Uncapped)",VLOOKUP(A22,'Misc. Data &amp; Mechanisms'!$G$1278:$K$1368,2,FALSE),AQ22))</f>
        <v>8.3926999999999996</v>
      </c>
      <c r="O22" s="183">
        <f t="shared" si="19"/>
        <v>48.857034970586575</v>
      </c>
      <c r="P22" s="198">
        <v>1.9462999999999999</v>
      </c>
      <c r="Q22" s="183">
        <f t="shared" si="1"/>
        <v>11.330137758200893</v>
      </c>
      <c r="R22" s="198">
        <v>0.69679999999999997</v>
      </c>
      <c r="S22" s="199">
        <v>0.34344999999999998</v>
      </c>
      <c r="T22" s="183">
        <f t="shared" si="2"/>
        <v>4.0563325232052527</v>
      </c>
      <c r="U22" s="194">
        <f t="shared" si="3"/>
        <v>10.3035</v>
      </c>
      <c r="V22" s="126">
        <v>0.1111</v>
      </c>
      <c r="W22" s="123">
        <f t="shared" si="20"/>
        <v>3.2488053009318589</v>
      </c>
      <c r="X22" s="123">
        <f t="shared" si="21"/>
        <v>5.4280165852321689</v>
      </c>
      <c r="Y22" s="200">
        <v>-0.56559999999999999</v>
      </c>
      <c r="Z22" s="201">
        <v>1.1758</v>
      </c>
      <c r="AA22" s="202"/>
      <c r="AB22" s="1450"/>
      <c r="AC22" s="192">
        <f t="shared" si="4"/>
        <v>-3.2925684200988674</v>
      </c>
      <c r="AD22" s="192">
        <f t="shared" si="5"/>
        <v>6.8447700642720086</v>
      </c>
      <c r="AE22" s="192">
        <f t="shared" si="6"/>
        <v>0</v>
      </c>
      <c r="AF22" s="203">
        <f t="shared" si="7"/>
        <v>0</v>
      </c>
      <c r="AG22" s="200">
        <f>IF(OR($I$2="RRO (Capped)",$I$2="RRO (Uncapped)"),VLOOKUP(A22,'Misc. Data &amp; Mechanisms'!$A$1483:$H$1574,2,FALSE),AR22)</f>
        <v>0.23369999999999999</v>
      </c>
      <c r="AH22" s="203">
        <f t="shared" si="22"/>
        <v>7.0110000000000001</v>
      </c>
      <c r="AI22" s="195">
        <f>5%</f>
        <v>0.05</v>
      </c>
      <c r="AJ22" s="341">
        <f>'Misc. Data &amp; Mechanisms'!AH295</f>
        <v>516.60652571865387</v>
      </c>
      <c r="AK22" s="196">
        <f>'Misc. Data &amp; Mechanisms'!AP295</f>
        <v>522.8281415740812</v>
      </c>
      <c r="AL22" s="196">
        <f>'Misc. Data &amp; Mechanisms'!K295</f>
        <v>582.137273709135</v>
      </c>
      <c r="AM22" s="196">
        <f>'Misc. Data &amp; Mechanisms'!L295</f>
        <v>441.78843754802466</v>
      </c>
      <c r="AN22" s="196">
        <f>'Misc. Data &amp; Mechanisms'!M295</f>
        <v>326.95284131723582</v>
      </c>
      <c r="AO22" s="1463">
        <f>'Misc. Data &amp; Mechanisms'!$B$259</f>
        <v>611.34673880086393</v>
      </c>
      <c r="AP22" s="197">
        <f>IFERROR(IF('Personalized Bill Menu'!$B$30="Yes", IF('Personalized Bill Menu'!$B$34="Natural Gas",0,VLOOKUP($A22, 'Personalized Bill Menu'!$H$4:$L$93, 2, FALSE)), 0), 0)</f>
        <v>0</v>
      </c>
      <c r="AQ22" s="1343">
        <f>IFERROR(IF('Personalized Bill Menu'!$C$36="Custom", IF('Personalized Bill Menu'!$B$34="Natural Gas",0,VLOOKUP($A22, 'Personalized Bill Menu'!$H$4:$L$93, 3, FALSE)), 0), 0)</f>
        <v>0</v>
      </c>
      <c r="AR22" s="1344">
        <f>IFERROR(IF('Personalized Bill Menu'!$C$36="Custom", IF('Personalized Bill Menu'!$B$34="Natural Gas",0,VLOOKUP($A22, 'Personalized Bill Menu'!$H$4:$L$93, 4, FALSE)), 0), 0)</f>
        <v>0</v>
      </c>
      <c r="AS22" s="2"/>
      <c r="AT22" s="2"/>
      <c r="AU22" s="2"/>
    </row>
    <row r="23" spans="1:47" ht="15" x14ac:dyDescent="0.25">
      <c r="A23" s="176">
        <v>41395</v>
      </c>
      <c r="B23" s="177">
        <f t="shared" si="8"/>
        <v>31</v>
      </c>
      <c r="C23" s="1581">
        <f t="shared" si="9"/>
        <v>524.18966004109279</v>
      </c>
      <c r="D23" s="178">
        <f t="shared" si="10"/>
        <v>16.034280519794454</v>
      </c>
      <c r="E23" s="178">
        <f t="shared" si="11"/>
        <v>12.213477864</v>
      </c>
      <c r="F23" s="179">
        <f t="shared" si="12"/>
        <v>84.05004054674572</v>
      </c>
      <c r="G23" s="180">
        <f t="shared" si="13"/>
        <v>37.822904920265046</v>
      </c>
      <c r="H23" s="181">
        <f t="shared" si="14"/>
        <v>10.202303353379788</v>
      </c>
      <c r="I23" s="181">
        <f t="shared" si="15"/>
        <v>14.299503551166332</v>
      </c>
      <c r="J23" s="181">
        <f t="shared" si="16"/>
        <v>7.2796405331854315</v>
      </c>
      <c r="K23" s="181">
        <f t="shared" si="17"/>
        <v>3.1986053055707484</v>
      </c>
      <c r="L23" s="181">
        <f t="shared" si="18"/>
        <v>7.2446999999999999</v>
      </c>
      <c r="M23" s="182">
        <f t="shared" si="0"/>
        <v>4.0023828831783677</v>
      </c>
      <c r="N23" s="273">
        <f>IF($I$2="RRO (Capped)",VLOOKUP(A23,'Misc. Data &amp; Mechanisms'!$A$1278:$E$1368,2,FALSE),IF($I$2="RRO (Uncapped)",VLOOKUP(A23,'Misc. Data &amp; Mechanisms'!$G$1278:$K$1368,2,FALSE),AQ23))</f>
        <v>7.2154999999999996</v>
      </c>
      <c r="O23" s="183">
        <f t="shared" si="19"/>
        <v>37.822904920265046</v>
      </c>
      <c r="P23" s="198">
        <v>1.9462999999999999</v>
      </c>
      <c r="Q23" s="183">
        <f t="shared" si="1"/>
        <v>10.202303353379788</v>
      </c>
      <c r="R23" s="198">
        <v>0.69679999999999997</v>
      </c>
      <c r="S23" s="199">
        <v>0.34344999999999998</v>
      </c>
      <c r="T23" s="183">
        <f t="shared" si="2"/>
        <v>3.6525535511663341</v>
      </c>
      <c r="U23" s="194">
        <f t="shared" si="3"/>
        <v>10.646949999999999</v>
      </c>
      <c r="V23" s="126">
        <v>0.1111</v>
      </c>
      <c r="W23" s="123">
        <f t="shared" si="20"/>
        <v>3.0775157965439845</v>
      </c>
      <c r="X23" s="123">
        <f t="shared" si="21"/>
        <v>4.2021247366414469</v>
      </c>
      <c r="Y23" s="200">
        <v>-0.56559999999999999</v>
      </c>
      <c r="Z23" s="201">
        <v>1.1758</v>
      </c>
      <c r="AA23" s="202"/>
      <c r="AB23" s="1450"/>
      <c r="AC23" s="192">
        <f t="shared" si="4"/>
        <v>-2.9648167171924205</v>
      </c>
      <c r="AD23" s="192">
        <f t="shared" si="5"/>
        <v>6.1634220227631689</v>
      </c>
      <c r="AE23" s="192">
        <f t="shared" si="6"/>
        <v>0</v>
      </c>
      <c r="AF23" s="203">
        <f t="shared" si="7"/>
        <v>0</v>
      </c>
      <c r="AG23" s="200">
        <f>IF(OR($I$2="RRO (Capped)",$I$2="RRO (Uncapped)"),VLOOKUP(A23,'Misc. Data &amp; Mechanisms'!$A$1483:$H$1574,2,FALSE),AR23)</f>
        <v>0.23369999999999999</v>
      </c>
      <c r="AH23" s="203">
        <f t="shared" si="22"/>
        <v>7.2446999999999999</v>
      </c>
      <c r="AI23" s="195">
        <f>5%</f>
        <v>0.05</v>
      </c>
      <c r="AJ23" s="341">
        <f>'Misc. Data &amp; Mechanisms'!AH296</f>
        <v>465.18203063351069</v>
      </c>
      <c r="AK23" s="196">
        <f>'Misc. Data &amp; Mechanisms'!AP296</f>
        <v>484.40845953707566</v>
      </c>
      <c r="AL23" s="196">
        <f>'Misc. Data &amp; Mechanisms'!K296</f>
        <v>524.18966004109279</v>
      </c>
      <c r="AM23" s="196">
        <f>'Misc. Data &amp; Mechanisms'!L296</f>
        <v>397.81154952138331</v>
      </c>
      <c r="AN23" s="196">
        <f>'Misc. Data &amp; Mechanisms'!M296</f>
        <v>294.40701786291027</v>
      </c>
      <c r="AO23" s="1463">
        <f>'Misc. Data &amp; Mechanisms'!$B$259</f>
        <v>611.34673880086393</v>
      </c>
      <c r="AP23" s="197">
        <f>IFERROR(IF('Personalized Bill Menu'!$B$30="Yes", IF('Personalized Bill Menu'!$B$34="Natural Gas",0,VLOOKUP($A23, 'Personalized Bill Menu'!$H$4:$L$93, 2, FALSE)), 0), 0)</f>
        <v>0</v>
      </c>
      <c r="AQ23" s="1343">
        <f>IFERROR(IF('Personalized Bill Menu'!$C$36="Custom", IF('Personalized Bill Menu'!$B$34="Natural Gas",0,VLOOKUP($A23, 'Personalized Bill Menu'!$H$4:$L$93, 3, FALSE)), 0), 0)</f>
        <v>0</v>
      </c>
      <c r="AR23" s="1344">
        <f>IFERROR(IF('Personalized Bill Menu'!$C$36="Custom", IF('Personalized Bill Menu'!$B$34="Natural Gas",0,VLOOKUP($A23, 'Personalized Bill Menu'!$H$4:$L$93, 4, FALSE)), 0), 0)</f>
        <v>0</v>
      </c>
      <c r="AS23" s="2"/>
      <c r="AT23" s="2"/>
      <c r="AU23" s="2"/>
    </row>
    <row r="24" spans="1:47" ht="15" x14ac:dyDescent="0.25">
      <c r="A24" s="176">
        <v>41426</v>
      </c>
      <c r="B24" s="177">
        <f t="shared" si="8"/>
        <v>30</v>
      </c>
      <c r="C24" s="1581">
        <f t="shared" si="9"/>
        <v>529.52087601301878</v>
      </c>
      <c r="D24" s="178">
        <f t="shared" si="10"/>
        <v>16.235084289980595</v>
      </c>
      <c r="E24" s="178">
        <f t="shared" si="11"/>
        <v>12.803455297500001</v>
      </c>
      <c r="F24" s="179">
        <f t="shared" si="12"/>
        <v>85.968160553757244</v>
      </c>
      <c r="G24" s="180">
        <f t="shared" si="13"/>
        <v>40.885365878717209</v>
      </c>
      <c r="H24" s="181">
        <f t="shared" si="14"/>
        <v>10.306064809841383</v>
      </c>
      <c r="I24" s="181">
        <f t="shared" si="15"/>
        <v>13.993201464058714</v>
      </c>
      <c r="J24" s="181">
        <f t="shared" si="16"/>
        <v>7.4856700845772153</v>
      </c>
      <c r="K24" s="181">
        <f t="shared" si="17"/>
        <v>2.1931363854314405</v>
      </c>
      <c r="L24" s="181">
        <f t="shared" si="18"/>
        <v>7.0110000000000001</v>
      </c>
      <c r="M24" s="182">
        <f t="shared" si="0"/>
        <v>4.0937219311312978</v>
      </c>
      <c r="N24" s="273">
        <f>IF($I$2="RRO (Capped)",VLOOKUP(A24,'Misc. Data &amp; Mechanisms'!$A$1278:$E$1368,2,FALSE),IF($I$2="RRO (Uncapped)",VLOOKUP(A24,'Misc. Data &amp; Mechanisms'!$G$1278:$K$1368,2,FALSE),AQ24))</f>
        <v>7.7211999999999996</v>
      </c>
      <c r="O24" s="183">
        <f t="shared" si="19"/>
        <v>40.885365878717209</v>
      </c>
      <c r="P24" s="198">
        <v>1.9462999999999999</v>
      </c>
      <c r="Q24" s="183">
        <f t="shared" si="1"/>
        <v>10.306064809841383</v>
      </c>
      <c r="R24" s="198">
        <v>0.69679999999999997</v>
      </c>
      <c r="S24" s="199">
        <v>0.34344999999999998</v>
      </c>
      <c r="T24" s="183">
        <f t="shared" si="2"/>
        <v>3.6897014640587145</v>
      </c>
      <c r="U24" s="194">
        <f t="shared" si="3"/>
        <v>10.3035</v>
      </c>
      <c r="V24" s="126">
        <v>0.1111</v>
      </c>
      <c r="W24" s="123">
        <f t="shared" si="20"/>
        <v>2.9433059354517339</v>
      </c>
      <c r="X24" s="123">
        <f t="shared" si="21"/>
        <v>4.5423641491254818</v>
      </c>
      <c r="Y24" s="200">
        <v>-0.56559999999999999</v>
      </c>
      <c r="Z24" s="201">
        <v>1.1758</v>
      </c>
      <c r="AA24" s="202"/>
      <c r="AB24" s="1450">
        <v>-3.4599999999999999E-2</v>
      </c>
      <c r="AC24" s="192">
        <f t="shared" si="4"/>
        <v>-2.9949700747296339</v>
      </c>
      <c r="AD24" s="192">
        <f t="shared" si="5"/>
        <v>6.2261064601610743</v>
      </c>
      <c r="AE24" s="192">
        <f t="shared" si="6"/>
        <v>0</v>
      </c>
      <c r="AF24" s="203">
        <f>$AB24*$B24</f>
        <v>-1.038</v>
      </c>
      <c r="AG24" s="200">
        <f>IF(OR($I$2="RRO (Capped)",$I$2="RRO (Uncapped)"),VLOOKUP(A24,'Misc. Data &amp; Mechanisms'!$A$1483:$H$1574,2,FALSE),AR24)</f>
        <v>0.23369999999999999</v>
      </c>
      <c r="AH24" s="203">
        <f t="shared" si="22"/>
        <v>7.0110000000000001</v>
      </c>
      <c r="AI24" s="195">
        <f>5%</f>
        <v>0.05</v>
      </c>
      <c r="AJ24" s="341">
        <f>'Misc. Data &amp; Mechanisms'!AH297</f>
        <v>469.91311569797364</v>
      </c>
      <c r="AK24" s="196">
        <f>'Misc. Data &amp; Mechanisms'!AP297</f>
        <v>470.95388128869058</v>
      </c>
      <c r="AL24" s="196">
        <f>'Misc. Data &amp; Mechanisms'!K297</f>
        <v>529.52087601301878</v>
      </c>
      <c r="AM24" s="196">
        <f>'Misc. Data &amp; Mechanisms'!L297</f>
        <v>401.8574501720347</v>
      </c>
      <c r="AN24" s="196">
        <f>'Misc. Data &amp; Mechanisms'!M297</f>
        <v>297.40125356712997</v>
      </c>
      <c r="AO24" s="1463">
        <f>'Misc. Data &amp; Mechanisms'!$B$259</f>
        <v>611.34673880086393</v>
      </c>
      <c r="AP24" s="197">
        <f>IFERROR(IF('Personalized Bill Menu'!$B$30="Yes", IF('Personalized Bill Menu'!$B$34="Natural Gas",0,VLOOKUP($A24, 'Personalized Bill Menu'!$H$4:$L$93, 2, FALSE)), 0), 0)</f>
        <v>0</v>
      </c>
      <c r="AQ24" s="1343">
        <f>IFERROR(IF('Personalized Bill Menu'!$C$36="Custom", IF('Personalized Bill Menu'!$B$34="Natural Gas",0,VLOOKUP($A24, 'Personalized Bill Menu'!$H$4:$L$93, 3, FALSE)), 0), 0)</f>
        <v>0</v>
      </c>
      <c r="AR24" s="1344">
        <f>IFERROR(IF('Personalized Bill Menu'!$C$36="Custom", IF('Personalized Bill Menu'!$B$34="Natural Gas",0,VLOOKUP($A24, 'Personalized Bill Menu'!$H$4:$L$93, 4, FALSE)), 0), 0)</f>
        <v>0</v>
      </c>
      <c r="AS24" s="2"/>
      <c r="AT24" s="2"/>
      <c r="AU24" s="2"/>
    </row>
    <row r="25" spans="1:47" ht="15" x14ac:dyDescent="0.25">
      <c r="A25" s="176">
        <v>41456</v>
      </c>
      <c r="B25" s="177">
        <f t="shared" si="8"/>
        <v>31</v>
      </c>
      <c r="C25" s="1581">
        <f t="shared" si="9"/>
        <v>542.78935903304478</v>
      </c>
      <c r="D25" s="178">
        <f t="shared" si="10"/>
        <v>19.995968899845668</v>
      </c>
      <c r="E25" s="178">
        <f t="shared" si="11"/>
        <v>16.536634631999998</v>
      </c>
      <c r="F25" s="179">
        <f t="shared" si="12"/>
        <v>108.53599142391927</v>
      </c>
      <c r="G25" s="180">
        <f t="shared" si="13"/>
        <v>61.297202315601737</v>
      </c>
      <c r="H25" s="181">
        <f t="shared" si="14"/>
        <v>10.564309294860148</v>
      </c>
      <c r="I25" s="181">
        <f t="shared" si="15"/>
        <v>14.429106253742255</v>
      </c>
      <c r="J25" s="181">
        <f t="shared" si="16"/>
        <v>9.6114259731432448</v>
      </c>
      <c r="K25" s="181">
        <f t="shared" si="17"/>
        <v>0.22086704257574574</v>
      </c>
      <c r="L25" s="181">
        <f t="shared" si="18"/>
        <v>7.2446999999999999</v>
      </c>
      <c r="M25" s="182">
        <f t="shared" si="0"/>
        <v>5.1683805439961565</v>
      </c>
      <c r="N25" s="273">
        <f>IF($I$2="RRO (Capped)",VLOOKUP(A25,'Misc. Data &amp; Mechanisms'!$A$1278:$E$1368,2,FALSE),IF($I$2="RRO (Uncapped)",VLOOKUP(A25,'Misc. Data &amp; Mechanisms'!$G$1278:$K$1368,2,FALSE),AQ25))</f>
        <v>11.292999999999999</v>
      </c>
      <c r="O25" s="183">
        <f t="shared" si="19"/>
        <v>61.297202315601737</v>
      </c>
      <c r="P25" s="198">
        <v>1.9462999999999999</v>
      </c>
      <c r="Q25" s="183">
        <f t="shared" si="1"/>
        <v>10.564309294860148</v>
      </c>
      <c r="R25" s="198">
        <v>0.69679999999999997</v>
      </c>
      <c r="S25" s="199">
        <v>0.34344999999999998</v>
      </c>
      <c r="T25" s="183">
        <f t="shared" si="2"/>
        <v>3.7821562537422557</v>
      </c>
      <c r="U25" s="194">
        <f t="shared" si="3"/>
        <v>10.646949999999999</v>
      </c>
      <c r="V25" s="126">
        <v>0.1111</v>
      </c>
      <c r="W25" s="123">
        <f t="shared" si="20"/>
        <v>2.8013067958798921</v>
      </c>
      <c r="X25" s="123">
        <f t="shared" si="21"/>
        <v>6.8101191772633536</v>
      </c>
      <c r="Y25" s="200">
        <v>-0.56559999999999999</v>
      </c>
      <c r="Z25" s="201">
        <v>0.80389999999999995</v>
      </c>
      <c r="AA25" s="205"/>
      <c r="AB25" s="386">
        <v>-3.4599999999999999E-2</v>
      </c>
      <c r="AC25" s="192">
        <f t="shared" si="4"/>
        <v>-3.0700166146909011</v>
      </c>
      <c r="AD25" s="192">
        <f t="shared" si="5"/>
        <v>4.3634836572666469</v>
      </c>
      <c r="AE25" s="192">
        <f t="shared" si="6"/>
        <v>0</v>
      </c>
      <c r="AF25" s="203">
        <f t="shared" si="7"/>
        <v>-1.0726</v>
      </c>
      <c r="AG25" s="200">
        <f>IF(OR($I$2="RRO (Capped)",$I$2="RRO (Uncapped)"),VLOOKUP(A25,'Misc. Data &amp; Mechanisms'!$A$1483:$H$1574,2,FALSE),AR25)</f>
        <v>0.23369999999999999</v>
      </c>
      <c r="AH25" s="203">
        <f t="shared" si="22"/>
        <v>7.2446999999999999</v>
      </c>
      <c r="AI25" s="195">
        <f>5%</f>
        <v>0.05</v>
      </c>
      <c r="AJ25" s="341">
        <f>'Misc. Data &amp; Mechanisms'!AH298</f>
        <v>481.68797572515945</v>
      </c>
      <c r="AK25" s="196">
        <f>'Misc. Data &amp; Mechanisms'!AP298</f>
        <v>503.85754984348307</v>
      </c>
      <c r="AL25" s="196">
        <f>'Misc. Data &amp; Mechanisms'!K298</f>
        <v>542.78935903304478</v>
      </c>
      <c r="AM25" s="196">
        <f>'Misc. Data &amp; Mechanisms'!L298</f>
        <v>411.92700360347965</v>
      </c>
      <c r="AN25" s="196">
        <f>'Misc. Data &amp; Mechanisms'!M298</f>
        <v>304.8533931556604</v>
      </c>
      <c r="AO25" s="1463">
        <f>'Misc. Data &amp; Mechanisms'!$B$259</f>
        <v>611.34673880086393</v>
      </c>
      <c r="AP25" s="197">
        <f>IFERROR(IF('Personalized Bill Menu'!$B$30="Yes", IF('Personalized Bill Menu'!$B$34="Natural Gas",0,VLOOKUP($A25, 'Personalized Bill Menu'!$H$4:$L$93, 2, FALSE)), 0), 0)</f>
        <v>0</v>
      </c>
      <c r="AQ25" s="1343">
        <f>IFERROR(IF('Personalized Bill Menu'!$C$36="Custom", IF('Personalized Bill Menu'!$B$34="Natural Gas",0,VLOOKUP($A25, 'Personalized Bill Menu'!$H$4:$L$93, 3, FALSE)), 0), 0)</f>
        <v>0</v>
      </c>
      <c r="AR25" s="1344">
        <f>IFERROR(IF('Personalized Bill Menu'!$C$36="Custom", IF('Personalized Bill Menu'!$B$34="Natural Gas",0,VLOOKUP($A25, 'Personalized Bill Menu'!$H$4:$L$93, 4, FALSE)), 0), 0)</f>
        <v>0</v>
      </c>
      <c r="AS25" s="2"/>
      <c r="AT25" s="2"/>
      <c r="AU25" s="2"/>
    </row>
    <row r="26" spans="1:47" x14ac:dyDescent="0.35">
      <c r="A26" s="176">
        <v>41487</v>
      </c>
      <c r="B26" s="177">
        <f t="shared" si="8"/>
        <v>31</v>
      </c>
      <c r="C26" s="1581">
        <f t="shared" si="9"/>
        <v>552.5367918507244</v>
      </c>
      <c r="D26" s="178">
        <f t="shared" si="10"/>
        <v>19.839276252152018</v>
      </c>
      <c r="E26" s="178">
        <f t="shared" si="11"/>
        <v>16.440968922</v>
      </c>
      <c r="F26" s="179">
        <f t="shared" si="12"/>
        <v>109.6193005300434</v>
      </c>
      <c r="G26" s="180">
        <f t="shared" si="13"/>
        <v>61.944899734384713</v>
      </c>
      <c r="H26" s="181">
        <f t="shared" si="14"/>
        <v>10.754023579790648</v>
      </c>
      <c r="I26" s="181">
        <f t="shared" si="15"/>
        <v>14.497026365615845</v>
      </c>
      <c r="J26" s="181">
        <f t="shared" si="16"/>
        <v>9.7145889833651111</v>
      </c>
      <c r="K26" s="181">
        <f t="shared" si="17"/>
        <v>0.24409517498027578</v>
      </c>
      <c r="L26" s="181">
        <f t="shared" si="18"/>
        <v>7.2446999999999999</v>
      </c>
      <c r="M26" s="182">
        <f t="shared" si="0"/>
        <v>5.219966691906829</v>
      </c>
      <c r="N26" s="273">
        <f>IF($I$2="RRO (Capped)",VLOOKUP(A26,'Misc. Data &amp; Mechanisms'!$A$1278:$E$1368,2,FALSE),IF($I$2="RRO (Uncapped)",VLOOKUP(A26,'Misc. Data &amp; Mechanisms'!$G$1278:$K$1368,2,FALSE),AQ26))</f>
        <v>11.211</v>
      </c>
      <c r="O26" s="183">
        <f t="shared" si="19"/>
        <v>61.944899734384713</v>
      </c>
      <c r="P26" s="198">
        <v>1.9462999999999999</v>
      </c>
      <c r="Q26" s="183">
        <f t="shared" si="1"/>
        <v>10.754023579790648</v>
      </c>
      <c r="R26" s="198">
        <v>0.69679999999999997</v>
      </c>
      <c r="S26" s="199">
        <v>0.34344999999999998</v>
      </c>
      <c r="T26" s="183">
        <f t="shared" si="2"/>
        <v>3.8500763656158474</v>
      </c>
      <c r="U26" s="194">
        <f t="shared" si="3"/>
        <v>10.646949999999999</v>
      </c>
      <c r="V26" s="126">
        <v>0.1111</v>
      </c>
      <c r="W26" s="123">
        <f t="shared" si="20"/>
        <v>2.8325106228749704</v>
      </c>
      <c r="X26" s="123">
        <f t="shared" si="21"/>
        <v>6.8820783604901417</v>
      </c>
      <c r="Y26" s="200">
        <v>-0.56559999999999999</v>
      </c>
      <c r="Z26" s="201">
        <v>0.80389999999999995</v>
      </c>
      <c r="AA26" s="202"/>
      <c r="AB26" s="1450">
        <v>-3.4599999999999999E-2</v>
      </c>
      <c r="AC26" s="192">
        <f t="shared" si="4"/>
        <v>-3.1251480947076971</v>
      </c>
      <c r="AD26" s="192">
        <f t="shared" si="5"/>
        <v>4.4418432696879728</v>
      </c>
      <c r="AE26" s="192">
        <f t="shared" si="6"/>
        <v>0</v>
      </c>
      <c r="AF26" s="203">
        <f t="shared" si="7"/>
        <v>-1.0726</v>
      </c>
      <c r="AG26" s="200">
        <f>IF(OR($I$2="RRO (Capped)",$I$2="RRO (Uncapped)"),VLOOKUP(A26,'Misc. Data &amp; Mechanisms'!$A$1483:$H$1574,2,FALSE),AR26)</f>
        <v>0.23369999999999999</v>
      </c>
      <c r="AH26" s="203">
        <f t="shared" si="22"/>
        <v>7.2446999999999999</v>
      </c>
      <c r="AI26" s="195">
        <f>5%</f>
        <v>0.05</v>
      </c>
      <c r="AJ26" s="341">
        <f>'Misc. Data &amp; Mechanisms'!AH299</f>
        <v>490.33814748023843</v>
      </c>
      <c r="AK26" s="196">
        <f>'Misc. Data &amp; Mechanisms'!AP299</f>
        <v>503.25925664322148</v>
      </c>
      <c r="AL26" s="196">
        <f>'Misc. Data &amp; Mechanisms'!K299</f>
        <v>552.5367918507244</v>
      </c>
      <c r="AM26" s="196">
        <f>'Misc. Data &amp; Mechanisms'!L299</f>
        <v>419.32440505690153</v>
      </c>
      <c r="AN26" s="196">
        <f>'Misc. Data &amp; Mechanisms'!M299</f>
        <v>310.32796246984179</v>
      </c>
      <c r="AO26" s="1463">
        <f>'Misc. Data &amp; Mechanisms'!$B$259</f>
        <v>611.34673880086393</v>
      </c>
      <c r="AP26" s="197">
        <f>IFERROR(IF('Personalized Bill Menu'!$B$30="Yes", IF('Personalized Bill Menu'!$B$34="Natural Gas",0,VLOOKUP($A26, 'Personalized Bill Menu'!$H$4:$L$93, 2, FALSE)), 0), 0)</f>
        <v>0</v>
      </c>
      <c r="AQ26" s="1343">
        <f>IFERROR(IF('Personalized Bill Menu'!$C$36="Custom", IF('Personalized Bill Menu'!$B$34="Natural Gas",0,VLOOKUP($A26, 'Personalized Bill Menu'!$H$4:$L$93, 3, FALSE)), 0), 0)</f>
        <v>0</v>
      </c>
      <c r="AR26" s="1344">
        <f>IFERROR(IF('Personalized Bill Menu'!$C$36="Custom", IF('Personalized Bill Menu'!$B$34="Natural Gas",0,VLOOKUP($A26, 'Personalized Bill Menu'!$H$4:$L$93, 4, FALSE)), 0), 0)</f>
        <v>0</v>
      </c>
      <c r="AS26" s="2"/>
      <c r="AT26" s="2"/>
      <c r="AU26" s="2"/>
    </row>
    <row r="27" spans="1:47" x14ac:dyDescent="0.35">
      <c r="A27" s="176">
        <v>41518</v>
      </c>
      <c r="B27" s="177">
        <f t="shared" si="8"/>
        <v>30</v>
      </c>
      <c r="C27" s="1581">
        <f t="shared" si="9"/>
        <v>548.43636134944279</v>
      </c>
      <c r="D27" s="178">
        <f t="shared" si="10"/>
        <v>19.668218663075749</v>
      </c>
      <c r="E27" s="178">
        <f t="shared" si="11"/>
        <v>16.134138657000001</v>
      </c>
      <c r="F27" s="179">
        <f t="shared" si="12"/>
        <v>107.86766277802467</v>
      </c>
      <c r="G27" s="180">
        <f t="shared" si="13"/>
        <v>60.042812840537003</v>
      </c>
      <c r="H27" s="181">
        <f t="shared" si="14"/>
        <v>10.674216900944204</v>
      </c>
      <c r="I27" s="181">
        <f t="shared" si="15"/>
        <v>14.125004565882916</v>
      </c>
      <c r="J27" s="181">
        <f t="shared" si="16"/>
        <v>9.571149251182689</v>
      </c>
      <c r="K27" s="181">
        <f t="shared" si="17"/>
        <v>1.3069238490957216</v>
      </c>
      <c r="L27" s="181">
        <f t="shared" si="18"/>
        <v>7.0110000000000001</v>
      </c>
      <c r="M27" s="182">
        <f t="shared" si="0"/>
        <v>5.1365553703821272</v>
      </c>
      <c r="N27" s="273">
        <f>IF($I$2="RRO (Capped)",VLOOKUP(A27,'Misc. Data &amp; Mechanisms'!$A$1278:$E$1368,2,FALSE),IF($I$2="RRO (Uncapped)",VLOOKUP(A27,'Misc. Data &amp; Mechanisms'!$G$1278:$K$1368,2,FALSE),AQ27))</f>
        <v>10.948</v>
      </c>
      <c r="O27" s="183">
        <f t="shared" si="19"/>
        <v>60.042812840537003</v>
      </c>
      <c r="P27" s="198">
        <v>1.9462999999999999</v>
      </c>
      <c r="Q27" s="183">
        <f t="shared" si="1"/>
        <v>10.674216900944204</v>
      </c>
      <c r="R27" s="198">
        <v>0.69679999999999997</v>
      </c>
      <c r="S27" s="199">
        <v>0.34344999999999998</v>
      </c>
      <c r="T27" s="183">
        <f t="shared" si="2"/>
        <v>3.821504565882917</v>
      </c>
      <c r="U27" s="194">
        <f t="shared" si="3"/>
        <v>10.3035</v>
      </c>
      <c r="V27" s="126">
        <v>0.1111</v>
      </c>
      <c r="W27" s="123">
        <f t="shared" si="20"/>
        <v>2.9003927445990278</v>
      </c>
      <c r="X27" s="123">
        <f t="shared" si="21"/>
        <v>6.6707565065836611</v>
      </c>
      <c r="Y27" s="200">
        <v>-0.56559999999999999</v>
      </c>
      <c r="Z27" s="201">
        <v>0.80389999999999995</v>
      </c>
      <c r="AA27" s="202"/>
      <c r="AB27" s="1450"/>
      <c r="AC27" s="192">
        <f t="shared" si="4"/>
        <v>-3.1019560597924483</v>
      </c>
      <c r="AD27" s="192">
        <f t="shared" si="5"/>
        <v>4.4088799088881698</v>
      </c>
      <c r="AE27" s="192">
        <f t="shared" si="6"/>
        <v>0</v>
      </c>
      <c r="AF27" s="203">
        <f t="shared" si="7"/>
        <v>0</v>
      </c>
      <c r="AG27" s="200">
        <f>IF(OR($I$2="RRO (Capped)",$I$2="RRO (Uncapped)"),VLOOKUP(A27,'Misc. Data &amp; Mechanisms'!$A$1483:$H$1574,2,FALSE),AR27)</f>
        <v>0.23369999999999999</v>
      </c>
      <c r="AH27" s="203">
        <f t="shared" si="22"/>
        <v>7.0110000000000001</v>
      </c>
      <c r="AI27" s="195">
        <f>5%</f>
        <v>0.05</v>
      </c>
      <c r="AJ27" s="341">
        <f>'Misc. Data &amp; Mechanisms'!AH300</f>
        <v>486.69929930664375</v>
      </c>
      <c r="AK27" s="196">
        <f>'Misc. Data &amp; Mechanisms'!AP300</f>
        <v>488.30890756761858</v>
      </c>
      <c r="AL27" s="196">
        <f>'Misc. Data &amp; Mechanisms'!K300</f>
        <v>548.43636134944279</v>
      </c>
      <c r="AM27" s="196">
        <f>'Misc. Data &amp; Mechanisms'!L300</f>
        <v>416.21255693061136</v>
      </c>
      <c r="AN27" s="196">
        <f>'Misc. Data &amp; Mechanisms'!M300</f>
        <v>308.0249877874686</v>
      </c>
      <c r="AO27" s="1463">
        <f>'Misc. Data &amp; Mechanisms'!$B$259</f>
        <v>611.34673880086393</v>
      </c>
      <c r="AP27" s="197">
        <f>IFERROR(IF('Personalized Bill Menu'!$B$30="Yes", IF('Personalized Bill Menu'!$B$34="Natural Gas",0,VLOOKUP($A27, 'Personalized Bill Menu'!$H$4:$L$93, 2, FALSE)), 0), 0)</f>
        <v>0</v>
      </c>
      <c r="AQ27" s="1343">
        <f>IFERROR(IF('Personalized Bill Menu'!$C$36="Custom", IF('Personalized Bill Menu'!$B$34="Natural Gas",0,VLOOKUP($A27, 'Personalized Bill Menu'!$H$4:$L$93, 3, FALSE)), 0), 0)</f>
        <v>0</v>
      </c>
      <c r="AR27" s="1344">
        <f>IFERROR(IF('Personalized Bill Menu'!$C$36="Custom", IF('Personalized Bill Menu'!$B$34="Natural Gas",0,VLOOKUP($A27, 'Personalized Bill Menu'!$H$4:$L$93, 4, FALSE)), 0), 0)</f>
        <v>0</v>
      </c>
      <c r="AS27" s="2"/>
      <c r="AT27" s="2"/>
      <c r="AU27" s="2"/>
    </row>
    <row r="28" spans="1:47" x14ac:dyDescent="0.35">
      <c r="A28" s="176">
        <v>41548</v>
      </c>
      <c r="B28" s="177">
        <f t="shared" si="8"/>
        <v>31</v>
      </c>
      <c r="C28" s="1581">
        <f t="shared" si="9"/>
        <v>603.77371963474275</v>
      </c>
      <c r="D28" s="178">
        <f t="shared" si="10"/>
        <v>17.356471511191952</v>
      </c>
      <c r="E28" s="178">
        <f t="shared" si="11"/>
        <v>14.039292939000003</v>
      </c>
      <c r="F28" s="179">
        <f t="shared" si="12"/>
        <v>104.79381364046809</v>
      </c>
      <c r="G28" s="180">
        <f t="shared" si="13"/>
        <v>48.660539160242458</v>
      </c>
      <c r="H28" s="181">
        <f t="shared" si="14"/>
        <v>11.751247905250997</v>
      </c>
      <c r="I28" s="181">
        <f t="shared" si="15"/>
        <v>14.854045278414887</v>
      </c>
      <c r="J28" s="181">
        <f t="shared" si="16"/>
        <v>9.2550601651353706</v>
      </c>
      <c r="K28" s="181">
        <f t="shared" si="17"/>
        <v>8.038039529497329</v>
      </c>
      <c r="L28" s="181">
        <f t="shared" si="18"/>
        <v>7.2446999999999999</v>
      </c>
      <c r="M28" s="182">
        <f t="shared" si="0"/>
        <v>4.990181601927052</v>
      </c>
      <c r="N28" s="273">
        <f>IF($I$2="RRO (Capped)",VLOOKUP(A28,'Misc. Data &amp; Mechanisms'!$A$1278:$E$1368,2,FALSE),IF($I$2="RRO (Uncapped)",VLOOKUP(A28,'Misc. Data &amp; Mechanisms'!$G$1278:$K$1368,2,FALSE),AQ28))</f>
        <v>8.0594000000000001</v>
      </c>
      <c r="O28" s="183">
        <f t="shared" si="19"/>
        <v>48.660539160242458</v>
      </c>
      <c r="P28" s="198">
        <v>1.9462999999999999</v>
      </c>
      <c r="Q28" s="183">
        <f t="shared" si="1"/>
        <v>11.751247905250997</v>
      </c>
      <c r="R28" s="198">
        <v>0.69679999999999997</v>
      </c>
      <c r="S28" s="199">
        <v>0.34344999999999998</v>
      </c>
      <c r="T28" s="183">
        <f t="shared" si="2"/>
        <v>4.2070952784148874</v>
      </c>
      <c r="U28" s="194">
        <f t="shared" si="3"/>
        <v>10.646949999999999</v>
      </c>
      <c r="V28" s="126">
        <v>0.1111</v>
      </c>
      <c r="W28" s="123">
        <f t="shared" si="20"/>
        <v>3.8488742644324336</v>
      </c>
      <c r="X28" s="123">
        <f t="shared" si="21"/>
        <v>5.4061859007029369</v>
      </c>
      <c r="Y28" s="200">
        <v>-0.56559999999999999</v>
      </c>
      <c r="Z28" s="204">
        <v>1.8969</v>
      </c>
      <c r="AA28" s="205"/>
      <c r="AB28" s="386"/>
      <c r="AC28" s="192">
        <f t="shared" si="4"/>
        <v>-3.4149441582541047</v>
      </c>
      <c r="AD28" s="192">
        <f t="shared" si="5"/>
        <v>11.452983687751434</v>
      </c>
      <c r="AE28" s="192">
        <f t="shared" si="6"/>
        <v>0</v>
      </c>
      <c r="AF28" s="203">
        <f t="shared" si="7"/>
        <v>0</v>
      </c>
      <c r="AG28" s="200">
        <f>IF(OR($I$2="RRO (Capped)",$I$2="RRO (Uncapped)"),VLOOKUP(A28,'Misc. Data &amp; Mechanisms'!$A$1483:$H$1574,2,FALSE),AR28)</f>
        <v>0.23369999999999999</v>
      </c>
      <c r="AH28" s="203">
        <f t="shared" si="22"/>
        <v>7.2446999999999999</v>
      </c>
      <c r="AI28" s="195">
        <f>5%</f>
        <v>0.05</v>
      </c>
      <c r="AJ28" s="341">
        <f>'Misc. Data &amp; Mechanisms'!AH301</f>
        <v>535.80737346253602</v>
      </c>
      <c r="AK28" s="196">
        <f>'Misc. Data &amp; Mechanisms'!AP301</f>
        <v>536.24747166657312</v>
      </c>
      <c r="AL28" s="196">
        <f>'Misc. Data &amp; Mechanisms'!K301</f>
        <v>603.77371963474275</v>
      </c>
      <c r="AM28" s="196">
        <f>'Misc. Data &amp; Mechanisms'!L301</f>
        <v>458.20850214664131</v>
      </c>
      <c r="AN28" s="196">
        <f>'Misc. Data &amp; Mechanisms'!M301</f>
        <v>339.10478174584125</v>
      </c>
      <c r="AO28" s="1463">
        <f>'Misc. Data &amp; Mechanisms'!$B$259</f>
        <v>611.34673880086393</v>
      </c>
      <c r="AP28" s="197">
        <f>IFERROR(IF('Personalized Bill Menu'!$B$30="Yes", IF('Personalized Bill Menu'!$B$34="Natural Gas",0,VLOOKUP($A28, 'Personalized Bill Menu'!$H$4:$L$93, 2, FALSE)), 0), 0)</f>
        <v>0</v>
      </c>
      <c r="AQ28" s="1343">
        <f>IFERROR(IF('Personalized Bill Menu'!$C$36="Custom", IF('Personalized Bill Menu'!$B$34="Natural Gas",0,VLOOKUP($A28, 'Personalized Bill Menu'!$H$4:$L$93, 3, FALSE)), 0), 0)</f>
        <v>0</v>
      </c>
      <c r="AR28" s="1344">
        <f>IFERROR(IF('Personalized Bill Menu'!$C$36="Custom", IF('Personalized Bill Menu'!$B$34="Natural Gas",0,VLOOKUP($A28, 'Personalized Bill Menu'!$H$4:$L$93, 4, FALSE)), 0), 0)</f>
        <v>0</v>
      </c>
      <c r="AS28" s="2"/>
      <c r="AT28" s="2"/>
      <c r="AU28" s="2"/>
    </row>
    <row r="29" spans="1:47" x14ac:dyDescent="0.35">
      <c r="A29" s="176">
        <v>41579</v>
      </c>
      <c r="B29" s="177">
        <f t="shared" si="8"/>
        <v>30</v>
      </c>
      <c r="C29" s="1581">
        <f t="shared" si="9"/>
        <v>654.080202180794</v>
      </c>
      <c r="D29" s="178">
        <f t="shared" si="10"/>
        <v>16.819750758482481</v>
      </c>
      <c r="E29" s="178">
        <f t="shared" si="11"/>
        <v>13.8564781005</v>
      </c>
      <c r="F29" s="179">
        <f t="shared" si="12"/>
        <v>110.01465976738784</v>
      </c>
      <c r="G29" s="180">
        <f t="shared" si="13"/>
        <v>51.689996137741609</v>
      </c>
      <c r="H29" s="181">
        <f t="shared" si="14"/>
        <v>12.730362975044793</v>
      </c>
      <c r="I29" s="181">
        <f t="shared" si="15"/>
        <v>14.861130848795771</v>
      </c>
      <c r="J29" s="181">
        <f t="shared" si="16"/>
        <v>9.7756067519161967</v>
      </c>
      <c r="K29" s="181">
        <f t="shared" si="17"/>
        <v>8.7077697316329115</v>
      </c>
      <c r="L29" s="181">
        <f t="shared" si="18"/>
        <v>7.0110000000000001</v>
      </c>
      <c r="M29" s="182">
        <f t="shared" si="0"/>
        <v>5.2387933222565639</v>
      </c>
      <c r="N29" s="273">
        <f>IF($I$2="RRO (Capped)",VLOOKUP(A29,'Misc. Data &amp; Mechanisms'!$A$1278:$E$1368,2,FALSE),IF($I$2="RRO (Uncapped)",VLOOKUP(A29,'Misc. Data &amp; Mechanisms'!$G$1278:$K$1368,2,FALSE),AQ29))</f>
        <v>7.9027000000000003</v>
      </c>
      <c r="O29" s="183">
        <f t="shared" si="19"/>
        <v>51.689996137741609</v>
      </c>
      <c r="P29" s="198">
        <v>1.9462999999999999</v>
      </c>
      <c r="Q29" s="183">
        <f t="shared" si="1"/>
        <v>12.730362975044793</v>
      </c>
      <c r="R29" s="198">
        <v>0.69679999999999997</v>
      </c>
      <c r="S29" s="199">
        <v>0.34344999999999998</v>
      </c>
      <c r="T29" s="183">
        <f t="shared" si="2"/>
        <v>4.557630848795772</v>
      </c>
      <c r="U29" s="194">
        <f t="shared" si="3"/>
        <v>10.3035</v>
      </c>
      <c r="V29" s="126">
        <v>0.1111</v>
      </c>
      <c r="W29" s="123">
        <f t="shared" si="20"/>
        <v>4.0328481810131027</v>
      </c>
      <c r="X29" s="123">
        <f t="shared" si="21"/>
        <v>5.7427585709030931</v>
      </c>
      <c r="Y29" s="200">
        <v>-0.56559999999999999</v>
      </c>
      <c r="Z29" s="204">
        <v>1.8969</v>
      </c>
      <c r="AA29" s="205"/>
      <c r="AB29" s="386"/>
      <c r="AC29" s="192">
        <f t="shared" si="4"/>
        <v>-3.6994776235345705</v>
      </c>
      <c r="AD29" s="192">
        <f t="shared" si="5"/>
        <v>12.407247355167481</v>
      </c>
      <c r="AE29" s="192">
        <f t="shared" si="6"/>
        <v>0</v>
      </c>
      <c r="AF29" s="203">
        <f t="shared" si="7"/>
        <v>0</v>
      </c>
      <c r="AG29" s="200">
        <f>IF(OR($I$2="RRO (Capped)",$I$2="RRO (Uncapped)"),VLOOKUP(A29,'Misc. Data &amp; Mechanisms'!$A$1483:$H$1574,2,FALSE),AR29)</f>
        <v>0.23369999999999999</v>
      </c>
      <c r="AH29" s="203">
        <f t="shared" si="22"/>
        <v>7.0110000000000001</v>
      </c>
      <c r="AI29" s="195">
        <f>5%</f>
        <v>0.05</v>
      </c>
      <c r="AJ29" s="341">
        <f>'Misc. Data &amp; Mechanisms'!AH302</f>
        <v>580.45089371619167</v>
      </c>
      <c r="AK29" s="196">
        <f>'Misc. Data &amp; Mechanisms'!AP302</f>
        <v>604.45600582601537</v>
      </c>
      <c r="AL29" s="196">
        <f>'Misc. Data &amp; Mechanisms'!K302</f>
        <v>654.080202180794</v>
      </c>
      <c r="AM29" s="196">
        <f>'Misc. Data &amp; Mechanisms'!L302</f>
        <v>496.38647721590587</v>
      </c>
      <c r="AN29" s="196">
        <f>'Misc. Data &amp; Mechanisms'!M302</f>
        <v>367.35902373984482</v>
      </c>
      <c r="AO29" s="1463">
        <f>'Misc. Data &amp; Mechanisms'!$B$259</f>
        <v>611.34673880086393</v>
      </c>
      <c r="AP29" s="197">
        <f>IFERROR(IF('Personalized Bill Menu'!$B$30="Yes", IF('Personalized Bill Menu'!$B$34="Natural Gas",0,VLOOKUP($A29, 'Personalized Bill Menu'!$H$4:$L$93, 2, FALSE)), 0), 0)</f>
        <v>0</v>
      </c>
      <c r="AQ29" s="1343">
        <f>IFERROR(IF('Personalized Bill Menu'!$C$36="Custom", IF('Personalized Bill Menu'!$B$34="Natural Gas",0,VLOOKUP($A29, 'Personalized Bill Menu'!$H$4:$L$93, 3, FALSE)), 0), 0)</f>
        <v>0</v>
      </c>
      <c r="AR29" s="1344">
        <f>IFERROR(IF('Personalized Bill Menu'!$C$36="Custom", IF('Personalized Bill Menu'!$B$34="Natural Gas",0,VLOOKUP($A29, 'Personalized Bill Menu'!$H$4:$L$93, 4, FALSE)), 0), 0)</f>
        <v>0</v>
      </c>
      <c r="AS29" s="2"/>
      <c r="AT29" s="2"/>
      <c r="AU29" s="2"/>
    </row>
    <row r="30" spans="1:47" x14ac:dyDescent="0.35">
      <c r="A30" s="229">
        <v>41609</v>
      </c>
      <c r="B30" s="230">
        <f t="shared" si="8"/>
        <v>31</v>
      </c>
      <c r="C30" s="231">
        <f t="shared" si="9"/>
        <v>767.71589655293087</v>
      </c>
      <c r="D30" s="208">
        <f t="shared" si="10"/>
        <v>16.313856720645195</v>
      </c>
      <c r="E30" s="208">
        <f t="shared" si="11"/>
        <v>13.7050462815</v>
      </c>
      <c r="F30" s="232">
        <f t="shared" si="12"/>
        <v>125.24407138526182</v>
      </c>
      <c r="G30" s="233">
        <f t="shared" si="13"/>
        <v>58.189794095125947</v>
      </c>
      <c r="H30" s="208">
        <f t="shared" si="14"/>
        <v>14.942054494609692</v>
      </c>
      <c r="I30" s="208">
        <f t="shared" si="15"/>
        <v>15.99639436718082</v>
      </c>
      <c r="J30" s="1149">
        <f t="shared" si="16"/>
        <v>11.202528470201209</v>
      </c>
      <c r="K30" s="208">
        <f t="shared" si="17"/>
        <v>11.704596558845983</v>
      </c>
      <c r="L30" s="208">
        <f t="shared" si="18"/>
        <v>7.2446999999999999</v>
      </c>
      <c r="M30" s="234">
        <f t="shared" si="0"/>
        <v>5.964003399298182</v>
      </c>
      <c r="N30" s="1243">
        <f>IF($I$2="RRO (Capped)",VLOOKUP(A30,'Misc. Data &amp; Mechanisms'!$A$1278:$E$1368,2,FALSE),IF($I$2="RRO (Uncapped)",VLOOKUP(A30,'Misc. Data &amp; Mechanisms'!$G$1278:$K$1368,2,FALSE),AQ30))</f>
        <v>7.5796000000000001</v>
      </c>
      <c r="O30" s="235">
        <f t="shared" si="19"/>
        <v>58.189794095125947</v>
      </c>
      <c r="P30" s="236">
        <v>1.9462999999999999</v>
      </c>
      <c r="Q30" s="235">
        <f t="shared" si="1"/>
        <v>14.942054494609692</v>
      </c>
      <c r="R30" s="236">
        <v>0.69679999999999997</v>
      </c>
      <c r="S30" s="1235">
        <v>0.34344999999999998</v>
      </c>
      <c r="T30" s="235">
        <f t="shared" si="2"/>
        <v>5.3494443671808218</v>
      </c>
      <c r="U30" s="237">
        <f t="shared" si="3"/>
        <v>10.646949999999999</v>
      </c>
      <c r="V30" s="238">
        <v>0.1111</v>
      </c>
      <c r="W30" s="235">
        <f t="shared" si="20"/>
        <v>4.7376423462327146</v>
      </c>
      <c r="X30" s="235">
        <f t="shared" si="21"/>
        <v>6.4648861239684932</v>
      </c>
      <c r="Y30" s="239">
        <v>-0.56559999999999999</v>
      </c>
      <c r="Z30" s="1236">
        <v>2.0901999999999998</v>
      </c>
      <c r="AA30" s="246"/>
      <c r="AB30" s="399"/>
      <c r="AC30" s="240">
        <f t="shared" si="4"/>
        <v>-4.3422011109033765</v>
      </c>
      <c r="AD30" s="240">
        <f t="shared" si="5"/>
        <v>16.04679766974936</v>
      </c>
      <c r="AE30" s="240">
        <f t="shared" si="6"/>
        <v>0</v>
      </c>
      <c r="AF30" s="241">
        <f t="shared" si="7"/>
        <v>0</v>
      </c>
      <c r="AG30" s="239">
        <f>IF(OR($I$2="RRO (Capped)",$I$2="RRO (Uncapped)"),VLOOKUP(A30,'Misc. Data &amp; Mechanisms'!$A$1483:$H$1574,2,FALSE),AR30)</f>
        <v>0.23369999999999999</v>
      </c>
      <c r="AH30" s="241">
        <f t="shared" si="22"/>
        <v>7.2446999999999999</v>
      </c>
      <c r="AI30" s="242">
        <f>5%</f>
        <v>0.05</v>
      </c>
      <c r="AJ30" s="352">
        <f>'Misc. Data &amp; Mechanisms'!AH303</f>
        <v>681.29470482138527</v>
      </c>
      <c r="AK30" s="1089">
        <f>'Misc. Data &amp; Mechanisms'!AP303</f>
        <v>729.71069821545666</v>
      </c>
      <c r="AL30" s="1089">
        <f>'Misc. Data &amp; Mechanisms'!K303</f>
        <v>767.71589655293087</v>
      </c>
      <c r="AM30" s="1089">
        <f>'Misc. Data &amp; Mechanisms'!L303</f>
        <v>582.62547638955277</v>
      </c>
      <c r="AN30" s="1089">
        <f>'Misc. Data &amp; Mechanisms'!M303</f>
        <v>431.1816216527057</v>
      </c>
      <c r="AO30" s="1464">
        <f>'Misc. Data &amp; Mechanisms'!$B$259</f>
        <v>611.34673880086393</v>
      </c>
      <c r="AP30" s="243">
        <f>IFERROR(IF('Personalized Bill Menu'!$B$30="Yes", IF('Personalized Bill Menu'!$B$34="Natural Gas",0,VLOOKUP($A30, 'Personalized Bill Menu'!$H$4:$L$93, 2, FALSE)), 0), 0)</f>
        <v>0</v>
      </c>
      <c r="AQ30" s="1345">
        <f>IFERROR(IF('Personalized Bill Menu'!$C$36="Custom", IF('Personalized Bill Menu'!$B$34="Natural Gas",0,VLOOKUP($A30, 'Personalized Bill Menu'!$H$4:$L$93, 3, FALSE)), 0), 0)</f>
        <v>0</v>
      </c>
      <c r="AR30" s="1346">
        <f>IFERROR(IF('Personalized Bill Menu'!$C$36="Custom", IF('Personalized Bill Menu'!$B$34="Natural Gas",0,VLOOKUP($A30, 'Personalized Bill Menu'!$H$4:$L$93, 4, FALSE)), 0), 0)</f>
        <v>0</v>
      </c>
      <c r="AS30" s="2"/>
      <c r="AT30" s="2"/>
      <c r="AU30" s="2"/>
    </row>
    <row r="31" spans="1:47" x14ac:dyDescent="0.35">
      <c r="A31" s="210">
        <v>41640</v>
      </c>
      <c r="B31" s="211">
        <f t="shared" si="8"/>
        <v>31</v>
      </c>
      <c r="C31" s="212">
        <f t="shared" si="9"/>
        <v>679.80526265539095</v>
      </c>
      <c r="D31" s="215">
        <f t="shared" si="10"/>
        <v>17.496754435794269</v>
      </c>
      <c r="E31" s="215">
        <f t="shared" si="11"/>
        <v>14.173224933</v>
      </c>
      <c r="F31" s="213">
        <f>SUM($G31:$M31)</f>
        <v>118.94385744842</v>
      </c>
      <c r="G31" s="214">
        <f t="shared" si="13"/>
        <v>53.052002697626712</v>
      </c>
      <c r="H31" s="215">
        <f t="shared" si="14"/>
        <v>13.231049827061872</v>
      </c>
      <c r="I31" s="215">
        <f t="shared" si="15"/>
        <v>18.706381169352127</v>
      </c>
      <c r="J31" s="215">
        <f t="shared" si="16"/>
        <v>10.602562097637659</v>
      </c>
      <c r="K31" s="215">
        <f t="shared" si="17"/>
        <v>10.443168444912114</v>
      </c>
      <c r="L31" s="215">
        <f t="shared" si="18"/>
        <v>7.2446999999999999</v>
      </c>
      <c r="M31" s="216">
        <f t="shared" si="0"/>
        <v>5.6639932118295242</v>
      </c>
      <c r="N31" s="273">
        <f>IF($I$2="RRO (Capped)",VLOOKUP(A31,'Misc. Data &amp; Mechanisms'!$A$1278:$E$1368,2,FALSE),IF($I$2="RRO (Uncapped)",VLOOKUP(A31,'Misc. Data &amp; Mechanisms'!$G$1278:$K$1368,2,FALSE),AQ31))</f>
        <v>7.8040000000000003</v>
      </c>
      <c r="O31" s="217">
        <f t="shared" si="19"/>
        <v>53.052002697626712</v>
      </c>
      <c r="P31" s="218">
        <v>1.9462999999999999</v>
      </c>
      <c r="Q31" s="217">
        <f t="shared" si="1"/>
        <v>13.231049827061872</v>
      </c>
      <c r="R31" s="218">
        <v>0.86209999999999998</v>
      </c>
      <c r="S31" s="1237">
        <v>0.41438000000000003</v>
      </c>
      <c r="T31" s="217">
        <f t="shared" si="2"/>
        <v>5.8606011693521252</v>
      </c>
      <c r="U31" s="219">
        <f t="shared" si="3"/>
        <v>12.845780000000001</v>
      </c>
      <c r="V31" s="220">
        <v>0.1111</v>
      </c>
      <c r="W31" s="217">
        <f t="shared" si="20"/>
        <v>4.7084845979313315</v>
      </c>
      <c r="X31" s="217">
        <f t="shared" si="21"/>
        <v>5.8940774997063281</v>
      </c>
      <c r="Y31" s="221">
        <v>-0.56430000000000002</v>
      </c>
      <c r="Z31" s="1238">
        <v>2.1004999999999998</v>
      </c>
      <c r="AA31" s="245"/>
      <c r="AB31" s="1451"/>
      <c r="AC31" s="223">
        <f t="shared" si="4"/>
        <v>-3.8361410971643712</v>
      </c>
      <c r="AD31" s="223">
        <f t="shared" si="5"/>
        <v>14.279309542076486</v>
      </c>
      <c r="AE31" s="223">
        <f t="shared" si="6"/>
        <v>0</v>
      </c>
      <c r="AF31" s="224">
        <f t="shared" si="7"/>
        <v>0</v>
      </c>
      <c r="AG31" s="200">
        <f>IF(OR($I$2="RRO (Capped)",$I$2="RRO (Uncapped)"),VLOOKUP(A31,'Misc. Data &amp; Mechanisms'!$A$1483:$H$1574,2,FALSE),AR31)</f>
        <v>0.23369999999999999</v>
      </c>
      <c r="AH31" s="224">
        <f t="shared" si="22"/>
        <v>7.2446999999999999</v>
      </c>
      <c r="AI31" s="225">
        <f>5%</f>
        <v>0.05</v>
      </c>
      <c r="AJ31" s="359">
        <f>'Misc. Data &amp; Mechanisms'!AH304</f>
        <v>603.280103794095</v>
      </c>
      <c r="AK31" s="1239">
        <f>'Misc. Data &amp; Mechanisms'!AP304</f>
        <v>655.9684214757076</v>
      </c>
      <c r="AL31" s="1239">
        <f>'Misc. Data &amp; Mechanisms'!K304</f>
        <v>679.80526265539095</v>
      </c>
      <c r="AM31" s="1239">
        <f>'Misc. Data &amp; Mechanisms'!L304</f>
        <v>515.90942272408017</v>
      </c>
      <c r="AN31" s="1239">
        <f>'Misc. Data &amp; Mechanisms'!M304</f>
        <v>381.80730251374388</v>
      </c>
      <c r="AO31" s="1465">
        <f>'Misc. Data &amp; Mechanisms'!$B$259</f>
        <v>611.34673880086393</v>
      </c>
      <c r="AP31" s="197">
        <f>IFERROR(IF('Personalized Bill Menu'!$B$30="Yes", IF('Personalized Bill Menu'!$B$34="Natural Gas",0,VLOOKUP($A31, 'Personalized Bill Menu'!$H$4:$L$93, 2, FALSE)), 0), 0)</f>
        <v>0</v>
      </c>
      <c r="AQ31" s="1343">
        <f>IFERROR(IF('Personalized Bill Menu'!$C$36="Custom", IF('Personalized Bill Menu'!$B$34="Natural Gas",0,VLOOKUP($A31, 'Personalized Bill Menu'!$H$4:$L$93, 3, FALSE)), 0), 0)</f>
        <v>0</v>
      </c>
      <c r="AR31" s="1344">
        <f>IFERROR(IF('Personalized Bill Menu'!$C$36="Custom", IF('Personalized Bill Menu'!$B$34="Natural Gas",0,VLOOKUP($A31, 'Personalized Bill Menu'!$H$4:$L$93, 4, FALSE)), 0), 0)</f>
        <v>0</v>
      </c>
      <c r="AS31" s="2"/>
      <c r="AT31" s="2"/>
      <c r="AU31" s="2"/>
    </row>
    <row r="32" spans="1:47" x14ac:dyDescent="0.35">
      <c r="A32" s="176">
        <v>41671</v>
      </c>
      <c r="B32" s="177">
        <f t="shared" si="8"/>
        <v>28</v>
      </c>
      <c r="C32" s="1581">
        <f t="shared" si="9"/>
        <v>651.69079712842574</v>
      </c>
      <c r="D32" s="178">
        <f t="shared" si="10"/>
        <v>16.589350647251397</v>
      </c>
      <c r="E32" s="178">
        <f t="shared" si="11"/>
        <v>13.4579487525</v>
      </c>
      <c r="F32" s="179">
        <f t="shared" si="12"/>
        <v>108.11127147150229</v>
      </c>
      <c r="G32" s="180">
        <f t="shared" si="13"/>
        <v>46.862433530707968</v>
      </c>
      <c r="H32" s="181">
        <f t="shared" si="14"/>
        <v>12.683857984510549</v>
      </c>
      <c r="I32" s="181">
        <f t="shared" si="15"/>
        <v>17.220866362044159</v>
      </c>
      <c r="J32" s="181">
        <f t="shared" si="16"/>
        <v>9.6410837843954766</v>
      </c>
      <c r="K32" s="181">
        <f>SUM($AC32:$AF32)</f>
        <v>10.011274025486877</v>
      </c>
      <c r="L32" s="181">
        <f t="shared" si="18"/>
        <v>6.5435999999999996</v>
      </c>
      <c r="M32" s="182">
        <f t="shared" si="0"/>
        <v>5.1481557843572521</v>
      </c>
      <c r="N32" s="273">
        <f>IF($I$2="RRO (Capped)",VLOOKUP(A32,'Misc. Data &amp; Mechanisms'!$A$1278:$E$1368,2,FALSE),IF($I$2="RRO (Uncapped)",VLOOKUP(A32,'Misc. Data &amp; Mechanisms'!$G$1278:$K$1368,2,FALSE),AQ32))</f>
        <v>7.1909000000000001</v>
      </c>
      <c r="O32" s="183">
        <f t="shared" si="19"/>
        <v>46.862433530707968</v>
      </c>
      <c r="P32" s="198">
        <v>1.9462999999999999</v>
      </c>
      <c r="Q32" s="183">
        <f t="shared" si="1"/>
        <v>12.683857984510549</v>
      </c>
      <c r="R32" s="198">
        <v>0.86209999999999998</v>
      </c>
      <c r="S32" s="199">
        <v>0.41438000000000003</v>
      </c>
      <c r="T32" s="183">
        <f t="shared" si="2"/>
        <v>5.6182263620441582</v>
      </c>
      <c r="U32" s="194">
        <f t="shared" si="3"/>
        <v>11.602640000000001</v>
      </c>
      <c r="V32" s="126">
        <v>0.1111</v>
      </c>
      <c r="W32" s="123">
        <f t="shared" si="20"/>
        <v>4.4346674191338202</v>
      </c>
      <c r="X32" s="123">
        <f t="shared" si="21"/>
        <v>5.2064163652616555</v>
      </c>
      <c r="Y32" s="200">
        <v>-0.56430000000000002</v>
      </c>
      <c r="Z32" s="201">
        <v>2.1004999999999998</v>
      </c>
      <c r="AA32" s="202"/>
      <c r="AB32" s="1450"/>
      <c r="AC32" s="192">
        <f t="shared" si="4"/>
        <v>-3.6774911681957065</v>
      </c>
      <c r="AD32" s="192">
        <f t="shared" si="5"/>
        <v>13.688765193682583</v>
      </c>
      <c r="AE32" s="192">
        <f t="shared" si="6"/>
        <v>0</v>
      </c>
      <c r="AF32" s="203">
        <f t="shared" si="7"/>
        <v>0</v>
      </c>
      <c r="AG32" s="200">
        <f>IF(OR($I$2="RRO (Capped)",$I$2="RRO (Uncapped)"),VLOOKUP(A32,'Misc. Data &amp; Mechanisms'!$A$1483:$H$1574,2,FALSE),AR32)</f>
        <v>0.23369999999999999</v>
      </c>
      <c r="AH32" s="203">
        <f t="shared" si="22"/>
        <v>6.5435999999999996</v>
      </c>
      <c r="AI32" s="195">
        <f>5%</f>
        <v>0.05</v>
      </c>
      <c r="AJ32" s="341">
        <f>'Misc. Data &amp; Mechanisms'!AH305</f>
        <v>578.33046216441414</v>
      </c>
      <c r="AK32" s="196">
        <f>'Misc. Data &amp; Mechanisms'!AP305</f>
        <v>611.81416366048006</v>
      </c>
      <c r="AL32" s="196">
        <f>'Misc. Data &amp; Mechanisms'!K305</f>
        <v>651.69079712842574</v>
      </c>
      <c r="AM32" s="196">
        <f>'Misc. Data &amp; Mechanisms'!L305</f>
        <v>494.57313941324423</v>
      </c>
      <c r="AN32" s="196">
        <f>'Misc. Data &amp; Mechanisms'!M305</f>
        <v>366.01703310256443</v>
      </c>
      <c r="AO32" s="1463">
        <f>'Misc. Data &amp; Mechanisms'!$B$259</f>
        <v>611.34673880086393</v>
      </c>
      <c r="AP32" s="197">
        <f>IFERROR(IF('Personalized Bill Menu'!$B$30="Yes", IF('Personalized Bill Menu'!$B$34="Natural Gas",0,VLOOKUP($A32, 'Personalized Bill Menu'!$H$4:$L$93, 2, FALSE)), 0), 0)</f>
        <v>0</v>
      </c>
      <c r="AQ32" s="1343">
        <f>IFERROR(IF('Personalized Bill Menu'!$C$36="Custom", IF('Personalized Bill Menu'!$B$34="Natural Gas",0,VLOOKUP($A32, 'Personalized Bill Menu'!$H$4:$L$93, 3, FALSE)), 0), 0)</f>
        <v>0</v>
      </c>
      <c r="AR32" s="1344">
        <f>IFERROR(IF('Personalized Bill Menu'!$C$36="Custom", IF('Personalized Bill Menu'!$B$34="Natural Gas",0,VLOOKUP($A32, 'Personalized Bill Menu'!$H$4:$L$93, 4, FALSE)), 0), 0)</f>
        <v>0</v>
      </c>
      <c r="AS32" s="2"/>
      <c r="AT32" s="2"/>
      <c r="AU32" s="2"/>
    </row>
    <row r="33" spans="1:47" x14ac:dyDescent="0.35">
      <c r="A33" s="176">
        <v>41699</v>
      </c>
      <c r="B33" s="177">
        <f t="shared" si="8"/>
        <v>31</v>
      </c>
      <c r="C33" s="1581">
        <f t="shared" si="9"/>
        <v>672.47295275973647</v>
      </c>
      <c r="D33" s="178">
        <f t="shared" si="10"/>
        <v>17.388574457870906</v>
      </c>
      <c r="E33" s="178">
        <f t="shared" si="11"/>
        <v>13.738200096625201</v>
      </c>
      <c r="F33" s="179">
        <f t="shared" si="12"/>
        <v>116.9334600996698</v>
      </c>
      <c r="G33" s="180">
        <f t="shared" si="13"/>
        <v>49.216277993626832</v>
      </c>
      <c r="H33" s="181">
        <f t="shared" si="14"/>
        <v>13.088341079562749</v>
      </c>
      <c r="I33" s="181">
        <f t="shared" si="15"/>
        <v>18.643169325741688</v>
      </c>
      <c r="J33" s="181">
        <f t="shared" si="16"/>
        <v>10.411112915620571</v>
      </c>
      <c r="K33" s="181">
        <f t="shared" si="17"/>
        <v>12.761598780371788</v>
      </c>
      <c r="L33" s="181">
        <f t="shared" si="18"/>
        <v>7.2446999999999999</v>
      </c>
      <c r="M33" s="182">
        <f t="shared" si="0"/>
        <v>5.5682600047461817</v>
      </c>
      <c r="N33" s="273">
        <f>IF($I$2="RRO (Capped)",VLOOKUP(A33,'Misc. Data &amp; Mechanisms'!$A$1278:$E$1368,2,FALSE),IF($I$2="RRO (Uncapped)",VLOOKUP(A33,'Misc. Data &amp; Mechanisms'!$G$1278:$K$1368,2,FALSE),AQ33))</f>
        <v>7.3186999999999998</v>
      </c>
      <c r="O33" s="183">
        <f t="shared" si="19"/>
        <v>49.216277993626832</v>
      </c>
      <c r="P33" s="198">
        <v>1.9462999999999999</v>
      </c>
      <c r="Q33" s="183">
        <f t="shared" si="1"/>
        <v>13.088341079562749</v>
      </c>
      <c r="R33" s="198">
        <v>0.86209999999999998</v>
      </c>
      <c r="S33" s="199">
        <v>0.41438000000000003</v>
      </c>
      <c r="T33" s="183">
        <f t="shared" si="2"/>
        <v>5.7973893257416886</v>
      </c>
      <c r="U33" s="194">
        <f t="shared" si="3"/>
        <v>12.845780000000001</v>
      </c>
      <c r="V33" s="126">
        <v>0.1111</v>
      </c>
      <c r="W33" s="123">
        <f t="shared" si="20"/>
        <v>4.9431844305286292</v>
      </c>
      <c r="X33" s="123">
        <f t="shared" si="21"/>
        <v>5.4679284850919414</v>
      </c>
      <c r="Y33" s="200">
        <v>-0.56430000000000002</v>
      </c>
      <c r="Z33" s="201">
        <v>2.1004999999999998</v>
      </c>
      <c r="AA33" s="202">
        <v>0.13039999999999999</v>
      </c>
      <c r="AB33" s="1450"/>
      <c r="AC33" s="192">
        <f t="shared" si="4"/>
        <v>-3.794764872423193</v>
      </c>
      <c r="AD33" s="192">
        <f t="shared" si="5"/>
        <v>14.125294372718264</v>
      </c>
      <c r="AE33" s="192">
        <f t="shared" si="6"/>
        <v>2.431069280076716</v>
      </c>
      <c r="AF33" s="203">
        <f t="shared" si="7"/>
        <v>0</v>
      </c>
      <c r="AG33" s="200">
        <f>IF(OR($I$2="RRO (Capped)",$I$2="RRO (Uncapped)"),VLOOKUP(A33,'Misc. Data &amp; Mechanisms'!$A$1483:$H$1574,2,FALSE),AR33)</f>
        <v>0.23369999999999999</v>
      </c>
      <c r="AH33" s="203">
        <f t="shared" si="22"/>
        <v>7.2446999999999999</v>
      </c>
      <c r="AI33" s="195">
        <f>5%</f>
        <v>0.05</v>
      </c>
      <c r="AJ33" s="341">
        <f>'Misc. Data &amp; Mechanisms'!AH306</f>
        <v>596.77318641951854</v>
      </c>
      <c r="AK33" s="196">
        <f>'Misc. Data &amp; Mechanisms'!AP306</f>
        <v>613.30378147298279</v>
      </c>
      <c r="AL33" s="196">
        <f>'Misc. Data &amp; Mechanisms'!K306</f>
        <v>672.47295275973647</v>
      </c>
      <c r="AM33" s="196">
        <f>'Misc. Data &amp; Mechanisms'!L306</f>
        <v>510.34487656166141</v>
      </c>
      <c r="AN33" s="196">
        <f>'Misc. Data &amp; Mechanisms'!M306</f>
        <v>377.68916807695035</v>
      </c>
      <c r="AO33" s="1463">
        <f>'Misc. Data &amp; Mechanisms'!$B$259</f>
        <v>611.34673880086393</v>
      </c>
      <c r="AP33" s="197">
        <f>IFERROR(IF('Personalized Bill Menu'!$B$30="Yes", IF('Personalized Bill Menu'!$B$34="Natural Gas",0,VLOOKUP($A33, 'Personalized Bill Menu'!$H$4:$L$93, 2, FALSE)), 0), 0)</f>
        <v>0</v>
      </c>
      <c r="AQ33" s="1343">
        <f>IFERROR(IF('Personalized Bill Menu'!$C$36="Custom", IF('Personalized Bill Menu'!$B$34="Natural Gas",0,VLOOKUP($A33, 'Personalized Bill Menu'!$H$4:$L$93, 3, FALSE)), 0), 0)</f>
        <v>0</v>
      </c>
      <c r="AR33" s="1344">
        <f>IFERROR(IF('Personalized Bill Menu'!$C$36="Custom", IF('Personalized Bill Menu'!$B$34="Natural Gas",0,VLOOKUP($A33, 'Personalized Bill Menu'!$H$4:$L$93, 4, FALSE)), 0), 0)</f>
        <v>0</v>
      </c>
      <c r="AS33" s="2"/>
      <c r="AT33" s="2"/>
      <c r="AU33" s="2"/>
    </row>
    <row r="34" spans="1:47" x14ac:dyDescent="0.35">
      <c r="A34" s="176">
        <v>41730</v>
      </c>
      <c r="B34" s="177">
        <f t="shared" si="8"/>
        <v>30</v>
      </c>
      <c r="C34" s="1581">
        <f t="shared" si="9"/>
        <v>549.22593994361023</v>
      </c>
      <c r="D34" s="178">
        <f t="shared" si="10"/>
        <v>15.993549065059598</v>
      </c>
      <c r="E34" s="178">
        <f t="shared" si="11"/>
        <v>11.668204130125202</v>
      </c>
      <c r="F34" s="179">
        <f t="shared" si="12"/>
        <v>87.840720182916058</v>
      </c>
      <c r="G34" s="180">
        <f t="shared" si="13"/>
        <v>38.906067133725458</v>
      </c>
      <c r="H34" s="181">
        <f t="shared" si="14"/>
        <v>10.689584469122485</v>
      </c>
      <c r="I34" s="181">
        <f t="shared" si="15"/>
        <v>17.166276828253864</v>
      </c>
      <c r="J34" s="181">
        <f t="shared" si="16"/>
        <v>7.663993046206441</v>
      </c>
      <c r="K34" s="181">
        <f t="shared" si="17"/>
        <v>2.220907268326108</v>
      </c>
      <c r="L34" s="181">
        <f t="shared" si="18"/>
        <v>7.0110000000000001</v>
      </c>
      <c r="M34" s="182">
        <f t="shared" si="0"/>
        <v>4.1828914372817172</v>
      </c>
      <c r="N34" s="273">
        <f>IF($I$2="RRO (Capped)",VLOOKUP(A34,'Misc. Data &amp; Mechanisms'!$A$1278:$E$1368,2,FALSE),IF($I$2="RRO (Uncapped)",VLOOKUP(A34,'Misc. Data &amp; Mechanisms'!$G$1278:$K$1368,2,FALSE),AQ34))</f>
        <v>7.0838000000000001</v>
      </c>
      <c r="O34" s="183">
        <f t="shared" si="19"/>
        <v>38.906067133725458</v>
      </c>
      <c r="P34" s="198">
        <v>1.9462999999999999</v>
      </c>
      <c r="Q34" s="183">
        <f t="shared" si="1"/>
        <v>10.689584469122485</v>
      </c>
      <c r="R34" s="198">
        <v>0.86209999999999998</v>
      </c>
      <c r="S34" s="199">
        <v>0.41438000000000003</v>
      </c>
      <c r="T34" s="183">
        <f t="shared" si="2"/>
        <v>4.7348768282538636</v>
      </c>
      <c r="U34" s="194">
        <f t="shared" si="3"/>
        <v>12.4314</v>
      </c>
      <c r="V34" s="126">
        <v>0.1111</v>
      </c>
      <c r="W34" s="123">
        <f t="shared" si="20"/>
        <v>3.3415289876495433</v>
      </c>
      <c r="X34" s="123">
        <f t="shared" si="21"/>
        <v>4.3224640585568981</v>
      </c>
      <c r="Y34" s="200">
        <v>-0.56430000000000002</v>
      </c>
      <c r="Z34" s="201">
        <v>0.56110000000000004</v>
      </c>
      <c r="AA34" s="202">
        <v>0.13039999999999999</v>
      </c>
      <c r="AB34" s="1450"/>
      <c r="AC34" s="192">
        <f t="shared" si="4"/>
        <v>-3.0992819791017929</v>
      </c>
      <c r="AD34" s="192">
        <f t="shared" si="5"/>
        <v>3.0817067490235974</v>
      </c>
      <c r="AE34" s="192">
        <f t="shared" si="6"/>
        <v>2.2384824984043035</v>
      </c>
      <c r="AF34" s="203">
        <f t="shared" si="7"/>
        <v>0</v>
      </c>
      <c r="AG34" s="200">
        <f>IF(OR($I$2="RRO (Capped)",$I$2="RRO (Uncapped)"),VLOOKUP(A34,'Misc. Data &amp; Mechanisms'!$A$1483:$H$1574,2,FALSE),AR34)</f>
        <v>0.23369999999999999</v>
      </c>
      <c r="AH34" s="203">
        <f t="shared" si="22"/>
        <v>7.0110000000000001</v>
      </c>
      <c r="AI34" s="195">
        <f>5%</f>
        <v>0.05</v>
      </c>
      <c r="AJ34" s="341">
        <f>'Misc. Data &amp; Mechanisms'!AH307</f>
        <v>487.39999564191822</v>
      </c>
      <c r="AK34" s="196">
        <f>'Misc. Data &amp; Mechanisms'!AP307</f>
        <v>509.04239495359315</v>
      </c>
      <c r="AL34" s="196">
        <f>'Misc. Data &amp; Mechanisms'!K307</f>
        <v>549.22593994361023</v>
      </c>
      <c r="AM34" s="196">
        <f>'Misc. Data &amp; Mechanisms'!L307</f>
        <v>416.81177417573986</v>
      </c>
      <c r="AN34" s="196">
        <f>'Misc. Data &amp; Mechanisms'!M307</f>
        <v>308.46844842203933</v>
      </c>
      <c r="AO34" s="1463">
        <f>'Misc. Data &amp; Mechanisms'!$B$259</f>
        <v>611.34673880086393</v>
      </c>
      <c r="AP34" s="197">
        <f>IFERROR(IF('Personalized Bill Menu'!$B$30="Yes", IF('Personalized Bill Menu'!$B$34="Natural Gas",0,VLOOKUP($A34, 'Personalized Bill Menu'!$H$4:$L$93, 2, FALSE)), 0), 0)</f>
        <v>0</v>
      </c>
      <c r="AQ34" s="1343">
        <f>IFERROR(IF('Personalized Bill Menu'!$C$36="Custom", IF('Personalized Bill Menu'!$B$34="Natural Gas",0,VLOOKUP($A34, 'Personalized Bill Menu'!$H$4:$L$93, 3, FALSE)), 0), 0)</f>
        <v>0</v>
      </c>
      <c r="AR34" s="1344">
        <f>IFERROR(IF('Personalized Bill Menu'!$C$36="Custom", IF('Personalized Bill Menu'!$B$34="Natural Gas",0,VLOOKUP($A34, 'Personalized Bill Menu'!$H$4:$L$93, 4, FALSE)), 0), 0)</f>
        <v>0</v>
      </c>
      <c r="AS34" s="2"/>
      <c r="AT34" s="2"/>
      <c r="AU34" s="2"/>
    </row>
    <row r="35" spans="1:47" x14ac:dyDescent="0.35">
      <c r="A35" s="176">
        <v>41760</v>
      </c>
      <c r="B35" s="177">
        <f t="shared" si="8"/>
        <v>31</v>
      </c>
      <c r="C35" s="1581">
        <f t="shared" si="9"/>
        <v>544.89601415275456</v>
      </c>
      <c r="D35" s="178">
        <f t="shared" si="10"/>
        <v>20.289435724476846</v>
      </c>
      <c r="E35" s="178">
        <f t="shared" si="11"/>
        <v>15.7843963011252</v>
      </c>
      <c r="F35" s="179">
        <f t="shared" si="12"/>
        <v>110.5563265567594</v>
      </c>
      <c r="G35" s="180">
        <f t="shared" si="13"/>
        <v>57.824365021890316</v>
      </c>
      <c r="H35" s="181">
        <f t="shared" si="14"/>
        <v>10.60531112345506</v>
      </c>
      <c r="I35" s="181">
        <f t="shared" si="15"/>
        <v>17.543328538010897</v>
      </c>
      <c r="J35" s="181">
        <f t="shared" si="16"/>
        <v>9.8038215256060877</v>
      </c>
      <c r="K35" s="181">
        <f t="shared" si="17"/>
        <v>2.2702133689037329</v>
      </c>
      <c r="L35" s="181">
        <f t="shared" si="18"/>
        <v>7.2446999999999999</v>
      </c>
      <c r="M35" s="182">
        <f t="shared" si="0"/>
        <v>5.2645869788933055</v>
      </c>
      <c r="N35" s="273">
        <f>IF($I$2="RRO (Capped)",VLOOKUP(A35,'Misc. Data &amp; Mechanisms'!$A$1278:$E$1368,2,FALSE),IF($I$2="RRO (Uncapped)",VLOOKUP(A35,'Misc. Data &amp; Mechanisms'!$G$1278:$K$1368,2,FALSE),AQ35))</f>
        <v>10.612</v>
      </c>
      <c r="O35" s="183">
        <f t="shared" si="19"/>
        <v>57.824365021890316</v>
      </c>
      <c r="P35" s="198">
        <v>1.9462999999999999</v>
      </c>
      <c r="Q35" s="183">
        <f t="shared" si="1"/>
        <v>10.60531112345506</v>
      </c>
      <c r="R35" s="198">
        <v>0.86209999999999998</v>
      </c>
      <c r="S35" s="199">
        <v>0.41438000000000003</v>
      </c>
      <c r="T35" s="183">
        <f t="shared" si="2"/>
        <v>4.6975485380108974</v>
      </c>
      <c r="U35" s="194">
        <f t="shared" si="3"/>
        <v>12.845780000000001</v>
      </c>
      <c r="V35" s="126">
        <v>0.1111</v>
      </c>
      <c r="W35" s="123">
        <f t="shared" si="20"/>
        <v>3.3795345716740726</v>
      </c>
      <c r="X35" s="123">
        <f t="shared" si="21"/>
        <v>6.4242869539320147</v>
      </c>
      <c r="Y35" s="200">
        <v>-0.56430000000000002</v>
      </c>
      <c r="Z35" s="201">
        <v>0.56110000000000004</v>
      </c>
      <c r="AA35" s="202">
        <v>0.13039999999999999</v>
      </c>
      <c r="AB35" s="1450"/>
      <c r="AC35" s="192">
        <f t="shared" si="4"/>
        <v>-3.0748482078639943</v>
      </c>
      <c r="AD35" s="192">
        <f t="shared" si="5"/>
        <v>3.0574115354111062</v>
      </c>
      <c r="AE35" s="192">
        <f t="shared" si="6"/>
        <v>2.287650041356621</v>
      </c>
      <c r="AF35" s="203">
        <f t="shared" si="7"/>
        <v>0</v>
      </c>
      <c r="AG35" s="200">
        <f>IF(OR($I$2="RRO (Capped)",$I$2="RRO (Uncapped)"),VLOOKUP(A35,'Misc. Data &amp; Mechanisms'!$A$1483:$H$1574,2,FALSE),AR35)</f>
        <v>0.23369999999999999</v>
      </c>
      <c r="AH35" s="203">
        <f t="shared" si="22"/>
        <v>7.2446999999999999</v>
      </c>
      <c r="AI35" s="195">
        <f>5%</f>
        <v>0.05</v>
      </c>
      <c r="AJ35" s="341">
        <f>'Misc. Data &amp; Mechanisms'!AH308</f>
        <v>483.55748628809999</v>
      </c>
      <c r="AK35" s="196">
        <f>'Misc. Data &amp; Mechanisms'!AP308</f>
        <v>492.03298077902224</v>
      </c>
      <c r="AL35" s="196">
        <f>'Misc. Data &amp; Mechanisms'!K308</f>
        <v>544.89601415275456</v>
      </c>
      <c r="AM35" s="196">
        <f>'Misc. Data &amp; Mechanisms'!L308</f>
        <v>413.52576031572227</v>
      </c>
      <c r="AN35" s="196">
        <f>'Misc. Data &amp; Mechanisms'!M308</f>
        <v>306.03657950735374</v>
      </c>
      <c r="AO35" s="1463">
        <f>'Misc. Data &amp; Mechanisms'!$B$259</f>
        <v>611.34673880086393</v>
      </c>
      <c r="AP35" s="197">
        <f>IFERROR(IF('Personalized Bill Menu'!$B$30="Yes", IF('Personalized Bill Menu'!$B$34="Natural Gas",0,VLOOKUP($A35, 'Personalized Bill Menu'!$H$4:$L$93, 2, FALSE)), 0), 0)</f>
        <v>0</v>
      </c>
      <c r="AQ35" s="1343">
        <f>IFERROR(IF('Personalized Bill Menu'!$C$36="Custom", IF('Personalized Bill Menu'!$B$34="Natural Gas",0,VLOOKUP($A35, 'Personalized Bill Menu'!$H$4:$L$93, 3, FALSE)), 0), 0)</f>
        <v>0</v>
      </c>
      <c r="AR35" s="1344">
        <f>IFERROR(IF('Personalized Bill Menu'!$C$36="Custom", IF('Personalized Bill Menu'!$B$34="Natural Gas",0,VLOOKUP($A35, 'Personalized Bill Menu'!$H$4:$L$93, 4, FALSE)), 0), 0)</f>
        <v>0</v>
      </c>
      <c r="AS35" s="2"/>
      <c r="AT35" s="2"/>
      <c r="AU35" s="2"/>
    </row>
    <row r="36" spans="1:47" x14ac:dyDescent="0.35">
      <c r="A36" s="176">
        <v>41791</v>
      </c>
      <c r="B36" s="177">
        <f t="shared" si="8"/>
        <v>30</v>
      </c>
      <c r="C36" s="1581">
        <f t="shared" si="9"/>
        <v>508.11715523587856</v>
      </c>
      <c r="D36" s="178">
        <f t="shared" si="10"/>
        <v>14.268008159839434</v>
      </c>
      <c r="E36" s="178">
        <f t="shared" si="11"/>
        <v>9.5927248851252003</v>
      </c>
      <c r="F36" s="179">
        <f t="shared" si="12"/>
        <v>72.498197170599155</v>
      </c>
      <c r="G36" s="180">
        <f t="shared" si="13"/>
        <v>27.936789312023841</v>
      </c>
      <c r="H36" s="181">
        <f t="shared" si="14"/>
        <v>9.8894841923559031</v>
      </c>
      <c r="I36" s="181">
        <f t="shared" si="15"/>
        <v>16.811877995288508</v>
      </c>
      <c r="J36" s="181">
        <f t="shared" si="16"/>
        <v>6.2029318870219283</v>
      </c>
      <c r="K36" s="181">
        <f t="shared" si="17"/>
        <v>1.1938186805471196</v>
      </c>
      <c r="L36" s="181">
        <f t="shared" si="18"/>
        <v>7.0110000000000001</v>
      </c>
      <c r="M36" s="182">
        <f t="shared" si="0"/>
        <v>3.4522951033618647</v>
      </c>
      <c r="N36" s="273">
        <f>IF($I$2="RRO (Capped)",VLOOKUP(A36,'Misc. Data &amp; Mechanisms'!$A$1278:$E$1368,2,FALSE),IF($I$2="RRO (Uncapped)",VLOOKUP(A36,'Misc. Data &amp; Mechanisms'!$G$1278:$K$1368,2,FALSE),AQ36))</f>
        <v>5.4981</v>
      </c>
      <c r="O36" s="183">
        <f t="shared" si="19"/>
        <v>27.936789312023841</v>
      </c>
      <c r="P36" s="198">
        <v>1.9462999999999999</v>
      </c>
      <c r="Q36" s="183">
        <f t="shared" si="1"/>
        <v>9.8894841923559031</v>
      </c>
      <c r="R36" s="198">
        <v>0.86209999999999998</v>
      </c>
      <c r="S36" s="199">
        <v>0.41438000000000003</v>
      </c>
      <c r="T36" s="183">
        <f t="shared" si="2"/>
        <v>4.3804779952885093</v>
      </c>
      <c r="U36" s="194">
        <f t="shared" si="3"/>
        <v>12.4314</v>
      </c>
      <c r="V36" s="126">
        <v>0.1111</v>
      </c>
      <c r="W36" s="123">
        <f t="shared" si="20"/>
        <v>3.0991545944560794</v>
      </c>
      <c r="X36" s="123">
        <f t="shared" si="21"/>
        <v>3.1037772925658489</v>
      </c>
      <c r="Y36" s="200">
        <v>-0.56430000000000002</v>
      </c>
      <c r="Z36" s="201">
        <v>0.36780000000000002</v>
      </c>
      <c r="AA36" s="202">
        <v>0.13039999999999999</v>
      </c>
      <c r="AB36" s="1450"/>
      <c r="AC36" s="192">
        <f t="shared" si="4"/>
        <v>-2.8673051069960631</v>
      </c>
      <c r="AD36" s="192">
        <f t="shared" si="5"/>
        <v>1.8688548969575616</v>
      </c>
      <c r="AE36" s="192">
        <f t="shared" si="6"/>
        <v>2.1922688905856211</v>
      </c>
      <c r="AF36" s="203">
        <f t="shared" si="7"/>
        <v>0</v>
      </c>
      <c r="AG36" s="200">
        <f>IF(OR($I$2="RRO (Capped)",$I$2="RRO (Uncapped)"),VLOOKUP(A36,'Misc. Data &amp; Mechanisms'!$A$1483:$H$1574,2,FALSE),AR36)</f>
        <v>0.23369999999999999</v>
      </c>
      <c r="AH36" s="203">
        <f t="shared" si="22"/>
        <v>7.0110000000000001</v>
      </c>
      <c r="AI36" s="195">
        <f>5%</f>
        <v>0.05</v>
      </c>
      <c r="AJ36" s="341">
        <f>'Misc. Data &amp; Mechanisms'!AH309</f>
        <v>450.91879541046126</v>
      </c>
      <c r="AK36" s="196">
        <f>'Misc. Data &amp; Mechanisms'!AP309</f>
        <v>464.49515867832861</v>
      </c>
      <c r="AL36" s="196">
        <f>'Misc. Data &amp; Mechanisms'!K309</f>
        <v>508.11715523587856</v>
      </c>
      <c r="AM36" s="196">
        <f>'Misc. Data &amp; Mechanisms'!L309</f>
        <v>385.61400247180791</v>
      </c>
      <c r="AN36" s="196">
        <f>'Misc. Data &amp; Mechanisms'!M309</f>
        <v>285.38002139579288</v>
      </c>
      <c r="AO36" s="1463">
        <f>'Misc. Data &amp; Mechanisms'!$B$259</f>
        <v>611.34673880086393</v>
      </c>
      <c r="AP36" s="197">
        <f>IFERROR(IF('Personalized Bill Menu'!$B$30="Yes", IF('Personalized Bill Menu'!$B$34="Natural Gas",0,VLOOKUP($A36, 'Personalized Bill Menu'!$H$4:$L$93, 2, FALSE)), 0), 0)</f>
        <v>0</v>
      </c>
      <c r="AQ36" s="1343">
        <f>IFERROR(IF('Personalized Bill Menu'!$C$36="Custom", IF('Personalized Bill Menu'!$B$34="Natural Gas",0,VLOOKUP($A36, 'Personalized Bill Menu'!$H$4:$L$93, 3, FALSE)), 0), 0)</f>
        <v>0</v>
      </c>
      <c r="AR36" s="1344">
        <f>IFERROR(IF('Personalized Bill Menu'!$C$36="Custom", IF('Personalized Bill Menu'!$B$34="Natural Gas",0,VLOOKUP($A36, 'Personalized Bill Menu'!$H$4:$L$93, 4, FALSE)), 0), 0)</f>
        <v>0</v>
      </c>
      <c r="AS36" s="2"/>
      <c r="AT36" s="2"/>
      <c r="AU36" s="2"/>
    </row>
    <row r="37" spans="1:47" x14ac:dyDescent="0.35">
      <c r="A37" s="176">
        <v>41821</v>
      </c>
      <c r="B37" s="177">
        <f t="shared" si="8"/>
        <v>31</v>
      </c>
      <c r="C37" s="1581">
        <f t="shared" si="9"/>
        <v>550.27564308737453</v>
      </c>
      <c r="D37" s="178">
        <f t="shared" si="10"/>
        <v>16.86151053250385</v>
      </c>
      <c r="E37" s="178">
        <f t="shared" si="11"/>
        <v>12.400513473625201</v>
      </c>
      <c r="F37" s="179">
        <f t="shared" si="12"/>
        <v>92.784785516980946</v>
      </c>
      <c r="G37" s="180">
        <f t="shared" si="13"/>
        <v>42.393235543451333</v>
      </c>
      <c r="H37" s="181">
        <f t="shared" si="14"/>
        <v>10.710014841409569</v>
      </c>
      <c r="I37" s="181">
        <f t="shared" si="15"/>
        <v>17.589706319056258</v>
      </c>
      <c r="J37" s="181">
        <f t="shared" si="16"/>
        <v>8.1114461365498656</v>
      </c>
      <c r="K37" s="181">
        <f t="shared" si="17"/>
        <v>2.317359556657693</v>
      </c>
      <c r="L37" s="181">
        <f t="shared" si="18"/>
        <v>7.2446999999999999</v>
      </c>
      <c r="M37" s="182">
        <f t="shared" si="0"/>
        <v>4.4183231198562352</v>
      </c>
      <c r="N37" s="273">
        <f>IF($I$2="RRO (Capped)",VLOOKUP(A37,'Misc. Data &amp; Mechanisms'!$A$1278:$E$1368,2,FALSE),IF($I$2="RRO (Uncapped)",VLOOKUP(A37,'Misc. Data &amp; Mechanisms'!$G$1278:$K$1368,2,FALSE),AQ37))</f>
        <v>7.7039999999999997</v>
      </c>
      <c r="O37" s="183">
        <f t="shared" si="19"/>
        <v>42.393235543451333</v>
      </c>
      <c r="P37" s="198">
        <v>1.9462999999999999</v>
      </c>
      <c r="Q37" s="183">
        <f t="shared" si="1"/>
        <v>10.710014841409569</v>
      </c>
      <c r="R37" s="198">
        <v>0.86209999999999998</v>
      </c>
      <c r="S37" s="199">
        <v>0.41438000000000003</v>
      </c>
      <c r="T37" s="183">
        <f t="shared" si="2"/>
        <v>4.7439263190562562</v>
      </c>
      <c r="U37" s="194">
        <f t="shared" si="3"/>
        <v>12.845780000000001</v>
      </c>
      <c r="V37" s="126">
        <v>0.1111</v>
      </c>
      <c r="W37" s="123">
        <f t="shared" si="20"/>
        <v>3.4015576676724235</v>
      </c>
      <c r="X37" s="123">
        <f t="shared" si="21"/>
        <v>4.7098884688774429</v>
      </c>
      <c r="Y37" s="200">
        <v>-0.56430000000000002</v>
      </c>
      <c r="Z37" s="201">
        <v>0.56859999999999999</v>
      </c>
      <c r="AA37" s="205">
        <v>0.13039999999999999</v>
      </c>
      <c r="AB37" s="386"/>
      <c r="AC37" s="192">
        <f t="shared" si="4"/>
        <v>-3.1052054539420548</v>
      </c>
      <c r="AD37" s="192">
        <f t="shared" si="5"/>
        <v>3.1288673065948118</v>
      </c>
      <c r="AE37" s="192">
        <f t="shared" si="6"/>
        <v>2.293697704004936</v>
      </c>
      <c r="AF37" s="203">
        <f t="shared" si="7"/>
        <v>0</v>
      </c>
      <c r="AG37" s="200">
        <f>IF(OR($I$2="RRO (Capped)",$I$2="RRO (Uncapped)"),VLOOKUP(A37,'Misc. Data &amp; Mechanisms'!$A$1483:$H$1574,2,FALSE),AR37)</f>
        <v>0.23369999999999999</v>
      </c>
      <c r="AH37" s="203">
        <f t="shared" si="22"/>
        <v>7.2446999999999999</v>
      </c>
      <c r="AI37" s="195">
        <f>5%</f>
        <v>0.05</v>
      </c>
      <c r="AJ37" s="341">
        <f>'Misc. Data &amp; Mechanisms'!AH310</f>
        <v>488.33153450504716</v>
      </c>
      <c r="AK37" s="196">
        <f>'Misc. Data &amp; Mechanisms'!AP310</f>
        <v>522.65731259745132</v>
      </c>
      <c r="AL37" s="196">
        <f>'Misc. Data &amp; Mechanisms'!K310</f>
        <v>550.27564308737453</v>
      </c>
      <c r="AM37" s="196">
        <f>'Misc. Data &amp; Mechanisms'!L310</f>
        <v>417.60840193471847</v>
      </c>
      <c r="AN37" s="196">
        <f>'Misc. Data &amp; Mechanisms'!M310</f>
        <v>309.05800597296985</v>
      </c>
      <c r="AO37" s="1463">
        <f>'Misc. Data &amp; Mechanisms'!$B$259</f>
        <v>611.34673880086393</v>
      </c>
      <c r="AP37" s="197">
        <f>IFERROR(IF('Personalized Bill Menu'!$B$30="Yes", IF('Personalized Bill Menu'!$B$34="Natural Gas",0,VLOOKUP($A37, 'Personalized Bill Menu'!$H$4:$L$93, 2, FALSE)), 0), 0)</f>
        <v>0</v>
      </c>
      <c r="AQ37" s="1343">
        <f>IFERROR(IF('Personalized Bill Menu'!$C$36="Custom", IF('Personalized Bill Menu'!$B$34="Natural Gas",0,VLOOKUP($A37, 'Personalized Bill Menu'!$H$4:$L$93, 3, FALSE)), 0), 0)</f>
        <v>0</v>
      </c>
      <c r="AR37" s="1344">
        <f>IFERROR(IF('Personalized Bill Menu'!$C$36="Custom", IF('Personalized Bill Menu'!$B$34="Natural Gas",0,VLOOKUP($A37, 'Personalized Bill Menu'!$H$4:$L$93, 4, FALSE)), 0), 0)</f>
        <v>0</v>
      </c>
      <c r="AS37" s="2"/>
      <c r="AT37" s="2"/>
      <c r="AU37" s="2"/>
    </row>
    <row r="38" spans="1:47" x14ac:dyDescent="0.35">
      <c r="A38" s="176">
        <v>41852</v>
      </c>
      <c r="B38" s="177">
        <f t="shared" si="8"/>
        <v>31</v>
      </c>
      <c r="C38" s="1581">
        <f t="shared" si="9"/>
        <v>548.4852192164833</v>
      </c>
      <c r="D38" s="178">
        <f t="shared" si="10"/>
        <v>17.969461660237435</v>
      </c>
      <c r="E38" s="178">
        <f t="shared" si="11"/>
        <v>13.4939025396252</v>
      </c>
      <c r="F38" s="179">
        <f t="shared" si="12"/>
        <v>98.559841179175223</v>
      </c>
      <c r="G38" s="180">
        <f t="shared" si="13"/>
        <v>47.395704762934749</v>
      </c>
      <c r="H38" s="181">
        <f t="shared" si="14"/>
        <v>10.675167821610414</v>
      </c>
      <c r="I38" s="181">
        <f t="shared" si="15"/>
        <v>17.574271074865305</v>
      </c>
      <c r="J38" s="181">
        <f t="shared" si="16"/>
        <v>8.6614019367391126</v>
      </c>
      <c r="K38" s="181">
        <f t="shared" si="17"/>
        <v>2.3152698125887441</v>
      </c>
      <c r="L38" s="181">
        <f>SUM($AH38)</f>
        <v>7.2446999999999999</v>
      </c>
      <c r="M38" s="182">
        <f t="shared" si="0"/>
        <v>4.6933257704369158</v>
      </c>
      <c r="N38" s="273">
        <f>IF($I$2="RRO (Capped)",VLOOKUP(A38,'Misc. Data &amp; Mechanisms'!$A$1278:$E$1368,2,FALSE),IF($I$2="RRO (Uncapped)",VLOOKUP(A38,'Misc. Data &amp; Mechanisms'!$G$1278:$K$1368,2,FALSE),AQ38))</f>
        <v>8.6411999999999995</v>
      </c>
      <c r="O38" s="183">
        <f t="shared" si="19"/>
        <v>47.395704762934749</v>
      </c>
      <c r="P38" s="198">
        <v>1.9462999999999999</v>
      </c>
      <c r="Q38" s="183">
        <f t="shared" si="1"/>
        <v>10.675167821610414</v>
      </c>
      <c r="R38" s="198">
        <v>0.86209999999999998</v>
      </c>
      <c r="S38" s="199">
        <v>0.41438000000000003</v>
      </c>
      <c r="T38" s="183">
        <f t="shared" si="2"/>
        <v>4.7284910748653024</v>
      </c>
      <c r="U38" s="194">
        <f t="shared" si="3"/>
        <v>12.845780000000001</v>
      </c>
      <c r="V38" s="126">
        <v>0.1111</v>
      </c>
      <c r="W38" s="123">
        <f t="shared" si="20"/>
        <v>3.395739137577062</v>
      </c>
      <c r="X38" s="123">
        <f t="shared" si="21"/>
        <v>5.265662799162051</v>
      </c>
      <c r="Y38" s="200">
        <v>-0.56430000000000002</v>
      </c>
      <c r="Z38" s="201">
        <v>0.56859999999999999</v>
      </c>
      <c r="AA38" s="202">
        <v>0.13039999999999999</v>
      </c>
      <c r="AB38" s="1450"/>
      <c r="AC38" s="192">
        <f t="shared" si="4"/>
        <v>-3.0951020920386156</v>
      </c>
      <c r="AD38" s="192">
        <f t="shared" si="5"/>
        <v>3.118686956464924</v>
      </c>
      <c r="AE38" s="192">
        <f t="shared" si="6"/>
        <v>2.2916849481624357</v>
      </c>
      <c r="AF38" s="203">
        <f t="shared" si="7"/>
        <v>0</v>
      </c>
      <c r="AG38" s="200">
        <f>IF(OR($I$2="RRO (Capped)",$I$2="RRO (Uncapped)"),VLOOKUP(A38,'Misc. Data &amp; Mechanisms'!$A$1483:$H$1574,2,FALSE),AR38)</f>
        <v>0.23369999999999999</v>
      </c>
      <c r="AH38" s="203">
        <f t="shared" si="22"/>
        <v>7.2446999999999999</v>
      </c>
      <c r="AI38" s="195">
        <f>5%</f>
        <v>0.05</v>
      </c>
      <c r="AJ38" s="341">
        <f>'Misc. Data &amp; Mechanisms'!AH311</f>
        <v>486.74265728093212</v>
      </c>
      <c r="AK38" s="196">
        <f>'Misc. Data &amp; Mechanisms'!AP311</f>
        <v>505.4999402366127</v>
      </c>
      <c r="AL38" s="196">
        <f>'Misc. Data &amp; Mechanisms'!K311</f>
        <v>548.4852192164833</v>
      </c>
      <c r="AM38" s="196">
        <f>'Misc. Data &amp; Mechanisms'!L311</f>
        <v>416.24963554027363</v>
      </c>
      <c r="AN38" s="196">
        <f>'Misc. Data &amp; Mechanisms'!M311</f>
        <v>308.05242842590735</v>
      </c>
      <c r="AO38" s="1463">
        <f>'Misc. Data &amp; Mechanisms'!$B$259</f>
        <v>611.34673880086393</v>
      </c>
      <c r="AP38" s="197">
        <f>IFERROR(IF('Personalized Bill Menu'!$B$30="Yes", IF('Personalized Bill Menu'!$B$34="Natural Gas",0,VLOOKUP($A38, 'Personalized Bill Menu'!$H$4:$L$93, 2, FALSE)), 0), 0)</f>
        <v>0</v>
      </c>
      <c r="AQ38" s="1343">
        <f>IFERROR(IF('Personalized Bill Menu'!$C$36="Custom", IF('Personalized Bill Menu'!$B$34="Natural Gas",0,VLOOKUP($A38, 'Personalized Bill Menu'!$H$4:$L$93, 3, FALSE)), 0), 0)</f>
        <v>0</v>
      </c>
      <c r="AR38" s="1344">
        <f>IFERROR(IF('Personalized Bill Menu'!$C$36="Custom", IF('Personalized Bill Menu'!$B$34="Natural Gas",0,VLOOKUP($A38, 'Personalized Bill Menu'!$H$4:$L$93, 4, FALSE)), 0), 0)</f>
        <v>0</v>
      </c>
      <c r="AS38" s="2"/>
      <c r="AT38" s="2"/>
      <c r="AU38" s="2"/>
    </row>
    <row r="39" spans="1:47" x14ac:dyDescent="0.35">
      <c r="A39" s="176">
        <v>41883</v>
      </c>
      <c r="B39" s="177">
        <f t="shared" si="8"/>
        <v>30</v>
      </c>
      <c r="C39" s="1581">
        <f t="shared" si="9"/>
        <v>539.49057792869712</v>
      </c>
      <c r="D39" s="178">
        <f t="shared" si="10"/>
        <v>18.321379457144591</v>
      </c>
      <c r="E39" s="178">
        <f t="shared" si="11"/>
        <v>13.917981632125201</v>
      </c>
      <c r="F39" s="179">
        <f t="shared" si="12"/>
        <v>98.842115917858933</v>
      </c>
      <c r="G39" s="180">
        <f t="shared" si="13"/>
        <v>48.579508070745391</v>
      </c>
      <c r="H39" s="181">
        <f t="shared" si="14"/>
        <v>10.50010511822623</v>
      </c>
      <c r="I39" s="181">
        <f t="shared" si="15"/>
        <v>17.082348272323298</v>
      </c>
      <c r="J39" s="181">
        <f t="shared" si="16"/>
        <v>8.711650722342192</v>
      </c>
      <c r="K39" s="181">
        <f t="shared" si="17"/>
        <v>2.250736309561892</v>
      </c>
      <c r="L39" s="181">
        <f t="shared" si="18"/>
        <v>7.0110000000000001</v>
      </c>
      <c r="M39" s="182">
        <f t="shared" ref="M39:M96" si="23">SUM($AI39)*SUM($G39:$L39)</f>
        <v>4.70676742465995</v>
      </c>
      <c r="N39" s="273">
        <f>IF($I$2="RRO (Capped)",VLOOKUP(A39,'Misc. Data &amp; Mechanisms'!$A$1278:$E$1368,2,FALSE),IF($I$2="RRO (Uncapped)",VLOOKUP(A39,'Misc. Data &amp; Mechanisms'!$G$1278:$K$1368,2,FALSE),AQ39))</f>
        <v>9.0046999999999997</v>
      </c>
      <c r="O39" s="183">
        <f t="shared" si="19"/>
        <v>48.579508070745391</v>
      </c>
      <c r="P39" s="198">
        <v>1.9462999999999999</v>
      </c>
      <c r="Q39" s="183">
        <f t="shared" ref="Q39:Q96" si="24">($P39/100)*$C39</f>
        <v>10.50010511822623</v>
      </c>
      <c r="R39" s="198">
        <v>0.86209999999999998</v>
      </c>
      <c r="S39" s="199">
        <v>0.41438000000000003</v>
      </c>
      <c r="T39" s="183">
        <f t="shared" ref="T39:T96" si="25">($R39/100)*$C39</f>
        <v>4.6509482723232978</v>
      </c>
      <c r="U39" s="194">
        <f t="shared" ref="U39:U96" si="26">$S39*$B39</f>
        <v>12.4314</v>
      </c>
      <c r="V39" s="126">
        <v>0.1111</v>
      </c>
      <c r="W39" s="123">
        <f t="shared" ref="W39:W96" si="27">$V39*($H39+$I39+$K39)</f>
        <v>3.3144673756823786</v>
      </c>
      <c r="X39" s="123">
        <f t="shared" ref="X39:X96" si="28">$V39*$G39</f>
        <v>5.3971833466598129</v>
      </c>
      <c r="Y39" s="200">
        <v>-0.56430000000000002</v>
      </c>
      <c r="Z39" s="201">
        <v>0.56859999999999999</v>
      </c>
      <c r="AA39" s="202">
        <v>0.13039999999999999</v>
      </c>
      <c r="AB39" s="1450"/>
      <c r="AC39" s="192">
        <f t="shared" ref="AC39:AC96" si="29">($Y39/100)*$C39</f>
        <v>-3.044345331251638</v>
      </c>
      <c r="AD39" s="192">
        <f t="shared" ref="AD39:AD96" si="30">($Z39/100)*$C39</f>
        <v>3.067543426102572</v>
      </c>
      <c r="AE39" s="192">
        <f t="shared" ref="AE39:AE96" si="31">$AA39*$I39</f>
        <v>2.2275382147109579</v>
      </c>
      <c r="AF39" s="203">
        <f t="shared" ref="AF39:AF96" si="32">$AB39*$B39</f>
        <v>0</v>
      </c>
      <c r="AG39" s="200">
        <f>IF(OR($I$2="RRO (Capped)",$I$2="RRO (Uncapped)"),VLOOKUP(A39,'Misc. Data &amp; Mechanisms'!$A$1483:$H$1574,2,FALSE),AR39)</f>
        <v>0.23369999999999999</v>
      </c>
      <c r="AH39" s="203">
        <f t="shared" si="22"/>
        <v>7.0110000000000001</v>
      </c>
      <c r="AI39" s="195">
        <f>5%</f>
        <v>0.05</v>
      </c>
      <c r="AJ39" s="341">
        <f>'Misc. Data &amp; Mechanisms'!AH312</f>
        <v>478.7605358885636</v>
      </c>
      <c r="AK39" s="196">
        <f>'Misc. Data &amp; Mechanisms'!AP312</f>
        <v>485.30515957339674</v>
      </c>
      <c r="AL39" s="196">
        <f>'Misc. Data &amp; Mechanisms'!K312</f>
        <v>539.49057792869712</v>
      </c>
      <c r="AM39" s="196">
        <f>'Misc. Data &amp; Mechanisms'!L312</f>
        <v>409.4235333470279</v>
      </c>
      <c r="AN39" s="196">
        <f>'Misc. Data &amp; Mechanisms'!M312</f>
        <v>303.00065857971055</v>
      </c>
      <c r="AO39" s="1463">
        <f>'Misc. Data &amp; Mechanisms'!$B$259</f>
        <v>611.34673880086393</v>
      </c>
      <c r="AP39" s="197">
        <f>IFERROR(IF('Personalized Bill Menu'!$B$30="Yes", IF('Personalized Bill Menu'!$B$34="Natural Gas",0,VLOOKUP($A39, 'Personalized Bill Menu'!$H$4:$L$93, 2, FALSE)), 0), 0)</f>
        <v>0</v>
      </c>
      <c r="AQ39" s="1343">
        <f>IFERROR(IF('Personalized Bill Menu'!$C$36="Custom", IF('Personalized Bill Menu'!$B$34="Natural Gas",0,VLOOKUP($A39, 'Personalized Bill Menu'!$H$4:$L$93, 3, FALSE)), 0), 0)</f>
        <v>0</v>
      </c>
      <c r="AR39" s="1344">
        <f>IFERROR(IF('Personalized Bill Menu'!$C$36="Custom", IF('Personalized Bill Menu'!$B$34="Natural Gas",0,VLOOKUP($A39, 'Personalized Bill Menu'!$H$4:$L$93, 4, FALSE)), 0), 0)</f>
        <v>0</v>
      </c>
      <c r="AS39" s="2"/>
      <c r="AT39" s="2"/>
      <c r="AU39" s="2"/>
    </row>
    <row r="40" spans="1:47" x14ac:dyDescent="0.35">
      <c r="A40" s="176">
        <v>41913</v>
      </c>
      <c r="B40" s="177">
        <f t="shared" si="8"/>
        <v>31</v>
      </c>
      <c r="C40" s="1581">
        <f t="shared" si="9"/>
        <v>577.81210120705612</v>
      </c>
      <c r="D40" s="178">
        <f t="shared" si="10"/>
        <v>17.839836792042561</v>
      </c>
      <c r="E40" s="178">
        <f t="shared" si="11"/>
        <v>13.591434897625199</v>
      </c>
      <c r="F40" s="179">
        <f t="shared" si="12"/>
        <v>103.0807358200106</v>
      </c>
      <c r="G40" s="180">
        <f t="shared" si="13"/>
        <v>48.82974504880589</v>
      </c>
      <c r="H40" s="181">
        <f t="shared" si="14"/>
        <v>11.245956925792932</v>
      </c>
      <c r="I40" s="181">
        <f>SUM($T40:$U40)</f>
        <v>17.827098124506033</v>
      </c>
      <c r="J40" s="181">
        <f t="shared" si="16"/>
        <v>9.0919245801913835</v>
      </c>
      <c r="K40" s="181">
        <f t="shared" si="17"/>
        <v>3.9327046730948232</v>
      </c>
      <c r="L40" s="181">
        <f t="shared" si="18"/>
        <v>7.2446999999999999</v>
      </c>
      <c r="M40" s="182">
        <f t="shared" si="23"/>
        <v>4.9086064676195527</v>
      </c>
      <c r="N40" s="273">
        <f>IF($I$2="RRO (Capped)",VLOOKUP(A40,'Misc. Data &amp; Mechanisms'!$A$1278:$E$1368,2,FALSE),IF($I$2="RRO (Uncapped)",VLOOKUP(A40,'Misc. Data &amp; Mechanisms'!$G$1278:$K$1368,2,FALSE),AQ40))</f>
        <v>8.4507999999999992</v>
      </c>
      <c r="O40" s="183">
        <f t="shared" si="19"/>
        <v>48.82974504880589</v>
      </c>
      <c r="P40" s="198">
        <v>1.9462999999999999</v>
      </c>
      <c r="Q40" s="183">
        <f t="shared" si="24"/>
        <v>11.245956925792932</v>
      </c>
      <c r="R40" s="198">
        <v>0.86209999999999998</v>
      </c>
      <c r="S40" s="199">
        <v>0.41438000000000003</v>
      </c>
      <c r="T40" s="183">
        <f t="shared" si="25"/>
        <v>4.9813181245060312</v>
      </c>
      <c r="U40" s="194">
        <f t="shared" si="26"/>
        <v>12.845780000000001</v>
      </c>
      <c r="V40" s="126">
        <v>0.1111</v>
      </c>
      <c r="W40" s="123">
        <f t="shared" si="27"/>
        <v>3.6669399052690497</v>
      </c>
      <c r="X40" s="123">
        <f t="shared" si="28"/>
        <v>5.4249846749223343</v>
      </c>
      <c r="Y40" s="200">
        <v>-0.56430000000000002</v>
      </c>
      <c r="Z40" s="204">
        <v>0.84260000000000002</v>
      </c>
      <c r="AA40" s="205">
        <v>0.13039999999999999</v>
      </c>
      <c r="AB40" s="386"/>
      <c r="AC40" s="192">
        <f t="shared" si="29"/>
        <v>-3.2605936871114181</v>
      </c>
      <c r="AD40" s="192">
        <f t="shared" si="30"/>
        <v>4.8686447647706546</v>
      </c>
      <c r="AE40" s="192">
        <f t="shared" si="31"/>
        <v>2.3246535954355867</v>
      </c>
      <c r="AF40" s="203">
        <f t="shared" si="32"/>
        <v>0</v>
      </c>
      <c r="AG40" s="200">
        <f>IF(OR($I$2="RRO (Capped)",$I$2="RRO (Uncapped)"),VLOOKUP(A40,'Misc. Data &amp; Mechanisms'!$A$1483:$H$1574,2,FALSE),AR40)</f>
        <v>0.23369999999999999</v>
      </c>
      <c r="AH40" s="203">
        <f t="shared" si="22"/>
        <v>7.2446999999999999</v>
      </c>
      <c r="AI40" s="195">
        <f>5%</f>
        <v>0.05</v>
      </c>
      <c r="AJ40" s="341">
        <f>'Misc. Data &amp; Mechanisms'!AH313</f>
        <v>512.76823457952776</v>
      </c>
      <c r="AK40" s="196">
        <f>'Misc. Data &amp; Mechanisms'!AP313</f>
        <v>524.29412952604048</v>
      </c>
      <c r="AL40" s="196">
        <f>'Misc. Data &amp; Mechanisms'!K313</f>
        <v>577.81210120705612</v>
      </c>
      <c r="AM40" s="196">
        <f>'Misc. Data &amp; Mechanisms'!L313</f>
        <v>438.50603099528121</v>
      </c>
      <c r="AN40" s="196">
        <f>'Misc. Data &amp; Mechanisms'!M313</f>
        <v>324.52364204997082</v>
      </c>
      <c r="AO40" s="1463">
        <f>'Misc. Data &amp; Mechanisms'!$B$259</f>
        <v>611.34673880086393</v>
      </c>
      <c r="AP40" s="197">
        <f>IFERROR(IF('Personalized Bill Menu'!$B$30="Yes", IF('Personalized Bill Menu'!$B$34="Natural Gas",0,VLOOKUP($A40, 'Personalized Bill Menu'!$H$4:$L$93, 2, FALSE)), 0), 0)</f>
        <v>0</v>
      </c>
      <c r="AQ40" s="1343">
        <f>IFERROR(IF('Personalized Bill Menu'!$C$36="Custom", IF('Personalized Bill Menu'!$B$34="Natural Gas",0,VLOOKUP($A40, 'Personalized Bill Menu'!$H$4:$L$93, 3, FALSE)), 0), 0)</f>
        <v>0</v>
      </c>
      <c r="AR40" s="1344">
        <f>IFERROR(IF('Personalized Bill Menu'!$C$36="Custom", IF('Personalized Bill Menu'!$B$34="Natural Gas",0,VLOOKUP($A40, 'Personalized Bill Menu'!$H$4:$L$93, 4, FALSE)), 0), 0)</f>
        <v>0</v>
      </c>
      <c r="AS40" s="2"/>
      <c r="AT40" s="2"/>
      <c r="AU40" s="2"/>
    </row>
    <row r="41" spans="1:47" x14ac:dyDescent="0.35">
      <c r="A41" s="176">
        <v>41944</v>
      </c>
      <c r="B41" s="177">
        <f t="shared" si="8"/>
        <v>30</v>
      </c>
      <c r="C41" s="1581">
        <f t="shared" si="9"/>
        <v>681.40742022456311</v>
      </c>
      <c r="D41" s="178">
        <f t="shared" si="10"/>
        <v>14.592177811863472</v>
      </c>
      <c r="E41" s="178">
        <f t="shared" si="11"/>
        <v>11.105876420125201</v>
      </c>
      <c r="F41" s="179">
        <f t="shared" si="12"/>
        <v>99.432182382399986</v>
      </c>
      <c r="G41" s="180">
        <f t="shared" si="13"/>
        <v>43.070400217554187</v>
      </c>
      <c r="H41" s="181">
        <f t="shared" si="14"/>
        <v>13.262232619830669</v>
      </c>
      <c r="I41" s="181">
        <f t="shared" si="15"/>
        <v>18.30581336975596</v>
      </c>
      <c r="J41" s="181">
        <f t="shared" si="16"/>
        <v>8.7678424707258262</v>
      </c>
      <c r="K41" s="181">
        <f t="shared" si="17"/>
        <v>4.2800278768000126</v>
      </c>
      <c r="L41" s="181">
        <f t="shared" si="18"/>
        <v>7.0110000000000001</v>
      </c>
      <c r="M41" s="182">
        <f t="shared" si="23"/>
        <v>4.7348658277333326</v>
      </c>
      <c r="N41" s="273">
        <f>IF($I$2="RRO (Capped)",VLOOKUP(A41,'Misc. Data &amp; Mechanisms'!$A$1278:$E$1368,2,FALSE),IF($I$2="RRO (Uncapped)",VLOOKUP(A41,'Misc. Data &amp; Mechanisms'!$G$1278:$K$1368,2,FALSE),AQ41))</f>
        <v>6.3208000000000002</v>
      </c>
      <c r="O41" s="183">
        <f t="shared" si="19"/>
        <v>43.070400217554187</v>
      </c>
      <c r="P41" s="198">
        <v>1.9462999999999999</v>
      </c>
      <c r="Q41" s="183">
        <f t="shared" si="24"/>
        <v>13.262232619830669</v>
      </c>
      <c r="R41" s="198">
        <v>0.86209999999999998</v>
      </c>
      <c r="S41" s="199">
        <v>0.41438000000000003</v>
      </c>
      <c r="T41" s="183">
        <f t="shared" si="25"/>
        <v>5.8744133697559588</v>
      </c>
      <c r="U41" s="194">
        <f t="shared" si="26"/>
        <v>12.4314</v>
      </c>
      <c r="V41" s="126">
        <v>0.1111</v>
      </c>
      <c r="W41" s="123">
        <f t="shared" si="27"/>
        <v>3.9827210065555563</v>
      </c>
      <c r="X41" s="123">
        <f t="shared" si="28"/>
        <v>4.7851214641702704</v>
      </c>
      <c r="Y41" s="200">
        <v>-0.56430000000000002</v>
      </c>
      <c r="Z41" s="204">
        <v>0.84209999999999996</v>
      </c>
      <c r="AA41" s="205">
        <v>0.13039999999999999</v>
      </c>
      <c r="AB41" s="386"/>
      <c r="AC41" s="192">
        <f t="shared" si="29"/>
        <v>-3.8451820723272099</v>
      </c>
      <c r="AD41" s="192">
        <f t="shared" si="30"/>
        <v>5.7381318857110459</v>
      </c>
      <c r="AE41" s="192">
        <f t="shared" si="31"/>
        <v>2.387078063416177</v>
      </c>
      <c r="AF41" s="203">
        <f t="shared" si="32"/>
        <v>0</v>
      </c>
      <c r="AG41" s="200">
        <f>IF(OR($I$2="RRO (Capped)",$I$2="RRO (Uncapped)"),VLOOKUP(A41,'Misc. Data &amp; Mechanisms'!$A$1483:$H$1574,2,FALSE),AR41)</f>
        <v>0.23369999999999999</v>
      </c>
      <c r="AH41" s="203">
        <f t="shared" si="22"/>
        <v>7.0110000000000001</v>
      </c>
      <c r="AI41" s="195">
        <f>5%</f>
        <v>0.05</v>
      </c>
      <c r="AJ41" s="341">
        <f>'Misc. Data &amp; Mechanisms'!AH314</f>
        <v>604.70190771018895</v>
      </c>
      <c r="AK41" s="196">
        <f>'Misc. Data &amp; Mechanisms'!AP314</f>
        <v>616.45033272241665</v>
      </c>
      <c r="AL41" s="196">
        <f>'Misc. Data &amp; Mechanisms'!K314</f>
        <v>681.40742022456311</v>
      </c>
      <c r="AM41" s="196">
        <f>'Misc. Data &amp; Mechanisms'!L314</f>
        <v>517.12531237959115</v>
      </c>
      <c r="AN41" s="196">
        <f>'Misc. Data &amp; Mechanisms'!M314</f>
        <v>382.70714176667667</v>
      </c>
      <c r="AO41" s="1463">
        <f>'Misc. Data &amp; Mechanisms'!$B$259</f>
        <v>611.34673880086393</v>
      </c>
      <c r="AP41" s="197">
        <f>IFERROR(IF('Personalized Bill Menu'!$B$30="Yes", IF('Personalized Bill Menu'!$B$34="Natural Gas",0,VLOOKUP($A41, 'Personalized Bill Menu'!$H$4:$L$93, 2, FALSE)), 0), 0)</f>
        <v>0</v>
      </c>
      <c r="AQ41" s="1343">
        <f>IFERROR(IF('Personalized Bill Menu'!$C$36="Custom", IF('Personalized Bill Menu'!$B$34="Natural Gas",0,VLOOKUP($A41, 'Personalized Bill Menu'!$H$4:$L$93, 3, FALSE)), 0), 0)</f>
        <v>0</v>
      </c>
      <c r="AR41" s="1344">
        <f>IFERROR(IF('Personalized Bill Menu'!$C$36="Custom", IF('Personalized Bill Menu'!$B$34="Natural Gas",0,VLOOKUP($A41, 'Personalized Bill Menu'!$H$4:$L$93, 4, FALSE)), 0), 0)</f>
        <v>0</v>
      </c>
      <c r="AS41" s="2"/>
      <c r="AT41" s="2"/>
      <c r="AU41" s="2"/>
    </row>
    <row r="42" spans="1:47" x14ac:dyDescent="0.35">
      <c r="A42" s="229">
        <v>41974</v>
      </c>
      <c r="B42" s="230">
        <f t="shared" si="8"/>
        <v>31</v>
      </c>
      <c r="C42" s="231">
        <f t="shared" si="9"/>
        <v>703.19710101169528</v>
      </c>
      <c r="D42" s="208">
        <f t="shared" si="10"/>
        <v>15.737046907641565</v>
      </c>
      <c r="E42" s="208">
        <f t="shared" si="11"/>
        <v>12.2461650171252</v>
      </c>
      <c r="F42" s="232">
        <f t="shared" si="12"/>
        <v>110.66245763938612</v>
      </c>
      <c r="G42" s="233">
        <f t="shared" si="13"/>
        <v>51.320730826035536</v>
      </c>
      <c r="H42" s="208">
        <f t="shared" si="14"/>
        <v>13.686325176990623</v>
      </c>
      <c r="I42" s="208">
        <f t="shared" si="15"/>
        <v>18.908042207821826</v>
      </c>
      <c r="J42" s="1149">
        <f t="shared" si="16"/>
        <v>9.8139283380569236</v>
      </c>
      <c r="K42" s="208">
        <f t="shared" si="17"/>
        <v>4.4190902505104539</v>
      </c>
      <c r="L42" s="208">
        <f t="shared" si="18"/>
        <v>7.2446999999999999</v>
      </c>
      <c r="M42" s="234">
        <f t="shared" si="23"/>
        <v>5.2696408399707684</v>
      </c>
      <c r="N42" s="1243">
        <f>IF($I$2="RRO (Capped)",VLOOKUP(A42,'Misc. Data &amp; Mechanisms'!$A$1278:$E$1368,2,FALSE),IF($I$2="RRO (Uncapped)",VLOOKUP(A42,'Misc. Data &amp; Mechanisms'!$G$1278:$K$1368,2,FALSE),AQ42))</f>
        <v>7.2981999999999996</v>
      </c>
      <c r="O42" s="235">
        <f t="shared" si="19"/>
        <v>51.320730826035536</v>
      </c>
      <c r="P42" s="236">
        <v>1.9462999999999999</v>
      </c>
      <c r="Q42" s="235">
        <f t="shared" si="24"/>
        <v>13.686325176990623</v>
      </c>
      <c r="R42" s="236">
        <v>0.86209999999999998</v>
      </c>
      <c r="S42" s="1235">
        <v>0.41438000000000003</v>
      </c>
      <c r="T42" s="235">
        <f t="shared" si="25"/>
        <v>6.0622622078218251</v>
      </c>
      <c r="U42" s="237">
        <f t="shared" si="26"/>
        <v>12.845780000000001</v>
      </c>
      <c r="V42" s="238">
        <v>0.1111</v>
      </c>
      <c r="W42" s="235">
        <f t="shared" si="27"/>
        <v>4.1121951432843753</v>
      </c>
      <c r="X42" s="235">
        <f t="shared" si="28"/>
        <v>5.7017331947725483</v>
      </c>
      <c r="Y42" s="239">
        <v>-0.56430000000000002</v>
      </c>
      <c r="Z42" s="1236">
        <v>0.84209999999999996</v>
      </c>
      <c r="AA42" s="246">
        <v>0.13039999999999999</v>
      </c>
      <c r="AB42" s="399"/>
      <c r="AC42" s="240">
        <f t="shared" si="29"/>
        <v>-3.9681412410089969</v>
      </c>
      <c r="AD42" s="240">
        <f t="shared" si="30"/>
        <v>5.9216227876194854</v>
      </c>
      <c r="AE42" s="240">
        <f t="shared" si="31"/>
        <v>2.4656087038999659</v>
      </c>
      <c r="AF42" s="241">
        <f t="shared" si="32"/>
        <v>0</v>
      </c>
      <c r="AG42" s="239">
        <f>IF(OR($I$2="RRO (Capped)",$I$2="RRO (Uncapped)"),VLOOKUP(A42,'Misc. Data &amp; Mechanisms'!$A$1483:$H$1574,2,FALSE),AR42)</f>
        <v>0.23369999999999999</v>
      </c>
      <c r="AH42" s="241">
        <f t="shared" si="22"/>
        <v>7.2446999999999999</v>
      </c>
      <c r="AI42" s="242">
        <f>5%</f>
        <v>0.05</v>
      </c>
      <c r="AJ42" s="352">
        <f>'Misc. Data &amp; Mechanisms'!AH315</f>
        <v>624.03874078434671</v>
      </c>
      <c r="AK42" s="1089">
        <f>'Misc. Data &amp; Mechanisms'!AP315</f>
        <v>680.46767316344483</v>
      </c>
      <c r="AL42" s="1089">
        <f>'Misc. Data &amp; Mechanisms'!K315</f>
        <v>703.19710101169528</v>
      </c>
      <c r="AM42" s="1089">
        <f>'Misc. Data &amp; Mechanisms'!L315</f>
        <v>533.66166808875539</v>
      </c>
      <c r="AN42" s="1089">
        <f>'Misc. Data &amp; Mechanisms'!M315</f>
        <v>394.94514535534233</v>
      </c>
      <c r="AO42" s="1464">
        <f>'Misc. Data &amp; Mechanisms'!$B$259</f>
        <v>611.34673880086393</v>
      </c>
      <c r="AP42" s="243">
        <f>IFERROR(IF('Personalized Bill Menu'!$B$30="Yes", IF('Personalized Bill Menu'!$B$34="Natural Gas",0,VLOOKUP($A42, 'Personalized Bill Menu'!$H$4:$L$93, 2, FALSE)), 0), 0)</f>
        <v>0</v>
      </c>
      <c r="AQ42" s="1345">
        <f>IFERROR(IF('Personalized Bill Menu'!$C$36="Custom", IF('Personalized Bill Menu'!$B$34="Natural Gas",0,VLOOKUP($A42, 'Personalized Bill Menu'!$H$4:$L$93, 3, FALSE)), 0), 0)</f>
        <v>0</v>
      </c>
      <c r="AR42" s="1346">
        <f>IFERROR(IF('Personalized Bill Menu'!$C$36="Custom", IF('Personalized Bill Menu'!$B$34="Natural Gas",0,VLOOKUP($A42, 'Personalized Bill Menu'!$H$4:$L$93, 4, FALSE)), 0), 0)</f>
        <v>0</v>
      </c>
      <c r="AS42" s="2"/>
      <c r="AT42" s="2"/>
      <c r="AU42" s="2"/>
    </row>
    <row r="43" spans="1:47" x14ac:dyDescent="0.35">
      <c r="A43" s="210">
        <v>42005</v>
      </c>
      <c r="B43" s="211">
        <f t="shared" si="8"/>
        <v>31</v>
      </c>
      <c r="C43" s="212">
        <f t="shared" si="9"/>
        <v>672.43278272761768</v>
      </c>
      <c r="D43" s="215">
        <f t="shared" si="10"/>
        <v>16.835289489062387</v>
      </c>
      <c r="E43" s="215">
        <f t="shared" si="11"/>
        <v>13.095473523955201</v>
      </c>
      <c r="F43" s="213">
        <f t="shared" si="12"/>
        <v>113.20600559155233</v>
      </c>
      <c r="G43" s="214">
        <f t="shared" si="13"/>
        <v>49.81920000672374</v>
      </c>
      <c r="H43" s="215">
        <f t="shared" si="14"/>
        <v>13.087559250227621</v>
      </c>
      <c r="I43" s="215">
        <f t="shared" si="15"/>
        <v>19.237159035144884</v>
      </c>
      <c r="J43" s="215">
        <f t="shared" si="16"/>
        <v>10.070407914697544</v>
      </c>
      <c r="K43" s="215">
        <f t="shared" si="17"/>
        <v>8.4988172137322362</v>
      </c>
      <c r="L43" s="215">
        <f t="shared" si="18"/>
        <v>7.1021000000000001</v>
      </c>
      <c r="M43" s="216">
        <f t="shared" si="23"/>
        <v>5.3907621710263021</v>
      </c>
      <c r="N43" s="273">
        <f>IF($I$2="RRO (Capped)",VLOOKUP(A43,'Misc. Data &amp; Mechanisms'!$A$1278:$E$1368,2,FALSE),IF($I$2="RRO (Uncapped)",VLOOKUP(A43,'Misc. Data &amp; Mechanisms'!$G$1278:$K$1368,2,FALSE),AQ43))</f>
        <v>7.4088000000000003</v>
      </c>
      <c r="O43" s="217">
        <f t="shared" si="19"/>
        <v>49.81920000672374</v>
      </c>
      <c r="P43" s="218">
        <v>1.9462999999999999</v>
      </c>
      <c r="Q43" s="217">
        <f t="shared" si="24"/>
        <v>13.087559250227621</v>
      </c>
      <c r="R43" s="218">
        <v>0.88959999999999995</v>
      </c>
      <c r="S43" s="1237">
        <v>0.42758699999999999</v>
      </c>
      <c r="T43" s="217">
        <f t="shared" si="25"/>
        <v>5.9819620351448863</v>
      </c>
      <c r="U43" s="219">
        <f t="shared" si="26"/>
        <v>13.255196999999999</v>
      </c>
      <c r="V43" s="220">
        <v>0.1111</v>
      </c>
      <c r="W43" s="217">
        <f t="shared" si="27"/>
        <v>4.5354947939505372</v>
      </c>
      <c r="X43" s="217">
        <f t="shared" si="28"/>
        <v>5.5349131207470075</v>
      </c>
      <c r="Y43" s="221">
        <v>-0.56420000000000003</v>
      </c>
      <c r="Z43" s="1238">
        <v>1.4282999999999999</v>
      </c>
      <c r="AA43" s="245">
        <v>0.13039999999999999</v>
      </c>
      <c r="AB43" s="1451">
        <v>5.7999999999999996E-3</v>
      </c>
      <c r="AC43" s="223">
        <f t="shared" si="29"/>
        <v>-3.7938657601492189</v>
      </c>
      <c r="AD43" s="223">
        <f t="shared" si="30"/>
        <v>9.6043574356985619</v>
      </c>
      <c r="AE43" s="223">
        <f t="shared" si="31"/>
        <v>2.5085255381828926</v>
      </c>
      <c r="AF43" s="224">
        <f t="shared" si="32"/>
        <v>0.17979999999999999</v>
      </c>
      <c r="AG43" s="200">
        <f>IF(OR($I$2="RRO (Capped)",$I$2="RRO (Uncapped)"),VLOOKUP(A43,'Misc. Data &amp; Mechanisms'!$A$1483:$H$1574,2,FALSE),AR43)</f>
        <v>0.2291</v>
      </c>
      <c r="AH43" s="224">
        <f t="shared" si="22"/>
        <v>7.1021000000000001</v>
      </c>
      <c r="AI43" s="225">
        <f>5%</f>
        <v>0.05</v>
      </c>
      <c r="AJ43" s="359">
        <f>'Misc. Data &amp; Mechanisms'!AH316</f>
        <v>596.73753829721454</v>
      </c>
      <c r="AK43" s="1239">
        <f>'Misc. Data &amp; Mechanisms'!AP316</f>
        <v>657.08300980223214</v>
      </c>
      <c r="AL43" s="1239">
        <f>'Misc. Data &amp; Mechanisms'!K316</f>
        <v>672.43278272761768</v>
      </c>
      <c r="AM43" s="1239">
        <f>'Misc. Data &amp; Mechanisms'!L316</f>
        <v>510.31439121649021</v>
      </c>
      <c r="AN43" s="1239">
        <f>'Misc. Data &amp; Mechanisms'!M316</f>
        <v>377.66660689296469</v>
      </c>
      <c r="AO43" s="1465">
        <f>'Misc. Data &amp; Mechanisms'!$B$259</f>
        <v>611.34673880086393</v>
      </c>
      <c r="AP43" s="197">
        <f>IFERROR(IF('Personalized Bill Menu'!$B$30="Yes", IF('Personalized Bill Menu'!$B$34="Natural Gas",0,VLOOKUP($A43, 'Personalized Bill Menu'!$H$4:$L$93, 2, FALSE)), 0), 0)</f>
        <v>0</v>
      </c>
      <c r="AQ43" s="1343">
        <f>IFERROR(IF('Personalized Bill Menu'!$C$36="Custom", IF('Personalized Bill Menu'!$B$34="Natural Gas",0,VLOOKUP($A43, 'Personalized Bill Menu'!$H$4:$L$93, 3, FALSE)), 0), 0)</f>
        <v>0</v>
      </c>
      <c r="AR43" s="1344">
        <f>IFERROR(IF('Personalized Bill Menu'!$C$36="Custom", IF('Personalized Bill Menu'!$B$34="Natural Gas",0,VLOOKUP($A43, 'Personalized Bill Menu'!$H$4:$L$93, 4, FALSE)), 0), 0)</f>
        <v>0</v>
      </c>
      <c r="AS43" s="2"/>
      <c r="AT43" s="2"/>
      <c r="AU43" s="2"/>
    </row>
    <row r="44" spans="1:47" x14ac:dyDescent="0.35">
      <c r="A44" s="176">
        <v>42036</v>
      </c>
      <c r="B44" s="177">
        <f t="shared" si="8"/>
        <v>28</v>
      </c>
      <c r="C44" s="1581">
        <f t="shared" si="9"/>
        <v>589.22827055193079</v>
      </c>
      <c r="D44" s="178">
        <f t="shared" si="10"/>
        <v>15.225579719329994</v>
      </c>
      <c r="E44" s="178">
        <f t="shared" si="11"/>
        <v>11.370690771955204</v>
      </c>
      <c r="F44" s="179">
        <f t="shared" si="12"/>
        <v>89.713420061713649</v>
      </c>
      <c r="G44" s="180">
        <f t="shared" si="13"/>
        <v>34.940647215458945</v>
      </c>
      <c r="H44" s="181">
        <f t="shared" si="14"/>
        <v>11.468149829752228</v>
      </c>
      <c r="I44" s="181">
        <f t="shared" si="15"/>
        <v>17.214210694829976</v>
      </c>
      <c r="J44" s="181">
        <f t="shared" si="16"/>
        <v>7.9019439978883108</v>
      </c>
      <c r="K44" s="181">
        <f t="shared" si="17"/>
        <v>7.5016007017978232</v>
      </c>
      <c r="L44" s="181">
        <f t="shared" si="18"/>
        <v>6.4147999999999996</v>
      </c>
      <c r="M44" s="182">
        <f t="shared" si="23"/>
        <v>4.2720676219863645</v>
      </c>
      <c r="N44" s="273">
        <f>IF($I$2="RRO (Capped)",VLOOKUP(A44,'Misc. Data &amp; Mechanisms'!$A$1278:$E$1368,2,FALSE),IF($I$2="RRO (Uncapped)",VLOOKUP(A44,'Misc. Data &amp; Mechanisms'!$G$1278:$K$1368,2,FALSE),AQ44))</f>
        <v>5.9298999999999999</v>
      </c>
      <c r="O44" s="183">
        <f t="shared" si="19"/>
        <v>34.940647215458945</v>
      </c>
      <c r="P44" s="198">
        <v>1.9462999999999999</v>
      </c>
      <c r="Q44" s="183">
        <f t="shared" si="24"/>
        <v>11.468149829752228</v>
      </c>
      <c r="R44" s="198">
        <v>0.88959999999999995</v>
      </c>
      <c r="S44" s="199">
        <v>0.42758699999999999</v>
      </c>
      <c r="T44" s="183">
        <f t="shared" si="25"/>
        <v>5.2417746948299762</v>
      </c>
      <c r="U44" s="194">
        <f t="shared" si="26"/>
        <v>11.972436</v>
      </c>
      <c r="V44" s="126">
        <v>0.1111</v>
      </c>
      <c r="W44" s="123">
        <f t="shared" si="27"/>
        <v>4.0200380922508216</v>
      </c>
      <c r="X44" s="123">
        <f t="shared" si="28"/>
        <v>3.8819059056374892</v>
      </c>
      <c r="Y44" s="200">
        <v>-0.56420000000000003</v>
      </c>
      <c r="Z44" s="201">
        <v>1.4288000000000001</v>
      </c>
      <c r="AA44" s="202">
        <v>0.13039999999999999</v>
      </c>
      <c r="AB44" s="1450">
        <v>5.7999999999999996E-3</v>
      </c>
      <c r="AC44" s="192">
        <f t="shared" si="29"/>
        <v>-3.3244259024539935</v>
      </c>
      <c r="AD44" s="192">
        <f t="shared" si="30"/>
        <v>8.4188935296459881</v>
      </c>
      <c r="AE44" s="192">
        <f t="shared" si="31"/>
        <v>2.2447330746058287</v>
      </c>
      <c r="AF44" s="203">
        <f t="shared" si="32"/>
        <v>0.16239999999999999</v>
      </c>
      <c r="AG44" s="200">
        <f>IF(OR($I$2="RRO (Capped)",$I$2="RRO (Uncapped)"),VLOOKUP(A44,'Misc. Data &amp; Mechanisms'!$A$1483:$H$1574,2,FALSE),AR44)</f>
        <v>0.2291</v>
      </c>
      <c r="AH44" s="203">
        <f t="shared" si="22"/>
        <v>6.4147999999999996</v>
      </c>
      <c r="AI44" s="195">
        <f>5%</f>
        <v>0.05</v>
      </c>
      <c r="AJ44" s="341">
        <f>'Misc. Data &amp; Mechanisms'!AH317</f>
        <v>522.89929446630333</v>
      </c>
      <c r="AK44" s="196">
        <f>'Misc. Data &amp; Mechanisms'!AP317</f>
        <v>567.16869330123086</v>
      </c>
      <c r="AL44" s="196">
        <f>'Misc. Data &amp; Mechanisms'!K317</f>
        <v>589.22827055193079</v>
      </c>
      <c r="AM44" s="196">
        <f>'Misc. Data &amp; Mechanisms'!L317</f>
        <v>447.1698493856079</v>
      </c>
      <c r="AN44" s="196">
        <f>'Misc. Data &amp; Mechanisms'!M317</f>
        <v>330.93544416750791</v>
      </c>
      <c r="AO44" s="1463">
        <f>'Misc. Data &amp; Mechanisms'!$B$259</f>
        <v>611.34673880086393</v>
      </c>
      <c r="AP44" s="197">
        <f>IFERROR(IF('Personalized Bill Menu'!$B$30="Yes", IF('Personalized Bill Menu'!$B$34="Natural Gas",0,VLOOKUP($A44, 'Personalized Bill Menu'!$H$4:$L$93, 2, FALSE)), 0), 0)</f>
        <v>0</v>
      </c>
      <c r="AQ44" s="1343">
        <f>IFERROR(IF('Personalized Bill Menu'!$C$36="Custom", IF('Personalized Bill Menu'!$B$34="Natural Gas",0,VLOOKUP($A44, 'Personalized Bill Menu'!$H$4:$L$93, 3, FALSE)), 0), 0)</f>
        <v>0</v>
      </c>
      <c r="AR44" s="1344">
        <f>IFERROR(IF('Personalized Bill Menu'!$C$36="Custom", IF('Personalized Bill Menu'!$B$34="Natural Gas",0,VLOOKUP($A44, 'Personalized Bill Menu'!$H$4:$L$93, 4, FALSE)), 0), 0)</f>
        <v>0</v>
      </c>
      <c r="AS44" s="2"/>
      <c r="AT44" s="2"/>
      <c r="AU44" s="2"/>
    </row>
    <row r="45" spans="1:47" x14ac:dyDescent="0.35">
      <c r="A45" s="176">
        <v>42064</v>
      </c>
      <c r="B45" s="177">
        <f t="shared" si="8"/>
        <v>31</v>
      </c>
      <c r="C45" s="1581">
        <f t="shared" si="9"/>
        <v>591.76623672893038</v>
      </c>
      <c r="D45" s="178">
        <f t="shared" si="10"/>
        <v>14.439294460557333</v>
      </c>
      <c r="E45" s="178">
        <f t="shared" si="11"/>
        <v>10.1896859154552</v>
      </c>
      <c r="F45" s="179">
        <f t="shared" si="12"/>
        <v>85.446869439449046</v>
      </c>
      <c r="G45" s="180">
        <f t="shared" si="13"/>
        <v>29.100696457381883</v>
      </c>
      <c r="H45" s="181">
        <f>SUM($Q45)</f>
        <v>11.51754626545517</v>
      </c>
      <c r="I45" s="181">
        <f t="shared" si="15"/>
        <v>18.519549441940562</v>
      </c>
      <c r="J45" s="181">
        <f t="shared" si="16"/>
        <v>7.426918599948392</v>
      </c>
      <c r="K45" s="181">
        <f t="shared" si="17"/>
        <v>7.7111601299873822</v>
      </c>
      <c r="L45" s="181">
        <f t="shared" si="18"/>
        <v>7.1021000000000001</v>
      </c>
      <c r="M45" s="182">
        <f t="shared" si="23"/>
        <v>4.0688985447356689</v>
      </c>
      <c r="N45" s="273">
        <f>IF($I$2="RRO (Capped)",VLOOKUP(A45,'Misc. Data &amp; Mechanisms'!$A$1278:$E$1368,2,FALSE),IF($I$2="RRO (Uncapped)",VLOOKUP(A45,'Misc. Data &amp; Mechanisms'!$G$1278:$K$1368,2,FALSE),AQ45))</f>
        <v>4.9176000000000002</v>
      </c>
      <c r="O45" s="183">
        <f t="shared" si="19"/>
        <v>29.100696457381883</v>
      </c>
      <c r="P45" s="198">
        <v>1.9462999999999999</v>
      </c>
      <c r="Q45" s="183">
        <f t="shared" si="24"/>
        <v>11.51754626545517</v>
      </c>
      <c r="R45" s="198">
        <v>0.88959999999999995</v>
      </c>
      <c r="S45" s="199">
        <v>0.42758699999999999</v>
      </c>
      <c r="T45" s="183">
        <f t="shared" si="25"/>
        <v>5.2643524419405647</v>
      </c>
      <c r="U45" s="194">
        <f t="shared" si="26"/>
        <v>13.255196999999999</v>
      </c>
      <c r="V45" s="126">
        <v>0.1111</v>
      </c>
      <c r="W45" s="123">
        <f t="shared" si="27"/>
        <v>4.1938312235332642</v>
      </c>
      <c r="X45" s="123">
        <f t="shared" si="28"/>
        <v>3.2330873764151273</v>
      </c>
      <c r="Y45" s="200">
        <v>-0.56420000000000003</v>
      </c>
      <c r="Z45" s="201">
        <v>1.4288000000000001</v>
      </c>
      <c r="AA45" s="202">
        <v>0.13039999999999999</v>
      </c>
      <c r="AB45" s="1450">
        <v>5.7999999999999996E-3</v>
      </c>
      <c r="AC45" s="192">
        <f t="shared" si="29"/>
        <v>-3.3387451076246255</v>
      </c>
      <c r="AD45" s="192">
        <f t="shared" si="30"/>
        <v>8.4551559903829574</v>
      </c>
      <c r="AE45" s="192">
        <f t="shared" si="31"/>
        <v>2.4149492472290492</v>
      </c>
      <c r="AF45" s="203">
        <f t="shared" si="32"/>
        <v>0.17979999999999999</v>
      </c>
      <c r="AG45" s="200">
        <f>IF(OR($I$2="RRO (Capped)",$I$2="RRO (Uncapped)"),VLOOKUP(A45,'Misc. Data &amp; Mechanisms'!$A$1483:$H$1574,2,FALSE),AR45)</f>
        <v>0.2291</v>
      </c>
      <c r="AH45" s="203">
        <f t="shared" si="22"/>
        <v>7.1021000000000001</v>
      </c>
      <c r="AI45" s="195">
        <f>5%</f>
        <v>0.05</v>
      </c>
      <c r="AJ45" s="341">
        <f>'Misc. Data &amp; Mechanisms'!AH318</f>
        <v>525.1515637304534</v>
      </c>
      <c r="AK45" s="196">
        <f>'Misc. Data &amp; Mechanisms'!AP318</f>
        <v>559.20686936723871</v>
      </c>
      <c r="AL45" s="196">
        <f>'Misc. Data &amp; Mechanisms'!K318</f>
        <v>591.76623672893038</v>
      </c>
      <c r="AM45" s="196">
        <f>'Misc. Data &amp; Mechanisms'!L318</f>
        <v>449.0959313640771</v>
      </c>
      <c r="AN45" s="196">
        <f>'Misc. Data &amp; Mechanisms'!M318</f>
        <v>332.36087299712051</v>
      </c>
      <c r="AO45" s="1463">
        <f>'Misc. Data &amp; Mechanisms'!$B$259</f>
        <v>611.34673880086393</v>
      </c>
      <c r="AP45" s="197">
        <f>IFERROR(IF('Personalized Bill Menu'!$B$30="Yes", IF('Personalized Bill Menu'!$B$34="Natural Gas",0,VLOOKUP($A45, 'Personalized Bill Menu'!$H$4:$L$93, 2, FALSE)), 0), 0)</f>
        <v>0</v>
      </c>
      <c r="AQ45" s="1343">
        <f>IFERROR(IF('Personalized Bill Menu'!$C$36="Custom", IF('Personalized Bill Menu'!$B$34="Natural Gas",0,VLOOKUP($A45, 'Personalized Bill Menu'!$H$4:$L$93, 3, FALSE)), 0), 0)</f>
        <v>0</v>
      </c>
      <c r="AR45" s="1344">
        <f>IFERROR(IF('Personalized Bill Menu'!$C$36="Custom", IF('Personalized Bill Menu'!$B$34="Natural Gas",0,VLOOKUP($A45, 'Personalized Bill Menu'!$H$4:$L$93, 4, FALSE)), 0), 0)</f>
        <v>0</v>
      </c>
      <c r="AS45" s="2"/>
      <c r="AT45" s="2"/>
      <c r="AU45" s="2"/>
    </row>
    <row r="46" spans="1:47" x14ac:dyDescent="0.35">
      <c r="A46" s="176">
        <v>42095</v>
      </c>
      <c r="B46" s="177">
        <f t="shared" si="8"/>
        <v>30</v>
      </c>
      <c r="C46" s="1581">
        <f t="shared" si="9"/>
        <v>534.43170590601471</v>
      </c>
      <c r="D46" s="178">
        <f t="shared" si="10"/>
        <v>14.139252363540704</v>
      </c>
      <c r="E46" s="178">
        <f t="shared" si="11"/>
        <v>9.9886667790000008</v>
      </c>
      <c r="F46" s="179">
        <f t="shared" si="12"/>
        <v>75.564647608827087</v>
      </c>
      <c r="G46" s="180">
        <f t="shared" si="13"/>
        <v>27.331371871739499</v>
      </c>
      <c r="H46" s="181">
        <f t="shared" si="14"/>
        <v>10.401644292048763</v>
      </c>
      <c r="I46" s="181">
        <f t="shared" si="15"/>
        <v>17.581914455739906</v>
      </c>
      <c r="J46" s="181">
        <f t="shared" si="16"/>
        <v>6.5087472597646165</v>
      </c>
      <c r="K46" s="181">
        <f t="shared" si="17"/>
        <v>3.269653176732997</v>
      </c>
      <c r="L46" s="181">
        <f t="shared" si="18"/>
        <v>6.8730000000000002</v>
      </c>
      <c r="M46" s="182">
        <f t="shared" si="23"/>
        <v>3.5983165528012897</v>
      </c>
      <c r="N46" s="273">
        <f>IF($I$2="RRO (Capped)",VLOOKUP(A46,'Misc. Data &amp; Mechanisms'!$A$1278:$E$1368,2,FALSE),IF($I$2="RRO (Uncapped)",VLOOKUP(A46,'Misc. Data &amp; Mechanisms'!$G$1278:$K$1368,2,FALSE),AQ46))</f>
        <v>5.1140999999999996</v>
      </c>
      <c r="O46" s="183">
        <f t="shared" si="19"/>
        <v>27.331371871739499</v>
      </c>
      <c r="P46" s="198">
        <v>1.9462999999999999</v>
      </c>
      <c r="Q46" s="183">
        <f t="shared" si="24"/>
        <v>10.401644292048763</v>
      </c>
      <c r="R46" s="198">
        <v>0.88959999999999995</v>
      </c>
      <c r="S46" s="199">
        <v>0.42758699999999999</v>
      </c>
      <c r="T46" s="183">
        <f t="shared" si="25"/>
        <v>4.7543044557399066</v>
      </c>
      <c r="U46" s="194">
        <f t="shared" si="26"/>
        <v>12.82761</v>
      </c>
      <c r="V46" s="126">
        <v>0.1111</v>
      </c>
      <c r="W46" s="123">
        <f t="shared" si="27"/>
        <v>3.4722318448143574</v>
      </c>
      <c r="X46" s="123">
        <f t="shared" si="28"/>
        <v>3.0365154149502587</v>
      </c>
      <c r="Y46" s="200">
        <v>-0.56420000000000003</v>
      </c>
      <c r="Z46" s="201">
        <v>1.1759999999999999</v>
      </c>
      <c r="AA46" s="202"/>
      <c r="AB46" s="1450"/>
      <c r="AC46" s="192">
        <f t="shared" si="29"/>
        <v>-3.0152636847217353</v>
      </c>
      <c r="AD46" s="192">
        <f t="shared" si="30"/>
        <v>6.2849168614547324</v>
      </c>
      <c r="AE46" s="192">
        <f t="shared" si="31"/>
        <v>0</v>
      </c>
      <c r="AF46" s="203">
        <f t="shared" si="32"/>
        <v>0</v>
      </c>
      <c r="AG46" s="200">
        <f>IF(OR($I$2="RRO (Capped)",$I$2="RRO (Uncapped)"),VLOOKUP(A46,'Misc. Data &amp; Mechanisms'!$A$1483:$H$1574,2,FALSE),AR46)</f>
        <v>0.2291</v>
      </c>
      <c r="AH46" s="203">
        <f t="shared" si="22"/>
        <v>6.8730000000000002</v>
      </c>
      <c r="AI46" s="195">
        <f>5%</f>
        <v>0.05</v>
      </c>
      <c r="AJ46" s="341">
        <f>'Misc. Data &amp; Mechanisms'!AH319</f>
        <v>474.27113722312265</v>
      </c>
      <c r="AK46" s="196">
        <f>'Misc. Data &amp; Mechanisms'!AP319</f>
        <v>492.41607298078463</v>
      </c>
      <c r="AL46" s="196">
        <f>'Misc. Data &amp; Mechanisms'!K319</f>
        <v>534.43170590601471</v>
      </c>
      <c r="AM46" s="196">
        <f>'Misc. Data &amp; Mechanisms'!L319</f>
        <v>405.58431660624774</v>
      </c>
      <c r="AN46" s="196">
        <f>'Misc. Data &amp; Mechanisms'!M319</f>
        <v>300.15938272197758</v>
      </c>
      <c r="AO46" s="1463">
        <f>'Misc. Data &amp; Mechanisms'!$B$259</f>
        <v>611.34673880086393</v>
      </c>
      <c r="AP46" s="197">
        <f>IFERROR(IF('Personalized Bill Menu'!$B$30="Yes", IF('Personalized Bill Menu'!$B$34="Natural Gas",0,VLOOKUP($A46, 'Personalized Bill Menu'!$H$4:$L$93, 2, FALSE)), 0), 0)</f>
        <v>0</v>
      </c>
      <c r="AQ46" s="1343">
        <f>IFERROR(IF('Personalized Bill Menu'!$C$36="Custom", IF('Personalized Bill Menu'!$B$34="Natural Gas",0,VLOOKUP($A46, 'Personalized Bill Menu'!$H$4:$L$93, 3, FALSE)), 0), 0)</f>
        <v>0</v>
      </c>
      <c r="AR46" s="1344">
        <f>IFERROR(IF('Personalized Bill Menu'!$C$36="Custom", IF('Personalized Bill Menu'!$B$34="Natural Gas",0,VLOOKUP($A46, 'Personalized Bill Menu'!$H$4:$L$93, 4, FALSE)), 0), 0)</f>
        <v>0</v>
      </c>
      <c r="AS46" s="2"/>
      <c r="AT46" s="2"/>
      <c r="AU46" s="2"/>
    </row>
    <row r="47" spans="1:47" x14ac:dyDescent="0.35">
      <c r="A47" s="176">
        <v>42125</v>
      </c>
      <c r="B47" s="177">
        <f t="shared" si="8"/>
        <v>31</v>
      </c>
      <c r="C47" s="1581">
        <f t="shared" si="9"/>
        <v>527.54718087523224</v>
      </c>
      <c r="D47" s="178">
        <f t="shared" si="10"/>
        <v>13.635099793489475</v>
      </c>
      <c r="E47" s="178">
        <f t="shared" si="11"/>
        <v>9.2901904304999974</v>
      </c>
      <c r="F47" s="179">
        <f t="shared" si="12"/>
        <v>71.931584570078343</v>
      </c>
      <c r="G47" s="180">
        <f t="shared" si="13"/>
        <v>23.820865405240237</v>
      </c>
      <c r="H47" s="181">
        <f t="shared" si="14"/>
        <v>10.267650781374645</v>
      </c>
      <c r="I47" s="181">
        <f t="shared" si="15"/>
        <v>17.948256721066066</v>
      </c>
      <c r="J47" s="181">
        <f t="shared" si="16"/>
        <v>6.1398644588466214</v>
      </c>
      <c r="K47" s="181">
        <f t="shared" si="17"/>
        <v>3.2275336525946701</v>
      </c>
      <c r="L47" s="181">
        <f t="shared" si="18"/>
        <v>7.1021000000000001</v>
      </c>
      <c r="M47" s="182">
        <f t="shared" si="23"/>
        <v>3.4253135509561119</v>
      </c>
      <c r="N47" s="273">
        <f>IF($I$2="RRO (Capped)",VLOOKUP(A47,'Misc. Data &amp; Mechanisms'!$A$1278:$E$1368,2,FALSE),IF($I$2="RRO (Uncapped)",VLOOKUP(A47,'Misc. Data &amp; Mechanisms'!$G$1278:$K$1368,2,FALSE),AQ47))</f>
        <v>4.5153999999999996</v>
      </c>
      <c r="O47" s="183">
        <f t="shared" si="19"/>
        <v>23.820865405240237</v>
      </c>
      <c r="P47" s="198">
        <v>1.9462999999999999</v>
      </c>
      <c r="Q47" s="183">
        <f t="shared" si="24"/>
        <v>10.267650781374645</v>
      </c>
      <c r="R47" s="198">
        <v>0.88959999999999995</v>
      </c>
      <c r="S47" s="199">
        <v>0.42758699999999999</v>
      </c>
      <c r="T47" s="183">
        <f t="shared" si="25"/>
        <v>4.6930597210660654</v>
      </c>
      <c r="U47" s="194">
        <f t="shared" si="26"/>
        <v>13.255196999999999</v>
      </c>
      <c r="V47" s="126">
        <v>0.1111</v>
      </c>
      <c r="W47" s="123">
        <f t="shared" si="27"/>
        <v>3.4933663123244307</v>
      </c>
      <c r="X47" s="123">
        <f t="shared" si="28"/>
        <v>2.6464981465221906</v>
      </c>
      <c r="Y47" s="200">
        <v>-0.56420000000000003</v>
      </c>
      <c r="Z47" s="201">
        <v>1.1759999999999999</v>
      </c>
      <c r="AA47" s="202"/>
      <c r="AB47" s="1450"/>
      <c r="AC47" s="192">
        <f t="shared" si="29"/>
        <v>-2.9764211944980605</v>
      </c>
      <c r="AD47" s="192">
        <f t="shared" si="30"/>
        <v>6.2039548470927306</v>
      </c>
      <c r="AE47" s="192">
        <f t="shared" si="31"/>
        <v>0</v>
      </c>
      <c r="AF47" s="203">
        <f t="shared" si="32"/>
        <v>0</v>
      </c>
      <c r="AG47" s="200">
        <f>IF(OR($I$2="RRO (Capped)",$I$2="RRO (Uncapped)"),VLOOKUP(A47,'Misc. Data &amp; Mechanisms'!$A$1483:$H$1574,2,FALSE),AR47)</f>
        <v>0.2291</v>
      </c>
      <c r="AH47" s="203">
        <f t="shared" si="22"/>
        <v>7.1021000000000001</v>
      </c>
      <c r="AI47" s="195">
        <f>5%</f>
        <v>0.05</v>
      </c>
      <c r="AJ47" s="341">
        <f>'Misc. Data &amp; Mechanisms'!AH320</f>
        <v>468.16159791340874</v>
      </c>
      <c r="AK47" s="196">
        <f>'Misc. Data &amp; Mechanisms'!AP320</f>
        <v>481.77695362669192</v>
      </c>
      <c r="AL47" s="196">
        <f>'Misc. Data &amp; Mechanisms'!K320</f>
        <v>527.54718087523224</v>
      </c>
      <c r="AM47" s="196">
        <f>'Misc. Data &amp; Mechanisms'!L320</f>
        <v>400.35959780885742</v>
      </c>
      <c r="AN47" s="196">
        <f>'Misc. Data &amp; Mechanisms'!M320</f>
        <v>296.29274314813262</v>
      </c>
      <c r="AO47" s="1463">
        <f>'Misc. Data &amp; Mechanisms'!$B$259</f>
        <v>611.34673880086393</v>
      </c>
      <c r="AP47" s="197">
        <f>IFERROR(IF('Personalized Bill Menu'!$B$30="Yes", IF('Personalized Bill Menu'!$B$34="Natural Gas",0,VLOOKUP($A47, 'Personalized Bill Menu'!$H$4:$L$93, 2, FALSE)), 0), 0)</f>
        <v>0</v>
      </c>
      <c r="AQ47" s="1343">
        <f>IFERROR(IF('Personalized Bill Menu'!$C$36="Custom", IF('Personalized Bill Menu'!$B$34="Natural Gas",0,VLOOKUP($A47, 'Personalized Bill Menu'!$H$4:$L$93, 3, FALSE)), 0), 0)</f>
        <v>0</v>
      </c>
      <c r="AR47" s="1344">
        <f>IFERROR(IF('Personalized Bill Menu'!$C$36="Custom", IF('Personalized Bill Menu'!$B$34="Natural Gas",0,VLOOKUP($A47, 'Personalized Bill Menu'!$H$4:$L$93, 4, FALSE)), 0), 0)</f>
        <v>0</v>
      </c>
      <c r="AS47" s="2"/>
      <c r="AT47" s="2"/>
      <c r="AU47" s="2"/>
    </row>
    <row r="48" spans="1:47" x14ac:dyDescent="0.35">
      <c r="A48" s="176">
        <v>42156</v>
      </c>
      <c r="B48" s="177">
        <f t="shared" si="8"/>
        <v>30</v>
      </c>
      <c r="C48" s="1581">
        <f t="shared" si="9"/>
        <v>534.45054632951371</v>
      </c>
      <c r="D48" s="178">
        <f t="shared" si="10"/>
        <v>12.606938035808602</v>
      </c>
      <c r="E48" s="178">
        <f t="shared" si="11"/>
        <v>8.4564987675000012</v>
      </c>
      <c r="F48" s="179">
        <f t="shared" si="12"/>
        <v>67.377849207802342</v>
      </c>
      <c r="G48" s="180">
        <f t="shared" si="13"/>
        <v>20.313396364892156</v>
      </c>
      <c r="H48" s="181">
        <f t="shared" si="14"/>
        <v>10.402010983211325</v>
      </c>
      <c r="I48" s="181">
        <f t="shared" si="15"/>
        <v>17.582082060147354</v>
      </c>
      <c r="J48" s="181">
        <f t="shared" si="16"/>
        <v>5.7291223472121926</v>
      </c>
      <c r="K48" s="181">
        <f t="shared" si="17"/>
        <v>3.2697684424439641</v>
      </c>
      <c r="L48" s="181">
        <f t="shared" si="18"/>
        <v>6.8730000000000002</v>
      </c>
      <c r="M48" s="182">
        <f t="shared" si="23"/>
        <v>3.2084690098953494</v>
      </c>
      <c r="N48" s="273">
        <f>IF($I$2="RRO (Capped)",VLOOKUP(A48,'Misc. Data &amp; Mechanisms'!$A$1278:$E$1368,2,FALSE),IF($I$2="RRO (Uncapped)",VLOOKUP(A48,'Misc. Data &amp; Mechanisms'!$G$1278:$K$1368,2,FALSE),AQ48))</f>
        <v>3.8008000000000002</v>
      </c>
      <c r="O48" s="183">
        <f t="shared" si="19"/>
        <v>20.313396364892156</v>
      </c>
      <c r="P48" s="198">
        <v>1.9462999999999999</v>
      </c>
      <c r="Q48" s="183">
        <f t="shared" si="24"/>
        <v>10.402010983211325</v>
      </c>
      <c r="R48" s="198">
        <v>0.88959999999999995</v>
      </c>
      <c r="S48" s="199">
        <v>0.42758699999999999</v>
      </c>
      <c r="T48" s="183">
        <f t="shared" si="25"/>
        <v>4.7544720601473536</v>
      </c>
      <c r="U48" s="194">
        <f t="shared" si="26"/>
        <v>12.82761</v>
      </c>
      <c r="V48" s="126">
        <v>0.1111</v>
      </c>
      <c r="W48" s="123">
        <f t="shared" si="27"/>
        <v>3.4723040110726737</v>
      </c>
      <c r="X48" s="123">
        <f t="shared" si="28"/>
        <v>2.2568183361395189</v>
      </c>
      <c r="Y48" s="200">
        <v>-0.56420000000000003</v>
      </c>
      <c r="Z48" s="201">
        <v>1.1759999999999999</v>
      </c>
      <c r="AA48" s="202"/>
      <c r="AB48" s="1450"/>
      <c r="AC48" s="192">
        <f t="shared" si="29"/>
        <v>-3.0153699823911166</v>
      </c>
      <c r="AD48" s="192">
        <f t="shared" si="30"/>
        <v>6.2851384248350808</v>
      </c>
      <c r="AE48" s="192">
        <f t="shared" si="31"/>
        <v>0</v>
      </c>
      <c r="AF48" s="203">
        <f t="shared" si="32"/>
        <v>0</v>
      </c>
      <c r="AG48" s="200">
        <f>IF(OR($I$2="RRO (Capped)",$I$2="RRO (Uncapped)"),VLOOKUP(A48,'Misc. Data &amp; Mechanisms'!$A$1483:$H$1574,2,FALSE),AR48)</f>
        <v>0.2291</v>
      </c>
      <c r="AH48" s="203">
        <f t="shared" si="22"/>
        <v>6.8730000000000002</v>
      </c>
      <c r="AI48" s="195">
        <f>5%</f>
        <v>0.05</v>
      </c>
      <c r="AJ48" s="341">
        <f>'Misc. Data &amp; Mechanisms'!AH321</f>
        <v>474.28785679454757</v>
      </c>
      <c r="AK48" s="196">
        <f>'Misc. Data &amp; Mechanisms'!AP321</f>
        <v>484.9944390307773</v>
      </c>
      <c r="AL48" s="196">
        <f>'Misc. Data &amp; Mechanisms'!K321</f>
        <v>534.45054632951371</v>
      </c>
      <c r="AM48" s="196">
        <f>'Misc. Data &amp; Mechanisms'!L321</f>
        <v>405.59861474800272</v>
      </c>
      <c r="AN48" s="196">
        <f>'Misc. Data &amp; Mechanisms'!M321</f>
        <v>300.16996429830471</v>
      </c>
      <c r="AO48" s="1463">
        <f>'Misc. Data &amp; Mechanisms'!$B$259</f>
        <v>611.34673880086393</v>
      </c>
      <c r="AP48" s="197">
        <f>IFERROR(IF('Personalized Bill Menu'!$B$30="Yes", IF('Personalized Bill Menu'!$B$34="Natural Gas",0,VLOOKUP($A48, 'Personalized Bill Menu'!$H$4:$L$93, 2, FALSE)), 0), 0)</f>
        <v>0</v>
      </c>
      <c r="AQ48" s="1343">
        <f>IFERROR(IF('Personalized Bill Menu'!$C$36="Custom", IF('Personalized Bill Menu'!$B$34="Natural Gas",0,VLOOKUP($A48, 'Personalized Bill Menu'!$H$4:$L$93, 3, FALSE)), 0), 0)</f>
        <v>0</v>
      </c>
      <c r="AR48" s="1344">
        <f>IFERROR(IF('Personalized Bill Menu'!$C$36="Custom", IF('Personalized Bill Menu'!$B$34="Natural Gas",0,VLOOKUP($A48, 'Personalized Bill Menu'!$H$4:$L$93, 4, FALSE)), 0), 0)</f>
        <v>0</v>
      </c>
      <c r="AS48" s="2"/>
      <c r="AT48" s="2"/>
      <c r="AU48" s="2"/>
    </row>
    <row r="49" spans="1:47" x14ac:dyDescent="0.35">
      <c r="A49" s="176">
        <v>42186</v>
      </c>
      <c r="B49" s="177">
        <f t="shared" si="8"/>
        <v>31</v>
      </c>
      <c r="C49" s="1581">
        <f t="shared" si="9"/>
        <v>545.29132412881165</v>
      </c>
      <c r="D49" s="178">
        <f t="shared" si="10"/>
        <v>17.644438704901773</v>
      </c>
      <c r="E49" s="178">
        <f t="shared" si="11"/>
        <v>13.440915589499998</v>
      </c>
      <c r="F49" s="179">
        <f t="shared" si="12"/>
        <v>96.213593449055423</v>
      </c>
      <c r="G49" s="180">
        <f t="shared" si="13"/>
        <v>44.80113519042316</v>
      </c>
      <c r="H49" s="181">
        <f t="shared" si="14"/>
        <v>10.61300504151906</v>
      </c>
      <c r="I49" s="181">
        <f t="shared" si="15"/>
        <v>18.106108619449905</v>
      </c>
      <c r="J49" s="181">
        <f t="shared" si="16"/>
        <v>8.4522285994488993</v>
      </c>
      <c r="K49" s="181">
        <f t="shared" si="17"/>
        <v>2.5574163101641263</v>
      </c>
      <c r="L49" s="181">
        <f t="shared" si="18"/>
        <v>7.1021000000000001</v>
      </c>
      <c r="M49" s="182">
        <f t="shared" si="23"/>
        <v>4.5815996880502583</v>
      </c>
      <c r="N49" s="273">
        <f>IF($I$2="RRO (Capped)",VLOOKUP(A49,'Misc. Data &amp; Mechanisms'!$A$1278:$E$1368,2,FALSE),IF($I$2="RRO (Uncapped)",VLOOKUP(A49,'Misc. Data &amp; Mechanisms'!$G$1278:$K$1368,2,FALSE),AQ49))</f>
        <v>8.2159999999999993</v>
      </c>
      <c r="O49" s="183">
        <f t="shared" si="19"/>
        <v>44.80113519042316</v>
      </c>
      <c r="P49" s="198">
        <v>1.9462999999999999</v>
      </c>
      <c r="Q49" s="183">
        <f t="shared" si="24"/>
        <v>10.61300504151906</v>
      </c>
      <c r="R49" s="198">
        <v>0.88959999999999995</v>
      </c>
      <c r="S49" s="199">
        <v>0.42758699999999999</v>
      </c>
      <c r="T49" s="183">
        <f t="shared" si="25"/>
        <v>4.8509116194499082</v>
      </c>
      <c r="U49" s="194">
        <f t="shared" si="26"/>
        <v>13.255196999999999</v>
      </c>
      <c r="V49" s="126">
        <v>0.1111</v>
      </c>
      <c r="W49" s="123">
        <f t="shared" si="27"/>
        <v>3.4748224797928864</v>
      </c>
      <c r="X49" s="123">
        <f t="shared" si="28"/>
        <v>4.9774061196560133</v>
      </c>
      <c r="Y49" s="200">
        <v>-0.56420000000000003</v>
      </c>
      <c r="Z49" s="201">
        <v>1.0331999999999999</v>
      </c>
      <c r="AA49" s="205"/>
      <c r="AB49" s="386"/>
      <c r="AC49" s="192">
        <f t="shared" si="29"/>
        <v>-3.0765336507347554</v>
      </c>
      <c r="AD49" s="192">
        <f t="shared" si="30"/>
        <v>5.6339499608988817</v>
      </c>
      <c r="AE49" s="192">
        <f t="shared" si="31"/>
        <v>0</v>
      </c>
      <c r="AF49" s="203">
        <f t="shared" si="32"/>
        <v>0</v>
      </c>
      <c r="AG49" s="200">
        <f>IF(OR($I$2="RRO (Capped)",$I$2="RRO (Uncapped)"),VLOOKUP(A49,'Misc. Data &amp; Mechanisms'!$A$1483:$H$1574,2,FALSE),AR49)</f>
        <v>0.2291</v>
      </c>
      <c r="AH49" s="203">
        <f t="shared" si="22"/>
        <v>7.1021000000000001</v>
      </c>
      <c r="AI49" s="195">
        <f>5%</f>
        <v>0.05</v>
      </c>
      <c r="AJ49" s="341">
        <f>'Misc. Data &amp; Mechanisms'!AH322</f>
        <v>483.9082965222766</v>
      </c>
      <c r="AK49" s="196">
        <f>'Misc. Data &amp; Mechanisms'!AP322</f>
        <v>518.09941730132016</v>
      </c>
      <c r="AL49" s="196">
        <f>'Misc. Data &amp; Mechanisms'!K322</f>
        <v>545.29132412881165</v>
      </c>
      <c r="AM49" s="196">
        <f>'Misc. Data &amp; Mechanisms'!L322</f>
        <v>413.82576408554911</v>
      </c>
      <c r="AN49" s="196">
        <f>'Misc. Data &amp; Mechanisms'!M322</f>
        <v>306.25860225990732</v>
      </c>
      <c r="AO49" s="1463">
        <f>'Misc. Data &amp; Mechanisms'!$B$259</f>
        <v>611.34673880086393</v>
      </c>
      <c r="AP49" s="197">
        <f>IFERROR(IF('Personalized Bill Menu'!$B$30="Yes", IF('Personalized Bill Menu'!$B$34="Natural Gas",0,VLOOKUP($A49, 'Personalized Bill Menu'!$H$4:$L$93, 2, FALSE)), 0), 0)</f>
        <v>0</v>
      </c>
      <c r="AQ49" s="1343">
        <f>IFERROR(IF('Personalized Bill Menu'!$C$36="Custom", IF('Personalized Bill Menu'!$B$34="Natural Gas",0,VLOOKUP($A49, 'Personalized Bill Menu'!$H$4:$L$93, 3, FALSE)), 0), 0)</f>
        <v>0</v>
      </c>
      <c r="AR49" s="1344">
        <f>IFERROR(IF('Personalized Bill Menu'!$C$36="Custom", IF('Personalized Bill Menu'!$B$34="Natural Gas",0,VLOOKUP($A49, 'Personalized Bill Menu'!$H$4:$L$93, 4, FALSE)), 0), 0)</f>
        <v>0</v>
      </c>
      <c r="AS49" s="2"/>
      <c r="AT49" s="2"/>
      <c r="AU49" s="2"/>
    </row>
    <row r="50" spans="1:47" x14ac:dyDescent="0.35">
      <c r="A50" s="176">
        <v>42217</v>
      </c>
      <c r="B50" s="177">
        <f t="shared" si="8"/>
        <v>31</v>
      </c>
      <c r="C50" s="1581">
        <f t="shared" si="9"/>
        <v>548.24925977459793</v>
      </c>
      <c r="D50" s="178">
        <f t="shared" si="10"/>
        <v>17.248430094142964</v>
      </c>
      <c r="E50" s="178">
        <f t="shared" si="11"/>
        <v>13.067585989499999</v>
      </c>
      <c r="F50" s="179">
        <f t="shared" si="12"/>
        <v>94.564390313877794</v>
      </c>
      <c r="G50" s="180">
        <f t="shared" si="13"/>
        <v>43.28976155180225</v>
      </c>
      <c r="H50" s="181">
        <f t="shared" si="14"/>
        <v>10.670575342992999</v>
      </c>
      <c r="I50" s="181">
        <f t="shared" si="15"/>
        <v>18.132422414954821</v>
      </c>
      <c r="J50" s="181">
        <f t="shared" si="16"/>
        <v>8.2951757703621247</v>
      </c>
      <c r="K50" s="181">
        <f t="shared" si="17"/>
        <v>2.5712890283428638</v>
      </c>
      <c r="L50" s="181">
        <f t="shared" si="18"/>
        <v>7.1021000000000001</v>
      </c>
      <c r="M50" s="182">
        <f t="shared" si="23"/>
        <v>4.5030662054227522</v>
      </c>
      <c r="N50" s="273">
        <f>IF($I$2="RRO (Capped)",VLOOKUP(A50,'Misc. Data &amp; Mechanisms'!$A$1278:$E$1368,2,FALSE),IF($I$2="RRO (Uncapped)",VLOOKUP(A50,'Misc. Data &amp; Mechanisms'!$G$1278:$K$1368,2,FALSE),AQ50))</f>
        <v>7.8959999999999999</v>
      </c>
      <c r="O50" s="183">
        <f t="shared" si="19"/>
        <v>43.28976155180225</v>
      </c>
      <c r="P50" s="198">
        <v>1.9462999999999999</v>
      </c>
      <c r="Q50" s="183">
        <f t="shared" si="24"/>
        <v>10.670575342992999</v>
      </c>
      <c r="R50" s="198">
        <v>0.88959999999999995</v>
      </c>
      <c r="S50" s="199">
        <v>0.42758699999999999</v>
      </c>
      <c r="T50" s="183">
        <f t="shared" si="25"/>
        <v>4.8772254149548226</v>
      </c>
      <c r="U50" s="194">
        <f t="shared" si="26"/>
        <v>13.255196999999999</v>
      </c>
      <c r="V50" s="126">
        <v>0.1111</v>
      </c>
      <c r="W50" s="123">
        <f t="shared" si="27"/>
        <v>3.4856832619568952</v>
      </c>
      <c r="X50" s="123">
        <f t="shared" si="28"/>
        <v>4.8094925084052305</v>
      </c>
      <c r="Y50" s="200">
        <v>-0.56420000000000003</v>
      </c>
      <c r="Z50" s="201">
        <v>1.0331999999999999</v>
      </c>
      <c r="AA50" s="202"/>
      <c r="AB50" s="1450"/>
      <c r="AC50" s="192">
        <f t="shared" si="29"/>
        <v>-3.0932223236482819</v>
      </c>
      <c r="AD50" s="192">
        <f t="shared" si="30"/>
        <v>5.6645113519911456</v>
      </c>
      <c r="AE50" s="192">
        <f t="shared" si="31"/>
        <v>0</v>
      </c>
      <c r="AF50" s="203">
        <f t="shared" si="32"/>
        <v>0</v>
      </c>
      <c r="AG50" s="200">
        <f>IF(OR($I$2="RRO (Capped)",$I$2="RRO (Uncapped)"),VLOOKUP(A50,'Misc. Data &amp; Mechanisms'!$A$1483:$H$1574,2,FALSE),AR50)</f>
        <v>0.2291</v>
      </c>
      <c r="AH50" s="203">
        <f t="shared" si="22"/>
        <v>7.1021000000000001</v>
      </c>
      <c r="AI50" s="195">
        <f>5%</f>
        <v>0.05</v>
      </c>
      <c r="AJ50" s="341">
        <f>'Misc. Data &amp; Mechanisms'!AH323</f>
        <v>486.53325961308269</v>
      </c>
      <c r="AK50" s="196">
        <f>'Misc. Data &amp; Mechanisms'!AP323</f>
        <v>506.42799050230519</v>
      </c>
      <c r="AL50" s="196">
        <f>'Misc. Data &amp; Mechanisms'!K323</f>
        <v>548.24925977459793</v>
      </c>
      <c r="AM50" s="196">
        <f>'Misc. Data &amp; Mechanisms'!L323</f>
        <v>416.0705641118268</v>
      </c>
      <c r="AN50" s="196">
        <f>'Misc. Data &amp; Mechanisms'!M323</f>
        <v>307.91990365306725</v>
      </c>
      <c r="AO50" s="1463">
        <f>'Misc. Data &amp; Mechanisms'!$B$259</f>
        <v>611.34673880086393</v>
      </c>
      <c r="AP50" s="197">
        <f>IFERROR(IF('Personalized Bill Menu'!$B$30="Yes", IF('Personalized Bill Menu'!$B$34="Natural Gas",0,VLOOKUP($A50, 'Personalized Bill Menu'!$H$4:$L$93, 2, FALSE)), 0), 0)</f>
        <v>0</v>
      </c>
      <c r="AQ50" s="1343">
        <f>IFERROR(IF('Personalized Bill Menu'!$C$36="Custom", IF('Personalized Bill Menu'!$B$34="Natural Gas",0,VLOOKUP($A50, 'Personalized Bill Menu'!$H$4:$L$93, 3, FALSE)), 0), 0)</f>
        <v>0</v>
      </c>
      <c r="AR50" s="1344">
        <f>IFERROR(IF('Personalized Bill Menu'!$C$36="Custom", IF('Personalized Bill Menu'!$B$34="Natural Gas",0,VLOOKUP($A50, 'Personalized Bill Menu'!$H$4:$L$93, 4, FALSE)), 0), 0)</f>
        <v>0</v>
      </c>
      <c r="AS50" s="2"/>
      <c r="AT50" s="2"/>
      <c r="AU50" s="2"/>
    </row>
    <row r="51" spans="1:47" x14ac:dyDescent="0.35">
      <c r="A51" s="176">
        <v>42248</v>
      </c>
      <c r="B51" s="177">
        <f t="shared" si="8"/>
        <v>30</v>
      </c>
      <c r="C51" s="1581">
        <f t="shared" si="9"/>
        <v>519.19357702298203</v>
      </c>
      <c r="D51" s="178">
        <f t="shared" si="10"/>
        <v>14.391494073986896</v>
      </c>
      <c r="E51" s="178">
        <f t="shared" si="11"/>
        <v>10.1519501328168</v>
      </c>
      <c r="F51" s="179">
        <f t="shared" si="12"/>
        <v>74.719712869783052</v>
      </c>
      <c r="G51" s="180">
        <f t="shared" si="13"/>
        <v>28.072796709632637</v>
      </c>
      <c r="H51" s="181">
        <f t="shared" si="14"/>
        <v>10.105064589598298</v>
      </c>
      <c r="I51" s="181">
        <f t="shared" si="15"/>
        <v>17.446356061196447</v>
      </c>
      <c r="J51" s="181">
        <f t="shared" si="16"/>
        <v>6.4282845269877527</v>
      </c>
      <c r="K51" s="181">
        <f t="shared" si="17"/>
        <v>2.236129417140146</v>
      </c>
      <c r="L51" s="181">
        <f t="shared" si="18"/>
        <v>6.8730000000000002</v>
      </c>
      <c r="M51" s="182">
        <f t="shared" si="23"/>
        <v>3.5580815652277646</v>
      </c>
      <c r="N51" s="273">
        <f>IF($I$2="RRO (Capped)",VLOOKUP(A51,'Misc. Data &amp; Mechanisms'!$A$1278:$E$1368,2,FALSE),IF($I$2="RRO (Uncapped)",VLOOKUP(A51,'Misc. Data &amp; Mechanisms'!$G$1278:$K$1368,2,FALSE),AQ51))</f>
        <v>5.407</v>
      </c>
      <c r="O51" s="183">
        <f t="shared" si="19"/>
        <v>28.072796709632637</v>
      </c>
      <c r="P51" s="198">
        <v>1.9462999999999999</v>
      </c>
      <c r="Q51" s="183">
        <f t="shared" si="24"/>
        <v>10.105064589598298</v>
      </c>
      <c r="R51" s="198">
        <v>0.88959999999999995</v>
      </c>
      <c r="S51" s="199">
        <v>0.42758699999999999</v>
      </c>
      <c r="T51" s="183">
        <f t="shared" si="25"/>
        <v>4.6187460611964477</v>
      </c>
      <c r="U51" s="194">
        <f t="shared" si="26"/>
        <v>12.82761</v>
      </c>
      <c r="V51" s="126">
        <v>0.1111</v>
      </c>
      <c r="W51" s="123">
        <f t="shared" si="27"/>
        <v>3.3093968125475666</v>
      </c>
      <c r="X51" s="123">
        <f t="shared" si="28"/>
        <v>3.1188877144401861</v>
      </c>
      <c r="Y51" s="200">
        <v>-0.56420000000000003</v>
      </c>
      <c r="Z51" s="201">
        <v>1.0331999999999999</v>
      </c>
      <c r="AA51" s="202">
        <v>-1.14E-2</v>
      </c>
      <c r="AB51" s="1450"/>
      <c r="AC51" s="192">
        <f t="shared" si="29"/>
        <v>-2.9292901615636646</v>
      </c>
      <c r="AD51" s="192">
        <f t="shared" si="30"/>
        <v>5.3643080378014503</v>
      </c>
      <c r="AE51" s="192">
        <f t="shared" si="31"/>
        <v>-0.1988884590976395</v>
      </c>
      <c r="AF51" s="203">
        <f t="shared" si="32"/>
        <v>0</v>
      </c>
      <c r="AG51" s="200">
        <f>IF(OR($I$2="RRO (Capped)",$I$2="RRO (Uncapped)"),VLOOKUP(A51,'Misc. Data &amp; Mechanisms'!$A$1483:$H$1574,2,FALSE),AR51)</f>
        <v>0.2291</v>
      </c>
      <c r="AH51" s="203">
        <f t="shared" si="22"/>
        <v>6.8730000000000002</v>
      </c>
      <c r="AI51" s="195">
        <f>5%</f>
        <v>0.05</v>
      </c>
      <c r="AJ51" s="341">
        <f>'Misc. Data &amp; Mechanisms'!AH324</f>
        <v>460.74835286238459</v>
      </c>
      <c r="AK51" s="196">
        <f>'Misc. Data &amp; Mechanisms'!AP324</f>
        <v>481.77548643325929</v>
      </c>
      <c r="AL51" s="196">
        <f>'Misc. Data &amp; Mechanisms'!K324</f>
        <v>519.19357702298203</v>
      </c>
      <c r="AM51" s="196">
        <f>'Misc. Data &amp; Mechanisms'!L324</f>
        <v>394.01998383728284</v>
      </c>
      <c r="AN51" s="196">
        <f>'Misc. Data &amp; Mechanisms'!M324</f>
        <v>291.60100695792181</v>
      </c>
      <c r="AO51" s="1463">
        <f>'Misc. Data &amp; Mechanisms'!$B$259</f>
        <v>611.34673880086393</v>
      </c>
      <c r="AP51" s="197">
        <f>IFERROR(IF('Personalized Bill Menu'!$B$30="Yes", IF('Personalized Bill Menu'!$B$34="Natural Gas",0,VLOOKUP($A51, 'Personalized Bill Menu'!$H$4:$L$93, 2, FALSE)), 0), 0)</f>
        <v>0</v>
      </c>
      <c r="AQ51" s="1343">
        <f>IFERROR(IF('Personalized Bill Menu'!$C$36="Custom", IF('Personalized Bill Menu'!$B$34="Natural Gas",0,VLOOKUP($A51, 'Personalized Bill Menu'!$H$4:$L$93, 3, FALSE)), 0), 0)</f>
        <v>0</v>
      </c>
      <c r="AR51" s="1344">
        <f>IFERROR(IF('Personalized Bill Menu'!$C$36="Custom", IF('Personalized Bill Menu'!$B$34="Natural Gas",0,VLOOKUP($A51, 'Personalized Bill Menu'!$H$4:$L$93, 4, FALSE)), 0), 0)</f>
        <v>0</v>
      </c>
      <c r="AS51" s="2"/>
      <c r="AT51" s="2"/>
      <c r="AU51" s="2"/>
    </row>
    <row r="52" spans="1:47" x14ac:dyDescent="0.35">
      <c r="A52" s="176">
        <v>42278</v>
      </c>
      <c r="B52" s="177">
        <f t="shared" si="8"/>
        <v>31</v>
      </c>
      <c r="C52" s="1581">
        <f t="shared" si="9"/>
        <v>571.6210749094887</v>
      </c>
      <c r="D52" s="178">
        <f t="shared" si="10"/>
        <v>14.760772068515982</v>
      </c>
      <c r="E52" s="178">
        <f t="shared" si="11"/>
        <v>10.781710501816802</v>
      </c>
      <c r="F52" s="179">
        <f t="shared" si="12"/>
        <v>84.375683962990621</v>
      </c>
      <c r="G52" s="180">
        <f t="shared" si="13"/>
        <v>31.751835847997373</v>
      </c>
      <c r="H52" s="181">
        <f t="shared" si="14"/>
        <v>11.125460980963377</v>
      </c>
      <c r="I52" s="181">
        <f t="shared" si="15"/>
        <v>18.340338082394808</v>
      </c>
      <c r="J52" s="181">
        <f t="shared" si="16"/>
        <v>7.324910117205393</v>
      </c>
      <c r="K52" s="181">
        <f t="shared" si="17"/>
        <v>4.7131492219063071</v>
      </c>
      <c r="L52" s="181">
        <f t="shared" si="18"/>
        <v>7.1021000000000001</v>
      </c>
      <c r="M52" s="182">
        <f t="shared" si="23"/>
        <v>4.0178897125233632</v>
      </c>
      <c r="N52" s="273">
        <f>IF($I$2="RRO (Capped)",VLOOKUP(A52,'Misc. Data &amp; Mechanisms'!$A$1278:$E$1368,2,FALSE),IF($I$2="RRO (Uncapped)",VLOOKUP(A52,'Misc. Data &amp; Mechanisms'!$G$1278:$K$1368,2,FALSE),AQ52))</f>
        <v>5.5547000000000004</v>
      </c>
      <c r="O52" s="183">
        <f t="shared" si="19"/>
        <v>31.751835847997373</v>
      </c>
      <c r="P52" s="198">
        <v>1.9462999999999999</v>
      </c>
      <c r="Q52" s="183">
        <f t="shared" si="24"/>
        <v>11.125460980963377</v>
      </c>
      <c r="R52" s="198">
        <v>0.88959999999999995</v>
      </c>
      <c r="S52" s="199">
        <v>0.42758699999999999</v>
      </c>
      <c r="T52" s="183">
        <f t="shared" si="25"/>
        <v>5.0851410823948111</v>
      </c>
      <c r="U52" s="194">
        <f t="shared" si="26"/>
        <v>13.255196999999999</v>
      </c>
      <c r="V52" s="126">
        <v>0.1111</v>
      </c>
      <c r="W52" s="123">
        <f t="shared" si="27"/>
        <v>3.7972811544928851</v>
      </c>
      <c r="X52" s="123">
        <f t="shared" si="28"/>
        <v>3.5276289627125084</v>
      </c>
      <c r="Y52" s="200">
        <v>-0.56420000000000003</v>
      </c>
      <c r="Z52" s="204">
        <v>1.4253</v>
      </c>
      <c r="AA52" s="205">
        <v>-1.14E-2</v>
      </c>
      <c r="AB52" s="386"/>
      <c r="AC52" s="192">
        <f t="shared" si="29"/>
        <v>-3.2250861046393355</v>
      </c>
      <c r="AD52" s="192">
        <f t="shared" si="30"/>
        <v>8.1473151806849433</v>
      </c>
      <c r="AE52" s="192">
        <f t="shared" si="31"/>
        <v>-0.20907985413930083</v>
      </c>
      <c r="AF52" s="203">
        <f t="shared" si="32"/>
        <v>0</v>
      </c>
      <c r="AG52" s="200">
        <f>IF(OR($I$2="RRO (Capped)",$I$2="RRO (Uncapped)"),VLOOKUP(A52,'Misc. Data &amp; Mechanisms'!$A$1483:$H$1574,2,FALSE),AR52)</f>
        <v>0.2291</v>
      </c>
      <c r="AH52" s="203">
        <f t="shared" si="22"/>
        <v>7.1021000000000001</v>
      </c>
      <c r="AI52" s="195">
        <f>5%</f>
        <v>0.05</v>
      </c>
      <c r="AJ52" s="341">
        <f>'Misc. Data &amp; Mechanisms'!AH325</f>
        <v>507.27412738065226</v>
      </c>
      <c r="AK52" s="196">
        <f>'Misc. Data &amp; Mechanisms'!AP325</f>
        <v>519.04049971955544</v>
      </c>
      <c r="AL52" s="196">
        <f>'Misc. Data &amp; Mechanisms'!K325</f>
        <v>571.6210749094887</v>
      </c>
      <c r="AM52" s="196">
        <f>'Misc. Data &amp; Mechanisms'!L325</f>
        <v>433.80761370034668</v>
      </c>
      <c r="AN52" s="196">
        <f>'Misc. Data &amp; Mechanisms'!M325</f>
        <v>321.04650060915191</v>
      </c>
      <c r="AO52" s="1463">
        <f>'Misc. Data &amp; Mechanisms'!$B$259</f>
        <v>611.34673880086393</v>
      </c>
      <c r="AP52" s="197">
        <f>IFERROR(IF('Personalized Bill Menu'!$B$30="Yes", IF('Personalized Bill Menu'!$B$34="Natural Gas",0,VLOOKUP($A52, 'Personalized Bill Menu'!$H$4:$L$93, 2, FALSE)), 0), 0)</f>
        <v>0</v>
      </c>
      <c r="AQ52" s="1343">
        <f>IFERROR(IF('Personalized Bill Menu'!$C$36="Custom", IF('Personalized Bill Menu'!$B$34="Natural Gas",0,VLOOKUP($A52, 'Personalized Bill Menu'!$H$4:$L$93, 3, FALSE)), 0), 0)</f>
        <v>0</v>
      </c>
      <c r="AR52" s="1344">
        <f>IFERROR(IF('Personalized Bill Menu'!$C$36="Custom", IF('Personalized Bill Menu'!$B$34="Natural Gas",0,VLOOKUP($A52, 'Personalized Bill Menu'!$H$4:$L$93, 4, FALSE)), 0), 0)</f>
        <v>0</v>
      </c>
      <c r="AS52" s="2"/>
      <c r="AT52" s="2"/>
      <c r="AU52" s="2"/>
    </row>
    <row r="53" spans="1:47" x14ac:dyDescent="0.35">
      <c r="A53" s="176">
        <v>42309</v>
      </c>
      <c r="B53" s="177">
        <f t="shared" si="8"/>
        <v>30</v>
      </c>
      <c r="C53" s="1581">
        <f t="shared" si="9"/>
        <v>621.16898918569302</v>
      </c>
      <c r="D53" s="178">
        <f t="shared" si="10"/>
        <v>13.682317916770455</v>
      </c>
      <c r="E53" s="178">
        <f t="shared" si="11"/>
        <v>10.138766931316798</v>
      </c>
      <c r="F53" s="179">
        <f t="shared" si="12"/>
        <v>84.990315900775997</v>
      </c>
      <c r="G53" s="180">
        <f t="shared" si="13"/>
        <v>31.080811542895333</v>
      </c>
      <c r="H53" s="181">
        <f t="shared" si="14"/>
        <v>12.089812036521142</v>
      </c>
      <c r="I53" s="181">
        <f t="shared" si="15"/>
        <v>18.353529327795925</v>
      </c>
      <c r="J53" s="181">
        <f t="shared" si="16"/>
        <v>7.4063491619855171</v>
      </c>
      <c r="K53" s="181">
        <f t="shared" si="17"/>
        <v>5.1396559315411299</v>
      </c>
      <c r="L53" s="181">
        <f t="shared" si="18"/>
        <v>6.8730000000000002</v>
      </c>
      <c r="M53" s="182">
        <f t="shared" si="23"/>
        <v>4.0471579000369529</v>
      </c>
      <c r="N53" s="273">
        <f>IF($I$2="RRO (Capped)",VLOOKUP(A53,'Misc. Data &amp; Mechanisms'!$A$1278:$E$1368,2,FALSE),IF($I$2="RRO (Uncapped)",VLOOKUP(A53,'Misc. Data &amp; Mechanisms'!$G$1278:$K$1368,2,FALSE),AQ53))</f>
        <v>5.0035999999999996</v>
      </c>
      <c r="O53" s="183">
        <f t="shared" si="19"/>
        <v>31.080811542895333</v>
      </c>
      <c r="P53" s="198">
        <v>1.9462999999999999</v>
      </c>
      <c r="Q53" s="183">
        <f t="shared" si="24"/>
        <v>12.089812036521142</v>
      </c>
      <c r="R53" s="198">
        <v>0.88959999999999995</v>
      </c>
      <c r="S53" s="199">
        <v>0.42758699999999999</v>
      </c>
      <c r="T53" s="183">
        <f t="shared" si="25"/>
        <v>5.5259193277959247</v>
      </c>
      <c r="U53" s="194">
        <f t="shared" si="26"/>
        <v>12.82761</v>
      </c>
      <c r="V53" s="126">
        <v>0.1111</v>
      </c>
      <c r="W53" s="123">
        <f t="shared" si="27"/>
        <v>3.9532709995698458</v>
      </c>
      <c r="X53" s="123">
        <f t="shared" si="28"/>
        <v>3.4530781624156717</v>
      </c>
      <c r="Y53" s="200">
        <v>-0.56420000000000003</v>
      </c>
      <c r="Z53" s="204">
        <v>1.4253</v>
      </c>
      <c r="AA53" s="205">
        <v>-1.14E-2</v>
      </c>
      <c r="AB53" s="386"/>
      <c r="AC53" s="192">
        <f t="shared" si="29"/>
        <v>-3.50463543698568</v>
      </c>
      <c r="AD53" s="192">
        <f t="shared" si="30"/>
        <v>8.8535216028636832</v>
      </c>
      <c r="AE53" s="192">
        <f t="shared" si="31"/>
        <v>-0.20923023433687357</v>
      </c>
      <c r="AF53" s="203">
        <f t="shared" si="32"/>
        <v>0</v>
      </c>
      <c r="AG53" s="200">
        <f>IF(OR($I$2="RRO (Capped)",$I$2="RRO (Uncapped)"),VLOOKUP(A53,'Misc. Data &amp; Mechanisms'!$A$1483:$H$1574,2,FALSE),AR53)</f>
        <v>0.2291</v>
      </c>
      <c r="AH53" s="203">
        <f t="shared" si="22"/>
        <v>6.8730000000000002</v>
      </c>
      <c r="AI53" s="195">
        <f>5%</f>
        <v>0.05</v>
      </c>
      <c r="AJ53" s="341">
        <f>'Misc. Data &amp; Mechanisms'!AH326</f>
        <v>551.24447081484539</v>
      </c>
      <c r="AK53" s="196">
        <f>'Misc. Data &amp; Mechanisms'!AP326</f>
        <v>571.38836594633881</v>
      </c>
      <c r="AL53" s="196">
        <f>'Misc. Data &amp; Mechanisms'!K326</f>
        <v>621.16898918569302</v>
      </c>
      <c r="AM53" s="196">
        <f>'Misc. Data &amp; Mechanisms'!L326</f>
        <v>471.4099054972209</v>
      </c>
      <c r="AN53" s="196">
        <f>'Misc. Data &amp; Mechanisms'!M326</f>
        <v>348.87469867441109</v>
      </c>
      <c r="AO53" s="1463">
        <f>'Misc. Data &amp; Mechanisms'!$B$259</f>
        <v>611.34673880086393</v>
      </c>
      <c r="AP53" s="197">
        <f>IFERROR(IF('Personalized Bill Menu'!$B$30="Yes", IF('Personalized Bill Menu'!$B$34="Natural Gas",0,VLOOKUP($A53, 'Personalized Bill Menu'!$H$4:$L$93, 2, FALSE)), 0), 0)</f>
        <v>0</v>
      </c>
      <c r="AQ53" s="1343">
        <f>IFERROR(IF('Personalized Bill Menu'!$C$36="Custom", IF('Personalized Bill Menu'!$B$34="Natural Gas",0,VLOOKUP($A53, 'Personalized Bill Menu'!$H$4:$L$93, 3, FALSE)), 0), 0)</f>
        <v>0</v>
      </c>
      <c r="AR53" s="1344">
        <f>IFERROR(IF('Personalized Bill Menu'!$C$36="Custom", IF('Personalized Bill Menu'!$B$34="Natural Gas",0,VLOOKUP($A53, 'Personalized Bill Menu'!$H$4:$L$93, 4, FALSE)), 0), 0)</f>
        <v>0</v>
      </c>
      <c r="AS53" s="2"/>
      <c r="AT53" s="2"/>
      <c r="AU53" s="2"/>
    </row>
    <row r="54" spans="1:47" x14ac:dyDescent="0.35">
      <c r="A54" s="229">
        <v>42339</v>
      </c>
      <c r="B54" s="230">
        <f t="shared" si="8"/>
        <v>31</v>
      </c>
      <c r="C54" s="231">
        <f t="shared" si="9"/>
        <v>703.35853981851835</v>
      </c>
      <c r="D54" s="208">
        <f t="shared" si="10"/>
        <v>13.592590392301462</v>
      </c>
      <c r="E54" s="208">
        <f t="shared" si="11"/>
        <v>10.358798064316801</v>
      </c>
      <c r="F54" s="232">
        <f t="shared" si="12"/>
        <v>95.604645306803775</v>
      </c>
      <c r="G54" s="233">
        <f t="shared" si="13"/>
        <v>36.519782104457107</v>
      </c>
      <c r="H54" s="208">
        <f t="shared" si="14"/>
        <v>13.68946726048782</v>
      </c>
      <c r="I54" s="208">
        <f t="shared" si="15"/>
        <v>19.512274570225536</v>
      </c>
      <c r="J54" s="1149">
        <f t="shared" si="16"/>
        <v>8.3942387578897808</v>
      </c>
      <c r="K54" s="208">
        <f t="shared" si="17"/>
        <v>5.8341804562766901</v>
      </c>
      <c r="L54" s="208">
        <f t="shared" si="18"/>
        <v>7.1021000000000001</v>
      </c>
      <c r="M54" s="234">
        <f t="shared" si="23"/>
        <v>4.552602157466846</v>
      </c>
      <c r="N54" s="1243">
        <f>IF($I$2="RRO (Capped)",VLOOKUP(A54,'Misc. Data &amp; Mechanisms'!$A$1278:$E$1368,2,FALSE),IF($I$2="RRO (Uncapped)",VLOOKUP(A54,'Misc. Data &amp; Mechanisms'!$G$1278:$K$1368,2,FALSE),AQ54))</f>
        <v>5.1921999999999997</v>
      </c>
      <c r="O54" s="235">
        <f t="shared" si="19"/>
        <v>36.519782104457107</v>
      </c>
      <c r="P54" s="236">
        <v>1.9462999999999999</v>
      </c>
      <c r="Q54" s="235">
        <f t="shared" si="24"/>
        <v>13.68946726048782</v>
      </c>
      <c r="R54" s="236">
        <v>0.88959999999999995</v>
      </c>
      <c r="S54" s="1235">
        <v>0.42758699999999999</v>
      </c>
      <c r="T54" s="235">
        <f t="shared" si="25"/>
        <v>6.2570775702255386</v>
      </c>
      <c r="U54" s="237">
        <f t="shared" si="26"/>
        <v>13.255196999999999</v>
      </c>
      <c r="V54" s="238">
        <v>0.1111</v>
      </c>
      <c r="W54" s="235">
        <f t="shared" si="27"/>
        <v>4.3368909660845949</v>
      </c>
      <c r="X54" s="235">
        <f t="shared" si="28"/>
        <v>4.057347791805185</v>
      </c>
      <c r="Y54" s="239">
        <v>-0.56420000000000003</v>
      </c>
      <c r="Z54" s="1236">
        <v>1.4253</v>
      </c>
      <c r="AA54" s="246">
        <v>-1.14E-2</v>
      </c>
      <c r="AB54" s="399"/>
      <c r="AC54" s="240">
        <f t="shared" si="29"/>
        <v>-3.9683488816560808</v>
      </c>
      <c r="AD54" s="240">
        <f t="shared" si="30"/>
        <v>10.024969268033342</v>
      </c>
      <c r="AE54" s="240">
        <f t="shared" si="31"/>
        <v>-0.22243993010057111</v>
      </c>
      <c r="AF54" s="241">
        <f t="shared" si="32"/>
        <v>0</v>
      </c>
      <c r="AG54" s="239">
        <f>IF(OR($I$2="RRO (Capped)",$I$2="RRO (Uncapped)"),VLOOKUP(A54,'Misc. Data &amp; Mechanisms'!$A$1483:$H$1574,2,FALSE),AR54)</f>
        <v>0.2291</v>
      </c>
      <c r="AH54" s="241">
        <f t="shared" si="22"/>
        <v>7.1021000000000001</v>
      </c>
      <c r="AI54" s="242">
        <f>5%</f>
        <v>0.05</v>
      </c>
      <c r="AJ54" s="352">
        <f>'Misc. Data &amp; Mechanisms'!AH327</f>
        <v>624.18200654806878</v>
      </c>
      <c r="AK54" s="1089">
        <f>'Misc. Data &amp; Mechanisms'!AP327</f>
        <v>670.95704577590584</v>
      </c>
      <c r="AL54" s="1089">
        <f>'Misc. Data &amp; Mechanisms'!K327</f>
        <v>703.35853981851835</v>
      </c>
      <c r="AM54" s="1089">
        <f>'Misc. Data &amp; Mechanisms'!L327</f>
        <v>533.78418523625146</v>
      </c>
      <c r="AN54" s="1089">
        <f>'Misc. Data &amp; Mechanisms'!M327</f>
        <v>395.03581619703806</v>
      </c>
      <c r="AO54" s="1464">
        <f>'Misc. Data &amp; Mechanisms'!$B$259</f>
        <v>611.34673880086393</v>
      </c>
      <c r="AP54" s="243">
        <f>IFERROR(IF('Personalized Bill Menu'!$B$30="Yes", IF('Personalized Bill Menu'!$B$34="Natural Gas",0,VLOOKUP($A54, 'Personalized Bill Menu'!$H$4:$L$93, 2, FALSE)), 0), 0)</f>
        <v>0</v>
      </c>
      <c r="AQ54" s="1345">
        <f>IFERROR(IF('Personalized Bill Menu'!$C$36="Custom", IF('Personalized Bill Menu'!$B$34="Natural Gas",0,VLOOKUP($A54, 'Personalized Bill Menu'!$H$4:$L$93, 3, FALSE)), 0), 0)</f>
        <v>0</v>
      </c>
      <c r="AR54" s="1346">
        <f>IFERROR(IF('Personalized Bill Menu'!$C$36="Custom", IF('Personalized Bill Menu'!$B$34="Natural Gas",0,VLOOKUP($A54, 'Personalized Bill Menu'!$H$4:$L$93, 4, FALSE)), 0), 0)</f>
        <v>0</v>
      </c>
      <c r="AS54" s="2"/>
      <c r="AT54" s="2"/>
      <c r="AU54" s="2"/>
    </row>
    <row r="55" spans="1:47" x14ac:dyDescent="0.35">
      <c r="A55" s="210">
        <v>42370</v>
      </c>
      <c r="B55" s="211">
        <f t="shared" si="8"/>
        <v>31</v>
      </c>
      <c r="C55" s="212">
        <f t="shared" si="9"/>
        <v>648.81494461562306</v>
      </c>
      <c r="D55" s="215">
        <f t="shared" si="10"/>
        <v>14.224743751172495</v>
      </c>
      <c r="E55" s="215">
        <f t="shared" si="11"/>
        <v>10.691926412999999</v>
      </c>
      <c r="F55" s="213">
        <f t="shared" si="12"/>
        <v>92.292263290884136</v>
      </c>
      <c r="G55" s="214">
        <f t="shared" si="13"/>
        <v>31.108730149485275</v>
      </c>
      <c r="H55" s="215">
        <f t="shared" si="14"/>
        <v>12.62788526705387</v>
      </c>
      <c r="I55" s="215">
        <f t="shared" si="15"/>
        <v>19.027054747300582</v>
      </c>
      <c r="J55" s="215">
        <f t="shared" si="16"/>
        <v>8.0788021961224405</v>
      </c>
      <c r="K55" s="215">
        <f t="shared" si="17"/>
        <v>9.9528212504036588</v>
      </c>
      <c r="L55" s="215">
        <f t="shared" si="18"/>
        <v>7.1021000000000001</v>
      </c>
      <c r="M55" s="216">
        <f t="shared" si="23"/>
        <v>4.3948696805182923</v>
      </c>
      <c r="N55" s="273">
        <f>IF($I$2="RRO (Capped)",VLOOKUP(A55,'Misc. Data &amp; Mechanisms'!$A$1278:$E$1368,2,FALSE),IF($I$2="RRO (Uncapped)",VLOOKUP(A55,'Misc. Data &amp; Mechanisms'!$G$1278:$K$1368,2,FALSE),AQ55))</f>
        <v>4.7946999999999997</v>
      </c>
      <c r="O55" s="217">
        <f t="shared" si="19"/>
        <v>31.108730149485275</v>
      </c>
      <c r="P55" s="218">
        <v>1.9462999999999999</v>
      </c>
      <c r="Q55" s="217">
        <f t="shared" si="24"/>
        <v>12.62788526705387</v>
      </c>
      <c r="R55" s="218">
        <v>0.88959999999999995</v>
      </c>
      <c r="S55" s="1237">
        <v>0.42758699999999999</v>
      </c>
      <c r="T55" s="217">
        <f t="shared" si="25"/>
        <v>5.7718577473005821</v>
      </c>
      <c r="U55" s="219">
        <f t="shared" si="26"/>
        <v>13.255196999999999</v>
      </c>
      <c r="V55" s="220">
        <v>0.1111</v>
      </c>
      <c r="W55" s="217">
        <f t="shared" si="27"/>
        <v>4.6226222765146261</v>
      </c>
      <c r="X55" s="217">
        <f t="shared" si="28"/>
        <v>3.456179919607814</v>
      </c>
      <c r="Y55" s="221">
        <v>-0.33339999999999997</v>
      </c>
      <c r="Z55" s="1238">
        <v>1.8673999999999999</v>
      </c>
      <c r="AA55" s="245"/>
      <c r="AB55" s="1451"/>
      <c r="AC55" s="223">
        <f t="shared" si="29"/>
        <v>-2.1631490253484871</v>
      </c>
      <c r="AD55" s="223">
        <f t="shared" si="30"/>
        <v>12.115970275752145</v>
      </c>
      <c r="AE55" s="223">
        <f t="shared" si="31"/>
        <v>0</v>
      </c>
      <c r="AF55" s="224">
        <f t="shared" si="32"/>
        <v>0</v>
      </c>
      <c r="AG55" s="200">
        <f>IF(OR($I$2="RRO (Capped)",$I$2="RRO (Uncapped)"),VLOOKUP(A55,'Misc. Data &amp; Mechanisms'!$A$1483:$H$1574,2,FALSE),AR55)</f>
        <v>0.2291</v>
      </c>
      <c r="AH55" s="224">
        <f t="shared" si="22"/>
        <v>7.1021000000000001</v>
      </c>
      <c r="AI55" s="225">
        <f>5%</f>
        <v>0.05</v>
      </c>
      <c r="AJ55" s="359">
        <f>'Misc. Data &amp; Mechanisms'!AH328</f>
        <v>575.77834217104544</v>
      </c>
      <c r="AK55" s="1239">
        <f>'Misc. Data &amp; Mechanisms'!AP328</f>
        <v>642.78687153718272</v>
      </c>
      <c r="AL55" s="1239">
        <f>'Misc. Data &amp; Mechanisms'!K328</f>
        <v>648.81494461562306</v>
      </c>
      <c r="AM55" s="1239">
        <f>'Misc. Data &amp; Mechanisms'!L328</f>
        <v>492.39063290553611</v>
      </c>
      <c r="AN55" s="1239">
        <f>'Misc. Data &amp; Mechanisms'!M328</f>
        <v>364.40183305828771</v>
      </c>
      <c r="AO55" s="1465">
        <f>'Misc. Data &amp; Mechanisms'!$B$259</f>
        <v>611.34673880086393</v>
      </c>
      <c r="AP55" s="197">
        <f>IFERROR(IF('Personalized Bill Menu'!$B$30="Yes", IF('Personalized Bill Menu'!$B$34="Natural Gas",0,VLOOKUP($A55, 'Personalized Bill Menu'!$H$4:$L$93, 2, FALSE)), 0), 0)</f>
        <v>0</v>
      </c>
      <c r="AQ55" s="1343">
        <f>IFERROR(IF('Personalized Bill Menu'!$C$36="Custom", IF('Personalized Bill Menu'!$B$34="Natural Gas",0,VLOOKUP($A55, 'Personalized Bill Menu'!$H$4:$L$93, 3, FALSE)), 0), 0)</f>
        <v>0</v>
      </c>
      <c r="AR55" s="1344">
        <f>IFERROR(IF('Personalized Bill Menu'!$C$36="Custom", IF('Personalized Bill Menu'!$B$34="Natural Gas",0,VLOOKUP($A55, 'Personalized Bill Menu'!$H$4:$L$93, 4, FALSE)), 0), 0)</f>
        <v>0</v>
      </c>
      <c r="AS55" s="2"/>
      <c r="AT55" s="2"/>
      <c r="AU55" s="2"/>
    </row>
    <row r="56" spans="1:47" x14ac:dyDescent="0.35">
      <c r="A56" s="176">
        <v>42401</v>
      </c>
      <c r="B56" s="177">
        <f t="shared" si="8"/>
        <v>29</v>
      </c>
      <c r="C56" s="1581">
        <f t="shared" si="9"/>
        <v>572.05995122032334</v>
      </c>
      <c r="D56" s="178">
        <f t="shared" si="10"/>
        <v>13.970552205948662</v>
      </c>
      <c r="E56" s="178">
        <f t="shared" si="11"/>
        <v>10.222231110000001</v>
      </c>
      <c r="F56" s="179">
        <f t="shared" si="12"/>
        <v>79.919934134559725</v>
      </c>
      <c r="G56" s="180">
        <f t="shared" si="13"/>
        <v>25.125445117547823</v>
      </c>
      <c r="H56" s="181">
        <f t="shared" si="14"/>
        <v>11.134002830601151</v>
      </c>
      <c r="I56" s="181">
        <f t="shared" si="15"/>
        <v>17.489068326055996</v>
      </c>
      <c r="J56" s="181">
        <f t="shared" si="16"/>
        <v>6.9464070593702374</v>
      </c>
      <c r="K56" s="181">
        <f t="shared" si="17"/>
        <v>8.7753996517197592</v>
      </c>
      <c r="L56" s="181">
        <f t="shared" si="18"/>
        <v>6.6439000000000004</v>
      </c>
      <c r="M56" s="182">
        <f t="shared" si="23"/>
        <v>3.8057111492647486</v>
      </c>
      <c r="N56" s="273">
        <f>IF($I$2="RRO (Capped)",VLOOKUP(A56,'Misc. Data &amp; Mechanisms'!$A$1278:$E$1368,2,FALSE),IF($I$2="RRO (Uncapped)",VLOOKUP(A56,'Misc. Data &amp; Mechanisms'!$G$1278:$K$1368,2,FALSE),AQ56))</f>
        <v>4.3921000000000001</v>
      </c>
      <c r="O56" s="183">
        <f t="shared" si="19"/>
        <v>25.125445117547823</v>
      </c>
      <c r="P56" s="198">
        <v>1.9462999999999999</v>
      </c>
      <c r="Q56" s="183">
        <f t="shared" si="24"/>
        <v>11.134002830601151</v>
      </c>
      <c r="R56" s="198">
        <v>0.88959999999999995</v>
      </c>
      <c r="S56" s="199">
        <v>0.42758699999999999</v>
      </c>
      <c r="T56" s="183">
        <f t="shared" si="25"/>
        <v>5.089045326055996</v>
      </c>
      <c r="U56" s="194">
        <f t="shared" si="26"/>
        <v>12.400022999999999</v>
      </c>
      <c r="V56" s="126">
        <v>0.1111</v>
      </c>
      <c r="W56" s="123">
        <f t="shared" si="27"/>
        <v>4.1549701068106746</v>
      </c>
      <c r="X56" s="123">
        <f t="shared" si="28"/>
        <v>2.7914369525595633</v>
      </c>
      <c r="Y56" s="200">
        <v>-0.33339999999999997</v>
      </c>
      <c r="Z56" s="201">
        <v>1.8673999999999999</v>
      </c>
      <c r="AA56" s="202"/>
      <c r="AB56" s="1450"/>
      <c r="AC56" s="192">
        <f t="shared" si="29"/>
        <v>-1.9072478773685579</v>
      </c>
      <c r="AD56" s="192">
        <f t="shared" si="30"/>
        <v>10.682647529088317</v>
      </c>
      <c r="AE56" s="192">
        <f t="shared" si="31"/>
        <v>0</v>
      </c>
      <c r="AF56" s="203">
        <f t="shared" si="32"/>
        <v>0</v>
      </c>
      <c r="AG56" s="200">
        <f>IF(OR($I$2="RRO (Capped)",$I$2="RRO (Uncapped)"),VLOOKUP(A56,'Misc. Data &amp; Mechanisms'!$A$1483:$H$1574,2,FALSE),AR56)</f>
        <v>0.2291</v>
      </c>
      <c r="AH56" s="203">
        <f t="shared" si="22"/>
        <v>6.6439000000000004</v>
      </c>
      <c r="AI56" s="195">
        <f>5%</f>
        <v>0.05</v>
      </c>
      <c r="AJ56" s="341">
        <f>'Misc. Data &amp; Mechanisms'!AH329</f>
        <v>507.66359972059684</v>
      </c>
      <c r="AK56" s="196">
        <f>'Misc. Data &amp; Mechanisms'!AP329</f>
        <v>547.71695659835859</v>
      </c>
      <c r="AL56" s="196">
        <f>'Misc. Data &amp; Mechanisms'!K329</f>
        <v>572.05995122032334</v>
      </c>
      <c r="AM56" s="196">
        <f>'Misc. Data &amp; Mechanisms'!L329</f>
        <v>434.14068029545587</v>
      </c>
      <c r="AN56" s="196">
        <f>'Misc. Data &amp; Mechanisms'!M329</f>
        <v>321.29299205248435</v>
      </c>
      <c r="AO56" s="1463">
        <f>'Misc. Data &amp; Mechanisms'!$B$259</f>
        <v>611.34673880086393</v>
      </c>
      <c r="AP56" s="197">
        <f>IFERROR(IF('Personalized Bill Menu'!$B$30="Yes", IF('Personalized Bill Menu'!$B$34="Natural Gas",0,VLOOKUP($A56, 'Personalized Bill Menu'!$H$4:$L$93, 2, FALSE)), 0), 0)</f>
        <v>0</v>
      </c>
      <c r="AQ56" s="1343">
        <f>IFERROR(IF('Personalized Bill Menu'!$C$36="Custom", IF('Personalized Bill Menu'!$B$34="Natural Gas",0,VLOOKUP($A56, 'Personalized Bill Menu'!$H$4:$L$93, 3, FALSE)), 0), 0)</f>
        <v>0</v>
      </c>
      <c r="AR56" s="1344">
        <f>IFERROR(IF('Personalized Bill Menu'!$C$36="Custom", IF('Personalized Bill Menu'!$B$34="Natural Gas",0,VLOOKUP($A56, 'Personalized Bill Menu'!$H$4:$L$93, 4, FALSE)), 0), 0)</f>
        <v>0</v>
      </c>
      <c r="AS56" s="2"/>
      <c r="AT56" s="2"/>
      <c r="AU56" s="2"/>
    </row>
    <row r="57" spans="1:47" x14ac:dyDescent="0.35">
      <c r="A57" s="176">
        <v>42430</v>
      </c>
      <c r="B57" s="177">
        <f t="shared" si="8"/>
        <v>31</v>
      </c>
      <c r="C57" s="1581">
        <f t="shared" si="9"/>
        <v>568.09995204782911</v>
      </c>
      <c r="D57" s="178">
        <f t="shared" si="10"/>
        <v>14.016306175541557</v>
      </c>
      <c r="E57" s="178">
        <f t="shared" si="11"/>
        <v>9.9815501834999996</v>
      </c>
      <c r="F57" s="179">
        <f t="shared" si="12"/>
        <v>79.626628662128496</v>
      </c>
      <c r="G57" s="180">
        <f t="shared" si="13"/>
        <v>23.779527792818033</v>
      </c>
      <c r="H57" s="181">
        <f t="shared" si="14"/>
        <v>11.056929366706896</v>
      </c>
      <c r="I57" s="181">
        <f t="shared" si="15"/>
        <v>18.309014173417488</v>
      </c>
      <c r="J57" s="181">
        <f t="shared" si="16"/>
        <v>6.8726598427662644</v>
      </c>
      <c r="K57" s="181">
        <f t="shared" si="17"/>
        <v>8.7146532644136983</v>
      </c>
      <c r="L57" s="181">
        <f t="shared" si="18"/>
        <v>7.1021000000000001</v>
      </c>
      <c r="M57" s="182">
        <f t="shared" si="23"/>
        <v>3.7917442220061193</v>
      </c>
      <c r="N57" s="273">
        <f>IF($I$2="RRO (Capped)",VLOOKUP(A57,'Misc. Data &amp; Mechanisms'!$A$1278:$E$1368,2,FALSE),IF($I$2="RRO (Uncapped)",VLOOKUP(A57,'Misc. Data &amp; Mechanisms'!$G$1278:$K$1368,2,FALSE),AQ57))</f>
        <v>4.1858000000000004</v>
      </c>
      <c r="O57" s="183">
        <f t="shared" si="19"/>
        <v>23.779527792818033</v>
      </c>
      <c r="P57" s="198">
        <v>1.9462999999999999</v>
      </c>
      <c r="Q57" s="183">
        <f t="shared" si="24"/>
        <v>11.056929366706896</v>
      </c>
      <c r="R57" s="198">
        <v>0.88959999999999995</v>
      </c>
      <c r="S57" s="199">
        <v>0.42758699999999999</v>
      </c>
      <c r="T57" s="183">
        <f t="shared" si="25"/>
        <v>5.053817173417487</v>
      </c>
      <c r="U57" s="194">
        <f t="shared" si="26"/>
        <v>13.255196999999999</v>
      </c>
      <c r="V57" s="126">
        <v>0.1111</v>
      </c>
      <c r="W57" s="123">
        <f t="shared" si="27"/>
        <v>4.2307543049841811</v>
      </c>
      <c r="X57" s="123">
        <f t="shared" si="28"/>
        <v>2.6419055377820837</v>
      </c>
      <c r="Y57" s="200">
        <v>-0.33339999999999997</v>
      </c>
      <c r="Z57" s="201">
        <v>1.8673999999999999</v>
      </c>
      <c r="AA57" s="202"/>
      <c r="AB57" s="1450"/>
      <c r="AC57" s="192">
        <f t="shared" si="29"/>
        <v>-1.8940452401274621</v>
      </c>
      <c r="AD57" s="192">
        <f t="shared" si="30"/>
        <v>10.608698504541161</v>
      </c>
      <c r="AE57" s="192">
        <f t="shared" si="31"/>
        <v>0</v>
      </c>
      <c r="AF57" s="203">
        <f t="shared" si="32"/>
        <v>0</v>
      </c>
      <c r="AG57" s="200">
        <f>IF(OR($I$2="RRO (Capped)",$I$2="RRO (Uncapped)"),VLOOKUP(A57,'Misc. Data &amp; Mechanisms'!$A$1483:$H$1574,2,FALSE),AR57)</f>
        <v>0.2291</v>
      </c>
      <c r="AH57" s="203">
        <f t="shared" si="22"/>
        <v>7.1021000000000001</v>
      </c>
      <c r="AI57" s="195">
        <f>5%</f>
        <v>0.05</v>
      </c>
      <c r="AJ57" s="341">
        <f>'Misc. Data &amp; Mechanisms'!AH330</f>
        <v>504.14937462843557</v>
      </c>
      <c r="AK57" s="196">
        <f>'Misc. Data &amp; Mechanisms'!AP330</f>
        <v>543.24771404193632</v>
      </c>
      <c r="AL57" s="196">
        <f>'Misc. Data &amp; Mechanisms'!K330</f>
        <v>568.09995204782911</v>
      </c>
      <c r="AM57" s="196">
        <f>'Misc. Data &amp; Mechanisms'!L330</f>
        <v>431.13540658061407</v>
      </c>
      <c r="AN57" s="196">
        <f>'Misc. Data &amp; Mechanisms'!M330</f>
        <v>319.06888952626849</v>
      </c>
      <c r="AO57" s="1463">
        <f>'Misc. Data &amp; Mechanisms'!$B$259</f>
        <v>611.34673880086393</v>
      </c>
      <c r="AP57" s="197">
        <f>IFERROR(IF('Personalized Bill Menu'!$B$30="Yes", IF('Personalized Bill Menu'!$B$34="Natural Gas",0,VLOOKUP($A57, 'Personalized Bill Menu'!$H$4:$L$93, 2, FALSE)), 0), 0)</f>
        <v>0</v>
      </c>
      <c r="AQ57" s="1343">
        <f>IFERROR(IF('Personalized Bill Menu'!$C$36="Custom", IF('Personalized Bill Menu'!$B$34="Natural Gas",0,VLOOKUP($A57, 'Personalized Bill Menu'!$H$4:$L$93, 3, FALSE)), 0), 0)</f>
        <v>0</v>
      </c>
      <c r="AR57" s="1344">
        <f>IFERROR(IF('Personalized Bill Menu'!$C$36="Custom", IF('Personalized Bill Menu'!$B$34="Natural Gas",0,VLOOKUP($A57, 'Personalized Bill Menu'!$H$4:$L$93, 4, FALSE)), 0), 0)</f>
        <v>0</v>
      </c>
      <c r="AS57" s="2"/>
      <c r="AT57" s="2"/>
      <c r="AU57" s="2"/>
    </row>
    <row r="58" spans="1:47" x14ac:dyDescent="0.35">
      <c r="A58" s="176">
        <v>42461</v>
      </c>
      <c r="B58" s="177">
        <f>DAY(DATE(YEAR($A58),MONTH($A58)+1,1)-1)</f>
        <v>30</v>
      </c>
      <c r="C58" s="1581">
        <f t="shared" si="9"/>
        <v>507.02427047604448</v>
      </c>
      <c r="D58" s="178">
        <f t="shared" si="10"/>
        <v>13.045410735127113</v>
      </c>
      <c r="E58" s="178">
        <f t="shared" si="11"/>
        <v>8.6704632944999993</v>
      </c>
      <c r="F58" s="179">
        <f t="shared" si="12"/>
        <v>66.143398610381837</v>
      </c>
      <c r="G58" s="180">
        <f t="shared" si="13"/>
        <v>16.983791988136062</v>
      </c>
      <c r="H58" s="181">
        <f t="shared" si="14"/>
        <v>9.8682133762752517</v>
      </c>
      <c r="I58" s="181">
        <f t="shared" si="15"/>
        <v>17.338097910154893</v>
      </c>
      <c r="J58" s="181">
        <f t="shared" si="16"/>
        <v>5.6115662047592672</v>
      </c>
      <c r="K58" s="181">
        <f t="shared" si="17"/>
        <v>6.319043482942944</v>
      </c>
      <c r="L58" s="181">
        <f t="shared" si="18"/>
        <v>6.8730000000000002</v>
      </c>
      <c r="M58" s="182">
        <f t="shared" si="23"/>
        <v>3.1496856481134206</v>
      </c>
      <c r="N58" s="273">
        <f>IF($I$2="RRO (Capped)",VLOOKUP(A58,'Misc. Data &amp; Mechanisms'!$A$1278:$E$1368,2,FALSE),IF($I$2="RRO (Uncapped)",VLOOKUP(A58,'Misc. Data &amp; Mechanisms'!$G$1278:$K$1368,2,FALSE),AQ58))</f>
        <v>3.3496999999999999</v>
      </c>
      <c r="O58" s="183">
        <f>($N58/100)*$C58</f>
        <v>16.983791988136062</v>
      </c>
      <c r="P58" s="198">
        <v>1.9462999999999999</v>
      </c>
      <c r="Q58" s="183">
        <f t="shared" si="24"/>
        <v>9.8682133762752517</v>
      </c>
      <c r="R58" s="198">
        <v>0.88959999999999995</v>
      </c>
      <c r="S58" s="199">
        <v>0.42758699999999999</v>
      </c>
      <c r="T58" s="183">
        <f t="shared" si="25"/>
        <v>4.5104879101548914</v>
      </c>
      <c r="U58" s="194">
        <f t="shared" si="26"/>
        <v>12.82761</v>
      </c>
      <c r="V58" s="126">
        <v>0.1111</v>
      </c>
      <c r="W58" s="123">
        <f t="shared" si="27"/>
        <v>3.7246669148773504</v>
      </c>
      <c r="X58" s="123">
        <f t="shared" si="28"/>
        <v>1.8868992898819166</v>
      </c>
      <c r="Y58" s="200">
        <v>-0.33339999999999997</v>
      </c>
      <c r="Z58" s="201">
        <v>1.5797000000000001</v>
      </c>
      <c r="AA58" s="202"/>
      <c r="AB58" s="1450"/>
      <c r="AC58" s="192">
        <f t="shared" si="29"/>
        <v>-1.690418917767132</v>
      </c>
      <c r="AD58" s="192">
        <f t="shared" si="30"/>
        <v>8.0094624007100759</v>
      </c>
      <c r="AE58" s="192">
        <f t="shared" si="31"/>
        <v>0</v>
      </c>
      <c r="AF58" s="203">
        <f t="shared" si="32"/>
        <v>0</v>
      </c>
      <c r="AG58" s="200">
        <f>IF(OR($I$2="RRO (Capped)",$I$2="RRO (Uncapped)"),VLOOKUP(A58,'Misc. Data &amp; Mechanisms'!$A$1483:$H$1574,2,FALSE),AR58)</f>
        <v>0.2291</v>
      </c>
      <c r="AH58" s="203">
        <f t="shared" si="22"/>
        <v>6.8730000000000002</v>
      </c>
      <c r="AI58" s="195">
        <f>5%</f>
        <v>0.05</v>
      </c>
      <c r="AJ58" s="341">
        <f>'Misc. Data &amp; Mechanisms'!AH331</f>
        <v>449.94893585278101</v>
      </c>
      <c r="AK58" s="196">
        <f>'Misc. Data &amp; Mechanisms'!AP331</f>
        <v>470.8590031217114</v>
      </c>
      <c r="AL58" s="196">
        <f>'Misc. Data &amp; Mechanisms'!K331</f>
        <v>507.02427047604448</v>
      </c>
      <c r="AM58" s="196">
        <f>'Misc. Data &amp; Mechanisms'!L331</f>
        <v>384.7846038535219</v>
      </c>
      <c r="AN58" s="196">
        <f>'Misc. Data &amp; Mechanisms'!M331</f>
        <v>284.76621122833296</v>
      </c>
      <c r="AO58" s="1463">
        <f>'Misc. Data &amp; Mechanisms'!$B$259</f>
        <v>611.34673880086393</v>
      </c>
      <c r="AP58" s="197">
        <f>IFERROR(IF('Personalized Bill Menu'!$B$30="Yes", IF('Personalized Bill Menu'!$B$34="Natural Gas",0,VLOOKUP($A58, 'Personalized Bill Menu'!$H$4:$L$93, 2, FALSE)), 0), 0)</f>
        <v>0</v>
      </c>
      <c r="AQ58" s="1343">
        <f>IFERROR(IF('Personalized Bill Menu'!$C$36="Custom", IF('Personalized Bill Menu'!$B$34="Natural Gas",0,VLOOKUP($A58, 'Personalized Bill Menu'!$H$4:$L$93, 3, FALSE)), 0), 0)</f>
        <v>0</v>
      </c>
      <c r="AR58" s="1344">
        <f>IFERROR(IF('Personalized Bill Menu'!$C$36="Custom", IF('Personalized Bill Menu'!$B$34="Natural Gas",0,VLOOKUP($A58, 'Personalized Bill Menu'!$H$4:$L$93, 4, FALSE)), 0), 0)</f>
        <v>0</v>
      </c>
      <c r="AS58" s="2"/>
      <c r="AT58" s="2"/>
      <c r="AU58" s="2"/>
    </row>
    <row r="59" spans="1:47" x14ac:dyDescent="0.35">
      <c r="A59" s="176">
        <v>42491</v>
      </c>
      <c r="B59" s="177">
        <f t="shared" ref="B59:B96" si="33">DAY(DATE(YEAR($A59),MONTH($A59)+1,1)-1)</f>
        <v>31</v>
      </c>
      <c r="C59" s="1581">
        <f t="shared" si="9"/>
        <v>528.70316044981587</v>
      </c>
      <c r="D59" s="178">
        <f t="shared" si="10"/>
        <v>12.952906621769827</v>
      </c>
      <c r="E59" s="178">
        <f t="shared" si="11"/>
        <v>8.617497157499999</v>
      </c>
      <c r="F59" s="179">
        <f t="shared" si="12"/>
        <v>68.482426679410551</v>
      </c>
      <c r="G59" s="180">
        <f t="shared" si="13"/>
        <v>17.469938530743267</v>
      </c>
      <c r="H59" s="181">
        <f t="shared" si="14"/>
        <v>10.290149611834766</v>
      </c>
      <c r="I59" s="181">
        <f t="shared" si="15"/>
        <v>17.95854031536156</v>
      </c>
      <c r="J59" s="181">
        <f t="shared" si="16"/>
        <v>5.8114027956701095</v>
      </c>
      <c r="K59" s="181">
        <f t="shared" si="17"/>
        <v>6.5892274886860571</v>
      </c>
      <c r="L59" s="181">
        <f t="shared" si="18"/>
        <v>7.1021000000000001</v>
      </c>
      <c r="M59" s="182">
        <f t="shared" si="23"/>
        <v>3.2610679371147882</v>
      </c>
      <c r="N59" s="273">
        <f>IF($I$2="RRO (Capped)",VLOOKUP(A59,'Misc. Data &amp; Mechanisms'!$A$1278:$E$1368,2,FALSE),IF($I$2="RRO (Uncapped)",VLOOKUP(A59,'Misc. Data &amp; Mechanisms'!$G$1278:$K$1368,2,FALSE),AQ59))</f>
        <v>3.3043</v>
      </c>
      <c r="O59" s="183">
        <f t="shared" ref="O59:O96" si="34">($N59/100)*$C59</f>
        <v>17.469938530743267</v>
      </c>
      <c r="P59" s="198">
        <v>1.9462999999999999</v>
      </c>
      <c r="Q59" s="183">
        <f t="shared" si="24"/>
        <v>10.290149611834766</v>
      </c>
      <c r="R59" s="198">
        <v>0.88959999999999995</v>
      </c>
      <c r="S59" s="199">
        <v>0.42758699999999999</v>
      </c>
      <c r="T59" s="183">
        <f t="shared" si="25"/>
        <v>4.703343315361562</v>
      </c>
      <c r="U59" s="194">
        <f t="shared" si="26"/>
        <v>13.255196999999999</v>
      </c>
      <c r="V59" s="126">
        <v>0.1111</v>
      </c>
      <c r="W59" s="123">
        <f t="shared" si="27"/>
        <v>3.8704926249045326</v>
      </c>
      <c r="X59" s="123">
        <f t="shared" si="28"/>
        <v>1.9409101707655771</v>
      </c>
      <c r="Y59" s="200">
        <v>-0.33339999999999997</v>
      </c>
      <c r="Z59" s="201">
        <v>1.5797000000000001</v>
      </c>
      <c r="AA59" s="202"/>
      <c r="AB59" s="1450"/>
      <c r="AC59" s="192">
        <f t="shared" si="29"/>
        <v>-1.762696336939686</v>
      </c>
      <c r="AD59" s="192">
        <f t="shared" si="30"/>
        <v>8.3519238256257431</v>
      </c>
      <c r="AE59" s="192">
        <f t="shared" si="31"/>
        <v>0</v>
      </c>
      <c r="AF59" s="203">
        <f t="shared" si="32"/>
        <v>0</v>
      </c>
      <c r="AG59" s="200">
        <f>IF(OR($I$2="RRO (Capped)",$I$2="RRO (Uncapped)"),VLOOKUP(A59,'Misc. Data &amp; Mechanisms'!$A$1483:$H$1574,2,FALSE),AR59)</f>
        <v>0.2291</v>
      </c>
      <c r="AH59" s="203">
        <f t="shared" si="22"/>
        <v>7.1021000000000001</v>
      </c>
      <c r="AI59" s="195">
        <f>5%</f>
        <v>0.05</v>
      </c>
      <c r="AJ59" s="341">
        <f>'Misc. Data &amp; Mechanisms'!AH332</f>
        <v>469.18744975076379</v>
      </c>
      <c r="AK59" s="196">
        <f>'Misc. Data &amp; Mechanisms'!AP332</f>
        <v>487.07214643354223</v>
      </c>
      <c r="AL59" s="196">
        <f>'Misc. Data &amp; Mechanisms'!K332</f>
        <v>528.70316044981587</v>
      </c>
      <c r="AM59" s="196">
        <f>'Misc. Data &amp; Mechanisms'!L332</f>
        <v>401.23687956551043</v>
      </c>
      <c r="AN59" s="196">
        <f>'Misc. Data &amp; Mechanisms'!M332</f>
        <v>296.9419900242288</v>
      </c>
      <c r="AO59" s="1463">
        <f>'Misc. Data &amp; Mechanisms'!$B$259</f>
        <v>611.34673880086393</v>
      </c>
      <c r="AP59" s="197">
        <f>IFERROR(IF('Personalized Bill Menu'!$B$30="Yes", IF('Personalized Bill Menu'!$B$34="Natural Gas",0,VLOOKUP($A59, 'Personalized Bill Menu'!$H$4:$L$93, 2, FALSE)), 0), 0)</f>
        <v>0</v>
      </c>
      <c r="AQ59" s="1343">
        <f>IFERROR(IF('Personalized Bill Menu'!$C$36="Custom", IF('Personalized Bill Menu'!$B$34="Natural Gas",0,VLOOKUP($A59, 'Personalized Bill Menu'!$H$4:$L$93, 3, FALSE)), 0), 0)</f>
        <v>0</v>
      </c>
      <c r="AR59" s="1344">
        <f>IFERROR(IF('Personalized Bill Menu'!$C$36="Custom", IF('Personalized Bill Menu'!$B$34="Natural Gas",0,VLOOKUP($A59, 'Personalized Bill Menu'!$H$4:$L$93, 4, FALSE)), 0), 0)</f>
        <v>0</v>
      </c>
      <c r="AS59" s="2"/>
      <c r="AT59" s="2"/>
      <c r="AU59" s="2"/>
    </row>
    <row r="60" spans="1:47" x14ac:dyDescent="0.35">
      <c r="A60" s="176">
        <v>42522</v>
      </c>
      <c r="B60" s="177">
        <f t="shared" si="33"/>
        <v>30</v>
      </c>
      <c r="C60" s="1581">
        <f t="shared" si="9"/>
        <v>505.94066890972266</v>
      </c>
      <c r="D60" s="178">
        <f t="shared" si="10"/>
        <v>13.187779475948769</v>
      </c>
      <c r="E60" s="178">
        <f t="shared" si="11"/>
        <v>8.8034619645000003</v>
      </c>
      <c r="F60" s="179">
        <f t="shared" si="12"/>
        <v>66.722339694954314</v>
      </c>
      <c r="G60" s="180">
        <f t="shared" si="13"/>
        <v>17.524266949026064</v>
      </c>
      <c r="H60" s="181">
        <f t="shared" si="14"/>
        <v>9.8471232389899317</v>
      </c>
      <c r="I60" s="181">
        <f t="shared" si="15"/>
        <v>17.328458190620893</v>
      </c>
      <c r="J60" s="181">
        <f t="shared" si="16"/>
        <v>5.6666984885072491</v>
      </c>
      <c r="K60" s="181">
        <f t="shared" si="17"/>
        <v>6.3055385566218751</v>
      </c>
      <c r="L60" s="181">
        <f t="shared" si="18"/>
        <v>6.8730000000000002</v>
      </c>
      <c r="M60" s="182">
        <f t="shared" si="23"/>
        <v>3.1772542711883007</v>
      </c>
      <c r="N60" s="273">
        <f>IF($I$2="RRO (Capped)",VLOOKUP(A60,'Misc. Data &amp; Mechanisms'!$A$1278:$E$1368,2,FALSE),IF($I$2="RRO (Uncapped)",VLOOKUP(A60,'Misc. Data &amp; Mechanisms'!$G$1278:$K$1368,2,FALSE),AQ60))</f>
        <v>3.4636999999999998</v>
      </c>
      <c r="O60" s="183">
        <f t="shared" si="34"/>
        <v>17.524266949026064</v>
      </c>
      <c r="P60" s="198">
        <v>1.9462999999999999</v>
      </c>
      <c r="Q60" s="183">
        <f t="shared" si="24"/>
        <v>9.8471232389899317</v>
      </c>
      <c r="R60" s="198">
        <v>0.88959999999999995</v>
      </c>
      <c r="S60" s="199">
        <v>0.42758699999999999</v>
      </c>
      <c r="T60" s="183">
        <f t="shared" si="25"/>
        <v>4.5008481906208928</v>
      </c>
      <c r="U60" s="194">
        <f t="shared" si="26"/>
        <v>12.82761</v>
      </c>
      <c r="V60" s="126">
        <v>0.1111</v>
      </c>
      <c r="W60" s="123">
        <f t="shared" si="27"/>
        <v>3.7197524304704528</v>
      </c>
      <c r="X60" s="123">
        <f t="shared" si="28"/>
        <v>1.9469460580367959</v>
      </c>
      <c r="Y60" s="200">
        <v>-0.33339999999999997</v>
      </c>
      <c r="Z60" s="201">
        <v>1.5797000000000001</v>
      </c>
      <c r="AA60" s="202"/>
      <c r="AB60" s="1450"/>
      <c r="AC60" s="192">
        <f t="shared" si="29"/>
        <v>-1.6868061901450153</v>
      </c>
      <c r="AD60" s="192">
        <f t="shared" si="30"/>
        <v>7.9923447467668902</v>
      </c>
      <c r="AE60" s="192">
        <f t="shared" si="31"/>
        <v>0</v>
      </c>
      <c r="AF60" s="203">
        <f t="shared" si="32"/>
        <v>0</v>
      </c>
      <c r="AG60" s="200">
        <f>IF(OR($I$2="RRO (Capped)",$I$2="RRO (Uncapped)"),VLOOKUP(A60,'Misc. Data &amp; Mechanisms'!$A$1483:$H$1574,2,FALSE),AR60)</f>
        <v>0.2291</v>
      </c>
      <c r="AH60" s="203">
        <f t="shared" si="22"/>
        <v>6.8730000000000002</v>
      </c>
      <c r="AI60" s="195">
        <f>5%</f>
        <v>0.05</v>
      </c>
      <c r="AJ60" s="341">
        <f>'Misc. Data &amp; Mechanisms'!AH333</f>
        <v>448.9873144866142</v>
      </c>
      <c r="AK60" s="196">
        <f>'Misc. Data &amp; Mechanisms'!AP333</f>
        <v>475.49696173552678</v>
      </c>
      <c r="AL60" s="196">
        <f>'Misc. Data &amp; Mechanisms'!K333</f>
        <v>505.94066890972266</v>
      </c>
      <c r="AM60" s="196">
        <f>'Misc. Data &amp; Mechanisms'!L333</f>
        <v>383.96225032192331</v>
      </c>
      <c r="AN60" s="196">
        <f>'Misc. Data &amp; Mechanisms'!M333</f>
        <v>284.15761489381663</v>
      </c>
      <c r="AO60" s="1463">
        <f>'Misc. Data &amp; Mechanisms'!$B$259</f>
        <v>611.34673880086393</v>
      </c>
      <c r="AP60" s="197">
        <f>IFERROR(IF('Personalized Bill Menu'!$B$30="Yes", IF('Personalized Bill Menu'!$B$34="Natural Gas",0,VLOOKUP($A60, 'Personalized Bill Menu'!$H$4:$L$93, 2, FALSE)), 0), 0)</f>
        <v>0</v>
      </c>
      <c r="AQ60" s="1343">
        <f>IFERROR(IF('Personalized Bill Menu'!$C$36="Custom", IF('Personalized Bill Menu'!$B$34="Natural Gas",0,VLOOKUP($A60, 'Personalized Bill Menu'!$H$4:$L$93, 3, FALSE)), 0), 0)</f>
        <v>0</v>
      </c>
      <c r="AR60" s="1344">
        <f>IFERROR(IF('Personalized Bill Menu'!$C$36="Custom", IF('Personalized Bill Menu'!$B$34="Natural Gas",0,VLOOKUP($A60, 'Personalized Bill Menu'!$H$4:$L$93, 4, FALSE)), 0), 0)</f>
        <v>0</v>
      </c>
      <c r="AS60" s="2"/>
      <c r="AT60" s="2"/>
      <c r="AU60" s="2"/>
    </row>
    <row r="61" spans="1:47" x14ac:dyDescent="0.35">
      <c r="A61" s="176">
        <v>42552</v>
      </c>
      <c r="B61" s="177">
        <f t="shared" si="33"/>
        <v>31</v>
      </c>
      <c r="C61" s="1581">
        <f t="shared" si="9"/>
        <v>525.29824868173444</v>
      </c>
      <c r="D61" s="178">
        <f t="shared" si="10"/>
        <v>14.968521613977085</v>
      </c>
      <c r="E61" s="178">
        <f t="shared" si="11"/>
        <v>10.605010615499999</v>
      </c>
      <c r="F61" s="179">
        <f t="shared" si="12"/>
        <v>78.629381891768517</v>
      </c>
      <c r="G61" s="180">
        <f t="shared" si="13"/>
        <v>26.174561135313464</v>
      </c>
      <c r="H61" s="181">
        <f t="shared" si="14"/>
        <v>10.223879814092596</v>
      </c>
      <c r="I61" s="181">
        <f t="shared" si="15"/>
        <v>17.928250220272709</v>
      </c>
      <c r="J61" s="181">
        <f t="shared" si="16"/>
        <v>6.7776925077897783</v>
      </c>
      <c r="K61" s="181">
        <f t="shared" si="17"/>
        <v>6.6786419337395717</v>
      </c>
      <c r="L61" s="181">
        <f t="shared" si="18"/>
        <v>7.1021000000000001</v>
      </c>
      <c r="M61" s="182">
        <f t="shared" si="23"/>
        <v>3.7442562805604056</v>
      </c>
      <c r="N61" s="273">
        <f>IF($I$2="RRO (Capped)",VLOOKUP(A61,'Misc. Data &amp; Mechanisms'!$A$1278:$E$1368,2,FALSE),IF($I$2="RRO (Uncapped)",VLOOKUP(A61,'Misc. Data &amp; Mechanisms'!$G$1278:$K$1368,2,FALSE),AQ61))</f>
        <v>4.9828000000000001</v>
      </c>
      <c r="O61" s="183">
        <f t="shared" si="34"/>
        <v>26.174561135313464</v>
      </c>
      <c r="P61" s="198">
        <v>1.9462999999999999</v>
      </c>
      <c r="Q61" s="183">
        <f t="shared" si="24"/>
        <v>10.223879814092596</v>
      </c>
      <c r="R61" s="198">
        <v>0.88959999999999995</v>
      </c>
      <c r="S61" s="199">
        <v>0.42758699999999999</v>
      </c>
      <c r="T61" s="183">
        <f t="shared" si="25"/>
        <v>4.6730532202727089</v>
      </c>
      <c r="U61" s="194">
        <f t="shared" si="26"/>
        <v>13.255196999999999</v>
      </c>
      <c r="V61" s="126">
        <v>0.1111</v>
      </c>
      <c r="W61" s="123">
        <f t="shared" si="27"/>
        <v>3.8696987656564521</v>
      </c>
      <c r="X61" s="123">
        <f t="shared" si="28"/>
        <v>2.9079937421333262</v>
      </c>
      <c r="Y61" s="200">
        <v>-0.33339999999999997</v>
      </c>
      <c r="Z61" s="201">
        <v>1.6048</v>
      </c>
      <c r="AA61" s="205"/>
      <c r="AB61" s="386"/>
      <c r="AC61" s="192">
        <f t="shared" si="29"/>
        <v>-1.7513443611049024</v>
      </c>
      <c r="AD61" s="192">
        <f t="shared" si="30"/>
        <v>8.4299862948444737</v>
      </c>
      <c r="AE61" s="192">
        <f t="shared" si="31"/>
        <v>0</v>
      </c>
      <c r="AF61" s="203">
        <f t="shared" si="32"/>
        <v>0</v>
      </c>
      <c r="AG61" s="200">
        <f>IF(OR($I$2="RRO (Capped)",$I$2="RRO (Uncapped)"),VLOOKUP(A61,'Misc. Data &amp; Mechanisms'!$A$1483:$H$1574,2,FALSE),AR61)</f>
        <v>0.2291</v>
      </c>
      <c r="AH61" s="203">
        <f t="shared" si="22"/>
        <v>7.1021000000000001</v>
      </c>
      <c r="AI61" s="195">
        <f>5%</f>
        <v>0.05</v>
      </c>
      <c r="AJ61" s="341">
        <f>'Misc. Data &amp; Mechanisms'!AH334</f>
        <v>466.16582629813809</v>
      </c>
      <c r="AK61" s="196">
        <f>'Misc. Data &amp; Mechanisms'!AP334</f>
        <v>496.5462033098371</v>
      </c>
      <c r="AL61" s="196">
        <f>'Misc. Data &amp; Mechanisms'!K334</f>
        <v>525.29824868173444</v>
      </c>
      <c r="AM61" s="196">
        <f>'Misc. Data &amp; Mechanisms'!L334</f>
        <v>398.65286593514259</v>
      </c>
      <c r="AN61" s="196">
        <f>'Misc. Data &amp; Mechanisms'!M334</f>
        <v>295.02964799205557</v>
      </c>
      <c r="AO61" s="1463">
        <f>'Misc. Data &amp; Mechanisms'!$B$259</f>
        <v>611.34673880086393</v>
      </c>
      <c r="AP61" s="197">
        <f>IFERROR(IF('Personalized Bill Menu'!$B$30="Yes", IF('Personalized Bill Menu'!$B$34="Natural Gas",0,VLOOKUP($A61, 'Personalized Bill Menu'!$H$4:$L$93, 2, FALSE)), 0), 0)</f>
        <v>0</v>
      </c>
      <c r="AQ61" s="1343">
        <f>IFERROR(IF('Personalized Bill Menu'!$C$36="Custom", IF('Personalized Bill Menu'!$B$34="Natural Gas",0,VLOOKUP($A61, 'Personalized Bill Menu'!$H$4:$L$93, 3, FALSE)), 0), 0)</f>
        <v>0</v>
      </c>
      <c r="AR61" s="1344">
        <f>IFERROR(IF('Personalized Bill Menu'!$C$36="Custom", IF('Personalized Bill Menu'!$B$34="Natural Gas",0,VLOOKUP($A61, 'Personalized Bill Menu'!$H$4:$L$93, 4, FALSE)), 0), 0)</f>
        <v>0</v>
      </c>
      <c r="AS61" s="2"/>
      <c r="AT61" s="2"/>
      <c r="AU61" s="2"/>
    </row>
    <row r="62" spans="1:47" x14ac:dyDescent="0.35">
      <c r="A62" s="176">
        <v>42583</v>
      </c>
      <c r="B62" s="177">
        <f t="shared" si="33"/>
        <v>31</v>
      </c>
      <c r="C62" s="1581">
        <f t="shared" si="9"/>
        <v>514.49747885704483</v>
      </c>
      <c r="D62" s="178">
        <f t="shared" si="10"/>
        <v>14.924442181432694</v>
      </c>
      <c r="E62" s="178">
        <f t="shared" si="11"/>
        <v>10.469328639</v>
      </c>
      <c r="F62" s="179">
        <f t="shared" si="12"/>
        <v>76.785878756948549</v>
      </c>
      <c r="G62" s="180">
        <f t="shared" si="13"/>
        <v>25.038019808578085</v>
      </c>
      <c r="H62" s="181">
        <f t="shared" si="14"/>
        <v>10.013664430994663</v>
      </c>
      <c r="I62" s="181">
        <f t="shared" si="15"/>
        <v>17.832166571912268</v>
      </c>
      <c r="J62" s="181">
        <f t="shared" si="16"/>
        <v>6.6021365822775238</v>
      </c>
      <c r="K62" s="181">
        <f t="shared" si="17"/>
        <v>6.5413209461884669</v>
      </c>
      <c r="L62" s="181">
        <f t="shared" si="18"/>
        <v>7.1021000000000001</v>
      </c>
      <c r="M62" s="182">
        <f t="shared" si="23"/>
        <v>3.6564704169975499</v>
      </c>
      <c r="N62" s="273">
        <f>IF($I$2="RRO (Capped)",VLOOKUP(A62,'Misc. Data &amp; Mechanisms'!$A$1278:$E$1368,2,FALSE),IF($I$2="RRO (Uncapped)",VLOOKUP(A62,'Misc. Data &amp; Mechanisms'!$G$1278:$K$1368,2,FALSE),AQ62))</f>
        <v>4.8665000000000003</v>
      </c>
      <c r="O62" s="183">
        <f t="shared" si="34"/>
        <v>25.038019808578085</v>
      </c>
      <c r="P62" s="198">
        <v>1.9462999999999999</v>
      </c>
      <c r="Q62" s="183">
        <f t="shared" si="24"/>
        <v>10.013664430994663</v>
      </c>
      <c r="R62" s="198">
        <v>0.88959999999999995</v>
      </c>
      <c r="S62" s="199">
        <v>0.42758699999999999</v>
      </c>
      <c r="T62" s="183">
        <f t="shared" si="25"/>
        <v>4.5769695719122705</v>
      </c>
      <c r="U62" s="194">
        <f t="shared" si="26"/>
        <v>13.255196999999999</v>
      </c>
      <c r="V62" s="126">
        <v>0.1111</v>
      </c>
      <c r="W62" s="123">
        <f t="shared" si="27"/>
        <v>3.8204125815444989</v>
      </c>
      <c r="X62" s="123">
        <f t="shared" si="28"/>
        <v>2.7817240007330253</v>
      </c>
      <c r="Y62" s="200">
        <v>-0.33339999999999997</v>
      </c>
      <c r="Z62" s="201">
        <v>1.6048</v>
      </c>
      <c r="AA62" s="202"/>
      <c r="AB62" s="1450"/>
      <c r="AC62" s="192">
        <f t="shared" si="29"/>
        <v>-1.7153345945093874</v>
      </c>
      <c r="AD62" s="192">
        <f t="shared" si="30"/>
        <v>8.2566555406978548</v>
      </c>
      <c r="AE62" s="192">
        <f t="shared" si="31"/>
        <v>0</v>
      </c>
      <c r="AF62" s="203">
        <f t="shared" si="32"/>
        <v>0</v>
      </c>
      <c r="AG62" s="200">
        <f>IF(OR($I$2="RRO (Capped)",$I$2="RRO (Uncapped)"),VLOOKUP(A62,'Misc. Data &amp; Mechanisms'!$A$1483:$H$1574,2,FALSE),AR62)</f>
        <v>0.2291</v>
      </c>
      <c r="AH62" s="203">
        <f t="shared" si="22"/>
        <v>7.1021000000000001</v>
      </c>
      <c r="AI62" s="195">
        <f>5%</f>
        <v>0.05</v>
      </c>
      <c r="AJ62" s="341">
        <f>'Misc. Data &amp; Mechanisms'!AH335</f>
        <v>456.58089087789267</v>
      </c>
      <c r="AK62" s="196">
        <f>'Misc. Data &amp; Mechanisms'!AP335</f>
        <v>493.10472071796244</v>
      </c>
      <c r="AL62" s="196">
        <f>'Misc. Data &amp; Mechanisms'!K335</f>
        <v>514.49747885704483</v>
      </c>
      <c r="AM62" s="196">
        <f>'Misc. Data &amp; Mechanisms'!L335</f>
        <v>390.45607895608089</v>
      </c>
      <c r="AN62" s="196">
        <f>'Misc. Data &amp; Mechanisms'!M335</f>
        <v>288.96348019610684</v>
      </c>
      <c r="AO62" s="1463">
        <f>'Misc. Data &amp; Mechanisms'!$B$259</f>
        <v>611.34673880086393</v>
      </c>
      <c r="AP62" s="197">
        <f>IFERROR(IF('Personalized Bill Menu'!$B$30="Yes", IF('Personalized Bill Menu'!$B$34="Natural Gas",0,VLOOKUP($A62, 'Personalized Bill Menu'!$H$4:$L$93, 2, FALSE)), 0), 0)</f>
        <v>0</v>
      </c>
      <c r="AQ62" s="1343">
        <f>IFERROR(IF('Personalized Bill Menu'!$C$36="Custom", IF('Personalized Bill Menu'!$B$34="Natural Gas",0,VLOOKUP($A62, 'Personalized Bill Menu'!$H$4:$L$93, 3, FALSE)), 0), 0)</f>
        <v>0</v>
      </c>
      <c r="AR62" s="1344">
        <f>IFERROR(IF('Personalized Bill Menu'!$C$36="Custom", IF('Personalized Bill Menu'!$B$34="Natural Gas",0,VLOOKUP($A62, 'Personalized Bill Menu'!$H$4:$L$93, 4, FALSE)), 0), 0)</f>
        <v>0</v>
      </c>
      <c r="AS62" s="2"/>
      <c r="AT62" s="2"/>
      <c r="AU62" s="2"/>
    </row>
    <row r="63" spans="1:47" x14ac:dyDescent="0.35">
      <c r="A63" s="176">
        <v>42614</v>
      </c>
      <c r="B63" s="177">
        <f t="shared" si="33"/>
        <v>30</v>
      </c>
      <c r="C63" s="1581">
        <f t="shared" si="9"/>
        <v>499.54586897401543</v>
      </c>
      <c r="D63" s="178">
        <f t="shared" si="10"/>
        <v>13.50990145851245</v>
      </c>
      <c r="E63" s="178">
        <f t="shared" si="11"/>
        <v>9.0694593044999987</v>
      </c>
      <c r="F63" s="179">
        <f t="shared" si="12"/>
        <v>67.488154638459207</v>
      </c>
      <c r="G63" s="180">
        <f t="shared" si="13"/>
        <v>18.31634883180125</v>
      </c>
      <c r="H63" s="181">
        <f t="shared" si="14"/>
        <v>9.7226612478412608</v>
      </c>
      <c r="I63" s="181">
        <f t="shared" si="15"/>
        <v>17.271570050392839</v>
      </c>
      <c r="J63" s="181">
        <f t="shared" si="16"/>
        <v>5.7396266808377963</v>
      </c>
      <c r="K63" s="181">
        <f t="shared" si="17"/>
        <v>6.3512261781356321</v>
      </c>
      <c r="L63" s="181">
        <f t="shared" si="18"/>
        <v>6.8730000000000002</v>
      </c>
      <c r="M63" s="182">
        <f t="shared" si="23"/>
        <v>3.2137216494504388</v>
      </c>
      <c r="N63" s="273">
        <f>IF($I$2="RRO (Capped)",VLOOKUP(A63,'Misc. Data &amp; Mechanisms'!$A$1278:$E$1368,2,FALSE),IF($I$2="RRO (Uncapped)",VLOOKUP(A63,'Misc. Data &amp; Mechanisms'!$G$1278:$K$1368,2,FALSE),AQ63))</f>
        <v>3.6665999999999999</v>
      </c>
      <c r="O63" s="183">
        <f t="shared" si="34"/>
        <v>18.31634883180125</v>
      </c>
      <c r="P63" s="198">
        <v>1.9462999999999999</v>
      </c>
      <c r="Q63" s="183">
        <f t="shared" si="24"/>
        <v>9.7226612478412608</v>
      </c>
      <c r="R63" s="198">
        <v>0.88959999999999995</v>
      </c>
      <c r="S63" s="199">
        <v>0.42758699999999999</v>
      </c>
      <c r="T63" s="183">
        <f t="shared" si="25"/>
        <v>4.4439600503928407</v>
      </c>
      <c r="U63" s="194">
        <f t="shared" si="26"/>
        <v>12.82761</v>
      </c>
      <c r="V63" s="126">
        <v>0.1111</v>
      </c>
      <c r="W63" s="123">
        <f t="shared" si="27"/>
        <v>3.7046803256246772</v>
      </c>
      <c r="X63" s="123">
        <f t="shared" si="28"/>
        <v>2.0349463552131191</v>
      </c>
      <c r="Y63" s="200">
        <v>-0.33339999999999997</v>
      </c>
      <c r="Z63" s="201">
        <v>1.6048</v>
      </c>
      <c r="AA63" s="202"/>
      <c r="AB63" s="1450"/>
      <c r="AC63" s="192">
        <f t="shared" si="29"/>
        <v>-1.6654859271593674</v>
      </c>
      <c r="AD63" s="192">
        <f t="shared" si="30"/>
        <v>8.0167121052949994</v>
      </c>
      <c r="AE63" s="192">
        <f t="shared" si="31"/>
        <v>0</v>
      </c>
      <c r="AF63" s="203">
        <f t="shared" si="32"/>
        <v>0</v>
      </c>
      <c r="AG63" s="200">
        <f>IF(OR($I$2="RRO (Capped)",$I$2="RRO (Uncapped)"),VLOOKUP(A63,'Misc. Data &amp; Mechanisms'!$A$1483:$H$1574,2,FALSE),AR63)</f>
        <v>0.2291</v>
      </c>
      <c r="AH63" s="203">
        <f t="shared" si="22"/>
        <v>6.8730000000000002</v>
      </c>
      <c r="AI63" s="195">
        <f>5%</f>
        <v>0.05</v>
      </c>
      <c r="AJ63" s="341">
        <f>'Misc. Data &amp; Mechanisms'!AH336</f>
        <v>443.31237229230584</v>
      </c>
      <c r="AK63" s="196">
        <f>'Misc. Data &amp; Mechanisms'!AP336</f>
        <v>464.23220536010018</v>
      </c>
      <c r="AL63" s="196">
        <f>'Misc. Data &amp; Mechanisms'!K336</f>
        <v>499.54586897401543</v>
      </c>
      <c r="AM63" s="196">
        <f>'Misc. Data &amp; Mechanisms'!L336</f>
        <v>379.10918765162273</v>
      </c>
      <c r="AN63" s="196">
        <f>'Misc. Data &amp; Mechanisms'!M336</f>
        <v>280.56602558479835</v>
      </c>
      <c r="AO63" s="1463">
        <f>'Misc. Data &amp; Mechanisms'!$B$259</f>
        <v>611.34673880086393</v>
      </c>
      <c r="AP63" s="197">
        <f>IFERROR(IF('Personalized Bill Menu'!$B$30="Yes", IF('Personalized Bill Menu'!$B$34="Natural Gas",0,VLOOKUP($A63, 'Personalized Bill Menu'!$H$4:$L$93, 2, FALSE)), 0), 0)</f>
        <v>0</v>
      </c>
      <c r="AQ63" s="1343">
        <f>IFERROR(IF('Personalized Bill Menu'!$C$36="Custom", IF('Personalized Bill Menu'!$B$34="Natural Gas",0,VLOOKUP($A63, 'Personalized Bill Menu'!$H$4:$L$93, 3, FALSE)), 0), 0)</f>
        <v>0</v>
      </c>
      <c r="AR63" s="1344">
        <f>IFERROR(IF('Personalized Bill Menu'!$C$36="Custom", IF('Personalized Bill Menu'!$B$34="Natural Gas",0,VLOOKUP($A63, 'Personalized Bill Menu'!$H$4:$L$93, 4, FALSE)), 0), 0)</f>
        <v>0</v>
      </c>
      <c r="AS63" s="2"/>
      <c r="AT63" s="2"/>
      <c r="AU63" s="2"/>
    </row>
    <row r="64" spans="1:47" x14ac:dyDescent="0.35">
      <c r="A64" s="176">
        <v>42644</v>
      </c>
      <c r="B64" s="177">
        <f t="shared" si="33"/>
        <v>31</v>
      </c>
      <c r="C64" s="1581">
        <f t="shared" si="9"/>
        <v>581.41581667192713</v>
      </c>
      <c r="D64" s="178">
        <f t="shared" si="10"/>
        <v>12.28136667908225</v>
      </c>
      <c r="E64" s="178">
        <f t="shared" si="11"/>
        <v>8.3390166089999997</v>
      </c>
      <c r="F64" s="179">
        <f t="shared" si="12"/>
        <v>71.405808375660001</v>
      </c>
      <c r="G64" s="180">
        <f t="shared" si="13"/>
        <v>23.996193585683777</v>
      </c>
      <c r="H64" s="181">
        <f t="shared" si="14"/>
        <v>11.316096039885716</v>
      </c>
      <c r="I64" s="181">
        <f t="shared" si="15"/>
        <v>18.427472105113463</v>
      </c>
      <c r="J64" s="181">
        <f t="shared" si="16"/>
        <v>6.0897950422668448</v>
      </c>
      <c r="K64" s="181">
        <f t="shared" si="17"/>
        <v>1.0738750133930497</v>
      </c>
      <c r="L64" s="181">
        <f t="shared" si="18"/>
        <v>7.1021000000000001</v>
      </c>
      <c r="M64" s="182">
        <f t="shared" si="23"/>
        <v>3.4002765893171429</v>
      </c>
      <c r="N64" s="273">
        <f>IF($I$2="RRO (Capped)",VLOOKUP(A64,'Misc. Data &amp; Mechanisms'!$A$1278:$E$1368,2,FALSE),IF($I$2="RRO (Uncapped)",VLOOKUP(A64,'Misc. Data &amp; Mechanisms'!$G$1278:$K$1368,2,FALSE),AQ64))</f>
        <v>4.1272000000000002</v>
      </c>
      <c r="O64" s="183">
        <f t="shared" si="34"/>
        <v>23.996193585683777</v>
      </c>
      <c r="P64" s="198">
        <v>1.9462999999999999</v>
      </c>
      <c r="Q64" s="183">
        <f t="shared" si="24"/>
        <v>11.316096039885716</v>
      </c>
      <c r="R64" s="198">
        <v>0.88959999999999995</v>
      </c>
      <c r="S64" s="199">
        <v>0.42758699999999999</v>
      </c>
      <c r="T64" s="183">
        <f t="shared" si="25"/>
        <v>5.1722751051134637</v>
      </c>
      <c r="U64" s="194">
        <f t="shared" si="26"/>
        <v>13.255196999999999</v>
      </c>
      <c r="V64" s="126">
        <v>0.1111</v>
      </c>
      <c r="W64" s="123">
        <f t="shared" si="27"/>
        <v>3.423817934897377</v>
      </c>
      <c r="X64" s="123">
        <f t="shared" si="28"/>
        <v>2.6659771073694678</v>
      </c>
      <c r="Y64" s="200">
        <v>-0.33339999999999997</v>
      </c>
      <c r="Z64" s="204">
        <v>0.5181</v>
      </c>
      <c r="AA64" s="205"/>
      <c r="AB64" s="386"/>
      <c r="AC64" s="192">
        <f t="shared" si="29"/>
        <v>-1.9384403327842048</v>
      </c>
      <c r="AD64" s="192">
        <f t="shared" si="30"/>
        <v>3.0123153461772545</v>
      </c>
      <c r="AE64" s="192">
        <f t="shared" si="31"/>
        <v>0</v>
      </c>
      <c r="AF64" s="203">
        <f t="shared" si="32"/>
        <v>0</v>
      </c>
      <c r="AG64" s="200">
        <f>IF(OR($I$2="RRO (Capped)",$I$2="RRO (Uncapped)"),VLOOKUP(A64,'Misc. Data &amp; Mechanisms'!$A$1483:$H$1574,2,FALSE),AR64)</f>
        <v>0.2291</v>
      </c>
      <c r="AH64" s="203">
        <f t="shared" si="22"/>
        <v>7.1021000000000001</v>
      </c>
      <c r="AI64" s="195">
        <f>5%</f>
        <v>0.05</v>
      </c>
      <c r="AJ64" s="341">
        <f>'Misc. Data &amp; Mechanisms'!AH337</f>
        <v>515.96628254873542</v>
      </c>
      <c r="AK64" s="196">
        <f>'Misc. Data &amp; Mechanisms'!AP337</f>
        <v>535.8640004402896</v>
      </c>
      <c r="AL64" s="196">
        <f>'Misc. Data &amp; Mechanisms'!K337</f>
        <v>581.41581667192713</v>
      </c>
      <c r="AM64" s="196">
        <f>'Misc. Data &amp; Mechanisms'!L337</f>
        <v>441.24091827444295</v>
      </c>
      <c r="AN64" s="196">
        <f>'Misc. Data &amp; Mechanisms'!M337</f>
        <v>326.54764062170142</v>
      </c>
      <c r="AO64" s="1463">
        <f>'Misc. Data &amp; Mechanisms'!$B$259</f>
        <v>611.34673880086393</v>
      </c>
      <c r="AP64" s="197">
        <f>IFERROR(IF('Personalized Bill Menu'!$B$30="Yes", IF('Personalized Bill Menu'!$B$34="Natural Gas",0,VLOOKUP($A64, 'Personalized Bill Menu'!$H$4:$L$93, 2, FALSE)), 0), 0)</f>
        <v>0</v>
      </c>
      <c r="AQ64" s="1343">
        <f>IFERROR(IF('Personalized Bill Menu'!$C$36="Custom", IF('Personalized Bill Menu'!$B$34="Natural Gas",0,VLOOKUP($A64, 'Personalized Bill Menu'!$H$4:$L$93, 3, FALSE)), 0), 0)</f>
        <v>0</v>
      </c>
      <c r="AR64" s="1344">
        <f>IFERROR(IF('Personalized Bill Menu'!$C$36="Custom", IF('Personalized Bill Menu'!$B$34="Natural Gas",0,VLOOKUP($A64, 'Personalized Bill Menu'!$H$4:$L$93, 4, FALSE)), 0), 0)</f>
        <v>0</v>
      </c>
      <c r="AS64" s="2"/>
      <c r="AT64" s="2"/>
      <c r="AU64" s="2"/>
    </row>
    <row r="65" spans="1:47" x14ac:dyDescent="0.35">
      <c r="A65" s="176">
        <v>42675</v>
      </c>
      <c r="B65" s="177">
        <f t="shared" si="33"/>
        <v>30</v>
      </c>
      <c r="C65" s="1581">
        <f t="shared" si="9"/>
        <v>576.30672568593138</v>
      </c>
      <c r="D65" s="178">
        <f t="shared" si="10"/>
        <v>11.069983617793689</v>
      </c>
      <c r="E65" s="178">
        <f t="shared" si="11"/>
        <v>7.9705869599999986</v>
      </c>
      <c r="F65" s="179">
        <f t="shared" si="12"/>
        <v>63.797060121675813</v>
      </c>
      <c r="G65" s="180">
        <f t="shared" si="13"/>
        <v>21.965354542793591</v>
      </c>
      <c r="H65" s="181">
        <f t="shared" si="14"/>
        <v>11.216657802025281</v>
      </c>
      <c r="I65" s="181">
        <f t="shared" si="15"/>
        <v>17.954434631702046</v>
      </c>
      <c r="J65" s="181">
        <f t="shared" si="16"/>
        <v>5.4562193789236613</v>
      </c>
      <c r="K65" s="181">
        <f t="shared" si="17"/>
        <v>-2.0255614776580848</v>
      </c>
      <c r="L65" s="181">
        <f t="shared" si="18"/>
        <v>6.1920000000000002</v>
      </c>
      <c r="M65" s="182">
        <f t="shared" si="23"/>
        <v>3.0379552438893249</v>
      </c>
      <c r="N65" s="273">
        <f>IF($I$2="RRO (Capped)",VLOOKUP(A65,'Misc. Data &amp; Mechanisms'!$A$1278:$E$1368,2,FALSE),IF($I$2="RRO (Uncapped)",VLOOKUP(A65,'Misc. Data &amp; Mechanisms'!$G$1278:$K$1368,2,FALSE),AQ65))</f>
        <v>3.8113999999999999</v>
      </c>
      <c r="O65" s="183">
        <f t="shared" si="34"/>
        <v>21.965354542793591</v>
      </c>
      <c r="P65" s="198">
        <v>1.9462999999999999</v>
      </c>
      <c r="Q65" s="183">
        <f t="shared" si="24"/>
        <v>11.216657802025281</v>
      </c>
      <c r="R65" s="198">
        <v>0.88959999999999995</v>
      </c>
      <c r="S65" s="199">
        <v>0.42758699999999999</v>
      </c>
      <c r="T65" s="183">
        <f t="shared" si="25"/>
        <v>5.1268246317020454</v>
      </c>
      <c r="U65" s="194">
        <f t="shared" si="26"/>
        <v>12.82761</v>
      </c>
      <c r="V65" s="126">
        <v>0.1111</v>
      </c>
      <c r="W65" s="123">
        <f t="shared" si="27"/>
        <v>3.0158684892192933</v>
      </c>
      <c r="X65" s="123">
        <f t="shared" si="28"/>
        <v>2.440350889704368</v>
      </c>
      <c r="Y65" s="200">
        <v>-0.33339999999999997</v>
      </c>
      <c r="Z65" s="204">
        <v>0.5181</v>
      </c>
      <c r="AA65" s="205"/>
      <c r="AB65" s="386">
        <v>-0.10299999999999999</v>
      </c>
      <c r="AC65" s="192">
        <f t="shared" si="29"/>
        <v>-1.9214066234368952</v>
      </c>
      <c r="AD65" s="192">
        <f t="shared" si="30"/>
        <v>2.9858451457788102</v>
      </c>
      <c r="AE65" s="192">
        <f t="shared" si="31"/>
        <v>0</v>
      </c>
      <c r="AF65" s="203">
        <f t="shared" si="32"/>
        <v>-3.09</v>
      </c>
      <c r="AG65" s="200">
        <f>IF(OR($I$2="RRO (Capped)",$I$2="RRO (Uncapped)"),VLOOKUP(A65,'Misc. Data &amp; Mechanisms'!$A$1483:$H$1574,2,FALSE),AR65)</f>
        <v>0.2064</v>
      </c>
      <c r="AH65" s="203">
        <f t="shared" si="22"/>
        <v>6.1920000000000002</v>
      </c>
      <c r="AI65" s="195">
        <f>5%</f>
        <v>0.05</v>
      </c>
      <c r="AJ65" s="341">
        <f>'Misc. Data &amp; Mechanisms'!AH338</f>
        <v>511.43231803030034</v>
      </c>
      <c r="AK65" s="196">
        <f>'Misc. Data &amp; Mechanisms'!AP338</f>
        <v>545.76078106645616</v>
      </c>
      <c r="AL65" s="196">
        <f>'Misc. Data &amp; Mechanisms'!K338</f>
        <v>576.30672568593138</v>
      </c>
      <c r="AM65" s="196">
        <f>'Misc. Data &amp; Mechanisms'!L338</f>
        <v>437.36358997760976</v>
      </c>
      <c r="AN65" s="196">
        <f>'Misc. Data &amp; Mechanisms'!M338</f>
        <v>323.67815967646612</v>
      </c>
      <c r="AO65" s="1463">
        <f>'Misc. Data &amp; Mechanisms'!$B$259</f>
        <v>611.34673880086393</v>
      </c>
      <c r="AP65" s="197">
        <f>IFERROR(IF('Personalized Bill Menu'!$B$30="Yes", IF('Personalized Bill Menu'!$B$34="Natural Gas",0,VLOOKUP($A65, 'Personalized Bill Menu'!$H$4:$L$93, 2, FALSE)), 0), 0)</f>
        <v>0</v>
      </c>
      <c r="AQ65" s="1343">
        <f>IFERROR(IF('Personalized Bill Menu'!$C$36="Custom", IF('Personalized Bill Menu'!$B$34="Natural Gas",0,VLOOKUP($A65, 'Personalized Bill Menu'!$H$4:$L$93, 3, FALSE)), 0), 0)</f>
        <v>0</v>
      </c>
      <c r="AR65" s="1344">
        <f>IFERROR(IF('Personalized Bill Menu'!$C$36="Custom", IF('Personalized Bill Menu'!$B$34="Natural Gas",0,VLOOKUP($A65, 'Personalized Bill Menu'!$H$4:$L$93, 4, FALSE)), 0), 0)</f>
        <v>0</v>
      </c>
      <c r="AS65" s="2"/>
      <c r="AT65" s="2"/>
      <c r="AU65" s="2"/>
    </row>
    <row r="66" spans="1:47" x14ac:dyDescent="0.35">
      <c r="A66" s="229">
        <v>42705</v>
      </c>
      <c r="B66" s="230">
        <f t="shared" si="33"/>
        <v>31</v>
      </c>
      <c r="C66" s="231">
        <f t="shared" si="9"/>
        <v>758.93857168514921</v>
      </c>
      <c r="D66" s="208">
        <f t="shared" si="10"/>
        <v>10.817572254357174</v>
      </c>
      <c r="E66" s="208">
        <f t="shared" si="11"/>
        <v>8.3855661435000002</v>
      </c>
      <c r="F66" s="232">
        <f t="shared" si="12"/>
        <v>82.098728358227334</v>
      </c>
      <c r="G66" s="233">
        <f t="shared" si="13"/>
        <v>31.625729220691849</v>
      </c>
      <c r="H66" s="208">
        <f t="shared" si="14"/>
        <v>14.771221420708057</v>
      </c>
      <c r="I66" s="208">
        <f t="shared" si="15"/>
        <v>20.006714533711087</v>
      </c>
      <c r="J66" s="1149">
        <f t="shared" si="16"/>
        <v>7.1784403860601964</v>
      </c>
      <c r="K66" s="208">
        <f t="shared" si="17"/>
        <v>-1.791240458097529</v>
      </c>
      <c r="L66" s="208">
        <f t="shared" si="18"/>
        <v>6.3983999999999996</v>
      </c>
      <c r="M66" s="234">
        <f t="shared" si="23"/>
        <v>3.9094632551536828</v>
      </c>
      <c r="N66" s="1243">
        <f>IF($I$2="RRO (Capped)",VLOOKUP(A66,'Misc. Data &amp; Mechanisms'!$A$1278:$E$1368,2,FALSE),IF($I$2="RRO (Uncapped)",VLOOKUP(A66,'Misc. Data &amp; Mechanisms'!$G$1278:$K$1368,2,FALSE),AQ66))</f>
        <v>4.1670999999999996</v>
      </c>
      <c r="O66" s="235">
        <f t="shared" si="34"/>
        <v>31.625729220691849</v>
      </c>
      <c r="P66" s="236">
        <v>1.9462999999999999</v>
      </c>
      <c r="Q66" s="235">
        <f t="shared" si="24"/>
        <v>14.771221420708057</v>
      </c>
      <c r="R66" s="236">
        <v>0.88959999999999995</v>
      </c>
      <c r="S66" s="1235">
        <v>0.42758699999999999</v>
      </c>
      <c r="T66" s="235">
        <f t="shared" si="25"/>
        <v>6.7515175337110866</v>
      </c>
      <c r="U66" s="237">
        <f t="shared" si="26"/>
        <v>13.255196999999999</v>
      </c>
      <c r="V66" s="238">
        <v>0.1111</v>
      </c>
      <c r="W66" s="235">
        <f t="shared" si="27"/>
        <v>3.6648218696413317</v>
      </c>
      <c r="X66" s="235">
        <f t="shared" si="28"/>
        <v>3.5136185164188647</v>
      </c>
      <c r="Y66" s="239">
        <v>-0.33339999999999997</v>
      </c>
      <c r="Z66" s="1236">
        <v>0.5181</v>
      </c>
      <c r="AA66" s="246"/>
      <c r="AB66" s="399">
        <v>-0.10299999999999999</v>
      </c>
      <c r="AC66" s="240">
        <f t="shared" si="29"/>
        <v>-2.5303011979982872</v>
      </c>
      <c r="AD66" s="240">
        <f t="shared" si="30"/>
        <v>3.9320607399007579</v>
      </c>
      <c r="AE66" s="240">
        <f t="shared" si="31"/>
        <v>0</v>
      </c>
      <c r="AF66" s="241">
        <f t="shared" si="32"/>
        <v>-3.1929999999999996</v>
      </c>
      <c r="AG66" s="239">
        <f>IF(OR($I$2="RRO (Capped)",$I$2="RRO (Uncapped)"),VLOOKUP(A66,'Misc. Data &amp; Mechanisms'!$A$1483:$H$1574,2,FALSE),AR66)</f>
        <v>0.2064</v>
      </c>
      <c r="AH66" s="241">
        <f t="shared" si="22"/>
        <v>6.3983999999999996</v>
      </c>
      <c r="AI66" s="242">
        <f>5%</f>
        <v>0.05</v>
      </c>
      <c r="AJ66" s="352">
        <f>'Misc. Data &amp; Mechanisms'!AH339</f>
        <v>673.50543670571017</v>
      </c>
      <c r="AK66" s="1089">
        <f>'Misc. Data &amp; Mechanisms'!AP339</f>
        <v>706.39002250825104</v>
      </c>
      <c r="AL66" s="1089">
        <f>'Misc. Data &amp; Mechanisms'!K339</f>
        <v>758.93857168514921</v>
      </c>
      <c r="AM66" s="1089">
        <f>'Misc. Data &amp; Mechanisms'!L339</f>
        <v>575.96429729259955</v>
      </c>
      <c r="AN66" s="1089">
        <f>'Misc. Data &amp; Mechanisms'!M339</f>
        <v>426.25190587209499</v>
      </c>
      <c r="AO66" s="1464">
        <f>'Misc. Data &amp; Mechanisms'!$B$259</f>
        <v>611.34673880086393</v>
      </c>
      <c r="AP66" s="243">
        <f>IFERROR(IF('Personalized Bill Menu'!$B$30="Yes", IF('Personalized Bill Menu'!$B$34="Natural Gas",0,VLOOKUP($A66, 'Personalized Bill Menu'!$H$4:$L$93, 2, FALSE)), 0), 0)</f>
        <v>0</v>
      </c>
      <c r="AQ66" s="1345">
        <f>IFERROR(IF('Personalized Bill Menu'!$C$36="Custom", IF('Personalized Bill Menu'!$B$34="Natural Gas",0,VLOOKUP($A66, 'Personalized Bill Menu'!$H$4:$L$93, 3, FALSE)), 0), 0)</f>
        <v>0</v>
      </c>
      <c r="AR66" s="1346">
        <f>IFERROR(IF('Personalized Bill Menu'!$C$36="Custom", IF('Personalized Bill Menu'!$B$34="Natural Gas",0,VLOOKUP($A66, 'Personalized Bill Menu'!$H$4:$L$93, 4, FALSE)), 0), 0)</f>
        <v>0</v>
      </c>
      <c r="AS66" s="2"/>
      <c r="AT66" s="2"/>
      <c r="AU66" s="2"/>
    </row>
    <row r="67" spans="1:47" x14ac:dyDescent="0.35">
      <c r="A67" s="210">
        <v>42736</v>
      </c>
      <c r="B67" s="211">
        <f t="shared" si="33"/>
        <v>31</v>
      </c>
      <c r="C67" s="212">
        <f t="shared" si="9"/>
        <v>647.80149995356771</v>
      </c>
      <c r="D67" s="215">
        <f t="shared" si="10"/>
        <v>12.530483635944698</v>
      </c>
      <c r="E67" s="215">
        <f t="shared" si="11"/>
        <v>9.2799238665000008</v>
      </c>
      <c r="F67" s="213">
        <f t="shared" si="12"/>
        <v>81.172660945086108</v>
      </c>
      <c r="G67" s="214">
        <f t="shared" si="13"/>
        <v>28.46634131245963</v>
      </c>
      <c r="H67" s="215">
        <f t="shared" si="14"/>
        <v>12.608160593596287</v>
      </c>
      <c r="I67" s="215">
        <f t="shared" si="15"/>
        <v>21.992031670033494</v>
      </c>
      <c r="J67" s="215">
        <f t="shared" si="16"/>
        <v>7.0902514273706174</v>
      </c>
      <c r="K67" s="215">
        <f t="shared" si="17"/>
        <v>0.75211113471722779</v>
      </c>
      <c r="L67" s="215">
        <f t="shared" si="18"/>
        <v>6.3983999999999996</v>
      </c>
      <c r="M67" s="216">
        <f t="shared" si="23"/>
        <v>3.8653648069088629</v>
      </c>
      <c r="N67" s="273">
        <f>IF($I$2="RRO (Capped)",VLOOKUP(A67,'Misc. Data &amp; Mechanisms'!$A$1278:$E$1368,2,FALSE),IF($I$2="RRO (Uncapped)",VLOOKUP(A67,'Misc. Data &amp; Mechanisms'!$G$1278:$K$1368,2,FALSE),AQ67))</f>
        <v>4.3943000000000003</v>
      </c>
      <c r="O67" s="217">
        <f t="shared" si="34"/>
        <v>28.46634131245963</v>
      </c>
      <c r="P67" s="218">
        <v>1.9462999999999999</v>
      </c>
      <c r="Q67" s="217">
        <f t="shared" si="24"/>
        <v>12.608160593596287</v>
      </c>
      <c r="R67" s="218">
        <v>1.0046999999999999</v>
      </c>
      <c r="S67" s="1237">
        <v>0.49947000000000003</v>
      </c>
      <c r="T67" s="217">
        <f t="shared" si="25"/>
        <v>6.5084616700334941</v>
      </c>
      <c r="U67" s="219">
        <f t="shared" si="26"/>
        <v>15.48357</v>
      </c>
      <c r="V67" s="220">
        <v>0.1111</v>
      </c>
      <c r="W67" s="217">
        <f t="shared" si="27"/>
        <v>3.9276409075563525</v>
      </c>
      <c r="X67" s="217">
        <f t="shared" si="28"/>
        <v>3.1626105198142649</v>
      </c>
      <c r="Y67" s="221">
        <v>0.1129</v>
      </c>
      <c r="Z67" s="1238">
        <v>0.49609999999999999</v>
      </c>
      <c r="AA67" s="245"/>
      <c r="AB67" s="1451">
        <v>-0.10299999999999999</v>
      </c>
      <c r="AC67" s="223">
        <f t="shared" si="29"/>
        <v>0.73136789344757791</v>
      </c>
      <c r="AD67" s="223">
        <f t="shared" si="30"/>
        <v>3.2137432412696496</v>
      </c>
      <c r="AE67" s="223">
        <f t="shared" si="31"/>
        <v>0</v>
      </c>
      <c r="AF67" s="224">
        <f t="shared" si="32"/>
        <v>-3.1929999999999996</v>
      </c>
      <c r="AG67" s="200">
        <f>IF(OR($I$2="RRO (Capped)",$I$2="RRO (Uncapped)"),VLOOKUP(A67,'Misc. Data &amp; Mechanisms'!$A$1483:$H$1574,2,FALSE),AR67)</f>
        <v>0.2064</v>
      </c>
      <c r="AH67" s="224">
        <f t="shared" si="22"/>
        <v>6.3983999999999996</v>
      </c>
      <c r="AI67" s="225">
        <f>5%</f>
        <v>0.05</v>
      </c>
      <c r="AJ67" s="359">
        <f>'Misc. Data &amp; Mechanisms'!AH340</f>
        <v>574.87898020005071</v>
      </c>
      <c r="AK67" s="1239">
        <f>'Misc. Data &amp; Mechanisms'!AP340</f>
        <v>644.60325971019017</v>
      </c>
      <c r="AL67" s="1239">
        <f>'Misc. Data &amp; Mechanisms'!K340</f>
        <v>647.80149995356771</v>
      </c>
      <c r="AM67" s="1239">
        <f>'Misc. Data &amp; Mechanisms'!L340</f>
        <v>491.62152198615087</v>
      </c>
      <c r="AN67" s="1239">
        <f>'Misc. Data &amp; Mechanisms'!M340</f>
        <v>363.83263979968467</v>
      </c>
      <c r="AO67" s="1465">
        <f>'Misc. Data &amp; Mechanisms'!$B$259</f>
        <v>611.34673880086393</v>
      </c>
      <c r="AP67" s="197">
        <f>IFERROR(IF('Personalized Bill Menu'!$B$30="Yes", IF('Personalized Bill Menu'!$B$34="Natural Gas",0,VLOOKUP($A67, 'Personalized Bill Menu'!$H$4:$L$93, 2, FALSE)), 0), 0)</f>
        <v>0</v>
      </c>
      <c r="AQ67" s="1343">
        <f>IFERROR(IF('Personalized Bill Menu'!$C$36="Custom", IF('Personalized Bill Menu'!$B$34="Natural Gas",0,VLOOKUP($A67, 'Personalized Bill Menu'!$H$4:$L$93, 3, FALSE)), 0), 0)</f>
        <v>0</v>
      </c>
      <c r="AR67" s="1344">
        <f>IFERROR(IF('Personalized Bill Menu'!$C$36="Custom", IF('Personalized Bill Menu'!$B$34="Natural Gas",0,VLOOKUP($A67, 'Personalized Bill Menu'!$H$4:$L$93, 4, FALSE)), 0), 0)</f>
        <v>0</v>
      </c>
      <c r="AS67" s="2"/>
      <c r="AT67" s="2"/>
      <c r="AU67" s="2"/>
    </row>
    <row r="68" spans="1:47" x14ac:dyDescent="0.35">
      <c r="A68" s="176">
        <v>42767</v>
      </c>
      <c r="B68" s="177">
        <f t="shared" si="33"/>
        <v>28</v>
      </c>
      <c r="C68" s="1581">
        <f t="shared" si="9"/>
        <v>568.43198073192229</v>
      </c>
      <c r="D68" s="178">
        <f t="shared" si="10"/>
        <v>12.077417733163212</v>
      </c>
      <c r="E68" s="178">
        <f t="shared" si="11"/>
        <v>8.7314793509999991</v>
      </c>
      <c r="F68" s="179">
        <f t="shared" si="12"/>
        <v>68.651904841888083</v>
      </c>
      <c r="G68" s="180">
        <f t="shared" si="13"/>
        <v>22.306407787882094</v>
      </c>
      <c r="H68" s="181">
        <f t="shared" si="14"/>
        <v>11.063391640985403</v>
      </c>
      <c r="I68" s="181">
        <f t="shared" si="15"/>
        <v>19.696196110413624</v>
      </c>
      <c r="J68" s="181">
        <f t="shared" si="16"/>
        <v>5.9598202141453704</v>
      </c>
      <c r="K68" s="181">
        <f t="shared" si="17"/>
        <v>0.57775076265740699</v>
      </c>
      <c r="L68" s="181">
        <f t="shared" si="18"/>
        <v>5.7792000000000003</v>
      </c>
      <c r="M68" s="182">
        <f t="shared" si="23"/>
        <v>3.2691383258041946</v>
      </c>
      <c r="N68" s="273">
        <f>IF($I$2="RRO (Capped)",VLOOKUP(A68,'Misc. Data &amp; Mechanisms'!$A$1278:$E$1368,2,FALSE),IF($I$2="RRO (Uncapped)",VLOOKUP(A68,'Misc. Data &amp; Mechanisms'!$G$1278:$K$1368,2,FALSE),AQ68))</f>
        <v>3.9241999999999999</v>
      </c>
      <c r="O68" s="183">
        <f t="shared" si="34"/>
        <v>22.306407787882094</v>
      </c>
      <c r="P68" s="198">
        <v>1.9462999999999999</v>
      </c>
      <c r="Q68" s="183">
        <f t="shared" si="24"/>
        <v>11.063391640985403</v>
      </c>
      <c r="R68" s="198">
        <v>1.0046999999999999</v>
      </c>
      <c r="S68" s="199">
        <v>0.49947000000000003</v>
      </c>
      <c r="T68" s="183">
        <f t="shared" si="25"/>
        <v>5.7110361104136222</v>
      </c>
      <c r="U68" s="194">
        <f t="shared" si="26"/>
        <v>13.98516</v>
      </c>
      <c r="V68" s="126">
        <v>0.1111</v>
      </c>
      <c r="W68" s="123">
        <f t="shared" si="27"/>
        <v>3.4815783089116694</v>
      </c>
      <c r="X68" s="123">
        <f t="shared" si="28"/>
        <v>2.4782419052337006</v>
      </c>
      <c r="Y68" s="200">
        <v>0.1129</v>
      </c>
      <c r="Z68" s="201">
        <v>0.49609999999999999</v>
      </c>
      <c r="AA68" s="202"/>
      <c r="AB68" s="1450">
        <v>-0.10299999999999999</v>
      </c>
      <c r="AC68" s="192">
        <f t="shared" si="29"/>
        <v>0.64175970624634027</v>
      </c>
      <c r="AD68" s="192">
        <f t="shared" si="30"/>
        <v>2.8199910564110664</v>
      </c>
      <c r="AE68" s="192">
        <f t="shared" si="31"/>
        <v>0</v>
      </c>
      <c r="AF68" s="203">
        <f t="shared" si="32"/>
        <v>-2.8839999999999999</v>
      </c>
      <c r="AG68" s="200">
        <f>IF(OR($I$2="RRO (Capped)",$I$2="RRO (Uncapped)"),VLOOKUP(A68,'Misc. Data &amp; Mechanisms'!$A$1483:$H$1574,2,FALSE),AR68)</f>
        <v>0.2064</v>
      </c>
      <c r="AH68" s="203">
        <f t="shared" si="22"/>
        <v>5.7792000000000003</v>
      </c>
      <c r="AI68" s="195">
        <f>5%</f>
        <v>0.05</v>
      </c>
      <c r="AJ68" s="341">
        <f>'Misc. Data &amp; Mechanisms'!AH341</f>
        <v>504.44402709732049</v>
      </c>
      <c r="AK68" s="196">
        <f>'Misc. Data &amp; Mechanisms'!AP341</f>
        <v>549.65855056156363</v>
      </c>
      <c r="AL68" s="196">
        <f>'Misc. Data &amp; Mechanisms'!K341</f>
        <v>568.43198073192229</v>
      </c>
      <c r="AM68" s="196">
        <f>'Misc. Data &amp; Mechanisms'!L341</f>
        <v>431.38738569308708</v>
      </c>
      <c r="AN68" s="196">
        <f>'Misc. Data &amp; Mechanisms'!M341</f>
        <v>319.25537083671855</v>
      </c>
      <c r="AO68" s="1463">
        <f>'Misc. Data &amp; Mechanisms'!$B$259</f>
        <v>611.34673880086393</v>
      </c>
      <c r="AP68" s="197">
        <f>IFERROR(IF('Personalized Bill Menu'!$B$30="Yes", IF('Personalized Bill Menu'!$B$34="Natural Gas",0,VLOOKUP($A68, 'Personalized Bill Menu'!$H$4:$L$93, 2, FALSE)), 0), 0)</f>
        <v>0</v>
      </c>
      <c r="AQ68" s="1343">
        <f>IFERROR(IF('Personalized Bill Menu'!$C$36="Custom", IF('Personalized Bill Menu'!$B$34="Natural Gas",0,VLOOKUP($A68, 'Personalized Bill Menu'!$H$4:$L$93, 3, FALSE)), 0), 0)</f>
        <v>0</v>
      </c>
      <c r="AR68" s="1344">
        <f>IFERROR(IF('Personalized Bill Menu'!$C$36="Custom", IF('Personalized Bill Menu'!$B$34="Natural Gas",0,VLOOKUP($A68, 'Personalized Bill Menu'!$H$4:$L$93, 4, FALSE)), 0), 0)</f>
        <v>0</v>
      </c>
      <c r="AS68" s="2"/>
      <c r="AT68" s="2"/>
      <c r="AU68" s="2"/>
    </row>
    <row r="69" spans="1:47" x14ac:dyDescent="0.35">
      <c r="A69" s="176">
        <v>42795</v>
      </c>
      <c r="B69" s="177">
        <f t="shared" si="33"/>
        <v>31</v>
      </c>
      <c r="C69" s="1581">
        <f t="shared" si="9"/>
        <v>590.90640142097993</v>
      </c>
      <c r="D69" s="178">
        <f t="shared" si="10"/>
        <v>11.728956477725054</v>
      </c>
      <c r="E69" s="178">
        <f t="shared" si="11"/>
        <v>8.1654183449999991</v>
      </c>
      <c r="F69" s="179">
        <f t="shared" si="12"/>
        <v>69.307154646758036</v>
      </c>
      <c r="G69" s="180">
        <f t="shared" si="13"/>
        <v>20.321271144867502</v>
      </c>
      <c r="H69" s="181">
        <f t="shared" si="14"/>
        <v>11.500811290856531</v>
      </c>
      <c r="I69" s="181">
        <f t="shared" si="15"/>
        <v>21.420406615076587</v>
      </c>
      <c r="J69" s="181">
        <f t="shared" si="16"/>
        <v>5.960304913838983</v>
      </c>
      <c r="K69" s="181">
        <f t="shared" si="17"/>
        <v>0.40561998465376803</v>
      </c>
      <c r="L69" s="181">
        <f t="shared" si="18"/>
        <v>6.3983999999999996</v>
      </c>
      <c r="M69" s="182">
        <f t="shared" si="23"/>
        <v>3.300340697464669</v>
      </c>
      <c r="N69" s="273">
        <f>IF($I$2="RRO (Capped)",VLOOKUP(A69,'Misc. Data &amp; Mechanisms'!$A$1278:$E$1368,2,FALSE),IF($I$2="RRO (Uncapped)",VLOOKUP(A69,'Misc. Data &amp; Mechanisms'!$G$1278:$K$1368,2,FALSE),AQ69))</f>
        <v>3.4390000000000001</v>
      </c>
      <c r="O69" s="183">
        <f t="shared" si="34"/>
        <v>20.321271144867502</v>
      </c>
      <c r="P69" s="198">
        <v>1.9462999999999999</v>
      </c>
      <c r="Q69" s="183">
        <f t="shared" si="24"/>
        <v>11.500811290856531</v>
      </c>
      <c r="R69" s="198">
        <v>1.0046999999999999</v>
      </c>
      <c r="S69" s="199">
        <v>0.49947000000000003</v>
      </c>
      <c r="T69" s="183">
        <f t="shared" si="25"/>
        <v>5.9368366150765848</v>
      </c>
      <c r="U69" s="194">
        <f t="shared" si="26"/>
        <v>15.48357</v>
      </c>
      <c r="V69" s="126">
        <v>0.1111</v>
      </c>
      <c r="W69" s="123">
        <f t="shared" si="27"/>
        <v>3.7026116896442032</v>
      </c>
      <c r="X69" s="123">
        <f t="shared" si="28"/>
        <v>2.2576932241947798</v>
      </c>
      <c r="Y69" s="200">
        <v>0.1129</v>
      </c>
      <c r="Z69" s="201">
        <v>0.49609999999999999</v>
      </c>
      <c r="AA69" s="202"/>
      <c r="AB69" s="1450">
        <v>-0.10299999999999999</v>
      </c>
      <c r="AC69" s="192">
        <f t="shared" si="29"/>
        <v>0.66713332720428631</v>
      </c>
      <c r="AD69" s="192">
        <f t="shared" si="30"/>
        <v>2.9314866574494816</v>
      </c>
      <c r="AE69" s="192">
        <f t="shared" si="31"/>
        <v>0</v>
      </c>
      <c r="AF69" s="203">
        <f t="shared" si="32"/>
        <v>-3.1929999999999996</v>
      </c>
      <c r="AG69" s="200">
        <f>IF(OR($I$2="RRO (Capped)",$I$2="RRO (Uncapped)"),VLOOKUP(A69,'Misc. Data &amp; Mechanisms'!$A$1483:$H$1574,2,FALSE),AR69)</f>
        <v>0.2064</v>
      </c>
      <c r="AH69" s="203">
        <f t="shared" si="22"/>
        <v>6.3983999999999996</v>
      </c>
      <c r="AI69" s="195">
        <f>5%</f>
        <v>0.05</v>
      </c>
      <c r="AJ69" s="341">
        <f>'Misc. Data &amp; Mechanisms'!AH342</f>
        <v>524.38851942597125</v>
      </c>
      <c r="AK69" s="196">
        <f>'Misc. Data &amp; Mechanisms'!AP342</f>
        <v>569.98826499833581</v>
      </c>
      <c r="AL69" s="196">
        <f>'Misc. Data &amp; Mechanisms'!K342</f>
        <v>590.90640142097993</v>
      </c>
      <c r="AM69" s="196">
        <f>'Misc. Data &amp; Mechanisms'!L342</f>
        <v>448.44339576052829</v>
      </c>
      <c r="AN69" s="196">
        <f>'Misc. Data &amp; Mechanisms'!M342</f>
        <v>331.87795322940303</v>
      </c>
      <c r="AO69" s="1463">
        <f>'Misc. Data &amp; Mechanisms'!$B$259</f>
        <v>611.34673880086393</v>
      </c>
      <c r="AP69" s="197">
        <f>IFERROR(IF('Personalized Bill Menu'!$B$30="Yes", IF('Personalized Bill Menu'!$B$34="Natural Gas",0,VLOOKUP($A69, 'Personalized Bill Menu'!$H$4:$L$93, 2, FALSE)), 0), 0)</f>
        <v>0</v>
      </c>
      <c r="AQ69" s="1343">
        <f>IFERROR(IF('Personalized Bill Menu'!$C$36="Custom", IF('Personalized Bill Menu'!$B$34="Natural Gas",0,VLOOKUP($A69, 'Personalized Bill Menu'!$H$4:$L$93, 3, FALSE)), 0), 0)</f>
        <v>0</v>
      </c>
      <c r="AR69" s="1344">
        <f>IFERROR(IF('Personalized Bill Menu'!$C$36="Custom", IF('Personalized Bill Menu'!$B$34="Natural Gas",0,VLOOKUP($A69, 'Personalized Bill Menu'!$H$4:$L$93, 4, FALSE)), 0), 0)</f>
        <v>0</v>
      </c>
      <c r="AS69" s="2"/>
      <c r="AT69" s="2"/>
      <c r="AU69" s="2"/>
    </row>
    <row r="70" spans="1:47" x14ac:dyDescent="0.35">
      <c r="A70" s="176">
        <v>42826</v>
      </c>
      <c r="B70" s="177">
        <f t="shared" si="33"/>
        <v>30</v>
      </c>
      <c r="C70" s="1581">
        <f t="shared" si="9"/>
        <v>521.96284196970953</v>
      </c>
      <c r="D70" s="178">
        <f t="shared" si="10"/>
        <v>12.777203589706412</v>
      </c>
      <c r="E70" s="178">
        <f t="shared" si="11"/>
        <v>8.8731112680000006</v>
      </c>
      <c r="F70" s="179">
        <f t="shared" si="12"/>
        <v>66.692254981087331</v>
      </c>
      <c r="G70" s="180">
        <f t="shared" si="13"/>
        <v>15.954838190488111</v>
      </c>
      <c r="H70" s="181">
        <f t="shared" si="14"/>
        <v>10.158962793256455</v>
      </c>
      <c r="I70" s="181">
        <f t="shared" si="15"/>
        <v>20.228260673269673</v>
      </c>
      <c r="J70" s="181">
        <f t="shared" si="16"/>
        <v>5.731927406473039</v>
      </c>
      <c r="K70" s="181">
        <f t="shared" si="17"/>
        <v>5.25044425183399</v>
      </c>
      <c r="L70" s="181">
        <f t="shared" si="18"/>
        <v>6.1920000000000002</v>
      </c>
      <c r="M70" s="182">
        <f t="shared" si="23"/>
        <v>3.1758216657660636</v>
      </c>
      <c r="N70" s="273">
        <f>IF($I$2="RRO (Capped)",VLOOKUP(A70,'Misc. Data &amp; Mechanisms'!$A$1278:$E$1368,2,FALSE),IF($I$2="RRO (Uncapped)",VLOOKUP(A70,'Misc. Data &amp; Mechanisms'!$G$1278:$K$1368,2,FALSE),AQ70))</f>
        <v>3.0567000000000002</v>
      </c>
      <c r="O70" s="183">
        <f t="shared" si="34"/>
        <v>15.954838190488111</v>
      </c>
      <c r="P70" s="198">
        <v>1.9462999999999999</v>
      </c>
      <c r="Q70" s="183">
        <f t="shared" si="24"/>
        <v>10.158962793256455</v>
      </c>
      <c r="R70" s="198">
        <v>1.0046999999999999</v>
      </c>
      <c r="S70" s="199">
        <v>0.49947000000000003</v>
      </c>
      <c r="T70" s="183">
        <f t="shared" si="25"/>
        <v>5.2441606732696711</v>
      </c>
      <c r="U70" s="194">
        <f t="shared" si="26"/>
        <v>14.984100000000002</v>
      </c>
      <c r="V70" s="126">
        <v>0.1111</v>
      </c>
      <c r="W70" s="123">
        <f t="shared" si="27"/>
        <v>3.9593448835098095</v>
      </c>
      <c r="X70" s="123">
        <f t="shared" si="28"/>
        <v>1.7725825229632293</v>
      </c>
      <c r="Y70" s="200">
        <v>0.1129</v>
      </c>
      <c r="Z70" s="201">
        <v>1.4850000000000001</v>
      </c>
      <c r="AA70" s="202"/>
      <c r="AB70" s="1450">
        <v>-0.10299999999999999</v>
      </c>
      <c r="AC70" s="192">
        <f t="shared" si="29"/>
        <v>0.58929604858380202</v>
      </c>
      <c r="AD70" s="192">
        <f t="shared" si="30"/>
        <v>7.7511482032501871</v>
      </c>
      <c r="AE70" s="192">
        <f t="shared" si="31"/>
        <v>0</v>
      </c>
      <c r="AF70" s="203">
        <f t="shared" si="32"/>
        <v>-3.09</v>
      </c>
      <c r="AG70" s="200">
        <f>IF(OR($I$2="RRO (Capped)",$I$2="RRO (Uncapped)"),VLOOKUP(A70,'Misc. Data &amp; Mechanisms'!$A$1483:$H$1574,2,FALSE),AR70)</f>
        <v>0.2064</v>
      </c>
      <c r="AH70" s="203">
        <f t="shared" si="22"/>
        <v>6.1920000000000002</v>
      </c>
      <c r="AI70" s="195">
        <f>5%</f>
        <v>0.05</v>
      </c>
      <c r="AJ70" s="341">
        <f>'Misc. Data &amp; Mechanisms'!AH343</f>
        <v>463.20588377052934</v>
      </c>
      <c r="AK70" s="196">
        <f>'Misc. Data &amp; Mechanisms'!AP343</f>
        <v>490.87849585577823</v>
      </c>
      <c r="AL70" s="196">
        <f>'Misc. Data &amp; Mechanisms'!K343</f>
        <v>521.96284196970953</v>
      </c>
      <c r="AM70" s="196">
        <f>'Misc. Data &amp; Mechanisms'!L343</f>
        <v>396.12160022438695</v>
      </c>
      <c r="AN70" s="196">
        <f>'Misc. Data &amp; Mechanisms'!M343</f>
        <v>293.15634293035288</v>
      </c>
      <c r="AO70" s="1463">
        <f>'Misc. Data &amp; Mechanisms'!$B$259</f>
        <v>611.34673880086393</v>
      </c>
      <c r="AP70" s="197">
        <f>IFERROR(IF('Personalized Bill Menu'!$B$30="Yes", IF('Personalized Bill Menu'!$B$34="Natural Gas",0,VLOOKUP($A70, 'Personalized Bill Menu'!$H$4:$L$93, 2, FALSE)), 0), 0)</f>
        <v>0</v>
      </c>
      <c r="AQ70" s="1343">
        <f>IFERROR(IF('Personalized Bill Menu'!$C$36="Custom", IF('Personalized Bill Menu'!$B$34="Natural Gas",0,VLOOKUP($A70, 'Personalized Bill Menu'!$H$4:$L$93, 3, FALSE)), 0), 0)</f>
        <v>0</v>
      </c>
      <c r="AR70" s="1344">
        <f>IFERROR(IF('Personalized Bill Menu'!$C$36="Custom", IF('Personalized Bill Menu'!$B$34="Natural Gas",0,VLOOKUP($A70, 'Personalized Bill Menu'!$H$4:$L$93, 4, FALSE)), 0), 0)</f>
        <v>0</v>
      </c>
      <c r="AS70" s="2"/>
      <c r="AT70" s="2"/>
      <c r="AU70" s="2"/>
    </row>
    <row r="71" spans="1:47" x14ac:dyDescent="0.35">
      <c r="A71" s="176">
        <v>42856</v>
      </c>
      <c r="B71" s="177">
        <f t="shared" si="33"/>
        <v>31</v>
      </c>
      <c r="C71" s="1581">
        <f t="shared" si="9"/>
        <v>499.78475479463549</v>
      </c>
      <c r="D71" s="178">
        <f t="shared" si="10"/>
        <v>13.74630762148321</v>
      </c>
      <c r="E71" s="178">
        <f t="shared" si="11"/>
        <v>8.7877121220000003</v>
      </c>
      <c r="F71" s="179">
        <f t="shared" si="12"/>
        <v>68.701949839346156</v>
      </c>
      <c r="G71" s="180">
        <f t="shared" si="13"/>
        <v>14.911078159297949</v>
      </c>
      <c r="H71" s="181">
        <f t="shared" si="14"/>
        <v>9.7273106825679889</v>
      </c>
      <c r="I71" s="181">
        <f t="shared" si="15"/>
        <v>20.504907431421703</v>
      </c>
      <c r="J71" s="181">
        <f t="shared" si="16"/>
        <v>5.9026715482737888</v>
      </c>
      <c r="K71" s="181">
        <f t="shared" si="17"/>
        <v>7.9860605968634806</v>
      </c>
      <c r="L71" s="181">
        <f t="shared" si="18"/>
        <v>6.3983999999999996</v>
      </c>
      <c r="M71" s="182">
        <f t="shared" si="23"/>
        <v>3.2715214209212458</v>
      </c>
      <c r="N71" s="273">
        <f>IF($I$2="RRO (Capped)",VLOOKUP(A71,'Misc. Data &amp; Mechanisms'!$A$1278:$E$1368,2,FALSE),IF($I$2="RRO (Uncapped)",VLOOKUP(A71,'Misc. Data &amp; Mechanisms'!$G$1278:$K$1368,2,FALSE),AQ71))</f>
        <v>2.9834999999999998</v>
      </c>
      <c r="O71" s="183">
        <f t="shared" si="34"/>
        <v>14.911078159297949</v>
      </c>
      <c r="P71" s="198">
        <v>1.9462999999999999</v>
      </c>
      <c r="Q71" s="183">
        <f t="shared" si="24"/>
        <v>9.7273106825679889</v>
      </c>
      <c r="R71" s="198">
        <v>1.0046999999999999</v>
      </c>
      <c r="S71" s="199">
        <v>0.49947000000000003</v>
      </c>
      <c r="T71" s="183">
        <f t="shared" si="25"/>
        <v>5.0213374314217019</v>
      </c>
      <c r="U71" s="194">
        <f t="shared" si="26"/>
        <v>15.48357</v>
      </c>
      <c r="V71" s="126">
        <v>0.1111</v>
      </c>
      <c r="W71" s="123">
        <f t="shared" si="27"/>
        <v>4.246050764775787</v>
      </c>
      <c r="X71" s="123">
        <f t="shared" si="28"/>
        <v>1.6566207834980022</v>
      </c>
      <c r="Y71" s="200">
        <v>0.1129</v>
      </c>
      <c r="Z71" s="201">
        <v>1.4850000000000001</v>
      </c>
      <c r="AA71" s="202"/>
      <c r="AB71" s="1450"/>
      <c r="AC71" s="192">
        <f t="shared" si="29"/>
        <v>0.56425698816314351</v>
      </c>
      <c r="AD71" s="192">
        <f t="shared" si="30"/>
        <v>7.421803608700337</v>
      </c>
      <c r="AE71" s="192">
        <f t="shared" si="31"/>
        <v>0</v>
      </c>
      <c r="AF71" s="203">
        <f t="shared" si="32"/>
        <v>0</v>
      </c>
      <c r="AG71" s="200">
        <f>IF(OR($I$2="RRO (Capped)",$I$2="RRO (Uncapped)"),VLOOKUP(A71,'Misc. Data &amp; Mechanisms'!$A$1483:$H$1574,2,FALSE),AR71)</f>
        <v>0.2064</v>
      </c>
      <c r="AH71" s="203">
        <f t="shared" si="22"/>
        <v>6.3983999999999996</v>
      </c>
      <c r="AI71" s="195">
        <f>5%</f>
        <v>0.05</v>
      </c>
      <c r="AJ71" s="341">
        <f>'Misc. Data &amp; Mechanisms'!AH344</f>
        <v>443.52436691867234</v>
      </c>
      <c r="AK71" s="196">
        <f>'Misc. Data &amp; Mechanisms'!AP344</f>
        <v>475.07724198265112</v>
      </c>
      <c r="AL71" s="196">
        <f>'Misc. Data &amp; Mechanisms'!K344</f>
        <v>499.78475479463549</v>
      </c>
      <c r="AM71" s="196">
        <f>'Misc. Data &amp; Mechanisms'!L344</f>
        <v>379.29047993131422</v>
      </c>
      <c r="AN71" s="196">
        <f>'Misc. Data &amp; Mechanisms'!M344</f>
        <v>280.7001939353396</v>
      </c>
      <c r="AO71" s="1463">
        <f>'Misc. Data &amp; Mechanisms'!$B$259</f>
        <v>611.34673880086393</v>
      </c>
      <c r="AP71" s="197">
        <f>IFERROR(IF('Personalized Bill Menu'!$B$30="Yes", IF('Personalized Bill Menu'!$B$34="Natural Gas",0,VLOOKUP($A71, 'Personalized Bill Menu'!$H$4:$L$93, 2, FALSE)), 0), 0)</f>
        <v>0</v>
      </c>
      <c r="AQ71" s="1343">
        <f>IFERROR(IF('Personalized Bill Menu'!$C$36="Custom", IF('Personalized Bill Menu'!$B$34="Natural Gas",0,VLOOKUP($A71, 'Personalized Bill Menu'!$H$4:$L$93, 3, FALSE)), 0), 0)</f>
        <v>0</v>
      </c>
      <c r="AR71" s="1344">
        <f>IFERROR(IF('Personalized Bill Menu'!$C$36="Custom", IF('Personalized Bill Menu'!$B$34="Natural Gas",0,VLOOKUP($A71, 'Personalized Bill Menu'!$H$4:$L$93, 4, FALSE)), 0), 0)</f>
        <v>0</v>
      </c>
      <c r="AS71" s="2"/>
      <c r="AT71" s="2"/>
      <c r="AU71" s="2"/>
    </row>
    <row r="72" spans="1:47" x14ac:dyDescent="0.35">
      <c r="A72" s="176">
        <v>42887</v>
      </c>
      <c r="B72" s="177">
        <f t="shared" si="33"/>
        <v>30</v>
      </c>
      <c r="C72" s="1581">
        <f t="shared" ref="C72:C96" si="35">IFERROR(VLOOKUP($A72,$A$5:$AP$96,MATCH($I$1,$A$5:$AP$5,0),FALSE),0)</f>
        <v>476.9507488479735</v>
      </c>
      <c r="D72" s="178">
        <f t="shared" ref="D72:D92" si="36">IFERROR(($F72*100)/$C72, "")</f>
        <v>14.295816280310733</v>
      </c>
      <c r="E72" s="178">
        <f t="shared" ref="E72:E96" si="37">(1+$AI72)*(((1+$V72)*($N72+$P72+$R72+$Y72+$Z72))+((1+$V72)*($AA72*$R72)))</f>
        <v>9.2674406579999982</v>
      </c>
      <c r="F72" s="179">
        <f t="shared" ref="F72:F96" si="38">SUM($G72:$M72)</f>
        <v>68.184002802872556</v>
      </c>
      <c r="G72" s="180">
        <f t="shared" ref="G72:G96" si="39">SUM($O72)</f>
        <v>16.191047071142155</v>
      </c>
      <c r="H72" s="181">
        <f t="shared" ref="H72:H96" si="40">SUM($Q72)</f>
        <v>9.2828924248281073</v>
      </c>
      <c r="I72" s="181">
        <f t="shared" ref="I72:I96" si="41">SUM($T72:$U72)</f>
        <v>19.776024173675591</v>
      </c>
      <c r="J72" s="181">
        <f t="shared" ref="J72:J96" si="42">SUM($W72:$X72)</f>
        <v>5.8739858410576753</v>
      </c>
      <c r="K72" s="181">
        <f t="shared" ref="K72:K96" si="43">SUM($AC72:$AF72)</f>
        <v>7.6211960158417691</v>
      </c>
      <c r="L72" s="181">
        <f t="shared" ref="L72:L96" si="44">SUM($AH72)</f>
        <v>6.1920000000000002</v>
      </c>
      <c r="M72" s="182">
        <f t="shared" si="23"/>
        <v>3.246857276327265</v>
      </c>
      <c r="N72" s="273">
        <f>IF($I$2="RRO (Capped)",VLOOKUP(A72,'Misc. Data &amp; Mechanisms'!$A$1278:$E$1368,2,FALSE),IF($I$2="RRO (Uncapped)",VLOOKUP(A72,'Misc. Data &amp; Mechanisms'!$G$1278:$K$1368,2,FALSE),AQ72))</f>
        <v>3.3946999999999998</v>
      </c>
      <c r="O72" s="183">
        <f t="shared" si="34"/>
        <v>16.191047071142155</v>
      </c>
      <c r="P72" s="198">
        <v>1.9462999999999999</v>
      </c>
      <c r="Q72" s="183">
        <f t="shared" si="24"/>
        <v>9.2828924248281073</v>
      </c>
      <c r="R72" s="198">
        <v>1.0046999999999999</v>
      </c>
      <c r="S72" s="199">
        <v>0.49947000000000003</v>
      </c>
      <c r="T72" s="183">
        <f t="shared" si="25"/>
        <v>4.7919241736755893</v>
      </c>
      <c r="U72" s="194">
        <f t="shared" si="26"/>
        <v>14.984100000000002</v>
      </c>
      <c r="V72" s="126">
        <v>0.1111</v>
      </c>
      <c r="W72" s="123">
        <f t="shared" si="27"/>
        <v>4.0751605114537819</v>
      </c>
      <c r="X72" s="123">
        <f t="shared" si="28"/>
        <v>1.7988253296038934</v>
      </c>
      <c r="Y72" s="200">
        <v>0.1129</v>
      </c>
      <c r="Z72" s="201">
        <v>1.4850000000000001</v>
      </c>
      <c r="AA72" s="202"/>
      <c r="AB72" s="1450"/>
      <c r="AC72" s="192">
        <f t="shared" si="29"/>
        <v>0.53847739544936213</v>
      </c>
      <c r="AD72" s="192">
        <f t="shared" si="30"/>
        <v>7.0827186203924066</v>
      </c>
      <c r="AE72" s="192">
        <f t="shared" si="31"/>
        <v>0</v>
      </c>
      <c r="AF72" s="203">
        <f t="shared" si="32"/>
        <v>0</v>
      </c>
      <c r="AG72" s="200">
        <f>IF(OR($I$2="RRO (Capped)",$I$2="RRO (Uncapped)"),VLOOKUP(A72,'Misc. Data &amp; Mechanisms'!$A$1483:$H$1574,2,FALSE),AR72)</f>
        <v>0.2064</v>
      </c>
      <c r="AH72" s="203">
        <f t="shared" ref="AH72:AH96" si="45">IF($AG$6="$/day", $AG72*$B72,$AG72)</f>
        <v>6.1920000000000002</v>
      </c>
      <c r="AI72" s="195">
        <f>5%</f>
        <v>0.05</v>
      </c>
      <c r="AJ72" s="341">
        <f>'Misc. Data &amp; Mechanisms'!AH345</f>
        <v>423.260767570045</v>
      </c>
      <c r="AK72" s="196">
        <f>'Misc. Data &amp; Mechanisms'!AP345</f>
        <v>458.51372295518621</v>
      </c>
      <c r="AL72" s="196">
        <f>'Misc. Data &amp; Mechanisms'!K345</f>
        <v>476.9507488479735</v>
      </c>
      <c r="AM72" s="196">
        <f>'Misc. Data &amp; Mechanisms'!L345</f>
        <v>361.96157785661484</v>
      </c>
      <c r="AN72" s="196">
        <f>'Misc. Data &amp; Mechanisms'!M345</f>
        <v>267.87565329847598</v>
      </c>
      <c r="AO72" s="1463">
        <f>'Misc. Data &amp; Mechanisms'!$B$259</f>
        <v>611.34673880086393</v>
      </c>
      <c r="AP72" s="197">
        <f>IFERROR(IF('Personalized Bill Menu'!$B$30="Yes", IF('Personalized Bill Menu'!$B$34="Natural Gas",0,VLOOKUP($A72, 'Personalized Bill Menu'!$H$4:$L$93, 2, FALSE)), 0), 0)</f>
        <v>0</v>
      </c>
      <c r="AQ72" s="1343">
        <f>IFERROR(IF('Personalized Bill Menu'!$C$36="Custom", IF('Personalized Bill Menu'!$B$34="Natural Gas",0,VLOOKUP($A72, 'Personalized Bill Menu'!$H$4:$L$93, 3, FALSE)), 0), 0)</f>
        <v>0</v>
      </c>
      <c r="AR72" s="1344">
        <f>IFERROR(IF('Personalized Bill Menu'!$C$36="Custom", IF('Personalized Bill Menu'!$B$34="Natural Gas",0,VLOOKUP($A72, 'Personalized Bill Menu'!$H$4:$L$93, 4, FALSE)), 0), 0)</f>
        <v>0</v>
      </c>
      <c r="AS72" s="2"/>
      <c r="AT72" s="2"/>
      <c r="AU72" s="2"/>
    </row>
    <row r="73" spans="1:47" x14ac:dyDescent="0.35">
      <c r="A73" s="176">
        <v>42917</v>
      </c>
      <c r="B73" s="177">
        <f t="shared" si="33"/>
        <v>31</v>
      </c>
      <c r="C73" s="1581">
        <f t="shared" si="35"/>
        <v>553.28116548516766</v>
      </c>
      <c r="D73" s="178">
        <f t="shared" si="36"/>
        <v>14.696833149878589</v>
      </c>
      <c r="E73" s="178">
        <f t="shared" si="37"/>
        <v>10.217681155499999</v>
      </c>
      <c r="F73" s="179">
        <f t="shared" si="38"/>
        <v>81.314809741058738</v>
      </c>
      <c r="G73" s="180">
        <f t="shared" si="39"/>
        <v>23.308628939559142</v>
      </c>
      <c r="H73" s="181">
        <f t="shared" si="40"/>
        <v>10.768511323837817</v>
      </c>
      <c r="I73" s="181">
        <f t="shared" si="41"/>
        <v>21.042385869629477</v>
      </c>
      <c r="J73" s="181">
        <f t="shared" si="42"/>
        <v>7.1037881895090038</v>
      </c>
      <c r="K73" s="181">
        <f t="shared" si="43"/>
        <v>8.8209616213300279</v>
      </c>
      <c r="L73" s="181">
        <f t="shared" si="44"/>
        <v>6.3983999999999996</v>
      </c>
      <c r="M73" s="182">
        <f t="shared" si="23"/>
        <v>3.8721337971932734</v>
      </c>
      <c r="N73" s="273">
        <f>IF($I$2="RRO (Capped)",VLOOKUP(A73,'Misc. Data &amp; Mechanisms'!$A$1278:$E$1368,2,FALSE),IF($I$2="RRO (Uncapped)",VLOOKUP(A73,'Misc. Data &amp; Mechanisms'!$G$1278:$K$1368,2,FALSE),AQ73))</f>
        <v>4.2127999999999997</v>
      </c>
      <c r="O73" s="183">
        <f t="shared" si="34"/>
        <v>23.308628939559142</v>
      </c>
      <c r="P73" s="198">
        <v>1.9462999999999999</v>
      </c>
      <c r="Q73" s="183">
        <f t="shared" si="24"/>
        <v>10.768511323837817</v>
      </c>
      <c r="R73" s="198">
        <v>1.0046999999999999</v>
      </c>
      <c r="S73" s="199">
        <v>0.49947000000000003</v>
      </c>
      <c r="T73" s="183">
        <f t="shared" si="25"/>
        <v>5.5588158696294787</v>
      </c>
      <c r="U73" s="194">
        <f t="shared" si="26"/>
        <v>15.48357</v>
      </c>
      <c r="V73" s="126">
        <v>0.1111</v>
      </c>
      <c r="W73" s="123">
        <f t="shared" si="27"/>
        <v>4.514199514323983</v>
      </c>
      <c r="X73" s="123">
        <f t="shared" si="28"/>
        <v>2.5895886751850208</v>
      </c>
      <c r="Y73" s="200">
        <v>0.1129</v>
      </c>
      <c r="Z73" s="201">
        <v>1.4814000000000001</v>
      </c>
      <c r="AA73" s="205"/>
      <c r="AB73" s="386"/>
      <c r="AC73" s="192">
        <f t="shared" si="29"/>
        <v>0.62465443583275426</v>
      </c>
      <c r="AD73" s="192">
        <f t="shared" si="30"/>
        <v>8.1963071854972736</v>
      </c>
      <c r="AE73" s="192">
        <f t="shared" si="31"/>
        <v>0</v>
      </c>
      <c r="AF73" s="203">
        <f t="shared" si="32"/>
        <v>0</v>
      </c>
      <c r="AG73" s="200">
        <f>IF(OR($I$2="RRO (Capped)",$I$2="RRO (Uncapped)"),VLOOKUP(A73,'Misc. Data &amp; Mechanisms'!$A$1483:$H$1574,2,FALSE),AR73)</f>
        <v>0.2064</v>
      </c>
      <c r="AH73" s="203">
        <f t="shared" si="45"/>
        <v>6.3983999999999996</v>
      </c>
      <c r="AI73" s="195">
        <f>5%</f>
        <v>0.05</v>
      </c>
      <c r="AJ73" s="341">
        <f>'Misc. Data &amp; Mechanisms'!AH346</f>
        <v>490.99872754355602</v>
      </c>
      <c r="AK73" s="196">
        <f>'Misc. Data &amp; Mechanisms'!AP346</f>
        <v>518.6829776306779</v>
      </c>
      <c r="AL73" s="196">
        <f>'Misc. Data &amp; Mechanisms'!K346</f>
        <v>553.28116548516766</v>
      </c>
      <c r="AM73" s="196">
        <f>'Misc. Data &amp; Mechanisms'!L346</f>
        <v>419.88931591171985</v>
      </c>
      <c r="AN73" s="196">
        <f>'Misc. Data &amp; Mechanisms'!M346</f>
        <v>310.74603409276358</v>
      </c>
      <c r="AO73" s="1463">
        <f>'Misc. Data &amp; Mechanisms'!$B$259</f>
        <v>611.34673880086393</v>
      </c>
      <c r="AP73" s="197">
        <f>IFERROR(IF('Personalized Bill Menu'!$B$30="Yes", IF('Personalized Bill Menu'!$B$34="Natural Gas",0,VLOOKUP($A73, 'Personalized Bill Menu'!$H$4:$L$93, 2, FALSE)), 0), 0)</f>
        <v>0</v>
      </c>
      <c r="AQ73" s="1343">
        <f>IFERROR(IF('Personalized Bill Menu'!$C$36="Custom", IF('Personalized Bill Menu'!$B$34="Natural Gas",0,VLOOKUP($A73, 'Personalized Bill Menu'!$H$4:$L$93, 3, FALSE)), 0), 0)</f>
        <v>0</v>
      </c>
      <c r="AR73" s="1344">
        <f>IFERROR(IF('Personalized Bill Menu'!$C$36="Custom", IF('Personalized Bill Menu'!$B$34="Natural Gas",0,VLOOKUP($A73, 'Personalized Bill Menu'!$H$4:$L$93, 4, FALSE)), 0), 0)</f>
        <v>0</v>
      </c>
      <c r="AS73" s="2"/>
      <c r="AT73" s="2"/>
      <c r="AU73" s="2"/>
    </row>
    <row r="74" spans="1:47" x14ac:dyDescent="0.35">
      <c r="A74" s="176">
        <v>42948</v>
      </c>
      <c r="B74" s="177">
        <f t="shared" si="33"/>
        <v>31</v>
      </c>
      <c r="C74" s="1581">
        <f t="shared" si="35"/>
        <v>510.2761997497081</v>
      </c>
      <c r="D74" s="178">
        <f t="shared" si="36"/>
        <v>14.948560906612462</v>
      </c>
      <c r="E74" s="178">
        <f t="shared" si="37"/>
        <v>10.0919157465</v>
      </c>
      <c r="F74" s="179">
        <f t="shared" si="38"/>
        <v>76.278948511532576</v>
      </c>
      <c r="G74" s="180">
        <f t="shared" si="39"/>
        <v>20.946837999725521</v>
      </c>
      <c r="H74" s="181">
        <f t="shared" si="40"/>
        <v>9.9315056757285678</v>
      </c>
      <c r="I74" s="181">
        <f t="shared" si="41"/>
        <v>20.610314978885317</v>
      </c>
      <c r="J74" s="181">
        <f t="shared" si="42"/>
        <v>6.6242255230820355</v>
      </c>
      <c r="K74" s="181">
        <f t="shared" si="43"/>
        <v>8.1353334526095971</v>
      </c>
      <c r="L74" s="181">
        <f t="shared" si="44"/>
        <v>6.3983999999999996</v>
      </c>
      <c r="M74" s="182">
        <f t="shared" si="23"/>
        <v>3.6323308815015518</v>
      </c>
      <c r="N74" s="273">
        <f>IF($I$2="RRO (Capped)",VLOOKUP(A74,'Misc. Data &amp; Mechanisms'!$A$1278:$E$1368,2,FALSE),IF($I$2="RRO (Uncapped)",VLOOKUP(A74,'Misc. Data &amp; Mechanisms'!$G$1278:$K$1368,2,FALSE),AQ74))</f>
        <v>4.1050000000000004</v>
      </c>
      <c r="O74" s="183">
        <f t="shared" si="34"/>
        <v>20.946837999725521</v>
      </c>
      <c r="P74" s="198">
        <v>1.9462999999999999</v>
      </c>
      <c r="Q74" s="183">
        <f t="shared" si="24"/>
        <v>9.9315056757285678</v>
      </c>
      <c r="R74" s="198">
        <v>1.0046999999999999</v>
      </c>
      <c r="S74" s="199">
        <v>0.49947000000000003</v>
      </c>
      <c r="T74" s="183">
        <f t="shared" si="25"/>
        <v>5.1267449788853163</v>
      </c>
      <c r="U74" s="194">
        <f t="shared" si="26"/>
        <v>15.48357</v>
      </c>
      <c r="V74" s="126">
        <v>0.1111</v>
      </c>
      <c r="W74" s="123">
        <f t="shared" si="27"/>
        <v>4.2970318213125296</v>
      </c>
      <c r="X74" s="123">
        <f t="shared" si="28"/>
        <v>2.3271937017695055</v>
      </c>
      <c r="Y74" s="200">
        <v>0.1129</v>
      </c>
      <c r="Z74" s="201">
        <v>1.4814000000000001</v>
      </c>
      <c r="AA74" s="202"/>
      <c r="AB74" s="1450"/>
      <c r="AC74" s="192">
        <f t="shared" si="29"/>
        <v>0.57610182951742039</v>
      </c>
      <c r="AD74" s="192">
        <f t="shared" si="30"/>
        <v>7.5592316230921766</v>
      </c>
      <c r="AE74" s="192">
        <f t="shared" si="31"/>
        <v>0</v>
      </c>
      <c r="AF74" s="203">
        <f t="shared" si="32"/>
        <v>0</v>
      </c>
      <c r="AG74" s="200">
        <f>IF(OR($I$2="RRO (Capped)",$I$2="RRO (Uncapped)"),VLOOKUP(A74,'Misc. Data &amp; Mechanisms'!$A$1483:$H$1574,2,FALSE),AR74)</f>
        <v>0.2064</v>
      </c>
      <c r="AH74" s="203">
        <f t="shared" si="45"/>
        <v>6.3983999999999996</v>
      </c>
      <c r="AI74" s="195">
        <f>5%</f>
        <v>0.05</v>
      </c>
      <c r="AJ74" s="341">
        <f>'Misc. Data &amp; Mechanisms'!AH347</f>
        <v>452.83479793346532</v>
      </c>
      <c r="AK74" s="196">
        <f>'Misc. Data &amp; Mechanisms'!AP347</f>
        <v>488.22611481879136</v>
      </c>
      <c r="AL74" s="196">
        <f>'Misc. Data &amp; Mechanisms'!K347</f>
        <v>510.2761997497081</v>
      </c>
      <c r="AM74" s="196">
        <f>'Misc. Data &amp; Mechanisms'!L347</f>
        <v>387.25251789667311</v>
      </c>
      <c r="AN74" s="196">
        <f>'Misc. Data &amp; Mechanisms'!M347</f>
        <v>286.59263184045523</v>
      </c>
      <c r="AO74" s="1463">
        <f>'Misc. Data &amp; Mechanisms'!$B$259</f>
        <v>611.34673880086393</v>
      </c>
      <c r="AP74" s="197">
        <f>IFERROR(IF('Personalized Bill Menu'!$B$30="Yes", IF('Personalized Bill Menu'!$B$34="Natural Gas",0,VLOOKUP($A74, 'Personalized Bill Menu'!$H$4:$L$93, 2, FALSE)), 0), 0)</f>
        <v>0</v>
      </c>
      <c r="AQ74" s="1343">
        <f>IFERROR(IF('Personalized Bill Menu'!$C$36="Custom", IF('Personalized Bill Menu'!$B$34="Natural Gas",0,VLOOKUP($A74, 'Personalized Bill Menu'!$H$4:$L$93, 3, FALSE)), 0), 0)</f>
        <v>0</v>
      </c>
      <c r="AR74" s="1344">
        <f>IFERROR(IF('Personalized Bill Menu'!$C$36="Custom", IF('Personalized Bill Menu'!$B$34="Natural Gas",0,VLOOKUP($A74, 'Personalized Bill Menu'!$H$4:$L$93, 4, FALSE)), 0), 0)</f>
        <v>0</v>
      </c>
      <c r="AS74" s="2"/>
      <c r="AT74" s="2"/>
      <c r="AU74" s="2"/>
    </row>
    <row r="75" spans="1:47" x14ac:dyDescent="0.35">
      <c r="A75" s="176">
        <v>42979</v>
      </c>
      <c r="B75" s="177">
        <f t="shared" si="33"/>
        <v>30</v>
      </c>
      <c r="C75" s="1581">
        <f t="shared" si="35"/>
        <v>509.90285276586809</v>
      </c>
      <c r="D75" s="178">
        <f t="shared" si="36"/>
        <v>14.399840177657293</v>
      </c>
      <c r="E75" s="178">
        <f t="shared" si="37"/>
        <v>9.6964197015</v>
      </c>
      <c r="F75" s="179">
        <f t="shared" si="38"/>
        <v>73.42519585960018</v>
      </c>
      <c r="G75" s="180">
        <f t="shared" si="39"/>
        <v>19.202941435162593</v>
      </c>
      <c r="H75" s="181">
        <f t="shared" si="40"/>
        <v>9.9242392233820897</v>
      </c>
      <c r="I75" s="181">
        <f t="shared" si="41"/>
        <v>20.107093961738677</v>
      </c>
      <c r="J75" s="181">
        <f t="shared" si="42"/>
        <v>6.373102159594378</v>
      </c>
      <c r="K75" s="181">
        <f t="shared" si="43"/>
        <v>8.1293811816462345</v>
      </c>
      <c r="L75" s="181">
        <f t="shared" si="44"/>
        <v>6.1920000000000002</v>
      </c>
      <c r="M75" s="182">
        <f t="shared" si="23"/>
        <v>3.4964378980761994</v>
      </c>
      <c r="N75" s="273">
        <f>IF($I$2="RRO (Capped)",VLOOKUP(A75,'Misc. Data &amp; Mechanisms'!$A$1278:$E$1368,2,FALSE),IF($I$2="RRO (Uncapped)",VLOOKUP(A75,'Misc. Data &amp; Mechanisms'!$G$1278:$K$1368,2,FALSE),AQ75))</f>
        <v>3.766</v>
      </c>
      <c r="O75" s="183">
        <f t="shared" si="34"/>
        <v>19.202941435162593</v>
      </c>
      <c r="P75" s="198">
        <v>1.9462999999999999</v>
      </c>
      <c r="Q75" s="183">
        <f t="shared" si="24"/>
        <v>9.9242392233820897</v>
      </c>
      <c r="R75" s="198">
        <v>1.0046999999999999</v>
      </c>
      <c r="S75" s="199">
        <v>0.49947000000000003</v>
      </c>
      <c r="T75" s="183">
        <f t="shared" si="25"/>
        <v>5.1229939617386764</v>
      </c>
      <c r="U75" s="194">
        <f t="shared" si="26"/>
        <v>14.984100000000002</v>
      </c>
      <c r="V75" s="126">
        <v>0.1111</v>
      </c>
      <c r="W75" s="123">
        <f t="shared" si="27"/>
        <v>4.2396553661478134</v>
      </c>
      <c r="X75" s="123">
        <f t="shared" si="28"/>
        <v>2.1334467934465642</v>
      </c>
      <c r="Y75" s="200">
        <v>0.1129</v>
      </c>
      <c r="Z75" s="201">
        <v>1.4814000000000001</v>
      </c>
      <c r="AA75" s="202"/>
      <c r="AB75" s="1450"/>
      <c r="AC75" s="192">
        <f t="shared" si="29"/>
        <v>0.57568032077266507</v>
      </c>
      <c r="AD75" s="192">
        <f t="shared" si="30"/>
        <v>7.5537008608735698</v>
      </c>
      <c r="AE75" s="192">
        <f t="shared" si="31"/>
        <v>0</v>
      </c>
      <c r="AF75" s="203">
        <f t="shared" si="32"/>
        <v>0</v>
      </c>
      <c r="AG75" s="200">
        <f>IF(OR($I$2="RRO (Capped)",$I$2="RRO (Uncapped)"),VLOOKUP(A75,'Misc. Data &amp; Mechanisms'!$A$1483:$H$1574,2,FALSE),AR75)</f>
        <v>0.2064</v>
      </c>
      <c r="AH75" s="203">
        <f t="shared" si="45"/>
        <v>6.1920000000000002</v>
      </c>
      <c r="AI75" s="195">
        <f>5%</f>
        <v>0.05</v>
      </c>
      <c r="AJ75" s="341">
        <f>'Misc. Data &amp; Mechanisms'!AH348</f>
        <v>452.50347833425769</v>
      </c>
      <c r="AK75" s="196">
        <f>'Misc. Data &amp; Mechanisms'!AP348</f>
        <v>469.17523379605063</v>
      </c>
      <c r="AL75" s="196">
        <f>'Misc. Data &amp; Mechanisms'!K348</f>
        <v>509.90285276586809</v>
      </c>
      <c r="AM75" s="196">
        <f>'Misc. Data &amp; Mechanisms'!L348</f>
        <v>386.96918200992764</v>
      </c>
      <c r="AN75" s="196">
        <f>'Misc. Data &amp; Mechanisms'!M348</f>
        <v>286.38294443049784</v>
      </c>
      <c r="AO75" s="1463">
        <f>'Misc. Data &amp; Mechanisms'!$B$259</f>
        <v>611.34673880086393</v>
      </c>
      <c r="AP75" s="197">
        <f>IFERROR(IF('Personalized Bill Menu'!$B$30="Yes", IF('Personalized Bill Menu'!$B$34="Natural Gas",0,VLOOKUP($A75, 'Personalized Bill Menu'!$H$4:$L$93, 2, FALSE)), 0), 0)</f>
        <v>0</v>
      </c>
      <c r="AQ75" s="1343">
        <f>IFERROR(IF('Personalized Bill Menu'!$C$36="Custom", IF('Personalized Bill Menu'!$B$34="Natural Gas",0,VLOOKUP($A75, 'Personalized Bill Menu'!$H$4:$L$93, 3, FALSE)), 0), 0)</f>
        <v>0</v>
      </c>
      <c r="AR75" s="1344">
        <f>IFERROR(IF('Personalized Bill Menu'!$C$36="Custom", IF('Personalized Bill Menu'!$B$34="Natural Gas",0,VLOOKUP($A75, 'Personalized Bill Menu'!$H$4:$L$93, 4, FALSE)), 0), 0)</f>
        <v>0</v>
      </c>
      <c r="AS75" s="2"/>
      <c r="AT75" s="2"/>
      <c r="AU75" s="2"/>
    </row>
    <row r="76" spans="1:47" x14ac:dyDescent="0.35">
      <c r="A76" s="176">
        <v>43009</v>
      </c>
      <c r="B76" s="177">
        <f t="shared" si="33"/>
        <v>31</v>
      </c>
      <c r="C76" s="1581">
        <f t="shared" si="35"/>
        <v>551.15949519938317</v>
      </c>
      <c r="D76" s="178">
        <f t="shared" si="36"/>
        <v>14.26736329814681</v>
      </c>
      <c r="E76" s="178">
        <f t="shared" si="37"/>
        <v>9.770968955999999</v>
      </c>
      <c r="F76" s="179">
        <f t="shared" si="38"/>
        <v>78.635927532328026</v>
      </c>
      <c r="G76" s="180">
        <f t="shared" si="39"/>
        <v>21.23066375508024</v>
      </c>
      <c r="H76" s="181">
        <f t="shared" si="40"/>
        <v>10.727217255065593</v>
      </c>
      <c r="I76" s="181">
        <f t="shared" si="41"/>
        <v>21.0210694482682</v>
      </c>
      <c r="J76" s="181">
        <f t="shared" si="42"/>
        <v>6.8486795126593938</v>
      </c>
      <c r="K76" s="181">
        <f t="shared" si="43"/>
        <v>8.6653295835247022</v>
      </c>
      <c r="L76" s="181">
        <f t="shared" si="44"/>
        <v>6.3983999999999996</v>
      </c>
      <c r="M76" s="182">
        <f t="shared" si="23"/>
        <v>3.7445679777299063</v>
      </c>
      <c r="N76" s="273">
        <f>IF($I$2="RRO (Capped)",VLOOKUP(A76,'Misc. Data &amp; Mechanisms'!$A$1278:$E$1368,2,FALSE),IF($I$2="RRO (Uncapped)",VLOOKUP(A76,'Misc. Data &amp; Mechanisms'!$G$1278:$K$1368,2,FALSE),AQ76))</f>
        <v>3.8519999999999999</v>
      </c>
      <c r="O76" s="183">
        <f t="shared" si="34"/>
        <v>21.23066375508024</v>
      </c>
      <c r="P76" s="198">
        <v>1.9462999999999999</v>
      </c>
      <c r="Q76" s="183">
        <f t="shared" si="24"/>
        <v>10.727217255065593</v>
      </c>
      <c r="R76" s="198">
        <v>1.0046999999999999</v>
      </c>
      <c r="S76" s="199">
        <v>0.49947000000000003</v>
      </c>
      <c r="T76" s="183">
        <f t="shared" si="25"/>
        <v>5.5374994482682016</v>
      </c>
      <c r="U76" s="194">
        <f t="shared" si="26"/>
        <v>15.48357</v>
      </c>
      <c r="V76" s="126">
        <v>0.1111</v>
      </c>
      <c r="W76" s="123">
        <f t="shared" si="27"/>
        <v>4.489952769469979</v>
      </c>
      <c r="X76" s="123">
        <f t="shared" si="28"/>
        <v>2.3587267431894148</v>
      </c>
      <c r="Y76" s="200">
        <v>0.1129</v>
      </c>
      <c r="Z76" s="204">
        <v>1.4593</v>
      </c>
      <c r="AA76" s="205"/>
      <c r="AB76" s="386"/>
      <c r="AC76" s="192">
        <f t="shared" si="29"/>
        <v>0.62225907008010362</v>
      </c>
      <c r="AD76" s="192">
        <f t="shared" si="30"/>
        <v>8.043070513444599</v>
      </c>
      <c r="AE76" s="192">
        <f t="shared" si="31"/>
        <v>0</v>
      </c>
      <c r="AF76" s="203">
        <f t="shared" si="32"/>
        <v>0</v>
      </c>
      <c r="AG76" s="200">
        <f>IF(OR($I$2="RRO (Capped)",$I$2="RRO (Uncapped)"),VLOOKUP(A76,'Misc. Data &amp; Mechanisms'!$A$1483:$H$1574,2,FALSE),AR76)</f>
        <v>0.2064</v>
      </c>
      <c r="AH76" s="203">
        <f t="shared" si="45"/>
        <v>6.3983999999999996</v>
      </c>
      <c r="AI76" s="195">
        <f>5%</f>
        <v>0.05</v>
      </c>
      <c r="AJ76" s="341">
        <f>'Misc. Data &amp; Mechanisms'!AH349</f>
        <v>489.11589206030999</v>
      </c>
      <c r="AK76" s="196">
        <f>'Misc. Data &amp; Mechanisms'!AP349</f>
        <v>518.32728951174261</v>
      </c>
      <c r="AL76" s="196">
        <f>'Misc. Data &amp; Mechanisms'!K349</f>
        <v>551.15949519938317</v>
      </c>
      <c r="AM76" s="196">
        <f>'Misc. Data &amp; Mechanisms'!L349</f>
        <v>418.27916407489181</v>
      </c>
      <c r="AN76" s="196">
        <f>'Misc. Data &amp; Mechanisms'!M349</f>
        <v>309.55441459062155</v>
      </c>
      <c r="AO76" s="1463">
        <f>'Misc. Data &amp; Mechanisms'!$B$259</f>
        <v>611.34673880086393</v>
      </c>
      <c r="AP76" s="197">
        <f>IFERROR(IF('Personalized Bill Menu'!$B$30="Yes", IF('Personalized Bill Menu'!$B$34="Natural Gas",0,VLOOKUP($A76, 'Personalized Bill Menu'!$H$4:$L$93, 2, FALSE)), 0), 0)</f>
        <v>0</v>
      </c>
      <c r="AQ76" s="1343">
        <f>IFERROR(IF('Personalized Bill Menu'!$C$36="Custom", IF('Personalized Bill Menu'!$B$34="Natural Gas",0,VLOOKUP($A76, 'Personalized Bill Menu'!$H$4:$L$93, 3, FALSE)), 0), 0)</f>
        <v>0</v>
      </c>
      <c r="AR76" s="1344">
        <f>IFERROR(IF('Personalized Bill Menu'!$C$36="Custom", IF('Personalized Bill Menu'!$B$34="Natural Gas",0,VLOOKUP($A76, 'Personalized Bill Menu'!$H$4:$L$93, 4, FALSE)), 0), 0)</f>
        <v>0</v>
      </c>
      <c r="AS76" s="2"/>
      <c r="AT76" s="2"/>
      <c r="AU76" s="2"/>
    </row>
    <row r="77" spans="1:47" x14ac:dyDescent="0.35">
      <c r="A77" s="176">
        <v>43040</v>
      </c>
      <c r="B77" s="177">
        <f t="shared" si="33"/>
        <v>30</v>
      </c>
      <c r="C77" s="1581">
        <f t="shared" si="35"/>
        <v>603.38881925349096</v>
      </c>
      <c r="D77" s="178">
        <f t="shared" si="36"/>
        <v>13.513501261026008</v>
      </c>
      <c r="E77" s="178">
        <f t="shared" si="37"/>
        <v>9.5388046109999998</v>
      </c>
      <c r="F77" s="179">
        <f t="shared" si="38"/>
        <v>81.538955698710438</v>
      </c>
      <c r="G77" s="180">
        <f t="shared" si="39"/>
        <v>22.041793567330025</v>
      </c>
      <c r="H77" s="181">
        <f t="shared" si="40"/>
        <v>11.743756589130694</v>
      </c>
      <c r="I77" s="181">
        <f t="shared" si="41"/>
        <v>21.046347467039823</v>
      </c>
      <c r="J77" s="181">
        <f t="shared" si="42"/>
        <v>7.1457716446822168</v>
      </c>
      <c r="K77" s="181">
        <f t="shared" si="43"/>
        <v>9.4864790163033863</v>
      </c>
      <c r="L77" s="181">
        <f t="shared" si="44"/>
        <v>6.1920000000000002</v>
      </c>
      <c r="M77" s="182">
        <f t="shared" si="23"/>
        <v>3.882807414224307</v>
      </c>
      <c r="N77" s="273">
        <f>IF($I$2="RRO (Capped)",VLOOKUP(A77,'Misc. Data &amp; Mechanisms'!$A$1278:$E$1368,2,FALSE),IF($I$2="RRO (Uncapped)",VLOOKUP(A77,'Misc. Data &amp; Mechanisms'!$G$1278:$K$1368,2,FALSE),AQ77))</f>
        <v>3.653</v>
      </c>
      <c r="O77" s="183">
        <f t="shared" si="34"/>
        <v>22.041793567330025</v>
      </c>
      <c r="P77" s="198">
        <v>1.9462999999999999</v>
      </c>
      <c r="Q77" s="183">
        <f t="shared" si="24"/>
        <v>11.743756589130694</v>
      </c>
      <c r="R77" s="198">
        <v>1.0046999999999999</v>
      </c>
      <c r="S77" s="199">
        <v>0.49947000000000003</v>
      </c>
      <c r="T77" s="183">
        <f t="shared" si="25"/>
        <v>6.062247467039823</v>
      </c>
      <c r="U77" s="194">
        <f t="shared" si="26"/>
        <v>14.984100000000002</v>
      </c>
      <c r="V77" s="126">
        <v>0.1111</v>
      </c>
      <c r="W77" s="123">
        <f t="shared" si="27"/>
        <v>4.696928379351851</v>
      </c>
      <c r="X77" s="123">
        <f t="shared" si="28"/>
        <v>2.4488432653303658</v>
      </c>
      <c r="Y77" s="200">
        <v>0.1129</v>
      </c>
      <c r="Z77" s="204">
        <v>1.4593</v>
      </c>
      <c r="AA77" s="205"/>
      <c r="AB77" s="386"/>
      <c r="AC77" s="192">
        <f t="shared" si="29"/>
        <v>0.68122597693719134</v>
      </c>
      <c r="AD77" s="192">
        <f t="shared" si="30"/>
        <v>8.8052530393661943</v>
      </c>
      <c r="AE77" s="192">
        <f t="shared" si="31"/>
        <v>0</v>
      </c>
      <c r="AF77" s="203">
        <f t="shared" si="32"/>
        <v>0</v>
      </c>
      <c r="AG77" s="200">
        <f>IF(OR($I$2="RRO (Capped)",$I$2="RRO (Uncapped)"),VLOOKUP(A77,'Misc. Data &amp; Mechanisms'!$A$1483:$H$1574,2,FALSE),AR77)</f>
        <v>0.2064</v>
      </c>
      <c r="AH77" s="203">
        <f t="shared" si="45"/>
        <v>6.1920000000000002</v>
      </c>
      <c r="AI77" s="195">
        <f>5%</f>
        <v>0.05</v>
      </c>
      <c r="AJ77" s="341">
        <f>'Misc. Data &amp; Mechanisms'!AH350</f>
        <v>535.46580102303335</v>
      </c>
      <c r="AK77" s="196">
        <f>'Misc. Data &amp; Mechanisms'!AP350</f>
        <v>585.56570303254728</v>
      </c>
      <c r="AL77" s="196">
        <f>'Misc. Data &amp; Mechanisms'!K350</f>
        <v>603.38881925349096</v>
      </c>
      <c r="AM77" s="196">
        <f>'Misc. Data &amp; Mechanisms'!L350</f>
        <v>457.91639829807411</v>
      </c>
      <c r="AN77" s="196">
        <f>'Misc. Data &amp; Mechanisms'!M350</f>
        <v>338.88860546069714</v>
      </c>
      <c r="AO77" s="1463">
        <f>'Misc. Data &amp; Mechanisms'!$B$259</f>
        <v>611.34673880086393</v>
      </c>
      <c r="AP77" s="197">
        <f>IFERROR(IF('Personalized Bill Menu'!$B$30="Yes", IF('Personalized Bill Menu'!$B$34="Natural Gas",0,VLOOKUP($A77, 'Personalized Bill Menu'!$H$4:$L$93, 2, FALSE)), 0), 0)</f>
        <v>0</v>
      </c>
      <c r="AQ77" s="1343">
        <f>IFERROR(IF('Personalized Bill Menu'!$C$36="Custom", IF('Personalized Bill Menu'!$B$34="Natural Gas",0,VLOOKUP($A77, 'Personalized Bill Menu'!$H$4:$L$93, 3, FALSE)), 0), 0)</f>
        <v>0</v>
      </c>
      <c r="AR77" s="1344">
        <f>IFERROR(IF('Personalized Bill Menu'!$C$36="Custom", IF('Personalized Bill Menu'!$B$34="Natural Gas",0,VLOOKUP($A77, 'Personalized Bill Menu'!$H$4:$L$93, 4, FALSE)), 0), 0)</f>
        <v>0</v>
      </c>
      <c r="AS77" s="2"/>
      <c r="AT77" s="2"/>
      <c r="AU77" s="2"/>
    </row>
    <row r="78" spans="1:47" x14ac:dyDescent="0.35">
      <c r="A78" s="229">
        <v>43070</v>
      </c>
      <c r="B78" s="230">
        <f t="shared" si="33"/>
        <v>31</v>
      </c>
      <c r="C78" s="231">
        <f t="shared" si="35"/>
        <v>678.71552709613513</v>
      </c>
      <c r="D78" s="208">
        <f t="shared" si="36"/>
        <v>13.590320953494368</v>
      </c>
      <c r="E78" s="208">
        <f t="shared" si="37"/>
        <v>9.9389672759999996</v>
      </c>
      <c r="F78" s="232">
        <f t="shared" si="38"/>
        <v>92.239618493565786</v>
      </c>
      <c r="G78" s="233">
        <f t="shared" si="39"/>
        <v>27.121472462761563</v>
      </c>
      <c r="H78" s="208">
        <f t="shared" si="40"/>
        <v>13.209840303872076</v>
      </c>
      <c r="I78" s="208">
        <f t="shared" si="41"/>
        <v>22.30262490073487</v>
      </c>
      <c r="J78" s="1149">
        <f t="shared" si="42"/>
        <v>8.1441525237839461</v>
      </c>
      <c r="K78" s="208">
        <f t="shared" si="43"/>
        <v>10.670765517005437</v>
      </c>
      <c r="L78" s="208">
        <f t="shared" si="44"/>
        <v>6.3983999999999996</v>
      </c>
      <c r="M78" s="234">
        <f t="shared" si="23"/>
        <v>4.3923627854078946</v>
      </c>
      <c r="N78" s="1243">
        <f>IF($I$2="RRO (Capped)",VLOOKUP(A78,'Misc. Data &amp; Mechanisms'!$A$1278:$E$1368,2,FALSE),IF($I$2="RRO (Uncapped)",VLOOKUP(A78,'Misc. Data &amp; Mechanisms'!$G$1278:$K$1368,2,FALSE),AQ78))</f>
        <v>3.996</v>
      </c>
      <c r="O78" s="235">
        <f t="shared" si="34"/>
        <v>27.121472462761563</v>
      </c>
      <c r="P78" s="236">
        <v>1.9462999999999999</v>
      </c>
      <c r="Q78" s="235">
        <f t="shared" si="24"/>
        <v>13.209840303872076</v>
      </c>
      <c r="R78" s="236">
        <v>1.0046999999999999</v>
      </c>
      <c r="S78" s="1235">
        <v>0.49947000000000003</v>
      </c>
      <c r="T78" s="235">
        <f t="shared" si="25"/>
        <v>6.8190549007348684</v>
      </c>
      <c r="U78" s="237">
        <f t="shared" si="26"/>
        <v>15.48357</v>
      </c>
      <c r="V78" s="238">
        <v>0.1111</v>
      </c>
      <c r="W78" s="235">
        <f t="shared" si="27"/>
        <v>5.1309569331711362</v>
      </c>
      <c r="X78" s="235">
        <f t="shared" si="28"/>
        <v>3.0131955906128098</v>
      </c>
      <c r="Y78" s="239">
        <v>0.1129</v>
      </c>
      <c r="Z78" s="1236">
        <v>1.4593</v>
      </c>
      <c r="AA78" s="246"/>
      <c r="AB78" s="399"/>
      <c r="AC78" s="240">
        <f t="shared" si="29"/>
        <v>0.7662698300915366</v>
      </c>
      <c r="AD78" s="240">
        <f t="shared" si="30"/>
        <v>9.9044956869139007</v>
      </c>
      <c r="AE78" s="240">
        <f t="shared" si="31"/>
        <v>0</v>
      </c>
      <c r="AF78" s="241">
        <f t="shared" si="32"/>
        <v>0</v>
      </c>
      <c r="AG78" s="239">
        <f>IF(OR($I$2="RRO (Capped)",$I$2="RRO (Uncapped)"),VLOOKUP(A78,'Misc. Data &amp; Mechanisms'!$A$1483:$H$1574,2,FALSE),AR78)</f>
        <v>0.2064</v>
      </c>
      <c r="AH78" s="241">
        <f t="shared" si="45"/>
        <v>6.3983999999999996</v>
      </c>
      <c r="AI78" s="242">
        <f>5%</f>
        <v>0.05</v>
      </c>
      <c r="AJ78" s="352">
        <f>'Misc. Data &amp; Mechanisms'!AH351</f>
        <v>602.31303893389077</v>
      </c>
      <c r="AK78" s="1089">
        <f>'Misc. Data &amp; Mechanisms'!AP351</f>
        <v>653.78831033469964</v>
      </c>
      <c r="AL78" s="1089">
        <f>'Misc. Data &amp; Mechanisms'!K351</f>
        <v>678.71552709613513</v>
      </c>
      <c r="AM78" s="1089">
        <f>'Misc. Data &amp; Mechanisms'!L351</f>
        <v>515.08241405824322</v>
      </c>
      <c r="AN78" s="1089">
        <f>'Misc. Data &amp; Mechanisms'!M351</f>
        <v>381.19526107012877</v>
      </c>
      <c r="AO78" s="1464">
        <f>'Misc. Data &amp; Mechanisms'!$B$259</f>
        <v>611.34673880086393</v>
      </c>
      <c r="AP78" s="243">
        <f>IFERROR(IF('Personalized Bill Menu'!$B$30="Yes", IF('Personalized Bill Menu'!$B$34="Natural Gas",0,VLOOKUP($A78, 'Personalized Bill Menu'!$H$4:$L$93, 2, FALSE)), 0), 0)</f>
        <v>0</v>
      </c>
      <c r="AQ78" s="1345">
        <f>IFERROR(IF('Personalized Bill Menu'!$C$36="Custom", IF('Personalized Bill Menu'!$B$34="Natural Gas",0,VLOOKUP($A78, 'Personalized Bill Menu'!$H$4:$L$93, 3, FALSE)), 0), 0)</f>
        <v>0</v>
      </c>
      <c r="AR78" s="1346">
        <f>IFERROR(IF('Personalized Bill Menu'!$C$36="Custom", IF('Personalized Bill Menu'!$B$34="Natural Gas",0,VLOOKUP($A78, 'Personalized Bill Menu'!$H$4:$L$93, 4, FALSE)), 0), 0)</f>
        <v>0</v>
      </c>
      <c r="AS78" s="2"/>
      <c r="AT78" s="2"/>
      <c r="AU78" s="2"/>
    </row>
    <row r="79" spans="1:47" s="108" customFormat="1" x14ac:dyDescent="0.35">
      <c r="A79" s="210">
        <v>43101</v>
      </c>
      <c r="B79" s="211">
        <f t="shared" si="33"/>
        <v>31</v>
      </c>
      <c r="C79" s="212">
        <f t="shared" si="35"/>
        <v>635.97821266527023</v>
      </c>
      <c r="D79" s="215">
        <f t="shared" si="36"/>
        <v>15.259591928384371</v>
      </c>
      <c r="E79" s="215">
        <f>(1+$AI79)*(((1+$V79)*($N79+$P79+$R79+$Y79+$Z79))+((1+$V79)*($AA79*$R79)))</f>
        <v>11.362869703499999</v>
      </c>
      <c r="F79" s="213">
        <f t="shared" si="38"/>
        <v>97.04768000615276</v>
      </c>
      <c r="G79" s="214">
        <f t="shared" si="39"/>
        <v>32.511206231448611</v>
      </c>
      <c r="H79" s="215">
        <f t="shared" si="40"/>
        <v>12.378043953104154</v>
      </c>
      <c r="I79" s="215">
        <f t="shared" si="41"/>
        <v>21.873243102647969</v>
      </c>
      <c r="J79" s="215">
        <f t="shared" si="42"/>
        <v>8.6020219316623816</v>
      </c>
      <c r="K79" s="215">
        <f t="shared" si="43"/>
        <v>10.663446691758585</v>
      </c>
      <c r="L79" s="215">
        <f t="shared" si="44"/>
        <v>6.3983999999999996</v>
      </c>
      <c r="M79" s="216">
        <f>SUM($AI79)*SUM($G79:$L79)</f>
        <v>4.621318095531084</v>
      </c>
      <c r="N79" s="1244">
        <f>IF($I$2="RRO (Capped)",VLOOKUP(A79,'Misc. Data &amp; Mechanisms'!$A$1278:$E$1368,2,FALSE),IF($I$2="RRO (Uncapped)",VLOOKUP(A79,'Misc. Data &amp; Mechanisms'!$G$1278:$K$1368,2,FALSE),AQ79))</f>
        <v>5.1120000000000001</v>
      </c>
      <c r="O79" s="217">
        <f t="shared" si="34"/>
        <v>32.511206231448611</v>
      </c>
      <c r="P79" s="218">
        <v>1.9462999999999999</v>
      </c>
      <c r="Q79" s="217">
        <f t="shared" si="24"/>
        <v>12.378043953104154</v>
      </c>
      <c r="R79" s="218">
        <v>1.0046999999999999</v>
      </c>
      <c r="S79" s="1237">
        <v>0.49947000000000003</v>
      </c>
      <c r="T79" s="217">
        <f t="shared" si="25"/>
        <v>6.3896731026479694</v>
      </c>
      <c r="U79" s="219">
        <f t="shared" si="26"/>
        <v>15.48357</v>
      </c>
      <c r="V79" s="220">
        <v>0.1111</v>
      </c>
      <c r="W79" s="217">
        <f>$V79*($H79+$I79+$K79)</f>
        <v>4.9900269193484403</v>
      </c>
      <c r="X79" s="217">
        <f>$V79*$G79</f>
        <v>3.6119950123139408</v>
      </c>
      <c r="Y79" s="221">
        <v>0.31819999999999998</v>
      </c>
      <c r="Z79" s="1238">
        <v>1.3585</v>
      </c>
      <c r="AA79" s="245"/>
      <c r="AB79" s="1451"/>
      <c r="AC79" s="223">
        <f t="shared" si="29"/>
        <v>2.0236826727008896</v>
      </c>
      <c r="AD79" s="223">
        <f t="shared" si="30"/>
        <v>8.6397640190576954</v>
      </c>
      <c r="AE79" s="223">
        <f t="shared" si="31"/>
        <v>0</v>
      </c>
      <c r="AF79" s="224">
        <f t="shared" si="32"/>
        <v>0</v>
      </c>
      <c r="AG79" s="200">
        <f>IF(OR($I$2="RRO (Capped)",$I$2="RRO (Uncapped)"),VLOOKUP(A79,'Misc. Data &amp; Mechanisms'!$A$1483:$H$1574,2,FALSE),AR79)</f>
        <v>0.2064</v>
      </c>
      <c r="AH79" s="224">
        <f t="shared" si="45"/>
        <v>6.3983999999999996</v>
      </c>
      <c r="AI79" s="225">
        <f>5%</f>
        <v>0.05</v>
      </c>
      <c r="AJ79" s="359">
        <f>'Misc. Data &amp; Mechanisms'!AH352</f>
        <v>564.38663132559486</v>
      </c>
      <c r="AK79" s="1239">
        <f>'Misc. Data &amp; Mechanisms'!AP352</f>
        <v>649.0072953171458</v>
      </c>
      <c r="AL79" s="1239">
        <f>'Misc. Data &amp; Mechanisms'!K352</f>
        <v>635.97821266527023</v>
      </c>
      <c r="AM79" s="1239">
        <f>'Misc. Data &amp; Mechanisms'!L352</f>
        <v>482.64873866908709</v>
      </c>
      <c r="AN79" s="1239">
        <f>'Misc. Data &amp; Mechanisms'!M352</f>
        <v>357.19218307718614</v>
      </c>
      <c r="AO79" s="1465">
        <f>'Misc. Data &amp; Mechanisms'!$B$259</f>
        <v>611.34673880086393</v>
      </c>
      <c r="AP79" s="197">
        <f>IFERROR(IF('Personalized Bill Menu'!$B$30="Yes", IF('Personalized Bill Menu'!$B$34="Natural Gas",0,VLOOKUP($A79, 'Personalized Bill Menu'!$H$4:$L$93, 2, FALSE)), 0), 0)</f>
        <v>0</v>
      </c>
      <c r="AQ79" s="1343">
        <f>IFERROR(IF('Personalized Bill Menu'!$C$36="Custom", IF('Personalized Bill Menu'!$B$34="Natural Gas",0,VLOOKUP($A79, 'Personalized Bill Menu'!$H$4:$L$93, 3, FALSE)), 0), 0)</f>
        <v>0</v>
      </c>
      <c r="AR79" s="1344">
        <f>IFERROR(IF('Personalized Bill Menu'!$C$36="Custom", IF('Personalized Bill Menu'!$B$34="Natural Gas",0,VLOOKUP($A79, 'Personalized Bill Menu'!$H$4:$L$93, 4, FALSE)), 0), 0)</f>
        <v>0</v>
      </c>
    </row>
    <row r="80" spans="1:47" s="108" customFormat="1" x14ac:dyDescent="0.35">
      <c r="A80" s="176">
        <v>43132</v>
      </c>
      <c r="B80" s="207">
        <f t="shared" si="33"/>
        <v>28</v>
      </c>
      <c r="C80" s="226">
        <f t="shared" si="35"/>
        <v>594.37508025101431</v>
      </c>
      <c r="D80" s="181">
        <f t="shared" si="36"/>
        <v>15.211677193579604</v>
      </c>
      <c r="E80" s="178">
        <f t="shared" si="37"/>
        <v>11.4457022085</v>
      </c>
      <c r="F80" s="179">
        <f t="shared" si="38"/>
        <v>90.414418526864011</v>
      </c>
      <c r="G80" s="180">
        <f t="shared" si="39"/>
        <v>30.806460409410072</v>
      </c>
      <c r="H80" s="181">
        <f t="shared" si="40"/>
        <v>11.56832218692549</v>
      </c>
      <c r="I80" s="181">
        <f t="shared" si="41"/>
        <v>19.956846431281939</v>
      </c>
      <c r="J80" s="181">
        <f t="shared" si="42"/>
        <v>8.0322540273984941</v>
      </c>
      <c r="K80" s="181">
        <f t="shared" si="43"/>
        <v>9.9658869705687572</v>
      </c>
      <c r="L80" s="181">
        <f t="shared" si="44"/>
        <v>5.7792000000000003</v>
      </c>
      <c r="M80" s="182">
        <f t="shared" si="23"/>
        <v>4.3054485012792387</v>
      </c>
      <c r="N80" s="273">
        <f>IF($I$2="RRO (Capped)",VLOOKUP(A80,'Misc. Data &amp; Mechanisms'!$A$1278:$E$1368,2,FALSE),IF($I$2="RRO (Uncapped)",VLOOKUP(A80,'Misc. Data &amp; Mechanisms'!$G$1278:$K$1368,2,FALSE),AQ80))</f>
        <v>5.1829999999999998</v>
      </c>
      <c r="O80" s="183">
        <f t="shared" si="34"/>
        <v>30.806460409410072</v>
      </c>
      <c r="P80" s="244">
        <v>1.9462999999999999</v>
      </c>
      <c r="Q80" s="183">
        <f t="shared" si="24"/>
        <v>11.56832218692549</v>
      </c>
      <c r="R80" s="198">
        <v>1.0046999999999999</v>
      </c>
      <c r="S80" s="227">
        <v>0.49947000000000003</v>
      </c>
      <c r="T80" s="183">
        <f t="shared" si="25"/>
        <v>5.97168643128194</v>
      </c>
      <c r="U80" s="194">
        <f t="shared" si="26"/>
        <v>13.98516</v>
      </c>
      <c r="V80" s="209">
        <v>0.1111</v>
      </c>
      <c r="W80" s="183">
        <f t="shared" si="27"/>
        <v>4.6096562759130348</v>
      </c>
      <c r="X80" s="183">
        <f t="shared" si="28"/>
        <v>3.4225977514854593</v>
      </c>
      <c r="Y80" s="1240">
        <v>0.31819999999999998</v>
      </c>
      <c r="Z80" s="1174">
        <v>1.3585</v>
      </c>
      <c r="AA80" s="126"/>
      <c r="AB80" s="1452"/>
      <c r="AC80" s="192">
        <f t="shared" si="29"/>
        <v>1.8913015053587274</v>
      </c>
      <c r="AD80" s="192">
        <f t="shared" si="30"/>
        <v>8.0745854652100295</v>
      </c>
      <c r="AE80" s="192">
        <f t="shared" si="31"/>
        <v>0</v>
      </c>
      <c r="AF80" s="203">
        <f t="shared" si="32"/>
        <v>0</v>
      </c>
      <c r="AG80" s="200">
        <f>IF(OR($I$2="RRO (Capped)",$I$2="RRO (Uncapped)"),VLOOKUP(A80,'Misc. Data &amp; Mechanisms'!$A$1483:$H$1574,2,FALSE),AR80)</f>
        <v>0.2064</v>
      </c>
      <c r="AH80" s="203">
        <f t="shared" si="45"/>
        <v>5.7792000000000003</v>
      </c>
      <c r="AI80" s="129">
        <f>5%</f>
        <v>0.05</v>
      </c>
      <c r="AJ80" s="341">
        <f>'Misc. Data &amp; Mechanisms'!AH353</f>
        <v>527.46673173112117</v>
      </c>
      <c r="AK80" s="1087">
        <f>'Misc. Data &amp; Mechanisms'!AP353</f>
        <v>581.59576765137035</v>
      </c>
      <c r="AL80" s="1087">
        <f>'Misc. Data &amp; Mechanisms'!K353</f>
        <v>594.37508025101431</v>
      </c>
      <c r="AM80" s="1087">
        <f>'Misc. Data &amp; Mechanisms'!L353</f>
        <v>451.0758027028167</v>
      </c>
      <c r="AN80" s="1087">
        <f>'Misc. Data &amp; Mechanisms'!M353</f>
        <v>333.82610953259024</v>
      </c>
      <c r="AO80" s="1466">
        <f>'Misc. Data &amp; Mechanisms'!$B$259</f>
        <v>611.34673880086393</v>
      </c>
      <c r="AP80" s="197">
        <f>IFERROR(IF('Personalized Bill Menu'!$B$30="Yes", IF('Personalized Bill Menu'!$B$34="Natural Gas",0,VLOOKUP($A80, 'Personalized Bill Menu'!$H$4:$L$93, 2, FALSE)), 0), 0)</f>
        <v>0</v>
      </c>
      <c r="AQ80" s="1343">
        <f>IFERROR(IF('Personalized Bill Menu'!$C$36="Custom", IF('Personalized Bill Menu'!$B$34="Natural Gas",0,VLOOKUP($A80, 'Personalized Bill Menu'!$H$4:$L$93, 3, FALSE)), 0), 0)</f>
        <v>0</v>
      </c>
      <c r="AR80" s="1344">
        <f>IFERROR(IF('Personalized Bill Menu'!$C$36="Custom", IF('Personalized Bill Menu'!$B$34="Natural Gas",0,VLOOKUP($A80, 'Personalized Bill Menu'!$H$4:$L$93, 4, FALSE)), 0), 0)</f>
        <v>0</v>
      </c>
    </row>
    <row r="81" spans="1:44" s="108" customFormat="1" x14ac:dyDescent="0.35">
      <c r="A81" s="176">
        <v>43160</v>
      </c>
      <c r="B81" s="207">
        <f t="shared" si="33"/>
        <v>31</v>
      </c>
      <c r="C81" s="226">
        <f t="shared" si="35"/>
        <v>588.93374180774288</v>
      </c>
      <c r="D81" s="181">
        <f>IFERROR(($F81*100)/$C81, "")</f>
        <v>15.56853172456734</v>
      </c>
      <c r="E81" s="178">
        <f t="shared" si="37"/>
        <v>11.360536393499999</v>
      </c>
      <c r="F81" s="179">
        <f t="shared" si="38"/>
        <v>91.688336430019945</v>
      </c>
      <c r="G81" s="180">
        <f t="shared" si="39"/>
        <v>30.094514206375663</v>
      </c>
      <c r="H81" s="181">
        <f t="shared" si="40"/>
        <v>11.462417416804099</v>
      </c>
      <c r="I81" s="181">
        <f t="shared" si="41"/>
        <v>21.400587303942391</v>
      </c>
      <c r="J81" s="181">
        <f t="shared" si="42"/>
        <v>8.0916541954349981</v>
      </c>
      <c r="K81" s="181">
        <f t="shared" si="43"/>
        <v>9.8746520488904252</v>
      </c>
      <c r="L81" s="181">
        <f t="shared" si="44"/>
        <v>6.3983999999999996</v>
      </c>
      <c r="M81" s="182">
        <f t="shared" si="23"/>
        <v>4.3661112585723787</v>
      </c>
      <c r="N81" s="273">
        <f>IF($I$2="RRO (Capped)",VLOOKUP(A81,'Misc. Data &amp; Mechanisms'!$A$1278:$E$1368,2,FALSE),IF($I$2="RRO (Uncapped)",VLOOKUP(A81,'Misc. Data &amp; Mechanisms'!$G$1278:$K$1368,2,FALSE),AQ81))</f>
        <v>5.1100000000000003</v>
      </c>
      <c r="O81" s="183">
        <f t="shared" si="34"/>
        <v>30.094514206375663</v>
      </c>
      <c r="P81" s="244">
        <v>1.9462999999999999</v>
      </c>
      <c r="Q81" s="183">
        <f t="shared" si="24"/>
        <v>11.462417416804099</v>
      </c>
      <c r="R81" s="198">
        <v>1.0046999999999999</v>
      </c>
      <c r="S81" s="227">
        <v>0.49947000000000003</v>
      </c>
      <c r="T81" s="183">
        <f t="shared" si="25"/>
        <v>5.9170173039423917</v>
      </c>
      <c r="U81" s="194">
        <f t="shared" si="26"/>
        <v>15.48357</v>
      </c>
      <c r="V81" s="209">
        <v>0.1111</v>
      </c>
      <c r="W81" s="183">
        <f t="shared" si="27"/>
        <v>4.7481536671066609</v>
      </c>
      <c r="X81" s="183">
        <f t="shared" si="28"/>
        <v>3.3435005283283363</v>
      </c>
      <c r="Y81" s="1240">
        <v>0.31819999999999998</v>
      </c>
      <c r="Z81" s="1174">
        <v>1.3585</v>
      </c>
      <c r="AA81" s="126"/>
      <c r="AB81" s="1452"/>
      <c r="AC81" s="192">
        <f t="shared" si="29"/>
        <v>1.8739871664322378</v>
      </c>
      <c r="AD81" s="192">
        <f t="shared" si="30"/>
        <v>8.000664882458187</v>
      </c>
      <c r="AE81" s="192">
        <f t="shared" si="31"/>
        <v>0</v>
      </c>
      <c r="AF81" s="203">
        <f t="shared" si="32"/>
        <v>0</v>
      </c>
      <c r="AG81" s="200">
        <f>IF(OR($I$2="RRO (Capped)",$I$2="RRO (Uncapped)"),VLOOKUP(A81,'Misc. Data &amp; Mechanisms'!$A$1483:$H$1574,2,FALSE),AR81)</f>
        <v>0.2064</v>
      </c>
      <c r="AH81" s="203">
        <f t="shared" si="45"/>
        <v>6.3983999999999996</v>
      </c>
      <c r="AI81" s="129">
        <f>5%</f>
        <v>0.05</v>
      </c>
      <c r="AJ81" s="341">
        <f>'Misc. Data &amp; Mechanisms'!AH354</f>
        <v>522.63792059774869</v>
      </c>
      <c r="AK81" s="1087">
        <f>'Misc. Data &amp; Mechanisms'!AP354</f>
        <v>568.53312804327993</v>
      </c>
      <c r="AL81" s="1087">
        <f>'Misc. Data &amp; Mechanisms'!K354</f>
        <v>588.93374180774288</v>
      </c>
      <c r="AM81" s="1087">
        <f>'Misc. Data &amp; Mechanisms'!L354</f>
        <v>446.94632926486611</v>
      </c>
      <c r="AN81" s="1087">
        <f>'Misc. Data &amp; Mechanisms'!M354</f>
        <v>330.77002440466009</v>
      </c>
      <c r="AO81" s="1466">
        <f>'Misc. Data &amp; Mechanisms'!$B$259</f>
        <v>611.34673880086393</v>
      </c>
      <c r="AP81" s="197">
        <f>IFERROR(IF('Personalized Bill Menu'!$B$30="Yes", IF('Personalized Bill Menu'!$B$34="Natural Gas",0,VLOOKUP($A81, 'Personalized Bill Menu'!$H$4:$L$93, 2, FALSE)), 0), 0)</f>
        <v>0</v>
      </c>
      <c r="AQ81" s="1343">
        <f>IFERROR(IF('Personalized Bill Menu'!$C$36="Custom", IF('Personalized Bill Menu'!$B$34="Natural Gas",0,VLOOKUP($A81, 'Personalized Bill Menu'!$H$4:$L$93, 3, FALSE)), 0), 0)</f>
        <v>0</v>
      </c>
      <c r="AR81" s="1344">
        <f>IFERROR(IF('Personalized Bill Menu'!$C$36="Custom", IF('Personalized Bill Menu'!$B$34="Natural Gas",0,VLOOKUP($A81, 'Personalized Bill Menu'!$H$4:$L$93, 4, FALSE)), 0), 0)</f>
        <v>0</v>
      </c>
    </row>
    <row r="82" spans="1:44" s="108" customFormat="1" x14ac:dyDescent="0.35">
      <c r="A82" s="176">
        <v>43191</v>
      </c>
      <c r="B82" s="207">
        <f t="shared" si="33"/>
        <v>30</v>
      </c>
      <c r="C82" s="226">
        <f t="shared" si="35"/>
        <v>528.01162456374163</v>
      </c>
      <c r="D82" s="181">
        <f>IFERROR(($F82*100)/$C82, "")</f>
        <v>18.587448246030824</v>
      </c>
      <c r="E82" s="178">
        <f t="shared" si="37"/>
        <v>13.637199926636999</v>
      </c>
      <c r="F82" s="179">
        <f t="shared" si="38"/>
        <v>98.143887448812052</v>
      </c>
      <c r="G82" s="180">
        <f t="shared" si="39"/>
        <v>35.904790470334433</v>
      </c>
      <c r="H82" s="181">
        <f t="shared" si="40"/>
        <v>10.276690248884103</v>
      </c>
      <c r="I82" s="181">
        <f t="shared" si="41"/>
        <v>20.718124266586397</v>
      </c>
      <c r="J82" s="181">
        <f t="shared" si="42"/>
        <v>8.7270513867107411</v>
      </c>
      <c r="K82" s="181">
        <f t="shared" si="43"/>
        <v>11.651712626352943</v>
      </c>
      <c r="L82" s="181">
        <f t="shared" si="44"/>
        <v>6.1920000000000002</v>
      </c>
      <c r="M82" s="182">
        <f t="shared" si="23"/>
        <v>4.6735184499434315</v>
      </c>
      <c r="N82" s="273">
        <f>IF($I$2="RRO (Capped)",VLOOKUP(A82,'Misc. Data &amp; Mechanisms'!$A$1278:$E$1368,2,FALSE),IF($I$2="RRO (Uncapped)",VLOOKUP(A82,'Misc. Data &amp; Mechanisms'!$G$1278:$K$1368,2,FALSE),AQ82))</f>
        <v>6.8</v>
      </c>
      <c r="O82" s="194">
        <f t="shared" si="34"/>
        <v>35.904790470334433</v>
      </c>
      <c r="P82" s="244">
        <v>1.9462999999999999</v>
      </c>
      <c r="Q82" s="194">
        <f t="shared" si="24"/>
        <v>10.276690248884103</v>
      </c>
      <c r="R82" s="204">
        <v>1.069</v>
      </c>
      <c r="S82" s="1504">
        <v>0.50245600000000001</v>
      </c>
      <c r="T82" s="183">
        <f t="shared" si="25"/>
        <v>5.6444442665863983</v>
      </c>
      <c r="U82" s="194">
        <f t="shared" si="26"/>
        <v>15.07368</v>
      </c>
      <c r="V82" s="209">
        <v>0.1111</v>
      </c>
      <c r="W82" s="183">
        <f t="shared" si="27"/>
        <v>4.7380291654565845</v>
      </c>
      <c r="X82" s="194">
        <f t="shared" si="28"/>
        <v>3.9890222212541557</v>
      </c>
      <c r="Y82" s="1240">
        <v>0.31819999999999998</v>
      </c>
      <c r="Z82" s="1174">
        <v>1.431</v>
      </c>
      <c r="AA82" s="126">
        <v>0.1166</v>
      </c>
      <c r="AB82" s="1241"/>
      <c r="AC82" s="192">
        <f t="shared" si="29"/>
        <v>1.6801329893618258</v>
      </c>
      <c r="AD82" s="192">
        <f t="shared" si="30"/>
        <v>7.5558463475071429</v>
      </c>
      <c r="AE82" s="192">
        <f>$AA82*$I82</f>
        <v>2.4157332894839736</v>
      </c>
      <c r="AF82" s="203">
        <f t="shared" si="32"/>
        <v>0</v>
      </c>
      <c r="AG82" s="200">
        <f>IF(OR($I$2="RRO (Capped)",$I$2="RRO (Uncapped)"),VLOOKUP(A82,'Misc. Data &amp; Mechanisms'!$A$1483:$H$1574,2,FALSE),AR82)</f>
        <v>0.2064</v>
      </c>
      <c r="AH82" s="203">
        <f t="shared" si="45"/>
        <v>6.1920000000000002</v>
      </c>
      <c r="AI82" s="1251">
        <f>5%</f>
        <v>0.05</v>
      </c>
      <c r="AJ82" s="341">
        <f>'Misc. Data &amp; Mechanisms'!AH355</f>
        <v>468.57375953086375</v>
      </c>
      <c r="AK82" s="1087">
        <f>'Misc. Data &amp; Mechanisms'!AP355</f>
        <v>506.02516903018198</v>
      </c>
      <c r="AL82" s="1087">
        <f>'Misc. Data &amp; Mechanisms'!K355</f>
        <v>528.01162456374163</v>
      </c>
      <c r="AM82" s="1087">
        <f>'Misc. Data &amp; Mechanisms'!L355</f>
        <v>400.71206768278984</v>
      </c>
      <c r="AN82" s="1087">
        <f>'Misc. Data &amp; Mechanisms'!M355</f>
        <v>296.55359430892923</v>
      </c>
      <c r="AO82" s="1466">
        <f>'Misc. Data &amp; Mechanisms'!$B$259</f>
        <v>611.34673880086393</v>
      </c>
      <c r="AP82" s="197">
        <f>IFERROR(IF('Personalized Bill Menu'!$B$30="Yes", IF('Personalized Bill Menu'!$B$34="Natural Gas",0,VLOOKUP($A82, 'Personalized Bill Menu'!$H$4:$L$93, 2, FALSE)), 0), 0)</f>
        <v>0</v>
      </c>
      <c r="AQ82" s="1343">
        <f>IFERROR(IF('Personalized Bill Menu'!$C$36="Custom", IF('Personalized Bill Menu'!$B$34="Natural Gas",0,VLOOKUP($A82, 'Personalized Bill Menu'!$H$4:$L$93, 3, FALSE)), 0), 0)</f>
        <v>0</v>
      </c>
      <c r="AR82" s="1344">
        <f>IFERROR(IF('Personalized Bill Menu'!$C$36="Custom", IF('Personalized Bill Menu'!$B$34="Natural Gas",0,VLOOKUP($A82, 'Personalized Bill Menu'!$H$4:$L$93, 4, FALSE)), 0), 0)</f>
        <v>0</v>
      </c>
    </row>
    <row r="83" spans="1:44" s="108" customFormat="1" x14ac:dyDescent="0.35">
      <c r="A83" s="176">
        <v>43221</v>
      </c>
      <c r="B83" s="207">
        <f t="shared" si="33"/>
        <v>31</v>
      </c>
      <c r="C83" s="226">
        <f t="shared" si="35"/>
        <v>494.83267205155215</v>
      </c>
      <c r="D83" s="181">
        <f t="shared" si="36"/>
        <v>17.655786568974317</v>
      </c>
      <c r="E83" s="178">
        <f t="shared" si="37"/>
        <v>12.197547656636996</v>
      </c>
      <c r="F83" s="179">
        <f t="shared" si="38"/>
        <v>87.366600450974673</v>
      </c>
      <c r="G83" s="180">
        <f t="shared" si="39"/>
        <v>27.542386526389393</v>
      </c>
      <c r="H83" s="181">
        <f t="shared" si="40"/>
        <v>9.6309282961393592</v>
      </c>
      <c r="I83" s="181">
        <f t="shared" si="41"/>
        <v>20.865897264231094</v>
      </c>
      <c r="J83" s="181">
        <f t="shared" si="42"/>
        <v>7.6800973364904674</v>
      </c>
      <c r="K83" s="181">
        <f t="shared" si="43"/>
        <v>11.088576720535096</v>
      </c>
      <c r="L83" s="181">
        <f t="shared" si="44"/>
        <v>6.3983999999999996</v>
      </c>
      <c r="M83" s="182">
        <f t="shared" si="23"/>
        <v>4.1603143071892701</v>
      </c>
      <c r="N83" s="273">
        <f>IF($I$2="RRO (Capped)",VLOOKUP(A83,'Misc. Data &amp; Mechanisms'!$A$1278:$E$1368,2,FALSE),IF($I$2="RRO (Uncapped)",VLOOKUP(A83,'Misc. Data &amp; Mechanisms'!$G$1278:$K$1368,2,FALSE),AQ83))</f>
        <v>5.5659999999999998</v>
      </c>
      <c r="O83" s="194">
        <f t="shared" si="34"/>
        <v>27.542386526389393</v>
      </c>
      <c r="P83" s="244">
        <v>1.9462999999999999</v>
      </c>
      <c r="Q83" s="194">
        <f t="shared" si="24"/>
        <v>9.6309282961393592</v>
      </c>
      <c r="R83" s="204">
        <v>1.069</v>
      </c>
      <c r="S83" s="1504">
        <v>0.50245600000000001</v>
      </c>
      <c r="T83" s="183">
        <f t="shared" si="25"/>
        <v>5.2897612642310925</v>
      </c>
      <c r="U83" s="194">
        <f t="shared" si="26"/>
        <v>15.576136</v>
      </c>
      <c r="V83" s="209">
        <v>0.1111</v>
      </c>
      <c r="W83" s="183">
        <f t="shared" si="27"/>
        <v>4.6201381934086063</v>
      </c>
      <c r="X83" s="194">
        <f t="shared" si="28"/>
        <v>3.0599591430818616</v>
      </c>
      <c r="Y83" s="1240">
        <v>0.31819999999999998</v>
      </c>
      <c r="Z83" s="1174">
        <v>1.431</v>
      </c>
      <c r="AA83" s="126">
        <v>0.1166</v>
      </c>
      <c r="AB83" s="1241"/>
      <c r="AC83" s="192">
        <f t="shared" si="29"/>
        <v>1.574557562468039</v>
      </c>
      <c r="AD83" s="192">
        <f t="shared" si="30"/>
        <v>7.0810555370577113</v>
      </c>
      <c r="AE83" s="192">
        <f t="shared" si="31"/>
        <v>2.4329636210093457</v>
      </c>
      <c r="AF83" s="203">
        <f t="shared" si="32"/>
        <v>0</v>
      </c>
      <c r="AG83" s="200">
        <f>IF(OR($I$2="RRO (Capped)",$I$2="RRO (Uncapped)"),VLOOKUP(A83,'Misc. Data &amp; Mechanisms'!$A$1483:$H$1574,2,FALSE),AR83)</f>
        <v>0.2064</v>
      </c>
      <c r="AH83" s="203">
        <f t="shared" si="45"/>
        <v>6.3983999999999996</v>
      </c>
      <c r="AI83" s="1251">
        <f>5%</f>
        <v>0.05</v>
      </c>
      <c r="AJ83" s="341">
        <f>'Misc. Data &amp; Mechanisms'!AH356</f>
        <v>439.12973634524195</v>
      </c>
      <c r="AK83" s="1087">
        <f>'Misc. Data &amp; Mechanisms'!AP356</f>
        <v>483.37546804743926</v>
      </c>
      <c r="AL83" s="1087">
        <f>'Misc. Data &amp; Mechanisms'!K356</f>
        <v>494.83267205155215</v>
      </c>
      <c r="AM83" s="1087">
        <f>'Misc. Data &amp; Mechanisms'!L356</f>
        <v>375.53230639307685</v>
      </c>
      <c r="AN83" s="1087">
        <f>'Misc. Data &amp; Mechanisms'!M356</f>
        <v>277.91889544027345</v>
      </c>
      <c r="AO83" s="1466">
        <f>'Misc. Data &amp; Mechanisms'!$B$259</f>
        <v>611.34673880086393</v>
      </c>
      <c r="AP83" s="197">
        <f>IFERROR(IF('Personalized Bill Menu'!$B$30="Yes", IF('Personalized Bill Menu'!$B$34="Natural Gas",0,VLOOKUP($A83, 'Personalized Bill Menu'!$H$4:$L$93, 2, FALSE)), 0), 0)</f>
        <v>0</v>
      </c>
      <c r="AQ83" s="1343">
        <f>IFERROR(IF('Personalized Bill Menu'!$C$36="Custom", IF('Personalized Bill Menu'!$B$34="Natural Gas",0,VLOOKUP($A83, 'Personalized Bill Menu'!$H$4:$L$93, 3, FALSE)), 0), 0)</f>
        <v>0</v>
      </c>
      <c r="AR83" s="1344">
        <f>IFERROR(IF('Personalized Bill Menu'!$C$36="Custom", IF('Personalized Bill Menu'!$B$34="Natural Gas",0,VLOOKUP($A83, 'Personalized Bill Menu'!$H$4:$L$93, 4, FALSE)), 0), 0)</f>
        <v>0</v>
      </c>
    </row>
    <row r="84" spans="1:44" s="108" customFormat="1" x14ac:dyDescent="0.35">
      <c r="A84" s="176">
        <v>43252</v>
      </c>
      <c r="B84" s="207">
        <f t="shared" si="33"/>
        <v>30</v>
      </c>
      <c r="C84" s="226">
        <f t="shared" si="35"/>
        <v>481.31960825480462</v>
      </c>
      <c r="D84" s="181">
        <f t="shared" si="36"/>
        <v>17.040017229139131</v>
      </c>
      <c r="E84" s="178">
        <f t="shared" si="37"/>
        <v>11.609553536636998</v>
      </c>
      <c r="F84" s="179">
        <f t="shared" si="38"/>
        <v>82.016944173843683</v>
      </c>
      <c r="G84" s="180">
        <f t="shared" si="39"/>
        <v>24.364398569858214</v>
      </c>
      <c r="H84" s="181">
        <f t="shared" si="40"/>
        <v>9.3679235354632606</v>
      </c>
      <c r="I84" s="181">
        <f t="shared" si="41"/>
        <v>20.21898661224386</v>
      </c>
      <c r="J84" s="181">
        <f t="shared" si="42"/>
        <v>7.1912902595146218</v>
      </c>
      <c r="K84" s="181">
        <f t="shared" si="43"/>
        <v>10.776776426580678</v>
      </c>
      <c r="L84" s="181">
        <f t="shared" si="44"/>
        <v>6.1920000000000002</v>
      </c>
      <c r="M84" s="182">
        <f t="shared" si="23"/>
        <v>3.9055687701830326</v>
      </c>
      <c r="N84" s="273">
        <f>IF($I$2="RRO (Capped)",VLOOKUP(A84,'Misc. Data &amp; Mechanisms'!$A$1278:$E$1368,2,FALSE),IF($I$2="RRO (Uncapped)",VLOOKUP(A84,'Misc. Data &amp; Mechanisms'!$G$1278:$K$1368,2,FALSE),AQ84))</f>
        <v>5.0620000000000003</v>
      </c>
      <c r="O84" s="194">
        <f t="shared" si="34"/>
        <v>24.364398569858214</v>
      </c>
      <c r="P84" s="244">
        <v>1.9462999999999999</v>
      </c>
      <c r="Q84" s="194">
        <f t="shared" si="24"/>
        <v>9.3679235354632606</v>
      </c>
      <c r="R84" s="204">
        <v>1.069</v>
      </c>
      <c r="S84" s="1504">
        <v>0.50245600000000001</v>
      </c>
      <c r="T84" s="183">
        <f t="shared" si="25"/>
        <v>5.1453066122438615</v>
      </c>
      <c r="U84" s="194">
        <f t="shared" si="26"/>
        <v>15.07368</v>
      </c>
      <c r="V84" s="209">
        <v>0.1111</v>
      </c>
      <c r="W84" s="183">
        <f t="shared" si="27"/>
        <v>4.4844055784033747</v>
      </c>
      <c r="X84" s="194">
        <f t="shared" si="28"/>
        <v>2.7068846811112475</v>
      </c>
      <c r="Y84" s="1240">
        <v>0.31819999999999998</v>
      </c>
      <c r="Z84" s="1174">
        <v>1.431</v>
      </c>
      <c r="AA84" s="126">
        <v>0.1166</v>
      </c>
      <c r="AB84" s="1241"/>
      <c r="AC84" s="192">
        <f t="shared" si="29"/>
        <v>1.5315589934667884</v>
      </c>
      <c r="AD84" s="192">
        <f t="shared" si="30"/>
        <v>6.887683594126254</v>
      </c>
      <c r="AE84" s="192">
        <f t="shared" si="31"/>
        <v>2.3575338389876341</v>
      </c>
      <c r="AF84" s="203">
        <f t="shared" si="32"/>
        <v>0</v>
      </c>
      <c r="AG84" s="200">
        <f>IF(OR($I$2="RRO (Capped)",$I$2="RRO (Uncapped)"),VLOOKUP(A84,'Misc. Data &amp; Mechanisms'!$A$1483:$H$1574,2,FALSE),AR84)</f>
        <v>0.2064</v>
      </c>
      <c r="AH84" s="203">
        <f t="shared" si="45"/>
        <v>6.1920000000000002</v>
      </c>
      <c r="AI84" s="1251">
        <f>5%</f>
        <v>0.05</v>
      </c>
      <c r="AJ84" s="341">
        <f>'Misc. Data &amp; Mechanisms'!AH357</f>
        <v>427.13782781244407</v>
      </c>
      <c r="AK84" s="1087">
        <f>'Misc. Data &amp; Mechanisms'!AP357</f>
        <v>467.79601809836407</v>
      </c>
      <c r="AL84" s="1087">
        <f>'Misc. Data &amp; Mechanisms'!K357</f>
        <v>481.31960825480462</v>
      </c>
      <c r="AM84" s="1087">
        <f>'Misc. Data &amp; Mechanisms'!L357</f>
        <v>365.27713873611845</v>
      </c>
      <c r="AN84" s="1087">
        <f>'Misc. Data &amp; Mechanisms'!M357</f>
        <v>270.32938897370207</v>
      </c>
      <c r="AO84" s="1466">
        <f>'Misc. Data &amp; Mechanisms'!$B$259</f>
        <v>611.34673880086393</v>
      </c>
      <c r="AP84" s="197">
        <f>IFERROR(IF('Personalized Bill Menu'!$B$30="Yes", IF('Personalized Bill Menu'!$B$34="Natural Gas",0,VLOOKUP($A84, 'Personalized Bill Menu'!$H$4:$L$93, 2, FALSE)), 0), 0)</f>
        <v>0</v>
      </c>
      <c r="AQ84" s="1343">
        <f>IFERROR(IF('Personalized Bill Menu'!$C$36="Custom", IF('Personalized Bill Menu'!$B$34="Natural Gas",0,VLOOKUP($A84, 'Personalized Bill Menu'!$H$4:$L$93, 3, FALSE)), 0), 0)</f>
        <v>0</v>
      </c>
      <c r="AR84" s="1344">
        <f>IFERROR(IF('Personalized Bill Menu'!$C$36="Custom", IF('Personalized Bill Menu'!$B$34="Natural Gas",0,VLOOKUP($A84, 'Personalized Bill Menu'!$H$4:$L$93, 4, FALSE)), 0), 0)</f>
        <v>0</v>
      </c>
    </row>
    <row r="85" spans="1:44" s="108" customFormat="1" x14ac:dyDescent="0.35">
      <c r="A85" s="176">
        <v>43282</v>
      </c>
      <c r="B85" s="207">
        <f t="shared" si="33"/>
        <v>31</v>
      </c>
      <c r="C85" s="226">
        <f t="shared" si="35"/>
        <v>515.53500390451472</v>
      </c>
      <c r="D85" s="181">
        <f t="shared" si="36"/>
        <v>18.577309149679092</v>
      </c>
      <c r="E85" s="178">
        <f t="shared" si="37"/>
        <v>13.663602845938501</v>
      </c>
      <c r="F85" s="179">
        <f t="shared" si="38"/>
        <v>95.772531450151874</v>
      </c>
      <c r="G85" s="180">
        <f t="shared" si="39"/>
        <v>35.056380265507002</v>
      </c>
      <c r="H85" s="181">
        <f t="shared" si="40"/>
        <v>10.03385778099357</v>
      </c>
      <c r="I85" s="181">
        <f t="shared" si="41"/>
        <v>21.087205191739262</v>
      </c>
      <c r="J85" s="181">
        <f t="shared" si="42"/>
        <v>8.4805901419973111</v>
      </c>
      <c r="K85" s="181">
        <f t="shared" si="43"/>
        <v>10.155501334193213</v>
      </c>
      <c r="L85" s="181">
        <f t="shared" si="44"/>
        <v>6.3983999999999996</v>
      </c>
      <c r="M85" s="182">
        <f t="shared" si="23"/>
        <v>4.5605967357215178</v>
      </c>
      <c r="N85" s="273">
        <f>IF($I$2="RRO (Capped)",VLOOKUP(A85,'Misc. Data &amp; Mechanisms'!$A$1278:$E$1368,2,FALSE),IF($I$2="RRO (Uncapped)",VLOOKUP(A85,'Misc. Data &amp; Mechanisms'!$G$1278:$K$1368,2,FALSE),AQ85))</f>
        <v>6.8</v>
      </c>
      <c r="O85" s="194">
        <f t="shared" si="34"/>
        <v>35.056380265507002</v>
      </c>
      <c r="P85" s="244">
        <v>1.9462999999999999</v>
      </c>
      <c r="Q85" s="194">
        <f t="shared" si="24"/>
        <v>10.03385778099357</v>
      </c>
      <c r="R85" s="204">
        <v>1.069</v>
      </c>
      <c r="S85" s="1504">
        <v>0.50245600000000001</v>
      </c>
      <c r="T85" s="183">
        <f t="shared" si="25"/>
        <v>5.5110691917392627</v>
      </c>
      <c r="U85" s="194">
        <f t="shared" si="26"/>
        <v>15.576136</v>
      </c>
      <c r="V85" s="209">
        <v>0.1111</v>
      </c>
      <c r="W85" s="183">
        <f t="shared" si="27"/>
        <v>4.5858262944994834</v>
      </c>
      <c r="X85" s="194">
        <f t="shared" si="28"/>
        <v>3.8947638474978281</v>
      </c>
      <c r="Y85" s="1240">
        <v>0.31819999999999998</v>
      </c>
      <c r="Z85" s="1174">
        <v>1.5523</v>
      </c>
      <c r="AA85" s="126">
        <v>2.4299999999999999E-2</v>
      </c>
      <c r="AB85" s="1241"/>
      <c r="AC85" s="192">
        <f t="shared" si="29"/>
        <v>1.6404323824241658</v>
      </c>
      <c r="AD85" s="192">
        <f t="shared" si="30"/>
        <v>8.0026498656097829</v>
      </c>
      <c r="AE85" s="192">
        <f t="shared" si="31"/>
        <v>0.51241908615926401</v>
      </c>
      <c r="AF85" s="203">
        <f t="shared" si="32"/>
        <v>0</v>
      </c>
      <c r="AG85" s="200">
        <f>IF(OR($I$2="RRO (Capped)",$I$2="RRO (Uncapped)"),VLOOKUP(A85,'Misc. Data &amp; Mechanisms'!$A$1483:$H$1574,2,FALSE),AR85)</f>
        <v>0.2064</v>
      </c>
      <c r="AH85" s="203">
        <f t="shared" si="45"/>
        <v>6.3983999999999996</v>
      </c>
      <c r="AI85" s="1251">
        <f>5%</f>
        <v>0.05</v>
      </c>
      <c r="AJ85" s="341">
        <f>'Misc. Data &amp; Mechanisms'!AH358</f>
        <v>457.50162252371973</v>
      </c>
      <c r="AK85" s="1087">
        <f>'Misc. Data &amp; Mechanisms'!AP358</f>
        <v>502.25621542620064</v>
      </c>
      <c r="AL85" s="1087">
        <f>'Misc. Data &amp; Mechanisms'!K358</f>
        <v>515.53500390451472</v>
      </c>
      <c r="AM85" s="1087">
        <f>'Misc. Data &amp; Mechanisms'!L358</f>
        <v>391.24346466446912</v>
      </c>
      <c r="AN85" s="1087">
        <f>'Misc. Data &amp; Mechanisms'!M358</f>
        <v>289.54619801461502</v>
      </c>
      <c r="AO85" s="1466">
        <f>'Misc. Data &amp; Mechanisms'!$B$259</f>
        <v>611.34673880086393</v>
      </c>
      <c r="AP85" s="197">
        <f>IFERROR(IF('Personalized Bill Menu'!$B$30="Yes", IF('Personalized Bill Menu'!$B$34="Natural Gas",0,VLOOKUP($A85, 'Personalized Bill Menu'!$H$4:$L$93, 2, FALSE)), 0), 0)</f>
        <v>0</v>
      </c>
      <c r="AQ85" s="1343">
        <f>IFERROR(IF('Personalized Bill Menu'!$C$36="Custom", IF('Personalized Bill Menu'!$B$34="Natural Gas",0,VLOOKUP($A85, 'Personalized Bill Menu'!$H$4:$L$93, 3, FALSE)), 0), 0)</f>
        <v>0</v>
      </c>
      <c r="AR85" s="1344">
        <f>IFERROR(IF('Personalized Bill Menu'!$C$36="Custom", IF('Personalized Bill Menu'!$B$34="Natural Gas",0,VLOOKUP($A85, 'Personalized Bill Menu'!$H$4:$L$93, 4, FALSE)), 0), 0)</f>
        <v>0</v>
      </c>
    </row>
    <row r="86" spans="1:44" s="108" customFormat="1" x14ac:dyDescent="0.35">
      <c r="A86" s="176">
        <v>43313</v>
      </c>
      <c r="B86" s="207">
        <f t="shared" si="33"/>
        <v>31</v>
      </c>
      <c r="C86" s="226">
        <f t="shared" si="35"/>
        <v>529.47012813338006</v>
      </c>
      <c r="D86" s="181">
        <f t="shared" si="36"/>
        <v>18.447985314152842</v>
      </c>
      <c r="E86" s="178">
        <f t="shared" si="37"/>
        <v>13.663602845938501</v>
      </c>
      <c r="F86" s="179">
        <f t="shared" si="38"/>
        <v>97.676571480872184</v>
      </c>
      <c r="G86" s="180">
        <f t="shared" si="39"/>
        <v>36.003968713069845</v>
      </c>
      <c r="H86" s="181">
        <f t="shared" si="40"/>
        <v>10.305077103859976</v>
      </c>
      <c r="I86" s="181">
        <f t="shared" si="41"/>
        <v>21.236171669745833</v>
      </c>
      <c r="J86" s="181">
        <f t="shared" si="42"/>
        <v>8.6619109672738723</v>
      </c>
      <c r="K86" s="181">
        <f t="shared" si="43"/>
        <v>10.4197777183097</v>
      </c>
      <c r="L86" s="181">
        <f t="shared" si="44"/>
        <v>6.3983999999999996</v>
      </c>
      <c r="M86" s="182">
        <f t="shared" si="23"/>
        <v>4.6512653086129614</v>
      </c>
      <c r="N86" s="273">
        <f>IF($I$2="RRO (Capped)",VLOOKUP(A86,'Misc. Data &amp; Mechanisms'!$A$1278:$E$1368,2,FALSE),IF($I$2="RRO (Uncapped)",VLOOKUP(A86,'Misc. Data &amp; Mechanisms'!$G$1278:$K$1368,2,FALSE),AQ86))</f>
        <v>6.8</v>
      </c>
      <c r="O86" s="194">
        <f t="shared" si="34"/>
        <v>36.003968713069845</v>
      </c>
      <c r="P86" s="244">
        <v>1.9462999999999999</v>
      </c>
      <c r="Q86" s="194">
        <f t="shared" si="24"/>
        <v>10.305077103859976</v>
      </c>
      <c r="R86" s="204">
        <v>1.069</v>
      </c>
      <c r="S86" s="1504">
        <v>0.50245600000000001</v>
      </c>
      <c r="T86" s="183">
        <f t="shared" si="25"/>
        <v>5.6600356697458327</v>
      </c>
      <c r="U86" s="194">
        <f t="shared" si="26"/>
        <v>15.576136</v>
      </c>
      <c r="V86" s="209">
        <v>0.1111</v>
      </c>
      <c r="W86" s="183">
        <f t="shared" si="27"/>
        <v>4.6618700432518123</v>
      </c>
      <c r="X86" s="194">
        <f t="shared" si="28"/>
        <v>4.00004092402206</v>
      </c>
      <c r="Y86" s="1240">
        <v>0.31819999999999998</v>
      </c>
      <c r="Z86" s="1174">
        <v>1.5523</v>
      </c>
      <c r="AA86" s="126">
        <v>2.4299999999999999E-2</v>
      </c>
      <c r="AB86" s="1241"/>
      <c r="AC86" s="192">
        <f t="shared" si="29"/>
        <v>1.6847739477204153</v>
      </c>
      <c r="AD86" s="192">
        <f t="shared" si="30"/>
        <v>8.2189647990144596</v>
      </c>
      <c r="AE86" s="192">
        <f t="shared" si="31"/>
        <v>0.5160389715748237</v>
      </c>
      <c r="AF86" s="203">
        <f t="shared" si="32"/>
        <v>0</v>
      </c>
      <c r="AG86" s="200">
        <f>IF(OR($I$2="RRO (Capped)",$I$2="RRO (Uncapped)"),VLOOKUP(A86,'Misc. Data &amp; Mechanisms'!$A$1483:$H$1574,2,FALSE),AR86)</f>
        <v>0.2064</v>
      </c>
      <c r="AH86" s="203">
        <f t="shared" si="45"/>
        <v>6.3983999999999996</v>
      </c>
      <c r="AI86" s="1251">
        <f>5%</f>
        <v>0.05</v>
      </c>
      <c r="AJ86" s="341">
        <f>'Misc. Data &amp; Mechanisms'!AH359</f>
        <v>469.86808046836074</v>
      </c>
      <c r="AK86" s="1087">
        <f>'Misc. Data &amp; Mechanisms'!AP359</f>
        <v>494.66374590993314</v>
      </c>
      <c r="AL86" s="1087">
        <f>'Misc. Data &amp; Mechanisms'!K359</f>
        <v>529.47012813338006</v>
      </c>
      <c r="AM86" s="1087">
        <f>'Misc. Data &amp; Mechanisms'!L359</f>
        <v>401.81893721732973</v>
      </c>
      <c r="AN86" s="1087">
        <f>'Misc. Data &amp; Mechanisms'!M359</f>
        <v>297.37275141791531</v>
      </c>
      <c r="AO86" s="1466">
        <f>'Misc. Data &amp; Mechanisms'!$B$259</f>
        <v>611.34673880086393</v>
      </c>
      <c r="AP86" s="197">
        <f>IFERROR(IF('Personalized Bill Menu'!$B$30="Yes", IF('Personalized Bill Menu'!$B$34="Natural Gas",0,VLOOKUP($A86, 'Personalized Bill Menu'!$H$4:$L$93, 2, FALSE)), 0), 0)</f>
        <v>0</v>
      </c>
      <c r="AQ86" s="1343">
        <f>IFERROR(IF('Personalized Bill Menu'!$C$36="Custom", IF('Personalized Bill Menu'!$B$34="Natural Gas",0,VLOOKUP($A86, 'Personalized Bill Menu'!$H$4:$L$93, 3, FALSE)), 0), 0)</f>
        <v>0</v>
      </c>
      <c r="AR86" s="1344">
        <f>IFERROR(IF('Personalized Bill Menu'!$C$36="Custom", IF('Personalized Bill Menu'!$B$34="Natural Gas",0,VLOOKUP($A86, 'Personalized Bill Menu'!$H$4:$L$93, 4, FALSE)), 0), 0)</f>
        <v>0</v>
      </c>
    </row>
    <row r="87" spans="1:44" s="108" customFormat="1" x14ac:dyDescent="0.35">
      <c r="A87" s="176">
        <v>43344</v>
      </c>
      <c r="B87" s="207">
        <f t="shared" si="33"/>
        <v>30</v>
      </c>
      <c r="C87" s="226">
        <f t="shared" si="35"/>
        <v>511.67498853221838</v>
      </c>
      <c r="D87" s="181">
        <f t="shared" si="36"/>
        <v>18.454675156378023</v>
      </c>
      <c r="E87" s="178">
        <f t="shared" si="37"/>
        <v>13.663602845938501</v>
      </c>
      <c r="F87" s="179">
        <f t="shared" si="38"/>
        <v>94.427956990055407</v>
      </c>
      <c r="G87" s="180">
        <f t="shared" si="39"/>
        <v>34.793899220190852</v>
      </c>
      <c r="H87" s="181">
        <f t="shared" si="40"/>
        <v>9.9587303018025644</v>
      </c>
      <c r="I87" s="181">
        <f t="shared" si="41"/>
        <v>20.543485627409414</v>
      </c>
      <c r="J87" s="181">
        <f t="shared" si="42"/>
        <v>8.3731850989325523</v>
      </c>
      <c r="K87" s="181">
        <f t="shared" si="43"/>
        <v>10.070087361241194</v>
      </c>
      <c r="L87" s="181">
        <f t="shared" si="44"/>
        <v>6.1920000000000002</v>
      </c>
      <c r="M87" s="182">
        <f t="shared" si="23"/>
        <v>4.4965693804788289</v>
      </c>
      <c r="N87" s="273">
        <f>IF($I$2="RRO (Capped)",VLOOKUP(A87,'Misc. Data &amp; Mechanisms'!$A$1278:$E$1368,2,FALSE),IF($I$2="RRO (Uncapped)",VLOOKUP(A87,'Misc. Data &amp; Mechanisms'!$G$1278:$K$1368,2,FALSE),AQ87))</f>
        <v>6.8</v>
      </c>
      <c r="O87" s="194">
        <f t="shared" si="34"/>
        <v>34.793899220190852</v>
      </c>
      <c r="P87" s="244">
        <v>1.9462999999999999</v>
      </c>
      <c r="Q87" s="194">
        <f t="shared" si="24"/>
        <v>9.9587303018025644</v>
      </c>
      <c r="R87" s="204">
        <v>1.069</v>
      </c>
      <c r="S87" s="1504">
        <v>0.50245600000000001</v>
      </c>
      <c r="T87" s="183">
        <f t="shared" si="25"/>
        <v>5.4698056274094142</v>
      </c>
      <c r="U87" s="194">
        <f t="shared" si="26"/>
        <v>15.07368</v>
      </c>
      <c r="V87" s="209">
        <v>0.1111</v>
      </c>
      <c r="W87" s="183">
        <f t="shared" si="27"/>
        <v>4.5075828955693478</v>
      </c>
      <c r="X87" s="194">
        <f t="shared" si="28"/>
        <v>3.8656022033632036</v>
      </c>
      <c r="Y87" s="1240">
        <v>0.31819999999999998</v>
      </c>
      <c r="Z87" s="1174">
        <v>1.5523</v>
      </c>
      <c r="AA87" s="126">
        <v>2.4299999999999999E-2</v>
      </c>
      <c r="AB87" s="1241"/>
      <c r="AC87" s="192">
        <f t="shared" si="29"/>
        <v>1.6281498135095189</v>
      </c>
      <c r="AD87" s="192">
        <f t="shared" si="30"/>
        <v>7.9427308469856257</v>
      </c>
      <c r="AE87" s="192">
        <f t="shared" si="31"/>
        <v>0.49920670074604873</v>
      </c>
      <c r="AF87" s="203">
        <f t="shared" si="32"/>
        <v>0</v>
      </c>
      <c r="AG87" s="200">
        <f>IF(OR($I$2="RRO (Capped)",$I$2="RRO (Uncapped)"),VLOOKUP(A87,'Misc. Data &amp; Mechanisms'!$A$1483:$H$1574,2,FALSE),AR87)</f>
        <v>0.2064</v>
      </c>
      <c r="AH87" s="203">
        <f t="shared" si="45"/>
        <v>6.1920000000000002</v>
      </c>
      <c r="AI87" s="1251">
        <f>5%</f>
        <v>0.05</v>
      </c>
      <c r="AJ87" s="341">
        <f>'Misc. Data &amp; Mechanisms'!AH360</f>
        <v>454.07612613178287</v>
      </c>
      <c r="AK87" s="1087">
        <f>'Misc. Data &amp; Mechanisms'!AP360</f>
        <v>476.3126833536345</v>
      </c>
      <c r="AL87" s="1087">
        <f>'Misc. Data &amp; Mechanisms'!K360</f>
        <v>511.67498853221838</v>
      </c>
      <c r="AM87" s="1087">
        <f>'Misc. Data &amp; Mechanisms'!L360</f>
        <v>388.31406942170685</v>
      </c>
      <c r="AN87" s="1087">
        <f>'Misc. Data &amp; Mechanisms'!M360</f>
        <v>287.37825060685105</v>
      </c>
      <c r="AO87" s="1466">
        <f>'Misc. Data &amp; Mechanisms'!$B$259</f>
        <v>611.34673880086393</v>
      </c>
      <c r="AP87" s="197">
        <f>IFERROR(IF('Personalized Bill Menu'!$B$30="Yes", IF('Personalized Bill Menu'!$B$34="Natural Gas",0,VLOOKUP($A87, 'Personalized Bill Menu'!$H$4:$L$93, 2, FALSE)), 0), 0)</f>
        <v>0</v>
      </c>
      <c r="AQ87" s="1343">
        <f>IFERROR(IF('Personalized Bill Menu'!$C$36="Custom", IF('Personalized Bill Menu'!$B$34="Natural Gas",0,VLOOKUP($A87, 'Personalized Bill Menu'!$H$4:$L$93, 3, FALSE)), 0), 0)</f>
        <v>0</v>
      </c>
      <c r="AR87" s="1344">
        <f>IFERROR(IF('Personalized Bill Menu'!$C$36="Custom", IF('Personalized Bill Menu'!$B$34="Natural Gas",0,VLOOKUP($A87, 'Personalized Bill Menu'!$H$4:$L$93, 4, FALSE)), 0), 0)</f>
        <v>0</v>
      </c>
    </row>
    <row r="88" spans="1:44" s="108" customFormat="1" x14ac:dyDescent="0.35">
      <c r="A88" s="176">
        <v>43374</v>
      </c>
      <c r="B88" s="207">
        <f t="shared" si="33"/>
        <v>31</v>
      </c>
      <c r="C88" s="226">
        <f t="shared" si="35"/>
        <v>545.14156168933403</v>
      </c>
      <c r="D88" s="181">
        <f t="shared" si="36"/>
        <v>18.308686905963228</v>
      </c>
      <c r="E88" s="178">
        <f t="shared" si="37"/>
        <v>13.742845903499997</v>
      </c>
      <c r="F88" s="179">
        <f t="shared" si="38"/>
        <v>99.808261723978561</v>
      </c>
      <c r="G88" s="180">
        <f t="shared" si="39"/>
        <v>34.965379766753884</v>
      </c>
      <c r="H88" s="181">
        <f t="shared" si="40"/>
        <v>10.610090215159508</v>
      </c>
      <c r="I88" s="181">
        <f t="shared" si="41"/>
        <v>21.403699294458981</v>
      </c>
      <c r="J88" s="181">
        <f t="shared" si="42"/>
        <v>8.8649108138515835</v>
      </c>
      <c r="K88" s="181">
        <f t="shared" si="43"/>
        <v>12.813007265946107</v>
      </c>
      <c r="L88" s="181">
        <f>SUM($AH88)</f>
        <v>6.3983999999999996</v>
      </c>
      <c r="M88" s="182">
        <f>SUM($AI88)*SUM($G88:$L88)</f>
        <v>4.7527743678085033</v>
      </c>
      <c r="N88" s="273">
        <f>IF($I$2="RRO (Capped)",VLOOKUP(A88,'Misc. Data &amp; Mechanisms'!$A$1278:$E$1368,2,FALSE),IF($I$2="RRO (Uncapped)",VLOOKUP(A88,'Misc. Data &amp; Mechanisms'!$G$1278:$K$1368,2,FALSE),AQ88))</f>
        <v>6.4139999999999997</v>
      </c>
      <c r="O88" s="194">
        <f>($N88/100)*$C88</f>
        <v>34.965379766753884</v>
      </c>
      <c r="P88" s="228">
        <v>1.9462999999999999</v>
      </c>
      <c r="Q88" s="194">
        <f t="shared" si="24"/>
        <v>10.610090215159508</v>
      </c>
      <c r="R88" s="204">
        <v>1.069</v>
      </c>
      <c r="S88" s="1504">
        <v>0.50245600000000001</v>
      </c>
      <c r="T88" s="183">
        <f t="shared" si="25"/>
        <v>5.8275632944589804</v>
      </c>
      <c r="U88" s="194">
        <f t="shared" si="26"/>
        <v>15.576136</v>
      </c>
      <c r="V88" s="209">
        <v>0.1111</v>
      </c>
      <c r="W88" s="183">
        <f t="shared" si="27"/>
        <v>4.9802571217652272</v>
      </c>
      <c r="X88" s="194">
        <f>$V88*$G88</f>
        <v>3.8846536920863568</v>
      </c>
      <c r="Y88" s="1548">
        <v>0.31819999999999998</v>
      </c>
      <c r="Z88" s="1174">
        <v>2.0322</v>
      </c>
      <c r="AA88" s="126"/>
      <c r="AB88" s="1241"/>
      <c r="AC88" s="192">
        <f t="shared" si="29"/>
        <v>1.7346404492954608</v>
      </c>
      <c r="AD88" s="192">
        <f t="shared" si="30"/>
        <v>11.078366816650647</v>
      </c>
      <c r="AE88" s="192">
        <f t="shared" si="31"/>
        <v>0</v>
      </c>
      <c r="AF88" s="203">
        <f t="shared" si="32"/>
        <v>0</v>
      </c>
      <c r="AG88" s="200">
        <f>IF(OR($I$2="RRO (Capped)",$I$2="RRO (Uncapped)"),VLOOKUP(A88,'Misc. Data &amp; Mechanisms'!$A$1483:$H$1574,2,FALSE),AR88)</f>
        <v>0.2064</v>
      </c>
      <c r="AH88" s="203">
        <f t="shared" si="45"/>
        <v>6.3983999999999996</v>
      </c>
      <c r="AI88" s="1251">
        <f>5%</f>
        <v>0.05</v>
      </c>
      <c r="AJ88" s="341">
        <f>'Misc. Data &amp; Mechanisms'!AH361</f>
        <v>483.77539272615178</v>
      </c>
      <c r="AK88" s="1087">
        <f>'Misc. Data &amp; Mechanisms'!AP361</f>
        <v>518.24357537617379</v>
      </c>
      <c r="AL88" s="1087">
        <f>'Misc. Data &amp; Mechanisms'!K361</f>
        <v>545.14156168933403</v>
      </c>
      <c r="AM88" s="1087">
        <f>'Misc. Data &amp; Mechanisms'!L361</f>
        <v>413.71210822269967</v>
      </c>
      <c r="AN88" s="1087">
        <f>'Misc. Data &amp; Mechanisms'!M361</f>
        <v>306.17448935849865</v>
      </c>
      <c r="AO88" s="1466">
        <f>'Misc. Data &amp; Mechanisms'!$B$259</f>
        <v>611.34673880086393</v>
      </c>
      <c r="AP88" s="197">
        <f>IFERROR(IF('Personalized Bill Menu'!$B$30="Yes", IF('Personalized Bill Menu'!$B$34="Natural Gas",0,VLOOKUP($A88, 'Personalized Bill Menu'!$H$4:$L$93, 2, FALSE)), 0), 0)</f>
        <v>0</v>
      </c>
      <c r="AQ88" s="1343">
        <f>IFERROR(IF('Personalized Bill Menu'!$C$36="Custom", IF('Personalized Bill Menu'!$B$34="Natural Gas",0,VLOOKUP($A88, 'Personalized Bill Menu'!$H$4:$L$93, 3, FALSE)), 0), 0)</f>
        <v>0</v>
      </c>
      <c r="AR88" s="1344">
        <f>IFERROR(IF('Personalized Bill Menu'!$C$36="Custom", IF('Personalized Bill Menu'!$B$34="Natural Gas",0,VLOOKUP($A88, 'Personalized Bill Menu'!$H$4:$L$93, 4, FALSE)), 0), 0)</f>
        <v>0</v>
      </c>
    </row>
    <row r="89" spans="1:44" s="108" customFormat="1" x14ac:dyDescent="0.35">
      <c r="A89" s="176">
        <v>43405</v>
      </c>
      <c r="B89" s="207">
        <f t="shared" si="33"/>
        <v>30</v>
      </c>
      <c r="C89" s="226">
        <f t="shared" si="35"/>
        <v>584.09010167112854</v>
      </c>
      <c r="D89" s="181">
        <f t="shared" si="36"/>
        <v>17.740762989411799</v>
      </c>
      <c r="E89" s="178">
        <f t="shared" si="37"/>
        <v>13.616847163499999</v>
      </c>
      <c r="F89" s="179">
        <f t="shared" si="38"/>
        <v>103.62204058208933</v>
      </c>
      <c r="G89" s="180">
        <f t="shared" si="39"/>
        <v>36.832721811381369</v>
      </c>
      <c r="H89" s="181">
        <f t="shared" si="40"/>
        <v>11.368145648825173</v>
      </c>
      <c r="I89" s="181">
        <f t="shared" si="41"/>
        <v>21.317603186864364</v>
      </c>
      <c r="J89" s="181">
        <f t="shared" si="42"/>
        <v>9.2487333004788272</v>
      </c>
      <c r="K89" s="181">
        <f t="shared" si="43"/>
        <v>13.728453749678206</v>
      </c>
      <c r="L89" s="181">
        <f t="shared" si="44"/>
        <v>6.1920000000000002</v>
      </c>
      <c r="M89" s="182">
        <f t="shared" si="23"/>
        <v>4.9343828848613969</v>
      </c>
      <c r="N89" s="273">
        <f>IF($I$2="RRO (Capped)",VLOOKUP(A89,'Misc. Data &amp; Mechanisms'!$A$1278:$E$1368,2,FALSE),IF($I$2="RRO (Uncapped)",VLOOKUP(A89,'Misc. Data &amp; Mechanisms'!$G$1278:$K$1368,2,FALSE),AQ89))</f>
        <v>6.306</v>
      </c>
      <c r="O89" s="194">
        <f t="shared" si="34"/>
        <v>36.832721811381369</v>
      </c>
      <c r="P89" s="228">
        <v>1.9462999999999999</v>
      </c>
      <c r="Q89" s="194">
        <f t="shared" si="24"/>
        <v>11.368145648825173</v>
      </c>
      <c r="R89" s="204">
        <v>1.069</v>
      </c>
      <c r="S89" s="1504">
        <v>0.50245600000000001</v>
      </c>
      <c r="T89" s="183">
        <f t="shared" si="25"/>
        <v>6.2439231868643637</v>
      </c>
      <c r="U89" s="194">
        <f t="shared" si="26"/>
        <v>15.07368</v>
      </c>
      <c r="V89" s="209">
        <v>0.1111</v>
      </c>
      <c r="W89" s="183">
        <f t="shared" si="27"/>
        <v>5.1566179072343568</v>
      </c>
      <c r="X89" s="194">
        <f t="shared" si="28"/>
        <v>4.0921153932444705</v>
      </c>
      <c r="Y89" s="1548">
        <v>0.31819999999999998</v>
      </c>
      <c r="Z89" s="1174">
        <v>2.0322</v>
      </c>
      <c r="AA89" s="126"/>
      <c r="AB89" s="1241"/>
      <c r="AC89" s="192">
        <f t="shared" si="29"/>
        <v>1.8585747035175311</v>
      </c>
      <c r="AD89" s="192">
        <f t="shared" si="30"/>
        <v>11.869879046160674</v>
      </c>
      <c r="AE89" s="192">
        <f t="shared" si="31"/>
        <v>0</v>
      </c>
      <c r="AF89" s="203">
        <f t="shared" si="32"/>
        <v>0</v>
      </c>
      <c r="AG89" s="200">
        <f>IF(OR($I$2="RRO (Capped)",$I$2="RRO (Uncapped)"),VLOOKUP(A89,'Misc. Data &amp; Mechanisms'!$A$1483:$H$1574,2,FALSE),AR89)</f>
        <v>0.2064</v>
      </c>
      <c r="AH89" s="203">
        <f t="shared" si="45"/>
        <v>6.1920000000000002</v>
      </c>
      <c r="AI89" s="1251">
        <f>5%</f>
        <v>0.05</v>
      </c>
      <c r="AJ89" s="341">
        <f>'Misc. Data &amp; Mechanisms'!AH362</f>
        <v>518.33952532945671</v>
      </c>
      <c r="AK89" s="1087">
        <f>'Misc. Data &amp; Mechanisms'!AP362</f>
        <v>558.99945163674511</v>
      </c>
      <c r="AL89" s="1087">
        <f>'Misc. Data &amp; Mechanisms'!K362</f>
        <v>584.09010167112854</v>
      </c>
      <c r="AM89" s="1087">
        <f>'Misc. Data &amp; Mechanisms'!L362</f>
        <v>443.27045365160149</v>
      </c>
      <c r="AN89" s="1087">
        <f>'Misc. Data &amp; Mechanisms'!M362</f>
        <v>328.04963185035081</v>
      </c>
      <c r="AO89" s="1466">
        <f>'Misc. Data &amp; Mechanisms'!$B$259</f>
        <v>611.34673880086393</v>
      </c>
      <c r="AP89" s="197">
        <f>IFERROR(IF('Personalized Bill Menu'!$B$30="Yes", IF('Personalized Bill Menu'!$B$34="Natural Gas",0,VLOOKUP($A89, 'Personalized Bill Menu'!$H$4:$L$93, 2, FALSE)), 0), 0)</f>
        <v>0</v>
      </c>
      <c r="AQ89" s="1343">
        <f>IFERROR(IF('Personalized Bill Menu'!$C$36="Custom", IF('Personalized Bill Menu'!$B$34="Natural Gas",0,VLOOKUP($A89, 'Personalized Bill Menu'!$H$4:$L$93, 3, FALSE)), 0), 0)</f>
        <v>0</v>
      </c>
      <c r="AR89" s="1344">
        <f>IFERROR(IF('Personalized Bill Menu'!$C$36="Custom", IF('Personalized Bill Menu'!$B$34="Natural Gas",0,VLOOKUP($A89, 'Personalized Bill Menu'!$H$4:$L$93, 4, FALSE)), 0), 0)</f>
        <v>0</v>
      </c>
    </row>
    <row r="90" spans="1:44" s="108" customFormat="1" x14ac:dyDescent="0.35">
      <c r="A90" s="229">
        <v>43435</v>
      </c>
      <c r="B90" s="230">
        <f t="shared" si="33"/>
        <v>31</v>
      </c>
      <c r="C90" s="231">
        <f t="shared" si="35"/>
        <v>627.91108023765605</v>
      </c>
      <c r="D90" s="208">
        <f t="shared" si="36"/>
        <v>18.157159082312472</v>
      </c>
      <c r="E90" s="208">
        <f t="shared" si="37"/>
        <v>14.193174733499999</v>
      </c>
      <c r="F90" s="232">
        <f t="shared" si="38"/>
        <v>114.01081373421792</v>
      </c>
      <c r="G90" s="233">
        <f t="shared" si="39"/>
        <v>42.697953456160612</v>
      </c>
      <c r="H90" s="208">
        <f t="shared" si="40"/>
        <v>12.221033354665499</v>
      </c>
      <c r="I90" s="208">
        <f t="shared" si="41"/>
        <v>22.288505447740544</v>
      </c>
      <c r="J90" s="208">
        <f t="shared" si="42"/>
        <v>10.217413077449297</v>
      </c>
      <c r="K90" s="208">
        <f t="shared" si="43"/>
        <v>14.758422029905867</v>
      </c>
      <c r="L90" s="208">
        <f t="shared" si="44"/>
        <v>6.3983999999999996</v>
      </c>
      <c r="M90" s="234">
        <f t="shared" si="23"/>
        <v>5.4290863682960913</v>
      </c>
      <c r="N90" s="1243">
        <f>IF($I$2="RRO (Capped)",VLOOKUP(A90,'Misc. Data &amp; Mechanisms'!$A$1278:$E$1368,2,FALSE),IF($I$2="RRO (Uncapped)",VLOOKUP(A90,'Misc. Data &amp; Mechanisms'!$G$1278:$K$1368,2,FALSE),AQ90))</f>
        <v>6.8</v>
      </c>
      <c r="O90" s="237">
        <f t="shared" si="34"/>
        <v>42.697953456160612</v>
      </c>
      <c r="P90" s="1554">
        <v>1.9462999999999999</v>
      </c>
      <c r="Q90" s="237">
        <f t="shared" si="24"/>
        <v>12.221033354665499</v>
      </c>
      <c r="R90" s="1236">
        <v>1.069</v>
      </c>
      <c r="S90" s="1555">
        <v>0.50245600000000001</v>
      </c>
      <c r="T90" s="235">
        <f t="shared" si="25"/>
        <v>6.7123694477405431</v>
      </c>
      <c r="U90" s="237">
        <f t="shared" si="26"/>
        <v>15.576136</v>
      </c>
      <c r="V90" s="238">
        <v>0.1111</v>
      </c>
      <c r="W90" s="235">
        <f t="shared" si="27"/>
        <v>5.4736704484698535</v>
      </c>
      <c r="X90" s="237">
        <f t="shared" si="28"/>
        <v>4.7437426289794438</v>
      </c>
      <c r="Y90" s="1556">
        <v>0.31819999999999998</v>
      </c>
      <c r="Z90" s="1556">
        <v>2.0322</v>
      </c>
      <c r="AA90" s="238"/>
      <c r="AB90" s="1557"/>
      <c r="AC90" s="240">
        <f t="shared" si="29"/>
        <v>1.9980130573162216</v>
      </c>
      <c r="AD90" s="240">
        <f t="shared" si="30"/>
        <v>12.760408972589646</v>
      </c>
      <c r="AE90" s="240">
        <f t="shared" si="31"/>
        <v>0</v>
      </c>
      <c r="AF90" s="241">
        <f t="shared" si="32"/>
        <v>0</v>
      </c>
      <c r="AG90" s="239">
        <f>IF(OR($I$2="RRO (Capped)",$I$2="RRO (Uncapped)"),VLOOKUP(A90,'Misc. Data &amp; Mechanisms'!$A$1483:$H$1574,2,FALSE),AR90)</f>
        <v>0.2064</v>
      </c>
      <c r="AH90" s="241">
        <f t="shared" si="45"/>
        <v>6.3983999999999996</v>
      </c>
      <c r="AI90" s="1558">
        <f>5%</f>
        <v>0.05</v>
      </c>
      <c r="AJ90" s="352">
        <f>'Misc. Data &amp; Mechanisms'!AH363</f>
        <v>557.22760982987734</v>
      </c>
      <c r="AK90" s="1089">
        <f>'Misc. Data &amp; Mechanisms'!AP363</f>
        <v>636.47941123700036</v>
      </c>
      <c r="AL90" s="1089">
        <f>'Misc. Data &amp; Mechanisms'!K363</f>
        <v>627.91108023765605</v>
      </c>
      <c r="AM90" s="1089">
        <f>'Misc. Data &amp; Mechanisms'!L363</f>
        <v>476.52653005670845</v>
      </c>
      <c r="AN90" s="1089">
        <f>'Misc. Data &amp; Mechanisms'!M363</f>
        <v>352.66134131939009</v>
      </c>
      <c r="AO90" s="1559">
        <f>'Misc. Data &amp; Mechanisms'!$B$259</f>
        <v>611.34673880086393</v>
      </c>
      <c r="AP90" s="243">
        <f>IFERROR(IF('Personalized Bill Menu'!$B$30="Yes", IF('Personalized Bill Menu'!$B$34="Natural Gas",0,VLOOKUP($A90, 'Personalized Bill Menu'!$H$4:$L$93, 2, FALSE)), 0), 0)</f>
        <v>0</v>
      </c>
      <c r="AQ90" s="1560">
        <f>IFERROR(IF('Personalized Bill Menu'!$C$36="Custom", IF('Personalized Bill Menu'!$B$34="Natural Gas",0,VLOOKUP($A90, 'Personalized Bill Menu'!$H$4:$L$93, 3, FALSE)), 0), 0)</f>
        <v>0</v>
      </c>
      <c r="AR90" s="1346">
        <f>IFERROR(IF('Personalized Bill Menu'!$C$36="Custom", IF('Personalized Bill Menu'!$B$34="Natural Gas",0,VLOOKUP($A90, 'Personalized Bill Menu'!$H$4:$L$93, 4, FALSE)), 0), 0)</f>
        <v>0</v>
      </c>
    </row>
    <row r="91" spans="1:44" s="108" customFormat="1" x14ac:dyDescent="0.35">
      <c r="A91" s="210">
        <v>43466</v>
      </c>
      <c r="B91" s="211">
        <f t="shared" si="33"/>
        <v>31</v>
      </c>
      <c r="C91" s="212">
        <f t="shared" si="35"/>
        <v>604.05865639280523</v>
      </c>
      <c r="D91" s="215">
        <f t="shared" si="36"/>
        <v>19.021986093833895</v>
      </c>
      <c r="E91" s="215">
        <f t="shared" si="37"/>
        <v>14.726905396140001</v>
      </c>
      <c r="F91" s="213">
        <f t="shared" si="38"/>
        <v>114.90395361763929</v>
      </c>
      <c r="G91" s="214">
        <f t="shared" si="39"/>
        <v>41.075988634710761</v>
      </c>
      <c r="H91" s="215">
        <f t="shared" si="40"/>
        <v>11.756793629373167</v>
      </c>
      <c r="I91" s="215">
        <f t="shared" si="41"/>
        <v>22.471725425714638</v>
      </c>
      <c r="J91" s="215">
        <f t="shared" si="42"/>
        <v>10.302466363166253</v>
      </c>
      <c r="K91" s="215">
        <f t="shared" si="43"/>
        <v>17.426962725739266</v>
      </c>
      <c r="L91" s="215">
        <f t="shared" si="44"/>
        <v>6.3983999999999996</v>
      </c>
      <c r="M91" s="216">
        <f t="shared" si="23"/>
        <v>5.4716168389352049</v>
      </c>
      <c r="N91" s="1244">
        <f>IF($I$2="RRO (Capped)",VLOOKUP(A91,'Misc. Data &amp; Mechanisms'!$A$1278:$E$1368,2,FALSE),IF($I$2="RRO (Uncapped)",VLOOKUP(A91,'Misc. Data &amp; Mechanisms'!$G$1278:$K$1368,2,FALSE),AQ91))</f>
        <v>6.8</v>
      </c>
      <c r="O91" s="217">
        <f t="shared" si="34"/>
        <v>41.075988634710761</v>
      </c>
      <c r="P91" s="218">
        <v>1.9462999999999999</v>
      </c>
      <c r="Q91" s="217">
        <f t="shared" si="24"/>
        <v>11.756793629373167</v>
      </c>
      <c r="R91" s="218">
        <v>1.0475000000000001</v>
      </c>
      <c r="S91" s="1237">
        <v>0.52078100000000005</v>
      </c>
      <c r="T91" s="217">
        <f t="shared" si="25"/>
        <v>6.3275144257146358</v>
      </c>
      <c r="U91" s="219">
        <f t="shared" si="26"/>
        <v>16.144211000000002</v>
      </c>
      <c r="V91" s="220">
        <v>0.1111</v>
      </c>
      <c r="W91" s="217">
        <f t="shared" si="27"/>
        <v>5.7389240258498875</v>
      </c>
      <c r="X91" s="217">
        <f t="shared" si="28"/>
        <v>4.5635423373163659</v>
      </c>
      <c r="Y91" s="221">
        <v>0.2969</v>
      </c>
      <c r="Z91" s="1238">
        <v>2.5106999999999999</v>
      </c>
      <c r="AA91" s="245">
        <v>2.0799999999999999E-2</v>
      </c>
      <c r="AB91" s="1451"/>
      <c r="AC91" s="223">
        <f t="shared" si="29"/>
        <v>1.7934501508302387</v>
      </c>
      <c r="AD91" s="223">
        <f t="shared" si="30"/>
        <v>15.166100686054161</v>
      </c>
      <c r="AE91" s="223">
        <f t="shared" si="31"/>
        <v>0.46741188885486445</v>
      </c>
      <c r="AF91" s="224">
        <f t="shared" si="32"/>
        <v>0</v>
      </c>
      <c r="AG91" s="200">
        <f>IF(OR($I$2="RRO (Capped)",$I$2="RRO (Uncapped)"),VLOOKUP(A91,'Misc. Data &amp; Mechanisms'!$A$1483:$H$1574,2,FALSE),AR91)</f>
        <v>0.2064</v>
      </c>
      <c r="AH91" s="224">
        <f t="shared" si="45"/>
        <v>6.3983999999999996</v>
      </c>
      <c r="AI91" s="225">
        <f>5%</f>
        <v>0.05</v>
      </c>
      <c r="AJ91" s="341">
        <f>'Misc. Data &amp; Mechanisms'!AH364</f>
        <v>536.06023510751243</v>
      </c>
      <c r="AK91" s="1087">
        <f>'Misc. Data &amp; Mechanisms'!AP364</f>
        <v>615.09301063584405</v>
      </c>
      <c r="AL91" s="1087">
        <f>'Misc. Data &amp; Mechanisms'!K364</f>
        <v>604.05865639280523</v>
      </c>
      <c r="AM91" s="1087">
        <f>'Misc. Data &amp; Mechanisms'!L364</f>
        <v>458.42474283561552</v>
      </c>
      <c r="AN91" s="1087">
        <f>'Misc. Data &amp; Mechanisms'!M364</f>
        <v>339.26481424479232</v>
      </c>
      <c r="AO91" s="1465">
        <f>'Misc. Data &amp; Mechanisms'!$B$259</f>
        <v>611.34673880086393</v>
      </c>
      <c r="AP91" s="197">
        <f>IFERROR(IF('Personalized Bill Menu'!$B$30="Yes", IF('Personalized Bill Menu'!$B$34="Natural Gas",0,VLOOKUP($A91, 'Personalized Bill Menu'!$H$4:$L$93, 2, FALSE)), 0), 0)</f>
        <v>0</v>
      </c>
      <c r="AQ91" s="1343">
        <f>IFERROR(IF('Personalized Bill Menu'!$C$36="Custom", IF('Personalized Bill Menu'!$B$34="Natural Gas",0,VLOOKUP($A91, 'Personalized Bill Menu'!$H$4:$L$93, 3, FALSE)), 0), 0)</f>
        <v>0</v>
      </c>
      <c r="AR91" s="1344">
        <f>IFERROR(IF('Personalized Bill Menu'!$C$36="Custom", IF('Personalized Bill Menu'!$B$34="Natural Gas",0,VLOOKUP($A91, 'Personalized Bill Menu'!$H$4:$L$93, 4, FALSE)), 0), 0)</f>
        <v>0</v>
      </c>
    </row>
    <row r="92" spans="1:44" s="108" customFormat="1" x14ac:dyDescent="0.35">
      <c r="A92" s="176">
        <v>43497</v>
      </c>
      <c r="B92" s="207">
        <f t="shared" si="33"/>
        <v>28</v>
      </c>
      <c r="C92" s="226">
        <f t="shared" si="35"/>
        <v>631.39549774534771</v>
      </c>
      <c r="D92" s="181">
        <f t="shared" si="36"/>
        <v>18.438369777311657</v>
      </c>
      <c r="E92" s="178">
        <f t="shared" si="37"/>
        <v>14.726905396140001</v>
      </c>
      <c r="F92" s="179">
        <f t="shared" si="38"/>
        <v>116.41903663158469</v>
      </c>
      <c r="G92" s="180">
        <f t="shared" si="39"/>
        <v>42.93489384668365</v>
      </c>
      <c r="H92" s="181">
        <f t="shared" si="40"/>
        <v>12.288850572617701</v>
      </c>
      <c r="I92" s="181">
        <f t="shared" si="41"/>
        <v>21.19573583888252</v>
      </c>
      <c r="J92" s="181">
        <f t="shared" si="42"/>
        <v>10.508661424130576</v>
      </c>
      <c r="K92" s="181">
        <f t="shared" si="43"/>
        <v>18.167931300147139</v>
      </c>
      <c r="L92" s="181">
        <f t="shared" si="44"/>
        <v>5.7792000000000003</v>
      </c>
      <c r="M92" s="182">
        <f t="shared" si="23"/>
        <v>5.5437636491230808</v>
      </c>
      <c r="N92" s="273">
        <f>IF($I$2="RRO (Capped)",VLOOKUP(A92,'Misc. Data &amp; Mechanisms'!$A$1278:$E$1368,2,FALSE),IF($I$2="RRO (Uncapped)",VLOOKUP(A92,'Misc. Data &amp; Mechanisms'!$G$1278:$K$1368,2,FALSE),AQ92))</f>
        <v>6.8</v>
      </c>
      <c r="O92" s="183">
        <f t="shared" si="34"/>
        <v>42.93489384668365</v>
      </c>
      <c r="P92" s="244">
        <v>1.9462999999999999</v>
      </c>
      <c r="Q92" s="183">
        <f t="shared" si="24"/>
        <v>12.288850572617701</v>
      </c>
      <c r="R92" s="198">
        <v>1.0475000000000001</v>
      </c>
      <c r="S92" s="227">
        <v>0.52078100000000005</v>
      </c>
      <c r="T92" s="183">
        <f t="shared" si="25"/>
        <v>6.6138678388825181</v>
      </c>
      <c r="U92" s="194">
        <f t="shared" si="26"/>
        <v>14.581868000000002</v>
      </c>
      <c r="V92" s="209">
        <v>0.1111</v>
      </c>
      <c r="W92" s="183">
        <f t="shared" si="27"/>
        <v>5.7385947177640215</v>
      </c>
      <c r="X92" s="183">
        <f t="shared" si="28"/>
        <v>4.7700667063665536</v>
      </c>
      <c r="Y92" s="1240">
        <v>0.2969</v>
      </c>
      <c r="Z92" s="1174">
        <v>2.5106999999999999</v>
      </c>
      <c r="AA92" s="126">
        <v>2.0799999999999999E-2</v>
      </c>
      <c r="AB92" s="1452"/>
      <c r="AC92" s="192">
        <f t="shared" si="29"/>
        <v>1.8746132328059373</v>
      </c>
      <c r="AD92" s="192">
        <f t="shared" si="30"/>
        <v>15.852446761892445</v>
      </c>
      <c r="AE92" s="192">
        <f t="shared" si="31"/>
        <v>0.44087130544875641</v>
      </c>
      <c r="AF92" s="203">
        <f t="shared" si="32"/>
        <v>0</v>
      </c>
      <c r="AG92" s="200">
        <f>IF(OR($I$2="RRO (Capped)",$I$2="RRO (Uncapped)"),VLOOKUP(A92,'Misc. Data &amp; Mechanisms'!$A$1483:$H$1574,2,FALSE),AR92)</f>
        <v>0.2064</v>
      </c>
      <c r="AH92" s="203">
        <f t="shared" si="45"/>
        <v>5.7792000000000003</v>
      </c>
      <c r="AI92" s="129">
        <f>5%</f>
        <v>0.05</v>
      </c>
      <c r="AJ92" s="341">
        <f>'Misc. Data &amp; Mechanisms'!AH365</f>
        <v>560.3197891217693</v>
      </c>
      <c r="AK92" s="1087">
        <f>'Misc. Data &amp; Mechanisms'!AP365</f>
        <v>628.7226143304714</v>
      </c>
      <c r="AL92" s="1087">
        <f>'Misc. Data &amp; Mechanisms'!K365</f>
        <v>631.39549774534771</v>
      </c>
      <c r="AM92" s="1087">
        <f>'Misc. Data &amp; Mechanisms'!L365</f>
        <v>479.17088120206597</v>
      </c>
      <c r="AN92" s="1087">
        <f>'Misc. Data &amp; Mechanisms'!M365</f>
        <v>354.61833712764087</v>
      </c>
      <c r="AO92" s="1466">
        <f>'Misc. Data &amp; Mechanisms'!$B$259</f>
        <v>611.34673880086393</v>
      </c>
      <c r="AP92" s="197">
        <f>IFERROR(IF('Personalized Bill Menu'!$B$30="Yes", IF('Personalized Bill Menu'!$B$34="Natural Gas",0,VLOOKUP($A92, 'Personalized Bill Menu'!$H$4:$L$93, 2, FALSE)), 0), 0)</f>
        <v>0</v>
      </c>
      <c r="AQ92" s="1343">
        <f>IFERROR(IF('Personalized Bill Menu'!$C$36="Custom", IF('Personalized Bill Menu'!$B$34="Natural Gas",0,VLOOKUP($A92, 'Personalized Bill Menu'!$H$4:$L$93, 3, FALSE)), 0), 0)</f>
        <v>0</v>
      </c>
      <c r="AR92" s="1344">
        <f>IFERROR(IF('Personalized Bill Menu'!$C$36="Custom", IF('Personalized Bill Menu'!$B$34="Natural Gas",0,VLOOKUP($A92, 'Personalized Bill Menu'!$H$4:$L$93, 4, FALSE)), 0), 0)</f>
        <v>0</v>
      </c>
    </row>
    <row r="93" spans="1:44" s="108" customFormat="1" x14ac:dyDescent="0.35">
      <c r="A93" s="176">
        <v>43525</v>
      </c>
      <c r="B93" s="207">
        <f t="shared" si="33"/>
        <v>31</v>
      </c>
      <c r="C93" s="226">
        <f t="shared" si="35"/>
        <v>578.27899102446463</v>
      </c>
      <c r="D93" s="181">
        <f>IFERROR(($F93*100)/$C93, "")</f>
        <v>18.179804371826151</v>
      </c>
      <c r="E93" s="178">
        <f t="shared" si="37"/>
        <v>13.69324906614</v>
      </c>
      <c r="F93" s="179">
        <f t="shared" si="38"/>
        <v>105.12998929161778</v>
      </c>
      <c r="G93" s="180">
        <f t="shared" si="39"/>
        <v>34.199419529186834</v>
      </c>
      <c r="H93" s="181">
        <f t="shared" si="40"/>
        <v>11.255044002309154</v>
      </c>
      <c r="I93" s="181">
        <f t="shared" si="41"/>
        <v>22.201683430981269</v>
      </c>
      <c r="J93" s="181">
        <f t="shared" si="42"/>
        <v>9.3716963955057278</v>
      </c>
      <c r="K93" s="181">
        <f t="shared" si="43"/>
        <v>16.697555967367279</v>
      </c>
      <c r="L93" s="181">
        <f t="shared" si="44"/>
        <v>6.3983999999999996</v>
      </c>
      <c r="M93" s="182">
        <f t="shared" si="23"/>
        <v>5.0061899662675131</v>
      </c>
      <c r="N93" s="273">
        <f>IF($I$2="RRO (Capped)",VLOOKUP(A93,'Misc. Data &amp; Mechanisms'!$A$1278:$E$1368,2,FALSE),IF($I$2="RRO (Uncapped)",VLOOKUP(A93,'Misc. Data &amp; Mechanisms'!$G$1278:$K$1368,2,FALSE),AQ93))</f>
        <v>5.9139999999999997</v>
      </c>
      <c r="O93" s="183">
        <f t="shared" si="34"/>
        <v>34.199419529186834</v>
      </c>
      <c r="P93" s="244">
        <v>1.9462999999999999</v>
      </c>
      <c r="Q93" s="183">
        <f t="shared" si="24"/>
        <v>11.255044002309154</v>
      </c>
      <c r="R93" s="198">
        <v>1.0475000000000001</v>
      </c>
      <c r="S93" s="227">
        <v>0.52078100000000005</v>
      </c>
      <c r="T93" s="183">
        <f t="shared" si="25"/>
        <v>6.0574724309812682</v>
      </c>
      <c r="U93" s="194">
        <f t="shared" si="26"/>
        <v>16.144211000000002</v>
      </c>
      <c r="V93" s="209">
        <v>0.1111</v>
      </c>
      <c r="W93" s="183">
        <f t="shared" si="27"/>
        <v>5.572140885813071</v>
      </c>
      <c r="X93" s="183">
        <f t="shared" si="28"/>
        <v>3.7995555096926572</v>
      </c>
      <c r="Y93" s="1240">
        <v>0.2969</v>
      </c>
      <c r="Z93" s="1174">
        <v>2.5106999999999999</v>
      </c>
      <c r="AA93" s="126">
        <v>2.0799999999999999E-2</v>
      </c>
      <c r="AB93" s="1452"/>
      <c r="AC93" s="192">
        <f t="shared" si="29"/>
        <v>1.7169103243516355</v>
      </c>
      <c r="AD93" s="192">
        <f t="shared" si="30"/>
        <v>14.518850627651235</v>
      </c>
      <c r="AE93" s="192">
        <f t="shared" si="31"/>
        <v>0.46179501536441037</v>
      </c>
      <c r="AF93" s="203">
        <f t="shared" si="32"/>
        <v>0</v>
      </c>
      <c r="AG93" s="200">
        <f>IF(OR($I$2="RRO (Capped)",$I$2="RRO (Uncapped)"),VLOOKUP(A93,'Misc. Data &amp; Mechanisms'!$A$1483:$H$1574,2,FALSE),AR93)</f>
        <v>0.2064</v>
      </c>
      <c r="AH93" s="203">
        <f t="shared" si="45"/>
        <v>6.3983999999999996</v>
      </c>
      <c r="AI93" s="129">
        <f>5%</f>
        <v>0.05</v>
      </c>
      <c r="AJ93" s="341">
        <f>'Misc. Data &amp; Mechanisms'!AH366</f>
        <v>513.18256696702122</v>
      </c>
      <c r="AK93" s="1087">
        <f>'Misc. Data &amp; Mechanisms'!AP366</f>
        <v>563.12747608717223</v>
      </c>
      <c r="AL93" s="1087">
        <f>'Misc. Data &amp; Mechanisms'!K366</f>
        <v>578.27899102446463</v>
      </c>
      <c r="AM93" s="1087">
        <f>'Misc. Data &amp; Mechanisms'!L366</f>
        <v>438.8603572551782</v>
      </c>
      <c r="AN93" s="1087">
        <f>'Misc. Data &amp; Mechanisms'!M366</f>
        <v>324.78586705990909</v>
      </c>
      <c r="AO93" s="1463">
        <f>'Misc. Data &amp; Mechanisms'!$B$259</f>
        <v>611.34673880086393</v>
      </c>
      <c r="AP93" s="197">
        <f>IFERROR(IF('Personalized Bill Menu'!$B$30="Yes", IF('Personalized Bill Menu'!$B$34="Natural Gas",0,VLOOKUP($A93, 'Personalized Bill Menu'!$H$4:$L$93, 2, FALSE)), 0), 0)</f>
        <v>0</v>
      </c>
      <c r="AQ93" s="1343">
        <f>IFERROR(IF('Personalized Bill Menu'!$C$36="Custom", IF('Personalized Bill Menu'!$B$34="Natural Gas",0,VLOOKUP($A93, 'Personalized Bill Menu'!$H$4:$L$93, 3, FALSE)), 0), 0)</f>
        <v>0</v>
      </c>
      <c r="AR93" s="1344">
        <f>IFERROR(IF('Personalized Bill Menu'!$C$36="Custom", IF('Personalized Bill Menu'!$B$34="Natural Gas",0,VLOOKUP($A93, 'Personalized Bill Menu'!$H$4:$L$93, 4, FALSE)), 0), 0)</f>
        <v>0</v>
      </c>
    </row>
    <row r="94" spans="1:44" s="108" customFormat="1" x14ac:dyDescent="0.35">
      <c r="A94" s="176">
        <v>43556</v>
      </c>
      <c r="B94" s="207">
        <f t="shared" si="33"/>
        <v>30</v>
      </c>
      <c r="C94" s="1581">
        <f t="shared" si="35"/>
        <v>511.80512836511508</v>
      </c>
      <c r="D94" s="181">
        <f t="shared" ref="D94:D96" si="46">IFERROR(($F94*100)/$C94, "")</f>
        <v>18.889495656766915</v>
      </c>
      <c r="E94" s="178">
        <f t="shared" si="37"/>
        <v>13.983746161140001</v>
      </c>
      <c r="F94" s="179">
        <f t="shared" si="38"/>
        <v>96.677407493638754</v>
      </c>
      <c r="G94" s="180">
        <f t="shared" si="39"/>
        <v>31.051217137911532</v>
      </c>
      <c r="H94" s="181">
        <f t="shared" si="40"/>
        <v>9.9612632133702341</v>
      </c>
      <c r="I94" s="181">
        <f t="shared" si="41"/>
        <v>20.984588719624583</v>
      </c>
      <c r="J94" s="181">
        <f t="shared" si="42"/>
        <v>8.5873991990290754</v>
      </c>
      <c r="K94" s="181">
        <f t="shared" si="43"/>
        <v>15.297253152577673</v>
      </c>
      <c r="L94" s="181">
        <f t="shared" si="44"/>
        <v>6.1920000000000002</v>
      </c>
      <c r="M94" s="182">
        <f t="shared" si="23"/>
        <v>4.6036860711256553</v>
      </c>
      <c r="N94" s="273">
        <f>IF($I$2="RRO (Capped)",VLOOKUP(A94,'Misc. Data &amp; Mechanisms'!$A$1278:$E$1368,2,FALSE),IF($I$2="RRO (Uncapped)",VLOOKUP(A94,'Misc. Data &amp; Mechanisms'!$G$1278:$K$1368,2,FALSE),AQ94))</f>
        <v>6.0670000000000002</v>
      </c>
      <c r="O94" s="183">
        <f t="shared" si="34"/>
        <v>31.051217137911532</v>
      </c>
      <c r="P94" s="244">
        <v>1.9462999999999999</v>
      </c>
      <c r="Q94" s="183">
        <f t="shared" si="24"/>
        <v>9.9612632133702341</v>
      </c>
      <c r="R94" s="198">
        <v>1.0475000000000001</v>
      </c>
      <c r="S94" s="1504">
        <v>0.52078100000000005</v>
      </c>
      <c r="T94" s="183">
        <f t="shared" si="25"/>
        <v>5.3611587196245809</v>
      </c>
      <c r="U94" s="194">
        <f t="shared" si="26"/>
        <v>15.623430000000001</v>
      </c>
      <c r="V94" s="209">
        <v>0.1111</v>
      </c>
      <c r="W94" s="183">
        <f t="shared" si="27"/>
        <v>5.1376089750071037</v>
      </c>
      <c r="X94" s="183">
        <f t="shared" si="28"/>
        <v>3.4497902240219713</v>
      </c>
      <c r="Y94" s="1240">
        <v>0.2969</v>
      </c>
      <c r="Z94" s="1174">
        <v>2.6067</v>
      </c>
      <c r="AA94" s="126">
        <v>2.0799999999999999E-2</v>
      </c>
      <c r="AB94" s="1241"/>
      <c r="AC94" s="192">
        <f t="shared" si="29"/>
        <v>1.5195494261160265</v>
      </c>
      <c r="AD94" s="192">
        <f t="shared" si="30"/>
        <v>13.341224281093455</v>
      </c>
      <c r="AE94" s="192">
        <f t="shared" si="31"/>
        <v>0.43647944536819128</v>
      </c>
      <c r="AF94" s="203">
        <f t="shared" si="32"/>
        <v>0</v>
      </c>
      <c r="AG94" s="200">
        <f>IF(OR($I$2="RRO (Capped)",$I$2="RRO (Uncapped)"),VLOOKUP(A94,'Misc. Data &amp; Mechanisms'!$A$1483:$H$1574,2,FALSE),AR94)</f>
        <v>0.2064</v>
      </c>
      <c r="AH94" s="203">
        <f t="shared" si="45"/>
        <v>6.1920000000000002</v>
      </c>
      <c r="AI94" s="129">
        <f>5%</f>
        <v>0.05</v>
      </c>
      <c r="AJ94" s="341">
        <f>'Misc. Data &amp; Mechanisms'!AH367</f>
        <v>454.19161622315261</v>
      </c>
      <c r="AK94" s="1087">
        <f>'Misc. Data &amp; Mechanisms'!AP367</f>
        <v>476.24114859663291</v>
      </c>
      <c r="AL94" s="1087">
        <f>'Misc. Data &amp; Mechanisms'!K367</f>
        <v>511.80512836511508</v>
      </c>
      <c r="AM94" s="1087">
        <f>'Misc. Data &amp; Mechanisms'!L367</f>
        <v>388.41283353806705</v>
      </c>
      <c r="AN94" s="1087">
        <f>'Misc. Data &amp; Mechanisms'!M367</f>
        <v>287.45134262492962</v>
      </c>
      <c r="AO94" s="1463">
        <f>'Misc. Data &amp; Mechanisms'!$B$259</f>
        <v>611.34673880086393</v>
      </c>
      <c r="AP94" s="197">
        <f>IFERROR(IF('Personalized Bill Menu'!$B$30="Yes", IF('Personalized Bill Menu'!$B$34="Natural Gas",0,VLOOKUP($A94, 'Personalized Bill Menu'!$H$4:$L$93, 2, FALSE)), 0), 0)</f>
        <v>0</v>
      </c>
      <c r="AQ94" s="1343">
        <f>IFERROR(IF('Personalized Bill Menu'!$C$36="Custom", IF('Personalized Bill Menu'!$B$34="Natural Gas",0,VLOOKUP($A94, 'Personalized Bill Menu'!$H$4:$L$93, 3, FALSE)), 0), 0)</f>
        <v>0</v>
      </c>
      <c r="AR94" s="1344">
        <f>IFERROR(IF('Personalized Bill Menu'!$C$36="Custom", IF('Personalized Bill Menu'!$B$34="Natural Gas",0,VLOOKUP($A94, 'Personalized Bill Menu'!$H$4:$L$93, 4, FALSE)), 0), 0)</f>
        <v>0</v>
      </c>
    </row>
    <row r="95" spans="1:44" s="108" customFormat="1" x14ac:dyDescent="0.35">
      <c r="A95" s="176">
        <v>43586</v>
      </c>
      <c r="B95" s="207">
        <f t="shared" si="33"/>
        <v>31</v>
      </c>
      <c r="C95" s="1581">
        <f t="shared" si="35"/>
        <v>493.13403457407418</v>
      </c>
      <c r="D95" s="181">
        <f t="shared" si="46"/>
        <v>19.621783619828644</v>
      </c>
      <c r="E95" s="178">
        <f t="shared" si="37"/>
        <v>14.36057572614</v>
      </c>
      <c r="F95" s="179">
        <f t="shared" si="38"/>
        <v>96.761693219855815</v>
      </c>
      <c r="G95" s="180">
        <f t="shared" si="39"/>
        <v>31.51126480928334</v>
      </c>
      <c r="H95" s="181">
        <f t="shared" si="40"/>
        <v>9.5978677149152052</v>
      </c>
      <c r="I95" s="181">
        <f t="shared" si="41"/>
        <v>21.309790012163429</v>
      </c>
      <c r="J95" s="181">
        <f t="shared" si="42"/>
        <v>8.5747875462120167</v>
      </c>
      <c r="K95" s="181">
        <f t="shared" si="43"/>
        <v>14.761883460145818</v>
      </c>
      <c r="L95" s="181">
        <f t="shared" si="44"/>
        <v>6.3983999999999996</v>
      </c>
      <c r="M95" s="182">
        <f t="shared" si="23"/>
        <v>4.607699677135991</v>
      </c>
      <c r="N95" s="273">
        <f>IF($I$2="RRO (Capped)",VLOOKUP(A95,'Misc. Data &amp; Mechanisms'!$A$1278:$E$1368,2,FALSE),IF($I$2="RRO (Uncapped)",VLOOKUP(A95,'Misc. Data &amp; Mechanisms'!$G$1278:$K$1368,2,FALSE),AQ95))</f>
        <v>6.39</v>
      </c>
      <c r="O95" s="183">
        <f t="shared" si="34"/>
        <v>31.51126480928334</v>
      </c>
      <c r="P95" s="244">
        <v>1.9462999999999999</v>
      </c>
      <c r="Q95" s="183">
        <f t="shared" si="24"/>
        <v>9.5978677149152052</v>
      </c>
      <c r="R95" s="244">
        <v>1.0475000000000001</v>
      </c>
      <c r="S95" s="1504">
        <v>0.52078100000000005</v>
      </c>
      <c r="T95" s="183">
        <f t="shared" si="25"/>
        <v>5.1655790121634277</v>
      </c>
      <c r="U95" s="194">
        <f t="shared" si="26"/>
        <v>16.144211000000002</v>
      </c>
      <c r="V95" s="209">
        <v>0.1111</v>
      </c>
      <c r="W95" s="183">
        <f t="shared" si="27"/>
        <v>5.0738860259006371</v>
      </c>
      <c r="X95" s="183">
        <f t="shared" si="28"/>
        <v>3.5009015203113791</v>
      </c>
      <c r="Y95" s="1240">
        <v>0.2969</v>
      </c>
      <c r="Z95" s="1174">
        <v>2.6067</v>
      </c>
      <c r="AA95" s="126">
        <v>2.0799999999999999E-2</v>
      </c>
      <c r="AB95" s="1241"/>
      <c r="AC95" s="192">
        <f t="shared" si="29"/>
        <v>1.4641149486504261</v>
      </c>
      <c r="AD95" s="192">
        <f t="shared" si="30"/>
        <v>12.854524879242392</v>
      </c>
      <c r="AE95" s="192">
        <f t="shared" si="31"/>
        <v>0.44324363225299929</v>
      </c>
      <c r="AF95" s="203">
        <f t="shared" si="32"/>
        <v>0</v>
      </c>
      <c r="AG95" s="200">
        <f>IF(OR($I$2="RRO (Capped)",$I$2="RRO (Uncapped)"),VLOOKUP(A95,'Misc. Data &amp; Mechanisms'!$A$1483:$H$1574,2,FALSE),AR95)</f>
        <v>0.2064</v>
      </c>
      <c r="AH95" s="203">
        <f t="shared" si="45"/>
        <v>6.3983999999999996</v>
      </c>
      <c r="AI95" s="129">
        <f>5%</f>
        <v>0.05</v>
      </c>
      <c r="AJ95" s="341">
        <f>'Misc. Data &amp; Mechanisms'!AH368</f>
        <v>437.62231319038335</v>
      </c>
      <c r="AK95" s="1087">
        <f>'Misc. Data &amp; Mechanisms'!AP368</f>
        <v>471.85318476580102</v>
      </c>
      <c r="AL95" s="1087">
        <f>'Misc. Data &amp; Mechanisms'!K368</f>
        <v>493.13403457407418</v>
      </c>
      <c r="AM95" s="1087">
        <f>'Misc. Data &amp; Mechanisms'!L368</f>
        <v>374.24319739589129</v>
      </c>
      <c r="AN95" s="1087">
        <f>'Misc. Data &amp; Mechanisms'!M368</f>
        <v>276.96486900233248</v>
      </c>
      <c r="AO95" s="1463">
        <f>'Misc. Data &amp; Mechanisms'!$B$259</f>
        <v>611.34673880086393</v>
      </c>
      <c r="AP95" s="197">
        <f>IFERROR(IF('Personalized Bill Menu'!$B$30="Yes", IF('Personalized Bill Menu'!$B$34="Natural Gas",0,VLOOKUP($A95, 'Personalized Bill Menu'!$H$4:$L$93, 2, FALSE)), 0), 0)</f>
        <v>0</v>
      </c>
      <c r="AQ95" s="1343">
        <f>IFERROR(IF('Personalized Bill Menu'!$C$36="Custom", IF('Personalized Bill Menu'!$B$34="Natural Gas",0,VLOOKUP($A95, 'Personalized Bill Menu'!$H$4:$L$93, 3, FALSE)), 0), 0)</f>
        <v>0</v>
      </c>
      <c r="AR95" s="1344">
        <f>IFERROR(IF('Personalized Bill Menu'!$C$36="Custom", IF('Personalized Bill Menu'!$B$34="Natural Gas",0,VLOOKUP($A95, 'Personalized Bill Menu'!$H$4:$L$93, 4, FALSE)), 0), 0)</f>
        <v>0</v>
      </c>
    </row>
    <row r="96" spans="1:44" s="108" customFormat="1" x14ac:dyDescent="0.35">
      <c r="A96" s="176">
        <v>43617</v>
      </c>
      <c r="B96" s="207">
        <f t="shared" si="33"/>
        <v>30</v>
      </c>
      <c r="C96" s="1581">
        <f t="shared" si="35"/>
        <v>479.27857953782711</v>
      </c>
      <c r="D96" s="181">
        <f t="shared" si="46"/>
        <v>19.600423719157671</v>
      </c>
      <c r="E96" s="178">
        <f t="shared" si="37"/>
        <v>14.361742381139999</v>
      </c>
      <c r="F96" s="179">
        <f t="shared" si="38"/>
        <v>93.940632384574229</v>
      </c>
      <c r="G96" s="180">
        <f t="shared" si="39"/>
        <v>30.630694018262528</v>
      </c>
      <c r="H96" s="181">
        <f t="shared" si="40"/>
        <v>9.3281989935447278</v>
      </c>
      <c r="I96" s="181">
        <f t="shared" si="41"/>
        <v>20.643873120658739</v>
      </c>
      <c r="J96" s="181">
        <f t="shared" si="42"/>
        <v>8.326777408853685</v>
      </c>
      <c r="K96" s="181">
        <f t="shared" si="43"/>
        <v>14.34572539637005</v>
      </c>
      <c r="L96" s="181">
        <f t="shared" si="44"/>
        <v>6.1920000000000002</v>
      </c>
      <c r="M96" s="182">
        <f t="shared" si="23"/>
        <v>4.4733634468844867</v>
      </c>
      <c r="N96" s="273">
        <f>IF($I$2="RRO (Capped)",VLOOKUP(A96,'Misc. Data &amp; Mechanisms'!$A$1278:$E$1368,2,FALSE),IF($I$2="RRO (Uncapped)",VLOOKUP(A96,'Misc. Data &amp; Mechanisms'!$G$1278:$K$1368,2,FALSE),AQ96))</f>
        <v>6.391</v>
      </c>
      <c r="O96" s="183">
        <f t="shared" si="34"/>
        <v>30.630694018262528</v>
      </c>
      <c r="P96" s="244">
        <v>1.9462999999999999</v>
      </c>
      <c r="Q96" s="183">
        <f t="shared" si="24"/>
        <v>9.3281989935447278</v>
      </c>
      <c r="R96" s="244">
        <v>1.0475000000000001</v>
      </c>
      <c r="S96" s="1504">
        <v>0.52078100000000005</v>
      </c>
      <c r="T96" s="183">
        <f t="shared" si="25"/>
        <v>5.0204431206587401</v>
      </c>
      <c r="U96" s="194">
        <f t="shared" si="26"/>
        <v>15.623430000000001</v>
      </c>
      <c r="V96" s="209">
        <v>0.1111</v>
      </c>
      <c r="W96" s="183">
        <f t="shared" si="27"/>
        <v>4.9237073034247176</v>
      </c>
      <c r="X96" s="183">
        <f t="shared" si="28"/>
        <v>3.4030701054289669</v>
      </c>
      <c r="Y96" s="1240">
        <v>0.2969</v>
      </c>
      <c r="Z96" s="1174">
        <v>2.6067</v>
      </c>
      <c r="AA96" s="126">
        <v>2.0799999999999999E-2</v>
      </c>
      <c r="AB96" s="1241"/>
      <c r="AC96" s="192">
        <f t="shared" si="29"/>
        <v>1.4229781026478086</v>
      </c>
      <c r="AD96" s="192">
        <f t="shared" si="30"/>
        <v>12.49335473281254</v>
      </c>
      <c r="AE96" s="192">
        <f t="shared" si="31"/>
        <v>0.42939256090970174</v>
      </c>
      <c r="AF96" s="203">
        <f t="shared" si="32"/>
        <v>0</v>
      </c>
      <c r="AG96" s="200">
        <f>IF(OR($I$2="RRO (Capped)",$I$2="RRO (Uncapped)"),VLOOKUP(A96,'Misc. Data &amp; Mechanisms'!$A$1483:$H$1574,2,FALSE),AR96)</f>
        <v>0.2064</v>
      </c>
      <c r="AH96" s="203">
        <f t="shared" si="45"/>
        <v>6.1920000000000002</v>
      </c>
      <c r="AI96" s="129">
        <f>5%</f>
        <v>0.05</v>
      </c>
      <c r="AJ96" s="341">
        <f>'Misc. Data &amp; Mechanisms'!AH369</f>
        <v>425.32655613823653</v>
      </c>
      <c r="AK96" s="1087">
        <f>'Misc. Data &amp; Mechanisms'!AP369</f>
        <v>452.75495337955903</v>
      </c>
      <c r="AL96" s="1087">
        <f>'Misc. Data &amp; Mechanisms'!K369</f>
        <v>479.27857953782711</v>
      </c>
      <c r="AM96" s="1087">
        <f>'Misc. Data &amp; Mechanisms'!L369</f>
        <v>363.72818640376067</v>
      </c>
      <c r="AN96" s="1087">
        <f>'Misc. Data &amp; Mechanisms'!M369</f>
        <v>269.18306117721175</v>
      </c>
      <c r="AO96" s="1463">
        <f>'Misc. Data &amp; Mechanisms'!$B$259</f>
        <v>611.34673880086393</v>
      </c>
      <c r="AP96" s="197">
        <f>IFERROR(IF('Personalized Bill Menu'!$B$30="Yes", IF('Personalized Bill Menu'!$B$34="Natural Gas",0,VLOOKUP($A96, 'Personalized Bill Menu'!$H$4:$L$93, 2, FALSE)), 0), 0)</f>
        <v>0</v>
      </c>
      <c r="AQ96" s="1343">
        <f>IFERROR(IF('Personalized Bill Menu'!$C$36="Custom", IF('Personalized Bill Menu'!$B$34="Natural Gas",0,VLOOKUP($A96, 'Personalized Bill Menu'!$H$4:$L$93, 3, FALSE)), 0), 0)</f>
        <v>0</v>
      </c>
      <c r="AR96" s="1344">
        <f>IFERROR(IF('Personalized Bill Menu'!$C$36="Custom", IF('Personalized Bill Menu'!$B$34="Natural Gas",0,VLOOKUP($A96, 'Personalized Bill Menu'!$H$4:$L$93, 4, FALSE)), 0), 0)</f>
        <v>0</v>
      </c>
    </row>
    <row r="97" spans="8:33" s="108" customFormat="1" x14ac:dyDescent="0.35">
      <c r="H97" s="1242"/>
      <c r="I97" s="123"/>
      <c r="J97" s="123"/>
      <c r="K97" s="123"/>
      <c r="L97" s="123"/>
      <c r="M97" s="123"/>
      <c r="N97" s="125"/>
      <c r="O97" s="123"/>
      <c r="P97" s="125"/>
      <c r="Q97" s="123"/>
      <c r="R97" s="127"/>
      <c r="S97" s="127"/>
      <c r="T97" s="123"/>
      <c r="U97" s="123"/>
      <c r="V97" s="125"/>
      <c r="W97" s="123"/>
      <c r="X97" s="123"/>
      <c r="Y97" s="125"/>
      <c r="Z97" s="125"/>
      <c r="AA97" s="126"/>
      <c r="AB97" s="1241"/>
      <c r="AC97" s="123"/>
      <c r="AD97" s="123"/>
      <c r="AE97" s="123"/>
      <c r="AF97" s="123"/>
      <c r="AG97" s="125"/>
    </row>
    <row r="98" spans="8:33" s="108" customFormat="1" x14ac:dyDescent="0.35">
      <c r="H98" s="1242"/>
      <c r="I98" s="123"/>
      <c r="J98" s="123"/>
      <c r="K98" s="123"/>
      <c r="L98" s="123"/>
      <c r="M98" s="123"/>
      <c r="N98" s="125"/>
      <c r="O98" s="123"/>
      <c r="P98" s="125"/>
      <c r="Q98" s="123"/>
      <c r="R98" s="125"/>
      <c r="S98" s="125"/>
      <c r="T98" s="123"/>
      <c r="U98" s="123"/>
      <c r="V98" s="125"/>
      <c r="W98" s="123"/>
      <c r="X98" s="123"/>
      <c r="Y98" s="125"/>
      <c r="Z98" s="125"/>
      <c r="AA98" s="126"/>
      <c r="AB98" s="1241"/>
      <c r="AC98" s="123"/>
      <c r="AD98" s="123"/>
      <c r="AE98" s="123"/>
      <c r="AF98" s="123"/>
      <c r="AG98" s="125"/>
    </row>
    <row r="99" spans="8:33" s="108" customFormat="1" x14ac:dyDescent="0.35">
      <c r="H99" s="1242"/>
      <c r="I99" s="123"/>
      <c r="J99" s="123"/>
      <c r="K99" s="123"/>
      <c r="L99" s="123"/>
      <c r="M99" s="123"/>
      <c r="N99" s="125"/>
      <c r="O99" s="123"/>
      <c r="P99" s="125"/>
      <c r="Q99" s="123"/>
      <c r="R99" s="125"/>
      <c r="S99" s="125"/>
      <c r="T99" s="123"/>
      <c r="U99" s="123"/>
      <c r="V99" s="125"/>
      <c r="W99" s="123"/>
      <c r="X99" s="123"/>
      <c r="Y99" s="125"/>
      <c r="Z99" s="125"/>
      <c r="AA99" s="126"/>
      <c r="AB99" s="1241"/>
      <c r="AC99" s="123"/>
      <c r="AD99" s="123"/>
      <c r="AE99" s="123"/>
      <c r="AF99" s="123"/>
      <c r="AG99" s="125"/>
    </row>
    <row r="100" spans="8:33" s="108" customFormat="1" x14ac:dyDescent="0.35">
      <c r="H100" s="1242"/>
      <c r="I100" s="123"/>
      <c r="J100" s="123"/>
      <c r="K100" s="123"/>
      <c r="L100" s="123"/>
      <c r="M100" s="123"/>
      <c r="N100" s="125"/>
      <c r="O100" s="123"/>
      <c r="P100" s="125"/>
      <c r="Q100" s="123"/>
      <c r="R100" s="125"/>
      <c r="S100" s="125"/>
      <c r="T100" s="123"/>
      <c r="U100" s="123"/>
      <c r="V100" s="125"/>
      <c r="W100" s="123"/>
      <c r="X100" s="123"/>
      <c r="Y100" s="125"/>
      <c r="Z100" s="125"/>
      <c r="AA100" s="126"/>
      <c r="AB100" s="1241"/>
      <c r="AC100" s="123"/>
      <c r="AD100" s="123"/>
      <c r="AE100" s="123"/>
      <c r="AF100" s="123"/>
      <c r="AG100" s="125"/>
    </row>
    <row r="101" spans="8:33" s="108" customFormat="1" x14ac:dyDescent="0.35">
      <c r="H101" s="1242"/>
      <c r="I101" s="123"/>
      <c r="J101" s="123"/>
      <c r="K101" s="123"/>
      <c r="L101" s="123"/>
      <c r="M101" s="123"/>
      <c r="N101" s="125"/>
      <c r="O101" s="123"/>
      <c r="P101" s="125"/>
      <c r="Q101" s="123"/>
      <c r="R101" s="125"/>
      <c r="S101" s="125"/>
      <c r="T101" s="123"/>
      <c r="U101" s="123"/>
      <c r="V101" s="125"/>
      <c r="W101" s="123"/>
      <c r="X101" s="123"/>
      <c r="Y101" s="125"/>
      <c r="Z101" s="125"/>
      <c r="AA101" s="126"/>
      <c r="AB101" s="1241"/>
      <c r="AC101" s="123"/>
      <c r="AD101" s="123"/>
      <c r="AE101" s="123"/>
      <c r="AF101" s="123"/>
      <c r="AG101" s="125"/>
    </row>
    <row r="102" spans="8:33" s="108" customFormat="1" ht="14" x14ac:dyDescent="0.3">
      <c r="H102" s="1242"/>
    </row>
    <row r="103" spans="8:33" s="108" customFormat="1" ht="14" x14ac:dyDescent="0.3">
      <c r="H103" s="1242"/>
    </row>
    <row r="104" spans="8:33" s="108" customFormat="1" ht="14" x14ac:dyDescent="0.3">
      <c r="H104" s="1242"/>
    </row>
    <row r="105" spans="8:33" s="108" customFormat="1" ht="14" x14ac:dyDescent="0.3">
      <c r="H105" s="1242"/>
    </row>
    <row r="106" spans="8:33" s="108" customFormat="1" ht="14" x14ac:dyDescent="0.3">
      <c r="H106" s="1242"/>
    </row>
    <row r="107" spans="8:33" s="108" customFormat="1" ht="14" x14ac:dyDescent="0.3">
      <c r="H107" s="1242"/>
    </row>
    <row r="108" spans="8:33" s="108" customFormat="1" ht="14" x14ac:dyDescent="0.3">
      <c r="H108" s="1242"/>
    </row>
    <row r="109" spans="8:33" s="108" customFormat="1" ht="14" x14ac:dyDescent="0.3">
      <c r="H109" s="1242"/>
    </row>
    <row r="110" spans="8:33" s="108" customFormat="1" ht="14" x14ac:dyDescent="0.3">
      <c r="H110" s="1242"/>
    </row>
    <row r="111" spans="8:33" s="108" customFormat="1" ht="14" x14ac:dyDescent="0.3">
      <c r="H111" s="1242"/>
    </row>
    <row r="112" spans="8:33" s="108" customFormat="1" ht="14" x14ac:dyDescent="0.3">
      <c r="H112" s="1242"/>
    </row>
    <row r="113" spans="1:41" s="108" customFormat="1" ht="14" x14ac:dyDescent="0.3">
      <c r="H113" s="1242"/>
    </row>
    <row r="114" spans="1:41" s="108" customFormat="1" ht="14" x14ac:dyDescent="0.3">
      <c r="H114" s="1242"/>
    </row>
    <row r="115" spans="1:41" s="108" customFormat="1" ht="14" x14ac:dyDescent="0.3">
      <c r="H115" s="1242"/>
    </row>
    <row r="116" spans="1:41" s="108" customFormat="1" ht="14" x14ac:dyDescent="0.3">
      <c r="H116" s="1242"/>
    </row>
    <row r="117" spans="1:41" s="108" customFormat="1" ht="14" x14ac:dyDescent="0.3">
      <c r="H117" s="1242"/>
    </row>
    <row r="118" spans="1:41" s="108" customFormat="1" ht="14" x14ac:dyDescent="0.3">
      <c r="H118" s="1242"/>
    </row>
    <row r="119" spans="1:41" s="108" customFormat="1" ht="14" x14ac:dyDescent="0.3">
      <c r="H119" s="1242"/>
    </row>
    <row r="120" spans="1:41" s="108" customFormat="1" ht="14" x14ac:dyDescent="0.3">
      <c r="H120" s="1242"/>
    </row>
    <row r="121" spans="1:41" s="108" customFormat="1" ht="14" x14ac:dyDescent="0.3">
      <c r="H121" s="1242"/>
    </row>
    <row r="122" spans="1:41" s="108" customFormat="1" ht="14" x14ac:dyDescent="0.3">
      <c r="H122" s="1242"/>
    </row>
    <row r="123" spans="1:41" s="108" customFormat="1" ht="14" x14ac:dyDescent="0.3">
      <c r="H123" s="1242"/>
    </row>
    <row r="124" spans="1:41" s="108" customFormat="1" ht="14" x14ac:dyDescent="0.3">
      <c r="H124" s="1242"/>
    </row>
    <row r="125" spans="1:41" s="108" customFormat="1" ht="14" x14ac:dyDescent="0.3">
      <c r="H125" s="1242"/>
    </row>
    <row r="126" spans="1:41" s="108" customFormat="1" ht="14" x14ac:dyDescent="0.3">
      <c r="H126" s="1242"/>
    </row>
    <row r="127" spans="1:41" s="108" customFormat="1" ht="14" x14ac:dyDescent="0.3">
      <c r="H127" s="1242"/>
    </row>
    <row r="128" spans="1:41" s="108" customFormat="1" x14ac:dyDescent="0.35">
      <c r="A128" s="121"/>
      <c r="D128" s="124"/>
      <c r="E128" s="124"/>
      <c r="F128" s="123"/>
      <c r="G128" s="123"/>
      <c r="H128" s="123"/>
      <c r="I128" s="123"/>
      <c r="J128" s="123"/>
      <c r="K128" s="123"/>
      <c r="L128" s="123"/>
      <c r="M128" s="123"/>
      <c r="N128" s="125"/>
      <c r="O128" s="123"/>
      <c r="P128" s="125"/>
      <c r="Q128" s="123"/>
      <c r="R128" s="125"/>
      <c r="S128" s="125"/>
      <c r="T128" s="123"/>
      <c r="U128" s="123"/>
      <c r="V128" s="125"/>
      <c r="W128" s="123"/>
      <c r="X128" s="123"/>
      <c r="Y128" s="125"/>
      <c r="Z128" s="125"/>
      <c r="AA128" s="126"/>
      <c r="AB128" s="1241"/>
      <c r="AC128" s="123"/>
      <c r="AD128" s="123"/>
      <c r="AE128" s="123"/>
      <c r="AF128" s="123"/>
      <c r="AG128" s="125"/>
      <c r="AH128" s="123"/>
      <c r="AI128" s="195"/>
      <c r="AJ128" s="360"/>
      <c r="AK128" s="360"/>
      <c r="AL128" s="361"/>
      <c r="AM128" s="361"/>
      <c r="AN128" s="361"/>
      <c r="AO128" s="177"/>
    </row>
    <row r="129" spans="1:41" s="108" customFormat="1" x14ac:dyDescent="0.35">
      <c r="A129" s="121"/>
      <c r="D129" s="124"/>
      <c r="E129" s="124"/>
      <c r="F129" s="123"/>
      <c r="G129" s="123"/>
      <c r="H129" s="123"/>
      <c r="I129" s="123"/>
      <c r="J129" s="123"/>
      <c r="K129" s="123"/>
      <c r="L129" s="123"/>
      <c r="M129" s="123"/>
      <c r="N129" s="125"/>
      <c r="O129" s="123"/>
      <c r="P129" s="125"/>
      <c r="Q129" s="123"/>
      <c r="R129" s="125"/>
      <c r="S129" s="125"/>
      <c r="T129" s="123"/>
      <c r="U129" s="123"/>
      <c r="V129" s="125"/>
      <c r="W129" s="123"/>
      <c r="X129" s="123"/>
      <c r="Y129" s="125"/>
      <c r="Z129" s="125"/>
      <c r="AA129" s="126"/>
      <c r="AB129" s="1241"/>
      <c r="AC129" s="123"/>
      <c r="AD129" s="123"/>
      <c r="AE129" s="123"/>
      <c r="AF129" s="123"/>
      <c r="AG129" s="125"/>
      <c r="AH129" s="123"/>
      <c r="AI129" s="195"/>
      <c r="AJ129" s="360"/>
      <c r="AK129" s="360"/>
      <c r="AL129" s="361"/>
      <c r="AM129" s="361"/>
      <c r="AN129" s="361"/>
      <c r="AO129" s="177"/>
    </row>
    <row r="130" spans="1:41" s="108" customFormat="1" x14ac:dyDescent="0.35">
      <c r="A130" s="121"/>
      <c r="D130" s="124"/>
      <c r="E130" s="124"/>
      <c r="F130" s="123"/>
      <c r="G130" s="123"/>
      <c r="H130" s="123"/>
      <c r="I130" s="123"/>
      <c r="J130" s="123"/>
      <c r="K130" s="123"/>
      <c r="L130" s="123"/>
      <c r="M130" s="123"/>
      <c r="N130" s="125"/>
      <c r="O130" s="123"/>
      <c r="P130" s="125"/>
      <c r="Q130" s="123"/>
      <c r="R130" s="125"/>
      <c r="S130" s="125"/>
      <c r="T130" s="123"/>
      <c r="U130" s="123"/>
      <c r="V130" s="125"/>
      <c r="W130" s="123"/>
      <c r="X130" s="123"/>
      <c r="Y130" s="125"/>
      <c r="Z130" s="125"/>
      <c r="AA130" s="126"/>
      <c r="AB130" s="1241"/>
      <c r="AC130" s="123"/>
      <c r="AD130" s="123"/>
      <c r="AE130" s="123"/>
      <c r="AF130" s="123"/>
      <c r="AG130" s="125"/>
      <c r="AH130" s="123"/>
      <c r="AI130" s="195"/>
      <c r="AJ130" s="360"/>
      <c r="AK130" s="360"/>
      <c r="AL130" s="361"/>
      <c r="AM130" s="361"/>
      <c r="AN130" s="361"/>
      <c r="AO130" s="177"/>
    </row>
    <row r="131" spans="1:41" s="108" customFormat="1" x14ac:dyDescent="0.35">
      <c r="A131" s="121"/>
      <c r="D131" s="124"/>
      <c r="E131" s="124"/>
      <c r="F131" s="123"/>
      <c r="G131" s="123"/>
      <c r="H131" s="123"/>
      <c r="I131" s="123"/>
      <c r="J131" s="123"/>
      <c r="K131" s="123"/>
      <c r="L131" s="123"/>
      <c r="M131" s="123"/>
      <c r="N131" s="125"/>
      <c r="O131" s="123"/>
      <c r="P131" s="125"/>
      <c r="Q131" s="123"/>
      <c r="R131" s="125"/>
      <c r="S131" s="125"/>
      <c r="T131" s="123"/>
      <c r="U131" s="123"/>
      <c r="V131" s="125"/>
      <c r="W131" s="123"/>
      <c r="X131" s="123"/>
      <c r="Y131" s="125"/>
      <c r="Z131" s="125"/>
      <c r="AA131" s="126"/>
      <c r="AB131" s="1241"/>
      <c r="AC131" s="123"/>
      <c r="AD131" s="123"/>
      <c r="AE131" s="123"/>
      <c r="AF131" s="123"/>
      <c r="AG131" s="125"/>
      <c r="AH131" s="123"/>
      <c r="AI131" s="195"/>
      <c r="AJ131" s="360"/>
      <c r="AK131" s="360"/>
      <c r="AL131" s="361"/>
      <c r="AM131" s="361"/>
      <c r="AN131" s="361"/>
      <c r="AO131" s="177"/>
    </row>
    <row r="132" spans="1:41" s="108" customFormat="1" x14ac:dyDescent="0.35">
      <c r="A132" s="121"/>
      <c r="D132" s="124"/>
      <c r="E132" s="124"/>
      <c r="F132" s="123"/>
      <c r="G132" s="123"/>
      <c r="H132" s="123"/>
      <c r="I132" s="123"/>
      <c r="J132" s="123"/>
      <c r="K132" s="123"/>
      <c r="L132" s="123"/>
      <c r="M132" s="123"/>
      <c r="N132" s="125"/>
      <c r="O132" s="123"/>
      <c r="P132" s="125"/>
      <c r="Q132" s="123"/>
      <c r="R132" s="125"/>
      <c r="S132" s="125"/>
      <c r="T132" s="123"/>
      <c r="U132" s="123"/>
      <c r="V132" s="125"/>
      <c r="W132" s="123"/>
      <c r="X132" s="123"/>
      <c r="Y132" s="125"/>
      <c r="Z132" s="125"/>
      <c r="AA132" s="126"/>
      <c r="AB132" s="1241"/>
      <c r="AC132" s="123"/>
      <c r="AD132" s="123"/>
      <c r="AE132" s="123"/>
      <c r="AF132" s="123"/>
      <c r="AG132" s="125"/>
      <c r="AH132" s="123"/>
      <c r="AI132" s="195"/>
      <c r="AJ132" s="360"/>
      <c r="AK132" s="360"/>
      <c r="AL132" s="361"/>
      <c r="AM132" s="361"/>
      <c r="AN132" s="361"/>
      <c r="AO132" s="177"/>
    </row>
    <row r="133" spans="1:41" s="108" customFormat="1" x14ac:dyDescent="0.35">
      <c r="A133" s="121"/>
      <c r="D133" s="124"/>
      <c r="E133" s="124"/>
      <c r="F133" s="123"/>
      <c r="G133" s="123"/>
      <c r="H133" s="123"/>
      <c r="I133" s="123"/>
      <c r="J133" s="123"/>
      <c r="K133" s="123"/>
      <c r="L133" s="123"/>
      <c r="M133" s="123"/>
      <c r="N133" s="125"/>
      <c r="O133" s="123"/>
      <c r="P133" s="125"/>
      <c r="Q133" s="123"/>
      <c r="R133" s="125"/>
      <c r="S133" s="125"/>
      <c r="T133" s="123"/>
      <c r="U133" s="123"/>
      <c r="V133" s="125"/>
      <c r="W133" s="123"/>
      <c r="X133" s="123"/>
      <c r="Y133" s="125"/>
      <c r="Z133" s="125"/>
      <c r="AA133" s="126"/>
      <c r="AB133" s="1241"/>
      <c r="AC133" s="123"/>
      <c r="AD133" s="123"/>
      <c r="AE133" s="123"/>
      <c r="AF133" s="123"/>
      <c r="AG133" s="125"/>
      <c r="AH133" s="123"/>
      <c r="AI133" s="195"/>
      <c r="AJ133" s="360"/>
      <c r="AK133" s="360"/>
      <c r="AL133" s="361"/>
      <c r="AM133" s="361"/>
      <c r="AN133" s="361"/>
      <c r="AO133" s="177"/>
    </row>
    <row r="134" spans="1:41" s="108" customFormat="1" x14ac:dyDescent="0.35">
      <c r="A134" s="121"/>
      <c r="D134" s="124"/>
      <c r="E134" s="124"/>
      <c r="F134" s="123"/>
      <c r="G134" s="123"/>
      <c r="H134" s="123"/>
      <c r="I134" s="123"/>
      <c r="J134" s="123"/>
      <c r="K134" s="123"/>
      <c r="L134" s="123"/>
      <c r="M134" s="123"/>
      <c r="N134" s="125"/>
      <c r="O134" s="123"/>
      <c r="P134" s="125"/>
      <c r="Q134" s="123"/>
      <c r="R134" s="125"/>
      <c r="S134" s="125"/>
      <c r="T134" s="123"/>
      <c r="U134" s="123"/>
      <c r="V134" s="125"/>
      <c r="W134" s="123"/>
      <c r="X134" s="123"/>
      <c r="Y134" s="125"/>
      <c r="Z134" s="125"/>
      <c r="AA134" s="126"/>
      <c r="AB134" s="1241"/>
      <c r="AC134" s="123"/>
      <c r="AD134" s="123"/>
      <c r="AE134" s="123"/>
      <c r="AF134" s="123"/>
      <c r="AG134" s="125"/>
      <c r="AH134" s="123"/>
      <c r="AI134" s="195"/>
      <c r="AJ134" s="360"/>
      <c r="AK134" s="360"/>
      <c r="AL134" s="361"/>
      <c r="AM134" s="361"/>
      <c r="AN134" s="361"/>
      <c r="AO134" s="177"/>
    </row>
    <row r="135" spans="1:41" s="108" customFormat="1" x14ac:dyDescent="0.35">
      <c r="A135" s="121"/>
      <c r="D135" s="124"/>
      <c r="E135" s="124"/>
      <c r="F135" s="123"/>
      <c r="G135" s="123"/>
      <c r="H135" s="123"/>
      <c r="I135" s="123"/>
      <c r="J135" s="123"/>
      <c r="K135" s="123"/>
      <c r="L135" s="123"/>
      <c r="M135" s="123"/>
      <c r="N135" s="125"/>
      <c r="O135" s="123"/>
      <c r="P135" s="125"/>
      <c r="Q135" s="123"/>
      <c r="R135" s="125"/>
      <c r="S135" s="125"/>
      <c r="T135" s="123"/>
      <c r="U135" s="123"/>
      <c r="V135" s="125"/>
      <c r="W135" s="123"/>
      <c r="X135" s="123"/>
      <c r="Y135" s="125"/>
      <c r="Z135" s="125"/>
      <c r="AA135" s="126"/>
      <c r="AB135" s="1241"/>
      <c r="AC135" s="123"/>
      <c r="AD135" s="123"/>
      <c r="AE135" s="123"/>
      <c r="AF135" s="123"/>
      <c r="AG135" s="125"/>
      <c r="AH135" s="123"/>
      <c r="AI135" s="195"/>
      <c r="AJ135" s="360"/>
      <c r="AK135" s="360"/>
      <c r="AL135" s="361"/>
      <c r="AM135" s="361"/>
      <c r="AN135" s="361"/>
      <c r="AO135" s="177"/>
    </row>
    <row r="136" spans="1:41" s="108" customFormat="1" x14ac:dyDescent="0.35">
      <c r="A136" s="121"/>
      <c r="D136" s="124"/>
      <c r="E136" s="124"/>
      <c r="F136" s="123"/>
      <c r="G136" s="123"/>
      <c r="H136" s="123"/>
      <c r="I136" s="123"/>
      <c r="J136" s="123"/>
      <c r="K136" s="123"/>
      <c r="L136" s="123"/>
      <c r="M136" s="123"/>
      <c r="N136" s="125"/>
      <c r="O136" s="123"/>
      <c r="P136" s="125"/>
      <c r="Q136" s="123"/>
      <c r="R136" s="125"/>
      <c r="S136" s="125"/>
      <c r="T136" s="123"/>
      <c r="U136" s="123"/>
      <c r="V136" s="125"/>
      <c r="W136" s="123"/>
      <c r="X136" s="123"/>
      <c r="Y136" s="125"/>
      <c r="Z136" s="125"/>
      <c r="AA136" s="126"/>
      <c r="AB136" s="1241"/>
      <c r="AC136" s="123"/>
      <c r="AD136" s="123"/>
      <c r="AE136" s="123"/>
      <c r="AF136" s="123"/>
      <c r="AG136" s="125"/>
      <c r="AH136" s="123"/>
      <c r="AI136" s="195"/>
      <c r="AJ136" s="360"/>
      <c r="AK136" s="360"/>
      <c r="AL136" s="361"/>
      <c r="AM136" s="361"/>
      <c r="AN136" s="361"/>
      <c r="AO136" s="177"/>
    </row>
    <row r="137" spans="1:41" s="108" customFormat="1" x14ac:dyDescent="0.35">
      <c r="A137" s="121"/>
      <c r="D137" s="124"/>
      <c r="E137" s="124"/>
      <c r="F137" s="123"/>
      <c r="G137" s="123"/>
      <c r="H137" s="123"/>
      <c r="I137" s="123"/>
      <c r="J137" s="123"/>
      <c r="K137" s="123"/>
      <c r="L137" s="123"/>
      <c r="M137" s="123"/>
      <c r="N137" s="125"/>
      <c r="O137" s="123"/>
      <c r="P137" s="125"/>
      <c r="Q137" s="123"/>
      <c r="R137" s="125"/>
      <c r="S137" s="125"/>
      <c r="T137" s="123"/>
      <c r="U137" s="123"/>
      <c r="V137" s="125"/>
      <c r="W137" s="123"/>
      <c r="X137" s="123"/>
      <c r="Y137" s="125"/>
      <c r="Z137" s="125"/>
      <c r="AA137" s="126"/>
      <c r="AB137" s="1241"/>
      <c r="AC137" s="123"/>
      <c r="AD137" s="123"/>
      <c r="AE137" s="123"/>
      <c r="AF137" s="123"/>
      <c r="AG137" s="125"/>
      <c r="AH137" s="123"/>
      <c r="AI137" s="195"/>
      <c r="AJ137" s="360"/>
      <c r="AK137" s="360"/>
      <c r="AL137" s="361"/>
      <c r="AM137" s="361"/>
      <c r="AN137" s="361"/>
      <c r="AO137" s="177"/>
    </row>
    <row r="138" spans="1:41" s="108" customFormat="1" x14ac:dyDescent="0.35">
      <c r="A138" s="121"/>
      <c r="D138" s="124"/>
      <c r="E138" s="124"/>
      <c r="F138" s="123"/>
      <c r="G138" s="123"/>
      <c r="H138" s="123"/>
      <c r="I138" s="123"/>
      <c r="J138" s="123"/>
      <c r="K138" s="123"/>
      <c r="L138" s="123"/>
      <c r="M138" s="123"/>
      <c r="N138" s="125"/>
      <c r="O138" s="123"/>
      <c r="P138" s="125"/>
      <c r="Q138" s="123"/>
      <c r="R138" s="125"/>
      <c r="S138" s="125"/>
      <c r="T138" s="123"/>
      <c r="U138" s="123"/>
      <c r="V138" s="125"/>
      <c r="W138" s="123"/>
      <c r="X138" s="123"/>
      <c r="Y138" s="125"/>
      <c r="Z138" s="125"/>
      <c r="AA138" s="126"/>
      <c r="AB138" s="1241"/>
      <c r="AC138" s="123"/>
      <c r="AD138" s="123"/>
      <c r="AE138" s="123"/>
      <c r="AF138" s="123"/>
      <c r="AG138" s="125"/>
      <c r="AH138" s="123"/>
      <c r="AI138" s="195"/>
      <c r="AJ138" s="360"/>
      <c r="AK138" s="360"/>
      <c r="AL138" s="361"/>
      <c r="AM138" s="361"/>
      <c r="AN138" s="361"/>
      <c r="AO138" s="177"/>
    </row>
    <row r="139" spans="1:41" s="108" customFormat="1" x14ac:dyDescent="0.35">
      <c r="A139" s="121"/>
      <c r="D139" s="124"/>
      <c r="E139" s="124"/>
      <c r="F139" s="123"/>
      <c r="G139" s="123"/>
      <c r="H139" s="123"/>
      <c r="I139" s="123"/>
      <c r="J139" s="123"/>
      <c r="K139" s="123"/>
      <c r="L139" s="123"/>
      <c r="M139" s="123"/>
      <c r="N139" s="125"/>
      <c r="O139" s="123"/>
      <c r="P139" s="125"/>
      <c r="Q139" s="123"/>
      <c r="R139" s="125"/>
      <c r="S139" s="125"/>
      <c r="T139" s="123"/>
      <c r="U139" s="123"/>
      <c r="V139" s="125"/>
      <c r="W139" s="123"/>
      <c r="X139" s="123"/>
      <c r="Y139" s="125"/>
      <c r="Z139" s="125"/>
      <c r="AA139" s="126"/>
      <c r="AB139" s="1241"/>
      <c r="AC139" s="123"/>
      <c r="AD139" s="123"/>
      <c r="AE139" s="123"/>
      <c r="AF139" s="123"/>
      <c r="AG139" s="125"/>
      <c r="AH139" s="123"/>
      <c r="AI139" s="195"/>
      <c r="AJ139" s="360"/>
      <c r="AK139" s="360"/>
      <c r="AL139" s="361"/>
      <c r="AM139" s="361"/>
      <c r="AN139" s="361"/>
      <c r="AO139" s="177"/>
    </row>
    <row r="140" spans="1:41" s="108" customFormat="1" x14ac:dyDescent="0.35">
      <c r="A140" s="121"/>
      <c r="D140" s="124"/>
      <c r="E140" s="124"/>
      <c r="F140" s="123"/>
      <c r="G140" s="123"/>
      <c r="H140" s="123"/>
      <c r="I140" s="123"/>
      <c r="J140" s="123"/>
      <c r="K140" s="123"/>
      <c r="L140" s="123"/>
      <c r="M140" s="123"/>
      <c r="N140" s="125"/>
      <c r="O140" s="123"/>
      <c r="P140" s="125"/>
      <c r="Q140" s="123"/>
      <c r="R140" s="125"/>
      <c r="S140" s="125"/>
      <c r="T140" s="123"/>
      <c r="U140" s="123"/>
      <c r="V140" s="125"/>
      <c r="W140" s="123"/>
      <c r="X140" s="123"/>
      <c r="Y140" s="125"/>
      <c r="Z140" s="125"/>
      <c r="AA140" s="126"/>
      <c r="AB140" s="1241"/>
      <c r="AC140" s="123"/>
      <c r="AD140" s="123"/>
      <c r="AE140" s="123"/>
      <c r="AF140" s="123"/>
      <c r="AG140" s="125"/>
      <c r="AH140" s="123"/>
      <c r="AI140" s="195"/>
      <c r="AJ140" s="360"/>
      <c r="AK140" s="360"/>
      <c r="AL140" s="361"/>
      <c r="AM140" s="361"/>
      <c r="AN140" s="361"/>
      <c r="AO140" s="177"/>
    </row>
    <row r="141" spans="1:41" s="108" customFormat="1" x14ac:dyDescent="0.35">
      <c r="A141" s="121"/>
      <c r="D141" s="124"/>
      <c r="E141" s="124"/>
      <c r="F141" s="123"/>
      <c r="G141" s="123"/>
      <c r="H141" s="123"/>
      <c r="I141" s="123"/>
      <c r="J141" s="123"/>
      <c r="K141" s="123"/>
      <c r="L141" s="123"/>
      <c r="M141" s="123"/>
      <c r="N141" s="125"/>
      <c r="O141" s="123"/>
      <c r="P141" s="125"/>
      <c r="Q141" s="123"/>
      <c r="R141" s="125"/>
      <c r="S141" s="125"/>
      <c r="T141" s="123"/>
      <c r="U141" s="123"/>
      <c r="V141" s="125"/>
      <c r="W141" s="123"/>
      <c r="X141" s="123"/>
      <c r="Y141" s="125"/>
      <c r="Z141" s="125"/>
      <c r="AA141" s="126"/>
      <c r="AB141" s="1241"/>
      <c r="AC141" s="123"/>
      <c r="AD141" s="123"/>
      <c r="AE141" s="123"/>
      <c r="AF141" s="123"/>
      <c r="AG141" s="125"/>
      <c r="AH141" s="123"/>
      <c r="AI141" s="195"/>
      <c r="AJ141" s="360"/>
      <c r="AK141" s="360"/>
      <c r="AL141" s="361"/>
      <c r="AM141" s="361"/>
      <c r="AN141" s="361"/>
      <c r="AO141" s="177"/>
    </row>
    <row r="142" spans="1:41" s="108" customFormat="1" x14ac:dyDescent="0.35">
      <c r="A142" s="121"/>
      <c r="D142" s="124"/>
      <c r="E142" s="124"/>
      <c r="F142" s="123"/>
      <c r="G142" s="123"/>
      <c r="H142" s="123"/>
      <c r="I142" s="123"/>
      <c r="J142" s="123"/>
      <c r="K142" s="123"/>
      <c r="L142" s="123"/>
      <c r="M142" s="123"/>
      <c r="N142" s="125"/>
      <c r="O142" s="123"/>
      <c r="P142" s="125"/>
      <c r="Q142" s="123"/>
      <c r="R142" s="125"/>
      <c r="S142" s="125"/>
      <c r="T142" s="123"/>
      <c r="U142" s="123"/>
      <c r="V142" s="125"/>
      <c r="W142" s="123"/>
      <c r="X142" s="123"/>
      <c r="Y142" s="125"/>
      <c r="Z142" s="125"/>
      <c r="AA142" s="126"/>
      <c r="AB142" s="1241"/>
      <c r="AC142" s="123"/>
      <c r="AD142" s="123"/>
      <c r="AE142" s="123"/>
      <c r="AF142" s="123"/>
      <c r="AG142" s="125"/>
      <c r="AH142" s="123"/>
      <c r="AI142" s="195"/>
      <c r="AJ142" s="360"/>
      <c r="AK142" s="360"/>
      <c r="AL142" s="361"/>
      <c r="AM142" s="361"/>
      <c r="AN142" s="361"/>
      <c r="AO142" s="177"/>
    </row>
    <row r="143" spans="1:41" s="108" customFormat="1" x14ac:dyDescent="0.35">
      <c r="A143" s="121"/>
      <c r="D143" s="124"/>
      <c r="E143" s="124"/>
      <c r="F143" s="123"/>
      <c r="G143" s="123"/>
      <c r="H143" s="123"/>
      <c r="I143" s="123"/>
      <c r="J143" s="123"/>
      <c r="K143" s="123"/>
      <c r="L143" s="123"/>
      <c r="M143" s="123"/>
      <c r="N143" s="125"/>
      <c r="O143" s="123"/>
      <c r="P143" s="125"/>
      <c r="Q143" s="123"/>
      <c r="R143" s="125"/>
      <c r="S143" s="125"/>
      <c r="T143" s="123"/>
      <c r="U143" s="123"/>
      <c r="V143" s="125"/>
      <c r="W143" s="123"/>
      <c r="X143" s="123"/>
      <c r="Y143" s="125"/>
      <c r="Z143" s="125"/>
      <c r="AA143" s="126"/>
      <c r="AB143" s="1241"/>
      <c r="AC143" s="123"/>
      <c r="AD143" s="123"/>
      <c r="AE143" s="123"/>
      <c r="AF143" s="123"/>
      <c r="AG143" s="125"/>
      <c r="AH143" s="123"/>
      <c r="AI143" s="195"/>
      <c r="AJ143" s="360"/>
      <c r="AK143" s="360"/>
      <c r="AL143" s="361"/>
      <c r="AM143" s="361"/>
      <c r="AN143" s="361"/>
      <c r="AO143" s="177"/>
    </row>
    <row r="144" spans="1:41" s="108" customFormat="1" x14ac:dyDescent="0.35">
      <c r="A144" s="121"/>
      <c r="D144" s="124"/>
      <c r="E144" s="124"/>
      <c r="F144" s="123"/>
      <c r="G144" s="123"/>
      <c r="H144" s="123"/>
      <c r="I144" s="123"/>
      <c r="J144" s="123"/>
      <c r="K144" s="123"/>
      <c r="L144" s="123"/>
      <c r="M144" s="123"/>
      <c r="N144" s="125"/>
      <c r="O144" s="123"/>
      <c r="P144" s="125"/>
      <c r="Q144" s="123"/>
      <c r="R144" s="125"/>
      <c r="S144" s="125"/>
      <c r="T144" s="123"/>
      <c r="U144" s="123"/>
      <c r="V144" s="125"/>
      <c r="W144" s="123"/>
      <c r="X144" s="123"/>
      <c r="Y144" s="125"/>
      <c r="Z144" s="125"/>
      <c r="AA144" s="126"/>
      <c r="AB144" s="1241"/>
      <c r="AC144" s="123"/>
      <c r="AD144" s="123"/>
      <c r="AE144" s="123"/>
      <c r="AF144" s="123"/>
      <c r="AG144" s="125"/>
      <c r="AH144" s="123"/>
      <c r="AI144" s="195"/>
      <c r="AJ144" s="360"/>
      <c r="AK144" s="360"/>
      <c r="AL144" s="361"/>
      <c r="AM144" s="361"/>
      <c r="AN144" s="361"/>
      <c r="AO144" s="177"/>
    </row>
    <row r="145" spans="1:41" s="108" customFormat="1" x14ac:dyDescent="0.35">
      <c r="A145" s="121"/>
      <c r="D145" s="124"/>
      <c r="E145" s="124"/>
      <c r="F145" s="123"/>
      <c r="G145" s="123"/>
      <c r="H145" s="123"/>
      <c r="I145" s="123"/>
      <c r="J145" s="123"/>
      <c r="K145" s="123"/>
      <c r="L145" s="123"/>
      <c r="M145" s="123"/>
      <c r="N145" s="125"/>
      <c r="O145" s="123"/>
      <c r="P145" s="125"/>
      <c r="Q145" s="123"/>
      <c r="R145" s="125"/>
      <c r="S145" s="125"/>
      <c r="T145" s="123"/>
      <c r="U145" s="123"/>
      <c r="V145" s="125"/>
      <c r="W145" s="123"/>
      <c r="X145" s="123"/>
      <c r="Y145" s="125"/>
      <c r="Z145" s="125"/>
      <c r="AA145" s="126"/>
      <c r="AB145" s="1241"/>
      <c r="AC145" s="123"/>
      <c r="AD145" s="123"/>
      <c r="AE145" s="123"/>
      <c r="AF145" s="123"/>
      <c r="AG145" s="125"/>
      <c r="AH145" s="123"/>
      <c r="AI145" s="195"/>
      <c r="AJ145" s="360"/>
      <c r="AK145" s="360"/>
      <c r="AL145" s="361"/>
      <c r="AM145" s="361"/>
      <c r="AN145" s="361"/>
      <c r="AO145" s="177"/>
    </row>
    <row r="146" spans="1:41" s="108" customFormat="1" x14ac:dyDescent="0.35">
      <c r="A146" s="121"/>
      <c r="D146" s="124"/>
      <c r="E146" s="124"/>
      <c r="F146" s="123"/>
      <c r="G146" s="123"/>
      <c r="H146" s="123"/>
      <c r="I146" s="123"/>
      <c r="J146" s="123"/>
      <c r="K146" s="123"/>
      <c r="L146" s="123"/>
      <c r="M146" s="123"/>
      <c r="N146" s="125"/>
      <c r="O146" s="123"/>
      <c r="P146" s="125"/>
      <c r="Q146" s="123"/>
      <c r="R146" s="125"/>
      <c r="S146" s="125"/>
      <c r="T146" s="123"/>
      <c r="U146" s="123"/>
      <c r="V146" s="125"/>
      <c r="W146" s="123"/>
      <c r="X146" s="123"/>
      <c r="Y146" s="125"/>
      <c r="Z146" s="125"/>
      <c r="AA146" s="126"/>
      <c r="AB146" s="1241"/>
      <c r="AC146" s="123"/>
      <c r="AD146" s="123"/>
      <c r="AE146" s="123"/>
      <c r="AF146" s="123"/>
      <c r="AG146" s="125"/>
      <c r="AH146" s="123"/>
      <c r="AI146" s="195"/>
      <c r="AJ146" s="360"/>
      <c r="AK146" s="360"/>
      <c r="AL146" s="361"/>
      <c r="AM146" s="361"/>
      <c r="AN146" s="361"/>
      <c r="AO146" s="177"/>
    </row>
    <row r="147" spans="1:41" s="108" customFormat="1" x14ac:dyDescent="0.35">
      <c r="A147" s="121"/>
      <c r="D147" s="124"/>
      <c r="E147" s="124"/>
      <c r="F147" s="123"/>
      <c r="G147" s="123"/>
      <c r="H147" s="123"/>
      <c r="I147" s="123"/>
      <c r="J147" s="123"/>
      <c r="K147" s="123"/>
      <c r="L147" s="123"/>
      <c r="M147" s="123"/>
      <c r="N147" s="125"/>
      <c r="O147" s="123"/>
      <c r="P147" s="125"/>
      <c r="Q147" s="123"/>
      <c r="R147" s="125"/>
      <c r="S147" s="125"/>
      <c r="T147" s="123"/>
      <c r="U147" s="123"/>
      <c r="V147" s="125"/>
      <c r="W147" s="123"/>
      <c r="X147" s="123"/>
      <c r="Y147" s="125"/>
      <c r="Z147" s="125"/>
      <c r="AA147" s="126"/>
      <c r="AB147" s="1241"/>
      <c r="AC147" s="123"/>
      <c r="AD147" s="123"/>
      <c r="AE147" s="123"/>
      <c r="AF147" s="123"/>
      <c r="AG147" s="125"/>
      <c r="AH147" s="123"/>
      <c r="AI147" s="195"/>
      <c r="AJ147" s="360"/>
      <c r="AK147" s="360"/>
      <c r="AL147" s="361"/>
      <c r="AM147" s="361"/>
      <c r="AN147" s="361"/>
      <c r="AO147" s="177"/>
    </row>
    <row r="148" spans="1:41" s="108" customFormat="1" x14ac:dyDescent="0.35">
      <c r="A148" s="121"/>
      <c r="D148" s="124"/>
      <c r="E148" s="124"/>
      <c r="F148" s="123"/>
      <c r="G148" s="123"/>
      <c r="H148" s="123"/>
      <c r="I148" s="123"/>
      <c r="J148" s="123"/>
      <c r="K148" s="123"/>
      <c r="L148" s="123"/>
      <c r="M148" s="123"/>
      <c r="N148" s="125"/>
      <c r="O148" s="123"/>
      <c r="P148" s="125"/>
      <c r="Q148" s="123"/>
      <c r="R148" s="125"/>
      <c r="S148" s="125"/>
      <c r="T148" s="123"/>
      <c r="U148" s="123"/>
      <c r="V148" s="125"/>
      <c r="W148" s="123"/>
      <c r="X148" s="123"/>
      <c r="Y148" s="125"/>
      <c r="Z148" s="125"/>
      <c r="AA148" s="126"/>
      <c r="AB148" s="1241"/>
      <c r="AC148" s="123"/>
      <c r="AD148" s="123"/>
      <c r="AE148" s="123"/>
      <c r="AF148" s="123"/>
      <c r="AG148" s="125"/>
      <c r="AH148" s="123"/>
      <c r="AI148" s="195"/>
      <c r="AJ148" s="360"/>
      <c r="AK148" s="360"/>
      <c r="AL148" s="361"/>
      <c r="AM148" s="361"/>
      <c r="AN148" s="361"/>
      <c r="AO148" s="177"/>
    </row>
    <row r="149" spans="1:41" s="108" customFormat="1" x14ac:dyDescent="0.35">
      <c r="A149" s="121"/>
      <c r="D149" s="124"/>
      <c r="E149" s="124"/>
      <c r="F149" s="123"/>
      <c r="G149" s="123"/>
      <c r="H149" s="123"/>
      <c r="I149" s="123"/>
      <c r="J149" s="123"/>
      <c r="K149" s="123"/>
      <c r="L149" s="123"/>
      <c r="M149" s="123"/>
      <c r="N149" s="125"/>
      <c r="O149" s="123"/>
      <c r="P149" s="125"/>
      <c r="Q149" s="123"/>
      <c r="R149" s="125"/>
      <c r="S149" s="125"/>
      <c r="T149" s="123"/>
      <c r="U149" s="123"/>
      <c r="V149" s="125"/>
      <c r="W149" s="123"/>
      <c r="X149" s="123"/>
      <c r="Y149" s="125"/>
      <c r="Z149" s="125"/>
      <c r="AA149" s="126"/>
      <c r="AB149" s="1241"/>
      <c r="AC149" s="123"/>
      <c r="AD149" s="123"/>
      <c r="AE149" s="123"/>
      <c r="AF149" s="123"/>
      <c r="AG149" s="125"/>
      <c r="AH149" s="123"/>
      <c r="AI149" s="195"/>
      <c r="AJ149" s="360"/>
      <c r="AK149" s="360"/>
      <c r="AL149" s="361"/>
      <c r="AM149" s="361"/>
      <c r="AN149" s="361"/>
      <c r="AO149" s="177"/>
    </row>
    <row r="150" spans="1:41" s="108" customFormat="1" x14ac:dyDescent="0.35">
      <c r="A150" s="121"/>
      <c r="D150" s="124"/>
      <c r="E150" s="124"/>
      <c r="F150" s="123"/>
      <c r="G150" s="123"/>
      <c r="H150" s="123"/>
      <c r="I150" s="123"/>
      <c r="J150" s="123"/>
      <c r="K150" s="123"/>
      <c r="L150" s="123"/>
      <c r="M150" s="123"/>
      <c r="N150" s="125"/>
      <c r="O150" s="123"/>
      <c r="P150" s="125"/>
      <c r="Q150" s="123"/>
      <c r="R150" s="125"/>
      <c r="S150" s="125"/>
      <c r="T150" s="123"/>
      <c r="U150" s="123"/>
      <c r="V150" s="125"/>
      <c r="W150" s="123"/>
      <c r="X150" s="123"/>
      <c r="Y150" s="125"/>
      <c r="Z150" s="125"/>
      <c r="AA150" s="126"/>
      <c r="AB150" s="1241"/>
      <c r="AC150" s="123"/>
      <c r="AD150" s="123"/>
      <c r="AE150" s="123"/>
      <c r="AF150" s="123"/>
      <c r="AG150" s="125"/>
      <c r="AH150" s="123"/>
      <c r="AI150" s="195"/>
      <c r="AJ150" s="360"/>
      <c r="AK150" s="360"/>
      <c r="AL150" s="361"/>
      <c r="AM150" s="361"/>
      <c r="AN150" s="361"/>
      <c r="AO150" s="177"/>
    </row>
    <row r="151" spans="1:41" s="108" customFormat="1" x14ac:dyDescent="0.35">
      <c r="A151" s="121"/>
      <c r="D151" s="124"/>
      <c r="E151" s="124"/>
      <c r="F151" s="123"/>
      <c r="G151" s="123"/>
      <c r="H151" s="123"/>
      <c r="I151" s="123"/>
      <c r="J151" s="123"/>
      <c r="K151" s="123"/>
      <c r="L151" s="123"/>
      <c r="M151" s="123"/>
      <c r="N151" s="125"/>
      <c r="O151" s="123"/>
      <c r="P151" s="125"/>
      <c r="Q151" s="123"/>
      <c r="R151" s="125"/>
      <c r="S151" s="125"/>
      <c r="T151" s="123"/>
      <c r="U151" s="123"/>
      <c r="V151" s="125"/>
      <c r="W151" s="123"/>
      <c r="X151" s="123"/>
      <c r="Y151" s="125"/>
      <c r="Z151" s="125"/>
      <c r="AA151" s="126"/>
      <c r="AB151" s="1241"/>
      <c r="AC151" s="123"/>
      <c r="AD151" s="123"/>
      <c r="AE151" s="123"/>
      <c r="AF151" s="123"/>
      <c r="AG151" s="125"/>
      <c r="AH151" s="123"/>
      <c r="AI151" s="195"/>
      <c r="AJ151" s="360"/>
      <c r="AK151" s="360"/>
      <c r="AL151" s="361"/>
      <c r="AM151" s="361"/>
      <c r="AN151" s="361"/>
      <c r="AO151" s="177"/>
    </row>
    <row r="152" spans="1:41" s="108" customFormat="1" x14ac:dyDescent="0.35">
      <c r="A152" s="121"/>
      <c r="D152" s="124"/>
      <c r="E152" s="124"/>
      <c r="F152" s="123"/>
      <c r="G152" s="123"/>
      <c r="H152" s="123"/>
      <c r="I152" s="123"/>
      <c r="J152" s="123"/>
      <c r="K152" s="123"/>
      <c r="L152" s="123"/>
      <c r="M152" s="123"/>
      <c r="N152" s="125"/>
      <c r="O152" s="123"/>
      <c r="P152" s="125"/>
      <c r="Q152" s="123"/>
      <c r="R152" s="125"/>
      <c r="S152" s="125"/>
      <c r="T152" s="123"/>
      <c r="U152" s="123"/>
      <c r="V152" s="125"/>
      <c r="W152" s="123"/>
      <c r="X152" s="123"/>
      <c r="Y152" s="125"/>
      <c r="Z152" s="125"/>
      <c r="AA152" s="126"/>
      <c r="AB152" s="1241"/>
      <c r="AC152" s="123"/>
      <c r="AD152" s="123"/>
      <c r="AE152" s="123"/>
      <c r="AF152" s="123"/>
      <c r="AG152" s="125"/>
      <c r="AH152" s="123"/>
      <c r="AI152" s="195"/>
      <c r="AJ152" s="360"/>
      <c r="AK152" s="360"/>
      <c r="AL152" s="361"/>
      <c r="AM152" s="361"/>
      <c r="AN152" s="361"/>
      <c r="AO152" s="177"/>
    </row>
    <row r="153" spans="1:41" s="108" customFormat="1" x14ac:dyDescent="0.35">
      <c r="A153" s="121"/>
      <c r="D153" s="124"/>
      <c r="E153" s="124"/>
      <c r="F153" s="123"/>
      <c r="G153" s="123"/>
      <c r="H153" s="123"/>
      <c r="I153" s="123"/>
      <c r="J153" s="123"/>
      <c r="K153" s="123"/>
      <c r="L153" s="123"/>
      <c r="M153" s="123"/>
      <c r="N153" s="125"/>
      <c r="O153" s="123"/>
      <c r="P153" s="125"/>
      <c r="Q153" s="123"/>
      <c r="R153" s="125"/>
      <c r="S153" s="125"/>
      <c r="T153" s="123"/>
      <c r="U153" s="123"/>
      <c r="V153" s="125"/>
      <c r="W153" s="123"/>
      <c r="X153" s="123"/>
      <c r="Y153" s="125"/>
      <c r="Z153" s="125"/>
      <c r="AA153" s="126"/>
      <c r="AB153" s="1241"/>
      <c r="AC153" s="123"/>
      <c r="AD153" s="123"/>
      <c r="AE153" s="123"/>
      <c r="AF153" s="123"/>
      <c r="AG153" s="125"/>
      <c r="AH153" s="123"/>
      <c r="AI153" s="195"/>
      <c r="AJ153" s="360"/>
      <c r="AK153" s="360"/>
      <c r="AL153" s="361"/>
      <c r="AM153" s="361"/>
      <c r="AN153" s="361"/>
      <c r="AO153" s="177"/>
    </row>
    <row r="154" spans="1:41" s="108" customFormat="1" x14ac:dyDescent="0.35">
      <c r="A154" s="121"/>
      <c r="D154" s="124"/>
      <c r="E154" s="124"/>
      <c r="F154" s="123"/>
      <c r="G154" s="123"/>
      <c r="H154" s="123"/>
      <c r="I154" s="123"/>
      <c r="J154" s="123"/>
      <c r="K154" s="123"/>
      <c r="L154" s="123"/>
      <c r="M154" s="123"/>
      <c r="N154" s="125"/>
      <c r="O154" s="123"/>
      <c r="P154" s="125"/>
      <c r="Q154" s="123"/>
      <c r="R154" s="125"/>
      <c r="S154" s="125"/>
      <c r="T154" s="123"/>
      <c r="U154" s="123"/>
      <c r="V154" s="125"/>
      <c r="W154" s="123"/>
      <c r="X154" s="123"/>
      <c r="Y154" s="125"/>
      <c r="Z154" s="125"/>
      <c r="AA154" s="126"/>
      <c r="AB154" s="1241"/>
      <c r="AC154" s="123"/>
      <c r="AD154" s="123"/>
      <c r="AE154" s="123"/>
      <c r="AF154" s="123"/>
      <c r="AG154" s="125"/>
      <c r="AH154" s="123"/>
      <c r="AI154" s="195"/>
      <c r="AJ154" s="360"/>
      <c r="AK154" s="360"/>
      <c r="AL154" s="361"/>
      <c r="AM154" s="361"/>
      <c r="AN154" s="361"/>
      <c r="AO154" s="177"/>
    </row>
    <row r="155" spans="1:41" s="108" customFormat="1" x14ac:dyDescent="0.35">
      <c r="A155" s="121"/>
      <c r="D155" s="124"/>
      <c r="E155" s="124"/>
      <c r="F155" s="123"/>
      <c r="G155" s="123"/>
      <c r="H155" s="123"/>
      <c r="I155" s="123"/>
      <c r="J155" s="123"/>
      <c r="K155" s="123"/>
      <c r="L155" s="123"/>
      <c r="M155" s="123"/>
      <c r="N155" s="125"/>
      <c r="O155" s="123"/>
      <c r="P155" s="125"/>
      <c r="Q155" s="123"/>
      <c r="R155" s="125"/>
      <c r="S155" s="125"/>
      <c r="T155" s="123"/>
      <c r="U155" s="123"/>
      <c r="V155" s="125"/>
      <c r="W155" s="123"/>
      <c r="X155" s="123"/>
      <c r="Y155" s="125"/>
      <c r="Z155" s="125"/>
      <c r="AA155" s="126"/>
      <c r="AB155" s="1241"/>
      <c r="AC155" s="123"/>
      <c r="AD155" s="123"/>
      <c r="AE155" s="123"/>
      <c r="AF155" s="123"/>
      <c r="AG155" s="125"/>
      <c r="AH155" s="123"/>
      <c r="AI155" s="195"/>
      <c r="AJ155" s="360"/>
      <c r="AK155" s="360"/>
      <c r="AL155" s="361"/>
      <c r="AM155" s="361"/>
      <c r="AN155" s="361"/>
      <c r="AO155" s="177"/>
    </row>
    <row r="156" spans="1:41" s="108" customFormat="1" x14ac:dyDescent="0.35">
      <c r="A156" s="121"/>
      <c r="D156" s="124"/>
      <c r="E156" s="124"/>
      <c r="F156" s="123"/>
      <c r="G156" s="123"/>
      <c r="H156" s="123"/>
      <c r="I156" s="123"/>
      <c r="J156" s="123"/>
      <c r="K156" s="123"/>
      <c r="L156" s="123"/>
      <c r="M156" s="123"/>
      <c r="N156" s="125"/>
      <c r="O156" s="123"/>
      <c r="P156" s="125"/>
      <c r="Q156" s="123"/>
      <c r="R156" s="125"/>
      <c r="S156" s="125"/>
      <c r="T156" s="123"/>
      <c r="U156" s="123"/>
      <c r="V156" s="125"/>
      <c r="W156" s="123"/>
      <c r="X156" s="123"/>
      <c r="Y156" s="125"/>
      <c r="Z156" s="125"/>
      <c r="AA156" s="126"/>
      <c r="AB156" s="1241"/>
      <c r="AC156" s="123"/>
      <c r="AD156" s="123"/>
      <c r="AE156" s="123"/>
      <c r="AF156" s="123"/>
      <c r="AG156" s="125"/>
      <c r="AH156" s="123"/>
      <c r="AI156" s="195"/>
      <c r="AJ156" s="360"/>
      <c r="AK156" s="360"/>
      <c r="AL156" s="361"/>
      <c r="AM156" s="361"/>
      <c r="AN156" s="361"/>
      <c r="AO156" s="177"/>
    </row>
    <row r="157" spans="1:41" s="108" customFormat="1" x14ac:dyDescent="0.35">
      <c r="A157" s="121"/>
      <c r="D157" s="124"/>
      <c r="E157" s="124"/>
      <c r="F157" s="123"/>
      <c r="G157" s="123"/>
      <c r="H157" s="123"/>
      <c r="I157" s="123"/>
      <c r="J157" s="123"/>
      <c r="K157" s="123"/>
      <c r="L157" s="123"/>
      <c r="M157" s="123"/>
      <c r="N157" s="125"/>
      <c r="O157" s="123"/>
      <c r="P157" s="125"/>
      <c r="Q157" s="123"/>
      <c r="R157" s="125"/>
      <c r="S157" s="125"/>
      <c r="T157" s="123"/>
      <c r="U157" s="123"/>
      <c r="V157" s="125"/>
      <c r="W157" s="123"/>
      <c r="X157" s="123"/>
      <c r="Y157" s="125"/>
      <c r="Z157" s="125"/>
      <c r="AA157" s="126"/>
      <c r="AB157" s="1241"/>
      <c r="AC157" s="123"/>
      <c r="AD157" s="123"/>
      <c r="AE157" s="123"/>
      <c r="AF157" s="123"/>
      <c r="AG157" s="125"/>
      <c r="AH157" s="123"/>
      <c r="AI157" s="195"/>
      <c r="AJ157" s="360"/>
      <c r="AK157" s="360"/>
      <c r="AL157" s="361"/>
      <c r="AM157" s="361"/>
      <c r="AN157" s="361"/>
      <c r="AO157" s="177"/>
    </row>
    <row r="158" spans="1:41" s="108" customFormat="1" x14ac:dyDescent="0.35">
      <c r="A158" s="121"/>
      <c r="D158" s="124"/>
      <c r="E158" s="124"/>
      <c r="F158" s="123"/>
      <c r="G158" s="123"/>
      <c r="H158" s="123"/>
      <c r="I158" s="123"/>
      <c r="J158" s="123"/>
      <c r="K158" s="123"/>
      <c r="L158" s="123"/>
      <c r="M158" s="123"/>
      <c r="N158" s="125"/>
      <c r="O158" s="123"/>
      <c r="P158" s="125"/>
      <c r="Q158" s="123"/>
      <c r="R158" s="125"/>
      <c r="S158" s="125"/>
      <c r="T158" s="123"/>
      <c r="U158" s="123"/>
      <c r="V158" s="125"/>
      <c r="W158" s="123"/>
      <c r="X158" s="123"/>
      <c r="Y158" s="125"/>
      <c r="Z158" s="125"/>
      <c r="AA158" s="126"/>
      <c r="AB158" s="1241"/>
      <c r="AC158" s="123"/>
      <c r="AD158" s="123"/>
      <c r="AE158" s="123"/>
      <c r="AF158" s="123"/>
      <c r="AG158" s="125"/>
      <c r="AH158" s="123"/>
      <c r="AI158" s="195"/>
      <c r="AJ158" s="360"/>
      <c r="AK158" s="360"/>
      <c r="AL158" s="361"/>
      <c r="AM158" s="361"/>
      <c r="AN158" s="361"/>
      <c r="AO158" s="177"/>
    </row>
    <row r="159" spans="1:41" s="108" customFormat="1" x14ac:dyDescent="0.35">
      <c r="A159" s="121"/>
      <c r="D159" s="124"/>
      <c r="E159" s="124"/>
      <c r="F159" s="123"/>
      <c r="G159" s="123"/>
      <c r="H159" s="123"/>
      <c r="I159" s="123"/>
      <c r="J159" s="123"/>
      <c r="K159" s="123"/>
      <c r="L159" s="123"/>
      <c r="M159" s="123"/>
      <c r="N159" s="125"/>
      <c r="O159" s="123"/>
      <c r="P159" s="125"/>
      <c r="Q159" s="123"/>
      <c r="R159" s="125"/>
      <c r="S159" s="125"/>
      <c r="T159" s="123"/>
      <c r="U159" s="123"/>
      <c r="V159" s="125"/>
      <c r="W159" s="123"/>
      <c r="X159" s="123"/>
      <c r="Y159" s="125"/>
      <c r="Z159" s="125"/>
      <c r="AA159" s="126"/>
      <c r="AB159" s="1241"/>
      <c r="AC159" s="123"/>
      <c r="AD159" s="123"/>
      <c r="AE159" s="123"/>
      <c r="AF159" s="123"/>
      <c r="AG159" s="125"/>
      <c r="AH159" s="123"/>
      <c r="AI159" s="195"/>
      <c r="AJ159" s="360"/>
      <c r="AK159" s="360"/>
      <c r="AL159" s="361"/>
      <c r="AM159" s="361"/>
      <c r="AN159" s="361"/>
      <c r="AO159" s="177"/>
    </row>
    <row r="160" spans="1:41" s="108" customFormat="1" x14ac:dyDescent="0.35">
      <c r="A160" s="121"/>
      <c r="D160" s="124"/>
      <c r="E160" s="124"/>
      <c r="F160" s="123"/>
      <c r="G160" s="123"/>
      <c r="H160" s="123"/>
      <c r="I160" s="123"/>
      <c r="J160" s="123"/>
      <c r="K160" s="123"/>
      <c r="L160" s="123"/>
      <c r="M160" s="123"/>
      <c r="N160" s="125"/>
      <c r="O160" s="123"/>
      <c r="P160" s="125"/>
      <c r="Q160" s="123"/>
      <c r="R160" s="125"/>
      <c r="S160" s="125"/>
      <c r="T160" s="123"/>
      <c r="U160" s="123"/>
      <c r="V160" s="125"/>
      <c r="W160" s="123"/>
      <c r="X160" s="123"/>
      <c r="Y160" s="125"/>
      <c r="Z160" s="125"/>
      <c r="AA160" s="126"/>
      <c r="AB160" s="1241"/>
      <c r="AC160" s="123"/>
      <c r="AD160" s="123"/>
      <c r="AE160" s="123"/>
      <c r="AF160" s="123"/>
      <c r="AG160" s="125"/>
      <c r="AH160" s="123"/>
      <c r="AI160" s="195"/>
      <c r="AJ160" s="360"/>
      <c r="AK160" s="360"/>
      <c r="AL160" s="361"/>
      <c r="AM160" s="361"/>
      <c r="AN160" s="361"/>
      <c r="AO160" s="177"/>
    </row>
    <row r="161" spans="1:41" s="108" customFormat="1" x14ac:dyDescent="0.35">
      <c r="A161" s="121"/>
      <c r="D161" s="124"/>
      <c r="E161" s="124"/>
      <c r="F161" s="123"/>
      <c r="G161" s="123"/>
      <c r="H161" s="123"/>
      <c r="I161" s="123"/>
      <c r="J161" s="123"/>
      <c r="K161" s="123"/>
      <c r="L161" s="123"/>
      <c r="M161" s="123"/>
      <c r="N161" s="125"/>
      <c r="O161" s="123"/>
      <c r="P161" s="125"/>
      <c r="Q161" s="123"/>
      <c r="R161" s="125"/>
      <c r="S161" s="125"/>
      <c r="T161" s="123"/>
      <c r="U161" s="123"/>
      <c r="V161" s="125"/>
      <c r="W161" s="123"/>
      <c r="X161" s="123"/>
      <c r="Y161" s="125"/>
      <c r="Z161" s="125"/>
      <c r="AA161" s="126"/>
      <c r="AB161" s="1241"/>
      <c r="AC161" s="123"/>
      <c r="AD161" s="123"/>
      <c r="AE161" s="123"/>
      <c r="AF161" s="123"/>
      <c r="AG161" s="125"/>
      <c r="AH161" s="123"/>
      <c r="AI161" s="195"/>
      <c r="AJ161" s="360"/>
      <c r="AK161" s="360"/>
      <c r="AL161" s="361"/>
      <c r="AM161" s="361"/>
      <c r="AN161" s="361"/>
      <c r="AO161" s="177"/>
    </row>
    <row r="162" spans="1:41" s="108" customFormat="1" x14ac:dyDescent="0.35">
      <c r="A162" s="121"/>
      <c r="D162" s="124"/>
      <c r="E162" s="124"/>
      <c r="F162" s="123"/>
      <c r="G162" s="123"/>
      <c r="H162" s="123"/>
      <c r="I162" s="123"/>
      <c r="J162" s="123"/>
      <c r="K162" s="123"/>
      <c r="L162" s="123"/>
      <c r="M162" s="123"/>
      <c r="N162" s="125"/>
      <c r="O162" s="123"/>
      <c r="P162" s="125"/>
      <c r="Q162" s="123"/>
      <c r="R162" s="125"/>
      <c r="S162" s="125"/>
      <c r="T162" s="123"/>
      <c r="U162" s="123"/>
      <c r="V162" s="125"/>
      <c r="W162" s="123"/>
      <c r="X162" s="123"/>
      <c r="Y162" s="125"/>
      <c r="Z162" s="125"/>
      <c r="AA162" s="126"/>
      <c r="AB162" s="1241"/>
      <c r="AC162" s="123"/>
      <c r="AD162" s="123"/>
      <c r="AE162" s="123"/>
      <c r="AF162" s="123"/>
      <c r="AG162" s="125"/>
      <c r="AH162" s="123"/>
      <c r="AI162" s="195"/>
      <c r="AJ162" s="360"/>
      <c r="AK162" s="360"/>
      <c r="AL162" s="361"/>
      <c r="AM162" s="361"/>
      <c r="AN162" s="361"/>
      <c r="AO162" s="177"/>
    </row>
    <row r="163" spans="1:41" s="108" customFormat="1" x14ac:dyDescent="0.35">
      <c r="A163" s="121"/>
      <c r="D163" s="124"/>
      <c r="E163" s="124"/>
      <c r="F163" s="123"/>
      <c r="G163" s="123"/>
      <c r="H163" s="123"/>
      <c r="I163" s="123"/>
      <c r="J163" s="123"/>
      <c r="K163" s="123"/>
      <c r="L163" s="123"/>
      <c r="M163" s="123"/>
      <c r="N163" s="125"/>
      <c r="O163" s="123"/>
      <c r="P163" s="125"/>
      <c r="Q163" s="123"/>
      <c r="R163" s="125"/>
      <c r="S163" s="125"/>
      <c r="T163" s="123"/>
      <c r="U163" s="123"/>
      <c r="V163" s="125"/>
      <c r="W163" s="123"/>
      <c r="X163" s="123"/>
      <c r="Y163" s="125"/>
      <c r="Z163" s="125"/>
      <c r="AA163" s="126"/>
      <c r="AB163" s="1241"/>
      <c r="AC163" s="123"/>
      <c r="AD163" s="123"/>
      <c r="AE163" s="123"/>
      <c r="AF163" s="123"/>
      <c r="AG163" s="125"/>
      <c r="AH163" s="123"/>
      <c r="AI163" s="195"/>
      <c r="AJ163" s="360"/>
      <c r="AK163" s="360"/>
      <c r="AL163" s="361"/>
      <c r="AM163" s="361"/>
      <c r="AN163" s="361"/>
      <c r="AO163" s="177"/>
    </row>
    <row r="164" spans="1:41" s="108" customFormat="1" x14ac:dyDescent="0.35">
      <c r="A164" s="121"/>
      <c r="D164" s="124"/>
      <c r="E164" s="124"/>
      <c r="F164" s="123"/>
      <c r="G164" s="123"/>
      <c r="H164" s="123"/>
      <c r="I164" s="123"/>
      <c r="J164" s="123"/>
      <c r="K164" s="123"/>
      <c r="L164" s="123"/>
      <c r="M164" s="123"/>
      <c r="N164" s="125"/>
      <c r="O164" s="123"/>
      <c r="P164" s="125"/>
      <c r="Q164" s="123"/>
      <c r="R164" s="125"/>
      <c r="S164" s="125"/>
      <c r="T164" s="123"/>
      <c r="U164" s="123"/>
      <c r="V164" s="125"/>
      <c r="W164" s="123"/>
      <c r="X164" s="123"/>
      <c r="Y164" s="125"/>
      <c r="Z164" s="125"/>
      <c r="AA164" s="126"/>
      <c r="AB164" s="1241"/>
      <c r="AC164" s="123"/>
      <c r="AD164" s="123"/>
      <c r="AE164" s="123"/>
      <c r="AF164" s="123"/>
      <c r="AG164" s="125"/>
      <c r="AH164" s="123"/>
      <c r="AI164" s="195"/>
      <c r="AJ164" s="360"/>
      <c r="AK164" s="360"/>
      <c r="AL164" s="361"/>
      <c r="AM164" s="361"/>
      <c r="AN164" s="361"/>
      <c r="AO164" s="177"/>
    </row>
    <row r="165" spans="1:41" s="108" customFormat="1" x14ac:dyDescent="0.35">
      <c r="A165" s="121"/>
      <c r="D165" s="124"/>
      <c r="E165" s="124"/>
      <c r="F165" s="123"/>
      <c r="G165" s="123"/>
      <c r="H165" s="123"/>
      <c r="I165" s="123"/>
      <c r="J165" s="123"/>
      <c r="K165" s="123"/>
      <c r="L165" s="123"/>
      <c r="M165" s="123"/>
      <c r="N165" s="125"/>
      <c r="O165" s="123"/>
      <c r="P165" s="125"/>
      <c r="Q165" s="123"/>
      <c r="R165" s="125"/>
      <c r="S165" s="125"/>
      <c r="T165" s="123"/>
      <c r="U165" s="123"/>
      <c r="V165" s="125"/>
      <c r="W165" s="123"/>
      <c r="X165" s="123"/>
      <c r="Y165" s="125"/>
      <c r="Z165" s="125"/>
      <c r="AA165" s="126"/>
      <c r="AB165" s="1241"/>
      <c r="AC165" s="123"/>
      <c r="AD165" s="123"/>
      <c r="AE165" s="123"/>
      <c r="AF165" s="123"/>
      <c r="AG165" s="125"/>
      <c r="AH165" s="123"/>
      <c r="AI165" s="195"/>
      <c r="AJ165" s="360"/>
      <c r="AK165" s="360"/>
      <c r="AL165" s="361"/>
      <c r="AM165" s="361"/>
      <c r="AN165" s="361"/>
      <c r="AO165" s="177"/>
    </row>
    <row r="166" spans="1:41" s="108" customFormat="1" x14ac:dyDescent="0.35">
      <c r="A166" s="121"/>
      <c r="D166" s="124"/>
      <c r="E166" s="124"/>
      <c r="F166" s="123"/>
      <c r="G166" s="123"/>
      <c r="H166" s="123"/>
      <c r="I166" s="123"/>
      <c r="J166" s="123"/>
      <c r="K166" s="123"/>
      <c r="L166" s="123"/>
      <c r="M166" s="123"/>
      <c r="N166" s="125"/>
      <c r="O166" s="123"/>
      <c r="P166" s="125"/>
      <c r="Q166" s="123"/>
      <c r="R166" s="125"/>
      <c r="S166" s="125"/>
      <c r="T166" s="123"/>
      <c r="U166" s="123"/>
      <c r="V166" s="125"/>
      <c r="W166" s="123"/>
      <c r="X166" s="123"/>
      <c r="Y166" s="125"/>
      <c r="Z166" s="125"/>
      <c r="AA166" s="126"/>
      <c r="AB166" s="1241"/>
      <c r="AC166" s="123"/>
      <c r="AD166" s="123"/>
      <c r="AE166" s="123"/>
      <c r="AF166" s="123"/>
      <c r="AG166" s="125"/>
      <c r="AH166" s="123"/>
      <c r="AI166" s="195"/>
      <c r="AJ166" s="360"/>
      <c r="AK166" s="360"/>
      <c r="AL166" s="361"/>
      <c r="AM166" s="361"/>
      <c r="AN166" s="361"/>
      <c r="AO166" s="177"/>
    </row>
    <row r="167" spans="1:41" s="108" customFormat="1" x14ac:dyDescent="0.35">
      <c r="A167" s="121"/>
      <c r="D167" s="124"/>
      <c r="E167" s="124"/>
      <c r="F167" s="123"/>
      <c r="G167" s="123"/>
      <c r="H167" s="123"/>
      <c r="I167" s="123"/>
      <c r="J167" s="123"/>
      <c r="K167" s="123"/>
      <c r="L167" s="123"/>
      <c r="M167" s="123"/>
      <c r="N167" s="125"/>
      <c r="O167" s="123"/>
      <c r="P167" s="125"/>
      <c r="Q167" s="123"/>
      <c r="R167" s="125"/>
      <c r="S167" s="125"/>
      <c r="T167" s="123"/>
      <c r="U167" s="123"/>
      <c r="V167" s="125"/>
      <c r="W167" s="123"/>
      <c r="X167" s="123"/>
      <c r="Y167" s="125"/>
      <c r="Z167" s="125"/>
      <c r="AA167" s="126"/>
      <c r="AB167" s="1241"/>
      <c r="AC167" s="123"/>
      <c r="AD167" s="123"/>
      <c r="AE167" s="123"/>
      <c r="AF167" s="123"/>
      <c r="AG167" s="125"/>
      <c r="AH167" s="123"/>
      <c r="AI167" s="195"/>
      <c r="AJ167" s="360"/>
      <c r="AK167" s="360"/>
      <c r="AL167" s="361"/>
      <c r="AM167" s="361"/>
      <c r="AN167" s="361"/>
      <c r="AO167" s="177"/>
    </row>
    <row r="168" spans="1:41" s="108" customFormat="1" x14ac:dyDescent="0.35">
      <c r="A168" s="121"/>
      <c r="D168" s="124"/>
      <c r="E168" s="124"/>
      <c r="F168" s="123"/>
      <c r="G168" s="123"/>
      <c r="H168" s="123"/>
      <c r="I168" s="123"/>
      <c r="J168" s="123"/>
      <c r="K168" s="123"/>
      <c r="L168" s="123"/>
      <c r="M168" s="123"/>
      <c r="N168" s="125"/>
      <c r="O168" s="123"/>
      <c r="P168" s="125"/>
      <c r="Q168" s="123"/>
      <c r="R168" s="125"/>
      <c r="S168" s="125"/>
      <c r="T168" s="123"/>
      <c r="U168" s="123"/>
      <c r="V168" s="125"/>
      <c r="W168" s="123"/>
      <c r="X168" s="123"/>
      <c r="Y168" s="125"/>
      <c r="Z168" s="125"/>
      <c r="AA168" s="126"/>
      <c r="AB168" s="1241"/>
      <c r="AC168" s="123"/>
      <c r="AD168" s="123"/>
      <c r="AE168" s="123"/>
      <c r="AF168" s="123"/>
      <c r="AG168" s="125"/>
      <c r="AH168" s="123"/>
      <c r="AI168" s="195"/>
      <c r="AJ168" s="360"/>
      <c r="AK168" s="360"/>
      <c r="AL168" s="361"/>
      <c r="AM168" s="361"/>
      <c r="AN168" s="361"/>
      <c r="AO168" s="177"/>
    </row>
  </sheetData>
  <sheetProtection sheet="1" objects="1" scenarios="1"/>
  <mergeCells count="29">
    <mergeCell ref="AQ4:AR4"/>
    <mergeCell ref="AF5:AF6"/>
    <mergeCell ref="AH5:AH6"/>
    <mergeCell ref="O5:O6"/>
    <mergeCell ref="Q5:Q6"/>
    <mergeCell ref="T5:T6"/>
    <mergeCell ref="U5:U6"/>
    <mergeCell ref="W5:W6"/>
    <mergeCell ref="X5:X6"/>
    <mergeCell ref="AC5:AC6"/>
    <mergeCell ref="AD5:AD6"/>
    <mergeCell ref="AE5:AE6"/>
    <mergeCell ref="V4:X4"/>
    <mergeCell ref="Y4:AF4"/>
    <mergeCell ref="AG4:AH4"/>
    <mergeCell ref="AJ4:AP4"/>
    <mergeCell ref="P4:Q4"/>
    <mergeCell ref="R4:U4"/>
    <mergeCell ref="A1:D1"/>
    <mergeCell ref="F1:H1"/>
    <mergeCell ref="N2:O2"/>
    <mergeCell ref="N1:O1"/>
    <mergeCell ref="A2:D2"/>
    <mergeCell ref="N4:O4"/>
    <mergeCell ref="F2:H2"/>
    <mergeCell ref="I2:K2"/>
    <mergeCell ref="I1:K1"/>
    <mergeCell ref="A4:F4"/>
    <mergeCell ref="G4:M4"/>
  </mergeCells>
  <conditionalFormatting sqref="AA7:AA81">
    <cfRule type="cellIs" dxfId="21" priority="9" operator="lessThan">
      <formula>0</formula>
    </cfRule>
  </conditionalFormatting>
  <conditionalFormatting sqref="AA91:AA93">
    <cfRule type="cellIs" dxfId="20" priority="1" operator="lessThan">
      <formula>0</formula>
    </cfRule>
  </conditionalFormatting>
  <hyperlinks>
    <hyperlink ref="N1" location="'Regional Menu'!A1" display="Return to Regional Menu"/>
    <hyperlink ref="N2" location="'Elec. Analysis'!A1" display="Go to Electricity Analysis"/>
    <hyperlink ref="N1:O1" location="'Service Zone Menu'!A1" display="Return to Service Zone Menu"/>
  </hyperlinks>
  <pageMargins left="0.7" right="0.7" top="0.75" bottom="0.75" header="0.3" footer="0.3"/>
  <pageSetup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theme="3" tint="-0.249977111117893"/>
  </sheetPr>
  <dimension ref="A1:AS96"/>
  <sheetViews>
    <sheetView zoomScale="80" zoomScaleNormal="80" workbookViewId="0">
      <selection sqref="A1:D1"/>
    </sheetView>
  </sheetViews>
  <sheetFormatPr defaultRowHeight="14.5" x14ac:dyDescent="0.35"/>
  <cols>
    <col min="1" max="1" width="8.54296875" bestFit="1" customWidth="1"/>
    <col min="2" max="2" width="10.1796875" bestFit="1" customWidth="1"/>
    <col min="3" max="3" width="14.81640625" bestFit="1" customWidth="1"/>
    <col min="4" max="4" width="15.54296875" style="11" bestFit="1" customWidth="1"/>
    <col min="5" max="5" width="15" style="11" bestFit="1" customWidth="1"/>
    <col min="6" max="6" width="17.1796875" bestFit="1" customWidth="1"/>
    <col min="7" max="7" width="14.26953125" bestFit="1" customWidth="1"/>
    <col min="8" max="8" width="15.26953125" bestFit="1" customWidth="1"/>
    <col min="9" max="9" width="14.7265625" customWidth="1"/>
    <col min="10" max="10" width="16.7265625" bestFit="1" customWidth="1"/>
    <col min="11" max="11" width="11.453125" bestFit="1" customWidth="1"/>
    <col min="12" max="12" width="16.26953125" bestFit="1" customWidth="1"/>
    <col min="13" max="13" width="9.1796875" customWidth="1"/>
    <col min="14" max="14" width="12.81640625" style="18" customWidth="1"/>
    <col min="15" max="15" width="16.26953125" bestFit="1" customWidth="1"/>
    <col min="16" max="16" width="15.26953125" style="18" bestFit="1" customWidth="1"/>
    <col min="17" max="17" width="15.26953125" bestFit="1" customWidth="1"/>
    <col min="18" max="18" width="17" style="18" bestFit="1" customWidth="1"/>
    <col min="19" max="19" width="17.7265625" style="18" bestFit="1" customWidth="1"/>
    <col min="20" max="21" width="12.81640625" bestFit="1" customWidth="1"/>
    <col min="22" max="22" width="27.81640625" style="14" customWidth="1"/>
    <col min="23" max="23" width="12.81640625" bestFit="1" customWidth="1"/>
    <col min="24" max="24" width="11.7265625" style="18" bestFit="1" customWidth="1"/>
    <col min="25" max="25" width="16.7265625" style="18" bestFit="1" customWidth="1"/>
    <col min="26" max="26" width="14.54296875" style="18" bestFit="1" customWidth="1"/>
    <col min="27" max="27" width="14.81640625" style="12" bestFit="1" customWidth="1"/>
    <col min="28" max="28" width="12.1796875" style="12" customWidth="1"/>
    <col min="29" max="29" width="11.26953125" bestFit="1" customWidth="1"/>
    <col min="30" max="30" width="15.26953125" customWidth="1"/>
    <col min="31" max="31" width="11.54296875" bestFit="1" customWidth="1"/>
    <col min="32" max="32" width="11.54296875" style="17" bestFit="1" customWidth="1"/>
    <col min="33" max="33" width="9.1796875" style="17" bestFit="1" customWidth="1"/>
    <col min="34" max="34" width="16.26953125" style="18" bestFit="1" customWidth="1"/>
    <col min="35" max="35" width="16.26953125" bestFit="1" customWidth="1"/>
    <col min="36" max="36" width="11.453125" bestFit="1" customWidth="1"/>
    <col min="37" max="42" width="15.26953125" bestFit="1" customWidth="1"/>
    <col min="43" max="43" width="14.81640625" bestFit="1" customWidth="1"/>
    <col min="44" max="44" width="13.453125" customWidth="1"/>
    <col min="45" max="45" width="16.26953125" customWidth="1"/>
  </cols>
  <sheetData>
    <row r="1" spans="1:45" s="16" customFormat="1" ht="15.75" x14ac:dyDescent="0.25">
      <c r="A1" s="1977" t="s">
        <v>0</v>
      </c>
      <c r="B1" s="1978"/>
      <c r="C1" s="1978"/>
      <c r="D1" s="1978"/>
      <c r="E1" s="247"/>
      <c r="F1" s="1981" t="s">
        <v>458</v>
      </c>
      <c r="G1" s="1982"/>
      <c r="H1" s="1982"/>
      <c r="I1" s="1984" t="str">
        <f>'Service Zone Menu'!$F$4</f>
        <v>Detached Home Consumption</v>
      </c>
      <c r="J1" s="1984"/>
      <c r="K1" s="1985"/>
      <c r="L1" s="248"/>
      <c r="M1" s="249"/>
      <c r="N1" s="1987" t="s">
        <v>479</v>
      </c>
      <c r="O1" s="1987"/>
      <c r="P1" s="250"/>
      <c r="Q1" s="248"/>
      <c r="R1" s="250"/>
      <c r="S1" s="250"/>
      <c r="T1" s="248"/>
      <c r="U1" s="248"/>
      <c r="V1" s="251"/>
      <c r="W1" s="248"/>
      <c r="X1" s="251"/>
      <c r="Y1" s="251"/>
      <c r="Z1" s="251"/>
      <c r="AA1" s="251"/>
      <c r="AB1" s="251"/>
      <c r="AC1" s="248"/>
      <c r="AD1" s="248"/>
      <c r="AE1" s="248"/>
      <c r="AF1" s="248"/>
      <c r="AG1" s="248"/>
      <c r="AH1" s="251"/>
      <c r="AI1" s="248"/>
      <c r="AJ1" s="252"/>
      <c r="AK1" s="251"/>
      <c r="AL1" s="251"/>
      <c r="AM1" s="253"/>
      <c r="AN1" s="253"/>
      <c r="AO1" s="253"/>
      <c r="AP1" s="254"/>
      <c r="AQ1" s="254"/>
      <c r="AR1" s="254"/>
      <c r="AS1" s="255"/>
    </row>
    <row r="2" spans="1:45" s="16" customFormat="1" ht="35.25" customHeight="1" thickBot="1" x14ac:dyDescent="0.3">
      <c r="A2" s="1979" t="str">
        <f>"EPCOR Service Zone ("&amp; 'Service Zone Menu'!$K$4 &amp;")"</f>
        <v>EPCOR Service Zone (Edmonton)</v>
      </c>
      <c r="B2" s="1980"/>
      <c r="C2" s="1980"/>
      <c r="D2" s="1980"/>
      <c r="E2" s="1155"/>
      <c r="F2" s="1988" t="s">
        <v>557</v>
      </c>
      <c r="G2" s="1989"/>
      <c r="H2" s="1989"/>
      <c r="I2" s="1990" t="str">
        <f>'Service Zone Menu'!$O$4</f>
        <v>RRO (Capped)</v>
      </c>
      <c r="J2" s="1990"/>
      <c r="K2" s="1991"/>
      <c r="L2" s="1154"/>
      <c r="M2" s="1154"/>
      <c r="N2" s="1987" t="s">
        <v>365</v>
      </c>
      <c r="O2" s="1987"/>
      <c r="P2" s="1156"/>
      <c r="Q2" s="1154"/>
      <c r="R2" s="1156"/>
      <c r="S2" s="1156"/>
      <c r="T2" s="1154"/>
      <c r="U2" s="1154"/>
      <c r="V2" s="1157"/>
      <c r="W2" s="1154"/>
      <c r="X2" s="1157"/>
      <c r="Y2" s="1157"/>
      <c r="Z2" s="1157"/>
      <c r="AA2" s="1157"/>
      <c r="AB2" s="1157"/>
      <c r="AC2" s="1154"/>
      <c r="AD2" s="1154"/>
      <c r="AE2" s="1154"/>
      <c r="AF2" s="1154"/>
      <c r="AG2" s="1154"/>
      <c r="AH2" s="1157"/>
      <c r="AI2" s="1154"/>
      <c r="AJ2" s="1158"/>
      <c r="AK2" s="1157"/>
      <c r="AL2" s="1157"/>
      <c r="AM2" s="1159"/>
      <c r="AN2" s="1159"/>
      <c r="AO2" s="1159"/>
      <c r="AP2" s="1160"/>
      <c r="AQ2" s="1160"/>
      <c r="AR2" s="1160"/>
      <c r="AS2" s="1161"/>
    </row>
    <row r="3" spans="1:45" s="16" customFormat="1" ht="12.75" customHeight="1" x14ac:dyDescent="0.25">
      <c r="A3" s="1109"/>
      <c r="B3" s="1109"/>
      <c r="C3" s="1109"/>
      <c r="D3" s="1109"/>
      <c r="E3" s="1109"/>
      <c r="F3" s="256"/>
      <c r="G3" s="257"/>
      <c r="H3" s="257"/>
      <c r="I3" s="1153"/>
      <c r="J3" s="1153"/>
      <c r="K3" s="1153"/>
      <c r="L3" s="258"/>
      <c r="M3" s="258"/>
      <c r="N3" s="1110"/>
      <c r="O3" s="1110"/>
      <c r="P3" s="259"/>
      <c r="Q3" s="258"/>
      <c r="R3" s="259"/>
      <c r="S3" s="259"/>
      <c r="T3" s="258"/>
      <c r="U3" s="258"/>
      <c r="V3" s="260"/>
      <c r="W3" s="258"/>
      <c r="X3" s="260"/>
      <c r="Y3" s="260"/>
      <c r="Z3" s="260"/>
      <c r="AA3" s="260"/>
      <c r="AB3" s="260"/>
      <c r="AC3" s="258"/>
      <c r="AD3" s="258"/>
      <c r="AE3" s="258"/>
      <c r="AF3" s="258"/>
      <c r="AG3" s="258"/>
      <c r="AH3" s="260"/>
      <c r="AI3" s="258"/>
      <c r="AJ3" s="261"/>
      <c r="AK3" s="260"/>
      <c r="AL3" s="260"/>
      <c r="AM3" s="262"/>
      <c r="AN3" s="262"/>
      <c r="AO3" s="262"/>
      <c r="AP3" s="263"/>
      <c r="AQ3" s="263"/>
      <c r="AR3" s="263"/>
      <c r="AS3" s="264"/>
    </row>
    <row r="4" spans="1:45" ht="23.25" customHeight="1" x14ac:dyDescent="0.25">
      <c r="A4" s="1755" t="s">
        <v>3</v>
      </c>
      <c r="B4" s="1755"/>
      <c r="C4" s="1755"/>
      <c r="D4" s="1755"/>
      <c r="E4" s="1755"/>
      <c r="F4" s="1986"/>
      <c r="G4" s="1771" t="s">
        <v>4</v>
      </c>
      <c r="H4" s="1755"/>
      <c r="I4" s="1755"/>
      <c r="J4" s="1755"/>
      <c r="K4" s="1755"/>
      <c r="L4" s="1755"/>
      <c r="M4" s="1772"/>
      <c r="N4" s="1983" t="s">
        <v>5</v>
      </c>
      <c r="O4" s="1751"/>
      <c r="P4" s="1755" t="s">
        <v>6</v>
      </c>
      <c r="Q4" s="1751"/>
      <c r="R4" s="1755" t="s">
        <v>7</v>
      </c>
      <c r="S4" s="1755"/>
      <c r="T4" s="1755"/>
      <c r="U4" s="1751"/>
      <c r="V4" s="1724" t="s">
        <v>8</v>
      </c>
      <c r="W4" s="1751"/>
      <c r="X4" s="1724" t="s">
        <v>9</v>
      </c>
      <c r="Y4" s="1755"/>
      <c r="Z4" s="1755"/>
      <c r="AA4" s="1755"/>
      <c r="AB4" s="1755"/>
      <c r="AC4" s="1755"/>
      <c r="AD4" s="1755"/>
      <c r="AE4" s="1755"/>
      <c r="AF4" s="1755"/>
      <c r="AG4" s="1992"/>
      <c r="AH4" s="1755" t="s">
        <v>10</v>
      </c>
      <c r="AI4" s="1751"/>
      <c r="AJ4" s="265" t="s">
        <v>11</v>
      </c>
      <c r="AK4" s="1724" t="s">
        <v>12</v>
      </c>
      <c r="AL4" s="1755"/>
      <c r="AM4" s="1755"/>
      <c r="AN4" s="1755"/>
      <c r="AO4" s="1755"/>
      <c r="AP4" s="1755"/>
      <c r="AQ4" s="1751"/>
      <c r="AR4" s="1747" t="s">
        <v>558</v>
      </c>
      <c r="AS4" s="1726"/>
    </row>
    <row r="5" spans="1:45" ht="73.5" customHeight="1" x14ac:dyDescent="0.35">
      <c r="A5" s="50" t="s">
        <v>13</v>
      </c>
      <c r="B5" s="50" t="s">
        <v>14</v>
      </c>
      <c r="C5" s="50" t="s">
        <v>12</v>
      </c>
      <c r="D5" s="50" t="s">
        <v>541</v>
      </c>
      <c r="E5" s="50" t="s">
        <v>545</v>
      </c>
      <c r="F5" s="51" t="s">
        <v>626</v>
      </c>
      <c r="G5" s="266" t="s">
        <v>15</v>
      </c>
      <c r="H5" s="50" t="s">
        <v>16</v>
      </c>
      <c r="I5" s="50" t="s">
        <v>17</v>
      </c>
      <c r="J5" s="50" t="s">
        <v>18</v>
      </c>
      <c r="K5" s="50" t="s">
        <v>19</v>
      </c>
      <c r="L5" s="50" t="s">
        <v>20</v>
      </c>
      <c r="M5" s="267" t="s">
        <v>21</v>
      </c>
      <c r="N5" s="52" t="str">
        <f>IF($I$2&lt;&gt;"Custom","RRO Energy Rate", "Custom Energy Rate")</f>
        <v>RRO Energy Rate</v>
      </c>
      <c r="O5" s="1731" t="s">
        <v>23</v>
      </c>
      <c r="P5" s="53" t="s">
        <v>422</v>
      </c>
      <c r="Q5" s="1729" t="s">
        <v>24</v>
      </c>
      <c r="R5" s="53" t="s">
        <v>423</v>
      </c>
      <c r="S5" s="52" t="s">
        <v>424</v>
      </c>
      <c r="T5" s="1729" t="s">
        <v>105</v>
      </c>
      <c r="U5" s="1731" t="s">
        <v>104</v>
      </c>
      <c r="V5" s="52" t="s">
        <v>38</v>
      </c>
      <c r="W5" s="1729" t="s">
        <v>39</v>
      </c>
      <c r="X5" s="53" t="s">
        <v>40</v>
      </c>
      <c r="Y5" s="52" t="s">
        <v>437</v>
      </c>
      <c r="Z5" s="52" t="s">
        <v>41</v>
      </c>
      <c r="AA5" s="52" t="s">
        <v>42</v>
      </c>
      <c r="AB5" s="52" t="s">
        <v>43</v>
      </c>
      <c r="AC5" s="1729" t="s">
        <v>428</v>
      </c>
      <c r="AD5" s="1729" t="s">
        <v>438</v>
      </c>
      <c r="AE5" s="1729" t="s">
        <v>434</v>
      </c>
      <c r="AF5" s="1729" t="s">
        <v>435</v>
      </c>
      <c r="AG5" s="1731" t="s">
        <v>436</v>
      </c>
      <c r="AH5" s="162" t="str">
        <f>IF($I$2&lt;&gt;"Custom", "RRO Provider (EPCOR) Administration Rate", "Custom Administration Rate")</f>
        <v>RRO Provider (EPCOR) Administration Rate</v>
      </c>
      <c r="AI5" s="1972" t="s">
        <v>274</v>
      </c>
      <c r="AJ5" s="268" t="s">
        <v>30</v>
      </c>
      <c r="AK5" s="53" t="s">
        <v>37</v>
      </c>
      <c r="AL5" s="52" t="s">
        <v>31</v>
      </c>
      <c r="AM5" s="166" t="s">
        <v>337</v>
      </c>
      <c r="AN5" s="166" t="s">
        <v>338</v>
      </c>
      <c r="AO5" s="166" t="s">
        <v>336</v>
      </c>
      <c r="AP5" s="166" t="s">
        <v>605</v>
      </c>
      <c r="AQ5" s="167" t="s">
        <v>374</v>
      </c>
      <c r="AR5" s="1150" t="s">
        <v>559</v>
      </c>
      <c r="AS5" s="1151" t="s">
        <v>560</v>
      </c>
    </row>
    <row r="6" spans="1:45" x14ac:dyDescent="0.35">
      <c r="A6" s="168"/>
      <c r="B6" s="56"/>
      <c r="C6" s="57" t="s">
        <v>32</v>
      </c>
      <c r="D6" s="58" t="s">
        <v>33</v>
      </c>
      <c r="E6" s="58" t="s">
        <v>33</v>
      </c>
      <c r="F6" s="59" t="s">
        <v>34</v>
      </c>
      <c r="G6" s="269"/>
      <c r="H6" s="56"/>
      <c r="I6" s="56"/>
      <c r="J6" s="56"/>
      <c r="K6" s="56"/>
      <c r="L6" s="56"/>
      <c r="M6" s="270"/>
      <c r="N6" s="57" t="s">
        <v>33</v>
      </c>
      <c r="O6" s="1732"/>
      <c r="P6" s="60" t="s">
        <v>44</v>
      </c>
      <c r="Q6" s="1730"/>
      <c r="R6" s="60" t="s">
        <v>33</v>
      </c>
      <c r="S6" s="57" t="s">
        <v>35</v>
      </c>
      <c r="T6" s="1730"/>
      <c r="U6" s="1732"/>
      <c r="V6" s="60" t="s">
        <v>33</v>
      </c>
      <c r="W6" s="1730"/>
      <c r="X6" s="60" t="s">
        <v>33</v>
      </c>
      <c r="Y6" s="57" t="s">
        <v>33</v>
      </c>
      <c r="Z6" s="57" t="s">
        <v>33</v>
      </c>
      <c r="AA6" s="57" t="s">
        <v>33</v>
      </c>
      <c r="AB6" s="57" t="s">
        <v>33</v>
      </c>
      <c r="AC6" s="1730"/>
      <c r="AD6" s="1730"/>
      <c r="AE6" s="1730"/>
      <c r="AF6" s="1730"/>
      <c r="AG6" s="1732"/>
      <c r="AH6" s="57" t="str">
        <f>IF($I$2&lt;&gt;"Custom", "$/month", $AS$6)</f>
        <v>$/month</v>
      </c>
      <c r="AI6" s="1973"/>
      <c r="AJ6" s="271" t="s">
        <v>36</v>
      </c>
      <c r="AK6" s="60" t="s">
        <v>32</v>
      </c>
      <c r="AL6" s="57" t="s">
        <v>32</v>
      </c>
      <c r="AM6" s="57" t="s">
        <v>32</v>
      </c>
      <c r="AN6" s="57" t="s">
        <v>32</v>
      </c>
      <c r="AO6" s="57" t="s">
        <v>32</v>
      </c>
      <c r="AP6" s="57" t="s">
        <v>32</v>
      </c>
      <c r="AQ6" s="175" t="s">
        <v>32</v>
      </c>
      <c r="AR6" s="172" t="s">
        <v>33</v>
      </c>
      <c r="AS6" s="1152" t="str">
        <f xml:space="preserve"> 'Electricity Bill'!$AP$6</f>
        <v>$/day</v>
      </c>
    </row>
    <row r="7" spans="1:45" ht="15" x14ac:dyDescent="0.25">
      <c r="A7" s="206">
        <v>40909</v>
      </c>
      <c r="B7" s="207">
        <f t="shared" ref="B7:B70" si="0">DAY(DATE(YEAR($A7),MONTH($A7)+1,1)-1)</f>
        <v>31</v>
      </c>
      <c r="C7" s="1581">
        <f>IFERROR(VLOOKUP($A7,$A$5:$AQ$96,MATCH($I$1,$A$5:$AQ$5,0),FALSE),0)</f>
        <v>646.05511703009233</v>
      </c>
      <c r="D7" s="178">
        <f>IFERROR(($F7*100)/$C7, "")</f>
        <v>23.102619292104272</v>
      </c>
      <c r="E7" s="178">
        <f>(1+$AJ7)*($N7+$P7+$R7+$V7+$X7+$Y7+$Z7+$AA7+$AB7)</f>
        <v>19.473300000000005</v>
      </c>
      <c r="F7" s="179">
        <f t="shared" ref="F7:F38" si="1">SUM($G7:$M7)</f>
        <v>149.25565410462096</v>
      </c>
      <c r="G7" s="180">
        <f>SUM($O7)</f>
        <v>97.644770387928148</v>
      </c>
      <c r="H7" s="181">
        <f>SUM($Q7)</f>
        <v>13.79327674859247</v>
      </c>
      <c r="I7" s="181">
        <f t="shared" ref="I7:I70" si="2">SUM($T7:$U7)</f>
        <v>20.135165032608377</v>
      </c>
      <c r="J7" s="181">
        <f t="shared" ref="J7:J70" si="3">SUM($W7:$W7)</f>
        <v>4.2639637723986095</v>
      </c>
      <c r="K7" s="181">
        <f>SUM($AC7:$AG7)</f>
        <v>7.1066062873310187E-2</v>
      </c>
      <c r="L7" s="181">
        <f>SUM($AI7)</f>
        <v>6.24</v>
      </c>
      <c r="M7" s="182">
        <f t="shared" ref="M7:M38" si="4">SUM($AJ7)*SUM($G7:$L7)</f>
        <v>7.1074121002200457</v>
      </c>
      <c r="N7" s="273">
        <f>IF($I$2="RRO (Capped)",VLOOKUP(A7,'Misc. Data &amp; Mechanisms'!$A$1278:$E$1368,3,FALSE),IF($I$2="RRO (Uncapped)",VLOOKUP(A7,'Misc. Data &amp; Mechanisms'!$G$1278:$K$1368,3,FALSE),AR7))</f>
        <v>15.114000000000001</v>
      </c>
      <c r="O7" s="183">
        <f t="shared" ref="O7:O38" si="5">($N7/100)*$C7</f>
        <v>97.644770387928148</v>
      </c>
      <c r="P7" s="274">
        <v>2.1349999999999998</v>
      </c>
      <c r="Q7" s="194">
        <f t="shared" ref="Q7:Q38" si="6">($P7/100)*$C7</f>
        <v>13.79327674859247</v>
      </c>
      <c r="R7" s="274">
        <v>0.626</v>
      </c>
      <c r="S7" s="275">
        <v>0.51905999999999997</v>
      </c>
      <c r="T7" s="183">
        <f t="shared" ref="T7:T38" si="7">($R7/100)*$C7</f>
        <v>4.0443050326083778</v>
      </c>
      <c r="U7" s="194">
        <f t="shared" ref="U7:U38" si="8">$S7*$B7</f>
        <v>16.090859999999999</v>
      </c>
      <c r="V7" s="276">
        <v>0.66</v>
      </c>
      <c r="W7" s="183">
        <f t="shared" ref="W7:W38" si="9">($V7/100)*$C7</f>
        <v>4.2639637723986095</v>
      </c>
      <c r="X7" s="277">
        <v>-0.56899999999999995</v>
      </c>
      <c r="Y7" s="278">
        <v>0.57999999999999996</v>
      </c>
      <c r="Z7" s="278"/>
      <c r="AA7" s="278"/>
      <c r="AB7" s="278"/>
      <c r="AC7" s="186">
        <f t="shared" ref="AC7:AC38" si="10">($X7/100)*$C7</f>
        <v>-3.6760536159012251</v>
      </c>
      <c r="AD7" s="186">
        <f t="shared" ref="AD7:AD38" si="11">($Y7/100)*$C7</f>
        <v>3.7471196787745353</v>
      </c>
      <c r="AE7" s="186">
        <f t="shared" ref="AE7:AE38" si="12">($Z7/100)*$C7</f>
        <v>0</v>
      </c>
      <c r="AF7" s="183">
        <f t="shared" ref="AF7:AF38" si="13">($AA7/100)*$C7</f>
        <v>0</v>
      </c>
      <c r="AG7" s="194">
        <f t="shared" ref="AG7:AG38" si="14">$AB7*$C7</f>
        <v>0</v>
      </c>
      <c r="AH7" s="188">
        <f>IF(OR($I$2="RRO (Capped)",$I$2="RRO (Uncapped)"),VLOOKUP(A7,'Misc. Data &amp; Mechanisms'!$A$1483:$H$1574,3,FALSE),AS7)</f>
        <v>6.24</v>
      </c>
      <c r="AI7" s="194">
        <f>IF($AH$6= "$/day", $AH7*$B7, $AH7)</f>
        <v>6.24</v>
      </c>
      <c r="AJ7" s="129">
        <f>5%</f>
        <v>0.05</v>
      </c>
      <c r="AK7" s="341">
        <f>'Misc. Data &amp; Mechanisms'!AI280</f>
        <v>573.3291862675602</v>
      </c>
      <c r="AL7" s="196">
        <f>'Misc. Data &amp; Mechanisms'!AP280</f>
        <v>672.08273643058499</v>
      </c>
      <c r="AM7" s="1094">
        <f>'Misc. Data &amp; Mechanisms'!N280</f>
        <v>646.05511703009233</v>
      </c>
      <c r="AN7" s="1094">
        <f>'Misc. Data &amp; Mechanisms'!O280</f>
        <v>490.29617860415641</v>
      </c>
      <c r="AO7" s="1094">
        <f>'Misc. Data &amp; Mechanisms'!P280</f>
        <v>362.85179750587292</v>
      </c>
      <c r="AP7" s="1463">
        <f>'Misc. Data &amp; Mechanisms'!$B$259</f>
        <v>611.34673880086393</v>
      </c>
      <c r="AQ7" s="1254">
        <f>IFERROR(IF('Personalized Bill Menu'!$B$30="Yes", IF('Personalized Bill Menu'!$B$34="Natural Gas",0,VLOOKUP($A7, 'Personalized Bill Menu'!$H$4:$L$93, 2, FALSE)), 0), 0)</f>
        <v>0</v>
      </c>
      <c r="AR7" s="1343">
        <f>IFERROR(IF('Personalized Bill Menu'!$C$36="Custom", IF('Personalized Bill Menu'!$B$34="Natural Gas",0,VLOOKUP($A7, 'Personalized Bill Menu'!$H$4:$L$93, 3, FALSE)), 0), 0)</f>
        <v>0</v>
      </c>
      <c r="AS7" s="1344">
        <f>IFERROR(IF('Personalized Bill Menu'!$C$36="Custom", IF('Personalized Bill Menu'!$B$34="Natural Gas",0,VLOOKUP($A7, 'Personalized Bill Menu'!$H$4:$L$93, 4, FALSE)), 0), 0)</f>
        <v>0</v>
      </c>
    </row>
    <row r="8" spans="1:45" ht="15" x14ac:dyDescent="0.25">
      <c r="A8" s="206">
        <v>40940</v>
      </c>
      <c r="B8" s="207">
        <f t="shared" si="0"/>
        <v>29</v>
      </c>
      <c r="C8" s="1581">
        <f t="shared" ref="C8:C71" si="15">IFERROR(VLOOKUP($A8,$A$5:$AQ$96,MATCH($I$1,$A$5:$AQ$5,0),FALSE),0)</f>
        <v>557.67940075288527</v>
      </c>
      <c r="D8" s="178">
        <f t="shared" ref="D8:D71" si="16">IFERROR(($F8*100)/$C8, "")</f>
        <v>22.262201761552753</v>
      </c>
      <c r="E8" s="178">
        <f t="shared" ref="E8:E71" si="17">(1+$AJ8)*($N8+$P8+$R8+$V8+$X8+$Y8+$Z8+$AA8+$AB8)</f>
        <v>18.2532</v>
      </c>
      <c r="F8" s="179">
        <f t="shared" si="1"/>
        <v>124.15171337822566</v>
      </c>
      <c r="G8" s="180">
        <f t="shared" ref="G8:G71" si="18">SUM($O8)</f>
        <v>77.807429993042561</v>
      </c>
      <c r="H8" s="181">
        <f t="shared" ref="H8:H71" si="19">SUM($Q8)</f>
        <v>11.906455206074099</v>
      </c>
      <c r="I8" s="181">
        <f t="shared" si="2"/>
        <v>18.543813048713059</v>
      </c>
      <c r="J8" s="181">
        <f t="shared" si="3"/>
        <v>3.6806840449690426</v>
      </c>
      <c r="K8" s="181">
        <f t="shared" ref="K8:K71" si="20">SUM($AC8:$AG8)</f>
        <v>6.1344734082817265E-2</v>
      </c>
      <c r="L8" s="181">
        <f t="shared" ref="L8:L71" si="21">SUM($AI8)</f>
        <v>6.24</v>
      </c>
      <c r="M8" s="182">
        <f t="shared" si="4"/>
        <v>5.9119863513440798</v>
      </c>
      <c r="N8" s="273">
        <f>IF($I$2="RRO (Capped)",VLOOKUP(A8,'Misc. Data &amp; Mechanisms'!$A$1278:$E$1368,3,FALSE),IF($I$2="RRO (Uncapped)",VLOOKUP(A8,'Misc. Data &amp; Mechanisms'!$G$1278:$K$1368,3,FALSE),AR8))</f>
        <v>13.952</v>
      </c>
      <c r="O8" s="183">
        <f t="shared" si="5"/>
        <v>77.807429993042561</v>
      </c>
      <c r="P8" s="274">
        <v>2.1349999999999998</v>
      </c>
      <c r="Q8" s="194">
        <f t="shared" si="6"/>
        <v>11.906455206074099</v>
      </c>
      <c r="R8" s="274">
        <v>0.626</v>
      </c>
      <c r="S8" s="275">
        <v>0.51905999999999997</v>
      </c>
      <c r="T8" s="183">
        <f t="shared" si="7"/>
        <v>3.4910730487130617</v>
      </c>
      <c r="U8" s="194">
        <f t="shared" si="8"/>
        <v>15.052739999999998</v>
      </c>
      <c r="V8" s="276">
        <v>0.66</v>
      </c>
      <c r="W8" s="183">
        <f t="shared" si="9"/>
        <v>3.6806840449690426</v>
      </c>
      <c r="X8" s="277">
        <v>-0.56899999999999995</v>
      </c>
      <c r="Y8" s="278">
        <v>0.57999999999999996</v>
      </c>
      <c r="Z8" s="278"/>
      <c r="AA8" s="278"/>
      <c r="AB8" s="278"/>
      <c r="AC8" s="183">
        <f t="shared" si="10"/>
        <v>-3.1731957902839172</v>
      </c>
      <c r="AD8" s="183">
        <f t="shared" si="11"/>
        <v>3.2345405243667344</v>
      </c>
      <c r="AE8" s="183">
        <f t="shared" si="12"/>
        <v>0</v>
      </c>
      <c r="AF8" s="183">
        <f t="shared" si="13"/>
        <v>0</v>
      </c>
      <c r="AG8" s="194">
        <f t="shared" si="14"/>
        <v>0</v>
      </c>
      <c r="AH8" s="200">
        <f>IF(OR($I$2="RRO (Capped)",$I$2="RRO (Uncapped)"),VLOOKUP(A8,'Misc. Data &amp; Mechanisms'!$A$1483:$H$1574,3,FALSE),AS8)</f>
        <v>6.24</v>
      </c>
      <c r="AI8" s="194">
        <f t="shared" ref="AI8:AI71" si="22">IF($AH$6= "$/day", $AH8*$B8, $AH8)</f>
        <v>6.24</v>
      </c>
      <c r="AJ8" s="129">
        <f>5%</f>
        <v>0.05</v>
      </c>
      <c r="AK8" s="341">
        <f>'Misc. Data &amp; Mechanisms'!AI281</f>
        <v>494.90185682863267</v>
      </c>
      <c r="AL8" s="196">
        <f>'Misc. Data &amp; Mechanisms'!AP281</f>
        <v>583.35082458599743</v>
      </c>
      <c r="AM8" s="1087">
        <f>'Misc. Data &amp; Mechanisms'!N281</f>
        <v>557.67940075288527</v>
      </c>
      <c r="AN8" s="1087">
        <f>'Misc. Data &amp; Mechanisms'!O281</f>
        <v>423.22717035713788</v>
      </c>
      <c r="AO8" s="1087">
        <f>'Misc. Data &amp; Mechanisms'!P281</f>
        <v>313.21626849022709</v>
      </c>
      <c r="AP8" s="1463">
        <f>'Misc. Data &amp; Mechanisms'!$B$259</f>
        <v>611.34673880086393</v>
      </c>
      <c r="AQ8" s="197">
        <f>IFERROR(IF('Personalized Bill Menu'!$B$30="Yes", IF('Personalized Bill Menu'!$B$34="Natural Gas",0,VLOOKUP($A8, 'Personalized Bill Menu'!$H$4:$L$93, 2, FALSE)), 0), 0)</f>
        <v>0</v>
      </c>
      <c r="AR8" s="1343">
        <f>IFERROR(IF('Personalized Bill Menu'!$C$36="Custom", IF('Personalized Bill Menu'!$B$34="Natural Gas",0,VLOOKUP($A8, 'Personalized Bill Menu'!$H$4:$L$93, 3, FALSE)), 0), 0)</f>
        <v>0</v>
      </c>
      <c r="AS8" s="1344">
        <f>IFERROR(IF('Personalized Bill Menu'!$C$36="Custom", IF('Personalized Bill Menu'!$B$34="Natural Gas",0,VLOOKUP($A8, 'Personalized Bill Menu'!$H$4:$L$93, 4, FALSE)), 0), 0)</f>
        <v>0</v>
      </c>
    </row>
    <row r="9" spans="1:45" ht="15" x14ac:dyDescent="0.25">
      <c r="A9" s="206">
        <v>40969</v>
      </c>
      <c r="B9" s="207">
        <f t="shared" si="0"/>
        <v>31</v>
      </c>
      <c r="C9" s="1581">
        <f t="shared" si="15"/>
        <v>550.47629073179291</v>
      </c>
      <c r="D9" s="178">
        <f t="shared" si="16"/>
        <v>16.245225547771447</v>
      </c>
      <c r="E9" s="178">
        <f t="shared" si="17"/>
        <v>11.985749999999998</v>
      </c>
      <c r="F9" s="179">
        <f t="shared" si="1"/>
        <v>89.42611501638585</v>
      </c>
      <c r="G9" s="180">
        <f t="shared" si="18"/>
        <v>43.944522289119028</v>
      </c>
      <c r="H9" s="181">
        <f t="shared" si="19"/>
        <v>11.752668807123777</v>
      </c>
      <c r="I9" s="181">
        <f t="shared" si="2"/>
        <v>19.536841579981022</v>
      </c>
      <c r="J9" s="181">
        <f t="shared" si="3"/>
        <v>3.6331435188298333</v>
      </c>
      <c r="K9" s="181">
        <f>SUM($AC9:$AG9)</f>
        <v>6.0552391980496889E-2</v>
      </c>
      <c r="L9" s="181">
        <f t="shared" si="21"/>
        <v>6.24</v>
      </c>
      <c r="M9" s="182">
        <f t="shared" si="4"/>
        <v>4.2583864293517077</v>
      </c>
      <c r="N9" s="273">
        <f>IF($I$2="RRO (Capped)",VLOOKUP(A9,'Misc. Data &amp; Mechanisms'!$A$1278:$E$1368,3,FALSE),IF($I$2="RRO (Uncapped)",VLOOKUP(A9,'Misc. Data &amp; Mechanisms'!$G$1278:$K$1368,3,FALSE),AR9))</f>
        <v>7.9829999999999997</v>
      </c>
      <c r="O9" s="183">
        <f t="shared" si="5"/>
        <v>43.944522289119028</v>
      </c>
      <c r="P9" s="274">
        <v>2.1349999999999998</v>
      </c>
      <c r="Q9" s="194">
        <f t="shared" si="6"/>
        <v>11.752668807123777</v>
      </c>
      <c r="R9" s="274">
        <v>0.626</v>
      </c>
      <c r="S9" s="275">
        <v>0.51905999999999997</v>
      </c>
      <c r="T9" s="183">
        <f t="shared" si="7"/>
        <v>3.4459815799810238</v>
      </c>
      <c r="U9" s="194">
        <f t="shared" si="8"/>
        <v>16.090859999999999</v>
      </c>
      <c r="V9" s="276">
        <v>0.66</v>
      </c>
      <c r="W9" s="183">
        <f t="shared" si="9"/>
        <v>3.6331435188298333</v>
      </c>
      <c r="X9" s="277">
        <v>-0.56899999999999995</v>
      </c>
      <c r="Y9" s="278">
        <v>0.57999999999999996</v>
      </c>
      <c r="Z9" s="278"/>
      <c r="AA9" s="278"/>
      <c r="AB9" s="278"/>
      <c r="AC9" s="183">
        <f t="shared" si="10"/>
        <v>-3.1322100942639017</v>
      </c>
      <c r="AD9" s="183">
        <f t="shared" si="11"/>
        <v>3.1927624862443986</v>
      </c>
      <c r="AE9" s="183">
        <f t="shared" si="12"/>
        <v>0</v>
      </c>
      <c r="AF9" s="183">
        <f t="shared" si="13"/>
        <v>0</v>
      </c>
      <c r="AG9" s="194">
        <f t="shared" si="14"/>
        <v>0</v>
      </c>
      <c r="AH9" s="200">
        <f>IF(OR($I$2="RRO (Capped)",$I$2="RRO (Uncapped)"),VLOOKUP(A9,'Misc. Data &amp; Mechanisms'!$A$1483:$H$1574,3,FALSE),AS9)</f>
        <v>6.24</v>
      </c>
      <c r="AI9" s="194">
        <f t="shared" si="22"/>
        <v>6.24</v>
      </c>
      <c r="AJ9" s="129">
        <f>5%</f>
        <v>0.05</v>
      </c>
      <c r="AK9" s="341">
        <f>'Misc. Data &amp; Mechanisms'!AI282</f>
        <v>488.50959539748271</v>
      </c>
      <c r="AL9" s="196">
        <f>'Misc. Data &amp; Mechanisms'!AP282</f>
        <v>568.16792301245562</v>
      </c>
      <c r="AM9" s="1087">
        <f>'Misc. Data &amp; Mechanisms'!N282</f>
        <v>550.47629073179291</v>
      </c>
      <c r="AN9" s="1087">
        <f>'Misc. Data &amp; Mechanisms'!O282</f>
        <v>417.7606749694969</v>
      </c>
      <c r="AO9" s="1087">
        <f>'Misc. Data &amp; Mechanisms'!P282</f>
        <v>309.17069815127388</v>
      </c>
      <c r="AP9" s="1463">
        <f>'Misc. Data &amp; Mechanisms'!$B$259</f>
        <v>611.34673880086393</v>
      </c>
      <c r="AQ9" s="197">
        <f>IFERROR(IF('Personalized Bill Menu'!$B$30="Yes", IF('Personalized Bill Menu'!$B$34="Natural Gas",0,VLOOKUP($A9, 'Personalized Bill Menu'!$H$4:$L$93, 2, FALSE)), 0), 0)</f>
        <v>0</v>
      </c>
      <c r="AR9" s="1343">
        <f>IFERROR(IF('Personalized Bill Menu'!$C$36="Custom", IF('Personalized Bill Menu'!$B$34="Natural Gas",0,VLOOKUP($A9, 'Personalized Bill Menu'!$H$4:$L$93, 3, FALSE)), 0), 0)</f>
        <v>0</v>
      </c>
      <c r="AS9" s="1344">
        <f>IFERROR(IF('Personalized Bill Menu'!$C$36="Custom", IF('Personalized Bill Menu'!$B$34="Natural Gas",0,VLOOKUP($A9, 'Personalized Bill Menu'!$H$4:$L$93, 4, FALSE)), 0), 0)</f>
        <v>0</v>
      </c>
    </row>
    <row r="10" spans="1:45" ht="15" x14ac:dyDescent="0.25">
      <c r="A10" s="206">
        <v>41000</v>
      </c>
      <c r="B10" s="207">
        <f t="shared" si="0"/>
        <v>30</v>
      </c>
      <c r="C10" s="1581">
        <f t="shared" si="15"/>
        <v>496.92898383233967</v>
      </c>
      <c r="D10" s="178">
        <f t="shared" si="16"/>
        <v>15.858368506579046</v>
      </c>
      <c r="E10" s="178">
        <f t="shared" si="17"/>
        <v>11.268599999999998</v>
      </c>
      <c r="F10" s="179">
        <f t="shared" si="1"/>
        <v>78.804829472131033</v>
      </c>
      <c r="G10" s="180">
        <f t="shared" si="18"/>
        <v>36.275815819760794</v>
      </c>
      <c r="H10" s="181">
        <f t="shared" si="19"/>
        <v>10.609433804820451</v>
      </c>
      <c r="I10" s="181">
        <f t="shared" si="2"/>
        <v>18.682575438790447</v>
      </c>
      <c r="J10" s="181">
        <f t="shared" si="3"/>
        <v>3.2797312932934419</v>
      </c>
      <c r="K10" s="181">
        <f t="shared" si="20"/>
        <v>5.466218822155744E-2</v>
      </c>
      <c r="L10" s="181">
        <f t="shared" si="21"/>
        <v>6.15</v>
      </c>
      <c r="M10" s="182">
        <f t="shared" si="4"/>
        <v>3.7526109272443353</v>
      </c>
      <c r="N10" s="273">
        <f>IF($I$2="RRO (Capped)",VLOOKUP(A10,'Misc. Data &amp; Mechanisms'!$A$1278:$E$1368,3,FALSE),IF($I$2="RRO (Uncapped)",VLOOKUP(A10,'Misc. Data &amp; Mechanisms'!$G$1278:$K$1368,3,FALSE),AR10))</f>
        <v>7.3</v>
      </c>
      <c r="O10" s="183">
        <f t="shared" si="5"/>
        <v>36.275815819760794</v>
      </c>
      <c r="P10" s="274">
        <v>2.1349999999999998</v>
      </c>
      <c r="Q10" s="194">
        <f t="shared" si="6"/>
        <v>10.609433804820451</v>
      </c>
      <c r="R10" s="274">
        <v>0.626</v>
      </c>
      <c r="S10" s="275">
        <v>0.51905999999999997</v>
      </c>
      <c r="T10" s="183">
        <f t="shared" si="7"/>
        <v>3.1107754387904465</v>
      </c>
      <c r="U10" s="194">
        <f t="shared" si="8"/>
        <v>15.5718</v>
      </c>
      <c r="V10" s="276">
        <v>0.66</v>
      </c>
      <c r="W10" s="183">
        <f t="shared" si="9"/>
        <v>3.2797312932934419</v>
      </c>
      <c r="X10" s="277">
        <v>-0.56899999999999995</v>
      </c>
      <c r="Y10" s="278">
        <v>0.57999999999999996</v>
      </c>
      <c r="Z10" s="278"/>
      <c r="AA10" s="278"/>
      <c r="AB10" s="278"/>
      <c r="AC10" s="183">
        <f t="shared" si="10"/>
        <v>-2.8275259180060126</v>
      </c>
      <c r="AD10" s="183">
        <f t="shared" si="11"/>
        <v>2.88218810622757</v>
      </c>
      <c r="AE10" s="183">
        <f t="shared" si="12"/>
        <v>0</v>
      </c>
      <c r="AF10" s="183">
        <f t="shared" si="13"/>
        <v>0</v>
      </c>
      <c r="AG10" s="194">
        <f t="shared" si="14"/>
        <v>0</v>
      </c>
      <c r="AH10" s="200">
        <f>IF(OR($I$2="RRO (Capped)",$I$2="RRO (Uncapped)"),VLOOKUP(A10,'Misc. Data &amp; Mechanisms'!$A$1483:$H$1574,3,FALSE),AS10)</f>
        <v>6.15</v>
      </c>
      <c r="AI10" s="194">
        <f t="shared" si="22"/>
        <v>6.15</v>
      </c>
      <c r="AJ10" s="129">
        <f>5%</f>
        <v>0.05</v>
      </c>
      <c r="AK10" s="341">
        <f>'Misc. Data &amp; Mechanisms'!AI283</f>
        <v>440.99006791101766</v>
      </c>
      <c r="AL10" s="196">
        <f>'Misc. Data &amp; Mechanisms'!AP283</f>
        <v>506.34972670588797</v>
      </c>
      <c r="AM10" s="1087">
        <f>'Misc. Data &amp; Mechanisms'!N283</f>
        <v>496.92898383233967</v>
      </c>
      <c r="AN10" s="1087">
        <f>'Misc. Data &amp; Mechanisms'!O283</f>
        <v>377.12321346615732</v>
      </c>
      <c r="AO10" s="1087">
        <f>'Misc. Data &amp; Mechanisms'!P283</f>
        <v>279.09627253665519</v>
      </c>
      <c r="AP10" s="1463">
        <f>'Misc. Data &amp; Mechanisms'!$B$259</f>
        <v>611.34673880086393</v>
      </c>
      <c r="AQ10" s="197">
        <f>IFERROR(IF('Personalized Bill Menu'!$B$30="Yes", IF('Personalized Bill Menu'!$B$34="Natural Gas",0,VLOOKUP($A10, 'Personalized Bill Menu'!$H$4:$L$93, 2, FALSE)), 0), 0)</f>
        <v>0</v>
      </c>
      <c r="AR10" s="1343">
        <f>IFERROR(IF('Personalized Bill Menu'!$C$36="Custom", IF('Personalized Bill Menu'!$B$34="Natural Gas",0,VLOOKUP($A10, 'Personalized Bill Menu'!$H$4:$L$93, 3, FALSE)), 0), 0)</f>
        <v>0</v>
      </c>
      <c r="AS10" s="1344">
        <f>IFERROR(IF('Personalized Bill Menu'!$C$36="Custom", IF('Personalized Bill Menu'!$B$34="Natural Gas",0,VLOOKUP($A10, 'Personalized Bill Menu'!$H$4:$L$93, 4, FALSE)), 0), 0)</f>
        <v>0</v>
      </c>
    </row>
    <row r="11" spans="1:45" ht="15" x14ac:dyDescent="0.25">
      <c r="A11" s="206">
        <v>41030</v>
      </c>
      <c r="B11" s="207">
        <f t="shared" si="0"/>
        <v>31</v>
      </c>
      <c r="C11" s="1581">
        <f t="shared" si="15"/>
        <v>474.5382283645485</v>
      </c>
      <c r="D11" s="178">
        <f t="shared" si="16"/>
        <v>15.198584765342007</v>
      </c>
      <c r="E11" s="178">
        <f t="shared" si="17"/>
        <v>10.277399999999998</v>
      </c>
      <c r="F11" s="179">
        <f t="shared" si="1"/>
        <v>72.12309488193813</v>
      </c>
      <c r="G11" s="180">
        <f t="shared" si="18"/>
        <v>30.161649794850707</v>
      </c>
      <c r="H11" s="181">
        <f t="shared" si="19"/>
        <v>10.13139117558311</v>
      </c>
      <c r="I11" s="181">
        <f t="shared" si="2"/>
        <v>19.061469309562074</v>
      </c>
      <c r="J11" s="181">
        <f t="shared" si="3"/>
        <v>3.1319523072060202</v>
      </c>
      <c r="K11" s="181">
        <f t="shared" si="20"/>
        <v>5.2199205120100345E-2</v>
      </c>
      <c r="L11" s="181">
        <f t="shared" si="21"/>
        <v>6.15</v>
      </c>
      <c r="M11" s="182">
        <f t="shared" si="4"/>
        <v>3.4344330896161015</v>
      </c>
      <c r="N11" s="273">
        <f>IF($I$2="RRO (Capped)",VLOOKUP(A11,'Misc. Data &amp; Mechanisms'!$A$1278:$E$1368,3,FALSE),IF($I$2="RRO (Uncapped)",VLOOKUP(A11,'Misc. Data &amp; Mechanisms'!$G$1278:$K$1368,3,FALSE),AR11))</f>
        <v>6.3559999999999999</v>
      </c>
      <c r="O11" s="183">
        <f t="shared" si="5"/>
        <v>30.161649794850707</v>
      </c>
      <c r="P11" s="274">
        <v>2.1349999999999998</v>
      </c>
      <c r="Q11" s="194">
        <f t="shared" si="6"/>
        <v>10.13139117558311</v>
      </c>
      <c r="R11" s="274">
        <v>0.626</v>
      </c>
      <c r="S11" s="275">
        <v>0.51905999999999997</v>
      </c>
      <c r="T11" s="183">
        <f t="shared" si="7"/>
        <v>2.9706093095620738</v>
      </c>
      <c r="U11" s="194">
        <f t="shared" si="8"/>
        <v>16.090859999999999</v>
      </c>
      <c r="V11" s="276">
        <v>0.66</v>
      </c>
      <c r="W11" s="183">
        <f t="shared" si="9"/>
        <v>3.1319523072060202</v>
      </c>
      <c r="X11" s="277">
        <v>-0.56899999999999995</v>
      </c>
      <c r="Y11" s="278">
        <v>0.57999999999999996</v>
      </c>
      <c r="Z11" s="278"/>
      <c r="AA11" s="278"/>
      <c r="AB11" s="278"/>
      <c r="AC11" s="183">
        <f t="shared" si="10"/>
        <v>-2.7001225193942808</v>
      </c>
      <c r="AD11" s="183">
        <f t="shared" si="11"/>
        <v>2.7523217245143812</v>
      </c>
      <c r="AE11" s="183">
        <f t="shared" si="12"/>
        <v>0</v>
      </c>
      <c r="AF11" s="183">
        <f t="shared" si="13"/>
        <v>0</v>
      </c>
      <c r="AG11" s="194">
        <f t="shared" si="14"/>
        <v>0</v>
      </c>
      <c r="AH11" s="200">
        <f>IF(OR($I$2="RRO (Capped)",$I$2="RRO (Uncapped)"),VLOOKUP(A11,'Misc. Data &amp; Mechanisms'!$A$1483:$H$1574,3,FALSE),AS11)</f>
        <v>6.15</v>
      </c>
      <c r="AI11" s="194">
        <f t="shared" si="22"/>
        <v>6.15</v>
      </c>
      <c r="AJ11" s="129">
        <f>5%</f>
        <v>0.05</v>
      </c>
      <c r="AK11" s="341">
        <f>'Misc. Data &amp; Mechanisms'!AI284</f>
        <v>421.11982267361839</v>
      </c>
      <c r="AL11" s="196">
        <f>'Misc. Data &amp; Mechanisms'!AP284</f>
        <v>487.31009480207774</v>
      </c>
      <c r="AM11" s="1087">
        <f>'Misc. Data &amp; Mechanisms'!N284</f>
        <v>474.5382283645485</v>
      </c>
      <c r="AN11" s="1087">
        <f>'Misc. Data &amp; Mechanisms'!O284</f>
        <v>360.1306975762061</v>
      </c>
      <c r="AO11" s="1087">
        <f>'Misc. Data &amp; Mechanisms'!P284</f>
        <v>266.52068006034943</v>
      </c>
      <c r="AP11" s="1463">
        <f>'Misc. Data &amp; Mechanisms'!$B$259</f>
        <v>611.34673880086393</v>
      </c>
      <c r="AQ11" s="197">
        <f>IFERROR(IF('Personalized Bill Menu'!$B$30="Yes", IF('Personalized Bill Menu'!$B$34="Natural Gas",0,VLOOKUP($A11, 'Personalized Bill Menu'!$H$4:$L$93, 2, FALSE)), 0), 0)</f>
        <v>0</v>
      </c>
      <c r="AR11" s="1343">
        <f>IFERROR(IF('Personalized Bill Menu'!$C$36="Custom", IF('Personalized Bill Menu'!$B$34="Natural Gas",0,VLOOKUP($A11, 'Personalized Bill Menu'!$H$4:$L$93, 3, FALSE)), 0), 0)</f>
        <v>0</v>
      </c>
      <c r="AS11" s="1344">
        <f>IFERROR(IF('Personalized Bill Menu'!$C$36="Custom", IF('Personalized Bill Menu'!$B$34="Natural Gas",0,VLOOKUP($A11, 'Personalized Bill Menu'!$H$4:$L$93, 4, FALSE)), 0), 0)</f>
        <v>0</v>
      </c>
    </row>
    <row r="12" spans="1:45" ht="15" x14ac:dyDescent="0.25">
      <c r="A12" s="206">
        <v>41061</v>
      </c>
      <c r="B12" s="207">
        <f t="shared" si="0"/>
        <v>30</v>
      </c>
      <c r="C12" s="1581">
        <f t="shared" si="15"/>
        <v>465.63536625203562</v>
      </c>
      <c r="D12" s="178">
        <f t="shared" si="16"/>
        <v>16.734879742208783</v>
      </c>
      <c r="E12" s="178">
        <f t="shared" si="17"/>
        <v>11.836649999999999</v>
      </c>
      <c r="F12" s="179">
        <f t="shared" si="1"/>
        <v>77.923518579471576</v>
      </c>
      <c r="G12" s="180">
        <f t="shared" si="18"/>
        <v>36.510469067822115</v>
      </c>
      <c r="H12" s="181">
        <f t="shared" si="19"/>
        <v>9.9413150694809591</v>
      </c>
      <c r="I12" s="181">
        <f t="shared" si="2"/>
        <v>18.486677392737743</v>
      </c>
      <c r="J12" s="181">
        <f t="shared" si="3"/>
        <v>3.0731934172634352</v>
      </c>
      <c r="K12" s="181">
        <f t="shared" si="20"/>
        <v>5.1219890287724112E-2</v>
      </c>
      <c r="L12" s="181">
        <f t="shared" si="21"/>
        <v>6.15</v>
      </c>
      <c r="M12" s="182">
        <f t="shared" si="4"/>
        <v>3.7106437418795992</v>
      </c>
      <c r="N12" s="273">
        <f>IF($I$2="RRO (Capped)",VLOOKUP(A12,'Misc. Data &amp; Mechanisms'!$A$1278:$E$1368,3,FALSE),IF($I$2="RRO (Uncapped)",VLOOKUP(A12,'Misc. Data &amp; Mechanisms'!$G$1278:$K$1368,3,FALSE),AR12))</f>
        <v>7.8410000000000002</v>
      </c>
      <c r="O12" s="183">
        <f t="shared" si="5"/>
        <v>36.510469067822115</v>
      </c>
      <c r="P12" s="274">
        <v>2.1349999999999998</v>
      </c>
      <c r="Q12" s="194">
        <f t="shared" si="6"/>
        <v>9.9413150694809591</v>
      </c>
      <c r="R12" s="274">
        <v>0.626</v>
      </c>
      <c r="S12" s="275">
        <v>0.51905999999999997</v>
      </c>
      <c r="T12" s="183">
        <f t="shared" si="7"/>
        <v>2.9148773927377429</v>
      </c>
      <c r="U12" s="194">
        <f t="shared" si="8"/>
        <v>15.5718</v>
      </c>
      <c r="V12" s="276">
        <v>0.66</v>
      </c>
      <c r="W12" s="183">
        <f t="shared" si="9"/>
        <v>3.0731934172634352</v>
      </c>
      <c r="X12" s="277">
        <v>-0.56899999999999995</v>
      </c>
      <c r="Y12" s="278">
        <v>0.57999999999999996</v>
      </c>
      <c r="Z12" s="278"/>
      <c r="AA12" s="278"/>
      <c r="AB12" s="278"/>
      <c r="AC12" s="183">
        <f t="shared" si="10"/>
        <v>-2.6494652339740825</v>
      </c>
      <c r="AD12" s="183">
        <f t="shared" si="11"/>
        <v>2.7006851242618066</v>
      </c>
      <c r="AE12" s="183">
        <f t="shared" si="12"/>
        <v>0</v>
      </c>
      <c r="AF12" s="183">
        <f t="shared" si="13"/>
        <v>0</v>
      </c>
      <c r="AG12" s="194">
        <f t="shared" si="14"/>
        <v>0</v>
      </c>
      <c r="AH12" s="200">
        <f>IF(OR($I$2="RRO (Capped)",$I$2="RRO (Uncapped)"),VLOOKUP(A12,'Misc. Data &amp; Mechanisms'!$A$1483:$H$1574,3,FALSE),AS12)</f>
        <v>6.15</v>
      </c>
      <c r="AI12" s="194">
        <f t="shared" si="22"/>
        <v>6.15</v>
      </c>
      <c r="AJ12" s="129">
        <f>5%</f>
        <v>0.05</v>
      </c>
      <c r="AK12" s="341">
        <f>'Misc. Data &amp; Mechanisms'!AI285</f>
        <v>413.21914894490686</v>
      </c>
      <c r="AL12" s="196">
        <f>'Misc. Data &amp; Mechanisms'!AP285</f>
        <v>466.44653969695224</v>
      </c>
      <c r="AM12" s="1087">
        <f>'Misc. Data &amp; Mechanisms'!N285</f>
        <v>465.63536625203562</v>
      </c>
      <c r="AN12" s="1087">
        <f>'Misc. Data &amp; Mechanisms'!O285</f>
        <v>353.374247302318</v>
      </c>
      <c r="AO12" s="1087">
        <f>'Misc. Data &amp; Mechanisms'!P285</f>
        <v>261.52045726926247</v>
      </c>
      <c r="AP12" s="1463">
        <f>'Misc. Data &amp; Mechanisms'!$B$259</f>
        <v>611.34673880086393</v>
      </c>
      <c r="AQ12" s="197">
        <f>IFERROR(IF('Personalized Bill Menu'!$B$30="Yes", IF('Personalized Bill Menu'!$B$34="Natural Gas",0,VLOOKUP($A12, 'Personalized Bill Menu'!$H$4:$L$93, 2, FALSE)), 0), 0)</f>
        <v>0</v>
      </c>
      <c r="AR12" s="1343">
        <f>IFERROR(IF('Personalized Bill Menu'!$C$36="Custom", IF('Personalized Bill Menu'!$B$34="Natural Gas",0,VLOOKUP($A12, 'Personalized Bill Menu'!$H$4:$L$93, 3, FALSE)), 0), 0)</f>
        <v>0</v>
      </c>
      <c r="AS12" s="1344">
        <f>IFERROR(IF('Personalized Bill Menu'!$C$36="Custom", IF('Personalized Bill Menu'!$B$34="Natural Gas",0,VLOOKUP($A12, 'Personalized Bill Menu'!$H$4:$L$93, 4, FALSE)), 0), 0)</f>
        <v>0</v>
      </c>
    </row>
    <row r="13" spans="1:45" ht="15" x14ac:dyDescent="0.25">
      <c r="A13" s="206">
        <v>41091</v>
      </c>
      <c r="B13" s="207">
        <f t="shared" si="0"/>
        <v>31</v>
      </c>
      <c r="C13" s="1581">
        <f t="shared" si="15"/>
        <v>532.81231659394746</v>
      </c>
      <c r="D13" s="178">
        <f>IFERROR(($F13*100)/$C13, "")</f>
        <v>17.420754841403571</v>
      </c>
      <c r="E13" s="178">
        <f t="shared" si="17"/>
        <v>13.085099999999999</v>
      </c>
      <c r="F13" s="179">
        <f t="shared" si="1"/>
        <v>92.819927438634622</v>
      </c>
      <c r="G13" s="180">
        <f t="shared" si="18"/>
        <v>48.112952188433454</v>
      </c>
      <c r="H13" s="181">
        <f t="shared" si="19"/>
        <v>11.375542959280777</v>
      </c>
      <c r="I13" s="181">
        <f t="shared" si="2"/>
        <v>19.426265101878109</v>
      </c>
      <c r="J13" s="181">
        <f t="shared" si="3"/>
        <v>3.5165612895200531</v>
      </c>
      <c r="K13" s="181">
        <f t="shared" si="20"/>
        <v>5.8609354825334137E-2</v>
      </c>
      <c r="L13" s="181">
        <f t="shared" si="21"/>
        <v>5.91</v>
      </c>
      <c r="M13" s="182">
        <f t="shared" si="4"/>
        <v>4.419996544696887</v>
      </c>
      <c r="N13" s="273">
        <f>IF($I$2="RRO (Capped)",VLOOKUP(A13,'Misc. Data &amp; Mechanisms'!$A$1278:$E$1368,3,FALSE),IF($I$2="RRO (Uncapped)",VLOOKUP(A13,'Misc. Data &amp; Mechanisms'!$G$1278:$K$1368,3,FALSE),AR13))</f>
        <v>9.0299999999999994</v>
      </c>
      <c r="O13" s="183">
        <f t="shared" si="5"/>
        <v>48.112952188433454</v>
      </c>
      <c r="P13" s="274">
        <v>2.1349999999999998</v>
      </c>
      <c r="Q13" s="194">
        <f t="shared" si="6"/>
        <v>11.375542959280777</v>
      </c>
      <c r="R13" s="274">
        <v>0.626</v>
      </c>
      <c r="S13" s="275">
        <v>0.51905999999999997</v>
      </c>
      <c r="T13" s="183">
        <f t="shared" si="7"/>
        <v>3.335405101878111</v>
      </c>
      <c r="U13" s="194">
        <f t="shared" si="8"/>
        <v>16.090859999999999</v>
      </c>
      <c r="V13" s="276">
        <v>0.66</v>
      </c>
      <c r="W13" s="183">
        <f t="shared" si="9"/>
        <v>3.5165612895200531</v>
      </c>
      <c r="X13" s="277">
        <v>-0.56899999999999995</v>
      </c>
      <c r="Y13" s="278">
        <v>0.57999999999999996</v>
      </c>
      <c r="Z13" s="278"/>
      <c r="AA13" s="278"/>
      <c r="AB13" s="278"/>
      <c r="AC13" s="183">
        <f t="shared" si="10"/>
        <v>-3.031702081419561</v>
      </c>
      <c r="AD13" s="183">
        <f t="shared" si="11"/>
        <v>3.0903114362448951</v>
      </c>
      <c r="AE13" s="183">
        <f t="shared" si="12"/>
        <v>0</v>
      </c>
      <c r="AF13" s="183">
        <f t="shared" si="13"/>
        <v>0</v>
      </c>
      <c r="AG13" s="194">
        <f t="shared" si="14"/>
        <v>0</v>
      </c>
      <c r="AH13" s="200">
        <f>IF(OR($I$2="RRO (Capped)",$I$2="RRO (Uncapped)"),VLOOKUP(A13,'Misc. Data &amp; Mechanisms'!$A$1483:$H$1574,3,FALSE),AS13)</f>
        <v>5.91</v>
      </c>
      <c r="AI13" s="194">
        <f t="shared" si="22"/>
        <v>5.91</v>
      </c>
      <c r="AJ13" s="129">
        <f>5%</f>
        <v>0.05</v>
      </c>
      <c r="AK13" s="341">
        <f>'Misc. Data &amp; Mechanisms'!AI286</f>
        <v>472.83404132826155</v>
      </c>
      <c r="AL13" s="196">
        <f>'Misc. Data &amp; Mechanisms'!AP286</f>
        <v>525.04940993829064</v>
      </c>
      <c r="AM13" s="1087">
        <f>'Misc. Data &amp; Mechanisms'!N286</f>
        <v>532.81231659394746</v>
      </c>
      <c r="AN13" s="1087">
        <f>'Misc. Data &amp; Mechanisms'!O286</f>
        <v>404.35534964901819</v>
      </c>
      <c r="AO13" s="1087">
        <f>'Misc. Data &amp; Mechanisms'!P286</f>
        <v>299.24986539558193</v>
      </c>
      <c r="AP13" s="1463">
        <f>'Misc. Data &amp; Mechanisms'!$B$259</f>
        <v>611.34673880086393</v>
      </c>
      <c r="AQ13" s="197">
        <f>IFERROR(IF('Personalized Bill Menu'!$B$30="Yes", IF('Personalized Bill Menu'!$B$34="Natural Gas",0,VLOOKUP($A13, 'Personalized Bill Menu'!$H$4:$L$93, 2, FALSE)), 0), 0)</f>
        <v>0</v>
      </c>
      <c r="AR13" s="1343">
        <f>IFERROR(IF('Personalized Bill Menu'!$C$36="Custom", IF('Personalized Bill Menu'!$B$34="Natural Gas",0,VLOOKUP($A13, 'Personalized Bill Menu'!$H$4:$L$93, 3, FALSE)), 0), 0)</f>
        <v>0</v>
      </c>
      <c r="AS13" s="1344">
        <f>IFERROR(IF('Personalized Bill Menu'!$C$36="Custom", IF('Personalized Bill Menu'!$B$34="Natural Gas",0,VLOOKUP($A13, 'Personalized Bill Menu'!$H$4:$L$93, 4, FALSE)), 0), 0)</f>
        <v>0</v>
      </c>
    </row>
    <row r="14" spans="1:45" ht="15" x14ac:dyDescent="0.25">
      <c r="A14" s="206">
        <v>41122</v>
      </c>
      <c r="B14" s="207">
        <f t="shared" si="0"/>
        <v>31</v>
      </c>
      <c r="C14" s="1581">
        <f t="shared" si="15"/>
        <v>525.39893531916493</v>
      </c>
      <c r="D14" s="178">
        <f t="shared" si="16"/>
        <v>20.124780950174436</v>
      </c>
      <c r="E14" s="178">
        <f t="shared" si="17"/>
        <v>15.727950000000002</v>
      </c>
      <c r="F14" s="179">
        <f t="shared" si="1"/>
        <v>105.73538484753061</v>
      </c>
      <c r="G14" s="180">
        <f t="shared" si="18"/>
        <v>60.667815061303976</v>
      </c>
      <c r="H14" s="181">
        <f t="shared" si="19"/>
        <v>11.21726726906417</v>
      </c>
      <c r="I14" s="181">
        <f t="shared" si="2"/>
        <v>19.379857335097974</v>
      </c>
      <c r="J14" s="181">
        <f t="shared" si="3"/>
        <v>3.4676329731064883</v>
      </c>
      <c r="K14" s="181">
        <f t="shared" si="20"/>
        <v>5.7793882885107895E-2</v>
      </c>
      <c r="L14" s="181">
        <f t="shared" si="21"/>
        <v>5.91</v>
      </c>
      <c r="M14" s="182">
        <f t="shared" si="4"/>
        <v>5.0350183260728869</v>
      </c>
      <c r="N14" s="273">
        <f>IF($I$2="RRO (Capped)",VLOOKUP(A14,'Misc. Data &amp; Mechanisms'!$A$1278:$E$1368,3,FALSE),IF($I$2="RRO (Uncapped)",VLOOKUP(A14,'Misc. Data &amp; Mechanisms'!$G$1278:$K$1368,3,FALSE),AR14))</f>
        <v>11.547000000000001</v>
      </c>
      <c r="O14" s="183">
        <f t="shared" si="5"/>
        <v>60.667815061303976</v>
      </c>
      <c r="P14" s="274">
        <v>2.1349999999999998</v>
      </c>
      <c r="Q14" s="194">
        <f t="shared" si="6"/>
        <v>11.21726726906417</v>
      </c>
      <c r="R14" s="274">
        <v>0.626</v>
      </c>
      <c r="S14" s="275">
        <v>0.51905999999999997</v>
      </c>
      <c r="T14" s="183">
        <f t="shared" si="7"/>
        <v>3.2889973350979727</v>
      </c>
      <c r="U14" s="194">
        <f t="shared" si="8"/>
        <v>16.090859999999999</v>
      </c>
      <c r="V14" s="276">
        <v>0.66</v>
      </c>
      <c r="W14" s="183">
        <f t="shared" si="9"/>
        <v>3.4676329731064883</v>
      </c>
      <c r="X14" s="277">
        <v>-0.56899999999999995</v>
      </c>
      <c r="Y14" s="278">
        <v>0.57999999999999996</v>
      </c>
      <c r="Z14" s="278"/>
      <c r="AA14" s="278"/>
      <c r="AB14" s="278"/>
      <c r="AC14" s="183">
        <f t="shared" si="10"/>
        <v>-2.9895199419660483</v>
      </c>
      <c r="AD14" s="183">
        <f t="shared" si="11"/>
        <v>3.0473138248511562</v>
      </c>
      <c r="AE14" s="183">
        <f t="shared" si="12"/>
        <v>0</v>
      </c>
      <c r="AF14" s="183">
        <f t="shared" si="13"/>
        <v>0</v>
      </c>
      <c r="AG14" s="194">
        <f t="shared" si="14"/>
        <v>0</v>
      </c>
      <c r="AH14" s="200">
        <f>IF(OR($I$2="RRO (Capped)",$I$2="RRO (Uncapped)"),VLOOKUP(A14,'Misc. Data &amp; Mechanisms'!$A$1483:$H$1574,3,FALSE),AS14)</f>
        <v>5.91</v>
      </c>
      <c r="AI14" s="194">
        <f t="shared" si="22"/>
        <v>5.91</v>
      </c>
      <c r="AJ14" s="129">
        <f>5%</f>
        <v>0.05</v>
      </c>
      <c r="AK14" s="341">
        <f>'Misc. Data &amp; Mechanisms'!AI287</f>
        <v>466.25517871774497</v>
      </c>
      <c r="AL14" s="196">
        <f>'Misc. Data &amp; Mechanisms'!AP287</f>
        <v>510.98777443754619</v>
      </c>
      <c r="AM14" s="1087">
        <f>'Misc. Data &amp; Mechanisms'!N287</f>
        <v>525.39893531916493</v>
      </c>
      <c r="AN14" s="1087">
        <f>'Misc. Data &amp; Mechanisms'!O287</f>
        <v>398.72927779578322</v>
      </c>
      <c r="AO14" s="1087">
        <f>'Misc. Data &amp; Mechanisms'!P287</f>
        <v>295.08619785353551</v>
      </c>
      <c r="AP14" s="1463">
        <f>'Misc. Data &amp; Mechanisms'!$B$259</f>
        <v>611.34673880086393</v>
      </c>
      <c r="AQ14" s="197">
        <f>IFERROR(IF('Personalized Bill Menu'!$B$30="Yes", IF('Personalized Bill Menu'!$B$34="Natural Gas",0,VLOOKUP($A14, 'Personalized Bill Menu'!$H$4:$L$93, 2, FALSE)), 0), 0)</f>
        <v>0</v>
      </c>
      <c r="AR14" s="1343">
        <f>IFERROR(IF('Personalized Bill Menu'!$C$36="Custom", IF('Personalized Bill Menu'!$B$34="Natural Gas",0,VLOOKUP($A14, 'Personalized Bill Menu'!$H$4:$L$93, 3, FALSE)), 0), 0)</f>
        <v>0</v>
      </c>
      <c r="AS14" s="1344">
        <f>IFERROR(IF('Personalized Bill Menu'!$C$36="Custom", IF('Personalized Bill Menu'!$B$34="Natural Gas",0,VLOOKUP($A14, 'Personalized Bill Menu'!$H$4:$L$93, 4, FALSE)), 0), 0)</f>
        <v>0</v>
      </c>
    </row>
    <row r="15" spans="1:45" ht="15" x14ac:dyDescent="0.25">
      <c r="A15" s="206">
        <v>41153</v>
      </c>
      <c r="B15" s="207">
        <f t="shared" si="0"/>
        <v>30</v>
      </c>
      <c r="C15" s="1581">
        <f t="shared" si="15"/>
        <v>468.25403842988777</v>
      </c>
      <c r="D15" s="178">
        <f t="shared" si="16"/>
        <v>19.298619854357817</v>
      </c>
      <c r="E15" s="178">
        <f t="shared" si="17"/>
        <v>14.4816</v>
      </c>
      <c r="F15" s="179">
        <f t="shared" si="1"/>
        <v>90.366566829262609</v>
      </c>
      <c r="G15" s="180">
        <f t="shared" si="18"/>
        <v>48.511118381336374</v>
      </c>
      <c r="H15" s="181">
        <f t="shared" si="19"/>
        <v>9.997223720478102</v>
      </c>
      <c r="I15" s="181">
        <f t="shared" si="2"/>
        <v>18.503070280571098</v>
      </c>
      <c r="J15" s="181">
        <f t="shared" si="3"/>
        <v>3.0904766536372592</v>
      </c>
      <c r="K15" s="181">
        <f t="shared" si="20"/>
        <v>5.1507944227287883E-2</v>
      </c>
      <c r="L15" s="181">
        <f t="shared" si="21"/>
        <v>5.91</v>
      </c>
      <c r="M15" s="182">
        <f t="shared" si="4"/>
        <v>4.3031698490125052</v>
      </c>
      <c r="N15" s="273">
        <f>IF($I$2="RRO (Capped)",VLOOKUP(A15,'Misc. Data &amp; Mechanisms'!$A$1278:$E$1368,3,FALSE),IF($I$2="RRO (Uncapped)",VLOOKUP(A15,'Misc. Data &amp; Mechanisms'!$G$1278:$K$1368,3,FALSE),AR15))</f>
        <v>10.36</v>
      </c>
      <c r="O15" s="183">
        <f t="shared" si="5"/>
        <v>48.511118381336374</v>
      </c>
      <c r="P15" s="274">
        <v>2.1349999999999998</v>
      </c>
      <c r="Q15" s="194">
        <f t="shared" si="6"/>
        <v>9.997223720478102</v>
      </c>
      <c r="R15" s="274">
        <v>0.626</v>
      </c>
      <c r="S15" s="275">
        <v>0.51905999999999997</v>
      </c>
      <c r="T15" s="183">
        <f t="shared" si="7"/>
        <v>2.9312702805710975</v>
      </c>
      <c r="U15" s="194">
        <f t="shared" si="8"/>
        <v>15.5718</v>
      </c>
      <c r="V15" s="276">
        <v>0.66</v>
      </c>
      <c r="W15" s="183">
        <f t="shared" si="9"/>
        <v>3.0904766536372592</v>
      </c>
      <c r="X15" s="277">
        <v>-0.56899999999999995</v>
      </c>
      <c r="Y15" s="278">
        <v>0.57999999999999996</v>
      </c>
      <c r="Z15" s="278"/>
      <c r="AA15" s="278"/>
      <c r="AB15" s="278"/>
      <c r="AC15" s="183">
        <f t="shared" si="10"/>
        <v>-2.6643654786660611</v>
      </c>
      <c r="AD15" s="183">
        <f t="shared" si="11"/>
        <v>2.715873422893349</v>
      </c>
      <c r="AE15" s="183">
        <f t="shared" si="12"/>
        <v>0</v>
      </c>
      <c r="AF15" s="183">
        <f t="shared" si="13"/>
        <v>0</v>
      </c>
      <c r="AG15" s="194">
        <f t="shared" si="14"/>
        <v>0</v>
      </c>
      <c r="AH15" s="200">
        <f>IF(OR($I$2="RRO (Capped)",$I$2="RRO (Uncapped)"),VLOOKUP(A15,'Misc. Data &amp; Mechanisms'!$A$1483:$H$1574,3,FALSE),AS15)</f>
        <v>5.91</v>
      </c>
      <c r="AI15" s="194">
        <f t="shared" si="22"/>
        <v>5.91</v>
      </c>
      <c r="AJ15" s="129">
        <f>5%</f>
        <v>0.05</v>
      </c>
      <c r="AK15" s="341">
        <f>'Misc. Data &amp; Mechanisms'!AI288</f>
        <v>415.54303919707485</v>
      </c>
      <c r="AL15" s="196">
        <f>'Misc. Data &amp; Mechanisms'!AP288</f>
        <v>477.09322011784911</v>
      </c>
      <c r="AM15" s="1087">
        <f>'Misc. Data &amp; Mechanisms'!N288</f>
        <v>468.25403842988777</v>
      </c>
      <c r="AN15" s="1087">
        <f>'Misc. Data &amp; Mechanisms'!O288</f>
        <v>355.36157768323056</v>
      </c>
      <c r="AO15" s="1087">
        <f>'Misc. Data &amp; Mechanisms'!P288</f>
        <v>262.99121399228062</v>
      </c>
      <c r="AP15" s="1463">
        <f>'Misc. Data &amp; Mechanisms'!$B$259</f>
        <v>611.34673880086393</v>
      </c>
      <c r="AQ15" s="197">
        <f>IFERROR(IF('Personalized Bill Menu'!$B$30="Yes", IF('Personalized Bill Menu'!$B$34="Natural Gas",0,VLOOKUP($A15, 'Personalized Bill Menu'!$H$4:$L$93, 2, FALSE)), 0), 0)</f>
        <v>0</v>
      </c>
      <c r="AR15" s="1343">
        <f>IFERROR(IF('Personalized Bill Menu'!$C$36="Custom", IF('Personalized Bill Menu'!$B$34="Natural Gas",0,VLOOKUP($A15, 'Personalized Bill Menu'!$H$4:$L$93, 3, FALSE)), 0), 0)</f>
        <v>0</v>
      </c>
      <c r="AS15" s="1344">
        <f>IFERROR(IF('Personalized Bill Menu'!$C$36="Custom", IF('Personalized Bill Menu'!$B$34="Natural Gas",0,VLOOKUP($A15, 'Personalized Bill Menu'!$H$4:$L$93, 4, FALSE)), 0), 0)</f>
        <v>0</v>
      </c>
    </row>
    <row r="16" spans="1:45" ht="15" x14ac:dyDescent="0.25">
      <c r="A16" s="206">
        <v>41183</v>
      </c>
      <c r="B16" s="207">
        <f t="shared" si="0"/>
        <v>31</v>
      </c>
      <c r="C16" s="1581">
        <f t="shared" si="15"/>
        <v>546.27304979172663</v>
      </c>
      <c r="D16" s="178">
        <f t="shared" si="16"/>
        <v>18.633769819833233</v>
      </c>
      <c r="E16" s="178">
        <f t="shared" si="17"/>
        <v>14.404949999999999</v>
      </c>
      <c r="F16" s="179">
        <f t="shared" si="1"/>
        <v>101.79126268597332</v>
      </c>
      <c r="G16" s="180">
        <f t="shared" si="18"/>
        <v>56.19510863207492</v>
      </c>
      <c r="H16" s="181">
        <f t="shared" si="19"/>
        <v>11.662929613053363</v>
      </c>
      <c r="I16" s="181">
        <f t="shared" si="2"/>
        <v>19.510529291696209</v>
      </c>
      <c r="J16" s="181">
        <f t="shared" si="3"/>
        <v>3.6054021286253959</v>
      </c>
      <c r="K16" s="181">
        <f t="shared" si="20"/>
        <v>6.0090035477089909E-2</v>
      </c>
      <c r="L16" s="181">
        <f t="shared" si="21"/>
        <v>5.91</v>
      </c>
      <c r="M16" s="182">
        <f t="shared" si="4"/>
        <v>4.8472029850463487</v>
      </c>
      <c r="N16" s="273">
        <f>IF($I$2="RRO (Capped)",VLOOKUP(A16,'Misc. Data &amp; Mechanisms'!$A$1278:$E$1368,3,FALSE),IF($I$2="RRO (Uncapped)",VLOOKUP(A16,'Misc. Data &amp; Mechanisms'!$G$1278:$K$1368,3,FALSE),AR16))</f>
        <v>10.287000000000001</v>
      </c>
      <c r="O16" s="183">
        <f t="shared" si="5"/>
        <v>56.19510863207492</v>
      </c>
      <c r="P16" s="274">
        <v>2.1349999999999998</v>
      </c>
      <c r="Q16" s="194">
        <f t="shared" si="6"/>
        <v>11.662929613053363</v>
      </c>
      <c r="R16" s="274">
        <v>0.626</v>
      </c>
      <c r="S16" s="275">
        <v>0.51905999999999997</v>
      </c>
      <c r="T16" s="183">
        <f t="shared" si="7"/>
        <v>3.4196692916962088</v>
      </c>
      <c r="U16" s="194">
        <f t="shared" si="8"/>
        <v>16.090859999999999</v>
      </c>
      <c r="V16" s="276">
        <v>0.66</v>
      </c>
      <c r="W16" s="183">
        <f t="shared" si="9"/>
        <v>3.6054021286253959</v>
      </c>
      <c r="X16" s="277">
        <v>-0.56899999999999995</v>
      </c>
      <c r="Y16" s="278">
        <v>0.57999999999999996</v>
      </c>
      <c r="Z16" s="278"/>
      <c r="AA16" s="278"/>
      <c r="AB16" s="278"/>
      <c r="AC16" s="183">
        <f t="shared" si="10"/>
        <v>-3.1082936533149246</v>
      </c>
      <c r="AD16" s="183">
        <f t="shared" si="11"/>
        <v>3.1683836887920145</v>
      </c>
      <c r="AE16" s="183">
        <f t="shared" si="12"/>
        <v>0</v>
      </c>
      <c r="AF16" s="183">
        <f t="shared" si="13"/>
        <v>0</v>
      </c>
      <c r="AG16" s="194">
        <f t="shared" si="14"/>
        <v>0</v>
      </c>
      <c r="AH16" s="200">
        <f>IF(OR($I$2="RRO (Capped)",$I$2="RRO (Uncapped)"),VLOOKUP(A16,'Misc. Data &amp; Mechanisms'!$A$1483:$H$1574,3,FALSE),AS16)</f>
        <v>5.91</v>
      </c>
      <c r="AI16" s="194">
        <f t="shared" si="22"/>
        <v>5.91</v>
      </c>
      <c r="AJ16" s="129">
        <f>5%</f>
        <v>0.05</v>
      </c>
      <c r="AK16" s="341">
        <f>'Misc. Data &amp; Mechanisms'!AI289</f>
        <v>484.77951007762215</v>
      </c>
      <c r="AL16" s="196">
        <f>'Misc. Data &amp; Mechanisms'!AP289</f>
        <v>561.42480335661935</v>
      </c>
      <c r="AM16" s="1087">
        <f>'Misc. Data &amp; Mechanisms'!N289</f>
        <v>546.27304979172663</v>
      </c>
      <c r="AN16" s="1087">
        <f>'Misc. Data &amp; Mechanisms'!O289</f>
        <v>414.570803213445</v>
      </c>
      <c r="AO16" s="1087">
        <f>'Misc. Data &amp; Mechanisms'!P289</f>
        <v>306.80998079102068</v>
      </c>
      <c r="AP16" s="1463">
        <f>'Misc. Data &amp; Mechanisms'!$B$259</f>
        <v>611.34673880086393</v>
      </c>
      <c r="AQ16" s="197">
        <f>IFERROR(IF('Personalized Bill Menu'!$B$30="Yes", IF('Personalized Bill Menu'!$B$34="Natural Gas",0,VLOOKUP($A16, 'Personalized Bill Menu'!$H$4:$L$93, 2, FALSE)), 0), 0)</f>
        <v>0</v>
      </c>
      <c r="AR16" s="1343">
        <f>IFERROR(IF('Personalized Bill Menu'!$C$36="Custom", IF('Personalized Bill Menu'!$B$34="Natural Gas",0,VLOOKUP($A16, 'Personalized Bill Menu'!$H$4:$L$93, 3, FALSE)), 0), 0)</f>
        <v>0</v>
      </c>
      <c r="AS16" s="1344">
        <f>IFERROR(IF('Personalized Bill Menu'!$C$36="Custom", IF('Personalized Bill Menu'!$B$34="Natural Gas",0,VLOOKUP($A16, 'Personalized Bill Menu'!$H$4:$L$93, 4, FALSE)), 0), 0)</f>
        <v>0</v>
      </c>
    </row>
    <row r="17" spans="1:45" ht="15" x14ac:dyDescent="0.25">
      <c r="A17" s="206">
        <v>41214</v>
      </c>
      <c r="B17" s="207">
        <f t="shared" si="0"/>
        <v>30</v>
      </c>
      <c r="C17" s="1581">
        <f t="shared" si="15"/>
        <v>595.9010014585167</v>
      </c>
      <c r="D17" s="178">
        <f t="shared" si="16"/>
        <v>15.3351740381024</v>
      </c>
      <c r="E17" s="178">
        <f t="shared" si="17"/>
        <v>11.549999999999999</v>
      </c>
      <c r="F17" s="179">
        <f t="shared" si="1"/>
        <v>91.382455668458661</v>
      </c>
      <c r="G17" s="180">
        <f t="shared" si="18"/>
        <v>45.097787790380544</v>
      </c>
      <c r="H17" s="181">
        <f>SUM($Q17)</f>
        <v>12.72248638113933</v>
      </c>
      <c r="I17" s="181">
        <f t="shared" si="2"/>
        <v>19.302140269130312</v>
      </c>
      <c r="J17" s="181">
        <f t="shared" si="3"/>
        <v>3.9329466096262102</v>
      </c>
      <c r="K17" s="181">
        <f t="shared" si="20"/>
        <v>6.554911016043663E-2</v>
      </c>
      <c r="L17" s="181">
        <f t="shared" si="21"/>
        <v>5.91</v>
      </c>
      <c r="M17" s="182">
        <f t="shared" si="4"/>
        <v>4.3515455080218413</v>
      </c>
      <c r="N17" s="273">
        <f>IF($I$2="RRO (Capped)",VLOOKUP(A17,'Misc. Data &amp; Mechanisms'!$A$1278:$E$1368,3,FALSE),IF($I$2="RRO (Uncapped)",VLOOKUP(A17,'Misc. Data &amp; Mechanisms'!$G$1278:$K$1368,3,FALSE),AR17))</f>
        <v>7.5679999999999996</v>
      </c>
      <c r="O17" s="183">
        <f t="shared" si="5"/>
        <v>45.097787790380544</v>
      </c>
      <c r="P17" s="274">
        <v>2.1349999999999998</v>
      </c>
      <c r="Q17" s="194">
        <f t="shared" si="6"/>
        <v>12.72248638113933</v>
      </c>
      <c r="R17" s="274">
        <v>0.626</v>
      </c>
      <c r="S17" s="275">
        <v>0.51905999999999997</v>
      </c>
      <c r="T17" s="183">
        <f t="shared" si="7"/>
        <v>3.7303402691303145</v>
      </c>
      <c r="U17" s="194">
        <f t="shared" si="8"/>
        <v>15.5718</v>
      </c>
      <c r="V17" s="276">
        <v>0.66</v>
      </c>
      <c r="W17" s="183">
        <f t="shared" si="9"/>
        <v>3.9329466096262102</v>
      </c>
      <c r="X17" s="277">
        <v>-0.56899999999999995</v>
      </c>
      <c r="Y17" s="278">
        <v>0.57999999999999996</v>
      </c>
      <c r="Z17" s="278"/>
      <c r="AA17" s="278"/>
      <c r="AB17" s="278"/>
      <c r="AC17" s="183">
        <f t="shared" si="10"/>
        <v>-3.39067669829896</v>
      </c>
      <c r="AD17" s="183">
        <f t="shared" si="11"/>
        <v>3.4562258084593966</v>
      </c>
      <c r="AE17" s="183">
        <f t="shared" si="12"/>
        <v>0</v>
      </c>
      <c r="AF17" s="183">
        <f t="shared" si="13"/>
        <v>0</v>
      </c>
      <c r="AG17" s="194">
        <f t="shared" si="14"/>
        <v>0</v>
      </c>
      <c r="AH17" s="200">
        <f>IF(OR($I$2="RRO (Capped)",$I$2="RRO (Uncapped)"),VLOOKUP(A17,'Misc. Data &amp; Mechanisms'!$A$1483:$H$1574,3,FALSE),AS17)</f>
        <v>5.91</v>
      </c>
      <c r="AI17" s="194">
        <f t="shared" si="22"/>
        <v>5.91</v>
      </c>
      <c r="AJ17" s="129">
        <f>5%</f>
        <v>0.05</v>
      </c>
      <c r="AK17" s="341">
        <f>'Misc. Data &amp; Mechanisms'!AI290</f>
        <v>528.82088115451324</v>
      </c>
      <c r="AL17" s="196">
        <f>'Misc. Data &amp; Mechanisms'!AP290</f>
        <v>607.35645018924583</v>
      </c>
      <c r="AM17" s="1087">
        <f>'Misc. Data &amp; Mechanisms'!N290</f>
        <v>595.9010014585167</v>
      </c>
      <c r="AN17" s="1087">
        <f>'Misc. Data &amp; Mechanisms'!O290</f>
        <v>452.2338359993081</v>
      </c>
      <c r="AO17" s="1087">
        <f>'Misc. Data &amp; Mechanisms'!P290</f>
        <v>334.68313122996472</v>
      </c>
      <c r="AP17" s="1463">
        <f>'Misc. Data &amp; Mechanisms'!$B$259</f>
        <v>611.34673880086393</v>
      </c>
      <c r="AQ17" s="197">
        <f>IFERROR(IF('Personalized Bill Menu'!$B$30="Yes", IF('Personalized Bill Menu'!$B$34="Natural Gas",0,VLOOKUP($A17, 'Personalized Bill Menu'!$H$4:$L$93, 2, FALSE)), 0), 0)</f>
        <v>0</v>
      </c>
      <c r="AR17" s="1343">
        <f>IFERROR(IF('Personalized Bill Menu'!$C$36="Custom", IF('Personalized Bill Menu'!$B$34="Natural Gas",0,VLOOKUP($A17, 'Personalized Bill Menu'!$H$4:$L$93, 3, FALSE)), 0), 0)</f>
        <v>0</v>
      </c>
      <c r="AS17" s="1344">
        <f>IFERROR(IF('Personalized Bill Menu'!$C$36="Custom", IF('Personalized Bill Menu'!$B$34="Natural Gas",0,VLOOKUP($A17, 'Personalized Bill Menu'!$H$4:$L$93, 4, FALSE)), 0), 0)</f>
        <v>0</v>
      </c>
    </row>
    <row r="18" spans="1:45" ht="15" x14ac:dyDescent="0.25">
      <c r="A18" s="229">
        <v>41244</v>
      </c>
      <c r="B18" s="230">
        <f t="shared" si="0"/>
        <v>31</v>
      </c>
      <c r="C18" s="231">
        <f t="shared" si="15"/>
        <v>667.64792536346306</v>
      </c>
      <c r="D18" s="208">
        <f t="shared" si="16"/>
        <v>16.052692654580859</v>
      </c>
      <c r="E18" s="208">
        <f t="shared" si="17"/>
        <v>12.592650000000001</v>
      </c>
      <c r="F18" s="232">
        <f t="shared" si="1"/>
        <v>107.17546947328213</v>
      </c>
      <c r="G18" s="233">
        <f t="shared" si="18"/>
        <v>57.157338890366077</v>
      </c>
      <c r="H18" s="208">
        <f t="shared" si="19"/>
        <v>14.254283206509935</v>
      </c>
      <c r="I18" s="208">
        <f t="shared" si="2"/>
        <v>20.270336012775278</v>
      </c>
      <c r="J18" s="208">
        <f t="shared" si="3"/>
        <v>4.4064763073988562</v>
      </c>
      <c r="K18" s="208">
        <f t="shared" si="20"/>
        <v>7.3441271789981055E-2</v>
      </c>
      <c r="L18" s="208">
        <f t="shared" si="21"/>
        <v>5.91</v>
      </c>
      <c r="M18" s="234">
        <f t="shared" si="4"/>
        <v>5.1035937844420065</v>
      </c>
      <c r="N18" s="1243">
        <f>IF($I$2="RRO (Capped)",VLOOKUP(A18,'Misc. Data &amp; Mechanisms'!$A$1278:$E$1368,3,FALSE),IF($I$2="RRO (Uncapped)",VLOOKUP(A18,'Misc. Data &amp; Mechanisms'!$G$1278:$K$1368,3,FALSE),AR18))</f>
        <v>8.5609999999999999</v>
      </c>
      <c r="O18" s="235">
        <f t="shared" si="5"/>
        <v>57.157338890366077</v>
      </c>
      <c r="P18" s="279">
        <v>2.1349999999999998</v>
      </c>
      <c r="Q18" s="237">
        <f t="shared" si="6"/>
        <v>14.254283206509935</v>
      </c>
      <c r="R18" s="279">
        <v>0.626</v>
      </c>
      <c r="S18" s="280">
        <v>0.51905999999999997</v>
      </c>
      <c r="T18" s="235">
        <f t="shared" si="7"/>
        <v>4.1794760127752788</v>
      </c>
      <c r="U18" s="237">
        <f t="shared" si="8"/>
        <v>16.090859999999999</v>
      </c>
      <c r="V18" s="281">
        <v>0.66</v>
      </c>
      <c r="W18" s="235">
        <f t="shared" si="9"/>
        <v>4.4064763073988562</v>
      </c>
      <c r="X18" s="282">
        <v>-0.56899999999999995</v>
      </c>
      <c r="Y18" s="283">
        <v>0.57999999999999996</v>
      </c>
      <c r="Z18" s="283"/>
      <c r="AA18" s="283"/>
      <c r="AB18" s="283"/>
      <c r="AC18" s="235">
        <f t="shared" si="10"/>
        <v>-3.7989166953181046</v>
      </c>
      <c r="AD18" s="235">
        <f t="shared" si="11"/>
        <v>3.8723579671080857</v>
      </c>
      <c r="AE18" s="235">
        <f t="shared" si="12"/>
        <v>0</v>
      </c>
      <c r="AF18" s="235">
        <f t="shared" si="13"/>
        <v>0</v>
      </c>
      <c r="AG18" s="237">
        <f t="shared" si="14"/>
        <v>0</v>
      </c>
      <c r="AH18" s="239">
        <f>IF(OR($I$2="RRO (Capped)",$I$2="RRO (Uncapped)"),VLOOKUP(A18,'Misc. Data &amp; Mechanisms'!$A$1483:$H$1574,3,FALSE),AS18)</f>
        <v>5.91</v>
      </c>
      <c r="AI18" s="237">
        <f t="shared" si="22"/>
        <v>5.91</v>
      </c>
      <c r="AJ18" s="242">
        <f>5%</f>
        <v>0.05</v>
      </c>
      <c r="AK18" s="352">
        <f>'Misc. Data &amp; Mechanisms'!AI291</f>
        <v>592.49130866961252</v>
      </c>
      <c r="AL18" s="1089">
        <f>'Misc. Data &amp; Mechanisms'!AP291</f>
        <v>714.27882923412301</v>
      </c>
      <c r="AM18" s="1089">
        <f>'Misc. Data &amp; Mechanisms'!N291</f>
        <v>667.64792536346306</v>
      </c>
      <c r="AN18" s="1089">
        <f>'Misc. Data &amp; Mechanisms'!O291</f>
        <v>506.68312629965862</v>
      </c>
      <c r="AO18" s="1089">
        <f>'Misc. Data &amp; Mechanisms'!P291</f>
        <v>374.9792292225053</v>
      </c>
      <c r="AP18" s="1464">
        <f>'Misc. Data &amp; Mechanisms'!$B$259</f>
        <v>611.34673880086393</v>
      </c>
      <c r="AQ18" s="243">
        <f>IFERROR(IF('Personalized Bill Menu'!$B$30="Yes", IF('Personalized Bill Menu'!$B$34="Natural Gas",0,VLOOKUP($A18, 'Personalized Bill Menu'!$H$4:$L$93, 2, FALSE)), 0), 0)</f>
        <v>0</v>
      </c>
      <c r="AR18" s="1345">
        <f>IFERROR(IF('Personalized Bill Menu'!$C$36="Custom", IF('Personalized Bill Menu'!$B$34="Natural Gas",0,VLOOKUP($A18, 'Personalized Bill Menu'!$H$4:$L$93, 3, FALSE)), 0), 0)</f>
        <v>0</v>
      </c>
      <c r="AS18" s="1346">
        <f>IFERROR(IF('Personalized Bill Menu'!$C$36="Custom", IF('Personalized Bill Menu'!$B$34="Natural Gas",0,VLOOKUP($A18, 'Personalized Bill Menu'!$H$4:$L$93, 4, FALSE)), 0), 0)</f>
        <v>0</v>
      </c>
    </row>
    <row r="19" spans="1:45" ht="15" x14ac:dyDescent="0.25">
      <c r="A19" s="206">
        <v>41275</v>
      </c>
      <c r="B19" s="207">
        <f t="shared" si="0"/>
        <v>31</v>
      </c>
      <c r="C19" s="212">
        <f t="shared" si="15"/>
        <v>643.46592587731914</v>
      </c>
      <c r="D19" s="178">
        <f t="shared" si="16"/>
        <v>16.565974014953252</v>
      </c>
      <c r="E19" s="178">
        <f t="shared" si="17"/>
        <v>12.975899999999999</v>
      </c>
      <c r="F19" s="179">
        <f t="shared" si="1"/>
        <v>106.59639807591503</v>
      </c>
      <c r="G19" s="180">
        <f t="shared" si="18"/>
        <v>57.114035580870841</v>
      </c>
      <c r="H19" s="181">
        <f t="shared" si="19"/>
        <v>13.737997517480762</v>
      </c>
      <c r="I19" s="181">
        <f>SUM($T19:$U19)</f>
        <v>20.118956695992019</v>
      </c>
      <c r="J19" s="181">
        <f t="shared" si="3"/>
        <v>4.5686080737289654</v>
      </c>
      <c r="K19" s="181">
        <f t="shared" si="20"/>
        <v>7.0781251846505189E-2</v>
      </c>
      <c r="L19" s="181">
        <f t="shared" si="21"/>
        <v>5.91</v>
      </c>
      <c r="M19" s="182">
        <f t="shared" si="4"/>
        <v>5.0760189559959548</v>
      </c>
      <c r="N19" s="273">
        <f>IF($I$2="RRO (Capped)",VLOOKUP(A19,'Misc. Data &amp; Mechanisms'!$A$1278:$E$1368,3,FALSE),IF($I$2="RRO (Uncapped)",VLOOKUP(A19,'Misc. Data &amp; Mechanisms'!$G$1278:$K$1368,3,FALSE),AR19))</f>
        <v>8.8759999999999994</v>
      </c>
      <c r="O19" s="183">
        <f t="shared" si="5"/>
        <v>57.114035580870841</v>
      </c>
      <c r="P19" s="274">
        <v>2.1349999999999998</v>
      </c>
      <c r="Q19" s="194">
        <f t="shared" si="6"/>
        <v>13.737997517480762</v>
      </c>
      <c r="R19" s="274">
        <v>0.626</v>
      </c>
      <c r="S19" s="289">
        <v>0.51905999999999997</v>
      </c>
      <c r="T19" s="183">
        <f t="shared" si="7"/>
        <v>4.0280966959920175</v>
      </c>
      <c r="U19" s="194">
        <f t="shared" si="8"/>
        <v>16.090859999999999</v>
      </c>
      <c r="V19" s="290">
        <v>0.71</v>
      </c>
      <c r="W19" s="183">
        <f t="shared" si="9"/>
        <v>4.5686080737289654</v>
      </c>
      <c r="X19" s="277">
        <v>-0.56899999999999995</v>
      </c>
      <c r="Y19" s="278">
        <v>0.57999999999999996</v>
      </c>
      <c r="Z19" s="278"/>
      <c r="AA19" s="278"/>
      <c r="AB19" s="278"/>
      <c r="AC19" s="183">
        <f t="shared" si="10"/>
        <v>-3.6613211182419456</v>
      </c>
      <c r="AD19" s="183">
        <f t="shared" si="11"/>
        <v>3.7321023700884508</v>
      </c>
      <c r="AE19" s="183">
        <f t="shared" si="12"/>
        <v>0</v>
      </c>
      <c r="AF19" s="183">
        <f t="shared" si="13"/>
        <v>0</v>
      </c>
      <c r="AG19" s="194">
        <f t="shared" si="14"/>
        <v>0</v>
      </c>
      <c r="AH19" s="200">
        <f>IF(OR($I$2="RRO (Capped)",$I$2="RRO (Uncapped)"),VLOOKUP(A19,'Misc. Data &amp; Mechanisms'!$A$1483:$H$1574,3,FALSE),AS19)</f>
        <v>5.91</v>
      </c>
      <c r="AI19" s="194">
        <f t="shared" si="22"/>
        <v>5.91</v>
      </c>
      <c r="AJ19" s="129">
        <f>5%</f>
        <v>0.05</v>
      </c>
      <c r="AK19" s="341">
        <f>'Misc. Data &amp; Mechanisms'!AI292</f>
        <v>571.03145838400951</v>
      </c>
      <c r="AL19" s="1239">
        <f>'Misc. Data &amp; Mechanisms'!AP292</f>
        <v>663.94521568698838</v>
      </c>
      <c r="AM19" s="1087">
        <f>'Misc. Data &amp; Mechanisms'!N292</f>
        <v>643.46592587731914</v>
      </c>
      <c r="AN19" s="1087">
        <f>'Misc. Data &amp; Mechanisms'!O292</f>
        <v>488.33122159906964</v>
      </c>
      <c r="AO19" s="1087">
        <f>'Misc. Data &amp; Mechanisms'!P292</f>
        <v>361.3975985697374</v>
      </c>
      <c r="AP19" s="1463">
        <f>'Misc. Data &amp; Mechanisms'!$B$259</f>
        <v>611.34673880086393</v>
      </c>
      <c r="AQ19" s="197">
        <f>IFERROR(IF('Personalized Bill Menu'!$B$30="Yes", IF('Personalized Bill Menu'!$B$34="Natural Gas",0,VLOOKUP($A19, 'Personalized Bill Menu'!$H$4:$L$93, 2, FALSE)), 0), 0)</f>
        <v>0</v>
      </c>
      <c r="AR19" s="1343">
        <f>IFERROR(IF('Personalized Bill Menu'!$C$36="Custom", IF('Personalized Bill Menu'!$B$34="Natural Gas",0,VLOOKUP($A19, 'Personalized Bill Menu'!$H$4:$L$93, 3, FALSE)), 0), 0)</f>
        <v>0</v>
      </c>
      <c r="AS19" s="1344">
        <f>IFERROR(IF('Personalized Bill Menu'!$C$36="Custom", IF('Personalized Bill Menu'!$B$34="Natural Gas",0,VLOOKUP($A19, 'Personalized Bill Menu'!$H$4:$L$93, 4, FALSE)), 0), 0)</f>
        <v>0</v>
      </c>
    </row>
    <row r="20" spans="1:45" ht="15" x14ac:dyDescent="0.25">
      <c r="A20" s="206">
        <v>41306</v>
      </c>
      <c r="B20" s="207">
        <f t="shared" si="0"/>
        <v>28</v>
      </c>
      <c r="C20" s="1581">
        <f t="shared" si="15"/>
        <v>531.13648820858134</v>
      </c>
      <c r="D20" s="178">
        <f t="shared" si="16"/>
        <v>15.596746767130444</v>
      </c>
      <c r="E20" s="178">
        <f t="shared" si="17"/>
        <v>11.555250000000001</v>
      </c>
      <c r="F20" s="179">
        <f t="shared" si="1"/>
        <v>82.840013053722089</v>
      </c>
      <c r="G20" s="180">
        <f t="shared" si="18"/>
        <v>39.957398007931573</v>
      </c>
      <c r="H20" s="181">
        <f t="shared" si="19"/>
        <v>11.33976402325321</v>
      </c>
      <c r="I20" s="181">
        <f t="shared" si="2"/>
        <v>17.858594416185717</v>
      </c>
      <c r="J20" s="181">
        <f t="shared" si="3"/>
        <v>3.7710690662809272</v>
      </c>
      <c r="K20" s="181">
        <f t="shared" si="20"/>
        <v>5.842501370294384E-2</v>
      </c>
      <c r="L20" s="181">
        <f t="shared" si="21"/>
        <v>5.91</v>
      </c>
      <c r="M20" s="182">
        <f t="shared" si="4"/>
        <v>3.9447625263677182</v>
      </c>
      <c r="N20" s="273">
        <f>IF($I$2="RRO (Capped)",VLOOKUP(A20,'Misc. Data &amp; Mechanisms'!$A$1278:$E$1368,3,FALSE),IF($I$2="RRO (Uncapped)",VLOOKUP(A20,'Misc. Data &amp; Mechanisms'!$G$1278:$K$1368,3,FALSE),AR20))</f>
        <v>7.5229999999999997</v>
      </c>
      <c r="O20" s="183">
        <f t="shared" si="5"/>
        <v>39.957398007931573</v>
      </c>
      <c r="P20" s="274">
        <v>2.1349999999999998</v>
      </c>
      <c r="Q20" s="194">
        <f t="shared" si="6"/>
        <v>11.33976402325321</v>
      </c>
      <c r="R20" s="274">
        <v>0.626</v>
      </c>
      <c r="S20" s="275">
        <v>0.51905999999999997</v>
      </c>
      <c r="T20" s="183">
        <f t="shared" si="7"/>
        <v>3.3249144161857194</v>
      </c>
      <c r="U20" s="194">
        <f t="shared" si="8"/>
        <v>14.533679999999999</v>
      </c>
      <c r="V20" s="276">
        <v>0.71</v>
      </c>
      <c r="W20" s="183">
        <f t="shared" si="9"/>
        <v>3.7710690662809272</v>
      </c>
      <c r="X20" s="277">
        <v>-0.56899999999999995</v>
      </c>
      <c r="Y20" s="278">
        <v>0.57999999999999996</v>
      </c>
      <c r="Z20" s="278"/>
      <c r="AA20" s="278"/>
      <c r="AB20" s="278"/>
      <c r="AC20" s="183">
        <f t="shared" si="10"/>
        <v>-3.0221666179068278</v>
      </c>
      <c r="AD20" s="183">
        <f t="shared" si="11"/>
        <v>3.0805916316097717</v>
      </c>
      <c r="AE20" s="183">
        <f t="shared" si="12"/>
        <v>0</v>
      </c>
      <c r="AF20" s="183">
        <f t="shared" si="13"/>
        <v>0</v>
      </c>
      <c r="AG20" s="194">
        <f t="shared" si="14"/>
        <v>0</v>
      </c>
      <c r="AH20" s="200">
        <f>IF(OR($I$2="RRO (Capped)",$I$2="RRO (Uncapped)"),VLOOKUP(A20,'Misc. Data &amp; Mechanisms'!$A$1483:$H$1574,3,FALSE),AS20)</f>
        <v>5.91</v>
      </c>
      <c r="AI20" s="194">
        <f t="shared" si="22"/>
        <v>5.91</v>
      </c>
      <c r="AJ20" s="129">
        <f>5%</f>
        <v>0.05</v>
      </c>
      <c r="AK20" s="341">
        <f>'Misc. Data &amp; Mechanisms'!AI293</f>
        <v>471.34685966344819</v>
      </c>
      <c r="AL20" s="196">
        <f>'Misc. Data &amp; Mechanisms'!AP293</f>
        <v>549.528043350958</v>
      </c>
      <c r="AM20" s="1087">
        <f>'Misc. Data &amp; Mechanisms'!N293</f>
        <v>531.13648820858134</v>
      </c>
      <c r="AN20" s="1087">
        <f>'Misc. Data &amp; Mechanisms'!O293</f>
        <v>403.08355064660725</v>
      </c>
      <c r="AO20" s="1087">
        <f>'Misc. Data &amp; Mechanisms'!P293</f>
        <v>298.30864950561767</v>
      </c>
      <c r="AP20" s="1463">
        <f>'Misc. Data &amp; Mechanisms'!$B$259</f>
        <v>611.34673880086393</v>
      </c>
      <c r="AQ20" s="197">
        <f>IFERROR(IF('Personalized Bill Menu'!$B$30="Yes", IF('Personalized Bill Menu'!$B$34="Natural Gas",0,VLOOKUP($A20, 'Personalized Bill Menu'!$H$4:$L$93, 2, FALSE)), 0), 0)</f>
        <v>0</v>
      </c>
      <c r="AR20" s="1343">
        <f>IFERROR(IF('Personalized Bill Menu'!$C$36="Custom", IF('Personalized Bill Menu'!$B$34="Natural Gas",0,VLOOKUP($A20, 'Personalized Bill Menu'!$H$4:$L$93, 3, FALSE)), 0), 0)</f>
        <v>0</v>
      </c>
      <c r="AS20" s="1344">
        <f>IFERROR(IF('Personalized Bill Menu'!$C$36="Custom", IF('Personalized Bill Menu'!$B$34="Natural Gas",0,VLOOKUP($A20, 'Personalized Bill Menu'!$H$4:$L$93, 4, FALSE)), 0), 0)</f>
        <v>0</v>
      </c>
    </row>
    <row r="21" spans="1:45" ht="15" x14ac:dyDescent="0.25">
      <c r="A21" s="206">
        <v>41334</v>
      </c>
      <c r="B21" s="207">
        <f t="shared" si="0"/>
        <v>31</v>
      </c>
      <c r="C21" s="1581">
        <f t="shared" si="15"/>
        <v>568.32118776947777</v>
      </c>
      <c r="D21" s="178">
        <f t="shared" si="16"/>
        <v>15.373261880630462</v>
      </c>
      <c r="E21" s="178">
        <f t="shared" si="17"/>
        <v>11.308500000000002</v>
      </c>
      <c r="F21" s="179">
        <f t="shared" si="1"/>
        <v>87.369504518911398</v>
      </c>
      <c r="G21" s="180">
        <f t="shared" si="18"/>
        <v>41.419248164639541</v>
      </c>
      <c r="H21" s="181">
        <f t="shared" si="19"/>
        <v>12.133657358878349</v>
      </c>
      <c r="I21" s="181">
        <f t="shared" si="2"/>
        <v>19.64855063543693</v>
      </c>
      <c r="J21" s="181">
        <f t="shared" si="3"/>
        <v>4.0350804331632917</v>
      </c>
      <c r="K21" s="181">
        <f t="shared" si="20"/>
        <v>6.2515330654642653E-2</v>
      </c>
      <c r="L21" s="181">
        <f t="shared" si="21"/>
        <v>5.91</v>
      </c>
      <c r="M21" s="182">
        <f t="shared" si="4"/>
        <v>4.1604525961386383</v>
      </c>
      <c r="N21" s="273">
        <f>IF($I$2="RRO (Capped)",VLOOKUP(A21,'Misc. Data &amp; Mechanisms'!$A$1278:$E$1368,3,FALSE),IF($I$2="RRO (Uncapped)",VLOOKUP(A21,'Misc. Data &amp; Mechanisms'!$G$1278:$K$1368,3,FALSE),AR21))</f>
        <v>7.2880000000000003</v>
      </c>
      <c r="O21" s="183">
        <f t="shared" si="5"/>
        <v>41.419248164639541</v>
      </c>
      <c r="P21" s="274">
        <v>2.1349999999999998</v>
      </c>
      <c r="Q21" s="194">
        <f t="shared" si="6"/>
        <v>12.133657358878349</v>
      </c>
      <c r="R21" s="274">
        <v>0.626</v>
      </c>
      <c r="S21" s="275">
        <v>0.51905999999999997</v>
      </c>
      <c r="T21" s="183">
        <f t="shared" si="7"/>
        <v>3.5576906354369306</v>
      </c>
      <c r="U21" s="194">
        <f t="shared" si="8"/>
        <v>16.090859999999999</v>
      </c>
      <c r="V21" s="276">
        <v>0.71</v>
      </c>
      <c r="W21" s="183">
        <f t="shared" si="9"/>
        <v>4.0350804331632917</v>
      </c>
      <c r="X21" s="277">
        <v>-0.56899999999999995</v>
      </c>
      <c r="Y21" s="278">
        <v>0.57999999999999996</v>
      </c>
      <c r="Z21" s="278"/>
      <c r="AA21" s="278"/>
      <c r="AB21" s="278"/>
      <c r="AC21" s="183">
        <f t="shared" si="10"/>
        <v>-3.2337475584083282</v>
      </c>
      <c r="AD21" s="183">
        <f t="shared" si="11"/>
        <v>3.2962628890629708</v>
      </c>
      <c r="AE21" s="183">
        <f t="shared" si="12"/>
        <v>0</v>
      </c>
      <c r="AF21" s="183">
        <f t="shared" si="13"/>
        <v>0</v>
      </c>
      <c r="AG21" s="194">
        <f t="shared" si="14"/>
        <v>0</v>
      </c>
      <c r="AH21" s="200">
        <f>IF(OR($I$2="RRO (Capped)",$I$2="RRO (Uncapped)"),VLOOKUP(A21,'Misc. Data &amp; Mechanisms'!$A$1483:$H$1574,3,FALSE),AS21)</f>
        <v>5.91</v>
      </c>
      <c r="AI21" s="194">
        <f t="shared" si="22"/>
        <v>5.91</v>
      </c>
      <c r="AJ21" s="129">
        <f>5%</f>
        <v>0.05</v>
      </c>
      <c r="AK21" s="341">
        <f>'Misc. Data &amp; Mechanisms'!AI294</f>
        <v>504.34570601398246</v>
      </c>
      <c r="AL21" s="196">
        <f>'Misc. Data &amp; Mechanisms'!AP294</f>
        <v>578.69697125062407</v>
      </c>
      <c r="AM21" s="1087">
        <f>'Misc. Data &amp; Mechanisms'!N294</f>
        <v>568.32118776947777</v>
      </c>
      <c r="AN21" s="1087">
        <f>'Misc. Data &amp; Mechanisms'!O294</f>
        <v>431.30330406495528</v>
      </c>
      <c r="AO21" s="1087">
        <f>'Misc. Data &amp; Mechanisms'!P294</f>
        <v>319.19314483693267</v>
      </c>
      <c r="AP21" s="1463">
        <f>'Misc. Data &amp; Mechanisms'!$B$259</f>
        <v>611.34673880086393</v>
      </c>
      <c r="AQ21" s="197">
        <f>IFERROR(IF('Personalized Bill Menu'!$B$30="Yes", IF('Personalized Bill Menu'!$B$34="Natural Gas",0,VLOOKUP($A21, 'Personalized Bill Menu'!$H$4:$L$93, 2, FALSE)), 0), 0)</f>
        <v>0</v>
      </c>
      <c r="AR21" s="1343">
        <f>IFERROR(IF('Personalized Bill Menu'!$C$36="Custom", IF('Personalized Bill Menu'!$B$34="Natural Gas",0,VLOOKUP($A21, 'Personalized Bill Menu'!$H$4:$L$93, 3, FALSE)), 0), 0)</f>
        <v>0</v>
      </c>
      <c r="AS21" s="1344">
        <f>IFERROR(IF('Personalized Bill Menu'!$C$36="Custom", IF('Personalized Bill Menu'!$B$34="Natural Gas",0,VLOOKUP($A21, 'Personalized Bill Menu'!$H$4:$L$93, 4, FALSE)), 0), 0)</f>
        <v>0</v>
      </c>
    </row>
    <row r="22" spans="1:45" ht="15" x14ac:dyDescent="0.25">
      <c r="A22" s="206">
        <v>41365</v>
      </c>
      <c r="B22" s="207">
        <f t="shared" si="0"/>
        <v>30</v>
      </c>
      <c r="C22" s="1581">
        <f t="shared" si="15"/>
        <v>511.96493595609468</v>
      </c>
      <c r="D22" s="178">
        <f t="shared" si="16"/>
        <v>16.667584736135968</v>
      </c>
      <c r="E22" s="178">
        <f t="shared" si="17"/>
        <v>12.4215</v>
      </c>
      <c r="F22" s="179">
        <f t="shared" si="1"/>
        <v>85.332189519786311</v>
      </c>
      <c r="G22" s="180">
        <f t="shared" si="18"/>
        <v>42.011842644557127</v>
      </c>
      <c r="H22" s="181">
        <f t="shared" si="19"/>
        <v>10.93045138266262</v>
      </c>
      <c r="I22" s="181">
        <f t="shared" si="2"/>
        <v>18.172892097209591</v>
      </c>
      <c r="J22" s="181">
        <f t="shared" si="3"/>
        <v>3.6349510452882718</v>
      </c>
      <c r="K22" s="181">
        <f t="shared" si="20"/>
        <v>0.36861475388838816</v>
      </c>
      <c r="L22" s="181">
        <f t="shared" si="21"/>
        <v>6.15</v>
      </c>
      <c r="M22" s="182">
        <f t="shared" si="4"/>
        <v>4.0634375961803002</v>
      </c>
      <c r="N22" s="273">
        <f>IF($I$2="RRO (Capped)",VLOOKUP(A22,'Misc. Data &amp; Mechanisms'!$A$1278:$E$1368,3,FALSE),IF($I$2="RRO (Uncapped)",VLOOKUP(A22,'Misc. Data &amp; Mechanisms'!$G$1278:$K$1368,3,FALSE),AR22))</f>
        <v>8.2059999999999995</v>
      </c>
      <c r="O22" s="183">
        <f t="shared" si="5"/>
        <v>42.011842644557127</v>
      </c>
      <c r="P22" s="274">
        <v>2.1349999999999998</v>
      </c>
      <c r="Q22" s="194">
        <f t="shared" si="6"/>
        <v>10.93045138266262</v>
      </c>
      <c r="R22" s="274">
        <v>0.70699999999999996</v>
      </c>
      <c r="S22" s="275">
        <v>0.48510999999999999</v>
      </c>
      <c r="T22" s="183">
        <f t="shared" si="7"/>
        <v>3.6195920972095892</v>
      </c>
      <c r="U22" s="194">
        <f t="shared" si="8"/>
        <v>14.5533</v>
      </c>
      <c r="V22" s="276">
        <v>0.71</v>
      </c>
      <c r="W22" s="183">
        <f t="shared" si="9"/>
        <v>3.6349510452882718</v>
      </c>
      <c r="X22" s="277">
        <v>-0.56899999999999995</v>
      </c>
      <c r="Y22" s="278">
        <v>0.64100000000000001</v>
      </c>
      <c r="Z22" s="278"/>
      <c r="AA22" s="278"/>
      <c r="AB22" s="278"/>
      <c r="AC22" s="183">
        <f t="shared" si="10"/>
        <v>-2.9130804855901786</v>
      </c>
      <c r="AD22" s="183">
        <f t="shared" si="11"/>
        <v>3.2816952394785668</v>
      </c>
      <c r="AE22" s="183">
        <f t="shared" si="12"/>
        <v>0</v>
      </c>
      <c r="AF22" s="183">
        <f t="shared" si="13"/>
        <v>0</v>
      </c>
      <c r="AG22" s="194">
        <f t="shared" si="14"/>
        <v>0</v>
      </c>
      <c r="AH22" s="200">
        <f>IF(OR($I$2="RRO (Capped)",$I$2="RRO (Uncapped)"),VLOOKUP(A22,'Misc. Data &amp; Mechanisms'!$A$1483:$H$1574,3,FALSE),AS22)</f>
        <v>6.15</v>
      </c>
      <c r="AI22" s="194">
        <f t="shared" si="22"/>
        <v>6.15</v>
      </c>
      <c r="AJ22" s="129">
        <f>5%</f>
        <v>0.05</v>
      </c>
      <c r="AK22" s="341">
        <f>'Misc. Data &amp; Mechanisms'!AI295</f>
        <v>454.33343439575202</v>
      </c>
      <c r="AL22" s="196">
        <f>'Misc. Data &amp; Mechanisms'!AP295</f>
        <v>522.8281415740812</v>
      </c>
      <c r="AM22" s="1087">
        <f>'Misc. Data &amp; Mechanisms'!N295</f>
        <v>511.96493595609468</v>
      </c>
      <c r="AN22" s="1087">
        <f>'Misc. Data &amp; Mechanisms'!O295</f>
        <v>388.53411274336054</v>
      </c>
      <c r="AO22" s="1087">
        <f>'Misc. Data &amp; Mechanisms'!P295</f>
        <v>287.54109730702015</v>
      </c>
      <c r="AP22" s="1463">
        <f>'Misc. Data &amp; Mechanisms'!$B$259</f>
        <v>611.34673880086393</v>
      </c>
      <c r="AQ22" s="197">
        <f>IFERROR(IF('Personalized Bill Menu'!$B$30="Yes", IF('Personalized Bill Menu'!$B$34="Natural Gas",0,VLOOKUP($A22, 'Personalized Bill Menu'!$H$4:$L$93, 2, FALSE)), 0), 0)</f>
        <v>0</v>
      </c>
      <c r="AR22" s="1343">
        <f>IFERROR(IF('Personalized Bill Menu'!$C$36="Custom", IF('Personalized Bill Menu'!$B$34="Natural Gas",0,VLOOKUP($A22, 'Personalized Bill Menu'!$H$4:$L$93, 3, FALSE)), 0), 0)</f>
        <v>0</v>
      </c>
      <c r="AS22" s="1344">
        <f>IFERROR(IF('Personalized Bill Menu'!$C$36="Custom", IF('Personalized Bill Menu'!$B$34="Natural Gas",0,VLOOKUP($A22, 'Personalized Bill Menu'!$H$4:$L$93, 4, FALSE)), 0), 0)</f>
        <v>0</v>
      </c>
    </row>
    <row r="23" spans="1:45" ht="15" x14ac:dyDescent="0.25">
      <c r="A23" s="206">
        <v>41395</v>
      </c>
      <c r="B23" s="207">
        <f t="shared" si="0"/>
        <v>31</v>
      </c>
      <c r="C23" s="1581">
        <f t="shared" si="15"/>
        <v>479.11546409976137</v>
      </c>
      <c r="D23" s="178">
        <f t="shared" si="16"/>
        <v>15.903721690914896</v>
      </c>
      <c r="E23" s="178">
        <f t="shared" si="17"/>
        <v>11.260200000000003</v>
      </c>
      <c r="F23" s="179">
        <f t="shared" si="1"/>
        <v>76.19718998856132</v>
      </c>
      <c r="G23" s="180">
        <f t="shared" si="18"/>
        <v>34.017197951083055</v>
      </c>
      <c r="H23" s="181">
        <f t="shared" si="19"/>
        <v>10.229115158529904</v>
      </c>
      <c r="I23" s="181">
        <f t="shared" si="2"/>
        <v>18.425756331185312</v>
      </c>
      <c r="J23" s="181">
        <f t="shared" si="3"/>
        <v>3.4017197951083054</v>
      </c>
      <c r="K23" s="181">
        <f t="shared" si="20"/>
        <v>0.34496313415182822</v>
      </c>
      <c r="L23" s="181">
        <f t="shared" si="21"/>
        <v>6.15</v>
      </c>
      <c r="M23" s="182">
        <f t="shared" si="4"/>
        <v>3.6284376185029203</v>
      </c>
      <c r="N23" s="273">
        <f>IF($I$2="RRO (Capped)",VLOOKUP(A23,'Misc. Data &amp; Mechanisms'!$A$1278:$E$1368,3,FALSE),IF($I$2="RRO (Uncapped)",VLOOKUP(A23,'Misc. Data &amp; Mechanisms'!$G$1278:$K$1368,3,FALSE),AR23))</f>
        <v>7.1</v>
      </c>
      <c r="O23" s="183">
        <f t="shared" si="5"/>
        <v>34.017197951083055</v>
      </c>
      <c r="P23" s="274">
        <v>2.1349999999999998</v>
      </c>
      <c r="Q23" s="194">
        <f t="shared" si="6"/>
        <v>10.229115158529904</v>
      </c>
      <c r="R23" s="274">
        <v>0.70699999999999996</v>
      </c>
      <c r="S23" s="275">
        <v>0.48510999999999999</v>
      </c>
      <c r="T23" s="183">
        <f t="shared" si="7"/>
        <v>3.3873463311853129</v>
      </c>
      <c r="U23" s="194">
        <f t="shared" si="8"/>
        <v>15.038409999999999</v>
      </c>
      <c r="V23" s="276">
        <v>0.71</v>
      </c>
      <c r="W23" s="183">
        <f t="shared" si="9"/>
        <v>3.4017197951083054</v>
      </c>
      <c r="X23" s="277">
        <v>-0.56899999999999995</v>
      </c>
      <c r="Y23" s="278">
        <v>0.64100000000000001</v>
      </c>
      <c r="Z23" s="278"/>
      <c r="AA23" s="278"/>
      <c r="AB23" s="278"/>
      <c r="AC23" s="183">
        <f t="shared" si="10"/>
        <v>-2.7261669907276422</v>
      </c>
      <c r="AD23" s="183">
        <f t="shared" si="11"/>
        <v>3.0711301248794705</v>
      </c>
      <c r="AE23" s="183">
        <f t="shared" si="12"/>
        <v>0</v>
      </c>
      <c r="AF23" s="183">
        <f t="shared" si="13"/>
        <v>0</v>
      </c>
      <c r="AG23" s="194">
        <f t="shared" si="14"/>
        <v>0</v>
      </c>
      <c r="AH23" s="200">
        <f>IF(OR($I$2="RRO (Capped)",$I$2="RRO (Uncapped)"),VLOOKUP(A23,'Misc. Data &amp; Mechanisms'!$A$1483:$H$1574,3,FALSE),AS23)</f>
        <v>6.15</v>
      </c>
      <c r="AI23" s="194">
        <f t="shared" si="22"/>
        <v>6.15</v>
      </c>
      <c r="AJ23" s="129">
        <f>5%</f>
        <v>0.05</v>
      </c>
      <c r="AK23" s="341">
        <f>'Misc. Data &amp; Mechanisms'!AI296</f>
        <v>425.18180248036936</v>
      </c>
      <c r="AL23" s="196">
        <f>'Misc. Data &amp; Mechanisms'!AP296</f>
        <v>484.40845953707566</v>
      </c>
      <c r="AM23" s="1087">
        <f>'Misc. Data &amp; Mechanisms'!N296</f>
        <v>479.11546409976137</v>
      </c>
      <c r="AN23" s="1087">
        <f>'Misc. Data &amp; Mechanisms'!O296</f>
        <v>363.60439684796762</v>
      </c>
      <c r="AO23" s="1087">
        <f>'Misc. Data &amp; Mechanisms'!P296</f>
        <v>269.09144866870753</v>
      </c>
      <c r="AP23" s="1463">
        <f>'Misc. Data &amp; Mechanisms'!$B$259</f>
        <v>611.34673880086393</v>
      </c>
      <c r="AQ23" s="197">
        <f>IFERROR(IF('Personalized Bill Menu'!$B$30="Yes", IF('Personalized Bill Menu'!$B$34="Natural Gas",0,VLOOKUP($A23, 'Personalized Bill Menu'!$H$4:$L$93, 2, FALSE)), 0), 0)</f>
        <v>0</v>
      </c>
      <c r="AR23" s="1343">
        <f>IFERROR(IF('Personalized Bill Menu'!$C$36="Custom", IF('Personalized Bill Menu'!$B$34="Natural Gas",0,VLOOKUP($A23, 'Personalized Bill Menu'!$H$4:$L$93, 3, FALSE)), 0), 0)</f>
        <v>0</v>
      </c>
      <c r="AS23" s="1344">
        <f>IFERROR(IF('Personalized Bill Menu'!$C$36="Custom", IF('Personalized Bill Menu'!$B$34="Natural Gas",0,VLOOKUP($A23, 'Personalized Bill Menu'!$H$4:$L$93, 4, FALSE)), 0), 0)</f>
        <v>0</v>
      </c>
    </row>
    <row r="24" spans="1:45" ht="15" x14ac:dyDescent="0.25">
      <c r="A24" s="206">
        <v>41426</v>
      </c>
      <c r="B24" s="207">
        <f t="shared" si="0"/>
        <v>30</v>
      </c>
      <c r="C24" s="1581">
        <f t="shared" si="15"/>
        <v>468.88810516457113</v>
      </c>
      <c r="D24" s="178">
        <f t="shared" si="16"/>
        <v>15.869073270458673</v>
      </c>
      <c r="E24" s="178">
        <f t="shared" si="17"/>
        <v>11.232900000000003</v>
      </c>
      <c r="F24" s="179">
        <f t="shared" si="1"/>
        <v>74.408196965031109</v>
      </c>
      <c r="G24" s="180">
        <f t="shared" si="18"/>
        <v>33.16914455934176</v>
      </c>
      <c r="H24" s="181">
        <f t="shared" si="19"/>
        <v>10.010761045263592</v>
      </c>
      <c r="I24" s="181">
        <f t="shared" si="2"/>
        <v>17.868338903513518</v>
      </c>
      <c r="J24" s="181">
        <f t="shared" si="3"/>
        <v>3.3291055466684547</v>
      </c>
      <c r="K24" s="181">
        <f t="shared" si="20"/>
        <v>0.33759943571849149</v>
      </c>
      <c r="L24" s="181">
        <f t="shared" si="21"/>
        <v>6.15</v>
      </c>
      <c r="M24" s="182">
        <f t="shared" si="4"/>
        <v>3.5432474745252911</v>
      </c>
      <c r="N24" s="273">
        <f>IF($I$2="RRO (Capped)",VLOOKUP(A24,'Misc. Data &amp; Mechanisms'!$A$1278:$E$1368,3,FALSE),IF($I$2="RRO (Uncapped)",VLOOKUP(A24,'Misc. Data &amp; Mechanisms'!$G$1278:$K$1368,3,FALSE),AR24))</f>
        <v>7.0739999999999998</v>
      </c>
      <c r="O24" s="183">
        <f t="shared" si="5"/>
        <v>33.16914455934176</v>
      </c>
      <c r="P24" s="274">
        <v>2.1349999999999998</v>
      </c>
      <c r="Q24" s="194">
        <f t="shared" si="6"/>
        <v>10.010761045263592</v>
      </c>
      <c r="R24" s="274">
        <v>0.70699999999999996</v>
      </c>
      <c r="S24" s="275">
        <v>0.48510999999999999</v>
      </c>
      <c r="T24" s="183">
        <f t="shared" si="7"/>
        <v>3.3150389035135177</v>
      </c>
      <c r="U24" s="194">
        <f t="shared" si="8"/>
        <v>14.5533</v>
      </c>
      <c r="V24" s="276">
        <v>0.71</v>
      </c>
      <c r="W24" s="183">
        <f t="shared" si="9"/>
        <v>3.3291055466684547</v>
      </c>
      <c r="X24" s="277">
        <v>-0.56899999999999995</v>
      </c>
      <c r="Y24" s="278">
        <v>0.64100000000000001</v>
      </c>
      <c r="Z24" s="278"/>
      <c r="AA24" s="278"/>
      <c r="AB24" s="278"/>
      <c r="AC24" s="183">
        <f t="shared" si="10"/>
        <v>-2.6679733183864096</v>
      </c>
      <c r="AD24" s="183">
        <f t="shared" si="11"/>
        <v>3.0055727541049011</v>
      </c>
      <c r="AE24" s="183">
        <f t="shared" si="12"/>
        <v>0</v>
      </c>
      <c r="AF24" s="183">
        <f t="shared" si="13"/>
        <v>0</v>
      </c>
      <c r="AG24" s="194">
        <f t="shared" si="14"/>
        <v>0</v>
      </c>
      <c r="AH24" s="200">
        <f>IF(OR($I$2="RRO (Capped)",$I$2="RRO (Uncapped)"),VLOOKUP(A24,'Misc. Data &amp; Mechanisms'!$A$1483:$H$1574,3,FALSE),AS24)</f>
        <v>6.15</v>
      </c>
      <c r="AI24" s="194">
        <f t="shared" si="22"/>
        <v>6.15</v>
      </c>
      <c r="AJ24" s="129">
        <f>5%</f>
        <v>0.05</v>
      </c>
      <c r="AK24" s="341">
        <f>'Misc. Data &amp; Mechanisms'!AI297</f>
        <v>416.10572952403402</v>
      </c>
      <c r="AL24" s="196">
        <f>'Misc. Data &amp; Mechanisms'!AP297</f>
        <v>470.95388128869058</v>
      </c>
      <c r="AM24" s="1087">
        <f>'Misc. Data &amp; Mechanisms'!N297</f>
        <v>468.88810516457113</v>
      </c>
      <c r="AN24" s="1087">
        <f>'Misc. Data &amp; Mechanisms'!O297</f>
        <v>355.84277578661278</v>
      </c>
      <c r="AO24" s="1087">
        <f>'Misc. Data &amp; Mechanisms'!P297</f>
        <v>263.34733260871718</v>
      </c>
      <c r="AP24" s="1463">
        <f>'Misc. Data &amp; Mechanisms'!$B$259</f>
        <v>611.34673880086393</v>
      </c>
      <c r="AQ24" s="197">
        <f>IFERROR(IF('Personalized Bill Menu'!$B$30="Yes", IF('Personalized Bill Menu'!$B$34="Natural Gas",0,VLOOKUP($A24, 'Personalized Bill Menu'!$H$4:$L$93, 2, FALSE)), 0), 0)</f>
        <v>0</v>
      </c>
      <c r="AR24" s="1343">
        <f>IFERROR(IF('Personalized Bill Menu'!$C$36="Custom", IF('Personalized Bill Menu'!$B$34="Natural Gas",0,VLOOKUP($A24, 'Personalized Bill Menu'!$H$4:$L$93, 3, FALSE)), 0), 0)</f>
        <v>0</v>
      </c>
      <c r="AS24" s="1344">
        <f>IFERROR(IF('Personalized Bill Menu'!$C$36="Custom", IF('Personalized Bill Menu'!$B$34="Natural Gas",0,VLOOKUP($A24, 'Personalized Bill Menu'!$H$4:$L$93, 4, FALSE)), 0), 0)</f>
        <v>0</v>
      </c>
    </row>
    <row r="25" spans="1:45" x14ac:dyDescent="0.35">
      <c r="A25" s="206">
        <v>41456</v>
      </c>
      <c r="B25" s="207">
        <f t="shared" si="0"/>
        <v>31</v>
      </c>
      <c r="C25" s="1581">
        <f t="shared" si="15"/>
        <v>505.4431043584915</v>
      </c>
      <c r="D25" s="178">
        <f t="shared" si="16"/>
        <v>18.774501129081667</v>
      </c>
      <c r="E25" s="178">
        <f t="shared" si="17"/>
        <v>14.414400000000004</v>
      </c>
      <c r="F25" s="179">
        <f t="shared" si="1"/>
        <v>94.894421334650417</v>
      </c>
      <c r="G25" s="180">
        <f t="shared" si="18"/>
        <v>54.385678028973686</v>
      </c>
      <c r="H25" s="181">
        <f t="shared" si="19"/>
        <v>10.791210278053793</v>
      </c>
      <c r="I25" s="181">
        <f t="shared" si="2"/>
        <v>18.611892747814533</v>
      </c>
      <c r="J25" s="181">
        <f t="shared" si="3"/>
        <v>3.5886460409452896</v>
      </c>
      <c r="K25" s="181">
        <f t="shared" si="20"/>
        <v>-2.9517877294535904</v>
      </c>
      <c r="L25" s="181">
        <f t="shared" si="21"/>
        <v>5.95</v>
      </c>
      <c r="M25" s="182">
        <f t="shared" si="4"/>
        <v>4.518781968316687</v>
      </c>
      <c r="N25" s="273">
        <f>IF($I$2="RRO (Capped)",VLOOKUP(A25,'Misc. Data &amp; Mechanisms'!$A$1278:$E$1368,3,FALSE),IF($I$2="RRO (Uncapped)",VLOOKUP(A25,'Misc. Data &amp; Mechanisms'!$G$1278:$K$1368,3,FALSE),AR25))</f>
        <v>10.76</v>
      </c>
      <c r="O25" s="183">
        <f t="shared" si="5"/>
        <v>54.385678028973686</v>
      </c>
      <c r="P25" s="274">
        <v>2.1349999999999998</v>
      </c>
      <c r="Q25" s="194">
        <f t="shared" si="6"/>
        <v>10.791210278053793</v>
      </c>
      <c r="R25" s="274">
        <v>0.70699999999999996</v>
      </c>
      <c r="S25" s="275">
        <v>0.48510999999999999</v>
      </c>
      <c r="T25" s="183">
        <f t="shared" si="7"/>
        <v>3.573482747814535</v>
      </c>
      <c r="U25" s="194">
        <f t="shared" si="8"/>
        <v>15.038409999999999</v>
      </c>
      <c r="V25" s="276">
        <v>0.71</v>
      </c>
      <c r="W25" s="183">
        <f t="shared" si="9"/>
        <v>3.5886460409452896</v>
      </c>
      <c r="X25" s="277">
        <v>-0.56899999999999995</v>
      </c>
      <c r="Y25" s="278">
        <v>0.33900000000000002</v>
      </c>
      <c r="Z25" s="278"/>
      <c r="AA25" s="278">
        <v>-0.35399999999999998</v>
      </c>
      <c r="AB25" s="278"/>
      <c r="AC25" s="183">
        <f t="shared" si="10"/>
        <v>-2.8759712637998165</v>
      </c>
      <c r="AD25" s="183">
        <f t="shared" si="11"/>
        <v>1.7134521237752862</v>
      </c>
      <c r="AE25" s="183">
        <f t="shared" si="12"/>
        <v>0</v>
      </c>
      <c r="AF25" s="183">
        <f t="shared" si="13"/>
        <v>-1.7892685894290599</v>
      </c>
      <c r="AG25" s="194">
        <f t="shared" si="14"/>
        <v>0</v>
      </c>
      <c r="AH25" s="200">
        <f>IF(OR($I$2="RRO (Capped)",$I$2="RRO (Uncapped)"),VLOOKUP(A25,'Misc. Data &amp; Mechanisms'!$A$1483:$H$1574,3,FALSE),AS25)</f>
        <v>5.95</v>
      </c>
      <c r="AI25" s="194">
        <f t="shared" si="22"/>
        <v>5.95</v>
      </c>
      <c r="AJ25" s="129">
        <f>5%</f>
        <v>0.05</v>
      </c>
      <c r="AK25" s="341">
        <f>'Misc. Data &amp; Mechanisms'!AI298</f>
        <v>448.54576039664067</v>
      </c>
      <c r="AL25" s="196">
        <f>'Misc. Data &amp; Mechanisms'!AP298</f>
        <v>503.85754984348307</v>
      </c>
      <c r="AM25" s="1087">
        <f>'Misc. Data &amp; Mechanisms'!N298</f>
        <v>505.4431043584915</v>
      </c>
      <c r="AN25" s="1087">
        <f>'Misc. Data &amp; Mechanisms'!O298</f>
        <v>383.58464477148823</v>
      </c>
      <c r="AO25" s="1087">
        <f>'Misc. Data &amp; Mechanisms'!P298</f>
        <v>283.87816165982724</v>
      </c>
      <c r="AP25" s="1463">
        <f>'Misc. Data &amp; Mechanisms'!$B$259</f>
        <v>611.34673880086393</v>
      </c>
      <c r="AQ25" s="197">
        <f>IFERROR(IF('Personalized Bill Menu'!$B$30="Yes", IF('Personalized Bill Menu'!$B$34="Natural Gas",0,VLOOKUP($A25, 'Personalized Bill Menu'!$H$4:$L$93, 2, FALSE)), 0), 0)</f>
        <v>0</v>
      </c>
      <c r="AR25" s="1343">
        <f>IFERROR(IF('Personalized Bill Menu'!$C$36="Custom", IF('Personalized Bill Menu'!$B$34="Natural Gas",0,VLOOKUP($A25, 'Personalized Bill Menu'!$H$4:$L$93, 3, FALSE)), 0), 0)</f>
        <v>0</v>
      </c>
      <c r="AS25" s="1344">
        <f>IFERROR(IF('Personalized Bill Menu'!$C$36="Custom", IF('Personalized Bill Menu'!$B$34="Natural Gas",0,VLOOKUP($A25, 'Personalized Bill Menu'!$H$4:$L$93, 4, FALSE)), 0), 0)</f>
        <v>0</v>
      </c>
    </row>
    <row r="26" spans="1:45" x14ac:dyDescent="0.35">
      <c r="A26" s="206">
        <v>41487</v>
      </c>
      <c r="B26" s="207">
        <f t="shared" si="0"/>
        <v>31</v>
      </c>
      <c r="C26" s="1581">
        <f t="shared" si="15"/>
        <v>512.51403375083999</v>
      </c>
      <c r="D26" s="178">
        <f t="shared" si="16"/>
        <v>19.513521481546967</v>
      </c>
      <c r="E26" s="178">
        <f t="shared" si="17"/>
        <v>15.092700000000004</v>
      </c>
      <c r="F26" s="179">
        <f t="shared" si="1"/>
        <v>100.00953607191303</v>
      </c>
      <c r="G26" s="180">
        <f t="shared" si="18"/>
        <v>58.45735068962081</v>
      </c>
      <c r="H26" s="181">
        <f t="shared" si="19"/>
        <v>10.942174620580433</v>
      </c>
      <c r="I26" s="181">
        <f t="shared" si="2"/>
        <v>18.661884218618439</v>
      </c>
      <c r="J26" s="181">
        <f t="shared" si="3"/>
        <v>3.6388496396309638</v>
      </c>
      <c r="K26" s="181">
        <f>SUM($AC26:$AG26)</f>
        <v>-2.9930819571049048</v>
      </c>
      <c r="L26" s="181">
        <f t="shared" si="21"/>
        <v>6.54</v>
      </c>
      <c r="M26" s="182">
        <f t="shared" si="4"/>
        <v>4.7623588605672875</v>
      </c>
      <c r="N26" s="273">
        <f>IF($I$2="RRO (Capped)",VLOOKUP(A26,'Misc. Data &amp; Mechanisms'!$A$1278:$E$1368,3,FALSE),IF($I$2="RRO (Uncapped)",VLOOKUP(A26,'Misc. Data &amp; Mechanisms'!$G$1278:$K$1368,3,FALSE),AR26))</f>
        <v>11.406000000000001</v>
      </c>
      <c r="O26" s="183">
        <f t="shared" si="5"/>
        <v>58.45735068962081</v>
      </c>
      <c r="P26" s="274">
        <v>2.1349999999999998</v>
      </c>
      <c r="Q26" s="194">
        <f t="shared" si="6"/>
        <v>10.942174620580433</v>
      </c>
      <c r="R26" s="274">
        <v>0.70699999999999996</v>
      </c>
      <c r="S26" s="275">
        <v>0.48510999999999999</v>
      </c>
      <c r="T26" s="183">
        <f t="shared" si="7"/>
        <v>3.6234742186184388</v>
      </c>
      <c r="U26" s="194">
        <f t="shared" si="8"/>
        <v>15.038409999999999</v>
      </c>
      <c r="V26" s="276">
        <v>0.71</v>
      </c>
      <c r="W26" s="183">
        <f t="shared" si="9"/>
        <v>3.6388496396309638</v>
      </c>
      <c r="X26" s="277">
        <v>-0.56899999999999995</v>
      </c>
      <c r="Y26" s="278">
        <v>0.33900000000000002</v>
      </c>
      <c r="Z26" s="278"/>
      <c r="AA26" s="278">
        <v>-0.35399999999999998</v>
      </c>
      <c r="AB26" s="278"/>
      <c r="AC26" s="183">
        <f t="shared" si="10"/>
        <v>-2.9162048520422794</v>
      </c>
      <c r="AD26" s="183">
        <f t="shared" si="11"/>
        <v>1.7374225744153478</v>
      </c>
      <c r="AE26" s="183">
        <f t="shared" si="12"/>
        <v>0</v>
      </c>
      <c r="AF26" s="183">
        <f t="shared" si="13"/>
        <v>-1.8142996794779733</v>
      </c>
      <c r="AG26" s="194">
        <f t="shared" si="14"/>
        <v>0</v>
      </c>
      <c r="AH26" s="200">
        <f>IF(OR($I$2="RRO (Capped)",$I$2="RRO (Uncapped)"),VLOOKUP(A26,'Misc. Data &amp; Mechanisms'!$A$1483:$H$1574,3,FALSE),AS26)</f>
        <v>6.54</v>
      </c>
      <c r="AI26" s="194">
        <f t="shared" si="22"/>
        <v>6.54</v>
      </c>
      <c r="AJ26" s="129">
        <f>5%</f>
        <v>0.05</v>
      </c>
      <c r="AK26" s="341">
        <f>'Misc. Data &amp; Mechanisms'!AI299</f>
        <v>454.82072067140263</v>
      </c>
      <c r="AL26" s="196">
        <f>'Misc. Data &amp; Mechanisms'!AP299</f>
        <v>503.25925664322148</v>
      </c>
      <c r="AM26" s="1087">
        <f>'Misc. Data &amp; Mechanisms'!N299</f>
        <v>512.51403375083999</v>
      </c>
      <c r="AN26" s="1087">
        <f>'Misc. Data &amp; Mechanisms'!O299</f>
        <v>388.95082726716339</v>
      </c>
      <c r="AO26" s="1087">
        <f>'Misc. Data &amp; Mechanisms'!P299</f>
        <v>287.84949378369498</v>
      </c>
      <c r="AP26" s="1463">
        <f>'Misc. Data &amp; Mechanisms'!$B$259</f>
        <v>611.34673880086393</v>
      </c>
      <c r="AQ26" s="197">
        <f>IFERROR(IF('Personalized Bill Menu'!$B$30="Yes", IF('Personalized Bill Menu'!$B$34="Natural Gas",0,VLOOKUP($A26, 'Personalized Bill Menu'!$H$4:$L$93, 2, FALSE)), 0), 0)</f>
        <v>0</v>
      </c>
      <c r="AR26" s="1343">
        <f>IFERROR(IF('Personalized Bill Menu'!$C$36="Custom", IF('Personalized Bill Menu'!$B$34="Natural Gas",0,VLOOKUP($A26, 'Personalized Bill Menu'!$H$4:$L$93, 3, FALSE)), 0), 0)</f>
        <v>0</v>
      </c>
      <c r="AS26" s="1344">
        <f>IFERROR(IF('Personalized Bill Menu'!$C$36="Custom", IF('Personalized Bill Menu'!$B$34="Natural Gas",0,VLOOKUP($A26, 'Personalized Bill Menu'!$H$4:$L$93, 4, FALSE)), 0), 0)</f>
        <v>0</v>
      </c>
    </row>
    <row r="27" spans="1:45" x14ac:dyDescent="0.35">
      <c r="A27" s="206">
        <v>41518</v>
      </c>
      <c r="B27" s="207">
        <f t="shared" si="0"/>
        <v>30</v>
      </c>
      <c r="C27" s="1581">
        <f t="shared" si="15"/>
        <v>479.48229577941839</v>
      </c>
      <c r="D27" s="178">
        <f t="shared" si="16"/>
        <v>19.066091352027936</v>
      </c>
      <c r="E27" s="178">
        <f t="shared" si="17"/>
        <v>14.446950000000005</v>
      </c>
      <c r="F27" s="179">
        <f t="shared" si="1"/>
        <v>91.418532530104699</v>
      </c>
      <c r="G27" s="180">
        <f t="shared" si="18"/>
        <v>50.451127161910406</v>
      </c>
      <c r="H27" s="181">
        <f t="shared" si="19"/>
        <v>10.236947014890582</v>
      </c>
      <c r="I27" s="181">
        <f t="shared" si="2"/>
        <v>17.94323983116049</v>
      </c>
      <c r="J27" s="181">
        <f t="shared" si="3"/>
        <v>3.4043243000338705</v>
      </c>
      <c r="K27" s="181">
        <f t="shared" si="20"/>
        <v>-1.5103692317051676</v>
      </c>
      <c r="L27" s="181">
        <f t="shared" si="21"/>
        <v>6.54</v>
      </c>
      <c r="M27" s="182">
        <f t="shared" si="4"/>
        <v>4.3532634538145096</v>
      </c>
      <c r="N27" s="273">
        <f>IF($I$2="RRO (Capped)",VLOOKUP(A27,'Misc. Data &amp; Mechanisms'!$A$1278:$E$1368,3,FALSE),IF($I$2="RRO (Uncapped)",VLOOKUP(A27,'Misc. Data &amp; Mechanisms'!$G$1278:$K$1368,3,FALSE),AR27))</f>
        <v>10.522</v>
      </c>
      <c r="O27" s="183">
        <f t="shared" si="5"/>
        <v>50.451127161910406</v>
      </c>
      <c r="P27" s="274">
        <v>2.1349999999999998</v>
      </c>
      <c r="Q27" s="194">
        <f t="shared" si="6"/>
        <v>10.236947014890582</v>
      </c>
      <c r="R27" s="274">
        <v>0.70699999999999996</v>
      </c>
      <c r="S27" s="275">
        <v>0.48510999999999999</v>
      </c>
      <c r="T27" s="183">
        <f t="shared" si="7"/>
        <v>3.389939831160488</v>
      </c>
      <c r="U27" s="194">
        <f t="shared" si="8"/>
        <v>14.5533</v>
      </c>
      <c r="V27" s="276">
        <v>0.71</v>
      </c>
      <c r="W27" s="183">
        <f t="shared" si="9"/>
        <v>3.4043243000338705</v>
      </c>
      <c r="X27" s="277">
        <v>-0.56899999999999995</v>
      </c>
      <c r="Y27" s="278">
        <v>0.33900000000000002</v>
      </c>
      <c r="Z27" s="278">
        <v>0.26900000000000002</v>
      </c>
      <c r="AA27" s="278">
        <v>-0.35399999999999998</v>
      </c>
      <c r="AB27" s="278"/>
      <c r="AC27" s="183">
        <f t="shared" si="10"/>
        <v>-2.7282542629848905</v>
      </c>
      <c r="AD27" s="183">
        <f t="shared" si="11"/>
        <v>1.6254449826922284</v>
      </c>
      <c r="AE27" s="183">
        <f t="shared" si="12"/>
        <v>1.2898073756466355</v>
      </c>
      <c r="AF27" s="183">
        <f t="shared" si="13"/>
        <v>-1.697367327059141</v>
      </c>
      <c r="AG27" s="194">
        <f t="shared" si="14"/>
        <v>0</v>
      </c>
      <c r="AH27" s="200">
        <f>IF(OR($I$2="RRO (Capped)",$I$2="RRO (Uncapped)"),VLOOKUP(A27,'Misc. Data &amp; Mechanisms'!$A$1483:$H$1574,3,FALSE),AS27)</f>
        <v>6.54</v>
      </c>
      <c r="AI27" s="194">
        <f t="shared" si="22"/>
        <v>6.54</v>
      </c>
      <c r="AJ27" s="129">
        <f>5%</f>
        <v>0.05</v>
      </c>
      <c r="AK27" s="341">
        <f>'Misc. Data &amp; Mechanisms'!AI300</f>
        <v>425.50734019820641</v>
      </c>
      <c r="AL27" s="196">
        <f>'Misc. Data &amp; Mechanisms'!AP300</f>
        <v>488.30890756761858</v>
      </c>
      <c r="AM27" s="1087">
        <f>'Misc. Data &amp; Mechanisms'!N300</f>
        <v>479.48229577941839</v>
      </c>
      <c r="AN27" s="1087">
        <f>'Misc. Data &amp; Mechanisms'!O300</f>
        <v>363.88278822044617</v>
      </c>
      <c r="AO27" s="1087">
        <f>'Misc. Data &amp; Mechanisms'!P300</f>
        <v>269.29747680908906</v>
      </c>
      <c r="AP27" s="1463">
        <f>'Misc. Data &amp; Mechanisms'!$B$259</f>
        <v>611.34673880086393</v>
      </c>
      <c r="AQ27" s="197">
        <f>IFERROR(IF('Personalized Bill Menu'!$B$30="Yes", IF('Personalized Bill Menu'!$B$34="Natural Gas",0,VLOOKUP($A27, 'Personalized Bill Menu'!$H$4:$L$93, 2, FALSE)), 0), 0)</f>
        <v>0</v>
      </c>
      <c r="AR27" s="1343">
        <f>IFERROR(IF('Personalized Bill Menu'!$C$36="Custom", IF('Personalized Bill Menu'!$B$34="Natural Gas",0,VLOOKUP($A27, 'Personalized Bill Menu'!$H$4:$L$93, 3, FALSE)), 0), 0)</f>
        <v>0</v>
      </c>
      <c r="AS27" s="1344">
        <f>IFERROR(IF('Personalized Bill Menu'!$C$36="Custom", IF('Personalized Bill Menu'!$B$34="Natural Gas",0,VLOOKUP($A27, 'Personalized Bill Menu'!$H$4:$L$93, 4, FALSE)), 0), 0)</f>
        <v>0</v>
      </c>
    </row>
    <row r="28" spans="1:45" x14ac:dyDescent="0.35">
      <c r="A28" s="206">
        <v>41548</v>
      </c>
      <c r="B28" s="207">
        <f t="shared" si="0"/>
        <v>31</v>
      </c>
      <c r="C28" s="1581">
        <f t="shared" si="15"/>
        <v>522.4167153013085</v>
      </c>
      <c r="D28" s="178">
        <f t="shared" si="16"/>
        <v>16.446002690133717</v>
      </c>
      <c r="E28" s="178">
        <f t="shared" si="17"/>
        <v>11.930100000000001</v>
      </c>
      <c r="F28" s="179">
        <f t="shared" si="1"/>
        <v>85.916667052161401</v>
      </c>
      <c r="G28" s="180">
        <f t="shared" si="18"/>
        <v>43.00534400360371</v>
      </c>
      <c r="H28" s="181">
        <f t="shared" si="19"/>
        <v>11.153596871682936</v>
      </c>
      <c r="I28" s="181">
        <f t="shared" si="2"/>
        <v>18.73189617718025</v>
      </c>
      <c r="J28" s="181">
        <f t="shared" si="3"/>
        <v>3.7091586786392901</v>
      </c>
      <c r="K28" s="181">
        <f t="shared" si="20"/>
        <v>-2.2045985385715219</v>
      </c>
      <c r="L28" s="181">
        <f t="shared" si="21"/>
        <v>7.43</v>
      </c>
      <c r="M28" s="182">
        <f t="shared" si="4"/>
        <v>4.0912698596267338</v>
      </c>
      <c r="N28" s="273">
        <f>IF($I$2="RRO (Capped)",VLOOKUP(A28,'Misc. Data &amp; Mechanisms'!$A$1278:$E$1368,3,FALSE),IF($I$2="RRO (Uncapped)",VLOOKUP(A28,'Misc. Data &amp; Mechanisms'!$G$1278:$K$1368,3,FALSE),AR28))</f>
        <v>8.2319999999999993</v>
      </c>
      <c r="O28" s="183">
        <f t="shared" si="5"/>
        <v>43.00534400360371</v>
      </c>
      <c r="P28" s="274">
        <v>2.1349999999999998</v>
      </c>
      <c r="Q28" s="194">
        <f t="shared" si="6"/>
        <v>11.153596871682936</v>
      </c>
      <c r="R28" s="274">
        <v>0.70699999999999996</v>
      </c>
      <c r="S28" s="275">
        <v>0.48510999999999999</v>
      </c>
      <c r="T28" s="183">
        <f t="shared" si="7"/>
        <v>3.693486177180251</v>
      </c>
      <c r="U28" s="194">
        <f t="shared" si="8"/>
        <v>15.038409999999999</v>
      </c>
      <c r="V28" s="276">
        <v>0.71</v>
      </c>
      <c r="W28" s="183">
        <f t="shared" si="9"/>
        <v>3.7091586786392901</v>
      </c>
      <c r="X28" s="277">
        <v>-0.56899999999999995</v>
      </c>
      <c r="Y28" s="278">
        <v>0.84899999999999998</v>
      </c>
      <c r="Z28" s="278">
        <v>0.26900000000000002</v>
      </c>
      <c r="AA28" s="278">
        <v>-0.97099999999999997</v>
      </c>
      <c r="AB28" s="278"/>
      <c r="AC28" s="183">
        <f t="shared" si="10"/>
        <v>-2.9725511100644453</v>
      </c>
      <c r="AD28" s="183">
        <f t="shared" si="11"/>
        <v>4.4353179129081086</v>
      </c>
      <c r="AE28" s="183">
        <f t="shared" si="12"/>
        <v>1.4053009641605199</v>
      </c>
      <c r="AF28" s="183">
        <f t="shared" si="13"/>
        <v>-5.0726663055757051</v>
      </c>
      <c r="AG28" s="194">
        <f t="shared" si="14"/>
        <v>0</v>
      </c>
      <c r="AH28" s="200">
        <f>IF(OR($I$2="RRO (Capped)",$I$2="RRO (Uncapped)"),VLOOKUP(A28,'Misc. Data &amp; Mechanisms'!$A$1483:$H$1574,3,FALSE),AS28)</f>
        <v>7.43</v>
      </c>
      <c r="AI28" s="194">
        <f t="shared" si="22"/>
        <v>7.43</v>
      </c>
      <c r="AJ28" s="129">
        <f>5%</f>
        <v>0.05</v>
      </c>
      <c r="AK28" s="341">
        <f>'Misc. Data &amp; Mechanisms'!AI301</f>
        <v>463.6086649280727</v>
      </c>
      <c r="AL28" s="196">
        <f>'Misc. Data &amp; Mechanisms'!AP301</f>
        <v>536.24747166657312</v>
      </c>
      <c r="AM28" s="1087">
        <f>'Misc. Data &amp; Mechanisms'!N301</f>
        <v>522.4167153013085</v>
      </c>
      <c r="AN28" s="1087">
        <f>'Misc. Data &amp; Mechanisms'!O301</f>
        <v>396.46604817346645</v>
      </c>
      <c r="AO28" s="1087">
        <f>'Misc. Data &amp; Mechanisms'!P301</f>
        <v>293.41125733296258</v>
      </c>
      <c r="AP28" s="1463">
        <f>'Misc. Data &amp; Mechanisms'!$B$259</f>
        <v>611.34673880086393</v>
      </c>
      <c r="AQ28" s="197">
        <f>IFERROR(IF('Personalized Bill Menu'!$B$30="Yes", IF('Personalized Bill Menu'!$B$34="Natural Gas",0,VLOOKUP($A28, 'Personalized Bill Menu'!$H$4:$L$93, 2, FALSE)), 0), 0)</f>
        <v>0</v>
      </c>
      <c r="AR28" s="1343">
        <f>IFERROR(IF('Personalized Bill Menu'!$C$36="Custom", IF('Personalized Bill Menu'!$B$34="Natural Gas",0,VLOOKUP($A28, 'Personalized Bill Menu'!$H$4:$L$93, 3, FALSE)), 0), 0)</f>
        <v>0</v>
      </c>
      <c r="AS28" s="1344">
        <f>IFERROR(IF('Personalized Bill Menu'!$C$36="Custom", IF('Personalized Bill Menu'!$B$34="Natural Gas",0,VLOOKUP($A28, 'Personalized Bill Menu'!$H$4:$L$93, 4, FALSE)), 0), 0)</f>
        <v>0</v>
      </c>
    </row>
    <row r="29" spans="1:45" x14ac:dyDescent="0.35">
      <c r="A29" s="206">
        <v>41579</v>
      </c>
      <c r="B29" s="207">
        <f t="shared" si="0"/>
        <v>30</v>
      </c>
      <c r="C29" s="1581">
        <f t="shared" si="15"/>
        <v>586.27477936017556</v>
      </c>
      <c r="D29" s="178">
        <f t="shared" si="16"/>
        <v>15.879841049320047</v>
      </c>
      <c r="E29" s="178">
        <f t="shared" si="17"/>
        <v>11.9427</v>
      </c>
      <c r="F29" s="179">
        <f t="shared" si="1"/>
        <v>93.099503074647686</v>
      </c>
      <c r="G29" s="180">
        <f t="shared" si="18"/>
        <v>48.332492810452869</v>
      </c>
      <c r="H29" s="181">
        <f t="shared" si="19"/>
        <v>12.516966539339746</v>
      </c>
      <c r="I29" s="181">
        <f t="shared" si="2"/>
        <v>18.69826269007644</v>
      </c>
      <c r="J29" s="181">
        <f t="shared" si="3"/>
        <v>4.1625509334572461</v>
      </c>
      <c r="K29" s="181">
        <f t="shared" si="20"/>
        <v>-2.4740795688999406</v>
      </c>
      <c r="L29" s="181">
        <f t="shared" si="21"/>
        <v>7.43</v>
      </c>
      <c r="M29" s="182">
        <f t="shared" si="4"/>
        <v>4.4333096702213188</v>
      </c>
      <c r="N29" s="273">
        <f>IF($I$2="RRO (Capped)",VLOOKUP(A29,'Misc. Data &amp; Mechanisms'!$A$1278:$E$1368,3,FALSE),IF($I$2="RRO (Uncapped)",VLOOKUP(A29,'Misc. Data &amp; Mechanisms'!$G$1278:$K$1368,3,FALSE),AR29))</f>
        <v>8.2439999999999998</v>
      </c>
      <c r="O29" s="183">
        <f t="shared" si="5"/>
        <v>48.332492810452869</v>
      </c>
      <c r="P29" s="274">
        <v>2.1349999999999998</v>
      </c>
      <c r="Q29" s="194">
        <f t="shared" si="6"/>
        <v>12.516966539339746</v>
      </c>
      <c r="R29" s="274">
        <v>0.70699999999999996</v>
      </c>
      <c r="S29" s="275">
        <v>0.48510999999999999</v>
      </c>
      <c r="T29" s="183">
        <f t="shared" si="7"/>
        <v>4.1449626900764409</v>
      </c>
      <c r="U29" s="194">
        <f t="shared" si="8"/>
        <v>14.5533</v>
      </c>
      <c r="V29" s="276">
        <v>0.71</v>
      </c>
      <c r="W29" s="183">
        <f t="shared" si="9"/>
        <v>4.1625509334572461</v>
      </c>
      <c r="X29" s="277">
        <v>-0.56899999999999995</v>
      </c>
      <c r="Y29" s="278">
        <v>0.84899999999999998</v>
      </c>
      <c r="Z29" s="278">
        <v>0.26900000000000002</v>
      </c>
      <c r="AA29" s="278">
        <v>-0.97099999999999997</v>
      </c>
      <c r="AB29" s="278"/>
      <c r="AC29" s="183">
        <f t="shared" si="10"/>
        <v>-3.3359034945593988</v>
      </c>
      <c r="AD29" s="183">
        <f t="shared" si="11"/>
        <v>4.97747287676789</v>
      </c>
      <c r="AE29" s="183">
        <f t="shared" si="12"/>
        <v>1.5770791564788724</v>
      </c>
      <c r="AF29" s="183">
        <f t="shared" si="13"/>
        <v>-5.6927281075873042</v>
      </c>
      <c r="AG29" s="194">
        <f t="shared" si="14"/>
        <v>0</v>
      </c>
      <c r="AH29" s="200">
        <f>IF(OR($I$2="RRO (Capped)",$I$2="RRO (Uncapped)"),VLOOKUP(A29,'Misc. Data &amp; Mechanisms'!$A$1483:$H$1574,3,FALSE),AS29)</f>
        <v>7.43</v>
      </c>
      <c r="AI29" s="194">
        <f t="shared" si="22"/>
        <v>7.43</v>
      </c>
      <c r="AJ29" s="129">
        <f>5%</f>
        <v>0.05</v>
      </c>
      <c r="AK29" s="341">
        <f>'Misc. Data &amp; Mechanisms'!AI302</f>
        <v>520.27827552073461</v>
      </c>
      <c r="AL29" s="196">
        <f>'Misc. Data &amp; Mechanisms'!AP302</f>
        <v>604.45600582601537</v>
      </c>
      <c r="AM29" s="1087">
        <f>'Misc. Data &amp; Mechanisms'!N302</f>
        <v>586.27477936017556</v>
      </c>
      <c r="AN29" s="1087">
        <f>'Misc. Data &amp; Mechanisms'!O302</f>
        <v>444.92842228954913</v>
      </c>
      <c r="AO29" s="1087">
        <f>'Misc. Data &amp; Mechanisms'!P302</f>
        <v>329.27663896715183</v>
      </c>
      <c r="AP29" s="1463">
        <f>'Misc. Data &amp; Mechanisms'!$B$259</f>
        <v>611.34673880086393</v>
      </c>
      <c r="AQ29" s="197">
        <f>IFERROR(IF('Personalized Bill Menu'!$B$30="Yes", IF('Personalized Bill Menu'!$B$34="Natural Gas",0,VLOOKUP($A29, 'Personalized Bill Menu'!$H$4:$L$93, 2, FALSE)), 0), 0)</f>
        <v>0</v>
      </c>
      <c r="AR29" s="1343">
        <f>IFERROR(IF('Personalized Bill Menu'!$C$36="Custom", IF('Personalized Bill Menu'!$B$34="Natural Gas",0,VLOOKUP($A29, 'Personalized Bill Menu'!$H$4:$L$93, 3, FALSE)), 0), 0)</f>
        <v>0</v>
      </c>
      <c r="AS29" s="1344">
        <f>IFERROR(IF('Personalized Bill Menu'!$C$36="Custom", IF('Personalized Bill Menu'!$B$34="Natural Gas",0,VLOOKUP($A29, 'Personalized Bill Menu'!$H$4:$L$93, 4, FALSE)), 0), 0)</f>
        <v>0</v>
      </c>
    </row>
    <row r="30" spans="1:45" x14ac:dyDescent="0.35">
      <c r="A30" s="229">
        <v>41609</v>
      </c>
      <c r="B30" s="230">
        <f t="shared" si="0"/>
        <v>31</v>
      </c>
      <c r="C30" s="231">
        <f t="shared" si="15"/>
        <v>682.38648171214675</v>
      </c>
      <c r="D30" s="208">
        <f t="shared" si="16"/>
        <v>15.297053496699808</v>
      </c>
      <c r="E30" s="208">
        <f t="shared" si="17"/>
        <v>11.839800000000002</v>
      </c>
      <c r="F30" s="232">
        <f t="shared" si="1"/>
        <v>104.38502516175475</v>
      </c>
      <c r="G30" s="233">
        <f t="shared" si="18"/>
        <v>55.587202800271477</v>
      </c>
      <c r="H30" s="208">
        <f t="shared" si="19"/>
        <v>14.568951384554332</v>
      </c>
      <c r="I30" s="208">
        <f t="shared" si="2"/>
        <v>19.862882425704875</v>
      </c>
      <c r="J30" s="208">
        <f t="shared" si="3"/>
        <v>4.8449440201562419</v>
      </c>
      <c r="K30" s="208">
        <f t="shared" si="20"/>
        <v>-2.8796709528252604</v>
      </c>
      <c r="L30" s="208">
        <f t="shared" si="21"/>
        <v>7.43</v>
      </c>
      <c r="M30" s="234">
        <f t="shared" si="4"/>
        <v>4.970715483893084</v>
      </c>
      <c r="N30" s="1243">
        <f>IF($I$2="RRO (Capped)",VLOOKUP(A30,'Misc. Data &amp; Mechanisms'!$A$1278:$E$1368,3,FALSE),IF($I$2="RRO (Uncapped)",VLOOKUP(A30,'Misc. Data &amp; Mechanisms'!$G$1278:$K$1368,3,FALSE),AR30))</f>
        <v>8.1460000000000008</v>
      </c>
      <c r="O30" s="235">
        <f t="shared" si="5"/>
        <v>55.587202800271477</v>
      </c>
      <c r="P30" s="279">
        <v>2.1349999999999998</v>
      </c>
      <c r="Q30" s="237">
        <f t="shared" si="6"/>
        <v>14.568951384554332</v>
      </c>
      <c r="R30" s="279">
        <v>0.70699999999999996</v>
      </c>
      <c r="S30" s="280">
        <v>0.48510999999999999</v>
      </c>
      <c r="T30" s="235">
        <f t="shared" si="7"/>
        <v>4.8244724257048777</v>
      </c>
      <c r="U30" s="237">
        <f t="shared" si="8"/>
        <v>15.038409999999999</v>
      </c>
      <c r="V30" s="281">
        <v>0.71</v>
      </c>
      <c r="W30" s="235">
        <f t="shared" si="9"/>
        <v>4.8449440201562419</v>
      </c>
      <c r="X30" s="282">
        <v>-0.56899999999999995</v>
      </c>
      <c r="Y30" s="283">
        <v>0.84899999999999998</v>
      </c>
      <c r="Z30" s="283">
        <v>0.26900000000000002</v>
      </c>
      <c r="AA30" s="283">
        <v>-0.97099999999999997</v>
      </c>
      <c r="AB30" s="283"/>
      <c r="AC30" s="235">
        <f t="shared" si="10"/>
        <v>-3.882779080942115</v>
      </c>
      <c r="AD30" s="235">
        <f t="shared" si="11"/>
        <v>5.793461229736125</v>
      </c>
      <c r="AE30" s="235">
        <f t="shared" si="12"/>
        <v>1.8356196358056749</v>
      </c>
      <c r="AF30" s="235">
        <f t="shared" si="13"/>
        <v>-6.6259727374249451</v>
      </c>
      <c r="AG30" s="237">
        <f t="shared" si="14"/>
        <v>0</v>
      </c>
      <c r="AH30" s="239">
        <f>IF(OR($I$2="RRO (Capped)",$I$2="RRO (Uncapped)"),VLOOKUP(A30,'Misc. Data &amp; Mechanisms'!$A$1483:$H$1574,3,FALSE),AS30)</f>
        <v>7.43</v>
      </c>
      <c r="AI30" s="237">
        <f t="shared" si="22"/>
        <v>7.43</v>
      </c>
      <c r="AJ30" s="242">
        <f>5%</f>
        <v>0.05</v>
      </c>
      <c r="AK30" s="352">
        <f>'Misc. Data &amp; Mechanisms'!AI303</f>
        <v>605.57075699438417</v>
      </c>
      <c r="AL30" s="1089">
        <f>'Misc. Data &amp; Mechanisms'!AP303</f>
        <v>729.71069821545666</v>
      </c>
      <c r="AM30" s="1089">
        <f>'Misc. Data &amp; Mechanisms'!N303</f>
        <v>682.38648171214675</v>
      </c>
      <c r="AN30" s="1089">
        <f>'Misc. Data &amp; Mechanisms'!O303</f>
        <v>517.86832964441442</v>
      </c>
      <c r="AO30" s="1089">
        <f>'Misc. Data &amp; Mechanisms'!P303</f>
        <v>383.25702398457724</v>
      </c>
      <c r="AP30" s="1464">
        <f>'Misc. Data &amp; Mechanisms'!$B$259</f>
        <v>611.34673880086393</v>
      </c>
      <c r="AQ30" s="243">
        <f>IFERROR(IF('Personalized Bill Menu'!$B$30="Yes", IF('Personalized Bill Menu'!$B$34="Natural Gas",0,VLOOKUP($A30, 'Personalized Bill Menu'!$H$4:$L$93, 2, FALSE)), 0), 0)</f>
        <v>0</v>
      </c>
      <c r="AR30" s="1345">
        <f>IFERROR(IF('Personalized Bill Menu'!$C$36="Custom", IF('Personalized Bill Menu'!$B$34="Natural Gas",0,VLOOKUP($A30, 'Personalized Bill Menu'!$H$4:$L$93, 3, FALSE)), 0), 0)</f>
        <v>0</v>
      </c>
      <c r="AS30" s="1346">
        <f>IFERROR(IF('Personalized Bill Menu'!$C$36="Custom", IF('Personalized Bill Menu'!$B$34="Natural Gas",0,VLOOKUP($A30, 'Personalized Bill Menu'!$H$4:$L$93, 4, FALSE)), 0), 0)</f>
        <v>0</v>
      </c>
    </row>
    <row r="31" spans="1:45" x14ac:dyDescent="0.35">
      <c r="A31" s="210">
        <v>41640</v>
      </c>
      <c r="B31" s="211">
        <f t="shared" si="0"/>
        <v>31</v>
      </c>
      <c r="C31" s="212">
        <f t="shared" si="15"/>
        <v>638.63217810626213</v>
      </c>
      <c r="D31" s="215">
        <f t="shared" si="16"/>
        <v>16.12044045186444</v>
      </c>
      <c r="E31" s="178">
        <f t="shared" si="17"/>
        <v>12.562200000000001</v>
      </c>
      <c r="F31" s="213">
        <f t="shared" si="1"/>
        <v>102.95031997806484</v>
      </c>
      <c r="G31" s="214">
        <f t="shared" si="18"/>
        <v>55.490749955653115</v>
      </c>
      <c r="H31" s="215">
        <f t="shared" si="19"/>
        <v>13.634797002568694</v>
      </c>
      <c r="I31" s="215">
        <f t="shared" si="2"/>
        <v>19.989280647708274</v>
      </c>
      <c r="J31" s="215">
        <f t="shared" si="3"/>
        <v>4.5981516823650876</v>
      </c>
      <c r="K31" s="181">
        <f t="shared" si="20"/>
        <v>-1.9350554996619738</v>
      </c>
      <c r="L31" s="215">
        <f t="shared" si="21"/>
        <v>6.27</v>
      </c>
      <c r="M31" s="216">
        <f t="shared" si="4"/>
        <v>4.9023961894316592</v>
      </c>
      <c r="N31" s="273">
        <f>IF($I$2="RRO (Capped)",VLOOKUP(A31,'Misc. Data &amp; Mechanisms'!$A$1278:$E$1368,3,FALSE),IF($I$2="RRO (Uncapped)",VLOOKUP(A31,'Misc. Data &amp; Mechanisms'!$G$1278:$K$1368,3,FALSE),AR31))</f>
        <v>8.6890000000000001</v>
      </c>
      <c r="O31" s="217">
        <f t="shared" si="5"/>
        <v>55.490749955653115</v>
      </c>
      <c r="P31" s="284">
        <v>2.1349999999999998</v>
      </c>
      <c r="Q31" s="219">
        <f t="shared" si="6"/>
        <v>13.634797002568694</v>
      </c>
      <c r="R31" s="294">
        <v>0.72299999999999998</v>
      </c>
      <c r="S31" s="285">
        <v>0.49586999999999998</v>
      </c>
      <c r="T31" s="217">
        <f t="shared" si="7"/>
        <v>4.6173106477082753</v>
      </c>
      <c r="U31" s="219">
        <f t="shared" si="8"/>
        <v>15.371969999999999</v>
      </c>
      <c r="V31" s="286">
        <v>0.72</v>
      </c>
      <c r="W31" s="217">
        <f t="shared" si="9"/>
        <v>4.5981516823650876</v>
      </c>
      <c r="X31" s="287">
        <v>-0.56899999999999995</v>
      </c>
      <c r="Y31" s="295">
        <v>0.878</v>
      </c>
      <c r="Z31" s="295">
        <v>-0.61199999999999999</v>
      </c>
      <c r="AA31" s="295"/>
      <c r="AB31" s="295"/>
      <c r="AC31" s="217">
        <f t="shared" si="10"/>
        <v>-3.6338170934246312</v>
      </c>
      <c r="AD31" s="217">
        <f t="shared" si="11"/>
        <v>5.6071905237729815</v>
      </c>
      <c r="AE31" s="217">
        <f t="shared" si="12"/>
        <v>-3.9084289300103241</v>
      </c>
      <c r="AF31" s="183">
        <f t="shared" si="13"/>
        <v>0</v>
      </c>
      <c r="AG31" s="194">
        <f t="shared" si="14"/>
        <v>0</v>
      </c>
      <c r="AH31" s="200">
        <f>IF(OR($I$2="RRO (Capped)",$I$2="RRO (Uncapped)"),VLOOKUP(A31,'Misc. Data &amp; Mechanisms'!$A$1483:$H$1574,3,FALSE),AS31)</f>
        <v>6.27</v>
      </c>
      <c r="AI31" s="194">
        <f t="shared" si="22"/>
        <v>6.27</v>
      </c>
      <c r="AJ31" s="225">
        <f>5%</f>
        <v>0.05</v>
      </c>
      <c r="AK31" s="359">
        <f>'Misc. Data &amp; Mechanisms'!AI304</f>
        <v>566.74184190524454</v>
      </c>
      <c r="AL31" s="1239">
        <f>'Misc. Data &amp; Mechanisms'!AP304</f>
        <v>655.9684214757076</v>
      </c>
      <c r="AM31" s="1088">
        <f>'Misc. Data &amp; Mechanisms'!N304</f>
        <v>638.63217810626213</v>
      </c>
      <c r="AN31" s="1088">
        <f>'Misc. Data &amp; Mechanisms'!O304</f>
        <v>484.66285337782517</v>
      </c>
      <c r="AO31" s="1088">
        <f>'Misc. Data &amp; Mechanisms'!P304</f>
        <v>358.68276198508062</v>
      </c>
      <c r="AP31" s="1463">
        <f>'Misc. Data &amp; Mechanisms'!$B$259</f>
        <v>611.34673880086393</v>
      </c>
      <c r="AQ31" s="197">
        <f>IFERROR(IF('Personalized Bill Menu'!$B$30="Yes", IF('Personalized Bill Menu'!$B$34="Natural Gas",0,VLOOKUP($A31, 'Personalized Bill Menu'!$H$4:$L$93, 2, FALSE)), 0), 0)</f>
        <v>0</v>
      </c>
      <c r="AR31" s="1343">
        <f>IFERROR(IF('Personalized Bill Menu'!$C$36="Custom", IF('Personalized Bill Menu'!$B$34="Natural Gas",0,VLOOKUP($A31, 'Personalized Bill Menu'!$H$4:$L$93, 3, FALSE)), 0), 0)</f>
        <v>0</v>
      </c>
      <c r="AS31" s="1344">
        <f>IFERROR(IF('Personalized Bill Menu'!$C$36="Custom", IF('Personalized Bill Menu'!$B$34="Natural Gas",0,VLOOKUP($A31, 'Personalized Bill Menu'!$H$4:$L$93, 4, FALSE)), 0), 0)</f>
        <v>0</v>
      </c>
    </row>
    <row r="32" spans="1:45" x14ac:dyDescent="0.35">
      <c r="A32" s="206">
        <v>41671</v>
      </c>
      <c r="B32" s="207">
        <f t="shared" si="0"/>
        <v>28</v>
      </c>
      <c r="C32" s="1581">
        <f t="shared" si="15"/>
        <v>587.32732608160268</v>
      </c>
      <c r="D32" s="178">
        <f t="shared" si="16"/>
        <v>14.886414832266421</v>
      </c>
      <c r="E32" s="178">
        <f t="shared" si="17"/>
        <v>11.283300000000001</v>
      </c>
      <c r="F32" s="179">
        <f t="shared" si="1"/>
        <v>87.43198218376547</v>
      </c>
      <c r="G32" s="180">
        <f t="shared" si="18"/>
        <v>43.879224531556538</v>
      </c>
      <c r="H32" s="181">
        <f t="shared" si="19"/>
        <v>12.539438411842216</v>
      </c>
      <c r="I32" s="181">
        <f t="shared" si="2"/>
        <v>18.130736567569986</v>
      </c>
      <c r="J32" s="181">
        <f t="shared" si="3"/>
        <v>4.2287567477875392</v>
      </c>
      <c r="K32" s="181">
        <f t="shared" si="20"/>
        <v>-1.7796017980272558</v>
      </c>
      <c r="L32" s="181">
        <f t="shared" si="21"/>
        <v>6.27</v>
      </c>
      <c r="M32" s="182">
        <f t="shared" si="4"/>
        <v>4.1634277230364516</v>
      </c>
      <c r="N32" s="273">
        <f>IF($I$2="RRO (Capped)",VLOOKUP(A32,'Misc. Data &amp; Mechanisms'!$A$1278:$E$1368,3,FALSE),IF($I$2="RRO (Uncapped)",VLOOKUP(A32,'Misc. Data &amp; Mechanisms'!$G$1278:$K$1368,3,FALSE),AR32))</f>
        <v>7.4710000000000001</v>
      </c>
      <c r="O32" s="183">
        <f t="shared" si="5"/>
        <v>43.879224531556538</v>
      </c>
      <c r="P32" s="274">
        <v>2.1349999999999998</v>
      </c>
      <c r="Q32" s="194">
        <f t="shared" si="6"/>
        <v>12.539438411842216</v>
      </c>
      <c r="R32" s="274">
        <v>0.72299999999999998</v>
      </c>
      <c r="S32" s="275">
        <v>0.49586999999999998</v>
      </c>
      <c r="T32" s="183">
        <f t="shared" si="7"/>
        <v>4.2463765675699872</v>
      </c>
      <c r="U32" s="194">
        <f t="shared" si="8"/>
        <v>13.884359999999999</v>
      </c>
      <c r="V32" s="276">
        <v>0.72</v>
      </c>
      <c r="W32" s="183">
        <f t="shared" si="9"/>
        <v>4.2287567477875392</v>
      </c>
      <c r="X32" s="277">
        <v>-0.56899999999999995</v>
      </c>
      <c r="Y32" s="278">
        <v>0.878</v>
      </c>
      <c r="Z32" s="278">
        <v>-0.61199999999999999</v>
      </c>
      <c r="AA32" s="278"/>
      <c r="AB32" s="278"/>
      <c r="AC32" s="183">
        <f t="shared" si="10"/>
        <v>-3.341892485404319</v>
      </c>
      <c r="AD32" s="183">
        <f t="shared" si="11"/>
        <v>5.1567339229964713</v>
      </c>
      <c r="AE32" s="183">
        <f t="shared" si="12"/>
        <v>-3.594443235619408</v>
      </c>
      <c r="AF32" s="183">
        <f t="shared" si="13"/>
        <v>0</v>
      </c>
      <c r="AG32" s="194">
        <f t="shared" si="14"/>
        <v>0</v>
      </c>
      <c r="AH32" s="200">
        <f>IF(OR($I$2="RRO (Capped)",$I$2="RRO (Uncapped)"),VLOOKUP(A32,'Misc. Data &amp; Mechanisms'!$A$1483:$H$1574,3,FALSE),AS32)</f>
        <v>6.27</v>
      </c>
      <c r="AI32" s="194">
        <f t="shared" si="22"/>
        <v>6.27</v>
      </c>
      <c r="AJ32" s="129">
        <f>5%</f>
        <v>0.05</v>
      </c>
      <c r="AK32" s="341">
        <f>'Misc. Data &amp; Mechanisms'!AI305</f>
        <v>521.21233786216226</v>
      </c>
      <c r="AL32" s="196">
        <f>'Misc. Data &amp; Mechanisms'!AP305</f>
        <v>611.81416366048006</v>
      </c>
      <c r="AM32" s="1087">
        <f>'Misc. Data &amp; Mechanisms'!N305</f>
        <v>587.32732608160268</v>
      </c>
      <c r="AN32" s="1087">
        <f>'Misc. Data &amp; Mechanisms'!O305</f>
        <v>445.72720806140461</v>
      </c>
      <c r="AO32" s="1087">
        <f>'Misc. Data &amp; Mechanisms'!P305</f>
        <v>329.86779359120999</v>
      </c>
      <c r="AP32" s="1463">
        <f>'Misc. Data &amp; Mechanisms'!$B$259</f>
        <v>611.34673880086393</v>
      </c>
      <c r="AQ32" s="197">
        <f>IFERROR(IF('Personalized Bill Menu'!$B$30="Yes", IF('Personalized Bill Menu'!$B$34="Natural Gas",0,VLOOKUP($A32, 'Personalized Bill Menu'!$H$4:$L$93, 2, FALSE)), 0), 0)</f>
        <v>0</v>
      </c>
      <c r="AR32" s="1343">
        <f>IFERROR(IF('Personalized Bill Menu'!$C$36="Custom", IF('Personalized Bill Menu'!$B$34="Natural Gas",0,VLOOKUP($A32, 'Personalized Bill Menu'!$H$4:$L$93, 3, FALSE)), 0), 0)</f>
        <v>0</v>
      </c>
      <c r="AS32" s="1344">
        <f>IFERROR(IF('Personalized Bill Menu'!$C$36="Custom", IF('Personalized Bill Menu'!$B$34="Natural Gas",0,VLOOKUP($A32, 'Personalized Bill Menu'!$H$4:$L$93, 4, FALSE)), 0), 0)</f>
        <v>0</v>
      </c>
    </row>
    <row r="33" spans="1:45" x14ac:dyDescent="0.35">
      <c r="A33" s="206">
        <v>41699</v>
      </c>
      <c r="B33" s="207">
        <f t="shared" si="0"/>
        <v>31</v>
      </c>
      <c r="C33" s="1581">
        <f t="shared" si="15"/>
        <v>588.77646846108735</v>
      </c>
      <c r="D33" s="178">
        <f t="shared" si="16"/>
        <v>14.638840881345846</v>
      </c>
      <c r="E33" s="178">
        <f t="shared" si="17"/>
        <v>10.779300000000001</v>
      </c>
      <c r="F33" s="179">
        <f t="shared" si="1"/>
        <v>86.190050364825979</v>
      </c>
      <c r="G33" s="180">
        <f t="shared" si="18"/>
        <v>41.161362910114619</v>
      </c>
      <c r="H33" s="181">
        <f t="shared" si="19"/>
        <v>12.570377601644214</v>
      </c>
      <c r="I33" s="181">
        <f t="shared" si="2"/>
        <v>19.628823866973661</v>
      </c>
      <c r="J33" s="181">
        <f t="shared" si="3"/>
        <v>4.2391905729198287</v>
      </c>
      <c r="K33" s="181">
        <f t="shared" si="20"/>
        <v>-1.7839926994370949</v>
      </c>
      <c r="L33" s="181">
        <f t="shared" si="21"/>
        <v>6.27</v>
      </c>
      <c r="M33" s="182">
        <f t="shared" si="4"/>
        <v>4.1042881126107611</v>
      </c>
      <c r="N33" s="273">
        <f>IF($I$2="RRO (Capped)",VLOOKUP(A33,'Misc. Data &amp; Mechanisms'!$A$1278:$E$1368,3,FALSE),IF($I$2="RRO (Uncapped)",VLOOKUP(A33,'Misc. Data &amp; Mechanisms'!$G$1278:$K$1368,3,FALSE),AR33))</f>
        <v>6.9909999999999997</v>
      </c>
      <c r="O33" s="183">
        <f t="shared" si="5"/>
        <v>41.161362910114619</v>
      </c>
      <c r="P33" s="274">
        <v>2.1349999999999998</v>
      </c>
      <c r="Q33" s="194">
        <f t="shared" si="6"/>
        <v>12.570377601644214</v>
      </c>
      <c r="R33" s="274">
        <v>0.72299999999999998</v>
      </c>
      <c r="S33" s="275">
        <v>0.49586999999999998</v>
      </c>
      <c r="T33" s="183">
        <f t="shared" si="7"/>
        <v>4.2568538669736613</v>
      </c>
      <c r="U33" s="194">
        <f t="shared" si="8"/>
        <v>15.371969999999999</v>
      </c>
      <c r="V33" s="276">
        <v>0.72</v>
      </c>
      <c r="W33" s="183">
        <f t="shared" si="9"/>
        <v>4.2391905729198287</v>
      </c>
      <c r="X33" s="277">
        <v>-0.56899999999999995</v>
      </c>
      <c r="Y33" s="278">
        <v>0.878</v>
      </c>
      <c r="Z33" s="278">
        <v>-0.61199999999999999</v>
      </c>
      <c r="AA33" s="278"/>
      <c r="AB33" s="278"/>
      <c r="AC33" s="183">
        <f t="shared" si="10"/>
        <v>-3.350138105543587</v>
      </c>
      <c r="AD33" s="183">
        <f t="shared" si="11"/>
        <v>5.1694573930883463</v>
      </c>
      <c r="AE33" s="183">
        <f t="shared" si="12"/>
        <v>-3.6033119869818542</v>
      </c>
      <c r="AF33" s="183">
        <f t="shared" si="13"/>
        <v>0</v>
      </c>
      <c r="AG33" s="194">
        <f t="shared" si="14"/>
        <v>0</v>
      </c>
      <c r="AH33" s="200">
        <f>IF(OR($I$2="RRO (Capped)",$I$2="RRO (Uncapped)"),VLOOKUP(A33,'Misc. Data &amp; Mechanisms'!$A$1483:$H$1574,3,FALSE),AS33)</f>
        <v>6.27</v>
      </c>
      <c r="AI33" s="194">
        <f t="shared" si="22"/>
        <v>6.27</v>
      </c>
      <c r="AJ33" s="129">
        <f>5%</f>
        <v>0.05</v>
      </c>
      <c r="AK33" s="341">
        <f>'Misc. Data &amp; Mechanisms'!AI306</f>
        <v>522.49835139152663</v>
      </c>
      <c r="AL33" s="196">
        <f>'Misc. Data &amp; Mechanisms'!AP306</f>
        <v>613.30378147298279</v>
      </c>
      <c r="AM33" s="1087">
        <f>'Misc. Data &amp; Mechanisms'!N306</f>
        <v>588.77646846108735</v>
      </c>
      <c r="AN33" s="1087">
        <f>'Misc. Data &amp; Mechanisms'!O306</f>
        <v>446.82697331700831</v>
      </c>
      <c r="AO33" s="1087">
        <f>'Misc. Data &amp; Mechanisms'!P306</f>
        <v>330.6816930610496</v>
      </c>
      <c r="AP33" s="1463">
        <f>'Misc. Data &amp; Mechanisms'!$B$259</f>
        <v>611.34673880086393</v>
      </c>
      <c r="AQ33" s="197">
        <f>IFERROR(IF('Personalized Bill Menu'!$B$30="Yes", IF('Personalized Bill Menu'!$B$34="Natural Gas",0,VLOOKUP($A33, 'Personalized Bill Menu'!$H$4:$L$93, 2, FALSE)), 0), 0)</f>
        <v>0</v>
      </c>
      <c r="AR33" s="1343">
        <f>IFERROR(IF('Personalized Bill Menu'!$C$36="Custom", IF('Personalized Bill Menu'!$B$34="Natural Gas",0,VLOOKUP($A33, 'Personalized Bill Menu'!$H$4:$L$93, 3, FALSE)), 0), 0)</f>
        <v>0</v>
      </c>
      <c r="AS33" s="1344">
        <f>IFERROR(IF('Personalized Bill Menu'!$C$36="Custom", IF('Personalized Bill Menu'!$B$34="Natural Gas",0,VLOOKUP($A33, 'Personalized Bill Menu'!$H$4:$L$93, 4, FALSE)), 0), 0)</f>
        <v>0</v>
      </c>
    </row>
    <row r="34" spans="1:45" x14ac:dyDescent="0.35">
      <c r="A34" s="206">
        <v>41730</v>
      </c>
      <c r="B34" s="207">
        <f t="shared" si="0"/>
        <v>30</v>
      </c>
      <c r="C34" s="1581">
        <f t="shared" si="15"/>
        <v>503.79048654093782</v>
      </c>
      <c r="D34" s="178">
        <f t="shared" si="16"/>
        <v>14.623272616913015</v>
      </c>
      <c r="E34" s="178">
        <f t="shared" si="17"/>
        <v>10.288950000000003</v>
      </c>
      <c r="F34" s="179">
        <f t="shared" si="1"/>
        <v>73.670656264953806</v>
      </c>
      <c r="G34" s="180">
        <f t="shared" si="18"/>
        <v>35.194803389749914</v>
      </c>
      <c r="H34" s="181">
        <f t="shared" si="19"/>
        <v>14.030565050165118</v>
      </c>
      <c r="I34" s="181">
        <f t="shared" si="2"/>
        <v>18.518505217690979</v>
      </c>
      <c r="J34" s="181">
        <f t="shared" si="3"/>
        <v>3.6272915030947521</v>
      </c>
      <c r="K34" s="181">
        <f t="shared" si="20"/>
        <v>-7.1286353845542703</v>
      </c>
      <c r="L34" s="181">
        <f t="shared" si="21"/>
        <v>5.92</v>
      </c>
      <c r="M34" s="182">
        <f t="shared" si="4"/>
        <v>3.5081264888073243</v>
      </c>
      <c r="N34" s="273">
        <f>IF($I$2="RRO (Capped)",VLOOKUP(A34,'Misc. Data &amp; Mechanisms'!$A$1278:$E$1368,3,FALSE),IF($I$2="RRO (Uncapped)",VLOOKUP(A34,'Misc. Data &amp; Mechanisms'!$G$1278:$K$1368,3,FALSE),AR34))</f>
        <v>6.9859999999999998</v>
      </c>
      <c r="O34" s="183">
        <f t="shared" si="5"/>
        <v>35.194803389749914</v>
      </c>
      <c r="P34" s="274">
        <v>2.7850000000000001</v>
      </c>
      <c r="Q34" s="194">
        <f t="shared" si="6"/>
        <v>14.030565050165118</v>
      </c>
      <c r="R34" s="274">
        <v>0.72299999999999998</v>
      </c>
      <c r="S34" s="275">
        <v>0.49586999999999998</v>
      </c>
      <c r="T34" s="183">
        <f t="shared" si="7"/>
        <v>3.64240521769098</v>
      </c>
      <c r="U34" s="194">
        <f t="shared" si="8"/>
        <v>14.876099999999999</v>
      </c>
      <c r="V34" s="276">
        <v>0.72</v>
      </c>
      <c r="W34" s="183">
        <f t="shared" si="9"/>
        <v>3.6272915030947521</v>
      </c>
      <c r="X34" s="277">
        <v>-0.56899999999999995</v>
      </c>
      <c r="Y34" s="278">
        <v>-0.23400000000000001</v>
      </c>
      <c r="Z34" s="278">
        <v>-0.61199999999999999</v>
      </c>
      <c r="AA34" s="278"/>
      <c r="AB34" s="278"/>
      <c r="AC34" s="183">
        <f t="shared" si="10"/>
        <v>-2.8665678684179361</v>
      </c>
      <c r="AD34" s="183">
        <f t="shared" si="11"/>
        <v>-1.1788697385057945</v>
      </c>
      <c r="AE34" s="183">
        <f t="shared" si="12"/>
        <v>-3.0831977776305393</v>
      </c>
      <c r="AF34" s="183">
        <f t="shared" si="13"/>
        <v>0</v>
      </c>
      <c r="AG34" s="194">
        <f t="shared" si="14"/>
        <v>0</v>
      </c>
      <c r="AH34" s="200">
        <f>IF(OR($I$2="RRO (Capped)",$I$2="RRO (Uncapped)"),VLOOKUP(A34,'Misc. Data &amp; Mechanisms'!$A$1483:$H$1574,3,FALSE),AS34)</f>
        <v>5.92</v>
      </c>
      <c r="AI34" s="194">
        <f t="shared" si="22"/>
        <v>5.92</v>
      </c>
      <c r="AJ34" s="129">
        <f>5%</f>
        <v>0.05</v>
      </c>
      <c r="AK34" s="341">
        <f>'Misc. Data &amp; Mechanisms'!AI307</f>
        <v>447.07917650376021</v>
      </c>
      <c r="AL34" s="196">
        <f>'Misc. Data &amp; Mechanisms'!AP307</f>
        <v>509.04239495359315</v>
      </c>
      <c r="AM34" s="1087">
        <f>'Misc. Data &amp; Mechanisms'!N307</f>
        <v>503.79048654093782</v>
      </c>
      <c r="AN34" s="1087">
        <f>'Misc. Data &amp; Mechanisms'!O307</f>
        <v>382.33046044683721</v>
      </c>
      <c r="AO34" s="1087">
        <f>'Misc. Data &amp; Mechanisms'!P307</f>
        <v>282.94998180352303</v>
      </c>
      <c r="AP34" s="1463">
        <f>'Misc. Data &amp; Mechanisms'!$B$259</f>
        <v>611.34673880086393</v>
      </c>
      <c r="AQ34" s="197">
        <f>IFERROR(IF('Personalized Bill Menu'!$B$30="Yes", IF('Personalized Bill Menu'!$B$34="Natural Gas",0,VLOOKUP($A34, 'Personalized Bill Menu'!$H$4:$L$93, 2, FALSE)), 0), 0)</f>
        <v>0</v>
      </c>
      <c r="AR34" s="1343">
        <f>IFERROR(IF('Personalized Bill Menu'!$C$36="Custom", IF('Personalized Bill Menu'!$B$34="Natural Gas",0,VLOOKUP($A34, 'Personalized Bill Menu'!$H$4:$L$93, 3, FALSE)), 0), 0)</f>
        <v>0</v>
      </c>
      <c r="AS34" s="1344">
        <f>IFERROR(IF('Personalized Bill Menu'!$C$36="Custom", IF('Personalized Bill Menu'!$B$34="Natural Gas",0,VLOOKUP($A34, 'Personalized Bill Menu'!$H$4:$L$93, 4, FALSE)), 0), 0)</f>
        <v>0</v>
      </c>
    </row>
    <row r="35" spans="1:45" x14ac:dyDescent="0.35">
      <c r="A35" s="206">
        <v>41760</v>
      </c>
      <c r="B35" s="207">
        <f t="shared" si="0"/>
        <v>31</v>
      </c>
      <c r="C35" s="1581">
        <f t="shared" si="15"/>
        <v>481.65981030010096</v>
      </c>
      <c r="D35" s="178">
        <f t="shared" si="16"/>
        <v>16.963318181922965</v>
      </c>
      <c r="E35" s="178">
        <f t="shared" si="17"/>
        <v>12.321750000000003</v>
      </c>
      <c r="F35" s="179">
        <f t="shared" si="1"/>
        <v>81.705486175652695</v>
      </c>
      <c r="G35" s="180">
        <f t="shared" si="18"/>
        <v>42.973688274975011</v>
      </c>
      <c r="H35" s="181">
        <f t="shared" si="19"/>
        <v>13.414225716857812</v>
      </c>
      <c r="I35" s="181">
        <f t="shared" si="2"/>
        <v>18.854370428469728</v>
      </c>
      <c r="J35" s="181">
        <f t="shared" si="3"/>
        <v>3.4679506341607267</v>
      </c>
      <c r="K35" s="181">
        <f t="shared" si="20"/>
        <v>-6.815486315746428</v>
      </c>
      <c r="L35" s="181">
        <f t="shared" si="21"/>
        <v>5.92</v>
      </c>
      <c r="M35" s="182">
        <f t="shared" si="4"/>
        <v>3.8907374369358432</v>
      </c>
      <c r="N35" s="273">
        <f>IF($I$2="RRO (Capped)",VLOOKUP(A35,'Misc. Data &amp; Mechanisms'!$A$1278:$E$1368,3,FALSE),IF($I$2="RRO (Uncapped)",VLOOKUP(A35,'Misc. Data &amp; Mechanisms'!$G$1278:$K$1368,3,FALSE),AR35))</f>
        <v>8.9220000000000006</v>
      </c>
      <c r="O35" s="183">
        <f t="shared" si="5"/>
        <v>42.973688274975011</v>
      </c>
      <c r="P35" s="274">
        <v>2.7850000000000001</v>
      </c>
      <c r="Q35" s="194">
        <f t="shared" si="6"/>
        <v>13.414225716857812</v>
      </c>
      <c r="R35" s="274">
        <v>0.72299999999999998</v>
      </c>
      <c r="S35" s="275">
        <v>0.49586999999999998</v>
      </c>
      <c r="T35" s="183">
        <f t="shared" si="7"/>
        <v>3.4824004284697296</v>
      </c>
      <c r="U35" s="194">
        <f t="shared" si="8"/>
        <v>15.371969999999999</v>
      </c>
      <c r="V35" s="276">
        <v>0.72</v>
      </c>
      <c r="W35" s="183">
        <f t="shared" si="9"/>
        <v>3.4679506341607267</v>
      </c>
      <c r="X35" s="277">
        <v>-0.56899999999999995</v>
      </c>
      <c r="Y35" s="278">
        <v>-0.23400000000000001</v>
      </c>
      <c r="Z35" s="278">
        <v>-0.61199999999999999</v>
      </c>
      <c r="AA35" s="278"/>
      <c r="AB35" s="278"/>
      <c r="AC35" s="183">
        <f t="shared" si="10"/>
        <v>-2.7406443206075743</v>
      </c>
      <c r="AD35" s="183">
        <f t="shared" si="11"/>
        <v>-1.1270839561022363</v>
      </c>
      <c r="AE35" s="183">
        <f t="shared" si="12"/>
        <v>-2.9477580390366178</v>
      </c>
      <c r="AF35" s="183">
        <f t="shared" si="13"/>
        <v>0</v>
      </c>
      <c r="AG35" s="194">
        <f t="shared" si="14"/>
        <v>0</v>
      </c>
      <c r="AH35" s="200">
        <f>IF(OR($I$2="RRO (Capped)",$I$2="RRO (Uncapped)"),VLOOKUP(A35,'Misc. Data &amp; Mechanisms'!$A$1483:$H$1574,3,FALSE),AS35)</f>
        <v>5.92</v>
      </c>
      <c r="AI35" s="194">
        <f t="shared" si="22"/>
        <v>5.92</v>
      </c>
      <c r="AJ35" s="129">
        <f>5%</f>
        <v>0.05</v>
      </c>
      <c r="AK35" s="341">
        <f>'Misc. Data &amp; Mechanisms'!AI308</f>
        <v>427.43973357350814</v>
      </c>
      <c r="AL35" s="196">
        <f>'Misc. Data &amp; Mechanisms'!AP308</f>
        <v>492.03298077902224</v>
      </c>
      <c r="AM35" s="1087">
        <f>'Misc. Data &amp; Mechanisms'!N308</f>
        <v>481.65981030010096</v>
      </c>
      <c r="AN35" s="1087">
        <f>'Misc. Data &amp; Mechanisms'!O308</f>
        <v>365.53532067503551</v>
      </c>
      <c r="AO35" s="1087">
        <f>'Misc. Data &amp; Mechanisms'!P308</f>
        <v>270.52046078846985</v>
      </c>
      <c r="AP35" s="1463">
        <f>'Misc. Data &amp; Mechanisms'!$B$259</f>
        <v>611.34673880086393</v>
      </c>
      <c r="AQ35" s="197">
        <f>IFERROR(IF('Personalized Bill Menu'!$B$30="Yes", IF('Personalized Bill Menu'!$B$34="Natural Gas",0,VLOOKUP($A35, 'Personalized Bill Menu'!$H$4:$L$93, 2, FALSE)), 0), 0)</f>
        <v>0</v>
      </c>
      <c r="AR35" s="1343">
        <f>IFERROR(IF('Personalized Bill Menu'!$C$36="Custom", IF('Personalized Bill Menu'!$B$34="Natural Gas",0,VLOOKUP($A35, 'Personalized Bill Menu'!$H$4:$L$93, 3, FALSE)), 0), 0)</f>
        <v>0</v>
      </c>
      <c r="AS35" s="1344">
        <f>IFERROR(IF('Personalized Bill Menu'!$C$36="Custom", IF('Personalized Bill Menu'!$B$34="Natural Gas",0,VLOOKUP($A35, 'Personalized Bill Menu'!$H$4:$L$93, 4, FALSE)), 0), 0)</f>
        <v>0</v>
      </c>
    </row>
    <row r="36" spans="1:45" x14ac:dyDescent="0.35">
      <c r="A36" s="206">
        <v>41791</v>
      </c>
      <c r="B36" s="207">
        <f t="shared" si="0"/>
        <v>30</v>
      </c>
      <c r="C36" s="1581">
        <f t="shared" si="15"/>
        <v>463.20919844014577</v>
      </c>
      <c r="D36" s="178">
        <f t="shared" si="16"/>
        <v>13.962448225625113</v>
      </c>
      <c r="E36" s="178">
        <f t="shared" si="17"/>
        <v>9.2484000000000037</v>
      </c>
      <c r="F36" s="179">
        <f t="shared" si="1"/>
        <v>64.675344508538444</v>
      </c>
      <c r="G36" s="180">
        <f t="shared" si="18"/>
        <v>27.76939144648674</v>
      </c>
      <c r="H36" s="181">
        <f t="shared" si="19"/>
        <v>12.90037617655806</v>
      </c>
      <c r="I36" s="181">
        <f t="shared" si="2"/>
        <v>18.225102504722251</v>
      </c>
      <c r="J36" s="181">
        <f t="shared" si="3"/>
        <v>3.3351062287690496</v>
      </c>
      <c r="K36" s="181">
        <f t="shared" si="20"/>
        <v>-6.5544101579280625</v>
      </c>
      <c r="L36" s="181">
        <f t="shared" si="21"/>
        <v>5.92</v>
      </c>
      <c r="M36" s="182">
        <f t="shared" si="4"/>
        <v>3.0797783099304024</v>
      </c>
      <c r="N36" s="273">
        <f>IF($I$2="RRO (Capped)",VLOOKUP(A36,'Misc. Data &amp; Mechanisms'!$A$1278:$E$1368,3,FALSE),IF($I$2="RRO (Uncapped)",VLOOKUP(A36,'Misc. Data &amp; Mechanisms'!$G$1278:$K$1368,3,FALSE),AR36))</f>
        <v>5.9950000000000001</v>
      </c>
      <c r="O36" s="183">
        <f t="shared" si="5"/>
        <v>27.76939144648674</v>
      </c>
      <c r="P36" s="274">
        <v>2.7850000000000001</v>
      </c>
      <c r="Q36" s="194">
        <f t="shared" si="6"/>
        <v>12.90037617655806</v>
      </c>
      <c r="R36" s="274">
        <v>0.72299999999999998</v>
      </c>
      <c r="S36" s="275">
        <v>0.49586999999999998</v>
      </c>
      <c r="T36" s="183">
        <f t="shared" si="7"/>
        <v>3.3490025047222538</v>
      </c>
      <c r="U36" s="194">
        <f t="shared" si="8"/>
        <v>14.876099999999999</v>
      </c>
      <c r="V36" s="276">
        <v>0.72</v>
      </c>
      <c r="W36" s="183">
        <f t="shared" si="9"/>
        <v>3.3351062287690496</v>
      </c>
      <c r="X36" s="277">
        <v>-0.56899999999999995</v>
      </c>
      <c r="Y36" s="278">
        <v>-0.23400000000000001</v>
      </c>
      <c r="Z36" s="278">
        <v>-0.61199999999999999</v>
      </c>
      <c r="AA36" s="278"/>
      <c r="AB36" s="278"/>
      <c r="AC36" s="183">
        <f t="shared" si="10"/>
        <v>-2.6356603391244291</v>
      </c>
      <c r="AD36" s="183">
        <f t="shared" si="11"/>
        <v>-1.083909524349941</v>
      </c>
      <c r="AE36" s="183">
        <f t="shared" si="12"/>
        <v>-2.8348402944536919</v>
      </c>
      <c r="AF36" s="183">
        <f t="shared" si="13"/>
        <v>0</v>
      </c>
      <c r="AG36" s="194">
        <f t="shared" si="14"/>
        <v>0</v>
      </c>
      <c r="AH36" s="200">
        <f>IF(OR($I$2="RRO (Capped)",$I$2="RRO (Uncapped)"),VLOOKUP(A36,'Misc. Data &amp; Mechanisms'!$A$1483:$H$1574,3,FALSE),AS36)</f>
        <v>5.92</v>
      </c>
      <c r="AI36" s="194">
        <f t="shared" si="22"/>
        <v>5.92</v>
      </c>
      <c r="AJ36" s="129">
        <f>5%</f>
        <v>0.05</v>
      </c>
      <c r="AK36" s="341">
        <f>'Misc. Data &amp; Mechanisms'!AI309</f>
        <v>411.06609298935041</v>
      </c>
      <c r="AL36" s="196">
        <f>'Misc. Data &amp; Mechanisms'!AP309</f>
        <v>464.49515867832861</v>
      </c>
      <c r="AM36" s="1087">
        <f>'Misc. Data &amp; Mechanisms'!N309</f>
        <v>463.20919844014577</v>
      </c>
      <c r="AN36" s="1087">
        <f>'Misc. Data &amp; Mechanisms'!O309</f>
        <v>351.53300995976696</v>
      </c>
      <c r="AO36" s="1087">
        <f>'Misc. Data &amp; Mechanisms'!P309</f>
        <v>260.15781911596986</v>
      </c>
      <c r="AP36" s="1463">
        <f>'Misc. Data &amp; Mechanisms'!$B$259</f>
        <v>611.34673880086393</v>
      </c>
      <c r="AQ36" s="197">
        <f>IFERROR(IF('Personalized Bill Menu'!$B$30="Yes", IF('Personalized Bill Menu'!$B$34="Natural Gas",0,VLOOKUP($A36, 'Personalized Bill Menu'!$H$4:$L$93, 2, FALSE)), 0), 0)</f>
        <v>0</v>
      </c>
      <c r="AR36" s="1343">
        <f>IFERROR(IF('Personalized Bill Menu'!$C$36="Custom", IF('Personalized Bill Menu'!$B$34="Natural Gas",0,VLOOKUP($A36, 'Personalized Bill Menu'!$H$4:$L$93, 3, FALSE)), 0), 0)</f>
        <v>0</v>
      </c>
      <c r="AS36" s="1344">
        <f>IFERROR(IF('Personalized Bill Menu'!$C$36="Custom", IF('Personalized Bill Menu'!$B$34="Natural Gas",0,VLOOKUP($A36, 'Personalized Bill Menu'!$H$4:$L$93, 4, FALSE)), 0), 0)</f>
        <v>0</v>
      </c>
    </row>
    <row r="37" spans="1:45" x14ac:dyDescent="0.35">
      <c r="A37" s="206">
        <v>41821</v>
      </c>
      <c r="B37" s="207">
        <f t="shared" si="0"/>
        <v>31</v>
      </c>
      <c r="C37" s="1581">
        <f t="shared" si="15"/>
        <v>531.27837842151041</v>
      </c>
      <c r="D37" s="178">
        <f t="shared" si="16"/>
        <v>15.495941364444446</v>
      </c>
      <c r="E37" s="178">
        <f t="shared" si="17"/>
        <v>11.293800000000003</v>
      </c>
      <c r="F37" s="179">
        <f t="shared" si="1"/>
        <v>82.32658600216854</v>
      </c>
      <c r="G37" s="180">
        <f t="shared" si="18"/>
        <v>38.241417678780323</v>
      </c>
      <c r="H37" s="181">
        <f t="shared" si="19"/>
        <v>14.796102839039065</v>
      </c>
      <c r="I37" s="181">
        <f t="shared" si="2"/>
        <v>19.213112675987517</v>
      </c>
      <c r="J37" s="181">
        <f t="shared" si="3"/>
        <v>3.8252043246348748</v>
      </c>
      <c r="K37" s="181">
        <f t="shared" si="20"/>
        <v>-3.55956513542412</v>
      </c>
      <c r="L37" s="181">
        <f t="shared" si="21"/>
        <v>5.89</v>
      </c>
      <c r="M37" s="182">
        <f t="shared" si="4"/>
        <v>3.9203136191508827</v>
      </c>
      <c r="N37" s="273">
        <f>IF($I$2="RRO (Capped)",VLOOKUP(A37,'Misc. Data &amp; Mechanisms'!$A$1278:$E$1368,3,FALSE),IF($I$2="RRO (Uncapped)",VLOOKUP(A37,'Misc. Data &amp; Mechanisms'!$G$1278:$K$1368,3,FALSE),AR37))</f>
        <v>7.1980000000000004</v>
      </c>
      <c r="O37" s="183">
        <f t="shared" si="5"/>
        <v>38.241417678780323</v>
      </c>
      <c r="P37" s="274">
        <v>2.7850000000000001</v>
      </c>
      <c r="Q37" s="194">
        <f t="shared" si="6"/>
        <v>14.796102839039065</v>
      </c>
      <c r="R37" s="274">
        <v>0.72299999999999998</v>
      </c>
      <c r="S37" s="275">
        <v>0.49586999999999998</v>
      </c>
      <c r="T37" s="183">
        <f t="shared" si="7"/>
        <v>3.8411426759875198</v>
      </c>
      <c r="U37" s="194">
        <f t="shared" si="8"/>
        <v>15.371969999999999</v>
      </c>
      <c r="V37" s="276">
        <v>0.72</v>
      </c>
      <c r="W37" s="183">
        <f t="shared" si="9"/>
        <v>3.8252043246348748</v>
      </c>
      <c r="X37" s="277">
        <v>-0.56899999999999995</v>
      </c>
      <c r="Y37" s="278">
        <v>-0.10100000000000001</v>
      </c>
      <c r="Z37" s="278"/>
      <c r="AA37" s="278"/>
      <c r="AB37" s="278"/>
      <c r="AC37" s="183">
        <f t="shared" si="10"/>
        <v>-3.0229739732183942</v>
      </c>
      <c r="AD37" s="183">
        <f t="shared" si="11"/>
        <v>-0.53659116220572556</v>
      </c>
      <c r="AE37" s="183">
        <f t="shared" si="12"/>
        <v>0</v>
      </c>
      <c r="AF37" s="183">
        <f t="shared" si="13"/>
        <v>0</v>
      </c>
      <c r="AG37" s="194">
        <f t="shared" si="14"/>
        <v>0</v>
      </c>
      <c r="AH37" s="200">
        <f>IF(OR($I$2="RRO (Capped)",$I$2="RRO (Uncapped)"),VLOOKUP(A37,'Misc. Data &amp; Mechanisms'!$A$1483:$H$1574,3,FALSE),AS37)</f>
        <v>5.89</v>
      </c>
      <c r="AI37" s="194">
        <f t="shared" si="22"/>
        <v>5.89</v>
      </c>
      <c r="AJ37" s="129">
        <f>5%</f>
        <v>0.05</v>
      </c>
      <c r="AK37" s="341">
        <f>'Misc. Data &amp; Mechanisms'!AI310</f>
        <v>471.47277740355048</v>
      </c>
      <c r="AL37" s="196">
        <f>'Misc. Data &amp; Mechanisms'!AP310</f>
        <v>522.65731259745132</v>
      </c>
      <c r="AM37" s="1087">
        <f>'Misc. Data &amp; Mechanisms'!N310</f>
        <v>531.27837842151041</v>
      </c>
      <c r="AN37" s="1087">
        <f>'Misc. Data &amp; Mechanisms'!O310</f>
        <v>403.19123221640933</v>
      </c>
      <c r="AO37" s="1087">
        <f>'Misc. Data &amp; Mechanisms'!P310</f>
        <v>298.38834103262934</v>
      </c>
      <c r="AP37" s="1463">
        <f>'Misc. Data &amp; Mechanisms'!$B$259</f>
        <v>611.34673880086393</v>
      </c>
      <c r="AQ37" s="197">
        <f>IFERROR(IF('Personalized Bill Menu'!$B$30="Yes", IF('Personalized Bill Menu'!$B$34="Natural Gas",0,VLOOKUP($A37, 'Personalized Bill Menu'!$H$4:$L$93, 2, FALSE)), 0), 0)</f>
        <v>0</v>
      </c>
      <c r="AR37" s="1343">
        <f>IFERROR(IF('Personalized Bill Menu'!$C$36="Custom", IF('Personalized Bill Menu'!$B$34="Natural Gas",0,VLOOKUP($A37, 'Personalized Bill Menu'!$H$4:$L$93, 3, FALSE)), 0), 0)</f>
        <v>0</v>
      </c>
      <c r="AS37" s="1344">
        <f>IFERROR(IF('Personalized Bill Menu'!$C$36="Custom", IF('Personalized Bill Menu'!$B$34="Natural Gas",0,VLOOKUP($A37, 'Personalized Bill Menu'!$H$4:$L$93, 4, FALSE)), 0), 0)</f>
        <v>0</v>
      </c>
    </row>
    <row r="38" spans="1:45" x14ac:dyDescent="0.35">
      <c r="A38" s="206">
        <v>41852</v>
      </c>
      <c r="B38" s="207">
        <f t="shared" si="0"/>
        <v>31</v>
      </c>
      <c r="C38" s="1581">
        <f t="shared" si="15"/>
        <v>518.00040679701488</v>
      </c>
      <c r="D38" s="178">
        <f t="shared" si="16"/>
        <v>17.021155399157703</v>
      </c>
      <c r="E38" s="178">
        <f t="shared" si="17"/>
        <v>12.711300000000003</v>
      </c>
      <c r="F38" s="179">
        <f t="shared" si="1"/>
        <v>88.169654209188948</v>
      </c>
      <c r="G38" s="180">
        <f t="shared" si="18"/>
        <v>41.548812629188568</v>
      </c>
      <c r="H38" s="181">
        <f t="shared" si="19"/>
        <v>14.426311329296864</v>
      </c>
      <c r="I38" s="181">
        <f t="shared" si="2"/>
        <v>19.117112941142416</v>
      </c>
      <c r="J38" s="181">
        <f t="shared" si="3"/>
        <v>3.7296029289385069</v>
      </c>
      <c r="K38" s="181">
        <f t="shared" si="20"/>
        <v>-0.74074058171973123</v>
      </c>
      <c r="L38" s="181">
        <f t="shared" si="21"/>
        <v>5.89</v>
      </c>
      <c r="M38" s="182">
        <f t="shared" si="4"/>
        <v>4.1985549623423308</v>
      </c>
      <c r="N38" s="273">
        <f>IF($I$2="RRO (Capped)",VLOOKUP(A38,'Misc. Data &amp; Mechanisms'!$A$1278:$E$1368,3,FALSE),IF($I$2="RRO (Uncapped)",VLOOKUP(A38,'Misc. Data &amp; Mechanisms'!$G$1278:$K$1368,3,FALSE),AR38))</f>
        <v>8.0210000000000008</v>
      </c>
      <c r="O38" s="183">
        <f t="shared" si="5"/>
        <v>41.548812629188568</v>
      </c>
      <c r="P38" s="274">
        <v>2.7850000000000001</v>
      </c>
      <c r="Q38" s="194">
        <f t="shared" si="6"/>
        <v>14.426311329296864</v>
      </c>
      <c r="R38" s="274">
        <v>0.72299999999999998</v>
      </c>
      <c r="S38" s="275">
        <v>0.49586999999999998</v>
      </c>
      <c r="T38" s="183">
        <f t="shared" si="7"/>
        <v>3.7451429411424173</v>
      </c>
      <c r="U38" s="194">
        <f t="shared" si="8"/>
        <v>15.371969999999999</v>
      </c>
      <c r="V38" s="276">
        <v>0.72</v>
      </c>
      <c r="W38" s="183">
        <f t="shared" si="9"/>
        <v>3.7296029289385069</v>
      </c>
      <c r="X38" s="277">
        <v>-0.56899999999999995</v>
      </c>
      <c r="Y38" s="278">
        <v>-0.10100000000000001</v>
      </c>
      <c r="Z38" s="278"/>
      <c r="AA38" s="278">
        <v>0.52700000000000002</v>
      </c>
      <c r="AB38" s="278"/>
      <c r="AC38" s="183">
        <f t="shared" si="10"/>
        <v>-2.9474223146750145</v>
      </c>
      <c r="AD38" s="183">
        <f t="shared" si="11"/>
        <v>-0.52318041086498501</v>
      </c>
      <c r="AE38" s="183">
        <f t="shared" si="12"/>
        <v>0</v>
      </c>
      <c r="AF38" s="183">
        <f t="shared" si="13"/>
        <v>2.7298621438202684</v>
      </c>
      <c r="AG38" s="194">
        <f t="shared" si="14"/>
        <v>0</v>
      </c>
      <c r="AH38" s="200">
        <f>IF(OR($I$2="RRO (Capped)",$I$2="RRO (Uncapped)"),VLOOKUP(A38,'Misc. Data &amp; Mechanisms'!$A$1483:$H$1574,3,FALSE),AS38)</f>
        <v>5.89</v>
      </c>
      <c r="AI38" s="194">
        <f t="shared" si="22"/>
        <v>5.89</v>
      </c>
      <c r="AJ38" s="129">
        <f>5%</f>
        <v>0.05</v>
      </c>
      <c r="AK38" s="341">
        <f>'Misc. Data &amp; Mechanisms'!AI311</f>
        <v>459.68949689684842</v>
      </c>
      <c r="AL38" s="196">
        <f>'Misc. Data &amp; Mechanisms'!AP311</f>
        <v>505.4999402366127</v>
      </c>
      <c r="AM38" s="1087">
        <f>'Misc. Data &amp; Mechanisms'!N311</f>
        <v>518.00040679701488</v>
      </c>
      <c r="AN38" s="1087">
        <f>'Misc. Data &amp; Mechanisms'!O311</f>
        <v>393.11447781032763</v>
      </c>
      <c r="AO38" s="1087">
        <f>'Misc. Data &amp; Mechanisms'!P311</f>
        <v>290.9308722436997</v>
      </c>
      <c r="AP38" s="1463">
        <f>'Misc. Data &amp; Mechanisms'!$B$259</f>
        <v>611.34673880086393</v>
      </c>
      <c r="AQ38" s="197">
        <f>IFERROR(IF('Personalized Bill Menu'!$B$30="Yes", IF('Personalized Bill Menu'!$B$34="Natural Gas",0,VLOOKUP($A38, 'Personalized Bill Menu'!$H$4:$L$93, 2, FALSE)), 0), 0)</f>
        <v>0</v>
      </c>
      <c r="AR38" s="1343">
        <f>IFERROR(IF('Personalized Bill Menu'!$C$36="Custom", IF('Personalized Bill Menu'!$B$34="Natural Gas",0,VLOOKUP($A38, 'Personalized Bill Menu'!$H$4:$L$93, 3, FALSE)), 0), 0)</f>
        <v>0</v>
      </c>
      <c r="AS38" s="1344">
        <f>IFERROR(IF('Personalized Bill Menu'!$C$36="Custom", IF('Personalized Bill Menu'!$B$34="Natural Gas",0,VLOOKUP($A38, 'Personalized Bill Menu'!$H$4:$L$93, 4, FALSE)), 0), 0)</f>
        <v>0</v>
      </c>
    </row>
    <row r="39" spans="1:45" x14ac:dyDescent="0.35">
      <c r="A39" s="206">
        <v>41883</v>
      </c>
      <c r="B39" s="207">
        <f t="shared" si="0"/>
        <v>30</v>
      </c>
      <c r="C39" s="1581">
        <f t="shared" si="15"/>
        <v>476.16181763691054</v>
      </c>
      <c r="D39" s="178">
        <f t="shared" si="16"/>
        <v>16.66680063986033</v>
      </c>
      <c r="E39" s="178">
        <f t="shared" si="17"/>
        <v>12.087600000000004</v>
      </c>
      <c r="F39" s="179">
        <f t="shared" ref="F39:F96" si="23">SUM($G39:$M39)</f>
        <v>79.360940868679194</v>
      </c>
      <c r="G39" s="180">
        <f t="shared" si="18"/>
        <v>37.873910974839866</v>
      </c>
      <c r="H39" s="181">
        <f t="shared" si="19"/>
        <v>13.261106621187958</v>
      </c>
      <c r="I39" s="181">
        <f t="shared" si="2"/>
        <v>18.318749941514863</v>
      </c>
      <c r="J39" s="181">
        <f t="shared" si="3"/>
        <v>3.4283650869857558</v>
      </c>
      <c r="K39" s="181">
        <f t="shared" si="20"/>
        <v>-3.1902841781673006</v>
      </c>
      <c r="L39" s="181">
        <f t="shared" si="21"/>
        <v>5.89</v>
      </c>
      <c r="M39" s="182">
        <f t="shared" ref="M39:M96" si="24">SUM($AJ39)*SUM($G39:$L39)</f>
        <v>3.7790924223180569</v>
      </c>
      <c r="N39" s="273">
        <f>IF($I$2="RRO (Capped)",VLOOKUP(A39,'Misc. Data &amp; Mechanisms'!$A$1278:$E$1368,3,FALSE),IF($I$2="RRO (Uncapped)",VLOOKUP(A39,'Misc. Data &amp; Mechanisms'!$G$1278:$K$1368,3,FALSE),AR39))</f>
        <v>7.9539999999999997</v>
      </c>
      <c r="O39" s="183">
        <f t="shared" ref="O39:O96" si="25">($N39/100)*$C39</f>
        <v>37.873910974839866</v>
      </c>
      <c r="P39" s="274">
        <v>2.7850000000000001</v>
      </c>
      <c r="Q39" s="194">
        <f t="shared" ref="Q39:Q96" si="26">($P39/100)*$C39</f>
        <v>13.261106621187958</v>
      </c>
      <c r="R39" s="274">
        <v>0.72299999999999998</v>
      </c>
      <c r="S39" s="275">
        <v>0.49586999999999998</v>
      </c>
      <c r="T39" s="183">
        <f t="shared" ref="T39:T96" si="27">($R39/100)*$C39</f>
        <v>3.4426499415148628</v>
      </c>
      <c r="U39" s="194">
        <f t="shared" ref="U39:U96" si="28">$S39*$B39</f>
        <v>14.876099999999999</v>
      </c>
      <c r="V39" s="276">
        <v>0.72</v>
      </c>
      <c r="W39" s="183">
        <f t="shared" ref="W39:W96" si="29">($V39/100)*$C39</f>
        <v>3.4283650869857558</v>
      </c>
      <c r="X39" s="277">
        <v>-0.56899999999999995</v>
      </c>
      <c r="Y39" s="278">
        <v>-0.10100000000000001</v>
      </c>
      <c r="Z39" s="278"/>
      <c r="AA39" s="278"/>
      <c r="AB39" s="278"/>
      <c r="AC39" s="183">
        <f t="shared" ref="AC39:AC92" si="30">($X39/100)*$C39</f>
        <v>-2.7093607423540207</v>
      </c>
      <c r="AD39" s="183">
        <f t="shared" ref="AD39:AD96" si="31">($Y39/100)*$C39</f>
        <v>-0.48092343581327968</v>
      </c>
      <c r="AE39" s="183">
        <f t="shared" ref="AE39:AE96" si="32">($Z39/100)*$C39</f>
        <v>0</v>
      </c>
      <c r="AF39" s="183">
        <f t="shared" ref="AF39:AF96" si="33">($AA39/100)*$C39</f>
        <v>0</v>
      </c>
      <c r="AG39" s="194">
        <f t="shared" ref="AG39:AG96" si="34">$AB39*$C39</f>
        <v>0</v>
      </c>
      <c r="AH39" s="200">
        <f>IF(OR($I$2="RRO (Capped)",$I$2="RRO (Uncapped)"),VLOOKUP(A39,'Misc. Data &amp; Mechanisms'!$A$1483:$H$1574,3,FALSE),AS39)</f>
        <v>5.89</v>
      </c>
      <c r="AI39" s="194">
        <f t="shared" si="22"/>
        <v>5.89</v>
      </c>
      <c r="AJ39" s="129">
        <f>5%</f>
        <v>0.05</v>
      </c>
      <c r="AK39" s="341">
        <f>'Misc. Data &amp; Mechanisms'!AI312</f>
        <v>422.56064574245369</v>
      </c>
      <c r="AL39" s="196">
        <f>'Misc. Data &amp; Mechanisms'!AP312</f>
        <v>485.30515957339674</v>
      </c>
      <c r="AM39" s="1087">
        <f>'Misc. Data &amp; Mechanisms'!N312</f>
        <v>476.16181763691054</v>
      </c>
      <c r="AN39" s="1087">
        <f>'Misc. Data &amp; Mechanisms'!O312</f>
        <v>361.36285191548473</v>
      </c>
      <c r="AO39" s="1087">
        <f>'Misc. Data &amp; Mechanisms'!P312</f>
        <v>267.43255626155656</v>
      </c>
      <c r="AP39" s="1463">
        <f>'Misc. Data &amp; Mechanisms'!$B$259</f>
        <v>611.34673880086393</v>
      </c>
      <c r="AQ39" s="197">
        <f>IFERROR(IF('Personalized Bill Menu'!$B$30="Yes", IF('Personalized Bill Menu'!$B$34="Natural Gas",0,VLOOKUP($A39, 'Personalized Bill Menu'!$H$4:$L$93, 2, FALSE)), 0), 0)</f>
        <v>0</v>
      </c>
      <c r="AR39" s="1343">
        <f>IFERROR(IF('Personalized Bill Menu'!$C$36="Custom", IF('Personalized Bill Menu'!$B$34="Natural Gas",0,VLOOKUP($A39, 'Personalized Bill Menu'!$H$4:$L$93, 3, FALSE)), 0), 0)</f>
        <v>0</v>
      </c>
      <c r="AS39" s="1344">
        <f>IFERROR(IF('Personalized Bill Menu'!$C$36="Custom", IF('Personalized Bill Menu'!$B$34="Natural Gas",0,VLOOKUP($A39, 'Personalized Bill Menu'!$H$4:$L$93, 4, FALSE)), 0), 0)</f>
        <v>0</v>
      </c>
    </row>
    <row r="40" spans="1:45" x14ac:dyDescent="0.35">
      <c r="A40" s="206">
        <v>41913</v>
      </c>
      <c r="B40" s="207">
        <f t="shared" si="0"/>
        <v>31</v>
      </c>
      <c r="C40" s="1581">
        <f t="shared" si="15"/>
        <v>508.87143958873895</v>
      </c>
      <c r="D40" s="178">
        <f t="shared" si="16"/>
        <v>16.713623469096643</v>
      </c>
      <c r="E40" s="178">
        <f t="shared" si="17"/>
        <v>12.295500000000001</v>
      </c>
      <c r="F40" s="179">
        <f t="shared" si="23"/>
        <v>85.05085635463341</v>
      </c>
      <c r="G40" s="180">
        <f t="shared" si="18"/>
        <v>44.460097676868124</v>
      </c>
      <c r="H40" s="181">
        <f t="shared" si="19"/>
        <v>13.581778722623444</v>
      </c>
      <c r="I40" s="181">
        <f t="shared" si="2"/>
        <v>19.051110508226582</v>
      </c>
      <c r="J40" s="181">
        <f t="shared" si="3"/>
        <v>3.6638743650389203</v>
      </c>
      <c r="K40" s="181">
        <f t="shared" si="20"/>
        <v>-5.7960456969157361</v>
      </c>
      <c r="L40" s="181">
        <f t="shared" si="21"/>
        <v>6.04</v>
      </c>
      <c r="M40" s="182">
        <f t="shared" si="24"/>
        <v>4.0500407787920674</v>
      </c>
      <c r="N40" s="273">
        <f>IF($I$2="RRO (Capped)",VLOOKUP(A40,'Misc. Data &amp; Mechanisms'!$A$1278:$E$1368,3,FALSE),IF($I$2="RRO (Uncapped)",VLOOKUP(A40,'Misc. Data &amp; Mechanisms'!$G$1278:$K$1368,3,FALSE),AR40))</f>
        <v>8.7370000000000001</v>
      </c>
      <c r="O40" s="183">
        <f t="shared" si="25"/>
        <v>44.460097676868124</v>
      </c>
      <c r="P40" s="274">
        <v>2.669</v>
      </c>
      <c r="Q40" s="194">
        <f t="shared" si="26"/>
        <v>13.581778722623444</v>
      </c>
      <c r="R40" s="274">
        <v>0.72299999999999998</v>
      </c>
      <c r="S40" s="275">
        <v>0.49586999999999998</v>
      </c>
      <c r="T40" s="183">
        <f t="shared" si="27"/>
        <v>3.6791405082265825</v>
      </c>
      <c r="U40" s="194">
        <f t="shared" si="28"/>
        <v>15.371969999999999</v>
      </c>
      <c r="V40" s="276">
        <v>0.72</v>
      </c>
      <c r="W40" s="183">
        <f t="shared" si="29"/>
        <v>3.6638743650389203</v>
      </c>
      <c r="X40" s="277">
        <v>-0.56899999999999995</v>
      </c>
      <c r="Y40" s="278">
        <v>-0.42399999999999999</v>
      </c>
      <c r="Z40" s="278">
        <v>-0.14599999999999999</v>
      </c>
      <c r="AA40" s="278"/>
      <c r="AB40" s="278"/>
      <c r="AC40" s="183">
        <f t="shared" si="30"/>
        <v>-2.8954784912599245</v>
      </c>
      <c r="AD40" s="183">
        <f t="shared" si="31"/>
        <v>-2.1576149038562531</v>
      </c>
      <c r="AE40" s="183">
        <f t="shared" si="32"/>
        <v>-0.74295230179955885</v>
      </c>
      <c r="AF40" s="183">
        <f t="shared" si="33"/>
        <v>0</v>
      </c>
      <c r="AG40" s="194">
        <f t="shared" si="34"/>
        <v>0</v>
      </c>
      <c r="AH40" s="200">
        <f>IF(OR($I$2="RRO (Capped)",$I$2="RRO (Uncapped)"),VLOOKUP(A40,'Misc. Data &amp; Mechanisms'!$A$1483:$H$1574,3,FALSE),AS40)</f>
        <v>6.04</v>
      </c>
      <c r="AI40" s="194">
        <f t="shared" si="22"/>
        <v>6.04</v>
      </c>
      <c r="AJ40" s="129">
        <f>5%</f>
        <v>0.05</v>
      </c>
      <c r="AK40" s="341">
        <f>'Misc. Data &amp; Mechanisms'!AI313</f>
        <v>451.58817055019824</v>
      </c>
      <c r="AL40" s="196">
        <f>'Misc. Data &amp; Mechanisms'!AP313</f>
        <v>524.29412952604048</v>
      </c>
      <c r="AM40" s="1087">
        <f>'Misc. Data &amp; Mechanisms'!N313</f>
        <v>508.87143958873895</v>
      </c>
      <c r="AN40" s="1087">
        <f>'Misc. Data &amp; Mechanisms'!O313</f>
        <v>386.18643464677223</v>
      </c>
      <c r="AO40" s="1087">
        <f>'Misc. Data &amp; Mechanisms'!P313</f>
        <v>285.80365929610718</v>
      </c>
      <c r="AP40" s="1463">
        <f>'Misc. Data &amp; Mechanisms'!$B$259</f>
        <v>611.34673880086393</v>
      </c>
      <c r="AQ40" s="197">
        <f>IFERROR(IF('Personalized Bill Menu'!$B$30="Yes", IF('Personalized Bill Menu'!$B$34="Natural Gas",0,VLOOKUP($A40, 'Personalized Bill Menu'!$H$4:$L$93, 2, FALSE)), 0), 0)</f>
        <v>0</v>
      </c>
      <c r="AR40" s="1343">
        <f>IFERROR(IF('Personalized Bill Menu'!$C$36="Custom", IF('Personalized Bill Menu'!$B$34="Natural Gas",0,VLOOKUP($A40, 'Personalized Bill Menu'!$H$4:$L$93, 3, FALSE)), 0), 0)</f>
        <v>0</v>
      </c>
      <c r="AS40" s="1344">
        <f>IFERROR(IF('Personalized Bill Menu'!$C$36="Custom", IF('Personalized Bill Menu'!$B$34="Natural Gas",0,VLOOKUP($A40, 'Personalized Bill Menu'!$H$4:$L$93, 4, FALSE)), 0), 0)</f>
        <v>0</v>
      </c>
    </row>
    <row r="41" spans="1:45" x14ac:dyDescent="0.35">
      <c r="A41" s="206">
        <v>41944</v>
      </c>
      <c r="B41" s="207">
        <f t="shared" si="0"/>
        <v>30</v>
      </c>
      <c r="C41" s="1581">
        <f t="shared" si="15"/>
        <v>591.52847996879871</v>
      </c>
      <c r="D41" s="178">
        <f t="shared" si="16"/>
        <v>14.58548839615608</v>
      </c>
      <c r="E41" s="178">
        <f t="shared" si="17"/>
        <v>10.872750000000003</v>
      </c>
      <c r="F41" s="179">
        <f t="shared" si="23"/>
        <v>86.27731780580757</v>
      </c>
      <c r="G41" s="180">
        <f t="shared" si="18"/>
        <v>42.158234767376285</v>
      </c>
      <c r="H41" s="181">
        <f t="shared" si="19"/>
        <v>15.787895130367239</v>
      </c>
      <c r="I41" s="181">
        <f t="shared" si="2"/>
        <v>19.152850910174415</v>
      </c>
      <c r="J41" s="181">
        <f t="shared" si="3"/>
        <v>4.2590050557753507</v>
      </c>
      <c r="K41" s="181">
        <f t="shared" si="20"/>
        <v>-5.2291117629241803</v>
      </c>
      <c r="L41" s="181">
        <f t="shared" si="21"/>
        <v>6.04</v>
      </c>
      <c r="M41" s="182">
        <f t="shared" si="24"/>
        <v>4.1084437050384564</v>
      </c>
      <c r="N41" s="273">
        <f>IF($I$2="RRO (Capped)",VLOOKUP(A41,'Misc. Data &amp; Mechanisms'!$A$1278:$E$1368,3,FALSE),IF($I$2="RRO (Uncapped)",VLOOKUP(A41,'Misc. Data &amp; Mechanisms'!$G$1278:$K$1368,3,FALSE),AR41))</f>
        <v>7.1269999999999998</v>
      </c>
      <c r="O41" s="183">
        <f t="shared" si="25"/>
        <v>42.158234767376285</v>
      </c>
      <c r="P41" s="274">
        <v>2.669</v>
      </c>
      <c r="Q41" s="194">
        <f t="shared" si="26"/>
        <v>15.787895130367239</v>
      </c>
      <c r="R41" s="274">
        <v>0.72299999999999998</v>
      </c>
      <c r="S41" s="275">
        <v>0.49586999999999998</v>
      </c>
      <c r="T41" s="183">
        <f t="shared" si="27"/>
        <v>4.2767509101744139</v>
      </c>
      <c r="U41" s="194">
        <f t="shared" si="28"/>
        <v>14.876099999999999</v>
      </c>
      <c r="V41" s="276">
        <v>0.72</v>
      </c>
      <c r="W41" s="183">
        <f t="shared" si="29"/>
        <v>4.2590050557753507</v>
      </c>
      <c r="X41" s="277">
        <v>-0.56899999999999995</v>
      </c>
      <c r="Y41" s="278">
        <v>-0.42399999999999999</v>
      </c>
      <c r="Z41" s="278">
        <v>0.109</v>
      </c>
      <c r="AA41" s="278"/>
      <c r="AB41" s="278"/>
      <c r="AC41" s="183">
        <f t="shared" si="30"/>
        <v>-3.3657970510224646</v>
      </c>
      <c r="AD41" s="183">
        <f t="shared" si="31"/>
        <v>-2.5080807550677062</v>
      </c>
      <c r="AE41" s="183">
        <f t="shared" si="32"/>
        <v>0.64476604316599062</v>
      </c>
      <c r="AF41" s="183">
        <f t="shared" si="33"/>
        <v>0</v>
      </c>
      <c r="AG41" s="194">
        <f t="shared" si="34"/>
        <v>0</v>
      </c>
      <c r="AH41" s="200">
        <f>IF(OR($I$2="RRO (Capped)",$I$2="RRO (Uncapped)"),VLOOKUP(A41,'Misc. Data &amp; Mechanisms'!$A$1483:$H$1574,3,FALSE),AS41)</f>
        <v>6.04</v>
      </c>
      <c r="AI41" s="194">
        <f t="shared" si="22"/>
        <v>6.04</v>
      </c>
      <c r="AJ41" s="129">
        <f>5%</f>
        <v>0.05</v>
      </c>
      <c r="AK41" s="341">
        <f>'Misc. Data &amp; Mechanisms'!AI314</f>
        <v>524.94057106709897</v>
      </c>
      <c r="AL41" s="196">
        <f>'Misc. Data &amp; Mechanisms'!AP314</f>
        <v>616.45033272241665</v>
      </c>
      <c r="AM41" s="1087">
        <f>'Misc. Data &amp; Mechanisms'!N314</f>
        <v>591.52847996879871</v>
      </c>
      <c r="AN41" s="1087">
        <f>'Misc. Data &amp; Mechanisms'!O314</f>
        <v>448.91549593704144</v>
      </c>
      <c r="AO41" s="1087">
        <f>'Misc. Data &amp; Mechanisms'!P314</f>
        <v>332.22733877456136</v>
      </c>
      <c r="AP41" s="1463">
        <f>'Misc. Data &amp; Mechanisms'!$B$259</f>
        <v>611.34673880086393</v>
      </c>
      <c r="AQ41" s="197">
        <f>IFERROR(IF('Personalized Bill Menu'!$B$30="Yes", IF('Personalized Bill Menu'!$B$34="Natural Gas",0,VLOOKUP($A41, 'Personalized Bill Menu'!$H$4:$L$93, 2, FALSE)), 0), 0)</f>
        <v>0</v>
      </c>
      <c r="AR41" s="1343">
        <f>IFERROR(IF('Personalized Bill Menu'!$C$36="Custom", IF('Personalized Bill Menu'!$B$34="Natural Gas",0,VLOOKUP($A41, 'Personalized Bill Menu'!$H$4:$L$93, 3, FALSE)), 0), 0)</f>
        <v>0</v>
      </c>
      <c r="AS41" s="1344">
        <f>IFERROR(IF('Personalized Bill Menu'!$C$36="Custom", IF('Personalized Bill Menu'!$B$34="Natural Gas",0,VLOOKUP($A41, 'Personalized Bill Menu'!$H$4:$L$93, 4, FALSE)), 0), 0)</f>
        <v>0</v>
      </c>
    </row>
    <row r="42" spans="1:45" x14ac:dyDescent="0.35">
      <c r="A42" s="229">
        <v>41974</v>
      </c>
      <c r="B42" s="230">
        <f t="shared" si="0"/>
        <v>31</v>
      </c>
      <c r="C42" s="231">
        <f t="shared" si="15"/>
        <v>635.00100524112713</v>
      </c>
      <c r="D42" s="208">
        <f t="shared" si="16"/>
        <v>14.852206363601786</v>
      </c>
      <c r="E42" s="208">
        <f t="shared" si="17"/>
        <v>11.311650000000002</v>
      </c>
      <c r="F42" s="232">
        <f t="shared" si="23"/>
        <v>94.311659709357983</v>
      </c>
      <c r="G42" s="233">
        <f t="shared" si="18"/>
        <v>47.910825845443043</v>
      </c>
      <c r="H42" s="208">
        <f t="shared" si="19"/>
        <v>16.948176829885686</v>
      </c>
      <c r="I42" s="208">
        <f t="shared" si="2"/>
        <v>19.963027267893349</v>
      </c>
      <c r="J42" s="208">
        <f t="shared" si="3"/>
        <v>4.5720072377361154</v>
      </c>
      <c r="K42" s="208">
        <f t="shared" si="20"/>
        <v>-5.6134088863315625</v>
      </c>
      <c r="L42" s="208">
        <f t="shared" si="21"/>
        <v>6.04</v>
      </c>
      <c r="M42" s="234">
        <f t="shared" si="24"/>
        <v>4.4910314147313324</v>
      </c>
      <c r="N42" s="1243">
        <f>IF($I$2="RRO (Capped)",VLOOKUP(A42,'Misc. Data &amp; Mechanisms'!$A$1278:$E$1368,3,FALSE),IF($I$2="RRO (Uncapped)",VLOOKUP(A42,'Misc. Data &amp; Mechanisms'!$G$1278:$K$1368,3,FALSE),AR42))</f>
        <v>7.5449999999999999</v>
      </c>
      <c r="O42" s="235">
        <f t="shared" si="25"/>
        <v>47.910825845443043</v>
      </c>
      <c r="P42" s="279">
        <v>2.669</v>
      </c>
      <c r="Q42" s="237">
        <f t="shared" si="26"/>
        <v>16.948176829885686</v>
      </c>
      <c r="R42" s="279">
        <v>0.72299999999999998</v>
      </c>
      <c r="S42" s="280">
        <v>0.49586999999999998</v>
      </c>
      <c r="T42" s="235">
        <f t="shared" si="27"/>
        <v>4.5910572678933486</v>
      </c>
      <c r="U42" s="237">
        <f t="shared" si="28"/>
        <v>15.371969999999999</v>
      </c>
      <c r="V42" s="281">
        <v>0.72</v>
      </c>
      <c r="W42" s="235">
        <f t="shared" si="29"/>
        <v>4.5720072377361154</v>
      </c>
      <c r="X42" s="282">
        <v>-0.56899999999999995</v>
      </c>
      <c r="Y42" s="283">
        <v>-0.42399999999999999</v>
      </c>
      <c r="Z42" s="283">
        <v>0.109</v>
      </c>
      <c r="AA42" s="283"/>
      <c r="AB42" s="283"/>
      <c r="AC42" s="235">
        <f t="shared" si="30"/>
        <v>-3.613155719822013</v>
      </c>
      <c r="AD42" s="235">
        <f t="shared" si="31"/>
        <v>-2.6924042622223787</v>
      </c>
      <c r="AE42" s="235">
        <f t="shared" si="32"/>
        <v>0.69215109571282862</v>
      </c>
      <c r="AF42" s="235">
        <f t="shared" si="33"/>
        <v>0</v>
      </c>
      <c r="AG42" s="237">
        <f t="shared" si="34"/>
        <v>0</v>
      </c>
      <c r="AH42" s="239">
        <f>IF(OR($I$2="RRO (Capped)",$I$2="RRO (Uncapped)"),VLOOKUP(A42,'Misc. Data &amp; Mechanisms'!$A$1483:$H$1574,3,FALSE),AS42)</f>
        <v>6.04</v>
      </c>
      <c r="AI42" s="237">
        <f t="shared" si="22"/>
        <v>6.04</v>
      </c>
      <c r="AJ42" s="242">
        <f>5%</f>
        <v>0.05</v>
      </c>
      <c r="AK42" s="352">
        <f>'Misc. Data &amp; Mechanisms'!AI315</f>
        <v>563.51942739433571</v>
      </c>
      <c r="AL42" s="1089">
        <f>'Misc. Data &amp; Mechanisms'!AP315</f>
        <v>680.46767316344483</v>
      </c>
      <c r="AM42" s="1089">
        <f>'Misc. Data &amp; Mechanisms'!N315</f>
        <v>635.00100524112713</v>
      </c>
      <c r="AN42" s="1089">
        <f>'Misc. Data &amp; Mechanisms'!O315</f>
        <v>481.90712846721533</v>
      </c>
      <c r="AO42" s="1089">
        <f>'Misc. Data &amp; Mechanisms'!P315</f>
        <v>356.64334217949863</v>
      </c>
      <c r="AP42" s="1464">
        <f>'Misc. Data &amp; Mechanisms'!$B$259</f>
        <v>611.34673880086393</v>
      </c>
      <c r="AQ42" s="243">
        <f>IFERROR(IF('Personalized Bill Menu'!$B$30="Yes", IF('Personalized Bill Menu'!$B$34="Natural Gas",0,VLOOKUP($A42, 'Personalized Bill Menu'!$H$4:$L$93, 2, FALSE)), 0), 0)</f>
        <v>0</v>
      </c>
      <c r="AR42" s="1345">
        <f>IFERROR(IF('Personalized Bill Menu'!$C$36="Custom", IF('Personalized Bill Menu'!$B$34="Natural Gas",0,VLOOKUP($A42, 'Personalized Bill Menu'!$H$4:$L$93, 3, FALSE)), 0), 0)</f>
        <v>0</v>
      </c>
      <c r="AS42" s="1346">
        <f>IFERROR(IF('Personalized Bill Menu'!$C$36="Custom", IF('Personalized Bill Menu'!$B$34="Natural Gas",0,VLOOKUP($A42, 'Personalized Bill Menu'!$H$4:$L$93, 4, FALSE)), 0), 0)</f>
        <v>0</v>
      </c>
    </row>
    <row r="43" spans="1:45" x14ac:dyDescent="0.35">
      <c r="A43" s="210">
        <v>42005</v>
      </c>
      <c r="B43" s="211">
        <f t="shared" si="0"/>
        <v>31</v>
      </c>
      <c r="C43" s="212">
        <f t="shared" si="15"/>
        <v>639.91533836220447</v>
      </c>
      <c r="D43" s="215">
        <f t="shared" si="16"/>
        <v>15.503007083478334</v>
      </c>
      <c r="E43" s="178">
        <f t="shared" si="17"/>
        <v>11.783100000000001</v>
      </c>
      <c r="F43" s="213">
        <f t="shared" si="23"/>
        <v>99.206120234556906</v>
      </c>
      <c r="G43" s="214">
        <f t="shared" si="18"/>
        <v>46.726618007208174</v>
      </c>
      <c r="H43" s="215">
        <f t="shared" si="19"/>
        <v>18.56394396588755</v>
      </c>
      <c r="I43" s="215">
        <f t="shared" si="2"/>
        <v>21.661257099376062</v>
      </c>
      <c r="J43" s="215">
        <f t="shared" si="3"/>
        <v>4.6073904362078721</v>
      </c>
      <c r="K43" s="181">
        <f t="shared" si="20"/>
        <v>-3.0971902376730696</v>
      </c>
      <c r="L43" s="215">
        <f t="shared" si="21"/>
        <v>6.02</v>
      </c>
      <c r="M43" s="216">
        <f t="shared" si="24"/>
        <v>4.7241009635503293</v>
      </c>
      <c r="N43" s="273">
        <f>IF($I$2="RRO (Capped)",VLOOKUP(A43,'Misc. Data &amp; Mechanisms'!$A$1278:$E$1368,3,FALSE),IF($I$2="RRO (Uncapped)",VLOOKUP(A43,'Misc. Data &amp; Mechanisms'!$G$1278:$K$1368,3,FALSE),AR43))</f>
        <v>7.3019999999999996</v>
      </c>
      <c r="O43" s="217">
        <f t="shared" si="25"/>
        <v>46.726618007208174</v>
      </c>
      <c r="P43" s="284">
        <v>2.9009999999999998</v>
      </c>
      <c r="Q43" s="219">
        <f t="shared" si="26"/>
        <v>18.56394396588755</v>
      </c>
      <c r="R43" s="294">
        <v>0.78300000000000003</v>
      </c>
      <c r="S43" s="285">
        <v>0.53712000000000004</v>
      </c>
      <c r="T43" s="217">
        <f t="shared" si="27"/>
        <v>5.0105370993760614</v>
      </c>
      <c r="U43" s="219">
        <f t="shared" si="28"/>
        <v>16.65072</v>
      </c>
      <c r="V43" s="286">
        <v>0.72</v>
      </c>
      <c r="W43" s="217">
        <f t="shared" si="29"/>
        <v>4.6073904362078721</v>
      </c>
      <c r="X43" s="287">
        <v>-0.56899999999999995</v>
      </c>
      <c r="Y43" s="295">
        <v>8.5000000000000006E-2</v>
      </c>
      <c r="Z43" s="295"/>
      <c r="AA43" s="295"/>
      <c r="AB43" s="295"/>
      <c r="AC43" s="217">
        <f t="shared" si="30"/>
        <v>-3.6411182752809435</v>
      </c>
      <c r="AD43" s="217">
        <f t="shared" si="31"/>
        <v>0.54392803760787378</v>
      </c>
      <c r="AE43" s="217">
        <f t="shared" si="32"/>
        <v>0</v>
      </c>
      <c r="AF43" s="183">
        <f t="shared" si="33"/>
        <v>0</v>
      </c>
      <c r="AG43" s="194">
        <f t="shared" si="34"/>
        <v>0</v>
      </c>
      <c r="AH43" s="200">
        <f>IF(OR($I$2="RRO (Capped)",$I$2="RRO (Uncapped)"),VLOOKUP(A43,'Misc. Data &amp; Mechanisms'!$A$1483:$H$1574,3,FALSE),AS43)</f>
        <v>6.02</v>
      </c>
      <c r="AI43" s="194">
        <f t="shared" si="22"/>
        <v>6.02</v>
      </c>
      <c r="AJ43" s="225">
        <f>5%</f>
        <v>0.05</v>
      </c>
      <c r="AK43" s="359">
        <f>'Misc. Data &amp; Mechanisms'!AI316</f>
        <v>567.88055779185834</v>
      </c>
      <c r="AL43" s="1239">
        <f>'Misc. Data &amp; Mechanisms'!AP316</f>
        <v>657.08300980223214</v>
      </c>
      <c r="AM43" s="1088">
        <f>'Misc. Data &amp; Mechanisms'!N316</f>
        <v>639.91533836220447</v>
      </c>
      <c r="AN43" s="1088">
        <f>'Misc. Data &amp; Mechanisms'!O316</f>
        <v>485.63665352806214</v>
      </c>
      <c r="AO43" s="1088">
        <f>'Misc. Data &amp; Mechanisms'!P316</f>
        <v>359.40343889496586</v>
      </c>
      <c r="AP43" s="1463">
        <f>'Misc. Data &amp; Mechanisms'!$B$259</f>
        <v>611.34673880086393</v>
      </c>
      <c r="AQ43" s="197">
        <f>IFERROR(IF('Personalized Bill Menu'!$B$30="Yes", IF('Personalized Bill Menu'!$B$34="Natural Gas",0,VLOOKUP($A43, 'Personalized Bill Menu'!$H$4:$L$93, 2, FALSE)), 0), 0)</f>
        <v>0</v>
      </c>
      <c r="AR43" s="1343">
        <f>IFERROR(IF('Personalized Bill Menu'!$C$36="Custom", IF('Personalized Bill Menu'!$B$34="Natural Gas",0,VLOOKUP($A43, 'Personalized Bill Menu'!$H$4:$L$93, 3, FALSE)), 0), 0)</f>
        <v>0</v>
      </c>
      <c r="AS43" s="1344">
        <f>IFERROR(IF('Personalized Bill Menu'!$C$36="Custom", IF('Personalized Bill Menu'!$B$34="Natural Gas",0,VLOOKUP($A43, 'Personalized Bill Menu'!$H$4:$L$93, 4, FALSE)), 0), 0)</f>
        <v>0</v>
      </c>
    </row>
    <row r="44" spans="1:45" x14ac:dyDescent="0.35">
      <c r="A44" s="206">
        <v>42036</v>
      </c>
      <c r="B44" s="207">
        <f t="shared" si="0"/>
        <v>28</v>
      </c>
      <c r="C44" s="1581">
        <f t="shared" si="15"/>
        <v>553.84738775303197</v>
      </c>
      <c r="D44" s="178">
        <f t="shared" si="16"/>
        <v>15.123019543758328</v>
      </c>
      <c r="E44" s="178">
        <f t="shared" si="17"/>
        <v>11.02815</v>
      </c>
      <c r="F44" s="179">
        <f t="shared" si="23"/>
        <v>83.758448692485999</v>
      </c>
      <c r="G44" s="180">
        <f t="shared" si="18"/>
        <v>36.459773535782091</v>
      </c>
      <c r="H44" s="181">
        <f t="shared" si="19"/>
        <v>16.067112718715457</v>
      </c>
      <c r="I44" s="181">
        <f t="shared" si="2"/>
        <v>19.375985046106244</v>
      </c>
      <c r="J44" s="181">
        <f t="shared" si="3"/>
        <v>3.9877011918218299</v>
      </c>
      <c r="K44" s="181">
        <f t="shared" si="20"/>
        <v>-2.6806213567246746</v>
      </c>
      <c r="L44" s="181">
        <f t="shared" si="21"/>
        <v>6.56</v>
      </c>
      <c r="M44" s="182">
        <f t="shared" si="24"/>
        <v>3.9884975567850476</v>
      </c>
      <c r="N44" s="273">
        <f>IF($I$2="RRO (Capped)",VLOOKUP(A44,'Misc. Data &amp; Mechanisms'!$A$1278:$E$1368,3,FALSE),IF($I$2="RRO (Uncapped)",VLOOKUP(A44,'Misc. Data &amp; Mechanisms'!$G$1278:$K$1368,3,FALSE),AR44))</f>
        <v>6.5830000000000002</v>
      </c>
      <c r="O44" s="183">
        <f t="shared" si="25"/>
        <v>36.459773535782091</v>
      </c>
      <c r="P44" s="274">
        <v>2.9009999999999998</v>
      </c>
      <c r="Q44" s="194">
        <f t="shared" si="26"/>
        <v>16.067112718715457</v>
      </c>
      <c r="R44" s="274">
        <v>0.78300000000000003</v>
      </c>
      <c r="S44" s="275">
        <v>0.53712000000000004</v>
      </c>
      <c r="T44" s="183">
        <f t="shared" si="27"/>
        <v>4.3366250461062403</v>
      </c>
      <c r="U44" s="194">
        <f t="shared" si="28"/>
        <v>15.039360000000002</v>
      </c>
      <c r="V44" s="276">
        <v>0.72</v>
      </c>
      <c r="W44" s="183">
        <f t="shared" si="29"/>
        <v>3.9877011918218299</v>
      </c>
      <c r="X44" s="277">
        <v>-0.56899999999999995</v>
      </c>
      <c r="Y44" s="278">
        <v>8.5000000000000006E-2</v>
      </c>
      <c r="Z44" s="278"/>
      <c r="AA44" s="278"/>
      <c r="AB44" s="278"/>
      <c r="AC44" s="183">
        <f t="shared" si="30"/>
        <v>-3.1513916363147518</v>
      </c>
      <c r="AD44" s="183">
        <f t="shared" si="31"/>
        <v>0.47077027959007722</v>
      </c>
      <c r="AE44" s="183">
        <f t="shared" si="32"/>
        <v>0</v>
      </c>
      <c r="AF44" s="183">
        <f t="shared" si="33"/>
        <v>0</v>
      </c>
      <c r="AG44" s="194">
        <f t="shared" si="34"/>
        <v>0</v>
      </c>
      <c r="AH44" s="200">
        <f>IF(OR($I$2="RRO (Capped)",$I$2="RRO (Uncapped)"),VLOOKUP(A44,'Misc. Data &amp; Mechanisms'!$A$1483:$H$1574,3,FALSE),AS44)</f>
        <v>6.56</v>
      </c>
      <c r="AI44" s="194">
        <f t="shared" si="22"/>
        <v>6.56</v>
      </c>
      <c r="AJ44" s="129">
        <f>5%</f>
        <v>0.05</v>
      </c>
      <c r="AK44" s="341">
        <f>'Misc. Data &amp; Mechanisms'!AI317</f>
        <v>491.50121060347442</v>
      </c>
      <c r="AL44" s="196">
        <f>'Misc. Data &amp; Mechanisms'!AP317</f>
        <v>567.16869330123086</v>
      </c>
      <c r="AM44" s="1087">
        <f>'Misc. Data &amp; Mechanisms'!N317</f>
        <v>553.84738775303197</v>
      </c>
      <c r="AN44" s="1087">
        <f>'Misc. Data &amp; Mechanisms'!O317</f>
        <v>420.31902632938619</v>
      </c>
      <c r="AO44" s="1087">
        <f>'Misc. Data &amp; Mechanisms'!P317</f>
        <v>311.06404839567153</v>
      </c>
      <c r="AP44" s="1463">
        <f>'Misc. Data &amp; Mechanisms'!$B$259</f>
        <v>611.34673880086393</v>
      </c>
      <c r="AQ44" s="197">
        <f>IFERROR(IF('Personalized Bill Menu'!$B$30="Yes", IF('Personalized Bill Menu'!$B$34="Natural Gas",0,VLOOKUP($A44, 'Personalized Bill Menu'!$H$4:$L$93, 2, FALSE)), 0), 0)</f>
        <v>0</v>
      </c>
      <c r="AR44" s="1343">
        <f>IFERROR(IF('Personalized Bill Menu'!$C$36="Custom", IF('Personalized Bill Menu'!$B$34="Natural Gas",0,VLOOKUP($A44, 'Personalized Bill Menu'!$H$4:$L$93, 3, FALSE)), 0), 0)</f>
        <v>0</v>
      </c>
      <c r="AS44" s="1344">
        <f>IFERROR(IF('Personalized Bill Menu'!$C$36="Custom", IF('Personalized Bill Menu'!$B$34="Natural Gas",0,VLOOKUP($A44, 'Personalized Bill Menu'!$H$4:$L$93, 4, FALSE)), 0), 0)</f>
        <v>0</v>
      </c>
    </row>
    <row r="45" spans="1:45" x14ac:dyDescent="0.35">
      <c r="A45" s="206">
        <v>42064</v>
      </c>
      <c r="B45" s="207">
        <f t="shared" si="0"/>
        <v>31</v>
      </c>
      <c r="C45" s="1581">
        <f t="shared" si="15"/>
        <v>543.60182357131134</v>
      </c>
      <c r="D45" s="178">
        <f t="shared" si="16"/>
        <v>14.301841803527752</v>
      </c>
      <c r="E45" s="178">
        <f t="shared" si="17"/>
        <v>9.8185500000000037</v>
      </c>
      <c r="F45" s="179">
        <f t="shared" si="23"/>
        <v>77.745072848260989</v>
      </c>
      <c r="G45" s="180">
        <f t="shared" si="18"/>
        <v>29.523015038157919</v>
      </c>
      <c r="H45" s="181">
        <f>SUM($Q45)</f>
        <v>15.769888901803741</v>
      </c>
      <c r="I45" s="181">
        <f t="shared" si="2"/>
        <v>20.907122278563367</v>
      </c>
      <c r="J45" s="181">
        <f t="shared" si="3"/>
        <v>3.9139331297134414</v>
      </c>
      <c r="K45" s="181">
        <f t="shared" si="20"/>
        <v>-2.6310328260851468</v>
      </c>
      <c r="L45" s="181">
        <f t="shared" si="21"/>
        <v>6.56</v>
      </c>
      <c r="M45" s="182">
        <f t="shared" si="24"/>
        <v>3.7021463261076661</v>
      </c>
      <c r="N45" s="273">
        <f>IF($I$2="RRO (Capped)",VLOOKUP(A45,'Misc. Data &amp; Mechanisms'!$A$1278:$E$1368,3,FALSE),IF($I$2="RRO (Uncapped)",VLOOKUP(A45,'Misc. Data &amp; Mechanisms'!$G$1278:$K$1368,3,FALSE),AR45))</f>
        <v>5.431</v>
      </c>
      <c r="O45" s="183">
        <f t="shared" si="25"/>
        <v>29.523015038157919</v>
      </c>
      <c r="P45" s="274">
        <v>2.9009999999999998</v>
      </c>
      <c r="Q45" s="194">
        <f t="shared" si="26"/>
        <v>15.769888901803741</v>
      </c>
      <c r="R45" s="274">
        <v>0.78300000000000003</v>
      </c>
      <c r="S45" s="275">
        <v>0.53712000000000004</v>
      </c>
      <c r="T45" s="183">
        <f t="shared" si="27"/>
        <v>4.2564022785633675</v>
      </c>
      <c r="U45" s="194">
        <f t="shared" si="28"/>
        <v>16.65072</v>
      </c>
      <c r="V45" s="276">
        <v>0.72</v>
      </c>
      <c r="W45" s="183">
        <f t="shared" si="29"/>
        <v>3.9139331297134414</v>
      </c>
      <c r="X45" s="277">
        <v>-0.56899999999999995</v>
      </c>
      <c r="Y45" s="278">
        <v>8.5000000000000006E-2</v>
      </c>
      <c r="Z45" s="278"/>
      <c r="AA45" s="278"/>
      <c r="AB45" s="278"/>
      <c r="AC45" s="183">
        <f t="shared" si="30"/>
        <v>-3.0930943761207614</v>
      </c>
      <c r="AD45" s="183">
        <f t="shared" si="31"/>
        <v>0.46206155003561467</v>
      </c>
      <c r="AE45" s="183">
        <f t="shared" si="32"/>
        <v>0</v>
      </c>
      <c r="AF45" s="183">
        <f t="shared" si="33"/>
        <v>0</v>
      </c>
      <c r="AG45" s="194">
        <f t="shared" si="34"/>
        <v>0</v>
      </c>
      <c r="AH45" s="200">
        <f>IF(OR($I$2="RRO (Capped)",$I$2="RRO (Uncapped)"),VLOOKUP(A45,'Misc. Data &amp; Mechanisms'!$A$1483:$H$1574,3,FALSE),AS45)</f>
        <v>6.56</v>
      </c>
      <c r="AI45" s="194">
        <f t="shared" si="22"/>
        <v>6.56</v>
      </c>
      <c r="AJ45" s="129">
        <f>5%</f>
        <v>0.05</v>
      </c>
      <c r="AK45" s="341">
        <f>'Misc. Data &amp; Mechanisms'!AI318</f>
        <v>482.40898175129684</v>
      </c>
      <c r="AL45" s="196">
        <f>'Misc. Data &amp; Mechanisms'!AP318</f>
        <v>559.20686936723871</v>
      </c>
      <c r="AM45" s="1087">
        <f>'Misc. Data &amp; Mechanisms'!N318</f>
        <v>543.60182357131134</v>
      </c>
      <c r="AN45" s="1087">
        <f>'Misc. Data &amp; Mechanisms'!O318</f>
        <v>412.54358916694468</v>
      </c>
      <c r="AO45" s="1087">
        <f>'Misc. Data &amp; Mechanisms'!P318</f>
        <v>305.3097075015246</v>
      </c>
      <c r="AP45" s="1463">
        <f>'Misc. Data &amp; Mechanisms'!$B$259</f>
        <v>611.34673880086393</v>
      </c>
      <c r="AQ45" s="197">
        <f>IFERROR(IF('Personalized Bill Menu'!$B$30="Yes", IF('Personalized Bill Menu'!$B$34="Natural Gas",0,VLOOKUP($A45, 'Personalized Bill Menu'!$H$4:$L$93, 2, FALSE)), 0), 0)</f>
        <v>0</v>
      </c>
      <c r="AR45" s="1343">
        <f>IFERROR(IF('Personalized Bill Menu'!$C$36="Custom", IF('Personalized Bill Menu'!$B$34="Natural Gas",0,VLOOKUP($A45, 'Personalized Bill Menu'!$H$4:$L$93, 3, FALSE)), 0), 0)</f>
        <v>0</v>
      </c>
      <c r="AS45" s="1344">
        <f>IFERROR(IF('Personalized Bill Menu'!$C$36="Custom", IF('Personalized Bill Menu'!$B$34="Natural Gas",0,VLOOKUP($A45, 'Personalized Bill Menu'!$H$4:$L$93, 4, FALSE)), 0), 0)</f>
        <v>0</v>
      </c>
    </row>
    <row r="46" spans="1:45" x14ac:dyDescent="0.35">
      <c r="A46" s="206">
        <v>42095</v>
      </c>
      <c r="B46" s="207">
        <f t="shared" si="0"/>
        <v>30</v>
      </c>
      <c r="C46" s="1581">
        <f t="shared" si="15"/>
        <v>482.55898895486843</v>
      </c>
      <c r="D46" s="178">
        <f t="shared" si="16"/>
        <v>14.677548135029475</v>
      </c>
      <c r="E46" s="178">
        <f t="shared" si="17"/>
        <v>9.7440000000000015</v>
      </c>
      <c r="F46" s="179">
        <f t="shared" si="23"/>
        <v>70.827827883762382</v>
      </c>
      <c r="G46" s="180">
        <f t="shared" si="18"/>
        <v>28.142840235847924</v>
      </c>
      <c r="H46" s="181">
        <f t="shared" si="19"/>
        <v>13.999036269580731</v>
      </c>
      <c r="I46" s="181">
        <f t="shared" si="2"/>
        <v>19.892036883516621</v>
      </c>
      <c r="J46" s="181">
        <f t="shared" si="3"/>
        <v>3.4744247204750525</v>
      </c>
      <c r="K46" s="181">
        <f t="shared" si="20"/>
        <v>-4.6132639344085415</v>
      </c>
      <c r="L46" s="181">
        <f t="shared" si="21"/>
        <v>6.56</v>
      </c>
      <c r="M46" s="182">
        <f t="shared" si="24"/>
        <v>3.3727537087505897</v>
      </c>
      <c r="N46" s="273">
        <f>IF($I$2="RRO (Capped)",VLOOKUP(A46,'Misc. Data &amp; Mechanisms'!$A$1278:$E$1368,3,FALSE),IF($I$2="RRO (Uncapped)",VLOOKUP(A46,'Misc. Data &amp; Mechanisms'!$G$1278:$K$1368,3,FALSE),AR46))</f>
        <v>5.8319999999999999</v>
      </c>
      <c r="O46" s="183">
        <f t="shared" si="25"/>
        <v>28.142840235847924</v>
      </c>
      <c r="P46" s="274">
        <v>2.9009999999999998</v>
      </c>
      <c r="Q46" s="194">
        <f t="shared" si="26"/>
        <v>13.999036269580731</v>
      </c>
      <c r="R46" s="274">
        <v>0.78300000000000003</v>
      </c>
      <c r="S46" s="275">
        <v>0.53712000000000004</v>
      </c>
      <c r="T46" s="183">
        <f t="shared" si="27"/>
        <v>3.77843688351662</v>
      </c>
      <c r="U46" s="194">
        <f t="shared" si="28"/>
        <v>16.113600000000002</v>
      </c>
      <c r="V46" s="276">
        <v>0.72</v>
      </c>
      <c r="W46" s="183">
        <f t="shared" si="29"/>
        <v>3.4744247204750525</v>
      </c>
      <c r="X46" s="277">
        <v>-0.56899999999999995</v>
      </c>
      <c r="Y46" s="278">
        <v>-0.38700000000000001</v>
      </c>
      <c r="Z46" s="278"/>
      <c r="AA46" s="278"/>
      <c r="AB46" s="278"/>
      <c r="AC46" s="183">
        <f t="shared" si="30"/>
        <v>-2.745760647153201</v>
      </c>
      <c r="AD46" s="183">
        <f t="shared" si="31"/>
        <v>-1.867503287255341</v>
      </c>
      <c r="AE46" s="183">
        <f t="shared" si="32"/>
        <v>0</v>
      </c>
      <c r="AF46" s="183">
        <f t="shared" si="33"/>
        <v>0</v>
      </c>
      <c r="AG46" s="194">
        <f t="shared" si="34"/>
        <v>0</v>
      </c>
      <c r="AH46" s="200">
        <f>IF(OR($I$2="RRO (Capped)",$I$2="RRO (Uncapped)"),VLOOKUP(A46,'Misc. Data &amp; Mechanisms'!$A$1483:$H$1574,3,FALSE),AS46)</f>
        <v>6.56</v>
      </c>
      <c r="AI46" s="194">
        <f t="shared" si="22"/>
        <v>6.56</v>
      </c>
      <c r="AJ46" s="129">
        <f>5%</f>
        <v>0.05</v>
      </c>
      <c r="AK46" s="341">
        <f>'Misc. Data &amp; Mechanisms'!AI319</f>
        <v>428.23769237432509</v>
      </c>
      <c r="AL46" s="196">
        <f>'Misc. Data &amp; Mechanisms'!AP319</f>
        <v>492.41607298078463</v>
      </c>
      <c r="AM46" s="1087">
        <f>'Misc. Data &amp; Mechanisms'!N319</f>
        <v>482.55898895486843</v>
      </c>
      <c r="AN46" s="1087">
        <f>'Misc. Data &amp; Mechanisms'!O319</f>
        <v>366.21771424594561</v>
      </c>
      <c r="AO46" s="1087">
        <f>'Misc. Data &amp; Mechanisms'!P319</f>
        <v>271.02547743884662</v>
      </c>
      <c r="AP46" s="1463">
        <f>'Misc. Data &amp; Mechanisms'!$B$259</f>
        <v>611.34673880086393</v>
      </c>
      <c r="AQ46" s="197">
        <f>IFERROR(IF('Personalized Bill Menu'!$B$30="Yes", IF('Personalized Bill Menu'!$B$34="Natural Gas",0,VLOOKUP($A46, 'Personalized Bill Menu'!$H$4:$L$93, 2, FALSE)), 0), 0)</f>
        <v>0</v>
      </c>
      <c r="AR46" s="1343">
        <f>IFERROR(IF('Personalized Bill Menu'!$C$36="Custom", IF('Personalized Bill Menu'!$B$34="Natural Gas",0,VLOOKUP($A46, 'Personalized Bill Menu'!$H$4:$L$93, 3, FALSE)), 0), 0)</f>
        <v>0</v>
      </c>
      <c r="AS46" s="1344">
        <f>IFERROR(IF('Personalized Bill Menu'!$C$36="Custom", IF('Personalized Bill Menu'!$B$34="Natural Gas",0,VLOOKUP($A46, 'Personalized Bill Menu'!$H$4:$L$93, 4, FALSE)), 0), 0)</f>
        <v>0</v>
      </c>
    </row>
    <row r="47" spans="1:45" x14ac:dyDescent="0.35">
      <c r="A47" s="206">
        <v>42125</v>
      </c>
      <c r="B47" s="207">
        <f t="shared" si="0"/>
        <v>31</v>
      </c>
      <c r="C47" s="1581">
        <f t="shared" si="15"/>
        <v>474.94455350977023</v>
      </c>
      <c r="D47" s="178">
        <f t="shared" si="16"/>
        <v>13.305639721157977</v>
      </c>
      <c r="E47" s="178">
        <f t="shared" si="17"/>
        <v>8.1742500000000007</v>
      </c>
      <c r="F47" s="179">
        <f t="shared" si="23"/>
        <v>63.194411165272399</v>
      </c>
      <c r="G47" s="180">
        <f t="shared" si="18"/>
        <v>20.598345285718736</v>
      </c>
      <c r="H47" s="181">
        <f t="shared" si="19"/>
        <v>13.778141497318433</v>
      </c>
      <c r="I47" s="181">
        <f t="shared" si="2"/>
        <v>20.3695358539815</v>
      </c>
      <c r="J47" s="181">
        <f t="shared" si="3"/>
        <v>3.4196007852703456</v>
      </c>
      <c r="K47" s="181">
        <f t="shared" si="20"/>
        <v>-4.5404699315534032</v>
      </c>
      <c r="L47" s="181">
        <f t="shared" si="21"/>
        <v>6.56</v>
      </c>
      <c r="M47" s="182">
        <f t="shared" si="24"/>
        <v>3.0092576745367809</v>
      </c>
      <c r="N47" s="273">
        <f>IF($I$2="RRO (Capped)",VLOOKUP(A47,'Misc. Data &amp; Mechanisms'!$A$1278:$E$1368,3,FALSE),IF($I$2="RRO (Uncapped)",VLOOKUP(A47,'Misc. Data &amp; Mechanisms'!$G$1278:$K$1368,3,FALSE),AR47))</f>
        <v>4.3369999999999997</v>
      </c>
      <c r="O47" s="183">
        <f t="shared" si="25"/>
        <v>20.598345285718736</v>
      </c>
      <c r="P47" s="274">
        <v>2.9009999999999998</v>
      </c>
      <c r="Q47" s="194">
        <f t="shared" si="26"/>
        <v>13.778141497318433</v>
      </c>
      <c r="R47" s="274">
        <v>0.78300000000000003</v>
      </c>
      <c r="S47" s="275">
        <v>0.53712000000000004</v>
      </c>
      <c r="T47" s="183">
        <f t="shared" si="27"/>
        <v>3.7188158539815008</v>
      </c>
      <c r="U47" s="194">
        <f t="shared" si="28"/>
        <v>16.65072</v>
      </c>
      <c r="V47" s="276">
        <v>0.72</v>
      </c>
      <c r="W47" s="183">
        <f t="shared" si="29"/>
        <v>3.4196007852703456</v>
      </c>
      <c r="X47" s="277">
        <v>-0.56899999999999995</v>
      </c>
      <c r="Y47" s="278">
        <v>-0.38700000000000001</v>
      </c>
      <c r="Z47" s="278"/>
      <c r="AA47" s="278"/>
      <c r="AB47" s="278"/>
      <c r="AC47" s="183">
        <f t="shared" si="30"/>
        <v>-2.7024345094705926</v>
      </c>
      <c r="AD47" s="183">
        <f t="shared" si="31"/>
        <v>-1.8380354220828108</v>
      </c>
      <c r="AE47" s="183">
        <f t="shared" si="32"/>
        <v>0</v>
      </c>
      <c r="AF47" s="183">
        <f t="shared" si="33"/>
        <v>0</v>
      </c>
      <c r="AG47" s="194">
        <f t="shared" si="34"/>
        <v>0</v>
      </c>
      <c r="AH47" s="200">
        <f>IF(OR($I$2="RRO (Capped)",$I$2="RRO (Uncapped)"),VLOOKUP(A47,'Misc. Data &amp; Mechanisms'!$A$1483:$H$1574,3,FALSE),AS47)</f>
        <v>6.56</v>
      </c>
      <c r="AI47" s="194">
        <f t="shared" si="22"/>
        <v>6.56</v>
      </c>
      <c r="AJ47" s="129">
        <f>5%</f>
        <v>0.05</v>
      </c>
      <c r="AK47" s="341">
        <f>'Misc. Data &amp; Mechanisms'!AI320</f>
        <v>421.48040810778525</v>
      </c>
      <c r="AL47" s="196">
        <f>'Misc. Data &amp; Mechanisms'!AP320</f>
        <v>481.77695362669192</v>
      </c>
      <c r="AM47" s="1087">
        <f>'Misc. Data &amp; Mechanisms'!N320</f>
        <v>474.94455350977023</v>
      </c>
      <c r="AN47" s="1087">
        <f>'Misc. Data &amp; Mechanisms'!O320</f>
        <v>360.43906084231384</v>
      </c>
      <c r="AO47" s="1087">
        <f>'Misc. Data &amp; Mechanisms'!P320</f>
        <v>266.74888939640931</v>
      </c>
      <c r="AP47" s="1463">
        <f>'Misc. Data &amp; Mechanisms'!$B$259</f>
        <v>611.34673880086393</v>
      </c>
      <c r="AQ47" s="197">
        <f>IFERROR(IF('Personalized Bill Menu'!$B$30="Yes", IF('Personalized Bill Menu'!$B$34="Natural Gas",0,VLOOKUP($A47, 'Personalized Bill Menu'!$H$4:$L$93, 2, FALSE)), 0), 0)</f>
        <v>0</v>
      </c>
      <c r="AR47" s="1343">
        <f>IFERROR(IF('Personalized Bill Menu'!$C$36="Custom", IF('Personalized Bill Menu'!$B$34="Natural Gas",0,VLOOKUP($A47, 'Personalized Bill Menu'!$H$4:$L$93, 3, FALSE)), 0), 0)</f>
        <v>0</v>
      </c>
      <c r="AS47" s="1344">
        <f>IFERROR(IF('Personalized Bill Menu'!$C$36="Custom", IF('Personalized Bill Menu'!$B$34="Natural Gas",0,VLOOKUP($A47, 'Personalized Bill Menu'!$H$4:$L$93, 4, FALSE)), 0), 0)</f>
        <v>0</v>
      </c>
    </row>
    <row r="48" spans="1:45" x14ac:dyDescent="0.35">
      <c r="A48" s="206">
        <v>42156</v>
      </c>
      <c r="B48" s="207">
        <f t="shared" si="0"/>
        <v>30</v>
      </c>
      <c r="C48" s="1581">
        <f t="shared" si="15"/>
        <v>483.17091840445016</v>
      </c>
      <c r="D48" s="178">
        <f t="shared" si="16"/>
        <v>12.84114986287617</v>
      </c>
      <c r="E48" s="178">
        <f t="shared" si="17"/>
        <v>7.9138500000000009</v>
      </c>
      <c r="F48" s="179">
        <f t="shared" si="23"/>
        <v>62.044701726150585</v>
      </c>
      <c r="G48" s="180">
        <f t="shared" si="18"/>
        <v>19.756858853557969</v>
      </c>
      <c r="H48" s="181">
        <f t="shared" si="19"/>
        <v>14.016788342913099</v>
      </c>
      <c r="I48" s="181">
        <f t="shared" si="2"/>
        <v>19.896828291106846</v>
      </c>
      <c r="J48" s="181">
        <f t="shared" si="3"/>
        <v>3.478830612512041</v>
      </c>
      <c r="K48" s="181">
        <f t="shared" si="20"/>
        <v>-4.6191139799465439</v>
      </c>
      <c r="L48" s="181">
        <f t="shared" si="21"/>
        <v>6.56</v>
      </c>
      <c r="M48" s="182">
        <f t="shared" si="24"/>
        <v>2.9545096060071709</v>
      </c>
      <c r="N48" s="273">
        <f>IF($I$2="RRO (Capped)",VLOOKUP(A48,'Misc. Data &amp; Mechanisms'!$A$1278:$E$1368,3,FALSE),IF($I$2="RRO (Uncapped)",VLOOKUP(A48,'Misc. Data &amp; Mechanisms'!$G$1278:$K$1368,3,FALSE),AR48))</f>
        <v>4.0890000000000004</v>
      </c>
      <c r="O48" s="183">
        <f t="shared" si="25"/>
        <v>19.756858853557969</v>
      </c>
      <c r="P48" s="274">
        <v>2.9009999999999998</v>
      </c>
      <c r="Q48" s="194">
        <f t="shared" si="26"/>
        <v>14.016788342913099</v>
      </c>
      <c r="R48" s="274">
        <v>0.78300000000000003</v>
      </c>
      <c r="S48" s="275">
        <v>0.53712000000000004</v>
      </c>
      <c r="T48" s="183">
        <f t="shared" si="27"/>
        <v>3.7832282911068447</v>
      </c>
      <c r="U48" s="194">
        <f t="shared" si="28"/>
        <v>16.113600000000002</v>
      </c>
      <c r="V48" s="276">
        <v>0.72</v>
      </c>
      <c r="W48" s="183">
        <f t="shared" si="29"/>
        <v>3.478830612512041</v>
      </c>
      <c r="X48" s="277">
        <v>-0.56899999999999995</v>
      </c>
      <c r="Y48" s="278">
        <v>-0.38700000000000001</v>
      </c>
      <c r="Z48" s="278"/>
      <c r="AA48" s="278"/>
      <c r="AB48" s="278"/>
      <c r="AC48" s="183">
        <f t="shared" si="30"/>
        <v>-2.7492425257213213</v>
      </c>
      <c r="AD48" s="183">
        <f t="shared" si="31"/>
        <v>-1.8698714542252222</v>
      </c>
      <c r="AE48" s="183">
        <f t="shared" si="32"/>
        <v>0</v>
      </c>
      <c r="AF48" s="183">
        <f t="shared" si="33"/>
        <v>0</v>
      </c>
      <c r="AG48" s="194">
        <f t="shared" si="34"/>
        <v>0</v>
      </c>
      <c r="AH48" s="200">
        <f>IF(OR($I$2="RRO (Capped)",$I$2="RRO (Uncapped)"),VLOOKUP(A48,'Misc. Data &amp; Mechanisms'!$A$1483:$H$1574,3,FALSE),AS48)</f>
        <v>6.56</v>
      </c>
      <c r="AI48" s="194">
        <f t="shared" si="22"/>
        <v>6.56</v>
      </c>
      <c r="AJ48" s="129">
        <f>5%</f>
        <v>0.05</v>
      </c>
      <c r="AK48" s="341">
        <f>'Misc. Data &amp; Mechanisms'!AI321</f>
        <v>428.78073739344768</v>
      </c>
      <c r="AL48" s="196">
        <f>'Misc. Data &amp; Mechanisms'!AP321</f>
        <v>484.9944390307773</v>
      </c>
      <c r="AM48" s="1087">
        <f>'Misc. Data &amp; Mechanisms'!N321</f>
        <v>483.17091840445016</v>
      </c>
      <c r="AN48" s="1087">
        <f>'Misc. Data &amp; Mechanisms'!O321</f>
        <v>366.68211219404094</v>
      </c>
      <c r="AO48" s="1087">
        <f>'Misc. Data &amp; Mechanisms'!P321</f>
        <v>271.36916282245323</v>
      </c>
      <c r="AP48" s="1463">
        <f>'Misc. Data &amp; Mechanisms'!$B$259</f>
        <v>611.34673880086393</v>
      </c>
      <c r="AQ48" s="197">
        <f>IFERROR(IF('Personalized Bill Menu'!$B$30="Yes", IF('Personalized Bill Menu'!$B$34="Natural Gas",0,VLOOKUP($A48, 'Personalized Bill Menu'!$H$4:$L$93, 2, FALSE)), 0), 0)</f>
        <v>0</v>
      </c>
      <c r="AR48" s="1343">
        <f>IFERROR(IF('Personalized Bill Menu'!$C$36="Custom", IF('Personalized Bill Menu'!$B$34="Natural Gas",0,VLOOKUP($A48, 'Personalized Bill Menu'!$H$4:$L$93, 3, FALSE)), 0), 0)</f>
        <v>0</v>
      </c>
      <c r="AS48" s="1344">
        <f>IFERROR(IF('Personalized Bill Menu'!$C$36="Custom", IF('Personalized Bill Menu'!$B$34="Natural Gas",0,VLOOKUP($A48, 'Personalized Bill Menu'!$H$4:$L$93, 4, FALSE)), 0), 0)</f>
        <v>0</v>
      </c>
    </row>
    <row r="49" spans="1:45" x14ac:dyDescent="0.35">
      <c r="A49" s="206">
        <v>42186</v>
      </c>
      <c r="B49" s="207">
        <f t="shared" si="0"/>
        <v>31</v>
      </c>
      <c r="C49" s="1581">
        <f t="shared" si="15"/>
        <v>528.53057338073643</v>
      </c>
      <c r="D49" s="178">
        <f t="shared" si="16"/>
        <v>15.122283619981799</v>
      </c>
      <c r="E49" s="178">
        <f t="shared" si="17"/>
        <v>10.191300000000002</v>
      </c>
      <c r="F49" s="179">
        <f t="shared" si="23"/>
        <v>79.925892324950979</v>
      </c>
      <c r="G49" s="180">
        <f t="shared" si="18"/>
        <v>32.451777205577216</v>
      </c>
      <c r="H49" s="181">
        <f t="shared" si="19"/>
        <v>15.332671933775163</v>
      </c>
      <c r="I49" s="181">
        <f t="shared" si="2"/>
        <v>20.789114389571168</v>
      </c>
      <c r="J49" s="181">
        <f t="shared" si="3"/>
        <v>3.8054201283413023</v>
      </c>
      <c r="K49" s="181">
        <f t="shared" si="20"/>
        <v>-4.429086204930571</v>
      </c>
      <c r="L49" s="181">
        <f t="shared" si="21"/>
        <v>8.17</v>
      </c>
      <c r="M49" s="182">
        <f t="shared" si="24"/>
        <v>3.8059948726167137</v>
      </c>
      <c r="N49" s="273">
        <f>IF($I$2="RRO (Capped)",VLOOKUP(A49,'Misc. Data &amp; Mechanisms'!$A$1278:$E$1368,3,FALSE),IF($I$2="RRO (Uncapped)",VLOOKUP(A49,'Misc. Data &amp; Mechanisms'!$G$1278:$K$1368,3,FALSE),AR49))</f>
        <v>6.14</v>
      </c>
      <c r="O49" s="183">
        <f t="shared" si="25"/>
        <v>32.451777205577216</v>
      </c>
      <c r="P49" s="274">
        <v>2.9009999999999998</v>
      </c>
      <c r="Q49" s="194">
        <f t="shared" si="26"/>
        <v>15.332671933775163</v>
      </c>
      <c r="R49" s="274">
        <v>0.78300000000000003</v>
      </c>
      <c r="S49" s="275">
        <v>0.53712000000000004</v>
      </c>
      <c r="T49" s="183">
        <f t="shared" si="27"/>
        <v>4.1383943895711663</v>
      </c>
      <c r="U49" s="194">
        <f t="shared" si="28"/>
        <v>16.65072</v>
      </c>
      <c r="V49" s="276">
        <v>0.72</v>
      </c>
      <c r="W49" s="183">
        <f t="shared" si="29"/>
        <v>3.8054201283413023</v>
      </c>
      <c r="X49" s="277">
        <v>-0.56899999999999995</v>
      </c>
      <c r="Y49" s="278">
        <v>-0.26900000000000002</v>
      </c>
      <c r="Z49" s="278"/>
      <c r="AA49" s="278"/>
      <c r="AB49" s="278"/>
      <c r="AC49" s="183">
        <f t="shared" si="30"/>
        <v>-3.00733896253639</v>
      </c>
      <c r="AD49" s="183">
        <f t="shared" si="31"/>
        <v>-1.421747242394181</v>
      </c>
      <c r="AE49" s="183">
        <f t="shared" si="32"/>
        <v>0</v>
      </c>
      <c r="AF49" s="183">
        <f t="shared" si="33"/>
        <v>0</v>
      </c>
      <c r="AG49" s="194">
        <f t="shared" si="34"/>
        <v>0</v>
      </c>
      <c r="AH49" s="200">
        <f>IF(OR($I$2="RRO (Capped)",$I$2="RRO (Uncapped)"),VLOOKUP(A49,'Misc. Data &amp; Mechanisms'!$A$1483:$H$1574,3,FALSE),AS49)</f>
        <v>8.17</v>
      </c>
      <c r="AI49" s="194">
        <f t="shared" si="22"/>
        <v>8.17</v>
      </c>
      <c r="AJ49" s="129">
        <f>5%</f>
        <v>0.05</v>
      </c>
      <c r="AK49" s="341">
        <f>'Misc. Data &amp; Mechanisms'!AI322</f>
        <v>469.03429067614724</v>
      </c>
      <c r="AL49" s="196">
        <f>'Misc. Data &amp; Mechanisms'!AP322</f>
        <v>518.09941730132016</v>
      </c>
      <c r="AM49" s="1087">
        <f>'Misc. Data &amp; Mechanisms'!N322</f>
        <v>528.53057338073643</v>
      </c>
      <c r="AN49" s="1087">
        <f>'Misc. Data &amp; Mechanisms'!O322</f>
        <v>401.10590191636629</v>
      </c>
      <c r="AO49" s="1087">
        <f>'Misc. Data &amp; Mechanisms'!P322</f>
        <v>296.84505784833391</v>
      </c>
      <c r="AP49" s="1463">
        <f>'Misc. Data &amp; Mechanisms'!$B$259</f>
        <v>611.34673880086393</v>
      </c>
      <c r="AQ49" s="197">
        <f>IFERROR(IF('Personalized Bill Menu'!$B$30="Yes", IF('Personalized Bill Menu'!$B$34="Natural Gas",0,VLOOKUP($A49, 'Personalized Bill Menu'!$H$4:$L$93, 2, FALSE)), 0), 0)</f>
        <v>0</v>
      </c>
      <c r="AR49" s="1343">
        <f>IFERROR(IF('Personalized Bill Menu'!$C$36="Custom", IF('Personalized Bill Menu'!$B$34="Natural Gas",0,VLOOKUP($A49, 'Personalized Bill Menu'!$H$4:$L$93, 3, FALSE)), 0), 0)</f>
        <v>0</v>
      </c>
      <c r="AS49" s="1344">
        <f>IFERROR(IF('Personalized Bill Menu'!$C$36="Custom", IF('Personalized Bill Menu'!$B$34="Natural Gas",0,VLOOKUP($A49, 'Personalized Bill Menu'!$H$4:$L$93, 4, FALSE)), 0), 0)</f>
        <v>0</v>
      </c>
    </row>
    <row r="50" spans="1:45" x14ac:dyDescent="0.35">
      <c r="A50" s="206">
        <v>42217</v>
      </c>
      <c r="B50" s="207">
        <f t="shared" si="0"/>
        <v>31</v>
      </c>
      <c r="C50" s="1581">
        <f t="shared" si="15"/>
        <v>506.92604311733879</v>
      </c>
      <c r="D50" s="178">
        <f t="shared" si="16"/>
        <v>14.989085744325418</v>
      </c>
      <c r="E50" s="178">
        <f t="shared" si="17"/>
        <v>9.8479499999999991</v>
      </c>
      <c r="F50" s="179">
        <f t="shared" si="23"/>
        <v>75.983579263173951</v>
      </c>
      <c r="G50" s="180">
        <f t="shared" si="18"/>
        <v>29.467610886410903</v>
      </c>
      <c r="H50" s="181">
        <f t="shared" si="19"/>
        <v>14.705924510833997</v>
      </c>
      <c r="I50" s="181">
        <f t="shared" si="2"/>
        <v>20.619950917608762</v>
      </c>
      <c r="J50" s="181">
        <f t="shared" si="3"/>
        <v>3.6498675104448393</v>
      </c>
      <c r="K50" s="181">
        <f t="shared" si="20"/>
        <v>-4.2480402413232987</v>
      </c>
      <c r="L50" s="181">
        <f t="shared" si="21"/>
        <v>8.17</v>
      </c>
      <c r="M50" s="182">
        <f t="shared" si="24"/>
        <v>3.61826567919876</v>
      </c>
      <c r="N50" s="273">
        <f>IF($I$2="RRO (Capped)",VLOOKUP(A50,'Misc. Data &amp; Mechanisms'!$A$1278:$E$1368,3,FALSE),IF($I$2="RRO (Uncapped)",VLOOKUP(A50,'Misc. Data &amp; Mechanisms'!$G$1278:$K$1368,3,FALSE),AR50))</f>
        <v>5.8129999999999997</v>
      </c>
      <c r="O50" s="183">
        <f t="shared" si="25"/>
        <v>29.467610886410903</v>
      </c>
      <c r="P50" s="274">
        <v>2.9009999999999998</v>
      </c>
      <c r="Q50" s="194">
        <f t="shared" si="26"/>
        <v>14.705924510833997</v>
      </c>
      <c r="R50" s="274">
        <v>0.78300000000000003</v>
      </c>
      <c r="S50" s="275">
        <v>0.53712000000000004</v>
      </c>
      <c r="T50" s="183">
        <f t="shared" si="27"/>
        <v>3.9692309176087628</v>
      </c>
      <c r="U50" s="194">
        <f t="shared" si="28"/>
        <v>16.65072</v>
      </c>
      <c r="V50" s="276">
        <v>0.72</v>
      </c>
      <c r="W50" s="183">
        <f t="shared" si="29"/>
        <v>3.6498675104448393</v>
      </c>
      <c r="X50" s="277">
        <v>-0.56899999999999995</v>
      </c>
      <c r="Y50" s="278">
        <v>-0.26900000000000002</v>
      </c>
      <c r="Z50" s="278"/>
      <c r="AA50" s="278"/>
      <c r="AB50" s="278"/>
      <c r="AC50" s="183">
        <f t="shared" si="30"/>
        <v>-2.8844091853376574</v>
      </c>
      <c r="AD50" s="183">
        <f t="shared" si="31"/>
        <v>-1.3636310559856415</v>
      </c>
      <c r="AE50" s="183">
        <f t="shared" si="32"/>
        <v>0</v>
      </c>
      <c r="AF50" s="183">
        <f t="shared" si="33"/>
        <v>0</v>
      </c>
      <c r="AG50" s="194">
        <f t="shared" si="34"/>
        <v>0</v>
      </c>
      <c r="AH50" s="200">
        <f>IF(OR($I$2="RRO (Capped)",$I$2="RRO (Uncapped)"),VLOOKUP(A50,'Misc. Data &amp; Mechanisms'!$A$1483:$H$1574,3,FALSE),AS50)</f>
        <v>8.17</v>
      </c>
      <c r="AI50" s="194">
        <f t="shared" si="22"/>
        <v>8.17</v>
      </c>
      <c r="AJ50" s="129">
        <f>5%</f>
        <v>0.05</v>
      </c>
      <c r="AK50" s="341">
        <f>'Misc. Data &amp; Mechanisms'!AI323</f>
        <v>449.86176587277242</v>
      </c>
      <c r="AL50" s="196">
        <f>'Misc. Data &amp; Mechanisms'!AP323</f>
        <v>506.42799050230519</v>
      </c>
      <c r="AM50" s="1087">
        <f>'Misc. Data &amp; Mechanisms'!N323</f>
        <v>506.92604311733879</v>
      </c>
      <c r="AN50" s="1087">
        <f>'Misc. Data &amp; Mechanisms'!O323</f>
        <v>384.71005835834933</v>
      </c>
      <c r="AO50" s="1087">
        <f>'Misc. Data &amp; Mechanisms'!P323</f>
        <v>284.71104260149127</v>
      </c>
      <c r="AP50" s="1463">
        <f>'Misc. Data &amp; Mechanisms'!$B$259</f>
        <v>611.34673880086393</v>
      </c>
      <c r="AQ50" s="197">
        <f>IFERROR(IF('Personalized Bill Menu'!$B$30="Yes", IF('Personalized Bill Menu'!$B$34="Natural Gas",0,VLOOKUP($A50, 'Personalized Bill Menu'!$H$4:$L$93, 2, FALSE)), 0), 0)</f>
        <v>0</v>
      </c>
      <c r="AR50" s="1343">
        <f>IFERROR(IF('Personalized Bill Menu'!$C$36="Custom", IF('Personalized Bill Menu'!$B$34="Natural Gas",0,VLOOKUP($A50, 'Personalized Bill Menu'!$H$4:$L$93, 3, FALSE)), 0), 0)</f>
        <v>0</v>
      </c>
      <c r="AS50" s="1344">
        <f>IFERROR(IF('Personalized Bill Menu'!$C$36="Custom", IF('Personalized Bill Menu'!$B$34="Natural Gas",0,VLOOKUP($A50, 'Personalized Bill Menu'!$H$4:$L$93, 4, FALSE)), 0), 0)</f>
        <v>0</v>
      </c>
    </row>
    <row r="51" spans="1:45" x14ac:dyDescent="0.35">
      <c r="A51" s="206">
        <v>42248</v>
      </c>
      <c r="B51" s="207">
        <f t="shared" si="0"/>
        <v>30</v>
      </c>
      <c r="C51" s="1581">
        <f t="shared" si="15"/>
        <v>469.42926116614876</v>
      </c>
      <c r="D51" s="178">
        <f t="shared" si="16"/>
        <v>14.832305439769311</v>
      </c>
      <c r="E51" s="178">
        <f t="shared" si="17"/>
        <v>9.4006500000000024</v>
      </c>
      <c r="F51" s="179">
        <f t="shared" si="23"/>
        <v>69.627181839815563</v>
      </c>
      <c r="G51" s="180">
        <f t="shared" si="18"/>
        <v>25.28815429902043</v>
      </c>
      <c r="H51" s="181">
        <f t="shared" si="19"/>
        <v>13.618142866429974</v>
      </c>
      <c r="I51" s="181">
        <f t="shared" si="2"/>
        <v>19.789231114930946</v>
      </c>
      <c r="J51" s="181">
        <f t="shared" si="3"/>
        <v>3.3798906803962709</v>
      </c>
      <c r="K51" s="181">
        <f t="shared" si="20"/>
        <v>-3.9338172085723269</v>
      </c>
      <c r="L51" s="181">
        <f t="shared" si="21"/>
        <v>8.17</v>
      </c>
      <c r="M51" s="182">
        <f t="shared" si="24"/>
        <v>3.3155800876102646</v>
      </c>
      <c r="N51" s="273">
        <f>IF($I$2="RRO (Capped)",VLOOKUP(A51,'Misc. Data &amp; Mechanisms'!$A$1278:$E$1368,3,FALSE),IF($I$2="RRO (Uncapped)",VLOOKUP(A51,'Misc. Data &amp; Mechanisms'!$G$1278:$K$1368,3,FALSE),AR51))</f>
        <v>5.3869999999999996</v>
      </c>
      <c r="O51" s="183">
        <f t="shared" si="25"/>
        <v>25.28815429902043</v>
      </c>
      <c r="P51" s="274">
        <v>2.9009999999999998</v>
      </c>
      <c r="Q51" s="194">
        <f t="shared" si="26"/>
        <v>13.618142866429974</v>
      </c>
      <c r="R51" s="274">
        <v>0.78300000000000003</v>
      </c>
      <c r="S51" s="275">
        <v>0.53712000000000004</v>
      </c>
      <c r="T51" s="183">
        <f t="shared" si="27"/>
        <v>3.6756311149309449</v>
      </c>
      <c r="U51" s="194">
        <f t="shared" si="28"/>
        <v>16.113600000000002</v>
      </c>
      <c r="V51" s="276">
        <v>0.72</v>
      </c>
      <c r="W51" s="183">
        <f t="shared" si="29"/>
        <v>3.3798906803962709</v>
      </c>
      <c r="X51" s="277">
        <v>-0.56899999999999995</v>
      </c>
      <c r="Y51" s="278">
        <v>-0.26900000000000002</v>
      </c>
      <c r="Z51" s="278"/>
      <c r="AA51" s="278"/>
      <c r="AB51" s="278"/>
      <c r="AC51" s="183">
        <f t="shared" si="30"/>
        <v>-2.6710524960353865</v>
      </c>
      <c r="AD51" s="183">
        <f t="shared" si="31"/>
        <v>-1.2627647125369403</v>
      </c>
      <c r="AE51" s="183">
        <f t="shared" si="32"/>
        <v>0</v>
      </c>
      <c r="AF51" s="183">
        <f t="shared" si="33"/>
        <v>0</v>
      </c>
      <c r="AG51" s="194">
        <f t="shared" si="34"/>
        <v>0</v>
      </c>
      <c r="AH51" s="200">
        <f>IF(OR($I$2="RRO (Capped)",$I$2="RRO (Uncapped)"),VLOOKUP(A51,'Misc. Data &amp; Mechanisms'!$A$1483:$H$1574,3,FALSE),AS51)</f>
        <v>8.17</v>
      </c>
      <c r="AI51" s="194">
        <f t="shared" si="22"/>
        <v>8.17</v>
      </c>
      <c r="AJ51" s="129">
        <f>5%</f>
        <v>0.05</v>
      </c>
      <c r="AK51" s="341">
        <f>'Misc. Data &amp; Mechanisms'!AI324</f>
        <v>416.5859680081042</v>
      </c>
      <c r="AL51" s="196">
        <f>'Misc. Data &amp; Mechanisms'!AP324</f>
        <v>481.77548643325929</v>
      </c>
      <c r="AM51" s="1087">
        <f>'Misc. Data &amp; Mechanisms'!N324</f>
        <v>469.42926116614876</v>
      </c>
      <c r="AN51" s="1087">
        <f>'Misc. Data &amp; Mechanisms'!O324</f>
        <v>356.25346322272804</v>
      </c>
      <c r="AO51" s="1087">
        <f>'Misc. Data &amp; Mechanisms'!P324</f>
        <v>263.65126863944812</v>
      </c>
      <c r="AP51" s="1463">
        <f>'Misc. Data &amp; Mechanisms'!$B$259</f>
        <v>611.34673880086393</v>
      </c>
      <c r="AQ51" s="197">
        <f>IFERROR(IF('Personalized Bill Menu'!$B$30="Yes", IF('Personalized Bill Menu'!$B$34="Natural Gas",0,VLOOKUP($A51, 'Personalized Bill Menu'!$H$4:$L$93, 2, FALSE)), 0), 0)</f>
        <v>0</v>
      </c>
      <c r="AR51" s="1343">
        <f>IFERROR(IF('Personalized Bill Menu'!$C$36="Custom", IF('Personalized Bill Menu'!$B$34="Natural Gas",0,VLOOKUP($A51, 'Personalized Bill Menu'!$H$4:$L$93, 3, FALSE)), 0), 0)</f>
        <v>0</v>
      </c>
      <c r="AS51" s="1344">
        <f>IFERROR(IF('Personalized Bill Menu'!$C$36="Custom", IF('Personalized Bill Menu'!$B$34="Natural Gas",0,VLOOKUP($A51, 'Personalized Bill Menu'!$H$4:$L$93, 4, FALSE)), 0), 0)</f>
        <v>0</v>
      </c>
    </row>
    <row r="52" spans="1:45" x14ac:dyDescent="0.35">
      <c r="A52" s="206">
        <v>42278</v>
      </c>
      <c r="B52" s="207">
        <f t="shared" si="0"/>
        <v>31</v>
      </c>
      <c r="C52" s="1581">
        <f t="shared" si="15"/>
        <v>514.86208234201422</v>
      </c>
      <c r="D52" s="178">
        <f t="shared" si="16"/>
        <v>15.033801345334576</v>
      </c>
      <c r="E52" s="178">
        <f t="shared" si="17"/>
        <v>9.9739500000000021</v>
      </c>
      <c r="F52" s="179">
        <f t="shared" si="23"/>
        <v>77.403342661751338</v>
      </c>
      <c r="G52" s="180">
        <f t="shared" si="18"/>
        <v>28.307117287163944</v>
      </c>
      <c r="H52" s="181">
        <f t="shared" si="19"/>
        <v>14.936149008741831</v>
      </c>
      <c r="I52" s="181">
        <f t="shared" si="2"/>
        <v>20.68209010473797</v>
      </c>
      <c r="J52" s="181">
        <f t="shared" si="3"/>
        <v>3.7070069928625022</v>
      </c>
      <c r="K52" s="181">
        <f t="shared" si="20"/>
        <v>-2.0748941918383172</v>
      </c>
      <c r="L52" s="181">
        <f t="shared" si="21"/>
        <v>8.16</v>
      </c>
      <c r="M52" s="182">
        <f t="shared" si="24"/>
        <v>3.6858734600833971</v>
      </c>
      <c r="N52" s="273">
        <f>IF($I$2="RRO (Capped)",VLOOKUP(A52,'Misc. Data &amp; Mechanisms'!$A$1278:$E$1368,3,FALSE),IF($I$2="RRO (Uncapped)",VLOOKUP(A52,'Misc. Data &amp; Mechanisms'!$G$1278:$K$1368,3,FALSE),AR52))</f>
        <v>5.4980000000000002</v>
      </c>
      <c r="O52" s="183">
        <f t="shared" si="25"/>
        <v>28.307117287163944</v>
      </c>
      <c r="P52" s="274">
        <v>2.9009999999999998</v>
      </c>
      <c r="Q52" s="194">
        <f t="shared" si="26"/>
        <v>14.936149008741831</v>
      </c>
      <c r="R52" s="274">
        <v>0.78300000000000003</v>
      </c>
      <c r="S52" s="275">
        <v>0.53712000000000004</v>
      </c>
      <c r="T52" s="183">
        <f t="shared" si="27"/>
        <v>4.0313701047379711</v>
      </c>
      <c r="U52" s="194">
        <f t="shared" si="28"/>
        <v>16.65072</v>
      </c>
      <c r="V52" s="276">
        <v>0.72</v>
      </c>
      <c r="W52" s="183">
        <f t="shared" si="29"/>
        <v>3.7070069928625022</v>
      </c>
      <c r="X52" s="277">
        <v>-0.56899999999999995</v>
      </c>
      <c r="Y52" s="278">
        <v>0.16600000000000001</v>
      </c>
      <c r="Z52" s="278"/>
      <c r="AA52" s="278"/>
      <c r="AB52" s="278"/>
      <c r="AC52" s="183">
        <f t="shared" si="30"/>
        <v>-2.9295652485260608</v>
      </c>
      <c r="AD52" s="183">
        <f t="shared" si="31"/>
        <v>0.85467105668774357</v>
      </c>
      <c r="AE52" s="183">
        <f t="shared" si="32"/>
        <v>0</v>
      </c>
      <c r="AF52" s="183">
        <f t="shared" si="33"/>
        <v>0</v>
      </c>
      <c r="AG52" s="194">
        <f t="shared" si="34"/>
        <v>0</v>
      </c>
      <c r="AH52" s="200">
        <f>IF(OR($I$2="RRO (Capped)",$I$2="RRO (Uncapped)"),VLOOKUP(A52,'Misc. Data &amp; Mechanisms'!$A$1483:$H$1574,3,FALSE),AS52)</f>
        <v>8.16</v>
      </c>
      <c r="AI52" s="194">
        <f t="shared" si="22"/>
        <v>8.16</v>
      </c>
      <c r="AJ52" s="129">
        <f>5%</f>
        <v>0.05</v>
      </c>
      <c r="AK52" s="341">
        <f>'Misc. Data &amp; Mechanisms'!AI325</f>
        <v>456.90445122721513</v>
      </c>
      <c r="AL52" s="196">
        <f>'Misc. Data &amp; Mechanisms'!AP325</f>
        <v>519.04049971955544</v>
      </c>
      <c r="AM52" s="1087">
        <f>'Misc. Data &amp; Mechanisms'!N325</f>
        <v>514.86208234201422</v>
      </c>
      <c r="AN52" s="1087">
        <f>'Misc. Data &amp; Mechanisms'!O325</f>
        <v>390.73277933453784</v>
      </c>
      <c r="AO52" s="1087">
        <f>'Misc. Data &amp; Mechanisms'!P325</f>
        <v>289.16825688839003</v>
      </c>
      <c r="AP52" s="1463">
        <f>'Misc. Data &amp; Mechanisms'!$B$259</f>
        <v>611.34673880086393</v>
      </c>
      <c r="AQ52" s="197">
        <f>IFERROR(IF('Personalized Bill Menu'!$B$30="Yes", IF('Personalized Bill Menu'!$B$34="Natural Gas",0,VLOOKUP($A52, 'Personalized Bill Menu'!$H$4:$L$93, 2, FALSE)), 0), 0)</f>
        <v>0</v>
      </c>
      <c r="AR52" s="1343">
        <f>IFERROR(IF('Personalized Bill Menu'!$C$36="Custom", IF('Personalized Bill Menu'!$B$34="Natural Gas",0,VLOOKUP($A52, 'Personalized Bill Menu'!$H$4:$L$93, 3, FALSE)), 0), 0)</f>
        <v>0</v>
      </c>
      <c r="AS52" s="1344">
        <f>IFERROR(IF('Personalized Bill Menu'!$C$36="Custom", IF('Personalized Bill Menu'!$B$34="Natural Gas",0,VLOOKUP($A52, 'Personalized Bill Menu'!$H$4:$L$93, 4, FALSE)), 0), 0)</f>
        <v>0</v>
      </c>
    </row>
    <row r="53" spans="1:45" x14ac:dyDescent="0.35">
      <c r="A53" s="206">
        <v>42309</v>
      </c>
      <c r="B53" s="207">
        <f t="shared" si="0"/>
        <v>30</v>
      </c>
      <c r="C53" s="1581">
        <f t="shared" si="15"/>
        <v>550.32817799500685</v>
      </c>
      <c r="D53" s="178">
        <f t="shared" si="16"/>
        <v>14.304937478837989</v>
      </c>
      <c r="E53" s="178">
        <f t="shared" si="17"/>
        <v>9.6736500000000021</v>
      </c>
      <c r="F53" s="179">
        <f t="shared" si="23"/>
        <v>78.724101790613972</v>
      </c>
      <c r="G53" s="180">
        <f t="shared" si="18"/>
        <v>28.683104637099756</v>
      </c>
      <c r="H53" s="181">
        <f t="shared" si="19"/>
        <v>15.965020443635147</v>
      </c>
      <c r="I53" s="181">
        <f t="shared" si="2"/>
        <v>20.422669633700906</v>
      </c>
      <c r="J53" s="181">
        <f t="shared" si="3"/>
        <v>3.962362881564049</v>
      </c>
      <c r="K53" s="181">
        <f t="shared" si="20"/>
        <v>-2.2178225573198773</v>
      </c>
      <c r="L53" s="181">
        <f t="shared" si="21"/>
        <v>8.16</v>
      </c>
      <c r="M53" s="182">
        <f t="shared" si="24"/>
        <v>3.7487667519339989</v>
      </c>
      <c r="N53" s="273">
        <f>IF($I$2="RRO (Capped)",VLOOKUP(A53,'Misc. Data &amp; Mechanisms'!$A$1278:$E$1368,3,FALSE),IF($I$2="RRO (Uncapped)",VLOOKUP(A53,'Misc. Data &amp; Mechanisms'!$G$1278:$K$1368,3,FALSE),AR53))</f>
        <v>5.2119999999999997</v>
      </c>
      <c r="O53" s="183">
        <f t="shared" si="25"/>
        <v>28.683104637099756</v>
      </c>
      <c r="P53" s="274">
        <v>2.9009999999999998</v>
      </c>
      <c r="Q53" s="194">
        <f t="shared" si="26"/>
        <v>15.965020443635147</v>
      </c>
      <c r="R53" s="274">
        <v>0.78300000000000003</v>
      </c>
      <c r="S53" s="275">
        <v>0.53712000000000004</v>
      </c>
      <c r="T53" s="183">
        <f t="shared" si="27"/>
        <v>4.3090696337009033</v>
      </c>
      <c r="U53" s="194">
        <f t="shared" si="28"/>
        <v>16.113600000000002</v>
      </c>
      <c r="V53" s="276">
        <v>0.72</v>
      </c>
      <c r="W53" s="183">
        <f t="shared" si="29"/>
        <v>3.962362881564049</v>
      </c>
      <c r="X53" s="277">
        <v>-0.56899999999999995</v>
      </c>
      <c r="Y53" s="278">
        <v>0.16600000000000001</v>
      </c>
      <c r="Z53" s="278"/>
      <c r="AA53" s="278"/>
      <c r="AB53" s="278"/>
      <c r="AC53" s="183">
        <f t="shared" si="30"/>
        <v>-3.131367332791589</v>
      </c>
      <c r="AD53" s="183">
        <f t="shared" si="31"/>
        <v>0.91354477547171142</v>
      </c>
      <c r="AE53" s="183">
        <f t="shared" si="32"/>
        <v>0</v>
      </c>
      <c r="AF53" s="183">
        <f t="shared" si="33"/>
        <v>0</v>
      </c>
      <c r="AG53" s="194">
        <f t="shared" si="34"/>
        <v>0</v>
      </c>
      <c r="AH53" s="200">
        <f>IF(OR($I$2="RRO (Capped)",$I$2="RRO (Uncapped)"),VLOOKUP(A53,'Misc. Data &amp; Mechanisms'!$A$1483:$H$1574,3,FALSE),AS53)</f>
        <v>8.16</v>
      </c>
      <c r="AI53" s="194">
        <f t="shared" si="22"/>
        <v>8.16</v>
      </c>
      <c r="AJ53" s="129">
        <f>5%</f>
        <v>0.05</v>
      </c>
      <c r="AK53" s="341">
        <f>'Misc. Data &amp; Mechanisms'!AI326</f>
        <v>488.37815559827828</v>
      </c>
      <c r="AL53" s="196">
        <f>'Misc. Data &amp; Mechanisms'!AP326</f>
        <v>571.38836594633881</v>
      </c>
      <c r="AM53" s="1087">
        <f>'Misc. Data &amp; Mechanisms'!N326</f>
        <v>550.32817799500685</v>
      </c>
      <c r="AN53" s="1087">
        <f>'Misc. Data &amp; Mechanisms'!O326</f>
        <v>417.64827107866068</v>
      </c>
      <c r="AO53" s="1087">
        <f>'Misc. Data &amp; Mechanisms'!P326</f>
        <v>309.08751179246377</v>
      </c>
      <c r="AP53" s="1463">
        <f>'Misc. Data &amp; Mechanisms'!$B$259</f>
        <v>611.34673880086393</v>
      </c>
      <c r="AQ53" s="197">
        <f>IFERROR(IF('Personalized Bill Menu'!$B$30="Yes", IF('Personalized Bill Menu'!$B$34="Natural Gas",0,VLOOKUP($A53, 'Personalized Bill Menu'!$H$4:$L$93, 2, FALSE)), 0), 0)</f>
        <v>0</v>
      </c>
      <c r="AR53" s="1343">
        <f>IFERROR(IF('Personalized Bill Menu'!$C$36="Custom", IF('Personalized Bill Menu'!$B$34="Natural Gas",0,VLOOKUP($A53, 'Personalized Bill Menu'!$H$4:$L$93, 3, FALSE)), 0), 0)</f>
        <v>0</v>
      </c>
      <c r="AS53" s="1344">
        <f>IFERROR(IF('Personalized Bill Menu'!$C$36="Custom", IF('Personalized Bill Menu'!$B$34="Natural Gas",0,VLOOKUP($A53, 'Personalized Bill Menu'!$H$4:$L$93, 4, FALSE)), 0), 0)</f>
        <v>0</v>
      </c>
    </row>
    <row r="54" spans="1:45" x14ac:dyDescent="0.35">
      <c r="A54" s="229">
        <v>42339</v>
      </c>
      <c r="B54" s="230">
        <f t="shared" si="0"/>
        <v>31</v>
      </c>
      <c r="C54" s="231">
        <f t="shared" si="15"/>
        <v>616.50382990118783</v>
      </c>
      <c r="D54" s="208">
        <f t="shared" si="16"/>
        <v>14.190143821900579</v>
      </c>
      <c r="E54" s="208">
        <f t="shared" si="17"/>
        <v>9.9645000000000028</v>
      </c>
      <c r="F54" s="232">
        <f t="shared" si="23"/>
        <v>87.482780130503855</v>
      </c>
      <c r="G54" s="233">
        <f t="shared" si="18"/>
        <v>33.839895223276201</v>
      </c>
      <c r="H54" s="208">
        <f t="shared" si="19"/>
        <v>17.884776105433456</v>
      </c>
      <c r="I54" s="208">
        <f t="shared" si="2"/>
        <v>21.4779449881263</v>
      </c>
      <c r="J54" s="208">
        <f t="shared" si="3"/>
        <v>4.4388275752885527</v>
      </c>
      <c r="K54" s="208">
        <f t="shared" si="20"/>
        <v>-2.4845104345017868</v>
      </c>
      <c r="L54" s="208">
        <f t="shared" si="21"/>
        <v>8.16</v>
      </c>
      <c r="M54" s="234">
        <f t="shared" si="24"/>
        <v>4.1658466728811367</v>
      </c>
      <c r="N54" s="1243">
        <f>IF($I$2="RRO (Capped)",VLOOKUP(A54,'Misc. Data &amp; Mechanisms'!$A$1278:$E$1368,3,FALSE),IF($I$2="RRO (Uncapped)",VLOOKUP(A54,'Misc. Data &amp; Mechanisms'!$G$1278:$K$1368,3,FALSE),AR54))</f>
        <v>5.4889999999999999</v>
      </c>
      <c r="O54" s="235">
        <f t="shared" si="25"/>
        <v>33.839895223276201</v>
      </c>
      <c r="P54" s="279">
        <v>2.9009999999999998</v>
      </c>
      <c r="Q54" s="237">
        <f t="shared" si="26"/>
        <v>17.884776105433456</v>
      </c>
      <c r="R54" s="279">
        <v>0.78300000000000003</v>
      </c>
      <c r="S54" s="280">
        <v>0.53712000000000004</v>
      </c>
      <c r="T54" s="235">
        <f t="shared" si="27"/>
        <v>4.827224988126301</v>
      </c>
      <c r="U54" s="237">
        <f t="shared" si="28"/>
        <v>16.65072</v>
      </c>
      <c r="V54" s="281">
        <v>0.72</v>
      </c>
      <c r="W54" s="235">
        <f t="shared" si="29"/>
        <v>4.4388275752885527</v>
      </c>
      <c r="X54" s="282">
        <v>-0.56899999999999995</v>
      </c>
      <c r="Y54" s="283">
        <v>0.16600000000000001</v>
      </c>
      <c r="Z54" s="283"/>
      <c r="AA54" s="283"/>
      <c r="AB54" s="283"/>
      <c r="AC54" s="235">
        <f t="shared" si="30"/>
        <v>-3.5079067921377587</v>
      </c>
      <c r="AD54" s="235">
        <f t="shared" si="31"/>
        <v>1.0233963576359717</v>
      </c>
      <c r="AE54" s="235">
        <f t="shared" si="32"/>
        <v>0</v>
      </c>
      <c r="AF54" s="235">
        <f t="shared" si="33"/>
        <v>0</v>
      </c>
      <c r="AG54" s="237">
        <f t="shared" si="34"/>
        <v>0</v>
      </c>
      <c r="AH54" s="239">
        <f>IF(OR($I$2="RRO (Capped)",$I$2="RRO (Uncapped)"),VLOOKUP(A54,'Misc. Data &amp; Mechanisms'!$A$1483:$H$1574,3,FALSE),AS54)</f>
        <v>8.16</v>
      </c>
      <c r="AI54" s="237">
        <f t="shared" si="22"/>
        <v>8.16</v>
      </c>
      <c r="AJ54" s="242">
        <f>5%</f>
        <v>0.05</v>
      </c>
      <c r="AK54" s="352">
        <f>'Misc. Data &amp; Mechanisms'!AI327</f>
        <v>547.10446494554844</v>
      </c>
      <c r="AL54" s="1089">
        <f>'Misc. Data &amp; Mechanisms'!AP327</f>
        <v>670.95704577590584</v>
      </c>
      <c r="AM54" s="1089">
        <f>'Misc. Data &amp; Mechanisms'!N327</f>
        <v>616.50382990118783</v>
      </c>
      <c r="AN54" s="1089">
        <f>'Misc. Data &amp; Mechanisms'!O327</f>
        <v>467.86948037020181</v>
      </c>
      <c r="AO54" s="1089">
        <f>'Misc. Data &amp; Mechanisms'!P327</f>
        <v>346.25454849308363</v>
      </c>
      <c r="AP54" s="1464">
        <f>'Misc. Data &amp; Mechanisms'!$B$259</f>
        <v>611.34673880086393</v>
      </c>
      <c r="AQ54" s="243">
        <f>IFERROR(IF('Personalized Bill Menu'!$B$30="Yes", IF('Personalized Bill Menu'!$B$34="Natural Gas",0,VLOOKUP($A54, 'Personalized Bill Menu'!$H$4:$L$93, 2, FALSE)), 0), 0)</f>
        <v>0</v>
      </c>
      <c r="AR54" s="1345">
        <f>IFERROR(IF('Personalized Bill Menu'!$C$36="Custom", IF('Personalized Bill Menu'!$B$34="Natural Gas",0,VLOOKUP($A54, 'Personalized Bill Menu'!$H$4:$L$93, 3, FALSE)), 0), 0)</f>
        <v>0</v>
      </c>
      <c r="AS54" s="1346">
        <f>IFERROR(IF('Personalized Bill Menu'!$C$36="Custom", IF('Personalized Bill Menu'!$B$34="Natural Gas",0,VLOOKUP($A54, 'Personalized Bill Menu'!$H$4:$L$93, 4, FALSE)), 0), 0)</f>
        <v>0</v>
      </c>
    </row>
    <row r="55" spans="1:45" x14ac:dyDescent="0.35">
      <c r="A55" s="210">
        <v>42370</v>
      </c>
      <c r="B55" s="211">
        <f t="shared" si="0"/>
        <v>31</v>
      </c>
      <c r="C55" s="212">
        <f t="shared" si="15"/>
        <v>629.90010689618509</v>
      </c>
      <c r="D55" s="215">
        <f t="shared" si="16"/>
        <v>13.788529510371321</v>
      </c>
      <c r="E55" s="178">
        <f t="shared" si="17"/>
        <v>9.9865500000000011</v>
      </c>
      <c r="F55" s="213">
        <f t="shared" si="23"/>
        <v>86.853962125240969</v>
      </c>
      <c r="G55" s="214">
        <f t="shared" si="18"/>
        <v>33.40990166977366</v>
      </c>
      <c r="H55" s="215">
        <f t="shared" si="19"/>
        <v>18.871807202609705</v>
      </c>
      <c r="I55" s="215">
        <f t="shared" si="2"/>
        <v>22.6823378797556</v>
      </c>
      <c r="J55" s="215">
        <f t="shared" si="3"/>
        <v>4.7872408124110066</v>
      </c>
      <c r="K55" s="181">
        <f t="shared" si="20"/>
        <v>-2.3432283976538084</v>
      </c>
      <c r="L55" s="215">
        <f t="shared" si="21"/>
        <v>5.31</v>
      </c>
      <c r="M55" s="216">
        <f t="shared" si="24"/>
        <v>4.1359029583448077</v>
      </c>
      <c r="N55" s="273">
        <f>IF($I$2="RRO (Capped)",VLOOKUP(A55,'Misc. Data &amp; Mechanisms'!$A$1278:$E$1368,3,FALSE),IF($I$2="RRO (Uncapped)",VLOOKUP(A55,'Misc. Data &amp; Mechanisms'!$G$1278:$K$1368,3,FALSE),AR55))</f>
        <v>5.3040000000000003</v>
      </c>
      <c r="O55" s="217">
        <f t="shared" si="25"/>
        <v>33.40990166977366</v>
      </c>
      <c r="P55" s="284">
        <v>2.996</v>
      </c>
      <c r="Q55" s="219">
        <f t="shared" si="26"/>
        <v>18.871807202609705</v>
      </c>
      <c r="R55" s="294">
        <v>0.82299999999999995</v>
      </c>
      <c r="S55" s="285">
        <v>0.56445999999999996</v>
      </c>
      <c r="T55" s="217">
        <f t="shared" si="27"/>
        <v>5.1840778797556029</v>
      </c>
      <c r="U55" s="219">
        <f t="shared" si="28"/>
        <v>17.498259999999998</v>
      </c>
      <c r="V55" s="286">
        <v>0.76</v>
      </c>
      <c r="W55" s="217">
        <f t="shared" si="29"/>
        <v>4.7872408124110066</v>
      </c>
      <c r="X55" s="287">
        <v>-0.33600000000000002</v>
      </c>
      <c r="Y55" s="295">
        <v>0.05</v>
      </c>
      <c r="Z55" s="295">
        <v>0.04</v>
      </c>
      <c r="AA55" s="295">
        <v>-0.126</v>
      </c>
      <c r="AB55" s="295"/>
      <c r="AC55" s="217">
        <f t="shared" si="30"/>
        <v>-2.1164643591711818</v>
      </c>
      <c r="AD55" s="217">
        <f t="shared" si="31"/>
        <v>0.31495005344809257</v>
      </c>
      <c r="AE55" s="217">
        <f t="shared" si="32"/>
        <v>0.25196004275847406</v>
      </c>
      <c r="AF55" s="183">
        <f t="shared" si="33"/>
        <v>-0.79367413468919323</v>
      </c>
      <c r="AG55" s="194">
        <f t="shared" si="34"/>
        <v>0</v>
      </c>
      <c r="AH55" s="200">
        <f>IF(OR($I$2="RRO (Capped)",$I$2="RRO (Uncapped)"),VLOOKUP(A55,'Misc. Data &amp; Mechanisms'!$A$1483:$H$1574,3,FALSE),AS55)</f>
        <v>5.31</v>
      </c>
      <c r="AI55" s="194">
        <f t="shared" si="22"/>
        <v>5.31</v>
      </c>
      <c r="AJ55" s="225">
        <f>5%</f>
        <v>0.05</v>
      </c>
      <c r="AK55" s="359">
        <f>'Misc. Data &amp; Mechanisms'!AI328</f>
        <v>558.99273327761227</v>
      </c>
      <c r="AL55" s="1239">
        <f>'Misc. Data &amp; Mechanisms'!AP328</f>
        <v>642.78687153718272</v>
      </c>
      <c r="AM55" s="1088">
        <f>'Misc. Data &amp; Mechanisms'!N328</f>
        <v>629.90010689618509</v>
      </c>
      <c r="AN55" s="1088">
        <f>'Misc. Data &amp; Mechanisms'!O328</f>
        <v>478.0360176284525</v>
      </c>
      <c r="AO55" s="1088">
        <f>'Misc. Data &amp; Mechanisms'!P328</f>
        <v>353.77846256695813</v>
      </c>
      <c r="AP55" s="1463">
        <f>'Misc. Data &amp; Mechanisms'!$B$259</f>
        <v>611.34673880086393</v>
      </c>
      <c r="AQ55" s="197">
        <f>IFERROR(IF('Personalized Bill Menu'!$B$30="Yes", IF('Personalized Bill Menu'!$B$34="Natural Gas",0,VLOOKUP($A55, 'Personalized Bill Menu'!$H$4:$L$93, 2, FALSE)), 0), 0)</f>
        <v>0</v>
      </c>
      <c r="AR55" s="1343">
        <f>IFERROR(IF('Personalized Bill Menu'!$C$36="Custom", IF('Personalized Bill Menu'!$B$34="Natural Gas",0,VLOOKUP($A55, 'Personalized Bill Menu'!$H$4:$L$93, 3, FALSE)), 0), 0)</f>
        <v>0</v>
      </c>
      <c r="AS55" s="1344">
        <f>IFERROR(IF('Personalized Bill Menu'!$C$36="Custom", IF('Personalized Bill Menu'!$B$34="Natural Gas",0,VLOOKUP($A55, 'Personalized Bill Menu'!$H$4:$L$93, 4, FALSE)), 0), 0)</f>
        <v>0</v>
      </c>
    </row>
    <row r="56" spans="1:45" x14ac:dyDescent="0.35">
      <c r="A56" s="206">
        <v>42401</v>
      </c>
      <c r="B56" s="207">
        <f t="shared" si="0"/>
        <v>29</v>
      </c>
      <c r="C56" s="1581">
        <f t="shared" si="15"/>
        <v>527.90921046894471</v>
      </c>
      <c r="D56" s="178">
        <f t="shared" si="16"/>
        <v>13.719973829700606</v>
      </c>
      <c r="E56" s="178">
        <f t="shared" si="17"/>
        <v>9.4080000000000013</v>
      </c>
      <c r="F56" s="179">
        <f t="shared" si="23"/>
        <v>72.429005520918309</v>
      </c>
      <c r="G56" s="180">
        <f t="shared" si="18"/>
        <v>25.091524773588944</v>
      </c>
      <c r="H56" s="181">
        <f t="shared" si="19"/>
        <v>15.816159945649584</v>
      </c>
      <c r="I56" s="181">
        <f t="shared" si="2"/>
        <v>20.714032802159412</v>
      </c>
      <c r="J56" s="181">
        <f t="shared" si="3"/>
        <v>4.0121099995639797</v>
      </c>
      <c r="K56" s="181">
        <f t="shared" si="20"/>
        <v>-1.9638222629444744</v>
      </c>
      <c r="L56" s="181">
        <f t="shared" si="21"/>
        <v>5.31</v>
      </c>
      <c r="M56" s="182">
        <f t="shared" si="24"/>
        <v>3.4490002629008725</v>
      </c>
      <c r="N56" s="273">
        <f>IF($I$2="RRO (Capped)",VLOOKUP(A56,'Misc. Data &amp; Mechanisms'!$A$1278:$E$1368,3,FALSE),IF($I$2="RRO (Uncapped)",VLOOKUP(A56,'Misc. Data &amp; Mechanisms'!$G$1278:$K$1368,3,FALSE),AR56))</f>
        <v>4.7530000000000001</v>
      </c>
      <c r="O56" s="183">
        <f t="shared" si="25"/>
        <v>25.091524773588944</v>
      </c>
      <c r="P56" s="274">
        <v>2.996</v>
      </c>
      <c r="Q56" s="194">
        <f t="shared" si="26"/>
        <v>15.816159945649584</v>
      </c>
      <c r="R56" s="274">
        <v>0.82299999999999995</v>
      </c>
      <c r="S56" s="275">
        <v>0.56445999999999996</v>
      </c>
      <c r="T56" s="183">
        <f t="shared" si="27"/>
        <v>4.3446928021594147</v>
      </c>
      <c r="U56" s="194">
        <f t="shared" si="28"/>
        <v>16.369339999999998</v>
      </c>
      <c r="V56" s="276">
        <v>0.76</v>
      </c>
      <c r="W56" s="183">
        <f t="shared" si="29"/>
        <v>4.0121099995639797</v>
      </c>
      <c r="X56" s="277">
        <v>-0.33600000000000002</v>
      </c>
      <c r="Y56" s="278">
        <v>0.05</v>
      </c>
      <c r="Z56" s="278">
        <v>0.04</v>
      </c>
      <c r="AA56" s="278">
        <v>-0.126</v>
      </c>
      <c r="AB56" s="278"/>
      <c r="AC56" s="183">
        <f t="shared" si="30"/>
        <v>-1.7737749471756543</v>
      </c>
      <c r="AD56" s="183">
        <f t="shared" si="31"/>
        <v>0.26395460523447234</v>
      </c>
      <c r="AE56" s="183">
        <f t="shared" si="32"/>
        <v>0.21116368418757789</v>
      </c>
      <c r="AF56" s="183">
        <f t="shared" si="33"/>
        <v>-0.66516560519087031</v>
      </c>
      <c r="AG56" s="194">
        <f t="shared" si="34"/>
        <v>0</v>
      </c>
      <c r="AH56" s="200">
        <f>IF(OR($I$2="RRO (Capped)",$I$2="RRO (Uncapped)"),VLOOKUP(A56,'Misc. Data &amp; Mechanisms'!$A$1483:$H$1574,3,FALSE),AS56)</f>
        <v>5.31</v>
      </c>
      <c r="AI56" s="194">
        <f t="shared" si="22"/>
        <v>5.31</v>
      </c>
      <c r="AJ56" s="129">
        <f>5%</f>
        <v>0.05</v>
      </c>
      <c r="AK56" s="341">
        <f>'Misc. Data &amp; Mechanisms'!AI329</f>
        <v>468.48287411244587</v>
      </c>
      <c r="AL56" s="196">
        <f>'Misc. Data &amp; Mechanisms'!AP329</f>
        <v>547.71695659835859</v>
      </c>
      <c r="AM56" s="1087">
        <f>'Misc. Data &amp; Mechanisms'!N329</f>
        <v>527.90921046894471</v>
      </c>
      <c r="AN56" s="1087">
        <f>'Misc. Data &amp; Mechanisms'!O329</f>
        <v>400.63434484151742</v>
      </c>
      <c r="AO56" s="1087">
        <f>'Misc. Data &amp; Mechanisms'!P329</f>
        <v>296.49607423454631</v>
      </c>
      <c r="AP56" s="1463">
        <f>'Misc. Data &amp; Mechanisms'!$B$259</f>
        <v>611.34673880086393</v>
      </c>
      <c r="AQ56" s="197">
        <f>IFERROR(IF('Personalized Bill Menu'!$B$30="Yes", IF('Personalized Bill Menu'!$B$34="Natural Gas",0,VLOOKUP($A56, 'Personalized Bill Menu'!$H$4:$L$93, 2, FALSE)), 0), 0)</f>
        <v>0</v>
      </c>
      <c r="AR56" s="1343">
        <f>IFERROR(IF('Personalized Bill Menu'!$C$36="Custom", IF('Personalized Bill Menu'!$B$34="Natural Gas",0,VLOOKUP($A56, 'Personalized Bill Menu'!$H$4:$L$93, 3, FALSE)), 0), 0)</f>
        <v>0</v>
      </c>
      <c r="AS56" s="1344">
        <f>IFERROR(IF('Personalized Bill Menu'!$C$36="Custom", IF('Personalized Bill Menu'!$B$34="Natural Gas",0,VLOOKUP($A56, 'Personalized Bill Menu'!$H$4:$L$93, 4, FALSE)), 0), 0)</f>
        <v>0</v>
      </c>
    </row>
    <row r="57" spans="1:45" x14ac:dyDescent="0.35">
      <c r="A57" s="206">
        <v>42430</v>
      </c>
      <c r="B57" s="207">
        <f t="shared" si="0"/>
        <v>31</v>
      </c>
      <c r="C57" s="1581">
        <f t="shared" si="15"/>
        <v>526.89320316459441</v>
      </c>
      <c r="D57" s="178">
        <f t="shared" si="16"/>
        <v>13.709661327373539</v>
      </c>
      <c r="E57" s="178">
        <f t="shared" si="17"/>
        <v>9.1644000000000005</v>
      </c>
      <c r="F57" s="179">
        <f t="shared" si="23"/>
        <v>72.235273710816088</v>
      </c>
      <c r="G57" s="180">
        <f t="shared" si="18"/>
        <v>23.820841715071314</v>
      </c>
      <c r="H57" s="181">
        <f t="shared" si="19"/>
        <v>15.785720366811249</v>
      </c>
      <c r="I57" s="181">
        <f t="shared" si="2"/>
        <v>21.834591062044609</v>
      </c>
      <c r="J57" s="181">
        <f t="shared" si="3"/>
        <v>4.0043883440509171</v>
      </c>
      <c r="K57" s="181">
        <f t="shared" si="20"/>
        <v>-1.9600427157722913</v>
      </c>
      <c r="L57" s="181">
        <f t="shared" si="21"/>
        <v>5.31</v>
      </c>
      <c r="M57" s="182">
        <f t="shared" si="24"/>
        <v>3.4397749386102903</v>
      </c>
      <c r="N57" s="273">
        <f>IF($I$2="RRO (Capped)",VLOOKUP(A57,'Misc. Data &amp; Mechanisms'!$A$1278:$E$1368,3,FALSE),IF($I$2="RRO (Uncapped)",VLOOKUP(A57,'Misc. Data &amp; Mechanisms'!$G$1278:$K$1368,3,FALSE),AR57))</f>
        <v>4.5209999999999999</v>
      </c>
      <c r="O57" s="183">
        <f t="shared" si="25"/>
        <v>23.820841715071314</v>
      </c>
      <c r="P57" s="274">
        <v>2.996</v>
      </c>
      <c r="Q57" s="194">
        <f t="shared" si="26"/>
        <v>15.785720366811249</v>
      </c>
      <c r="R57" s="274">
        <v>0.82299999999999995</v>
      </c>
      <c r="S57" s="275">
        <v>0.56445999999999996</v>
      </c>
      <c r="T57" s="183">
        <f t="shared" si="27"/>
        <v>4.3363310620446116</v>
      </c>
      <c r="U57" s="194">
        <f t="shared" si="28"/>
        <v>17.498259999999998</v>
      </c>
      <c r="V57" s="276">
        <v>0.76</v>
      </c>
      <c r="W57" s="183">
        <f t="shared" si="29"/>
        <v>4.0043883440509171</v>
      </c>
      <c r="X57" s="277">
        <v>-0.33600000000000002</v>
      </c>
      <c r="Y57" s="278">
        <v>0.05</v>
      </c>
      <c r="Z57" s="278">
        <v>0.04</v>
      </c>
      <c r="AA57" s="278">
        <v>-0.126</v>
      </c>
      <c r="AB57" s="278"/>
      <c r="AC57" s="183">
        <f t="shared" si="30"/>
        <v>-1.7703611626330373</v>
      </c>
      <c r="AD57" s="183">
        <f t="shared" si="31"/>
        <v>0.26344660158229721</v>
      </c>
      <c r="AE57" s="183">
        <f t="shared" si="32"/>
        <v>0.21075728126583779</v>
      </c>
      <c r="AF57" s="183">
        <f t="shared" si="33"/>
        <v>-0.66388543598738903</v>
      </c>
      <c r="AG57" s="194">
        <f t="shared" si="34"/>
        <v>0</v>
      </c>
      <c r="AH57" s="200">
        <f>IF(OR($I$2="RRO (Capped)",$I$2="RRO (Uncapped)"),VLOOKUP(A57,'Misc. Data &amp; Mechanisms'!$A$1483:$H$1574,3,FALSE),AS57)</f>
        <v>5.31</v>
      </c>
      <c r="AI57" s="194">
        <f t="shared" si="22"/>
        <v>5.31</v>
      </c>
      <c r="AJ57" s="129">
        <f>5%</f>
        <v>0.05</v>
      </c>
      <c r="AK57" s="341">
        <f>'Misc. Data &amp; Mechanisms'!AI330</f>
        <v>467.58123797384081</v>
      </c>
      <c r="AL57" s="196">
        <f>'Misc. Data &amp; Mechanisms'!AP330</f>
        <v>543.24771404193632</v>
      </c>
      <c r="AM57" s="1087">
        <f>'Misc. Data &amp; Mechanisms'!N330</f>
        <v>526.89320316459441</v>
      </c>
      <c r="AN57" s="1087">
        <f>'Misc. Data &amp; Mechanisms'!O330</f>
        <v>399.86328911325876</v>
      </c>
      <c r="AO57" s="1087">
        <f>'Misc. Data &amp; Mechanisms'!P330</f>
        <v>295.9254416879653</v>
      </c>
      <c r="AP57" s="1463">
        <f>'Misc. Data &amp; Mechanisms'!$B$259</f>
        <v>611.34673880086393</v>
      </c>
      <c r="AQ57" s="197">
        <f>IFERROR(IF('Personalized Bill Menu'!$B$30="Yes", IF('Personalized Bill Menu'!$B$34="Natural Gas",0,VLOOKUP($A57, 'Personalized Bill Menu'!$H$4:$L$93, 2, FALSE)), 0), 0)</f>
        <v>0</v>
      </c>
      <c r="AR57" s="1343">
        <f>IFERROR(IF('Personalized Bill Menu'!$C$36="Custom", IF('Personalized Bill Menu'!$B$34="Natural Gas",0,VLOOKUP($A57, 'Personalized Bill Menu'!$H$4:$L$93, 3, FALSE)), 0), 0)</f>
        <v>0</v>
      </c>
      <c r="AS57" s="1344">
        <f>IFERROR(IF('Personalized Bill Menu'!$C$36="Custom", IF('Personalized Bill Menu'!$B$34="Natural Gas",0,VLOOKUP($A57, 'Personalized Bill Menu'!$H$4:$L$93, 4, FALSE)), 0), 0)</f>
        <v>0</v>
      </c>
    </row>
    <row r="58" spans="1:45" x14ac:dyDescent="0.35">
      <c r="A58" s="206">
        <v>42461</v>
      </c>
      <c r="B58" s="207">
        <f t="shared" si="0"/>
        <v>30</v>
      </c>
      <c r="C58" s="1581">
        <f t="shared" si="15"/>
        <v>465.37197607008437</v>
      </c>
      <c r="D58" s="178">
        <f t="shared" si="16"/>
        <v>13.567410004763881</v>
      </c>
      <c r="E58" s="178">
        <f t="shared" si="17"/>
        <v>8.5554000000000006</v>
      </c>
      <c r="F58" s="179">
        <f t="shared" si="23"/>
        <v>63.138924040700005</v>
      </c>
      <c r="G58" s="180">
        <f t="shared" si="18"/>
        <v>16.986077126558079</v>
      </c>
      <c r="H58" s="181">
        <f t="shared" si="19"/>
        <v>13.942544403059728</v>
      </c>
      <c r="I58" s="181">
        <f t="shared" si="2"/>
        <v>20.763811363056792</v>
      </c>
      <c r="J58" s="181">
        <f t="shared" si="3"/>
        <v>3.5368270181326413</v>
      </c>
      <c r="K58" s="181">
        <f t="shared" si="20"/>
        <v>-0.3769513006167684</v>
      </c>
      <c r="L58" s="181">
        <f t="shared" si="21"/>
        <v>5.28</v>
      </c>
      <c r="M58" s="182">
        <f t="shared" si="24"/>
        <v>3.0066154305095241</v>
      </c>
      <c r="N58" s="273">
        <f>IF($I$2="RRO (Capped)",VLOOKUP(A58,'Misc. Data &amp; Mechanisms'!$A$1278:$E$1368,3,FALSE),IF($I$2="RRO (Uncapped)",VLOOKUP(A58,'Misc. Data &amp; Mechanisms'!$G$1278:$K$1368,3,FALSE),AR58))</f>
        <v>3.65</v>
      </c>
      <c r="O58" s="183">
        <f t="shared" si="25"/>
        <v>16.986077126558079</v>
      </c>
      <c r="P58" s="274">
        <v>2.996</v>
      </c>
      <c r="Q58" s="194">
        <f t="shared" si="26"/>
        <v>13.942544403059728</v>
      </c>
      <c r="R58" s="274">
        <v>0.82299999999999995</v>
      </c>
      <c r="S58" s="275">
        <v>0.56445999999999996</v>
      </c>
      <c r="T58" s="183">
        <f t="shared" si="27"/>
        <v>3.8300113630567942</v>
      </c>
      <c r="U58" s="194">
        <f t="shared" si="28"/>
        <v>16.933799999999998</v>
      </c>
      <c r="V58" s="276">
        <v>0.76</v>
      </c>
      <c r="W58" s="183">
        <f t="shared" si="29"/>
        <v>3.5368270181326413</v>
      </c>
      <c r="X58" s="277">
        <v>-0.33600000000000002</v>
      </c>
      <c r="Y58" s="278">
        <v>0.255</v>
      </c>
      <c r="Z58" s="278"/>
      <c r="AA58" s="278"/>
      <c r="AB58" s="278"/>
      <c r="AC58" s="183">
        <f t="shared" si="30"/>
        <v>-1.5636498395954836</v>
      </c>
      <c r="AD58" s="183">
        <f t="shared" si="31"/>
        <v>1.1866985389787152</v>
      </c>
      <c r="AE58" s="183">
        <f t="shared" si="32"/>
        <v>0</v>
      </c>
      <c r="AF58" s="183">
        <f t="shared" si="33"/>
        <v>0</v>
      </c>
      <c r="AG58" s="194">
        <f t="shared" si="34"/>
        <v>0</v>
      </c>
      <c r="AH58" s="200">
        <f>IF(OR($I$2="RRO (Capped)",$I$2="RRO (Uncapped)"),VLOOKUP(A58,'Misc. Data &amp; Mechanisms'!$A$1483:$H$1574,3,FALSE),AS58)</f>
        <v>5.28</v>
      </c>
      <c r="AI58" s="194">
        <f t="shared" si="22"/>
        <v>5.28</v>
      </c>
      <c r="AJ58" s="129">
        <f>5%</f>
        <v>0.05</v>
      </c>
      <c r="AK58" s="341">
        <f>'Misc. Data &amp; Mechanisms'!AI331</f>
        <v>412.98540839443621</v>
      </c>
      <c r="AL58" s="196">
        <f>'Misc. Data &amp; Mechanisms'!AP331</f>
        <v>470.8590031217114</v>
      </c>
      <c r="AM58" s="1087">
        <f>'Misc. Data &amp; Mechanisms'!N331</f>
        <v>465.37197607008437</v>
      </c>
      <c r="AN58" s="1087">
        <f>'Misc. Data &amp; Mechanisms'!O331</f>
        <v>353.17435847505163</v>
      </c>
      <c r="AO58" s="1087">
        <f>'Misc. Data &amp; Mechanisms'!P331</f>
        <v>261.37252623606241</v>
      </c>
      <c r="AP58" s="1463">
        <f>'Misc. Data &amp; Mechanisms'!$B$259</f>
        <v>611.34673880086393</v>
      </c>
      <c r="AQ58" s="197">
        <f>IFERROR(IF('Personalized Bill Menu'!$B$30="Yes", IF('Personalized Bill Menu'!$B$34="Natural Gas",0,VLOOKUP($A58, 'Personalized Bill Menu'!$H$4:$L$93, 2, FALSE)), 0), 0)</f>
        <v>0</v>
      </c>
      <c r="AR58" s="1343">
        <f>IFERROR(IF('Personalized Bill Menu'!$C$36="Custom", IF('Personalized Bill Menu'!$B$34="Natural Gas",0,VLOOKUP($A58, 'Personalized Bill Menu'!$H$4:$L$93, 3, FALSE)), 0), 0)</f>
        <v>0</v>
      </c>
      <c r="AS58" s="1344">
        <f>IFERROR(IF('Personalized Bill Menu'!$C$36="Custom", IF('Personalized Bill Menu'!$B$34="Natural Gas",0,VLOOKUP($A58, 'Personalized Bill Menu'!$H$4:$L$93, 4, FALSE)), 0), 0)</f>
        <v>0</v>
      </c>
    </row>
    <row r="59" spans="1:45" x14ac:dyDescent="0.35">
      <c r="A59" s="206">
        <v>42491</v>
      </c>
      <c r="B59" s="207">
        <f t="shared" si="0"/>
        <v>31</v>
      </c>
      <c r="C59" s="1581">
        <f t="shared" si="15"/>
        <v>479.00966320159068</v>
      </c>
      <c r="D59" s="178">
        <f t="shared" si="16"/>
        <v>13.22924603588644</v>
      </c>
      <c r="E59" s="178">
        <f t="shared" si="17"/>
        <v>8.2362000000000002</v>
      </c>
      <c r="F59" s="179">
        <f t="shared" si="23"/>
        <v>63.369366880609419</v>
      </c>
      <c r="G59" s="180">
        <f t="shared" si="18"/>
        <v>16.027663330725225</v>
      </c>
      <c r="H59" s="181">
        <f t="shared" si="19"/>
        <v>14.351129509519657</v>
      </c>
      <c r="I59" s="181">
        <f t="shared" si="2"/>
        <v>21.440509528149089</v>
      </c>
      <c r="J59" s="181">
        <f t="shared" si="3"/>
        <v>3.6404734403320891</v>
      </c>
      <c r="K59" s="181">
        <f t="shared" si="20"/>
        <v>-0.38799782719328846</v>
      </c>
      <c r="L59" s="181">
        <f t="shared" si="21"/>
        <v>5.28</v>
      </c>
      <c r="M59" s="182">
        <f t="shared" si="24"/>
        <v>3.0175888990766389</v>
      </c>
      <c r="N59" s="273">
        <f>IF($I$2="RRO (Capped)",VLOOKUP(A59,'Misc. Data &amp; Mechanisms'!$A$1278:$E$1368,3,FALSE),IF($I$2="RRO (Uncapped)",VLOOKUP(A59,'Misc. Data &amp; Mechanisms'!$G$1278:$K$1368,3,FALSE),AR59))</f>
        <v>3.3460000000000001</v>
      </c>
      <c r="O59" s="183">
        <f t="shared" si="25"/>
        <v>16.027663330725225</v>
      </c>
      <c r="P59" s="274">
        <v>2.996</v>
      </c>
      <c r="Q59" s="194">
        <f t="shared" si="26"/>
        <v>14.351129509519657</v>
      </c>
      <c r="R59" s="274">
        <v>0.82299999999999995</v>
      </c>
      <c r="S59" s="275">
        <v>0.56445999999999996</v>
      </c>
      <c r="T59" s="183">
        <f t="shared" si="27"/>
        <v>3.942249528149091</v>
      </c>
      <c r="U59" s="194">
        <f t="shared" si="28"/>
        <v>17.498259999999998</v>
      </c>
      <c r="V59" s="276">
        <v>0.76</v>
      </c>
      <c r="W59" s="183">
        <f t="shared" si="29"/>
        <v>3.6404734403320891</v>
      </c>
      <c r="X59" s="277">
        <v>-0.33600000000000002</v>
      </c>
      <c r="Y59" s="278">
        <v>0.255</v>
      </c>
      <c r="Z59" s="278"/>
      <c r="AA59" s="278"/>
      <c r="AB59" s="278"/>
      <c r="AC59" s="183">
        <f t="shared" si="30"/>
        <v>-1.6094724683573447</v>
      </c>
      <c r="AD59" s="183">
        <f t="shared" si="31"/>
        <v>1.2214746411640562</v>
      </c>
      <c r="AE59" s="183">
        <f t="shared" si="32"/>
        <v>0</v>
      </c>
      <c r="AF59" s="183">
        <f t="shared" si="33"/>
        <v>0</v>
      </c>
      <c r="AG59" s="194">
        <f t="shared" si="34"/>
        <v>0</v>
      </c>
      <c r="AH59" s="200">
        <f>IF(OR($I$2="RRO (Capped)",$I$2="RRO (Uncapped)"),VLOOKUP(A59,'Misc. Data &amp; Mechanisms'!$A$1483:$H$1574,3,FALSE),AS59)</f>
        <v>5.28</v>
      </c>
      <c r="AI59" s="194">
        <f t="shared" si="22"/>
        <v>5.28</v>
      </c>
      <c r="AJ59" s="129">
        <f>5%</f>
        <v>0.05</v>
      </c>
      <c r="AK59" s="341">
        <f>'Misc. Data &amp; Mechanisms'!AI332</f>
        <v>425.08791150844513</v>
      </c>
      <c r="AL59" s="196">
        <f>'Misc. Data &amp; Mechanisms'!AP332</f>
        <v>487.07214643354223</v>
      </c>
      <c r="AM59" s="1087">
        <f>'Misc. Data &amp; Mechanisms'!N332</f>
        <v>479.00966320159068</v>
      </c>
      <c r="AN59" s="1087">
        <f>'Misc. Data &amp; Mechanisms'!O332</f>
        <v>363.52410373566408</v>
      </c>
      <c r="AO59" s="1087">
        <f>'Misc. Data &amp; Mechanisms'!P332</f>
        <v>269.03202642273038</v>
      </c>
      <c r="AP59" s="1463">
        <f>'Misc. Data &amp; Mechanisms'!$B$259</f>
        <v>611.34673880086393</v>
      </c>
      <c r="AQ59" s="197">
        <f>IFERROR(IF('Personalized Bill Menu'!$B$30="Yes", IF('Personalized Bill Menu'!$B$34="Natural Gas",0,VLOOKUP($A59, 'Personalized Bill Menu'!$H$4:$L$93, 2, FALSE)), 0), 0)</f>
        <v>0</v>
      </c>
      <c r="AR59" s="1343">
        <f>IFERROR(IF('Personalized Bill Menu'!$C$36="Custom", IF('Personalized Bill Menu'!$B$34="Natural Gas",0,VLOOKUP($A59, 'Personalized Bill Menu'!$H$4:$L$93, 3, FALSE)), 0), 0)</f>
        <v>0</v>
      </c>
      <c r="AS59" s="1344">
        <f>IFERROR(IF('Personalized Bill Menu'!$C$36="Custom", IF('Personalized Bill Menu'!$B$34="Natural Gas",0,VLOOKUP($A59, 'Personalized Bill Menu'!$H$4:$L$93, 4, FALSE)), 0), 0)</f>
        <v>0</v>
      </c>
    </row>
    <row r="60" spans="1:45" x14ac:dyDescent="0.35">
      <c r="A60" s="206">
        <v>42522</v>
      </c>
      <c r="B60" s="207">
        <f t="shared" si="0"/>
        <v>30</v>
      </c>
      <c r="C60" s="1581">
        <f t="shared" si="15"/>
        <v>482.81107149859162</v>
      </c>
      <c r="D60" s="178">
        <f t="shared" si="16"/>
        <v>13.345426623548294</v>
      </c>
      <c r="E60" s="178">
        <f t="shared" si="17"/>
        <v>8.5144500000000001</v>
      </c>
      <c r="F60" s="179">
        <f t="shared" si="23"/>
        <v>64.433197277211832</v>
      </c>
      <c r="G60" s="180">
        <f t="shared" si="18"/>
        <v>17.434307791814145</v>
      </c>
      <c r="H60" s="181">
        <f t="shared" si="19"/>
        <v>14.465019702097806</v>
      </c>
      <c r="I60" s="181">
        <f t="shared" si="2"/>
        <v>20.907335118433409</v>
      </c>
      <c r="J60" s="181">
        <f t="shared" si="3"/>
        <v>3.6693641433892963</v>
      </c>
      <c r="K60" s="181">
        <f t="shared" si="20"/>
        <v>-0.39107696791385904</v>
      </c>
      <c r="L60" s="181">
        <f t="shared" si="21"/>
        <v>5.28</v>
      </c>
      <c r="M60" s="182">
        <f t="shared" si="24"/>
        <v>3.0682474893910401</v>
      </c>
      <c r="N60" s="273">
        <f>IF($I$2="RRO (Capped)",VLOOKUP(A60,'Misc. Data &amp; Mechanisms'!$A$1278:$E$1368,3,FALSE),IF($I$2="RRO (Uncapped)",VLOOKUP(A60,'Misc. Data &amp; Mechanisms'!$G$1278:$K$1368,3,FALSE),AR60))</f>
        <v>3.6110000000000002</v>
      </c>
      <c r="O60" s="183">
        <f t="shared" si="25"/>
        <v>17.434307791814145</v>
      </c>
      <c r="P60" s="274">
        <v>2.996</v>
      </c>
      <c r="Q60" s="194">
        <f t="shared" si="26"/>
        <v>14.465019702097806</v>
      </c>
      <c r="R60" s="274">
        <v>0.82299999999999995</v>
      </c>
      <c r="S60" s="275">
        <v>0.56445999999999996</v>
      </c>
      <c r="T60" s="183">
        <f t="shared" si="27"/>
        <v>3.9735351184334089</v>
      </c>
      <c r="U60" s="194">
        <f t="shared" si="28"/>
        <v>16.933799999999998</v>
      </c>
      <c r="V60" s="276">
        <v>0.76</v>
      </c>
      <c r="W60" s="183">
        <f t="shared" si="29"/>
        <v>3.6693641433892963</v>
      </c>
      <c r="X60" s="277">
        <v>-0.33600000000000002</v>
      </c>
      <c r="Y60" s="278">
        <v>0.255</v>
      </c>
      <c r="Z60" s="278"/>
      <c r="AA60" s="278"/>
      <c r="AB60" s="278"/>
      <c r="AC60" s="183">
        <f t="shared" si="30"/>
        <v>-1.6222452002352679</v>
      </c>
      <c r="AD60" s="183">
        <f t="shared" si="31"/>
        <v>1.2311682323214088</v>
      </c>
      <c r="AE60" s="183">
        <f t="shared" si="32"/>
        <v>0</v>
      </c>
      <c r="AF60" s="183">
        <f t="shared" si="33"/>
        <v>0</v>
      </c>
      <c r="AG60" s="194">
        <f t="shared" si="34"/>
        <v>0</v>
      </c>
      <c r="AH60" s="200">
        <f>IF(OR($I$2="RRO (Capped)",$I$2="RRO (Uncapped)"),VLOOKUP(A60,'Misc. Data &amp; Mechanisms'!$A$1483:$H$1574,3,FALSE),AS60)</f>
        <v>5.28</v>
      </c>
      <c r="AI60" s="194">
        <f t="shared" si="22"/>
        <v>5.28</v>
      </c>
      <c r="AJ60" s="129">
        <f>5%</f>
        <v>0.05</v>
      </c>
      <c r="AK60" s="341">
        <f>'Misc. Data &amp; Mechanisms'!AI333</f>
        <v>428.46139817876087</v>
      </c>
      <c r="AL60" s="196">
        <f>'Misc. Data &amp; Mechanisms'!AP333</f>
        <v>475.49696173552678</v>
      </c>
      <c r="AM60" s="1087">
        <f>'Misc. Data &amp; Mechanisms'!N333</f>
        <v>482.81107149859162</v>
      </c>
      <c r="AN60" s="1087">
        <f>'Misc. Data &amp; Mechanisms'!O333</f>
        <v>366.40902161991772</v>
      </c>
      <c r="AO60" s="1087">
        <f>'Misc. Data &amp; Mechanisms'!P333</f>
        <v>271.16705762558098</v>
      </c>
      <c r="AP60" s="1463">
        <f>'Misc. Data &amp; Mechanisms'!$B$259</f>
        <v>611.34673880086393</v>
      </c>
      <c r="AQ60" s="197">
        <f>IFERROR(IF('Personalized Bill Menu'!$B$30="Yes", IF('Personalized Bill Menu'!$B$34="Natural Gas",0,VLOOKUP($A60, 'Personalized Bill Menu'!$H$4:$L$93, 2, FALSE)), 0), 0)</f>
        <v>0</v>
      </c>
      <c r="AR60" s="1343">
        <f>IFERROR(IF('Personalized Bill Menu'!$C$36="Custom", IF('Personalized Bill Menu'!$B$34="Natural Gas",0,VLOOKUP($A60, 'Personalized Bill Menu'!$H$4:$L$93, 3, FALSE)), 0), 0)</f>
        <v>0</v>
      </c>
      <c r="AS60" s="1344">
        <f>IFERROR(IF('Personalized Bill Menu'!$C$36="Custom", IF('Personalized Bill Menu'!$B$34="Natural Gas",0,VLOOKUP($A60, 'Personalized Bill Menu'!$H$4:$L$93, 4, FALSE)), 0), 0)</f>
        <v>0</v>
      </c>
    </row>
    <row r="61" spans="1:45" x14ac:dyDescent="0.35">
      <c r="A61" s="206">
        <v>42552</v>
      </c>
      <c r="B61" s="207">
        <f t="shared" si="0"/>
        <v>31</v>
      </c>
      <c r="C61" s="1581">
        <f t="shared" si="15"/>
        <v>508.88701131926229</v>
      </c>
      <c r="D61" s="178">
        <f t="shared" si="16"/>
        <v>14.164708518532958</v>
      </c>
      <c r="E61" s="178">
        <f t="shared" si="17"/>
        <v>9.4710000000000001</v>
      </c>
      <c r="F61" s="179">
        <f t="shared" si="23"/>
        <v>72.08236184204732</v>
      </c>
      <c r="G61" s="180">
        <f t="shared" si="18"/>
        <v>25.317128813133298</v>
      </c>
      <c r="H61" s="181">
        <f t="shared" si="19"/>
        <v>15.246254859125099</v>
      </c>
      <c r="I61" s="181">
        <f t="shared" si="2"/>
        <v>21.686400103157528</v>
      </c>
      <c r="J61" s="181">
        <f t="shared" si="3"/>
        <v>3.8675412860263934</v>
      </c>
      <c r="K61" s="181">
        <f t="shared" si="20"/>
        <v>-2.717456640444861</v>
      </c>
      <c r="L61" s="181">
        <f t="shared" si="21"/>
        <v>5.25</v>
      </c>
      <c r="M61" s="182">
        <f t="shared" si="24"/>
        <v>3.4324934210498728</v>
      </c>
      <c r="N61" s="273">
        <f>IF($I$2="RRO (Capped)",VLOOKUP(A61,'Misc. Data &amp; Mechanisms'!$A$1278:$E$1368,3,FALSE),IF($I$2="RRO (Uncapped)",VLOOKUP(A61,'Misc. Data &amp; Mechanisms'!$G$1278:$K$1368,3,FALSE),AR61))</f>
        <v>4.9749999999999996</v>
      </c>
      <c r="O61" s="183">
        <f t="shared" si="25"/>
        <v>25.317128813133298</v>
      </c>
      <c r="P61" s="274">
        <v>2.996</v>
      </c>
      <c r="Q61" s="194">
        <f t="shared" si="26"/>
        <v>15.246254859125099</v>
      </c>
      <c r="R61" s="274">
        <v>0.82299999999999995</v>
      </c>
      <c r="S61" s="275">
        <v>0.56445999999999996</v>
      </c>
      <c r="T61" s="183">
        <f t="shared" si="27"/>
        <v>4.1881401031575285</v>
      </c>
      <c r="U61" s="194">
        <f t="shared" si="28"/>
        <v>17.498259999999998</v>
      </c>
      <c r="V61" s="276">
        <v>0.76</v>
      </c>
      <c r="W61" s="183">
        <f t="shared" si="29"/>
        <v>3.8675412860263934</v>
      </c>
      <c r="X61" s="277">
        <v>-0.33600000000000002</v>
      </c>
      <c r="Y61" s="278">
        <v>0.28499999999999998</v>
      </c>
      <c r="Z61" s="278">
        <v>-0.48299999999999998</v>
      </c>
      <c r="AA61" s="278"/>
      <c r="AB61" s="278"/>
      <c r="AC61" s="183">
        <f t="shared" si="30"/>
        <v>-1.7098603580327214</v>
      </c>
      <c r="AD61" s="183">
        <f t="shared" si="31"/>
        <v>1.4503279822598973</v>
      </c>
      <c r="AE61" s="183">
        <f t="shared" si="32"/>
        <v>-2.457924264672037</v>
      </c>
      <c r="AF61" s="183">
        <f t="shared" si="33"/>
        <v>0</v>
      </c>
      <c r="AG61" s="194">
        <f t="shared" si="34"/>
        <v>0</v>
      </c>
      <c r="AH61" s="200">
        <f>IF(OR($I$2="RRO (Capped)",$I$2="RRO (Uncapped)"),VLOOKUP(A61,'Misc. Data &amp; Mechanisms'!$A$1483:$H$1574,3,FALSE),AS61)</f>
        <v>5.25</v>
      </c>
      <c r="AI61" s="194">
        <f t="shared" si="22"/>
        <v>5.25</v>
      </c>
      <c r="AJ61" s="129">
        <f>5%</f>
        <v>0.05</v>
      </c>
      <c r="AK61" s="341">
        <f>'Misc. Data &amp; Mechanisms'!AI334</f>
        <v>451.60198938291762</v>
      </c>
      <c r="AL61" s="196">
        <f>'Misc. Data &amp; Mechanisms'!AP334</f>
        <v>496.5462033098371</v>
      </c>
      <c r="AM61" s="1087">
        <f>'Misc. Data &amp; Mechanisms'!N334</f>
        <v>508.88701131926229</v>
      </c>
      <c r="AN61" s="1087">
        <f>'Misc. Data &amp; Mechanisms'!O334</f>
        <v>386.19825215238222</v>
      </c>
      <c r="AO61" s="1087">
        <f>'Misc. Data &amp; Mechanisms'!P334</f>
        <v>285.81240503662025</v>
      </c>
      <c r="AP61" s="1463">
        <f>'Misc. Data &amp; Mechanisms'!$B$259</f>
        <v>611.34673880086393</v>
      </c>
      <c r="AQ61" s="197">
        <f>IFERROR(IF('Personalized Bill Menu'!$B$30="Yes", IF('Personalized Bill Menu'!$B$34="Natural Gas",0,VLOOKUP($A61, 'Personalized Bill Menu'!$H$4:$L$93, 2, FALSE)), 0), 0)</f>
        <v>0</v>
      </c>
      <c r="AR61" s="1343">
        <f>IFERROR(IF('Personalized Bill Menu'!$C$36="Custom", IF('Personalized Bill Menu'!$B$34="Natural Gas",0,VLOOKUP($A61, 'Personalized Bill Menu'!$H$4:$L$93, 3, FALSE)), 0), 0)</f>
        <v>0</v>
      </c>
      <c r="AS61" s="1344">
        <f>IFERROR(IF('Personalized Bill Menu'!$C$36="Custom", IF('Personalized Bill Menu'!$B$34="Natural Gas",0,VLOOKUP($A61, 'Personalized Bill Menu'!$H$4:$L$93, 4, FALSE)), 0), 0)</f>
        <v>0</v>
      </c>
    </row>
    <row r="62" spans="1:45" x14ac:dyDescent="0.35">
      <c r="A62" s="206">
        <v>42583</v>
      </c>
      <c r="B62" s="207">
        <f t="shared" si="0"/>
        <v>31</v>
      </c>
      <c r="C62" s="1581">
        <f t="shared" si="15"/>
        <v>501.74857849487307</v>
      </c>
      <c r="D62" s="178">
        <f t="shared" si="16"/>
        <v>13.999436431601135</v>
      </c>
      <c r="E62" s="178">
        <f t="shared" si="17"/>
        <v>9.2389499999999991</v>
      </c>
      <c r="F62" s="179">
        <f t="shared" si="23"/>
        <v>70.24197329285208</v>
      </c>
      <c r="G62" s="180">
        <f t="shared" si="18"/>
        <v>23.853127421646267</v>
      </c>
      <c r="H62" s="181">
        <f t="shared" si="19"/>
        <v>15.032387411706397</v>
      </c>
      <c r="I62" s="181">
        <f t="shared" si="2"/>
        <v>21.627650801012805</v>
      </c>
      <c r="J62" s="181">
        <f t="shared" si="3"/>
        <v>3.8132891965610352</v>
      </c>
      <c r="K62" s="181">
        <f t="shared" si="20"/>
        <v>-2.6793374091626223</v>
      </c>
      <c r="L62" s="181">
        <f t="shared" si="21"/>
        <v>5.25</v>
      </c>
      <c r="M62" s="182">
        <f t="shared" si="24"/>
        <v>3.3448558710881944</v>
      </c>
      <c r="N62" s="273">
        <f>IF($I$2="RRO (Capped)",VLOOKUP(A62,'Misc. Data &amp; Mechanisms'!$A$1278:$E$1368,3,FALSE),IF($I$2="RRO (Uncapped)",VLOOKUP(A62,'Misc. Data &amp; Mechanisms'!$G$1278:$K$1368,3,FALSE),AR62))</f>
        <v>4.7539999999999996</v>
      </c>
      <c r="O62" s="183">
        <f t="shared" si="25"/>
        <v>23.853127421646267</v>
      </c>
      <c r="P62" s="274">
        <v>2.996</v>
      </c>
      <c r="Q62" s="194">
        <f t="shared" si="26"/>
        <v>15.032387411706397</v>
      </c>
      <c r="R62" s="274">
        <v>0.82299999999999995</v>
      </c>
      <c r="S62" s="275">
        <v>0.56445999999999996</v>
      </c>
      <c r="T62" s="183">
        <f t="shared" si="27"/>
        <v>4.1293908010128053</v>
      </c>
      <c r="U62" s="194">
        <f t="shared" si="28"/>
        <v>17.498259999999998</v>
      </c>
      <c r="V62" s="276">
        <v>0.76</v>
      </c>
      <c r="W62" s="183">
        <f t="shared" si="29"/>
        <v>3.8132891965610352</v>
      </c>
      <c r="X62" s="277">
        <v>-0.33600000000000002</v>
      </c>
      <c r="Y62" s="278">
        <v>0.28499999999999998</v>
      </c>
      <c r="Z62" s="278">
        <v>-0.48299999999999998</v>
      </c>
      <c r="AA62" s="278"/>
      <c r="AB62" s="278"/>
      <c r="AC62" s="183">
        <f t="shared" si="30"/>
        <v>-1.6858752237427737</v>
      </c>
      <c r="AD62" s="183">
        <f t="shared" si="31"/>
        <v>1.4299834487103882</v>
      </c>
      <c r="AE62" s="183">
        <f t="shared" si="32"/>
        <v>-2.4234456341302368</v>
      </c>
      <c r="AF62" s="183">
        <f t="shared" si="33"/>
        <v>0</v>
      </c>
      <c r="AG62" s="194">
        <f t="shared" si="34"/>
        <v>0</v>
      </c>
      <c r="AH62" s="200">
        <f>IF(OR($I$2="RRO (Capped)",$I$2="RRO (Uncapped)"),VLOOKUP(A62,'Misc. Data &amp; Mechanisms'!$A$1483:$H$1574,3,FALSE),AS62)</f>
        <v>5.25</v>
      </c>
      <c r="AI62" s="194">
        <f t="shared" si="22"/>
        <v>5.25</v>
      </c>
      <c r="AJ62" s="129">
        <f>5%</f>
        <v>0.05</v>
      </c>
      <c r="AK62" s="341">
        <f>'Misc. Data &amp; Mechanisms'!AI335</f>
        <v>445.26712448586875</v>
      </c>
      <c r="AL62" s="196">
        <f>'Misc. Data &amp; Mechanisms'!AP335</f>
        <v>493.10472071796244</v>
      </c>
      <c r="AM62" s="1087">
        <f>'Misc. Data &amp; Mechanisms'!N335</f>
        <v>501.74857849487307</v>
      </c>
      <c r="AN62" s="1087">
        <f>'Misc. Data &amp; Mechanisms'!O335</f>
        <v>380.78084078489741</v>
      </c>
      <c r="AO62" s="1087">
        <f>'Misc. Data &amp; Mechanisms'!P335</f>
        <v>281.80316013873653</v>
      </c>
      <c r="AP62" s="1463">
        <f>'Misc. Data &amp; Mechanisms'!$B$259</f>
        <v>611.34673880086393</v>
      </c>
      <c r="AQ62" s="197">
        <f>IFERROR(IF('Personalized Bill Menu'!$B$30="Yes", IF('Personalized Bill Menu'!$B$34="Natural Gas",0,VLOOKUP($A62, 'Personalized Bill Menu'!$H$4:$L$93, 2, FALSE)), 0), 0)</f>
        <v>0</v>
      </c>
      <c r="AR62" s="1343">
        <f>IFERROR(IF('Personalized Bill Menu'!$C$36="Custom", IF('Personalized Bill Menu'!$B$34="Natural Gas",0,VLOOKUP($A62, 'Personalized Bill Menu'!$H$4:$L$93, 3, FALSE)), 0), 0)</f>
        <v>0</v>
      </c>
      <c r="AS62" s="1344">
        <f>IFERROR(IF('Personalized Bill Menu'!$C$36="Custom", IF('Personalized Bill Menu'!$B$34="Natural Gas",0,VLOOKUP($A62, 'Personalized Bill Menu'!$H$4:$L$93, 4, FALSE)), 0), 0)</f>
        <v>0</v>
      </c>
    </row>
    <row r="63" spans="1:45" x14ac:dyDescent="0.35">
      <c r="A63" s="206">
        <v>42614</v>
      </c>
      <c r="B63" s="207">
        <f t="shared" si="0"/>
        <v>30</v>
      </c>
      <c r="C63" s="1581">
        <f t="shared" si="15"/>
        <v>461.28268054107781</v>
      </c>
      <c r="D63" s="178">
        <f t="shared" si="16"/>
        <v>13.466412955916242</v>
      </c>
      <c r="E63" s="178">
        <f t="shared" si="17"/>
        <v>8.4168000000000003</v>
      </c>
      <c r="F63" s="179">
        <f t="shared" si="23"/>
        <v>62.118230655781439</v>
      </c>
      <c r="G63" s="180">
        <f t="shared" si="18"/>
        <v>18.317535244286201</v>
      </c>
      <c r="H63" s="181">
        <f t="shared" si="19"/>
        <v>13.820029109010692</v>
      </c>
      <c r="I63" s="181">
        <f t="shared" si="2"/>
        <v>20.730156460853067</v>
      </c>
      <c r="J63" s="181">
        <f t="shared" si="3"/>
        <v>3.5057483721121914</v>
      </c>
      <c r="K63" s="181">
        <f t="shared" si="20"/>
        <v>-2.4632495140893558</v>
      </c>
      <c r="L63" s="181">
        <f t="shared" si="21"/>
        <v>5.25</v>
      </c>
      <c r="M63" s="182">
        <f t="shared" si="24"/>
        <v>2.9580109836086401</v>
      </c>
      <c r="N63" s="273">
        <f>IF($I$2="RRO (Capped)",VLOOKUP(A63,'Misc. Data &amp; Mechanisms'!$A$1278:$E$1368,3,FALSE),IF($I$2="RRO (Uncapped)",VLOOKUP(A63,'Misc. Data &amp; Mechanisms'!$G$1278:$K$1368,3,FALSE),AR63))</f>
        <v>3.9710000000000001</v>
      </c>
      <c r="O63" s="183">
        <f t="shared" si="25"/>
        <v>18.317535244286201</v>
      </c>
      <c r="P63" s="274">
        <v>2.996</v>
      </c>
      <c r="Q63" s="194">
        <f t="shared" si="26"/>
        <v>13.820029109010692</v>
      </c>
      <c r="R63" s="274">
        <v>0.82299999999999995</v>
      </c>
      <c r="S63" s="275">
        <v>0.56445999999999996</v>
      </c>
      <c r="T63" s="183">
        <f t="shared" si="27"/>
        <v>3.7963564608530702</v>
      </c>
      <c r="U63" s="194">
        <f t="shared" si="28"/>
        <v>16.933799999999998</v>
      </c>
      <c r="V63" s="276">
        <v>0.76</v>
      </c>
      <c r="W63" s="183">
        <f t="shared" si="29"/>
        <v>3.5057483721121914</v>
      </c>
      <c r="X63" s="277">
        <v>-0.33600000000000002</v>
      </c>
      <c r="Y63" s="278">
        <v>0.28499999999999998</v>
      </c>
      <c r="Z63" s="278">
        <v>-0.48299999999999998</v>
      </c>
      <c r="AA63" s="278"/>
      <c r="AB63" s="278"/>
      <c r="AC63" s="183">
        <f t="shared" si="30"/>
        <v>-1.5499098066180215</v>
      </c>
      <c r="AD63" s="183">
        <f t="shared" si="31"/>
        <v>1.3146556395420717</v>
      </c>
      <c r="AE63" s="183">
        <f t="shared" si="32"/>
        <v>-2.227995347013406</v>
      </c>
      <c r="AF63" s="183">
        <f t="shared" si="33"/>
        <v>0</v>
      </c>
      <c r="AG63" s="194">
        <f t="shared" si="34"/>
        <v>0</v>
      </c>
      <c r="AH63" s="200">
        <f>IF(OR($I$2="RRO (Capped)",$I$2="RRO (Uncapped)"),VLOOKUP(A63,'Misc. Data &amp; Mechanisms'!$A$1483:$H$1574,3,FALSE),AS63)</f>
        <v>5.25</v>
      </c>
      <c r="AI63" s="194">
        <f t="shared" si="22"/>
        <v>5.25</v>
      </c>
      <c r="AJ63" s="129">
        <f>5%</f>
        <v>0.05</v>
      </c>
      <c r="AK63" s="341">
        <f>'Misc. Data &amp; Mechanisms'!AI336</f>
        <v>409.3564417377977</v>
      </c>
      <c r="AL63" s="196">
        <f>'Misc. Data &amp; Mechanisms'!AP336</f>
        <v>464.23220536010018</v>
      </c>
      <c r="AM63" s="1087">
        <f>'Misc. Data &amp; Mechanisms'!N336</f>
        <v>461.28268054107781</v>
      </c>
      <c r="AN63" s="1087">
        <f>'Misc. Data &amp; Mechanisms'!O336</f>
        <v>350.07096076454087</v>
      </c>
      <c r="AO63" s="1087">
        <f>'Misc. Data &amp; Mechanisms'!P336</f>
        <v>259.07580542367447</v>
      </c>
      <c r="AP63" s="1463">
        <f>'Misc. Data &amp; Mechanisms'!$B$259</f>
        <v>611.34673880086393</v>
      </c>
      <c r="AQ63" s="197">
        <f>IFERROR(IF('Personalized Bill Menu'!$B$30="Yes", IF('Personalized Bill Menu'!$B$34="Natural Gas",0,VLOOKUP($A63, 'Personalized Bill Menu'!$H$4:$L$93, 2, FALSE)), 0), 0)</f>
        <v>0</v>
      </c>
      <c r="AR63" s="1343">
        <f>IFERROR(IF('Personalized Bill Menu'!$C$36="Custom", IF('Personalized Bill Menu'!$B$34="Natural Gas",0,VLOOKUP($A63, 'Personalized Bill Menu'!$H$4:$L$93, 3, FALSE)), 0), 0)</f>
        <v>0</v>
      </c>
      <c r="AS63" s="1344">
        <f>IFERROR(IF('Personalized Bill Menu'!$C$36="Custom", IF('Personalized Bill Menu'!$B$34="Natural Gas",0,VLOOKUP($A63, 'Personalized Bill Menu'!$H$4:$L$93, 4, FALSE)), 0), 0)</f>
        <v>0</v>
      </c>
    </row>
    <row r="64" spans="1:45" x14ac:dyDescent="0.35">
      <c r="A64" s="206">
        <v>42644</v>
      </c>
      <c r="B64" s="207">
        <f t="shared" si="0"/>
        <v>31</v>
      </c>
      <c r="C64" s="1581">
        <f t="shared" si="15"/>
        <v>523.72394398995823</v>
      </c>
      <c r="D64" s="178">
        <f t="shared" si="16"/>
        <v>12.909960345012793</v>
      </c>
      <c r="E64" s="178">
        <f t="shared" si="17"/>
        <v>8.3191500000000005</v>
      </c>
      <c r="F64" s="179">
        <f t="shared" si="23"/>
        <v>67.612553486440618</v>
      </c>
      <c r="G64" s="180">
        <f t="shared" si="18"/>
        <v>23.337138944192539</v>
      </c>
      <c r="H64" s="181">
        <f t="shared" si="19"/>
        <v>15.690769361939148</v>
      </c>
      <c r="I64" s="181">
        <f t="shared" si="2"/>
        <v>21.808508059037354</v>
      </c>
      <c r="J64" s="181">
        <f t="shared" si="3"/>
        <v>3.9803019743236825</v>
      </c>
      <c r="K64" s="181">
        <f t="shared" si="20"/>
        <v>-5.8238102571683354</v>
      </c>
      <c r="L64" s="181">
        <f t="shared" si="21"/>
        <v>5.4</v>
      </c>
      <c r="M64" s="182">
        <f t="shared" si="24"/>
        <v>3.2196454041162199</v>
      </c>
      <c r="N64" s="273">
        <f>IF($I$2="RRO (Capped)",VLOOKUP(A64,'Misc. Data &amp; Mechanisms'!$A$1278:$E$1368,3,FALSE),IF($I$2="RRO (Uncapped)",VLOOKUP(A64,'Misc. Data &amp; Mechanisms'!$G$1278:$K$1368,3,FALSE),AR64))</f>
        <v>4.4560000000000004</v>
      </c>
      <c r="O64" s="183">
        <f t="shared" si="25"/>
        <v>23.337138944192539</v>
      </c>
      <c r="P64" s="274">
        <v>2.996</v>
      </c>
      <c r="Q64" s="194">
        <f t="shared" si="26"/>
        <v>15.690769361939148</v>
      </c>
      <c r="R64" s="274">
        <v>0.82299999999999995</v>
      </c>
      <c r="S64" s="275">
        <v>0.56445999999999996</v>
      </c>
      <c r="T64" s="183">
        <f t="shared" si="27"/>
        <v>4.310248059037356</v>
      </c>
      <c r="U64" s="194">
        <f t="shared" si="28"/>
        <v>17.498259999999998</v>
      </c>
      <c r="V64" s="276">
        <v>0.76</v>
      </c>
      <c r="W64" s="183">
        <f t="shared" si="29"/>
        <v>3.9803019743236825</v>
      </c>
      <c r="X64" s="277">
        <v>-0.33600000000000002</v>
      </c>
      <c r="Y64" s="278">
        <v>-0.77600000000000002</v>
      </c>
      <c r="Z64" s="278"/>
      <c r="AA64" s="278"/>
      <c r="AB64" s="278"/>
      <c r="AC64" s="183">
        <f t="shared" si="30"/>
        <v>-1.7597124518062597</v>
      </c>
      <c r="AD64" s="183">
        <f t="shared" si="31"/>
        <v>-4.064097805362076</v>
      </c>
      <c r="AE64" s="183">
        <f t="shared" si="32"/>
        <v>0</v>
      </c>
      <c r="AF64" s="183">
        <f t="shared" si="33"/>
        <v>0</v>
      </c>
      <c r="AG64" s="194">
        <f t="shared" si="34"/>
        <v>0</v>
      </c>
      <c r="AH64" s="200">
        <f>IF(OR($I$2="RRO (Capped)",$I$2="RRO (Uncapped)"),VLOOKUP(A64,'Misc. Data &amp; Mechanisms'!$A$1483:$H$1574,3,FALSE),AS64)</f>
        <v>5.4</v>
      </c>
      <c r="AI64" s="194">
        <f t="shared" si="22"/>
        <v>5.4</v>
      </c>
      <c r="AJ64" s="129">
        <f>5%</f>
        <v>0.05</v>
      </c>
      <c r="AK64" s="341">
        <f>'Misc. Data &amp; Mechanisms'!AI337</f>
        <v>464.76873988231887</v>
      </c>
      <c r="AL64" s="196">
        <f>'Misc. Data &amp; Mechanisms'!AP337</f>
        <v>535.8640004402896</v>
      </c>
      <c r="AM64" s="1087">
        <f>'Misc. Data &amp; Mechanisms'!N337</f>
        <v>523.72394398995823</v>
      </c>
      <c r="AN64" s="1087">
        <f>'Misc. Data &amp; Mechanisms'!O337</f>
        <v>397.45811404170541</v>
      </c>
      <c r="AO64" s="1087">
        <f>'Misc. Data &amp; Mechanisms'!P337</f>
        <v>294.14545208960857</v>
      </c>
      <c r="AP64" s="1463">
        <f>'Misc. Data &amp; Mechanisms'!$B$259</f>
        <v>611.34673880086393</v>
      </c>
      <c r="AQ64" s="197">
        <f>IFERROR(IF('Personalized Bill Menu'!$B$30="Yes", IF('Personalized Bill Menu'!$B$34="Natural Gas",0,VLOOKUP($A64, 'Personalized Bill Menu'!$H$4:$L$93, 2, FALSE)), 0), 0)</f>
        <v>0</v>
      </c>
      <c r="AR64" s="1343">
        <f>IFERROR(IF('Personalized Bill Menu'!$C$36="Custom", IF('Personalized Bill Menu'!$B$34="Natural Gas",0,VLOOKUP($A64, 'Personalized Bill Menu'!$H$4:$L$93, 3, FALSE)), 0), 0)</f>
        <v>0</v>
      </c>
      <c r="AS64" s="1344">
        <f>IFERROR(IF('Personalized Bill Menu'!$C$36="Custom", IF('Personalized Bill Menu'!$B$34="Natural Gas",0,VLOOKUP($A64, 'Personalized Bill Menu'!$H$4:$L$93, 4, FALSE)), 0), 0)</f>
        <v>0</v>
      </c>
    </row>
    <row r="65" spans="1:45" x14ac:dyDescent="0.35">
      <c r="A65" s="206">
        <v>42675</v>
      </c>
      <c r="B65" s="207">
        <f t="shared" si="0"/>
        <v>30</v>
      </c>
      <c r="C65" s="1581">
        <f t="shared" si="15"/>
        <v>527.9505352393179</v>
      </c>
      <c r="D65" s="178">
        <f t="shared" si="16"/>
        <v>11.706746803817989</v>
      </c>
      <c r="E65" s="178">
        <f t="shared" si="17"/>
        <v>7.2649499999999998</v>
      </c>
      <c r="F65" s="179">
        <f t="shared" si="23"/>
        <v>61.80583240986882</v>
      </c>
      <c r="G65" s="180">
        <f t="shared" si="18"/>
        <v>19.724231996540919</v>
      </c>
      <c r="H65" s="181">
        <f t="shared" si="19"/>
        <v>15.817398035769964</v>
      </c>
      <c r="I65" s="181">
        <f t="shared" si="2"/>
        <v>21.278832905019584</v>
      </c>
      <c r="J65" s="181">
        <f t="shared" si="3"/>
        <v>4.0124240678188157</v>
      </c>
      <c r="K65" s="181">
        <f t="shared" si="20"/>
        <v>-7.3701894719408791</v>
      </c>
      <c r="L65" s="181">
        <f t="shared" si="21"/>
        <v>5.4</v>
      </c>
      <c r="M65" s="182">
        <f t="shared" si="24"/>
        <v>2.94313487666042</v>
      </c>
      <c r="N65" s="273">
        <f>IF($I$2="RRO (Capped)",VLOOKUP(A65,'Misc. Data &amp; Mechanisms'!$A$1278:$E$1368,3,FALSE),IF($I$2="RRO (Uncapped)",VLOOKUP(A65,'Misc. Data &amp; Mechanisms'!$G$1278:$K$1368,3,FALSE),AR65))</f>
        <v>3.7360000000000002</v>
      </c>
      <c r="O65" s="183">
        <f t="shared" si="25"/>
        <v>19.724231996540919</v>
      </c>
      <c r="P65" s="274">
        <v>2.996</v>
      </c>
      <c r="Q65" s="194">
        <f t="shared" si="26"/>
        <v>15.817398035769964</v>
      </c>
      <c r="R65" s="274">
        <v>0.82299999999999995</v>
      </c>
      <c r="S65" s="275">
        <v>0.56445999999999996</v>
      </c>
      <c r="T65" s="183">
        <f t="shared" si="27"/>
        <v>4.3450329050195862</v>
      </c>
      <c r="U65" s="194">
        <f t="shared" si="28"/>
        <v>16.933799999999998</v>
      </c>
      <c r="V65" s="276">
        <v>0.76</v>
      </c>
      <c r="W65" s="183">
        <f t="shared" si="29"/>
        <v>4.0124240678188157</v>
      </c>
      <c r="X65" s="277">
        <v>-0.33600000000000002</v>
      </c>
      <c r="Y65" s="278">
        <v>-0.77600000000000002</v>
      </c>
      <c r="Z65" s="278">
        <v>-0.28399999999999997</v>
      </c>
      <c r="AA65" s="278"/>
      <c r="AB65" s="278"/>
      <c r="AC65" s="183">
        <f t="shared" si="30"/>
        <v>-1.7739137984041082</v>
      </c>
      <c r="AD65" s="183">
        <f t="shared" si="31"/>
        <v>-4.0968961534571076</v>
      </c>
      <c r="AE65" s="183">
        <f t="shared" si="32"/>
        <v>-1.4993795200796627</v>
      </c>
      <c r="AF65" s="183">
        <f t="shared" si="33"/>
        <v>0</v>
      </c>
      <c r="AG65" s="194">
        <f t="shared" si="34"/>
        <v>0</v>
      </c>
      <c r="AH65" s="200">
        <f>IF(OR($I$2="RRO (Capped)",$I$2="RRO (Uncapped)"),VLOOKUP(A65,'Misc. Data &amp; Mechanisms'!$A$1483:$H$1574,3,FALSE),AS65)</f>
        <v>5.4</v>
      </c>
      <c r="AI65" s="194">
        <f t="shared" si="22"/>
        <v>5.4</v>
      </c>
      <c r="AJ65" s="129">
        <f>5%</f>
        <v>0.05</v>
      </c>
      <c r="AK65" s="341">
        <f>'Misc. Data &amp; Mechanisms'!AI338</f>
        <v>468.51954698500151</v>
      </c>
      <c r="AL65" s="196">
        <f>'Misc. Data &amp; Mechanisms'!AP338</f>
        <v>545.76078106645616</v>
      </c>
      <c r="AM65" s="1087">
        <f>'Misc. Data &amp; Mechanisms'!N338</f>
        <v>527.9505352393179</v>
      </c>
      <c r="AN65" s="1087">
        <f>'Misc. Data &amp; Mechanisms'!O338</f>
        <v>400.6657065263978</v>
      </c>
      <c r="AO65" s="1087">
        <f>'Misc. Data &amp; Mechanisms'!P338</f>
        <v>296.5192839682303</v>
      </c>
      <c r="AP65" s="1463">
        <f>'Misc. Data &amp; Mechanisms'!$B$259</f>
        <v>611.34673880086393</v>
      </c>
      <c r="AQ65" s="197">
        <f>IFERROR(IF('Personalized Bill Menu'!$B$30="Yes", IF('Personalized Bill Menu'!$B$34="Natural Gas",0,VLOOKUP($A65, 'Personalized Bill Menu'!$H$4:$L$93, 2, FALSE)), 0), 0)</f>
        <v>0</v>
      </c>
      <c r="AR65" s="1343">
        <f>IFERROR(IF('Personalized Bill Menu'!$C$36="Custom", IF('Personalized Bill Menu'!$B$34="Natural Gas",0,VLOOKUP($A65, 'Personalized Bill Menu'!$H$4:$L$93, 3, FALSE)), 0), 0)</f>
        <v>0</v>
      </c>
      <c r="AS65" s="1344">
        <f>IFERROR(IF('Personalized Bill Menu'!$C$36="Custom", IF('Personalized Bill Menu'!$B$34="Natural Gas",0,VLOOKUP($A65, 'Personalized Bill Menu'!$H$4:$L$93, 4, FALSE)), 0), 0)</f>
        <v>0</v>
      </c>
    </row>
    <row r="66" spans="1:45" x14ac:dyDescent="0.35">
      <c r="A66" s="229">
        <v>42705</v>
      </c>
      <c r="B66" s="230">
        <f t="shared" si="0"/>
        <v>31</v>
      </c>
      <c r="C66" s="231">
        <f t="shared" si="15"/>
        <v>653.68086640683771</v>
      </c>
      <c r="D66" s="208">
        <f t="shared" si="16"/>
        <v>11.201370966299789</v>
      </c>
      <c r="E66" s="208">
        <f t="shared" si="17"/>
        <v>7.52325</v>
      </c>
      <c r="F66" s="232">
        <f t="shared" si="23"/>
        <v>73.22121878195243</v>
      </c>
      <c r="G66" s="233">
        <f t="shared" si="18"/>
        <v>26.02957210032028</v>
      </c>
      <c r="H66" s="208">
        <f t="shared" si="19"/>
        <v>19.584278757548859</v>
      </c>
      <c r="I66" s="208">
        <f t="shared" si="2"/>
        <v>22.878053530528273</v>
      </c>
      <c r="J66" s="208">
        <f t="shared" si="3"/>
        <v>4.9679745846919667</v>
      </c>
      <c r="K66" s="208">
        <f t="shared" si="20"/>
        <v>-9.1253848950394545</v>
      </c>
      <c r="L66" s="208">
        <f t="shared" si="21"/>
        <v>5.4</v>
      </c>
      <c r="M66" s="234">
        <f t="shared" si="24"/>
        <v>3.4867247039024969</v>
      </c>
      <c r="N66" s="1243">
        <f>IF($I$2="RRO (Capped)",VLOOKUP(A66,'Misc. Data &amp; Mechanisms'!$A$1278:$E$1368,3,FALSE),IF($I$2="RRO (Uncapped)",VLOOKUP(A66,'Misc. Data &amp; Mechanisms'!$G$1278:$K$1368,3,FALSE),AR66))</f>
        <v>3.9820000000000002</v>
      </c>
      <c r="O66" s="235">
        <f t="shared" si="25"/>
        <v>26.02957210032028</v>
      </c>
      <c r="P66" s="279">
        <v>2.996</v>
      </c>
      <c r="Q66" s="237">
        <f t="shared" si="26"/>
        <v>19.584278757548859</v>
      </c>
      <c r="R66" s="279">
        <v>0.82299999999999995</v>
      </c>
      <c r="S66" s="280">
        <v>0.56445999999999996</v>
      </c>
      <c r="T66" s="235">
        <f t="shared" si="27"/>
        <v>5.379793530528274</v>
      </c>
      <c r="U66" s="237">
        <f t="shared" si="28"/>
        <v>17.498259999999998</v>
      </c>
      <c r="V66" s="281">
        <v>0.76</v>
      </c>
      <c r="W66" s="235">
        <f t="shared" si="29"/>
        <v>4.9679745846919667</v>
      </c>
      <c r="X66" s="282">
        <v>-0.33600000000000002</v>
      </c>
      <c r="Y66" s="283">
        <v>-0.77600000000000002</v>
      </c>
      <c r="Z66" s="283">
        <v>-0.28399999999999997</v>
      </c>
      <c r="AA66" s="283"/>
      <c r="AB66" s="283"/>
      <c r="AC66" s="235">
        <f t="shared" si="30"/>
        <v>-2.1963677111269746</v>
      </c>
      <c r="AD66" s="235">
        <f t="shared" si="31"/>
        <v>-5.0725635233170605</v>
      </c>
      <c r="AE66" s="235">
        <f t="shared" si="32"/>
        <v>-1.8564536605954189</v>
      </c>
      <c r="AF66" s="235">
        <f t="shared" si="33"/>
        <v>0</v>
      </c>
      <c r="AG66" s="237">
        <f t="shared" si="34"/>
        <v>0</v>
      </c>
      <c r="AH66" s="239">
        <f>IF(OR($I$2="RRO (Capped)",$I$2="RRO (Uncapped)"),VLOOKUP(A66,'Misc. Data &amp; Mechanisms'!$A$1483:$H$1574,3,FALSE),AS66)</f>
        <v>5.4</v>
      </c>
      <c r="AI66" s="237">
        <f t="shared" si="22"/>
        <v>5.4</v>
      </c>
      <c r="AJ66" s="242">
        <f>5%</f>
        <v>0.05</v>
      </c>
      <c r="AK66" s="352">
        <f>'Misc. Data &amp; Mechanisms'!AI339</f>
        <v>580.0965108651086</v>
      </c>
      <c r="AL66" s="1089">
        <f>'Misc. Data &amp; Mechanisms'!AP339</f>
        <v>706.39002250825104</v>
      </c>
      <c r="AM66" s="1089">
        <f>'Misc. Data &amp; Mechanisms'!N339</f>
        <v>653.68086640683771</v>
      </c>
      <c r="AN66" s="1089">
        <f>'Misc. Data &amp; Mechanisms'!O339</f>
        <v>496.08341823720633</v>
      </c>
      <c r="AO66" s="1089">
        <f>'Misc. Data &amp; Mechanisms'!P339</f>
        <v>367.13473992942539</v>
      </c>
      <c r="AP66" s="1464">
        <f>'Misc. Data &amp; Mechanisms'!$B$259</f>
        <v>611.34673880086393</v>
      </c>
      <c r="AQ66" s="243">
        <f>IFERROR(IF('Personalized Bill Menu'!$B$30="Yes", IF('Personalized Bill Menu'!$B$34="Natural Gas",0,VLOOKUP($A66, 'Personalized Bill Menu'!$H$4:$L$93, 2, FALSE)), 0), 0)</f>
        <v>0</v>
      </c>
      <c r="AR66" s="1345">
        <f>IFERROR(IF('Personalized Bill Menu'!$C$36="Custom", IF('Personalized Bill Menu'!$B$34="Natural Gas",0,VLOOKUP($A66, 'Personalized Bill Menu'!$H$4:$L$93, 3, FALSE)), 0), 0)</f>
        <v>0</v>
      </c>
      <c r="AS66" s="1346">
        <f>IFERROR(IF('Personalized Bill Menu'!$C$36="Custom", IF('Personalized Bill Menu'!$B$34="Natural Gas",0,VLOOKUP($A66, 'Personalized Bill Menu'!$H$4:$L$93, 4, FALSE)), 0), 0)</f>
        <v>0</v>
      </c>
    </row>
    <row r="67" spans="1:45" x14ac:dyDescent="0.35">
      <c r="A67" s="210">
        <v>42736</v>
      </c>
      <c r="B67" s="211">
        <f t="shared" si="0"/>
        <v>31</v>
      </c>
      <c r="C67" s="212">
        <f t="shared" si="15"/>
        <v>611.2283794459255</v>
      </c>
      <c r="D67" s="215">
        <f t="shared" si="16"/>
        <v>12.902609777458036</v>
      </c>
      <c r="E67" s="178">
        <f t="shared" si="17"/>
        <v>8.8294500000000014</v>
      </c>
      <c r="F67" s="213">
        <f t="shared" si="23"/>
        <v>78.864412648988278</v>
      </c>
      <c r="G67" s="214">
        <f t="shared" si="18"/>
        <v>25.127598679021997</v>
      </c>
      <c r="H67" s="215">
        <f t="shared" si="19"/>
        <v>18.825834086934506</v>
      </c>
      <c r="I67" s="215">
        <f t="shared" si="2"/>
        <v>23.573446347029421</v>
      </c>
      <c r="J67" s="215">
        <f t="shared" si="3"/>
        <v>5.1343183873457736</v>
      </c>
      <c r="K67" s="181">
        <f t="shared" si="20"/>
        <v>-2.95223307272382</v>
      </c>
      <c r="L67" s="215">
        <f t="shared" si="21"/>
        <v>5.4</v>
      </c>
      <c r="M67" s="216">
        <f t="shared" si="24"/>
        <v>3.7554482213803944</v>
      </c>
      <c r="N67" s="273">
        <f>IF($I$2="RRO (Capped)",VLOOKUP(A67,'Misc. Data &amp; Mechanisms'!$A$1278:$E$1368,3,FALSE),IF($I$2="RRO (Uncapped)",VLOOKUP(A67,'Misc. Data &amp; Mechanisms'!$G$1278:$K$1368,3,FALSE),AR67))</f>
        <v>4.1109999999999998</v>
      </c>
      <c r="O67" s="217">
        <f t="shared" si="25"/>
        <v>25.127598679021997</v>
      </c>
      <c r="P67" s="505">
        <v>3.08</v>
      </c>
      <c r="Q67" s="219">
        <f t="shared" si="26"/>
        <v>18.825834086934506</v>
      </c>
      <c r="R67" s="294">
        <v>0.86099999999999999</v>
      </c>
      <c r="S67" s="285">
        <v>0.59067000000000003</v>
      </c>
      <c r="T67" s="217">
        <f t="shared" si="27"/>
        <v>5.2626763470294184</v>
      </c>
      <c r="U67" s="219">
        <f t="shared" si="28"/>
        <v>18.310770000000002</v>
      </c>
      <c r="V67" s="286">
        <v>0.84</v>
      </c>
      <c r="W67" s="217">
        <f t="shared" si="29"/>
        <v>5.1343183873457736</v>
      </c>
      <c r="X67" s="287">
        <v>0.114</v>
      </c>
      <c r="Y67" s="295">
        <v>-3.0000000000000001E-3</v>
      </c>
      <c r="Z67" s="295">
        <v>-0.59399999999999997</v>
      </c>
      <c r="AA67" s="295"/>
      <c r="AB67" s="295"/>
      <c r="AC67" s="217">
        <f t="shared" si="30"/>
        <v>0.69680035256835504</v>
      </c>
      <c r="AD67" s="217">
        <f t="shared" si="31"/>
        <v>-1.8336851383377765E-2</v>
      </c>
      <c r="AE67" s="217">
        <f t="shared" si="32"/>
        <v>-3.6306965739087973</v>
      </c>
      <c r="AF67" s="183">
        <f t="shared" si="33"/>
        <v>0</v>
      </c>
      <c r="AG67" s="194">
        <f t="shared" si="34"/>
        <v>0</v>
      </c>
      <c r="AH67" s="200">
        <f>IF(OR($I$2="RRO (Capped)",$I$2="RRO (Uncapped)"),VLOOKUP(A67,'Misc. Data &amp; Mechanisms'!$A$1483:$H$1574,3,FALSE),AS67)</f>
        <v>5.4</v>
      </c>
      <c r="AI67" s="194">
        <f t="shared" si="22"/>
        <v>5.4</v>
      </c>
      <c r="AJ67" s="225">
        <f>5%</f>
        <v>0.05</v>
      </c>
      <c r="AK67" s="359">
        <f>'Misc. Data &amp; Mechanisms'!AI340</f>
        <v>542.42286791615834</v>
      </c>
      <c r="AL67" s="1239">
        <f>'Misc. Data &amp; Mechanisms'!AP340</f>
        <v>644.60325971019017</v>
      </c>
      <c r="AM67" s="1088">
        <f>'Misc. Data &amp; Mechanisms'!N340</f>
        <v>611.2283794459255</v>
      </c>
      <c r="AN67" s="1088">
        <f>'Misc. Data &amp; Mechanisms'!O340</f>
        <v>463.86590059744043</v>
      </c>
      <c r="AO67" s="1088">
        <f>'Misc. Data &amp; Mechanisms'!P340</f>
        <v>343.29163305462276</v>
      </c>
      <c r="AP67" s="1463">
        <f>'Misc. Data &amp; Mechanisms'!$B$259</f>
        <v>611.34673880086393</v>
      </c>
      <c r="AQ67" s="197">
        <f>IFERROR(IF('Personalized Bill Menu'!$B$30="Yes", IF('Personalized Bill Menu'!$B$34="Natural Gas",0,VLOOKUP($A67, 'Personalized Bill Menu'!$H$4:$L$93, 2, FALSE)), 0), 0)</f>
        <v>0</v>
      </c>
      <c r="AR67" s="1343">
        <f>IFERROR(IF('Personalized Bill Menu'!$C$36="Custom", IF('Personalized Bill Menu'!$B$34="Natural Gas",0,VLOOKUP($A67, 'Personalized Bill Menu'!$H$4:$L$93, 3, FALSE)), 0), 0)</f>
        <v>0</v>
      </c>
      <c r="AS67" s="1344">
        <f>IFERROR(IF('Personalized Bill Menu'!$C$36="Custom", IF('Personalized Bill Menu'!$B$34="Natural Gas",0,VLOOKUP($A67, 'Personalized Bill Menu'!$H$4:$L$93, 4, FALSE)), 0), 0)</f>
        <v>0</v>
      </c>
    </row>
    <row r="68" spans="1:45" x14ac:dyDescent="0.35">
      <c r="A68" s="206">
        <v>42767</v>
      </c>
      <c r="B68" s="207">
        <f t="shared" si="0"/>
        <v>28</v>
      </c>
      <c r="C68" s="1581">
        <f t="shared" si="15"/>
        <v>522.2078554381668</v>
      </c>
      <c r="D68" s="178">
        <f t="shared" si="16"/>
        <v>12.99076246264508</v>
      </c>
      <c r="E68" s="178">
        <f t="shared" si="17"/>
        <v>8.5795500000000011</v>
      </c>
      <c r="F68" s="179">
        <f t="shared" si="23"/>
        <v>67.838782061245254</v>
      </c>
      <c r="G68" s="180">
        <f t="shared" si="18"/>
        <v>20.225110241120202</v>
      </c>
      <c r="H68" s="181">
        <f t="shared" si="19"/>
        <v>16.084001947495537</v>
      </c>
      <c r="I68" s="181">
        <f t="shared" si="2"/>
        <v>21.034969635322618</v>
      </c>
      <c r="J68" s="181">
        <f t="shared" si="3"/>
        <v>4.3865459856806011</v>
      </c>
      <c r="K68" s="181">
        <f t="shared" si="20"/>
        <v>-2.5222639417663455</v>
      </c>
      <c r="L68" s="181">
        <f t="shared" si="21"/>
        <v>5.4</v>
      </c>
      <c r="M68" s="182">
        <f t="shared" si="24"/>
        <v>3.230418193392631</v>
      </c>
      <c r="N68" s="273">
        <f>IF($I$2="RRO (Capped)",VLOOKUP(A68,'Misc. Data &amp; Mechanisms'!$A$1278:$E$1368,3,FALSE),IF($I$2="RRO (Uncapped)",VLOOKUP(A68,'Misc. Data &amp; Mechanisms'!$G$1278:$K$1368,3,FALSE),AR68))</f>
        <v>3.8729999999999998</v>
      </c>
      <c r="O68" s="183">
        <f t="shared" si="25"/>
        <v>20.225110241120202</v>
      </c>
      <c r="P68" s="493">
        <v>3.08</v>
      </c>
      <c r="Q68" s="194">
        <f t="shared" si="26"/>
        <v>16.084001947495537</v>
      </c>
      <c r="R68" s="274">
        <v>0.86099999999999999</v>
      </c>
      <c r="S68" s="275">
        <v>0.59067000000000003</v>
      </c>
      <c r="T68" s="183">
        <f t="shared" si="27"/>
        <v>4.4962096353226162</v>
      </c>
      <c r="U68" s="194">
        <f t="shared" si="28"/>
        <v>16.53876</v>
      </c>
      <c r="V68" s="276">
        <v>0.84</v>
      </c>
      <c r="W68" s="183">
        <f t="shared" si="29"/>
        <v>4.3865459856806011</v>
      </c>
      <c r="X68" s="277">
        <v>0.114</v>
      </c>
      <c r="Y68" s="278">
        <v>-3.0000000000000001E-3</v>
      </c>
      <c r="Z68" s="278">
        <v>-0.59399999999999997</v>
      </c>
      <c r="AA68" s="278"/>
      <c r="AB68" s="278"/>
      <c r="AC68" s="183">
        <f t="shared" si="30"/>
        <v>0.59531695519951011</v>
      </c>
      <c r="AD68" s="183">
        <f t="shared" si="31"/>
        <v>-1.5666235663145005E-2</v>
      </c>
      <c r="AE68" s="183">
        <f t="shared" si="32"/>
        <v>-3.1019146613027107</v>
      </c>
      <c r="AF68" s="183">
        <f t="shared" si="33"/>
        <v>0</v>
      </c>
      <c r="AG68" s="194">
        <f t="shared" si="34"/>
        <v>0</v>
      </c>
      <c r="AH68" s="200">
        <f>IF(OR($I$2="RRO (Capped)",$I$2="RRO (Uncapped)"),VLOOKUP(A68,'Misc. Data &amp; Mechanisms'!$A$1483:$H$1574,3,FALSE),AS68)</f>
        <v>5.4</v>
      </c>
      <c r="AI68" s="194">
        <f t="shared" si="22"/>
        <v>5.4</v>
      </c>
      <c r="AJ68" s="129">
        <f>5%</f>
        <v>0.05</v>
      </c>
      <c r="AK68" s="341">
        <f>'Misc. Data &amp; Mechanisms'!AI341</f>
        <v>463.42331626009917</v>
      </c>
      <c r="AL68" s="196">
        <f>'Misc. Data &amp; Mechanisms'!AP341</f>
        <v>549.65855056156363</v>
      </c>
      <c r="AM68" s="1087">
        <f>'Misc. Data &amp; Mechanisms'!N341</f>
        <v>522.2078554381668</v>
      </c>
      <c r="AN68" s="1087">
        <f>'Misc. Data &amp; Mechanisms'!O341</f>
        <v>396.30754282297414</v>
      </c>
      <c r="AO68" s="1087">
        <f>'Misc. Data &amp; Mechanisms'!P341</f>
        <v>293.29395282631896</v>
      </c>
      <c r="AP68" s="1463">
        <f>'Misc. Data &amp; Mechanisms'!$B$259</f>
        <v>611.34673880086393</v>
      </c>
      <c r="AQ68" s="197">
        <f>IFERROR(IF('Personalized Bill Menu'!$B$30="Yes", IF('Personalized Bill Menu'!$B$34="Natural Gas",0,VLOOKUP($A68, 'Personalized Bill Menu'!$H$4:$L$93, 2, FALSE)), 0), 0)</f>
        <v>0</v>
      </c>
      <c r="AR68" s="1343">
        <f>IFERROR(IF('Personalized Bill Menu'!$C$36="Custom", IF('Personalized Bill Menu'!$B$34="Natural Gas",0,VLOOKUP($A68, 'Personalized Bill Menu'!$H$4:$L$93, 3, FALSE)), 0), 0)</f>
        <v>0</v>
      </c>
      <c r="AS68" s="1344">
        <f>IFERROR(IF('Personalized Bill Menu'!$C$36="Custom", IF('Personalized Bill Menu'!$B$34="Natural Gas",0,VLOOKUP($A68, 'Personalized Bill Menu'!$H$4:$L$93, 4, FALSE)), 0), 0)</f>
        <v>0</v>
      </c>
    </row>
    <row r="69" spans="1:45" x14ac:dyDescent="0.35">
      <c r="A69" s="206">
        <v>42795</v>
      </c>
      <c r="B69" s="207">
        <f t="shared" si="0"/>
        <v>31</v>
      </c>
      <c r="C69" s="1581">
        <f t="shared" si="15"/>
        <v>549.25270471397471</v>
      </c>
      <c r="D69" s="178">
        <f t="shared" si="16"/>
        <v>12.531660291633855</v>
      </c>
      <c r="E69" s="178">
        <f t="shared" si="17"/>
        <v>7.9989000000000017</v>
      </c>
      <c r="F69" s="179">
        <f t="shared" si="23"/>
        <v>68.830483097366127</v>
      </c>
      <c r="G69" s="180">
        <f t="shared" si="18"/>
        <v>18.23518979650396</v>
      </c>
      <c r="H69" s="181">
        <f t="shared" si="19"/>
        <v>16.916983305190421</v>
      </c>
      <c r="I69" s="181">
        <f t="shared" si="2"/>
        <v>23.039835787587322</v>
      </c>
      <c r="J69" s="181">
        <f t="shared" si="3"/>
        <v>4.6137227195973871</v>
      </c>
      <c r="K69" s="181">
        <f t="shared" si="20"/>
        <v>-2.6528905637684979</v>
      </c>
      <c r="L69" s="181">
        <f t="shared" si="21"/>
        <v>5.4</v>
      </c>
      <c r="M69" s="182">
        <f t="shared" si="24"/>
        <v>3.2776420522555298</v>
      </c>
      <c r="N69" s="273">
        <f>IF($I$2="RRO (Capped)",VLOOKUP(A69,'Misc. Data &amp; Mechanisms'!$A$1278:$E$1368,3,FALSE),IF($I$2="RRO (Uncapped)",VLOOKUP(A69,'Misc. Data &amp; Mechanisms'!$G$1278:$K$1368,3,FALSE),AR69))</f>
        <v>3.32</v>
      </c>
      <c r="O69" s="183">
        <f t="shared" si="25"/>
        <v>18.23518979650396</v>
      </c>
      <c r="P69" s="493">
        <v>3.08</v>
      </c>
      <c r="Q69" s="194">
        <f t="shared" si="26"/>
        <v>16.916983305190421</v>
      </c>
      <c r="R69" s="274">
        <v>0.86099999999999999</v>
      </c>
      <c r="S69" s="275">
        <v>0.59067000000000003</v>
      </c>
      <c r="T69" s="183">
        <f t="shared" si="27"/>
        <v>4.7290657875873219</v>
      </c>
      <c r="U69" s="194">
        <f t="shared" si="28"/>
        <v>18.310770000000002</v>
      </c>
      <c r="V69" s="276">
        <v>0.84</v>
      </c>
      <c r="W69" s="183">
        <f t="shared" si="29"/>
        <v>4.6137227195973871</v>
      </c>
      <c r="X69" s="277">
        <v>0.114</v>
      </c>
      <c r="Y69" s="278">
        <v>-3.0000000000000001E-3</v>
      </c>
      <c r="Z69" s="278">
        <v>-0.59399999999999997</v>
      </c>
      <c r="AA69" s="278"/>
      <c r="AB69" s="278"/>
      <c r="AC69" s="183">
        <f t="shared" si="30"/>
        <v>0.62614808337393113</v>
      </c>
      <c r="AD69" s="183">
        <f t="shared" si="31"/>
        <v>-1.6477581141419242E-2</v>
      </c>
      <c r="AE69" s="183">
        <f t="shared" si="32"/>
        <v>-3.2625610660010098</v>
      </c>
      <c r="AF69" s="183">
        <f t="shared" si="33"/>
        <v>0</v>
      </c>
      <c r="AG69" s="194">
        <f t="shared" si="34"/>
        <v>0</v>
      </c>
      <c r="AH69" s="200">
        <f>IF(OR($I$2="RRO (Capped)",$I$2="RRO (Uncapped)"),VLOOKUP(A69,'Misc. Data &amp; Mechanisms'!$A$1483:$H$1574,3,FALSE),AS69)</f>
        <v>5.4</v>
      </c>
      <c r="AI69" s="194">
        <f t="shared" si="22"/>
        <v>5.4</v>
      </c>
      <c r="AJ69" s="129">
        <f>5%</f>
        <v>0.05</v>
      </c>
      <c r="AK69" s="341">
        <f>'Misc. Data &amp; Mechanisms'!AI342</f>
        <v>487.42374752253824</v>
      </c>
      <c r="AL69" s="196">
        <f>'Misc. Data &amp; Mechanisms'!AP342</f>
        <v>569.98826499833581</v>
      </c>
      <c r="AM69" s="1087">
        <f>'Misc. Data &amp; Mechanisms'!N342</f>
        <v>549.25270471397471</v>
      </c>
      <c r="AN69" s="1087">
        <f>'Misc. Data &amp; Mechanisms'!O342</f>
        <v>416.83208616504999</v>
      </c>
      <c r="AO69" s="1087">
        <f>'Misc. Data &amp; Mechanisms'!P342</f>
        <v>308.48348064573128</v>
      </c>
      <c r="AP69" s="1463">
        <f>'Misc. Data &amp; Mechanisms'!$B$259</f>
        <v>611.34673880086393</v>
      </c>
      <c r="AQ69" s="197">
        <f>IFERROR(IF('Personalized Bill Menu'!$B$30="Yes", IF('Personalized Bill Menu'!$B$34="Natural Gas",0,VLOOKUP($A69, 'Personalized Bill Menu'!$H$4:$L$93, 2, FALSE)), 0), 0)</f>
        <v>0</v>
      </c>
      <c r="AR69" s="1343">
        <f>IFERROR(IF('Personalized Bill Menu'!$C$36="Custom", IF('Personalized Bill Menu'!$B$34="Natural Gas",0,VLOOKUP($A69, 'Personalized Bill Menu'!$H$4:$L$93, 3, FALSE)), 0), 0)</f>
        <v>0</v>
      </c>
      <c r="AS69" s="1344">
        <f>IFERROR(IF('Personalized Bill Menu'!$C$36="Custom", IF('Personalized Bill Menu'!$B$34="Natural Gas",0,VLOOKUP($A69, 'Personalized Bill Menu'!$H$4:$L$93, 4, FALSE)), 0), 0)</f>
        <v>0</v>
      </c>
    </row>
    <row r="70" spans="1:45" x14ac:dyDescent="0.35">
      <c r="A70" s="206">
        <v>42826</v>
      </c>
      <c r="B70" s="207">
        <f t="shared" si="0"/>
        <v>30</v>
      </c>
      <c r="C70" s="1581">
        <f t="shared" si="15"/>
        <v>488.46331049501254</v>
      </c>
      <c r="D70" s="178">
        <f t="shared" si="16"/>
        <v>13.399293230138083</v>
      </c>
      <c r="E70" s="178">
        <f t="shared" si="17"/>
        <v>8.4293999999999993</v>
      </c>
      <c r="F70" s="179">
        <f t="shared" si="23"/>
        <v>65.450631294866582</v>
      </c>
      <c r="G70" s="180">
        <f t="shared" si="18"/>
        <v>14.81020757420878</v>
      </c>
      <c r="H70" s="181">
        <f t="shared" si="19"/>
        <v>15.044669963246387</v>
      </c>
      <c r="I70" s="181">
        <f t="shared" si="2"/>
        <v>21.925769103362061</v>
      </c>
      <c r="J70" s="181">
        <f t="shared" si="3"/>
        <v>4.1030918081581049</v>
      </c>
      <c r="K70" s="181">
        <f t="shared" si="20"/>
        <v>1.0501961175642769</v>
      </c>
      <c r="L70" s="181">
        <f t="shared" si="21"/>
        <v>5.4</v>
      </c>
      <c r="M70" s="182">
        <f t="shared" si="24"/>
        <v>3.1166967283269802</v>
      </c>
      <c r="N70" s="273">
        <f>IF($I$2="RRO (Capped)",VLOOKUP(A70,'Misc. Data &amp; Mechanisms'!$A$1278:$E$1368,3,FALSE),IF($I$2="RRO (Uncapped)",VLOOKUP(A70,'Misc. Data &amp; Mechanisms'!$G$1278:$K$1368,3,FALSE),AR70))</f>
        <v>3.032</v>
      </c>
      <c r="O70" s="183">
        <f t="shared" si="25"/>
        <v>14.81020757420878</v>
      </c>
      <c r="P70" s="493">
        <v>3.08</v>
      </c>
      <c r="Q70" s="194">
        <f t="shared" si="26"/>
        <v>15.044669963246387</v>
      </c>
      <c r="R70" s="274">
        <v>0.86099999999999999</v>
      </c>
      <c r="S70" s="275">
        <v>0.59067000000000003</v>
      </c>
      <c r="T70" s="183">
        <f t="shared" si="27"/>
        <v>4.2056691033620579</v>
      </c>
      <c r="U70" s="194">
        <f t="shared" si="28"/>
        <v>17.720100000000002</v>
      </c>
      <c r="V70" s="276">
        <v>0.84</v>
      </c>
      <c r="W70" s="183">
        <f t="shared" si="29"/>
        <v>4.1030918081581049</v>
      </c>
      <c r="X70" s="277">
        <v>0.114</v>
      </c>
      <c r="Y70" s="278">
        <v>0.17399999999999999</v>
      </c>
      <c r="Z70" s="278">
        <v>0.216</v>
      </c>
      <c r="AA70" s="278">
        <v>-0.28899999999999998</v>
      </c>
      <c r="AB70" s="278"/>
      <c r="AC70" s="183">
        <f t="shared" si="30"/>
        <v>0.5568481739643143</v>
      </c>
      <c r="AD70" s="183">
        <f t="shared" si="31"/>
        <v>0.84992616026132173</v>
      </c>
      <c r="AE70" s="183">
        <f t="shared" si="32"/>
        <v>1.055080750669227</v>
      </c>
      <c r="AF70" s="183">
        <f t="shared" si="33"/>
        <v>-1.4116589673305862</v>
      </c>
      <c r="AG70" s="194">
        <f t="shared" si="34"/>
        <v>0</v>
      </c>
      <c r="AH70" s="200">
        <f>IF(OR($I$2="RRO (Capped)",$I$2="RRO (Uncapped)"),VLOOKUP(A70,'Misc. Data &amp; Mechanisms'!$A$1483:$H$1574,3,FALSE),AS70)</f>
        <v>5.4</v>
      </c>
      <c r="AI70" s="194">
        <f t="shared" si="22"/>
        <v>5.4</v>
      </c>
      <c r="AJ70" s="129">
        <f>5%</f>
        <v>0.05</v>
      </c>
      <c r="AK70" s="341">
        <f>'Misc. Data &amp; Mechanisms'!AI343</f>
        <v>433.47736895120016</v>
      </c>
      <c r="AL70" s="196">
        <f>'Misc. Data &amp; Mechanisms'!AP343</f>
        <v>490.87849585577823</v>
      </c>
      <c r="AM70" s="1087">
        <f>'Misc. Data &amp; Mechanisms'!N343</f>
        <v>488.46331049501254</v>
      </c>
      <c r="AN70" s="1087">
        <f>'Misc. Data &amp; Mechanisms'!O343</f>
        <v>370.69854910364404</v>
      </c>
      <c r="AO70" s="1087">
        <f>'Misc. Data &amp; Mechanisms'!P343</f>
        <v>274.34159339771787</v>
      </c>
      <c r="AP70" s="1463">
        <f>'Misc. Data &amp; Mechanisms'!$B$259</f>
        <v>611.34673880086393</v>
      </c>
      <c r="AQ70" s="197">
        <f>IFERROR(IF('Personalized Bill Menu'!$B$30="Yes", IF('Personalized Bill Menu'!$B$34="Natural Gas",0,VLOOKUP($A70, 'Personalized Bill Menu'!$H$4:$L$93, 2, FALSE)), 0), 0)</f>
        <v>0</v>
      </c>
      <c r="AR70" s="1343">
        <f>IFERROR(IF('Personalized Bill Menu'!$C$36="Custom", IF('Personalized Bill Menu'!$B$34="Natural Gas",0,VLOOKUP($A70, 'Personalized Bill Menu'!$H$4:$L$93, 3, FALSE)), 0), 0)</f>
        <v>0</v>
      </c>
      <c r="AS70" s="1344">
        <f>IFERROR(IF('Personalized Bill Menu'!$C$36="Custom", IF('Personalized Bill Menu'!$B$34="Natural Gas",0,VLOOKUP($A70, 'Personalized Bill Menu'!$H$4:$L$93, 4, FALSE)), 0), 0)</f>
        <v>0</v>
      </c>
    </row>
    <row r="71" spans="1:45" x14ac:dyDescent="0.35">
      <c r="A71" s="206">
        <v>42856</v>
      </c>
      <c r="B71" s="207">
        <f t="shared" ref="B71:B96" si="35">DAY(DATE(YEAR($A71),MONTH($A71)+1,1)-1)</f>
        <v>31</v>
      </c>
      <c r="C71" s="1581">
        <f t="shared" si="15"/>
        <v>468.23579211807021</v>
      </c>
      <c r="D71" s="178">
        <f t="shared" si="16"/>
        <v>13.483945155258477</v>
      </c>
      <c r="E71" s="178">
        <f t="shared" si="17"/>
        <v>8.1669</v>
      </c>
      <c r="F71" s="179">
        <f t="shared" si="23"/>
        <v>63.136657406490677</v>
      </c>
      <c r="G71" s="180">
        <f t="shared" si="18"/>
        <v>13.026319736724714</v>
      </c>
      <c r="H71" s="181">
        <f t="shared" si="19"/>
        <v>14.421662397236563</v>
      </c>
      <c r="I71" s="181">
        <f t="shared" ref="I71:I96" si="36">SUM($T71:$U71)</f>
        <v>22.342280170136586</v>
      </c>
      <c r="J71" s="181">
        <f t="shared" ref="J71:J96" si="37">SUM($W71:$W71)</f>
        <v>3.9331806537917897</v>
      </c>
      <c r="K71" s="181">
        <f t="shared" si="20"/>
        <v>1.0067069530538508</v>
      </c>
      <c r="L71" s="181">
        <f t="shared" si="21"/>
        <v>5.4</v>
      </c>
      <c r="M71" s="182">
        <f t="shared" si="24"/>
        <v>3.0065074955471753</v>
      </c>
      <c r="N71" s="273">
        <f>IF($I$2="RRO (Capped)",VLOOKUP(A71,'Misc. Data &amp; Mechanisms'!$A$1278:$E$1368,3,FALSE),IF($I$2="RRO (Uncapped)",VLOOKUP(A71,'Misc. Data &amp; Mechanisms'!$G$1278:$K$1368,3,FALSE),AR71))</f>
        <v>2.782</v>
      </c>
      <c r="O71" s="183">
        <f t="shared" si="25"/>
        <v>13.026319736724714</v>
      </c>
      <c r="P71" s="493">
        <v>3.08</v>
      </c>
      <c r="Q71" s="194">
        <f t="shared" si="26"/>
        <v>14.421662397236563</v>
      </c>
      <c r="R71" s="274">
        <v>0.86099999999999999</v>
      </c>
      <c r="S71" s="275">
        <v>0.59067000000000003</v>
      </c>
      <c r="T71" s="183">
        <f t="shared" si="27"/>
        <v>4.0315101701365839</v>
      </c>
      <c r="U71" s="194">
        <f t="shared" si="28"/>
        <v>18.310770000000002</v>
      </c>
      <c r="V71" s="276">
        <v>0.84</v>
      </c>
      <c r="W71" s="183">
        <f t="shared" si="29"/>
        <v>3.9331806537917897</v>
      </c>
      <c r="X71" s="277">
        <v>0.114</v>
      </c>
      <c r="Y71" s="278">
        <v>0.17399999999999999</v>
      </c>
      <c r="Z71" s="278">
        <v>0.216</v>
      </c>
      <c r="AA71" s="278">
        <v>-0.28899999999999998</v>
      </c>
      <c r="AB71" s="278"/>
      <c r="AC71" s="183">
        <f t="shared" si="30"/>
        <v>0.53378880301459997</v>
      </c>
      <c r="AD71" s="183">
        <f t="shared" si="31"/>
        <v>0.81473027828544209</v>
      </c>
      <c r="AE71" s="183">
        <f t="shared" si="32"/>
        <v>1.0113893109750316</v>
      </c>
      <c r="AF71" s="183">
        <f t="shared" si="33"/>
        <v>-1.3532014392212228</v>
      </c>
      <c r="AG71" s="194">
        <f t="shared" si="34"/>
        <v>0</v>
      </c>
      <c r="AH71" s="200">
        <f>IF(OR($I$2="RRO (Capped)",$I$2="RRO (Uncapped)"),VLOOKUP(A71,'Misc. Data &amp; Mechanisms'!$A$1483:$H$1574,3,FALSE),AS71)</f>
        <v>5.4</v>
      </c>
      <c r="AI71" s="194">
        <f t="shared" si="22"/>
        <v>5.4</v>
      </c>
      <c r="AJ71" s="129">
        <f>5%</f>
        <v>0.05</v>
      </c>
      <c r="AK71" s="341">
        <f>'Misc. Data &amp; Mechanisms'!AI344</f>
        <v>415.52684685863341</v>
      </c>
      <c r="AL71" s="196">
        <f>'Misc. Data &amp; Mechanisms'!AP344</f>
        <v>475.07724198265112</v>
      </c>
      <c r="AM71" s="1087">
        <f>'Misc. Data &amp; Mechanisms'!N344</f>
        <v>468.23579211807021</v>
      </c>
      <c r="AN71" s="1087">
        <f>'Misc. Data &amp; Mechanisms'!O344</f>
        <v>355.34773041738288</v>
      </c>
      <c r="AO71" s="1087">
        <f>'Misc. Data &amp; Mechanisms'!P344</f>
        <v>262.9809660941271</v>
      </c>
      <c r="AP71" s="1463">
        <f>'Misc. Data &amp; Mechanisms'!$B$259</f>
        <v>611.34673880086393</v>
      </c>
      <c r="AQ71" s="197">
        <f>IFERROR(IF('Personalized Bill Menu'!$B$30="Yes", IF('Personalized Bill Menu'!$B$34="Natural Gas",0,VLOOKUP($A71, 'Personalized Bill Menu'!$H$4:$L$93, 2, FALSE)), 0), 0)</f>
        <v>0</v>
      </c>
      <c r="AR71" s="1343">
        <f>IFERROR(IF('Personalized Bill Menu'!$C$36="Custom", IF('Personalized Bill Menu'!$B$34="Natural Gas",0,VLOOKUP($A71, 'Personalized Bill Menu'!$H$4:$L$93, 3, FALSE)), 0), 0)</f>
        <v>0</v>
      </c>
      <c r="AS71" s="1344">
        <f>IFERROR(IF('Personalized Bill Menu'!$C$36="Custom", IF('Personalized Bill Menu'!$B$34="Natural Gas",0,VLOOKUP($A71, 'Personalized Bill Menu'!$H$4:$L$93, 4, FALSE)), 0), 0)</f>
        <v>0</v>
      </c>
    </row>
    <row r="72" spans="1:45" x14ac:dyDescent="0.35">
      <c r="A72" s="206">
        <v>42887</v>
      </c>
      <c r="B72" s="207">
        <f t="shared" si="35"/>
        <v>30</v>
      </c>
      <c r="C72" s="1581">
        <f t="shared" ref="C72:C93" si="38">IFERROR(VLOOKUP($A72,$A$5:$AQ$96,MATCH($I$1,$A$5:$AQ$5,0),FALSE),0)</f>
        <v>461.61810607954635</v>
      </c>
      <c r="D72" s="178">
        <f t="shared" ref="D72:D96" si="39">IFERROR(($F72*100)/$C72, "")</f>
        <v>13.468865254900493</v>
      </c>
      <c r="E72" s="178">
        <f t="shared" ref="E72:E96" si="40">(1+$AJ72)*($N72+$P72+$R72+$V72+$X72+$Y72+$Z72+$AA72+$AB72)</f>
        <v>8.209950000000001</v>
      </c>
      <c r="F72" s="179">
        <f t="shared" si="23"/>
        <v>62.174720700077714</v>
      </c>
      <c r="G72" s="180">
        <f t="shared" ref="G72:G96" si="41">SUM($O72)</f>
        <v>13.031479134625593</v>
      </c>
      <c r="H72" s="181">
        <f t="shared" ref="H72:H96" si="42">SUM($Q72)</f>
        <v>14.217837667250029</v>
      </c>
      <c r="I72" s="181">
        <f t="shared" si="36"/>
        <v>21.694631893344898</v>
      </c>
      <c r="J72" s="181">
        <f t="shared" si="37"/>
        <v>3.8775920910681889</v>
      </c>
      <c r="K72" s="181">
        <f t="shared" ref="K72:K96" si="43">SUM($AC72:$AG72)</f>
        <v>0.99247892807102467</v>
      </c>
      <c r="L72" s="181">
        <f t="shared" ref="L72:L96" si="44">SUM($AI72)</f>
        <v>5.4</v>
      </c>
      <c r="M72" s="182">
        <f t="shared" si="24"/>
        <v>2.9607009857179865</v>
      </c>
      <c r="N72" s="273">
        <f>IF($I$2="RRO (Capped)",VLOOKUP(A72,'Misc. Data &amp; Mechanisms'!$A$1278:$E$1368,3,FALSE),IF($I$2="RRO (Uncapped)",VLOOKUP(A72,'Misc. Data &amp; Mechanisms'!$G$1278:$K$1368,3,FALSE),AR72))</f>
        <v>2.823</v>
      </c>
      <c r="O72" s="183">
        <f t="shared" si="25"/>
        <v>13.031479134625593</v>
      </c>
      <c r="P72" s="493">
        <v>3.08</v>
      </c>
      <c r="Q72" s="194">
        <f t="shared" si="26"/>
        <v>14.217837667250029</v>
      </c>
      <c r="R72" s="274">
        <v>0.86099999999999999</v>
      </c>
      <c r="S72" s="275">
        <v>0.59067000000000003</v>
      </c>
      <c r="T72" s="183">
        <f t="shared" si="27"/>
        <v>3.9745318933448939</v>
      </c>
      <c r="U72" s="194">
        <f t="shared" si="28"/>
        <v>17.720100000000002</v>
      </c>
      <c r="V72" s="276">
        <v>0.84</v>
      </c>
      <c r="W72" s="183">
        <f t="shared" si="29"/>
        <v>3.8775920910681889</v>
      </c>
      <c r="X72" s="277">
        <v>0.114</v>
      </c>
      <c r="Y72" s="278">
        <v>0.17399999999999999</v>
      </c>
      <c r="Z72" s="278">
        <v>0.216</v>
      </c>
      <c r="AA72" s="278">
        <v>-0.28899999999999998</v>
      </c>
      <c r="AB72" s="278"/>
      <c r="AC72" s="183">
        <f t="shared" si="30"/>
        <v>0.52624464093068279</v>
      </c>
      <c r="AD72" s="183">
        <f t="shared" si="31"/>
        <v>0.80321550457841051</v>
      </c>
      <c r="AE72" s="183">
        <f t="shared" si="32"/>
        <v>0.99709510913182009</v>
      </c>
      <c r="AF72" s="183">
        <f t="shared" si="33"/>
        <v>-1.3340763265698889</v>
      </c>
      <c r="AG72" s="194">
        <f t="shared" si="34"/>
        <v>0</v>
      </c>
      <c r="AH72" s="200">
        <f>IF(OR($I$2="RRO (Capped)",$I$2="RRO (Uncapped)"),VLOOKUP(A72,'Misc. Data &amp; Mechanisms'!$A$1483:$H$1574,3,FALSE),AS72)</f>
        <v>5.4</v>
      </c>
      <c r="AI72" s="194">
        <f t="shared" ref="AI72:AI96" si="45">IF($AH$6= "$/day", $AH72*$B72, $AH72)</f>
        <v>5.4</v>
      </c>
      <c r="AJ72" s="129">
        <f>5%</f>
        <v>0.05</v>
      </c>
      <c r="AK72" s="341">
        <f>'Misc. Data &amp; Mechanisms'!AI345</f>
        <v>409.65410867975703</v>
      </c>
      <c r="AL72" s="196">
        <f>'Misc. Data &amp; Mechanisms'!AP345</f>
        <v>458.51372295518621</v>
      </c>
      <c r="AM72" s="1087">
        <f>'Misc. Data &amp; Mechanisms'!N345</f>
        <v>461.61810607954635</v>
      </c>
      <c r="AN72" s="1087">
        <f>'Misc. Data &amp; Mechanisms'!O345</f>
        <v>350.32551777582711</v>
      </c>
      <c r="AO72" s="1087">
        <f>'Misc. Data &amp; Mechanisms'!P345</f>
        <v>259.26419455078513</v>
      </c>
      <c r="AP72" s="1463">
        <f>'Misc. Data &amp; Mechanisms'!$B$259</f>
        <v>611.34673880086393</v>
      </c>
      <c r="AQ72" s="197">
        <f>IFERROR(IF('Personalized Bill Menu'!$B$30="Yes", IF('Personalized Bill Menu'!$B$34="Natural Gas",0,VLOOKUP($A72, 'Personalized Bill Menu'!$H$4:$L$93, 2, FALSE)), 0), 0)</f>
        <v>0</v>
      </c>
      <c r="AR72" s="1343">
        <f>IFERROR(IF('Personalized Bill Menu'!$C$36="Custom", IF('Personalized Bill Menu'!$B$34="Natural Gas",0,VLOOKUP($A72, 'Personalized Bill Menu'!$H$4:$L$93, 3, FALSE)), 0), 0)</f>
        <v>0</v>
      </c>
      <c r="AS72" s="1344">
        <f>IFERROR(IF('Personalized Bill Menu'!$C$36="Custom", IF('Personalized Bill Menu'!$B$34="Natural Gas",0,VLOOKUP($A72, 'Personalized Bill Menu'!$H$4:$L$93, 4, FALSE)), 0), 0)</f>
        <v>0</v>
      </c>
    </row>
    <row r="73" spans="1:45" x14ac:dyDescent="0.35">
      <c r="A73" s="206">
        <v>42917</v>
      </c>
      <c r="B73" s="207">
        <f t="shared" si="35"/>
        <v>31</v>
      </c>
      <c r="C73" s="1581">
        <f t="shared" si="38"/>
        <v>515.33844311628252</v>
      </c>
      <c r="D73" s="178">
        <f t="shared" si="39"/>
        <v>13.627959827295346</v>
      </c>
      <c r="E73" s="178">
        <f t="shared" si="40"/>
        <v>8.7969000000000008</v>
      </c>
      <c r="F73" s="179">
        <f t="shared" si="23"/>
        <v>70.23011600249626</v>
      </c>
      <c r="G73" s="180">
        <f t="shared" si="41"/>
        <v>17.877090591703841</v>
      </c>
      <c r="H73" s="181">
        <f t="shared" si="42"/>
        <v>15.872424047981502</v>
      </c>
      <c r="I73" s="181">
        <f t="shared" si="36"/>
        <v>22.747833995231193</v>
      </c>
      <c r="J73" s="181">
        <f t="shared" si="37"/>
        <v>4.328842922176773</v>
      </c>
      <c r="K73" s="181">
        <f t="shared" si="43"/>
        <v>0.65963320718884155</v>
      </c>
      <c r="L73" s="181">
        <f t="shared" si="44"/>
        <v>5.4</v>
      </c>
      <c r="M73" s="182">
        <f t="shared" si="24"/>
        <v>3.3442912382141077</v>
      </c>
      <c r="N73" s="273">
        <f>IF($I$2="RRO (Capped)",VLOOKUP(A73,'Misc. Data &amp; Mechanisms'!$A$1278:$E$1368,3,FALSE),IF($I$2="RRO (Uncapped)",VLOOKUP(A73,'Misc. Data &amp; Mechanisms'!$G$1278:$K$1368,3,FALSE),AR73))</f>
        <v>3.4689999999999999</v>
      </c>
      <c r="O73" s="183">
        <f t="shared" si="25"/>
        <v>17.877090591703841</v>
      </c>
      <c r="P73" s="493">
        <v>3.08</v>
      </c>
      <c r="Q73" s="194">
        <f t="shared" si="26"/>
        <v>15.872424047981502</v>
      </c>
      <c r="R73" s="274">
        <v>0.86099999999999999</v>
      </c>
      <c r="S73" s="275">
        <v>0.59067000000000003</v>
      </c>
      <c r="T73" s="183">
        <f t="shared" si="27"/>
        <v>4.4370639952311919</v>
      </c>
      <c r="U73" s="194">
        <f t="shared" si="28"/>
        <v>18.310770000000002</v>
      </c>
      <c r="V73" s="276">
        <v>0.84</v>
      </c>
      <c r="W73" s="183">
        <f t="shared" si="29"/>
        <v>4.328842922176773</v>
      </c>
      <c r="X73" s="277">
        <v>0.114</v>
      </c>
      <c r="Y73" s="278">
        <v>-0.20200000000000001</v>
      </c>
      <c r="Z73" s="278">
        <v>0.216</v>
      </c>
      <c r="AA73" s="278"/>
      <c r="AB73" s="278"/>
      <c r="AC73" s="183">
        <f t="shared" si="30"/>
        <v>0.58748582515256209</v>
      </c>
      <c r="AD73" s="183">
        <f t="shared" si="31"/>
        <v>-1.0409836550948908</v>
      </c>
      <c r="AE73" s="183">
        <f t="shared" si="32"/>
        <v>1.1131310371311702</v>
      </c>
      <c r="AF73" s="183">
        <f t="shared" si="33"/>
        <v>0</v>
      </c>
      <c r="AG73" s="194">
        <f t="shared" si="34"/>
        <v>0</v>
      </c>
      <c r="AH73" s="200">
        <f>IF(OR($I$2="RRO (Capped)",$I$2="RRO (Uncapped)"),VLOOKUP(A73,'Misc. Data &amp; Mechanisms'!$A$1483:$H$1574,3,FALSE),AS73)</f>
        <v>5.4</v>
      </c>
      <c r="AI73" s="194">
        <f t="shared" si="45"/>
        <v>5.4</v>
      </c>
      <c r="AJ73" s="129">
        <f>5%</f>
        <v>0.05</v>
      </c>
      <c r="AK73" s="341">
        <f>'Misc. Data &amp; Mechanisms'!AI346</f>
        <v>457.32718843319304</v>
      </c>
      <c r="AL73" s="196">
        <f>'Misc. Data &amp; Mechanisms'!AP346</f>
        <v>518.6829776306779</v>
      </c>
      <c r="AM73" s="1087">
        <f>'Misc. Data &amp; Mechanisms'!N346</f>
        <v>515.33844311628252</v>
      </c>
      <c r="AN73" s="1087">
        <f>'Misc. Data &amp; Mechanisms'!O346</f>
        <v>391.09429317616537</v>
      </c>
      <c r="AO73" s="1087">
        <f>'Misc. Data &amp; Mechanisms'!P346</f>
        <v>289.43580118708564</v>
      </c>
      <c r="AP73" s="1463">
        <f>'Misc. Data &amp; Mechanisms'!$B$259</f>
        <v>611.34673880086393</v>
      </c>
      <c r="AQ73" s="197">
        <f>IFERROR(IF('Personalized Bill Menu'!$B$30="Yes", IF('Personalized Bill Menu'!$B$34="Natural Gas",0,VLOOKUP($A73, 'Personalized Bill Menu'!$H$4:$L$93, 2, FALSE)), 0), 0)</f>
        <v>0</v>
      </c>
      <c r="AR73" s="1343">
        <f>IFERROR(IF('Personalized Bill Menu'!$C$36="Custom", IF('Personalized Bill Menu'!$B$34="Natural Gas",0,VLOOKUP($A73, 'Personalized Bill Menu'!$H$4:$L$93, 3, FALSE)), 0), 0)</f>
        <v>0</v>
      </c>
      <c r="AS73" s="1344">
        <f>IFERROR(IF('Personalized Bill Menu'!$C$36="Custom", IF('Personalized Bill Menu'!$B$34="Natural Gas",0,VLOOKUP($A73, 'Personalized Bill Menu'!$H$4:$L$93, 4, FALSE)), 0), 0)</f>
        <v>0</v>
      </c>
    </row>
    <row r="74" spans="1:45" x14ac:dyDescent="0.35">
      <c r="A74" s="206">
        <v>42948</v>
      </c>
      <c r="B74" s="207">
        <f t="shared" si="35"/>
        <v>31</v>
      </c>
      <c r="C74" s="1581">
        <f t="shared" si="38"/>
        <v>487.64134040068365</v>
      </c>
      <c r="D74" s="178">
        <f t="shared" si="39"/>
        <v>14.160654857363669</v>
      </c>
      <c r="E74" s="178">
        <f t="shared" si="40"/>
        <v>9.055200000000001</v>
      </c>
      <c r="F74" s="179">
        <f t="shared" si="23"/>
        <v>69.05320715596271</v>
      </c>
      <c r="G74" s="180">
        <f t="shared" si="41"/>
        <v>18.115875795885394</v>
      </c>
      <c r="H74" s="181">
        <f t="shared" si="42"/>
        <v>15.019353284341056</v>
      </c>
      <c r="I74" s="181">
        <f t="shared" si="36"/>
        <v>22.509361940849889</v>
      </c>
      <c r="J74" s="181">
        <f t="shared" si="37"/>
        <v>4.0961872593657427</v>
      </c>
      <c r="K74" s="181">
        <f t="shared" si="43"/>
        <v>0.62418091571287504</v>
      </c>
      <c r="L74" s="181">
        <f t="shared" si="44"/>
        <v>5.4</v>
      </c>
      <c r="M74" s="182">
        <f t="shared" si="24"/>
        <v>3.2882479598077481</v>
      </c>
      <c r="N74" s="273">
        <f>IF($I$2="RRO (Capped)",VLOOKUP(A74,'Misc. Data &amp; Mechanisms'!$A$1278:$E$1368,3,FALSE),IF($I$2="RRO (Uncapped)",VLOOKUP(A74,'Misc. Data &amp; Mechanisms'!$G$1278:$K$1368,3,FALSE),AR74))</f>
        <v>3.7149999999999999</v>
      </c>
      <c r="O74" s="183">
        <f t="shared" si="25"/>
        <v>18.115875795885394</v>
      </c>
      <c r="P74" s="493">
        <v>3.08</v>
      </c>
      <c r="Q74" s="194">
        <f t="shared" si="26"/>
        <v>15.019353284341056</v>
      </c>
      <c r="R74" s="274">
        <v>0.86099999999999999</v>
      </c>
      <c r="S74" s="275">
        <v>0.59067000000000003</v>
      </c>
      <c r="T74" s="183">
        <f t="shared" si="27"/>
        <v>4.1985919408498864</v>
      </c>
      <c r="U74" s="194">
        <f t="shared" si="28"/>
        <v>18.310770000000002</v>
      </c>
      <c r="V74" s="276">
        <v>0.84</v>
      </c>
      <c r="W74" s="183">
        <f t="shared" si="29"/>
        <v>4.0961872593657427</v>
      </c>
      <c r="X74" s="277">
        <v>0.114</v>
      </c>
      <c r="Y74" s="278">
        <v>-0.20200000000000001</v>
      </c>
      <c r="Z74" s="278">
        <v>0.216</v>
      </c>
      <c r="AA74" s="278"/>
      <c r="AB74" s="278"/>
      <c r="AC74" s="183">
        <f t="shared" si="30"/>
        <v>0.55591112805677934</v>
      </c>
      <c r="AD74" s="183">
        <f t="shared" si="31"/>
        <v>-0.98503550760938097</v>
      </c>
      <c r="AE74" s="183">
        <f t="shared" si="32"/>
        <v>1.0533052952654767</v>
      </c>
      <c r="AF74" s="183">
        <f t="shared" si="33"/>
        <v>0</v>
      </c>
      <c r="AG74" s="194">
        <f t="shared" si="34"/>
        <v>0</v>
      </c>
      <c r="AH74" s="200">
        <f>IF(OR($I$2="RRO (Capped)",$I$2="RRO (Uncapped)"),VLOOKUP(A74,'Misc. Data &amp; Mechanisms'!$A$1483:$H$1574,3,FALSE),AS74)</f>
        <v>5.4</v>
      </c>
      <c r="AI74" s="194">
        <f t="shared" si="45"/>
        <v>5.4</v>
      </c>
      <c r="AJ74" s="129">
        <f>5%</f>
        <v>0.05</v>
      </c>
      <c r="AK74" s="341">
        <f>'Misc. Data &amp; Mechanisms'!AI347</f>
        <v>432.74792740218152</v>
      </c>
      <c r="AL74" s="196">
        <f>'Misc. Data &amp; Mechanisms'!AP347</f>
        <v>488.22611481879136</v>
      </c>
      <c r="AM74" s="1087">
        <f>'Misc. Data &amp; Mechanisms'!N347</f>
        <v>487.64134040068365</v>
      </c>
      <c r="AN74" s="1087">
        <f>'Misc. Data &amp; Mechanisms'!O347</f>
        <v>370.07474970084849</v>
      </c>
      <c r="AO74" s="1087">
        <f>'Misc. Data &amp; Mechanisms'!P347</f>
        <v>273.87994033072511</v>
      </c>
      <c r="AP74" s="1463">
        <f>'Misc. Data &amp; Mechanisms'!$B$259</f>
        <v>611.34673880086393</v>
      </c>
      <c r="AQ74" s="197">
        <f>IFERROR(IF('Personalized Bill Menu'!$B$30="Yes", IF('Personalized Bill Menu'!$B$34="Natural Gas",0,VLOOKUP($A74, 'Personalized Bill Menu'!$H$4:$L$93, 2, FALSE)), 0), 0)</f>
        <v>0</v>
      </c>
      <c r="AR74" s="1343">
        <f>IFERROR(IF('Personalized Bill Menu'!$C$36="Custom", IF('Personalized Bill Menu'!$B$34="Natural Gas",0,VLOOKUP($A74, 'Personalized Bill Menu'!$H$4:$L$93, 3, FALSE)), 0), 0)</f>
        <v>0</v>
      </c>
      <c r="AS74" s="1344">
        <f>IFERROR(IF('Personalized Bill Menu'!$C$36="Custom", IF('Personalized Bill Menu'!$B$34="Natural Gas",0,VLOOKUP($A74, 'Personalized Bill Menu'!$H$4:$L$93, 4, FALSE)), 0), 0)</f>
        <v>0</v>
      </c>
    </row>
    <row r="75" spans="1:45" x14ac:dyDescent="0.35">
      <c r="A75" s="206">
        <v>42979</v>
      </c>
      <c r="B75" s="207">
        <f t="shared" si="35"/>
        <v>30</v>
      </c>
      <c r="C75" s="1581">
        <f t="shared" si="38"/>
        <v>462.01992213039307</v>
      </c>
      <c r="D75" s="178">
        <f t="shared" si="39"/>
        <v>13.896589021285099</v>
      </c>
      <c r="E75" s="178">
        <f t="shared" si="40"/>
        <v>8.6877000000000013</v>
      </c>
      <c r="F75" s="179">
        <f t="shared" si="23"/>
        <v>64.205009774922161</v>
      </c>
      <c r="G75" s="180">
        <f t="shared" si="41"/>
        <v>15.546970379687727</v>
      </c>
      <c r="H75" s="181">
        <f t="shared" si="42"/>
        <v>14.230213601616107</v>
      </c>
      <c r="I75" s="181">
        <f t="shared" si="36"/>
        <v>21.698091529542687</v>
      </c>
      <c r="J75" s="181">
        <f t="shared" si="37"/>
        <v>3.8809673458953013</v>
      </c>
      <c r="K75" s="181">
        <f t="shared" si="43"/>
        <v>0.59138550032690307</v>
      </c>
      <c r="L75" s="181">
        <f t="shared" si="44"/>
        <v>5.2</v>
      </c>
      <c r="M75" s="182">
        <f t="shared" si="24"/>
        <v>3.0573814178534366</v>
      </c>
      <c r="N75" s="273">
        <f>IF($I$2="RRO (Capped)",VLOOKUP(A75,'Misc. Data &amp; Mechanisms'!$A$1278:$E$1368,3,FALSE),IF($I$2="RRO (Uncapped)",VLOOKUP(A75,'Misc. Data &amp; Mechanisms'!$G$1278:$K$1368,3,FALSE),AR75))</f>
        <v>3.3650000000000002</v>
      </c>
      <c r="O75" s="183">
        <f t="shared" si="25"/>
        <v>15.546970379687727</v>
      </c>
      <c r="P75" s="493">
        <v>3.08</v>
      </c>
      <c r="Q75" s="194">
        <f t="shared" si="26"/>
        <v>14.230213601616107</v>
      </c>
      <c r="R75" s="274">
        <v>0.86099999999999999</v>
      </c>
      <c r="S75" s="275">
        <v>0.59067000000000003</v>
      </c>
      <c r="T75" s="183">
        <f t="shared" si="27"/>
        <v>3.9779915295426842</v>
      </c>
      <c r="U75" s="194">
        <f t="shared" si="28"/>
        <v>17.720100000000002</v>
      </c>
      <c r="V75" s="276">
        <v>0.84</v>
      </c>
      <c r="W75" s="183">
        <f t="shared" si="29"/>
        <v>3.8809673458953013</v>
      </c>
      <c r="X75" s="277">
        <v>0.114</v>
      </c>
      <c r="Y75" s="278">
        <v>-0.20200000000000001</v>
      </c>
      <c r="Z75" s="278">
        <v>0.216</v>
      </c>
      <c r="AA75" s="278"/>
      <c r="AB75" s="278"/>
      <c r="AC75" s="183">
        <f t="shared" si="30"/>
        <v>0.52670271122864809</v>
      </c>
      <c r="AD75" s="183">
        <f t="shared" si="31"/>
        <v>-0.93328024270339405</v>
      </c>
      <c r="AE75" s="183">
        <f t="shared" si="32"/>
        <v>0.99796303180164903</v>
      </c>
      <c r="AF75" s="183">
        <f t="shared" si="33"/>
        <v>0</v>
      </c>
      <c r="AG75" s="194">
        <f t="shared" si="34"/>
        <v>0</v>
      </c>
      <c r="AH75" s="200">
        <f>IF(OR($I$2="RRO (Capped)",$I$2="RRO (Uncapped)"),VLOOKUP(A75,'Misc. Data &amp; Mechanisms'!$A$1483:$H$1574,3,FALSE),AS75)</f>
        <v>5.2</v>
      </c>
      <c r="AI75" s="194">
        <f t="shared" si="45"/>
        <v>5.2</v>
      </c>
      <c r="AJ75" s="129">
        <f>5%</f>
        <v>0.05</v>
      </c>
      <c r="AK75" s="341">
        <f>'Misc. Data &amp; Mechanisms'!AI348</f>
        <v>410.0106926048565</v>
      </c>
      <c r="AL75" s="196">
        <f>'Misc. Data &amp; Mechanisms'!AP348</f>
        <v>469.17523379605063</v>
      </c>
      <c r="AM75" s="1087">
        <f>'Misc. Data &amp; Mechanisms'!N348</f>
        <v>462.01992213039307</v>
      </c>
      <c r="AN75" s="1087">
        <f>'Misc. Data &amp; Mechanisms'!O348</f>
        <v>350.63045905566344</v>
      </c>
      <c r="AO75" s="1087">
        <f>'Misc. Data &amp; Mechanisms'!P348</f>
        <v>259.48987138929806</v>
      </c>
      <c r="AP75" s="1463">
        <f>'Misc. Data &amp; Mechanisms'!$B$259</f>
        <v>611.34673880086393</v>
      </c>
      <c r="AQ75" s="197">
        <f>IFERROR(IF('Personalized Bill Menu'!$B$30="Yes", IF('Personalized Bill Menu'!$B$34="Natural Gas",0,VLOOKUP($A75, 'Personalized Bill Menu'!$H$4:$L$93, 2, FALSE)), 0), 0)</f>
        <v>0</v>
      </c>
      <c r="AR75" s="1343">
        <f>IFERROR(IF('Personalized Bill Menu'!$C$36="Custom", IF('Personalized Bill Menu'!$B$34="Natural Gas",0,VLOOKUP($A75, 'Personalized Bill Menu'!$H$4:$L$93, 3, FALSE)), 0), 0)</f>
        <v>0</v>
      </c>
      <c r="AS75" s="1344">
        <f>IFERROR(IF('Personalized Bill Menu'!$C$36="Custom", IF('Personalized Bill Menu'!$B$34="Natural Gas",0,VLOOKUP($A75, 'Personalized Bill Menu'!$H$4:$L$93, 4, FALSE)), 0), 0)</f>
        <v>0</v>
      </c>
    </row>
    <row r="76" spans="1:45" x14ac:dyDescent="0.35">
      <c r="A76" s="206">
        <v>43009</v>
      </c>
      <c r="B76" s="207">
        <f t="shared" si="35"/>
        <v>31</v>
      </c>
      <c r="C76" s="1581">
        <f t="shared" si="38"/>
        <v>509.01829500391068</v>
      </c>
      <c r="D76" s="178">
        <f t="shared" si="39"/>
        <v>13.75903806111681</v>
      </c>
      <c r="E76" s="178">
        <f t="shared" si="40"/>
        <v>8.9092500000000001</v>
      </c>
      <c r="F76" s="179">
        <f t="shared" si="23"/>
        <v>70.036020947635919</v>
      </c>
      <c r="G76" s="180">
        <f t="shared" si="41"/>
        <v>17.530590079934683</v>
      </c>
      <c r="H76" s="181">
        <f t="shared" si="42"/>
        <v>15.677763486120449</v>
      </c>
      <c r="I76" s="181">
        <f t="shared" si="36"/>
        <v>22.693417519983672</v>
      </c>
      <c r="J76" s="181">
        <f t="shared" si="37"/>
        <v>4.2757536780328493</v>
      </c>
      <c r="K76" s="181">
        <f t="shared" si="43"/>
        <v>1.3234475670101677</v>
      </c>
      <c r="L76" s="181">
        <f t="shared" si="44"/>
        <v>5.2</v>
      </c>
      <c r="M76" s="182">
        <f t="shared" si="24"/>
        <v>3.3350486165540918</v>
      </c>
      <c r="N76" s="273">
        <f>IF($I$2="RRO (Capped)",VLOOKUP(A76,'Misc. Data &amp; Mechanisms'!$A$1278:$E$1368,3,FALSE),IF($I$2="RRO (Uncapped)",VLOOKUP(A76,'Misc. Data &amp; Mechanisms'!$G$1278:$K$1368,3,FALSE),AR76))</f>
        <v>3.444</v>
      </c>
      <c r="O76" s="183">
        <f t="shared" si="25"/>
        <v>17.530590079934683</v>
      </c>
      <c r="P76" s="493">
        <v>3.08</v>
      </c>
      <c r="Q76" s="194">
        <f t="shared" si="26"/>
        <v>15.677763486120449</v>
      </c>
      <c r="R76" s="274">
        <v>0.86099999999999999</v>
      </c>
      <c r="S76" s="275">
        <v>0.59067000000000003</v>
      </c>
      <c r="T76" s="183">
        <f t="shared" si="27"/>
        <v>4.3826475199836707</v>
      </c>
      <c r="U76" s="194">
        <f t="shared" si="28"/>
        <v>18.310770000000002</v>
      </c>
      <c r="V76" s="276">
        <v>0.84</v>
      </c>
      <c r="W76" s="183">
        <f t="shared" si="29"/>
        <v>4.2757536780328493</v>
      </c>
      <c r="X76" s="277">
        <v>0.114</v>
      </c>
      <c r="Y76" s="278">
        <v>-7.0000000000000007E-2</v>
      </c>
      <c r="Z76" s="278">
        <v>0.216</v>
      </c>
      <c r="AA76" s="278"/>
      <c r="AB76" s="278"/>
      <c r="AC76" s="183">
        <f t="shared" si="30"/>
        <v>0.58028085630445814</v>
      </c>
      <c r="AD76" s="183">
        <f t="shared" si="31"/>
        <v>-0.3563128065027375</v>
      </c>
      <c r="AE76" s="183">
        <f t="shared" si="32"/>
        <v>1.0994795172084471</v>
      </c>
      <c r="AF76" s="183">
        <f t="shared" si="33"/>
        <v>0</v>
      </c>
      <c r="AG76" s="194">
        <f t="shared" si="34"/>
        <v>0</v>
      </c>
      <c r="AH76" s="200">
        <f>IF(OR($I$2="RRO (Capped)",$I$2="RRO (Uncapped)"),VLOOKUP(A76,'Misc. Data &amp; Mechanisms'!$A$1483:$H$1574,3,FALSE),AS76)</f>
        <v>5.2</v>
      </c>
      <c r="AI76" s="194">
        <f t="shared" si="45"/>
        <v>5.2</v>
      </c>
      <c r="AJ76" s="129">
        <f>5%</f>
        <v>0.05</v>
      </c>
      <c r="AK76" s="341">
        <f>'Misc. Data &amp; Mechanisms'!AI349</f>
        <v>451.71849456352152</v>
      </c>
      <c r="AL76" s="196">
        <f>'Misc. Data &amp; Mechanisms'!AP349</f>
        <v>518.32728951174261</v>
      </c>
      <c r="AM76" s="1087">
        <f>'Misc. Data &amp; Mechanisms'!N349</f>
        <v>509.01829500391068</v>
      </c>
      <c r="AN76" s="1087">
        <f>'Misc. Data &amp; Mechanisms'!O349</f>
        <v>386.29788434660128</v>
      </c>
      <c r="AO76" s="1087">
        <f>'Misc. Data &amp; Mechanisms'!P349</f>
        <v>285.88613949007811</v>
      </c>
      <c r="AP76" s="1463">
        <f>'Misc. Data &amp; Mechanisms'!$B$259</f>
        <v>611.34673880086393</v>
      </c>
      <c r="AQ76" s="197">
        <f>IFERROR(IF('Personalized Bill Menu'!$B$30="Yes", IF('Personalized Bill Menu'!$B$34="Natural Gas",0,VLOOKUP($A76, 'Personalized Bill Menu'!$H$4:$L$93, 2, FALSE)), 0), 0)</f>
        <v>0</v>
      </c>
      <c r="AR76" s="1343">
        <f>IFERROR(IF('Personalized Bill Menu'!$C$36="Custom", IF('Personalized Bill Menu'!$B$34="Natural Gas",0,VLOOKUP($A76, 'Personalized Bill Menu'!$H$4:$L$93, 3, FALSE)), 0), 0)</f>
        <v>0</v>
      </c>
      <c r="AS76" s="1344">
        <f>IFERROR(IF('Personalized Bill Menu'!$C$36="Custom", IF('Personalized Bill Menu'!$B$34="Natural Gas",0,VLOOKUP($A76, 'Personalized Bill Menu'!$H$4:$L$93, 4, FALSE)), 0), 0)</f>
        <v>0</v>
      </c>
    </row>
    <row r="77" spans="1:45" x14ac:dyDescent="0.35">
      <c r="A77" s="206">
        <v>43040</v>
      </c>
      <c r="B77" s="207">
        <f t="shared" si="35"/>
        <v>30</v>
      </c>
      <c r="C77" s="1581">
        <f t="shared" si="38"/>
        <v>565.91651556603199</v>
      </c>
      <c r="D77" s="178">
        <f t="shared" si="39"/>
        <v>13.045289266798299</v>
      </c>
      <c r="E77" s="178">
        <f t="shared" si="40"/>
        <v>8.7927000000000017</v>
      </c>
      <c r="F77" s="179">
        <f t="shared" si="23"/>
        <v>73.825446464174505</v>
      </c>
      <c r="G77" s="180">
        <f t="shared" si="41"/>
        <v>18.861997463815847</v>
      </c>
      <c r="H77" s="181">
        <f t="shared" si="42"/>
        <v>17.430228679433785</v>
      </c>
      <c r="I77" s="181">
        <f t="shared" si="36"/>
        <v>22.592641199023539</v>
      </c>
      <c r="J77" s="181">
        <f t="shared" si="37"/>
        <v>4.7536987307546683</v>
      </c>
      <c r="K77" s="181">
        <f t="shared" si="43"/>
        <v>1.4713829404716832</v>
      </c>
      <c r="L77" s="181">
        <f t="shared" si="44"/>
        <v>5.2</v>
      </c>
      <c r="M77" s="182">
        <f t="shared" si="24"/>
        <v>3.5154974506749768</v>
      </c>
      <c r="N77" s="273">
        <f>IF($I$2="RRO (Capped)",VLOOKUP(A77,'Misc. Data &amp; Mechanisms'!$A$1278:$E$1368,3,FALSE),IF($I$2="RRO (Uncapped)",VLOOKUP(A77,'Misc. Data &amp; Mechanisms'!$G$1278:$K$1368,3,FALSE),AR77))</f>
        <v>3.3330000000000002</v>
      </c>
      <c r="O77" s="183">
        <f t="shared" si="25"/>
        <v>18.861997463815847</v>
      </c>
      <c r="P77" s="493">
        <v>3.08</v>
      </c>
      <c r="Q77" s="194">
        <f t="shared" si="26"/>
        <v>17.430228679433785</v>
      </c>
      <c r="R77" s="274">
        <v>0.86099999999999999</v>
      </c>
      <c r="S77" s="275">
        <v>0.59067000000000003</v>
      </c>
      <c r="T77" s="183">
        <f t="shared" si="27"/>
        <v>4.8725411990235354</v>
      </c>
      <c r="U77" s="194">
        <f t="shared" si="28"/>
        <v>17.720100000000002</v>
      </c>
      <c r="V77" s="276">
        <v>0.84</v>
      </c>
      <c r="W77" s="183">
        <f t="shared" si="29"/>
        <v>4.7536987307546683</v>
      </c>
      <c r="X77" s="277">
        <v>0.114</v>
      </c>
      <c r="Y77" s="278">
        <v>-7.0000000000000007E-2</v>
      </c>
      <c r="Z77" s="278">
        <v>0.216</v>
      </c>
      <c r="AA77" s="278"/>
      <c r="AB77" s="278"/>
      <c r="AC77" s="183">
        <f t="shared" si="30"/>
        <v>0.64514482774527648</v>
      </c>
      <c r="AD77" s="183">
        <f t="shared" si="31"/>
        <v>-0.39614156089622243</v>
      </c>
      <c r="AE77" s="183">
        <f t="shared" si="32"/>
        <v>1.2223796736226291</v>
      </c>
      <c r="AF77" s="183">
        <f t="shared" si="33"/>
        <v>0</v>
      </c>
      <c r="AG77" s="194">
        <f t="shared" si="34"/>
        <v>0</v>
      </c>
      <c r="AH77" s="200">
        <f>IF(OR($I$2="RRO (Capped)",$I$2="RRO (Uncapped)"),VLOOKUP(A77,'Misc. Data &amp; Mechanisms'!$A$1483:$H$1574,3,FALSE),AS77)</f>
        <v>5.2</v>
      </c>
      <c r="AI77" s="194">
        <f t="shared" si="45"/>
        <v>5.2</v>
      </c>
      <c r="AJ77" s="129">
        <f>5%</f>
        <v>0.05</v>
      </c>
      <c r="AK77" s="341">
        <f>'Misc. Data &amp; Mechanisms'!AI350</f>
        <v>502.21172592265606</v>
      </c>
      <c r="AL77" s="196">
        <f>'Misc. Data &amp; Mechanisms'!AP350</f>
        <v>585.56570303254728</v>
      </c>
      <c r="AM77" s="1087">
        <f>'Misc. Data &amp; Mechanisms'!N350</f>
        <v>565.91651556603199</v>
      </c>
      <c r="AN77" s="1087">
        <f>'Misc. Data &amp; Mechanisms'!O350</f>
        <v>429.47837990435897</v>
      </c>
      <c r="AO77" s="1087">
        <f>'Misc. Data &amp; Mechanisms'!P350</f>
        <v>317.8425795238</v>
      </c>
      <c r="AP77" s="1463">
        <f>'Misc. Data &amp; Mechanisms'!$B$259</f>
        <v>611.34673880086393</v>
      </c>
      <c r="AQ77" s="197">
        <f>IFERROR(IF('Personalized Bill Menu'!$B$30="Yes", IF('Personalized Bill Menu'!$B$34="Natural Gas",0,VLOOKUP($A77, 'Personalized Bill Menu'!$H$4:$L$93, 2, FALSE)), 0), 0)</f>
        <v>0</v>
      </c>
      <c r="AR77" s="1343">
        <f>IFERROR(IF('Personalized Bill Menu'!$C$36="Custom", IF('Personalized Bill Menu'!$B$34="Natural Gas",0,VLOOKUP($A77, 'Personalized Bill Menu'!$H$4:$L$93, 3, FALSE)), 0), 0)</f>
        <v>0</v>
      </c>
      <c r="AS77" s="1344">
        <f>IFERROR(IF('Personalized Bill Menu'!$C$36="Custom", IF('Personalized Bill Menu'!$B$34="Natural Gas",0,VLOOKUP($A77, 'Personalized Bill Menu'!$H$4:$L$93, 4, FALSE)), 0), 0)</f>
        <v>0</v>
      </c>
    </row>
    <row r="78" spans="1:45" x14ac:dyDescent="0.35">
      <c r="A78" s="229">
        <v>43070</v>
      </c>
      <c r="B78" s="230">
        <f t="shared" si="35"/>
        <v>31</v>
      </c>
      <c r="C78" s="231">
        <f t="shared" si="38"/>
        <v>599.18831571708392</v>
      </c>
      <c r="D78" s="208">
        <f t="shared" si="39"/>
        <v>13.375708258941758</v>
      </c>
      <c r="E78" s="208">
        <f t="shared" si="40"/>
        <v>9.255749999999999</v>
      </c>
      <c r="F78" s="232">
        <f t="shared" si="23"/>
        <v>80.145681031984012</v>
      </c>
      <c r="G78" s="233">
        <f t="shared" si="41"/>
        <v>22.613367035162749</v>
      </c>
      <c r="H78" s="208">
        <f t="shared" si="42"/>
        <v>18.455000124086187</v>
      </c>
      <c r="I78" s="208">
        <f t="shared" si="36"/>
        <v>23.469781398324095</v>
      </c>
      <c r="J78" s="208">
        <f t="shared" si="37"/>
        <v>5.033181852023505</v>
      </c>
      <c r="K78" s="208">
        <f t="shared" si="43"/>
        <v>1.5578896208644182</v>
      </c>
      <c r="L78" s="208">
        <f t="shared" si="44"/>
        <v>5.2</v>
      </c>
      <c r="M78" s="234">
        <f t="shared" si="24"/>
        <v>3.8164610015230482</v>
      </c>
      <c r="N78" s="1243">
        <f>IF($I$2="RRO (Capped)",VLOOKUP(A78,'Misc. Data &amp; Mechanisms'!$A$1278:$E$1368,3,FALSE),IF($I$2="RRO (Uncapped)",VLOOKUP(A78,'Misc. Data &amp; Mechanisms'!$G$1278:$K$1368,3,FALSE),AR78))</f>
        <v>3.774</v>
      </c>
      <c r="O78" s="235">
        <f t="shared" si="25"/>
        <v>22.613367035162749</v>
      </c>
      <c r="P78" s="515">
        <v>3.08</v>
      </c>
      <c r="Q78" s="237">
        <f t="shared" si="26"/>
        <v>18.455000124086187</v>
      </c>
      <c r="R78" s="279">
        <v>0.86099999999999999</v>
      </c>
      <c r="S78" s="280">
        <v>0.59067000000000003</v>
      </c>
      <c r="T78" s="235">
        <f t="shared" si="27"/>
        <v>5.1590113983240924</v>
      </c>
      <c r="U78" s="237">
        <f t="shared" si="28"/>
        <v>18.310770000000002</v>
      </c>
      <c r="V78" s="281">
        <v>0.84</v>
      </c>
      <c r="W78" s="235">
        <f t="shared" si="29"/>
        <v>5.033181852023505</v>
      </c>
      <c r="X78" s="282">
        <v>0.114</v>
      </c>
      <c r="Y78" s="283">
        <v>-7.0000000000000007E-2</v>
      </c>
      <c r="Z78" s="283">
        <v>0.216</v>
      </c>
      <c r="AA78" s="283"/>
      <c r="AB78" s="283"/>
      <c r="AC78" s="235">
        <f t="shared" si="30"/>
        <v>0.68307467991747561</v>
      </c>
      <c r="AD78" s="235">
        <f t="shared" si="31"/>
        <v>-0.4194318210019588</v>
      </c>
      <c r="AE78" s="235">
        <f t="shared" si="32"/>
        <v>1.2942467619489013</v>
      </c>
      <c r="AF78" s="235">
        <f t="shared" si="33"/>
        <v>0</v>
      </c>
      <c r="AG78" s="237">
        <f t="shared" si="34"/>
        <v>0</v>
      </c>
      <c r="AH78" s="239">
        <f>IF(OR($I$2="RRO (Capped)",$I$2="RRO (Uncapped)"),VLOOKUP(A78,'Misc. Data &amp; Mechanisms'!$A$1483:$H$1574,3,FALSE),AS78)</f>
        <v>5.2</v>
      </c>
      <c r="AI78" s="237">
        <f t="shared" si="45"/>
        <v>5.2</v>
      </c>
      <c r="AJ78" s="242">
        <f>5%</f>
        <v>0.05</v>
      </c>
      <c r="AK78" s="352">
        <f>'Misc. Data &amp; Mechanisms'!AI351</f>
        <v>531.73814495939428</v>
      </c>
      <c r="AL78" s="1089">
        <f>'Misc. Data &amp; Mechanisms'!AP351</f>
        <v>653.78831033469964</v>
      </c>
      <c r="AM78" s="1089">
        <f>'Misc. Data &amp; Mechanisms'!N351</f>
        <v>599.18831571708392</v>
      </c>
      <c r="AN78" s="1089">
        <f>'Misc. Data &amp; Mechanisms'!O351</f>
        <v>454.72860397863417</v>
      </c>
      <c r="AO78" s="1089">
        <f>'Misc. Data &amp; Mechanisms'!P351</f>
        <v>336.52942554177378</v>
      </c>
      <c r="AP78" s="1464">
        <f>'Misc. Data &amp; Mechanisms'!$B$259</f>
        <v>611.34673880086393</v>
      </c>
      <c r="AQ78" s="243">
        <f>IFERROR(IF('Personalized Bill Menu'!$B$30="Yes", IF('Personalized Bill Menu'!$B$34="Natural Gas",0,VLOOKUP($A78, 'Personalized Bill Menu'!$H$4:$L$93, 2, FALSE)), 0), 0)</f>
        <v>0</v>
      </c>
      <c r="AR78" s="1345">
        <f>IFERROR(IF('Personalized Bill Menu'!$C$36="Custom", IF('Personalized Bill Menu'!$B$34="Natural Gas",0,VLOOKUP($A78, 'Personalized Bill Menu'!$H$4:$L$93, 3, FALSE)), 0), 0)</f>
        <v>0</v>
      </c>
      <c r="AS78" s="1346">
        <f>IFERROR(IF('Personalized Bill Menu'!$C$36="Custom", IF('Personalized Bill Menu'!$B$34="Natural Gas",0,VLOOKUP($A78, 'Personalized Bill Menu'!$H$4:$L$93, 4, FALSE)), 0), 0)</f>
        <v>0</v>
      </c>
    </row>
    <row r="79" spans="1:45" x14ac:dyDescent="0.35">
      <c r="A79" s="210">
        <v>43101</v>
      </c>
      <c r="B79" s="211">
        <f t="shared" si="35"/>
        <v>31</v>
      </c>
      <c r="C79" s="212">
        <f t="shared" si="38"/>
        <v>621.2190660058742</v>
      </c>
      <c r="D79" s="215">
        <f>IFERROR(($F79*100)/$C79, "")</f>
        <v>14.375942738176999</v>
      </c>
      <c r="E79" s="215">
        <f t="shared" si="40"/>
        <v>10.375050000000002</v>
      </c>
      <c r="F79" s="213">
        <f t="shared" si="23"/>
        <v>89.306097207642452</v>
      </c>
      <c r="G79" s="214">
        <f t="shared" si="41"/>
        <v>29.644573829800319</v>
      </c>
      <c r="H79" s="215">
        <f t="shared" si="42"/>
        <v>18.791876746677694</v>
      </c>
      <c r="I79" s="215">
        <f t="shared" si="36"/>
        <v>23.659466158310579</v>
      </c>
      <c r="J79" s="215">
        <f t="shared" si="37"/>
        <v>5.0318744346475821</v>
      </c>
      <c r="K79" s="215">
        <f t="shared" si="43"/>
        <v>2.5656347426042605</v>
      </c>
      <c r="L79" s="215">
        <f t="shared" si="44"/>
        <v>5.36</v>
      </c>
      <c r="M79" s="216">
        <f t="shared" si="24"/>
        <v>4.2526712956020214</v>
      </c>
      <c r="N79" s="1244">
        <f>IF($I$2="RRO (Capped)",VLOOKUP(A79,'Misc. Data &amp; Mechanisms'!$A$1278:$E$1368,3,FALSE),IF($I$2="RRO (Uncapped)",VLOOKUP(A79,'Misc. Data &amp; Mechanisms'!$G$1278:$K$1368,3,FALSE),AR79))</f>
        <v>4.7720000000000002</v>
      </c>
      <c r="O79" s="219">
        <f t="shared" si="25"/>
        <v>29.644573829800319</v>
      </c>
      <c r="P79" s="1245">
        <v>3.0249999999999999</v>
      </c>
      <c r="Q79" s="219">
        <f t="shared" si="26"/>
        <v>18.791876746677694</v>
      </c>
      <c r="R79" s="1246">
        <v>0.86099999999999999</v>
      </c>
      <c r="S79" s="1246">
        <v>0.59067000000000003</v>
      </c>
      <c r="T79" s="217">
        <f t="shared" si="27"/>
        <v>5.3486961583105765</v>
      </c>
      <c r="U79" s="219">
        <f t="shared" si="28"/>
        <v>18.310770000000002</v>
      </c>
      <c r="V79" s="1245">
        <v>0.81</v>
      </c>
      <c r="W79" s="219">
        <f t="shared" si="29"/>
        <v>5.0318744346475821</v>
      </c>
      <c r="X79" s="287">
        <v>0.32100000000000001</v>
      </c>
      <c r="Y79" s="295">
        <v>9.1999999999999998E-2</v>
      </c>
      <c r="Z79" s="1245"/>
      <c r="AA79" s="1247"/>
      <c r="AB79" s="1247"/>
      <c r="AC79" s="217">
        <f t="shared" si="30"/>
        <v>1.9941132018788563</v>
      </c>
      <c r="AD79" s="217">
        <f t="shared" si="31"/>
        <v>0.57152154072540429</v>
      </c>
      <c r="AE79" s="217">
        <f t="shared" si="32"/>
        <v>0</v>
      </c>
      <c r="AF79" s="217">
        <f t="shared" si="33"/>
        <v>0</v>
      </c>
      <c r="AG79" s="219">
        <f t="shared" si="34"/>
        <v>0</v>
      </c>
      <c r="AH79" s="200">
        <f>IF(OR($I$2="RRO (Capped)",$I$2="RRO (Uncapped)"),VLOOKUP(A79,'Misc. Data &amp; Mechanisms'!$A$1483:$H$1574,3,FALSE),AS79)</f>
        <v>5.36</v>
      </c>
      <c r="AI79" s="219">
        <f t="shared" si="45"/>
        <v>5.36</v>
      </c>
      <c r="AJ79" s="1250">
        <f>5%</f>
        <v>0.05</v>
      </c>
      <c r="AK79" s="359">
        <f>'Misc. Data &amp; Mechanisms'!AI352</f>
        <v>551.28891052565109</v>
      </c>
      <c r="AL79" s="1239">
        <f>'Misc. Data &amp; Mechanisms'!AP352</f>
        <v>649.0072953171458</v>
      </c>
      <c r="AM79" s="1087">
        <f>'Misc. Data &amp; Mechanisms'!N352</f>
        <v>621.2190660058742</v>
      </c>
      <c r="AN79" s="1087">
        <f>'Misc. Data &amp; Mechanisms'!O352</f>
        <v>471.44790917976172</v>
      </c>
      <c r="AO79" s="1087">
        <f>'Misc. Data &amp; Mechanisms'!P352</f>
        <v>348.90282392833626</v>
      </c>
      <c r="AP79" s="1465">
        <f>'Misc. Data &amp; Mechanisms'!$B$259</f>
        <v>611.34673880086393</v>
      </c>
      <c r="AQ79" s="197">
        <f>IFERROR(IF('Personalized Bill Menu'!$B$30="Yes", IF('Personalized Bill Menu'!$B$34="Natural Gas",0,VLOOKUP($A79, 'Personalized Bill Menu'!$H$4:$L$93, 2, FALSE)), 0), 0)</f>
        <v>0</v>
      </c>
      <c r="AR79" s="1343">
        <f>IFERROR(IF('Personalized Bill Menu'!$C$36="Custom", IF('Personalized Bill Menu'!$B$34="Natural Gas",0,VLOOKUP($A79, 'Personalized Bill Menu'!$H$4:$L$93, 3, FALSE)), 0), 0)</f>
        <v>0</v>
      </c>
      <c r="AS79" s="1344">
        <f>IFERROR(IF('Personalized Bill Menu'!$C$36="Custom", IF('Personalized Bill Menu'!$B$34="Natural Gas",0,VLOOKUP($A79, 'Personalized Bill Menu'!$H$4:$L$93, 4, FALSE)), 0), 0)</f>
        <v>0</v>
      </c>
    </row>
    <row r="80" spans="1:45" x14ac:dyDescent="0.35">
      <c r="A80" s="206">
        <v>43132</v>
      </c>
      <c r="B80" s="207">
        <f t="shared" si="35"/>
        <v>28</v>
      </c>
      <c r="C80" s="226">
        <f t="shared" si="38"/>
        <v>536.60482606629307</v>
      </c>
      <c r="D80" s="181">
        <f t="shared" si="39"/>
        <v>14.669533768436388</v>
      </c>
      <c r="E80" s="181">
        <f t="shared" si="40"/>
        <v>10.384500000000001</v>
      </c>
      <c r="F80" s="179">
        <f t="shared" si="23"/>
        <v>78.71742616285421</v>
      </c>
      <c r="G80" s="180">
        <f t="shared" si="41"/>
        <v>25.655076734229471</v>
      </c>
      <c r="H80" s="181">
        <f t="shared" si="42"/>
        <v>16.232295988505363</v>
      </c>
      <c r="I80" s="181">
        <f t="shared" si="36"/>
        <v>21.158927552430782</v>
      </c>
      <c r="J80" s="181">
        <f t="shared" si="37"/>
        <v>4.346499091136975</v>
      </c>
      <c r="K80" s="181">
        <f t="shared" si="43"/>
        <v>2.2161779316537906</v>
      </c>
      <c r="L80" s="181">
        <f t="shared" si="44"/>
        <v>5.36</v>
      </c>
      <c r="M80" s="182">
        <f t="shared" si="24"/>
        <v>3.7484488648978194</v>
      </c>
      <c r="N80" s="273">
        <f>IF($I$2="RRO (Capped)",VLOOKUP(A80,'Misc. Data &amp; Mechanisms'!$A$1278:$E$1368,3,FALSE),IF($I$2="RRO (Uncapped)",VLOOKUP(A80,'Misc. Data &amp; Mechanisms'!$G$1278:$K$1368,3,FALSE),AR80))</f>
        <v>4.7809999999999997</v>
      </c>
      <c r="O80" s="194">
        <f t="shared" si="25"/>
        <v>25.655076734229471</v>
      </c>
      <c r="P80" s="1248">
        <v>3.0249999999999999</v>
      </c>
      <c r="Q80" s="194">
        <f t="shared" si="26"/>
        <v>16.232295988505363</v>
      </c>
      <c r="R80" s="1249">
        <v>0.86099999999999999</v>
      </c>
      <c r="S80" s="1249">
        <v>0.59067000000000003</v>
      </c>
      <c r="T80" s="183">
        <f t="shared" si="27"/>
        <v>4.6201675524307833</v>
      </c>
      <c r="U80" s="194">
        <f t="shared" si="28"/>
        <v>16.53876</v>
      </c>
      <c r="V80" s="1248">
        <v>0.81</v>
      </c>
      <c r="W80" s="194">
        <f t="shared" si="29"/>
        <v>4.346499091136975</v>
      </c>
      <c r="X80" s="277">
        <v>0.32100000000000001</v>
      </c>
      <c r="Y80" s="278">
        <v>9.1999999999999998E-2</v>
      </c>
      <c r="Z80" s="1248"/>
      <c r="AA80" s="127"/>
      <c r="AB80" s="127"/>
      <c r="AC80" s="183">
        <f t="shared" si="30"/>
        <v>1.7225014916728008</v>
      </c>
      <c r="AD80" s="183">
        <f t="shared" si="31"/>
        <v>0.49367643998098965</v>
      </c>
      <c r="AE80" s="183">
        <f t="shared" si="32"/>
        <v>0</v>
      </c>
      <c r="AF80" s="183">
        <f t="shared" si="33"/>
        <v>0</v>
      </c>
      <c r="AG80" s="194">
        <f t="shared" si="34"/>
        <v>0</v>
      </c>
      <c r="AH80" s="200">
        <f>IF(OR($I$2="RRO (Capped)",$I$2="RRO (Uncapped)"),VLOOKUP(A80,'Misc. Data &amp; Mechanisms'!$A$1483:$H$1574,3,FALSE),AS80)</f>
        <v>5.36</v>
      </c>
      <c r="AI80" s="194">
        <f t="shared" si="45"/>
        <v>5.36</v>
      </c>
      <c r="AJ80" s="1251">
        <f>5%</f>
        <v>0.05</v>
      </c>
      <c r="AK80" s="341">
        <f>'Misc. Data &amp; Mechanisms'!AI353</f>
        <v>476.19963090781232</v>
      </c>
      <c r="AL80" s="1087">
        <f>'Misc. Data &amp; Mechanisms'!AP353</f>
        <v>581.59576765137035</v>
      </c>
      <c r="AM80" s="1087">
        <f>'Misc. Data &amp; Mechanisms'!N353</f>
        <v>536.60482606629307</v>
      </c>
      <c r="AN80" s="1087">
        <f>'Misc. Data &amp; Mechanisms'!O353</f>
        <v>407.23351414705519</v>
      </c>
      <c r="AO80" s="1087">
        <f>'Misc. Data &amp; Mechanisms'!P353</f>
        <v>301.37989864324766</v>
      </c>
      <c r="AP80" s="1463">
        <f>'Misc. Data &amp; Mechanisms'!$B$259</f>
        <v>611.34673880086393</v>
      </c>
      <c r="AQ80" s="197">
        <f>IFERROR(IF('Personalized Bill Menu'!$B$30="Yes", IF('Personalized Bill Menu'!$B$34="Natural Gas",0,VLOOKUP($A80, 'Personalized Bill Menu'!$H$4:$L$93, 2, FALSE)), 0), 0)</f>
        <v>0</v>
      </c>
      <c r="AR80" s="1343">
        <f>IFERROR(IF('Personalized Bill Menu'!$C$36="Custom", IF('Personalized Bill Menu'!$B$34="Natural Gas",0,VLOOKUP($A80, 'Personalized Bill Menu'!$H$4:$L$93, 3, FALSE)), 0), 0)</f>
        <v>0</v>
      </c>
      <c r="AS80" s="1344">
        <f>IFERROR(IF('Personalized Bill Menu'!$C$36="Custom", IF('Personalized Bill Menu'!$B$34="Natural Gas",0,VLOOKUP($A80, 'Personalized Bill Menu'!$H$4:$L$93, 4, FALSE)), 0), 0)</f>
        <v>0</v>
      </c>
    </row>
    <row r="81" spans="1:45" x14ac:dyDescent="0.35">
      <c r="A81" s="206">
        <v>43160</v>
      </c>
      <c r="B81" s="207">
        <f t="shared" si="35"/>
        <v>31</v>
      </c>
      <c r="C81" s="226">
        <f t="shared" si="38"/>
        <v>545.78840391701908</v>
      </c>
      <c r="D81" s="181">
        <f>IFERROR(($F81*100)/$C81, "")</f>
        <v>14.711535941112961</v>
      </c>
      <c r="E81" s="181">
        <f t="shared" si="40"/>
        <v>10.157700000000002</v>
      </c>
      <c r="F81" s="179">
        <f t="shared" si="23"/>
        <v>80.293857204679043</v>
      </c>
      <c r="G81" s="180">
        <f t="shared" si="41"/>
        <v>24.915240638811923</v>
      </c>
      <c r="H81" s="181">
        <f t="shared" si="42"/>
        <v>16.510099218489827</v>
      </c>
      <c r="I81" s="181">
        <f t="shared" si="36"/>
        <v>23.010008157725537</v>
      </c>
      <c r="J81" s="181">
        <f t="shared" si="37"/>
        <v>4.4208860717278551</v>
      </c>
      <c r="K81" s="181">
        <f t="shared" si="43"/>
        <v>2.2541061081772886</v>
      </c>
      <c r="L81" s="181">
        <f t="shared" si="44"/>
        <v>5.36</v>
      </c>
      <c r="M81" s="182">
        <f t="shared" si="24"/>
        <v>3.8235170097466211</v>
      </c>
      <c r="N81" s="273">
        <f>IF($I$2="RRO (Capped)",VLOOKUP(A81,'Misc. Data &amp; Mechanisms'!$A$1278:$E$1368,3,FALSE),IF($I$2="RRO (Uncapped)",VLOOKUP(A81,'Misc. Data &amp; Mechanisms'!$G$1278:$K$1368,3,FALSE),AR81))</f>
        <v>4.5650000000000004</v>
      </c>
      <c r="O81" s="194">
        <f t="shared" si="25"/>
        <v>24.915240638811923</v>
      </c>
      <c r="P81" s="1248">
        <v>3.0249999999999999</v>
      </c>
      <c r="Q81" s="194">
        <f t="shared" si="26"/>
        <v>16.510099218489827</v>
      </c>
      <c r="R81" s="1249">
        <v>0.86099999999999999</v>
      </c>
      <c r="S81" s="1249">
        <v>0.59067000000000003</v>
      </c>
      <c r="T81" s="183">
        <f t="shared" si="27"/>
        <v>4.6992381577255342</v>
      </c>
      <c r="U81" s="194">
        <f t="shared" si="28"/>
        <v>18.310770000000002</v>
      </c>
      <c r="V81" s="1248">
        <v>0.81</v>
      </c>
      <c r="W81" s="194">
        <f t="shared" si="29"/>
        <v>4.4208860717278551</v>
      </c>
      <c r="X81" s="277">
        <v>0.32100000000000001</v>
      </c>
      <c r="Y81" s="278">
        <v>9.1999999999999998E-2</v>
      </c>
      <c r="Z81" s="1248"/>
      <c r="AA81" s="127"/>
      <c r="AB81" s="127"/>
      <c r="AC81" s="183">
        <f t="shared" si="30"/>
        <v>1.7519807765736313</v>
      </c>
      <c r="AD81" s="183">
        <f t="shared" si="31"/>
        <v>0.50212533160365758</v>
      </c>
      <c r="AE81" s="183">
        <f t="shared" si="32"/>
        <v>0</v>
      </c>
      <c r="AF81" s="183">
        <f t="shared" si="33"/>
        <v>0</v>
      </c>
      <c r="AG81" s="194">
        <f t="shared" si="34"/>
        <v>0</v>
      </c>
      <c r="AH81" s="200">
        <f>IF(OR($I$2="RRO (Capped)",$I$2="RRO (Uncapped)"),VLOOKUP(A81,'Misc. Data &amp; Mechanisms'!$A$1483:$H$1574,3,FALSE),AS81)</f>
        <v>5.36</v>
      </c>
      <c r="AI81" s="194">
        <f t="shared" si="45"/>
        <v>5.36</v>
      </c>
      <c r="AJ81" s="1251">
        <f>5%</f>
        <v>0.05</v>
      </c>
      <c r="AK81" s="341">
        <f>'Misc. Data &amp; Mechanisms'!AI354</f>
        <v>484.34942041862939</v>
      </c>
      <c r="AL81" s="1087">
        <f>'Misc. Data &amp; Mechanisms'!AP354</f>
        <v>568.53312804327993</v>
      </c>
      <c r="AM81" s="1087">
        <f>'Misc. Data &amp; Mechanisms'!N354</f>
        <v>545.78840391701908</v>
      </c>
      <c r="AN81" s="1087">
        <f>'Misc. Data &amp; Mechanisms'!O354</f>
        <v>414.20300174561095</v>
      </c>
      <c r="AO81" s="1087">
        <f>'Misc. Data &amp; Mechanisms'!P354</f>
        <v>306.5377832305403</v>
      </c>
      <c r="AP81" s="1463">
        <f>'Misc. Data &amp; Mechanisms'!$B$259</f>
        <v>611.34673880086393</v>
      </c>
      <c r="AQ81" s="197">
        <f>IFERROR(IF('Personalized Bill Menu'!$B$30="Yes", IF('Personalized Bill Menu'!$B$34="Natural Gas",0,VLOOKUP($A81, 'Personalized Bill Menu'!$H$4:$L$93, 2, FALSE)), 0), 0)</f>
        <v>0</v>
      </c>
      <c r="AR81" s="1343">
        <f>IFERROR(IF('Personalized Bill Menu'!$C$36="Custom", IF('Personalized Bill Menu'!$B$34="Natural Gas",0,VLOOKUP($A81, 'Personalized Bill Menu'!$H$4:$L$93, 3, FALSE)), 0), 0)</f>
        <v>0</v>
      </c>
      <c r="AS81" s="1344">
        <f>IFERROR(IF('Personalized Bill Menu'!$C$36="Custom", IF('Personalized Bill Menu'!$B$34="Natural Gas",0,VLOOKUP($A81, 'Personalized Bill Menu'!$H$4:$L$93, 4, FALSE)), 0), 0)</f>
        <v>0</v>
      </c>
    </row>
    <row r="82" spans="1:45" x14ac:dyDescent="0.35">
      <c r="A82" s="206">
        <v>43191</v>
      </c>
      <c r="B82" s="207">
        <f t="shared" si="35"/>
        <v>30</v>
      </c>
      <c r="C82" s="226">
        <f t="shared" si="38"/>
        <v>493.04549556446051</v>
      </c>
      <c r="D82" s="181">
        <f t="shared" si="39"/>
        <v>17.361331225681191</v>
      </c>
      <c r="E82" s="181">
        <f t="shared" si="40"/>
        <v>12.546449999999998</v>
      </c>
      <c r="F82" s="179">
        <f t="shared" si="23"/>
        <v>85.599261578247265</v>
      </c>
      <c r="G82" s="180">
        <f t="shared" si="41"/>
        <v>33.527093698383318</v>
      </c>
      <c r="H82" s="181">
        <f t="shared" si="42"/>
        <v>14.91462624082493</v>
      </c>
      <c r="I82" s="181">
        <f t="shared" si="36"/>
        <v>23.101022644769657</v>
      </c>
      <c r="J82" s="181">
        <f t="shared" si="37"/>
        <v>3.9936685140721306</v>
      </c>
      <c r="K82" s="181">
        <f t="shared" si="43"/>
        <v>2.0066951669473547</v>
      </c>
      <c r="L82" s="181">
        <f t="shared" si="44"/>
        <v>3.98</v>
      </c>
      <c r="M82" s="182">
        <f t="shared" si="24"/>
        <v>4.0761553132498696</v>
      </c>
      <c r="N82" s="273">
        <f>IF($I$2="RRO (Capped)",VLOOKUP(A82,'Misc. Data &amp; Mechanisms'!$A$1278:$E$1368,3,FALSE),IF($I$2="RRO (Uncapped)",VLOOKUP(A82,'Misc. Data &amp; Mechanisms'!$G$1278:$K$1368,3,FALSE),AR82))</f>
        <v>6.8</v>
      </c>
      <c r="O82" s="194">
        <f t="shared" si="25"/>
        <v>33.527093698383318</v>
      </c>
      <c r="P82" s="1248">
        <v>3.0249999999999999</v>
      </c>
      <c r="Q82" s="194">
        <f t="shared" si="26"/>
        <v>14.91462624082493</v>
      </c>
      <c r="R82" s="1249">
        <v>0.90700000000000003</v>
      </c>
      <c r="S82" s="1249">
        <v>0.62097000000000002</v>
      </c>
      <c r="T82" s="183">
        <f t="shared" si="27"/>
        <v>4.4719226447696565</v>
      </c>
      <c r="U82" s="194">
        <f t="shared" si="28"/>
        <v>18.629100000000001</v>
      </c>
      <c r="V82" s="1248">
        <v>0.81</v>
      </c>
      <c r="W82" s="194">
        <f t="shared" si="29"/>
        <v>3.9936685140721306</v>
      </c>
      <c r="X82" s="277">
        <v>0.32100000000000001</v>
      </c>
      <c r="Y82" s="278">
        <v>0.25800000000000001</v>
      </c>
      <c r="Z82" s="278">
        <v>-0.17199999999999999</v>
      </c>
      <c r="AC82" s="183">
        <f t="shared" si="30"/>
        <v>1.5826760407619183</v>
      </c>
      <c r="AD82" s="183">
        <f t="shared" si="31"/>
        <v>1.2720573785563083</v>
      </c>
      <c r="AE82" s="183">
        <f t="shared" si="32"/>
        <v>-0.84803825237087205</v>
      </c>
      <c r="AF82" s="183">
        <f t="shared" si="33"/>
        <v>0</v>
      </c>
      <c r="AG82" s="194">
        <f t="shared" si="34"/>
        <v>0</v>
      </c>
      <c r="AH82" s="200">
        <f>IF(OR($I$2="RRO (Capped)",$I$2="RRO (Uncapped)"),VLOOKUP(A82,'Misc. Data &amp; Mechanisms'!$A$1483:$H$1574,3,FALSE),AS82)</f>
        <v>3.98</v>
      </c>
      <c r="AI82" s="194">
        <f t="shared" si="45"/>
        <v>3.98</v>
      </c>
      <c r="AJ82" s="1251">
        <f>5%</f>
        <v>0.05</v>
      </c>
      <c r="AK82" s="341">
        <f>'Misc. Data &amp; Mechanisms'!AI355</f>
        <v>437.54374094941409</v>
      </c>
      <c r="AL82" s="1087">
        <f>'Misc. Data &amp; Mechanisms'!AP355</f>
        <v>506.02516903018198</v>
      </c>
      <c r="AM82" s="1087">
        <f>'Misc. Data &amp; Mechanisms'!N355</f>
        <v>493.04549556446051</v>
      </c>
      <c r="AN82" s="1087">
        <f>'Misc. Data &amp; Mechanisms'!O355</f>
        <v>374.17600446308006</v>
      </c>
      <c r="AO82" s="1087">
        <f>'Misc. Data &amp; Mechanisms'!P355</f>
        <v>276.91514176089311</v>
      </c>
      <c r="AP82" s="1463">
        <f>'Misc. Data &amp; Mechanisms'!$B$259</f>
        <v>611.34673880086393</v>
      </c>
      <c r="AQ82" s="197">
        <f>IFERROR(IF('Personalized Bill Menu'!$B$30="Yes", IF('Personalized Bill Menu'!$B$34="Natural Gas",0,VLOOKUP($A82, 'Personalized Bill Menu'!$H$4:$L$93, 2, FALSE)), 0), 0)</f>
        <v>0</v>
      </c>
      <c r="AR82" s="1343">
        <f>IFERROR(IF('Personalized Bill Menu'!$C$36="Custom", IF('Personalized Bill Menu'!$B$34="Natural Gas",0,VLOOKUP($A82, 'Personalized Bill Menu'!$H$4:$L$93, 3, FALSE)), 0), 0)</f>
        <v>0</v>
      </c>
      <c r="AS82" s="1344">
        <f>IFERROR(IF('Personalized Bill Menu'!$C$36="Custom", IF('Personalized Bill Menu'!$B$34="Natural Gas",0,VLOOKUP($A82, 'Personalized Bill Menu'!$H$4:$L$93, 4, FALSE)), 0), 0)</f>
        <v>0</v>
      </c>
    </row>
    <row r="83" spans="1:45" x14ac:dyDescent="0.35">
      <c r="A83" s="206">
        <v>43221</v>
      </c>
      <c r="B83" s="207">
        <f t="shared" si="35"/>
        <v>31</v>
      </c>
      <c r="C83" s="226">
        <f t="shared" si="38"/>
        <v>480.8049857673023</v>
      </c>
      <c r="D83" s="181">
        <f t="shared" si="39"/>
        <v>16.428839588799566</v>
      </c>
      <c r="E83" s="181">
        <f t="shared" si="40"/>
        <v>11.054399999999999</v>
      </c>
      <c r="F83" s="179">
        <f t="shared" si="23"/>
        <v>78.990679846660669</v>
      </c>
      <c r="G83" s="180">
        <f t="shared" si="41"/>
        <v>25.86250018442319</v>
      </c>
      <c r="H83" s="181">
        <f t="shared" si="42"/>
        <v>14.544350819460893</v>
      </c>
      <c r="I83" s="181">
        <f t="shared" si="36"/>
        <v>23.610971220909434</v>
      </c>
      <c r="J83" s="181">
        <f t="shared" si="37"/>
        <v>3.8945203847151491</v>
      </c>
      <c r="K83" s="181">
        <f t="shared" si="43"/>
        <v>1.9568762920729208</v>
      </c>
      <c r="L83" s="181">
        <f t="shared" si="44"/>
        <v>5.36</v>
      </c>
      <c r="M83" s="182">
        <f t="shared" si="24"/>
        <v>3.7614609450790795</v>
      </c>
      <c r="N83" s="273">
        <f>IF($I$2="RRO (Capped)",VLOOKUP(A83,'Misc. Data &amp; Mechanisms'!$A$1278:$E$1368,3,FALSE),IF($I$2="RRO (Uncapped)",VLOOKUP(A83,'Misc. Data &amp; Mechanisms'!$G$1278:$K$1368,3,FALSE),AR83))</f>
        <v>5.3789999999999996</v>
      </c>
      <c r="O83" s="194">
        <f>($N83/100)*$C83</f>
        <v>25.86250018442319</v>
      </c>
      <c r="P83" s="1248">
        <v>3.0249999999999999</v>
      </c>
      <c r="Q83" s="194">
        <f t="shared" si="26"/>
        <v>14.544350819460893</v>
      </c>
      <c r="R83" s="1249">
        <v>0.90700000000000003</v>
      </c>
      <c r="S83" s="1249">
        <v>0.62097000000000002</v>
      </c>
      <c r="T83" s="183">
        <f t="shared" si="27"/>
        <v>4.3609012209094322</v>
      </c>
      <c r="U83" s="194">
        <f t="shared" si="28"/>
        <v>19.250070000000001</v>
      </c>
      <c r="V83" s="1248">
        <v>0.81</v>
      </c>
      <c r="W83" s="194">
        <f t="shared" si="29"/>
        <v>3.8945203847151491</v>
      </c>
      <c r="X83" s="277">
        <v>0.32100000000000001</v>
      </c>
      <c r="Y83" s="278">
        <v>0.25800000000000001</v>
      </c>
      <c r="Z83" s="278">
        <v>-0.17199999999999999</v>
      </c>
      <c r="AC83" s="183">
        <f t="shared" si="30"/>
        <v>1.5433840043130405</v>
      </c>
      <c r="AD83" s="183">
        <f t="shared" si="31"/>
        <v>1.2404768632796401</v>
      </c>
      <c r="AE83" s="183">
        <f t="shared" si="32"/>
        <v>-0.8269845755197599</v>
      </c>
      <c r="AF83" s="183">
        <f t="shared" si="33"/>
        <v>0</v>
      </c>
      <c r="AG83" s="194">
        <f t="shared" si="34"/>
        <v>0</v>
      </c>
      <c r="AH83" s="200">
        <f>IF(OR($I$2="RRO (Capped)",$I$2="RRO (Uncapped)"),VLOOKUP(A83,'Misc. Data &amp; Mechanisms'!$A$1483:$H$1574,3,FALSE),AS83)</f>
        <v>5.36</v>
      </c>
      <c r="AI83" s="194">
        <f t="shared" si="45"/>
        <v>5.36</v>
      </c>
      <c r="AJ83" s="1251">
        <f>5%</f>
        <v>0.05</v>
      </c>
      <c r="AK83" s="341">
        <f>'Misc. Data &amp; Mechanisms'!AI356</f>
        <v>426.68113598504857</v>
      </c>
      <c r="AL83" s="1087">
        <f>'Misc. Data &amp; Mechanisms'!AP356</f>
        <v>483.37546804743926</v>
      </c>
      <c r="AM83" s="1087">
        <f>'Misc. Data &amp; Mechanisms'!N356</f>
        <v>480.8049857673023</v>
      </c>
      <c r="AN83" s="1087">
        <f>'Misc. Data &amp; Mechanisms'!O356</f>
        <v>364.88658778714358</v>
      </c>
      <c r="AO83" s="1087">
        <f>'Misc. Data &amp; Mechanisms'!P356</f>
        <v>270.04035528337926</v>
      </c>
      <c r="AP83" s="1463">
        <f>'Misc. Data &amp; Mechanisms'!$B$259</f>
        <v>611.34673880086393</v>
      </c>
      <c r="AQ83" s="197">
        <f>IFERROR(IF('Personalized Bill Menu'!$B$30="Yes", IF('Personalized Bill Menu'!$B$34="Natural Gas",0,VLOOKUP($A83, 'Personalized Bill Menu'!$H$4:$L$93, 2, FALSE)), 0), 0)</f>
        <v>0</v>
      </c>
      <c r="AR83" s="1343">
        <f>IFERROR(IF('Personalized Bill Menu'!$C$36="Custom", IF('Personalized Bill Menu'!$B$34="Natural Gas",0,VLOOKUP($A83, 'Personalized Bill Menu'!$H$4:$L$93, 3, FALSE)), 0), 0)</f>
        <v>0</v>
      </c>
      <c r="AS83" s="1344">
        <f>IFERROR(IF('Personalized Bill Menu'!$C$36="Custom", IF('Personalized Bill Menu'!$B$34="Natural Gas",0,VLOOKUP($A83, 'Personalized Bill Menu'!$H$4:$L$93, 4, FALSE)), 0), 0)</f>
        <v>0</v>
      </c>
    </row>
    <row r="84" spans="1:45" x14ac:dyDescent="0.35">
      <c r="A84" s="206">
        <v>43252</v>
      </c>
      <c r="B84" s="207">
        <f t="shared" si="35"/>
        <v>30</v>
      </c>
      <c r="C84" s="226">
        <f t="shared" si="38"/>
        <v>472.49196690666241</v>
      </c>
      <c r="D84" s="181">
        <f t="shared" si="39"/>
        <v>16.96185174483513</v>
      </c>
      <c r="E84" s="181">
        <f t="shared" si="40"/>
        <v>11.630849999999999</v>
      </c>
      <c r="F84" s="179">
        <f t="shared" si="23"/>
        <v>80.143386932963551</v>
      </c>
      <c r="G84" s="180">
        <f t="shared" si="41"/>
        <v>28.009323798226948</v>
      </c>
      <c r="H84" s="181">
        <f t="shared" si="42"/>
        <v>14.292881998926537</v>
      </c>
      <c r="I84" s="181">
        <f t="shared" si="36"/>
        <v>22.914602139843428</v>
      </c>
      <c r="J84" s="181">
        <f t="shared" si="37"/>
        <v>3.8271849319439664</v>
      </c>
      <c r="K84" s="181">
        <f t="shared" si="43"/>
        <v>1.9230423053101164</v>
      </c>
      <c r="L84" s="181">
        <f t="shared" si="44"/>
        <v>5.36</v>
      </c>
      <c r="M84" s="182">
        <f t="shared" si="24"/>
        <v>3.8163517587125497</v>
      </c>
      <c r="N84" s="273">
        <f>IF($I$2="RRO (Capped)",VLOOKUP(A84,'Misc. Data &amp; Mechanisms'!$A$1278:$E$1368,3,FALSE),IF($I$2="RRO (Uncapped)",VLOOKUP(A84,'Misc. Data &amp; Mechanisms'!$G$1278:$K$1368,3,FALSE),AR84))</f>
        <v>5.9279999999999999</v>
      </c>
      <c r="O84" s="194">
        <f t="shared" si="25"/>
        <v>28.009323798226948</v>
      </c>
      <c r="P84" s="1248">
        <v>3.0249999999999999</v>
      </c>
      <c r="Q84" s="194">
        <f t="shared" si="26"/>
        <v>14.292881998926537</v>
      </c>
      <c r="R84" s="1249">
        <v>0.90700000000000003</v>
      </c>
      <c r="S84" s="1249">
        <v>0.62097000000000002</v>
      </c>
      <c r="T84" s="183">
        <f t="shared" si="27"/>
        <v>4.2855021398434276</v>
      </c>
      <c r="U84" s="194">
        <f t="shared" si="28"/>
        <v>18.629100000000001</v>
      </c>
      <c r="V84" s="1248">
        <v>0.81</v>
      </c>
      <c r="W84" s="194">
        <f t="shared" si="29"/>
        <v>3.8271849319439664</v>
      </c>
      <c r="X84" s="277">
        <v>0.32100000000000001</v>
      </c>
      <c r="Y84" s="278">
        <v>0.25800000000000001</v>
      </c>
      <c r="Z84" s="278">
        <v>-0.17199999999999999</v>
      </c>
      <c r="AC84" s="183">
        <f t="shared" si="30"/>
        <v>1.5166992137703865</v>
      </c>
      <c r="AD84" s="183">
        <f t="shared" si="31"/>
        <v>1.2190292746191891</v>
      </c>
      <c r="AE84" s="183">
        <f t="shared" si="32"/>
        <v>-0.81268618307945928</v>
      </c>
      <c r="AF84" s="183">
        <f t="shared" si="33"/>
        <v>0</v>
      </c>
      <c r="AG84" s="194">
        <f t="shared" si="34"/>
        <v>0</v>
      </c>
      <c r="AH84" s="200">
        <f>IF(OR($I$2="RRO (Capped)",$I$2="RRO (Uncapped)"),VLOOKUP(A84,'Misc. Data &amp; Mechanisms'!$A$1483:$H$1574,3,FALSE),AS84)</f>
        <v>5.36</v>
      </c>
      <c r="AI84" s="194">
        <f t="shared" si="45"/>
        <v>5.36</v>
      </c>
      <c r="AJ84" s="1251">
        <f>5%</f>
        <v>0.05</v>
      </c>
      <c r="AK84" s="341">
        <f>'Misc. Data &amp; Mechanisms'!AI357</f>
        <v>419.30390730414712</v>
      </c>
      <c r="AL84" s="1087">
        <f>'Misc. Data &amp; Mechanisms'!AP357</f>
        <v>467.79601809836407</v>
      </c>
      <c r="AM84" s="1087">
        <f>'Misc. Data &amp; Mechanisms'!N357</f>
        <v>472.49196690666241</v>
      </c>
      <c r="AN84" s="1087">
        <f>'Misc. Data &amp; Mechanisms'!O357</f>
        <v>358.57777407667783</v>
      </c>
      <c r="AO84" s="1087">
        <f>'Misc. Data &amp; Mechanisms'!P357</f>
        <v>265.37141333590313</v>
      </c>
      <c r="AP84" s="1463">
        <f>'Misc. Data &amp; Mechanisms'!$B$259</f>
        <v>611.34673880086393</v>
      </c>
      <c r="AQ84" s="197">
        <f>IFERROR(IF('Personalized Bill Menu'!$B$30="Yes", IF('Personalized Bill Menu'!$B$34="Natural Gas",0,VLOOKUP($A84, 'Personalized Bill Menu'!$H$4:$L$93, 2, FALSE)), 0), 0)</f>
        <v>0</v>
      </c>
      <c r="AR84" s="1343">
        <f>IFERROR(IF('Personalized Bill Menu'!$C$36="Custom", IF('Personalized Bill Menu'!$B$34="Natural Gas",0,VLOOKUP($A84, 'Personalized Bill Menu'!$H$4:$L$93, 3, FALSE)), 0), 0)</f>
        <v>0</v>
      </c>
      <c r="AS84" s="1344">
        <f>IFERROR(IF('Personalized Bill Menu'!$C$36="Custom", IF('Personalized Bill Menu'!$B$34="Natural Gas",0,VLOOKUP($A84, 'Personalized Bill Menu'!$H$4:$L$93, 4, FALSE)), 0), 0)</f>
        <v>0</v>
      </c>
    </row>
    <row r="85" spans="1:45" x14ac:dyDescent="0.35">
      <c r="A85" s="206">
        <v>43282</v>
      </c>
      <c r="B85" s="207">
        <f t="shared" si="35"/>
        <v>31</v>
      </c>
      <c r="C85" s="226">
        <f t="shared" si="38"/>
        <v>495.52518879822816</v>
      </c>
      <c r="D85" s="181">
        <f t="shared" si="39"/>
        <v>17.866235057177381</v>
      </c>
      <c r="E85" s="181">
        <f t="shared" si="40"/>
        <v>12.651450000000001</v>
      </c>
      <c r="F85" s="179">
        <f t="shared" si="23"/>
        <v>88.531694998213439</v>
      </c>
      <c r="G85" s="180">
        <f t="shared" si="41"/>
        <v>33.695712838279519</v>
      </c>
      <c r="H85" s="181">
        <f t="shared" si="42"/>
        <v>14.989636961146401</v>
      </c>
      <c r="I85" s="181">
        <f t="shared" si="36"/>
        <v>23.744483462399931</v>
      </c>
      <c r="J85" s="181">
        <f t="shared" si="37"/>
        <v>4.0137540292656491</v>
      </c>
      <c r="K85" s="181">
        <f t="shared" si="43"/>
        <v>2.5123127072070166</v>
      </c>
      <c r="L85" s="181">
        <f t="shared" si="44"/>
        <v>5.36</v>
      </c>
      <c r="M85" s="182">
        <f t="shared" si="24"/>
        <v>4.2157949999149258</v>
      </c>
      <c r="N85" s="273">
        <f>IF($I$2="RRO (Capped)",VLOOKUP(A85,'Misc. Data &amp; Mechanisms'!$A$1278:$E$1368,3,FALSE),IF($I$2="RRO (Uncapped)",VLOOKUP(A85,'Misc. Data &amp; Mechanisms'!$G$1278:$K$1368,3,FALSE),AR85))</f>
        <v>6.8</v>
      </c>
      <c r="O85" s="194">
        <f t="shared" si="25"/>
        <v>33.695712838279519</v>
      </c>
      <c r="P85" s="1248">
        <v>3.0249999999999999</v>
      </c>
      <c r="Q85" s="194">
        <f t="shared" si="26"/>
        <v>14.989636961146401</v>
      </c>
      <c r="R85" s="1249">
        <v>0.90700000000000003</v>
      </c>
      <c r="S85" s="1249">
        <v>0.62097000000000002</v>
      </c>
      <c r="T85" s="183">
        <f t="shared" si="27"/>
        <v>4.4944134623999297</v>
      </c>
      <c r="U85" s="194">
        <f t="shared" si="28"/>
        <v>19.250070000000001</v>
      </c>
      <c r="V85" s="1248">
        <v>0.81</v>
      </c>
      <c r="W85" s="194">
        <f t="shared" si="29"/>
        <v>4.0137540292656491</v>
      </c>
      <c r="X85" s="277">
        <v>0.32100000000000001</v>
      </c>
      <c r="Y85" s="278">
        <v>0.35799999999999998</v>
      </c>
      <c r="Z85" s="278">
        <v>-0.17199999999999999</v>
      </c>
      <c r="AC85" s="183">
        <f t="shared" si="30"/>
        <v>1.5906358560423124</v>
      </c>
      <c r="AD85" s="183">
        <f t="shared" si="31"/>
        <v>1.7739801758976568</v>
      </c>
      <c r="AE85" s="183">
        <f t="shared" si="32"/>
        <v>-0.85230332473295245</v>
      </c>
      <c r="AF85" s="183">
        <f t="shared" si="33"/>
        <v>0</v>
      </c>
      <c r="AG85" s="194">
        <f t="shared" si="34"/>
        <v>0</v>
      </c>
      <c r="AH85" s="200">
        <f>IF(OR($I$2="RRO (Capped)",$I$2="RRO (Uncapped)"),VLOOKUP(A85,'Misc. Data &amp; Mechanisms'!$A$1483:$H$1574,3,FALSE),AS85)</f>
        <v>5.36</v>
      </c>
      <c r="AI85" s="194">
        <f t="shared" si="45"/>
        <v>5.36</v>
      </c>
      <c r="AJ85" s="1251">
        <f>5%</f>
        <v>0.05</v>
      </c>
      <c r="AK85" s="341">
        <f>'Misc. Data &amp; Mechanisms'!AI358</f>
        <v>439.74429701101548</v>
      </c>
      <c r="AL85" s="1087">
        <f>'Misc. Data &amp; Mechanisms'!AP358</f>
        <v>502.25621542620064</v>
      </c>
      <c r="AM85" s="1087">
        <f>'Misc. Data &amp; Mechanisms'!N358</f>
        <v>495.52518879822816</v>
      </c>
      <c r="AN85" s="1087">
        <f>'Misc. Data &amp; Mechanisms'!O358</f>
        <v>376.0578626584238</v>
      </c>
      <c r="AO85" s="1087">
        <f>'Misc. Data &amp; Mechanisms'!P358</f>
        <v>278.30784204824931</v>
      </c>
      <c r="AP85" s="1463">
        <f>'Misc. Data &amp; Mechanisms'!$B$259</f>
        <v>611.34673880086393</v>
      </c>
      <c r="AQ85" s="197">
        <f>IFERROR(IF('Personalized Bill Menu'!$B$30="Yes", IF('Personalized Bill Menu'!$B$34="Natural Gas",0,VLOOKUP($A85, 'Personalized Bill Menu'!$H$4:$L$93, 2, FALSE)), 0), 0)</f>
        <v>0</v>
      </c>
      <c r="AR85" s="1343">
        <f>IFERROR(IF('Personalized Bill Menu'!$C$36="Custom", IF('Personalized Bill Menu'!$B$34="Natural Gas",0,VLOOKUP($A85, 'Personalized Bill Menu'!$H$4:$L$93, 3, FALSE)), 0), 0)</f>
        <v>0</v>
      </c>
      <c r="AS85" s="1344">
        <f>IFERROR(IF('Personalized Bill Menu'!$C$36="Custom", IF('Personalized Bill Menu'!$B$34="Natural Gas",0,VLOOKUP($A85, 'Personalized Bill Menu'!$H$4:$L$93, 4, FALSE)), 0), 0)</f>
        <v>0</v>
      </c>
    </row>
    <row r="86" spans="1:45" x14ac:dyDescent="0.35">
      <c r="A86" s="206">
        <v>43313</v>
      </c>
      <c r="B86" s="207">
        <f t="shared" si="35"/>
        <v>31</v>
      </c>
      <c r="C86" s="226">
        <f t="shared" si="38"/>
        <v>480.23238960709057</v>
      </c>
      <c r="D86" s="181">
        <f t="shared" si="39"/>
        <v>18.032297701909869</v>
      </c>
      <c r="E86" s="181">
        <f t="shared" si="40"/>
        <v>12.651450000000001</v>
      </c>
      <c r="F86" s="179">
        <f t="shared" si="23"/>
        <v>86.596934154946254</v>
      </c>
      <c r="G86" s="180">
        <f t="shared" si="41"/>
        <v>32.65580249328216</v>
      </c>
      <c r="H86" s="181">
        <f t="shared" si="42"/>
        <v>14.52702978561449</v>
      </c>
      <c r="I86" s="181">
        <f t="shared" si="36"/>
        <v>23.605777773736314</v>
      </c>
      <c r="J86" s="181">
        <f t="shared" si="37"/>
        <v>3.8898823558174342</v>
      </c>
      <c r="K86" s="181">
        <f t="shared" si="43"/>
        <v>2.4347782153079494</v>
      </c>
      <c r="L86" s="181">
        <f t="shared" si="44"/>
        <v>5.36</v>
      </c>
      <c r="M86" s="182">
        <f t="shared" si="24"/>
        <v>4.1236635311879173</v>
      </c>
      <c r="N86" s="273">
        <f>IF($I$2="RRO (Capped)",VLOOKUP(A86,'Misc. Data &amp; Mechanisms'!$A$1278:$E$1368,3,FALSE),IF($I$2="RRO (Uncapped)",VLOOKUP(A86,'Misc. Data &amp; Mechanisms'!$G$1278:$K$1368,3,FALSE),AR86))</f>
        <v>6.8</v>
      </c>
      <c r="O86" s="194">
        <f t="shared" si="25"/>
        <v>32.65580249328216</v>
      </c>
      <c r="P86" s="1248">
        <v>3.0249999999999999</v>
      </c>
      <c r="Q86" s="194">
        <f t="shared" si="26"/>
        <v>14.52702978561449</v>
      </c>
      <c r="R86" s="1249">
        <v>0.90700000000000003</v>
      </c>
      <c r="S86" s="1249">
        <v>0.62097000000000002</v>
      </c>
      <c r="T86" s="183">
        <f t="shared" si="27"/>
        <v>4.3557077737363112</v>
      </c>
      <c r="U86" s="194">
        <f t="shared" si="28"/>
        <v>19.250070000000001</v>
      </c>
      <c r="V86" s="1248">
        <v>0.81</v>
      </c>
      <c r="W86" s="194">
        <f t="shared" si="29"/>
        <v>3.8898823558174342</v>
      </c>
      <c r="X86" s="277">
        <v>0.32100000000000001</v>
      </c>
      <c r="Y86" s="278">
        <v>0.35799999999999998</v>
      </c>
      <c r="Z86" s="278">
        <v>-0.17199999999999999</v>
      </c>
      <c r="AC86" s="183">
        <f t="shared" si="30"/>
        <v>1.5415459706387609</v>
      </c>
      <c r="AD86" s="183">
        <f t="shared" si="31"/>
        <v>1.7192319547933841</v>
      </c>
      <c r="AE86" s="183">
        <f t="shared" si="32"/>
        <v>-0.82599971012419571</v>
      </c>
      <c r="AF86" s="183">
        <f t="shared" si="33"/>
        <v>0</v>
      </c>
      <c r="AG86" s="194">
        <f t="shared" si="34"/>
        <v>0</v>
      </c>
      <c r="AH86" s="200">
        <f>IF(OR($I$2="RRO (Capped)",$I$2="RRO (Uncapped)"),VLOOKUP(A86,'Misc. Data &amp; Mechanisms'!$A$1483:$H$1574,3,FALSE),AS86)</f>
        <v>5.36</v>
      </c>
      <c r="AI86" s="194">
        <f t="shared" si="45"/>
        <v>5.36</v>
      </c>
      <c r="AJ86" s="1251">
        <f>5%</f>
        <v>0.05</v>
      </c>
      <c r="AK86" s="341">
        <f>'Misc. Data &amp; Mechanisms'!AI359</f>
        <v>426.1729965369729</v>
      </c>
      <c r="AL86" s="1087">
        <f>'Misc. Data &amp; Mechanisms'!AP359</f>
        <v>494.66374590993314</v>
      </c>
      <c r="AM86" s="1087">
        <f>'Misc. Data &amp; Mechanisms'!N359</f>
        <v>480.23238960709057</v>
      </c>
      <c r="AN86" s="1087">
        <f>'Misc. Data &amp; Mechanisms'!O359</f>
        <v>364.45204017373595</v>
      </c>
      <c r="AO86" s="1087">
        <f>'Misc. Data &amp; Mechanisms'!P359</f>
        <v>269.71876113374555</v>
      </c>
      <c r="AP86" s="1463">
        <f>'Misc. Data &amp; Mechanisms'!$B$259</f>
        <v>611.34673880086393</v>
      </c>
      <c r="AQ86" s="197">
        <f>IFERROR(IF('Personalized Bill Menu'!$B$30="Yes", IF('Personalized Bill Menu'!$B$34="Natural Gas",0,VLOOKUP($A86, 'Personalized Bill Menu'!$H$4:$L$93, 2, FALSE)), 0), 0)</f>
        <v>0</v>
      </c>
      <c r="AR86" s="1343">
        <f>IFERROR(IF('Personalized Bill Menu'!$C$36="Custom", IF('Personalized Bill Menu'!$B$34="Natural Gas",0,VLOOKUP($A86, 'Personalized Bill Menu'!$H$4:$L$93, 3, FALSE)), 0), 0)</f>
        <v>0</v>
      </c>
      <c r="AS86" s="1344">
        <f>IFERROR(IF('Personalized Bill Menu'!$C$36="Custom", IF('Personalized Bill Menu'!$B$34="Natural Gas",0,VLOOKUP($A86, 'Personalized Bill Menu'!$H$4:$L$93, 4, FALSE)), 0), 0)</f>
        <v>0</v>
      </c>
    </row>
    <row r="87" spans="1:45" x14ac:dyDescent="0.35">
      <c r="A87" s="206">
        <v>43344</v>
      </c>
      <c r="B87" s="207">
        <f t="shared" si="35"/>
        <v>30</v>
      </c>
      <c r="C87" s="226">
        <f t="shared" si="38"/>
        <v>473.61394393334513</v>
      </c>
      <c r="D87" s="181">
        <f t="shared" si="39"/>
        <v>17.969822763861227</v>
      </c>
      <c r="E87" s="181">
        <f t="shared" si="40"/>
        <v>12.651450000000001</v>
      </c>
      <c r="F87" s="179">
        <f t="shared" si="23"/>
        <v>85.107586309755206</v>
      </c>
      <c r="G87" s="180">
        <f t="shared" si="41"/>
        <v>32.205748187467471</v>
      </c>
      <c r="H87" s="181">
        <f t="shared" si="42"/>
        <v>14.326821803983689</v>
      </c>
      <c r="I87" s="181">
        <f t="shared" si="36"/>
        <v>22.924778471475442</v>
      </c>
      <c r="J87" s="181">
        <f t="shared" si="37"/>
        <v>3.8362729458600962</v>
      </c>
      <c r="K87" s="181">
        <f t="shared" si="43"/>
        <v>2.4012226957420602</v>
      </c>
      <c r="L87" s="181">
        <f t="shared" si="44"/>
        <v>5.36</v>
      </c>
      <c r="M87" s="182">
        <f t="shared" si="24"/>
        <v>4.0527422052264388</v>
      </c>
      <c r="N87" s="273">
        <f>IF($I$2="RRO (Capped)",VLOOKUP(A87,'Misc. Data &amp; Mechanisms'!$A$1278:$E$1368,3,FALSE),IF($I$2="RRO (Uncapped)",VLOOKUP(A87,'Misc. Data &amp; Mechanisms'!$G$1278:$K$1368,3,FALSE),AR87))</f>
        <v>6.8</v>
      </c>
      <c r="O87" s="194">
        <f t="shared" si="25"/>
        <v>32.205748187467471</v>
      </c>
      <c r="P87" s="1248">
        <v>3.0249999999999999</v>
      </c>
      <c r="Q87" s="194">
        <f t="shared" si="26"/>
        <v>14.326821803983689</v>
      </c>
      <c r="R87" s="1249">
        <v>0.90700000000000003</v>
      </c>
      <c r="S87" s="1249">
        <v>0.62097000000000002</v>
      </c>
      <c r="T87" s="183">
        <f t="shared" si="27"/>
        <v>4.2956784714754406</v>
      </c>
      <c r="U87" s="194">
        <f t="shared" si="28"/>
        <v>18.629100000000001</v>
      </c>
      <c r="V87" s="1248">
        <v>0.81</v>
      </c>
      <c r="W87" s="194">
        <f t="shared" si="29"/>
        <v>3.8362729458600962</v>
      </c>
      <c r="X87" s="277">
        <v>0.32100000000000001</v>
      </c>
      <c r="Y87" s="278">
        <v>0.35799999999999998</v>
      </c>
      <c r="Z87" s="278">
        <v>-0.17199999999999999</v>
      </c>
      <c r="AC87" s="183">
        <f t="shared" si="30"/>
        <v>1.5203007600260379</v>
      </c>
      <c r="AD87" s="183">
        <f t="shared" si="31"/>
        <v>1.6955379192813755</v>
      </c>
      <c r="AE87" s="183">
        <f t="shared" si="32"/>
        <v>-0.81461598356535359</v>
      </c>
      <c r="AF87" s="183">
        <f t="shared" si="33"/>
        <v>0</v>
      </c>
      <c r="AG87" s="194">
        <f t="shared" si="34"/>
        <v>0</v>
      </c>
      <c r="AH87" s="200">
        <f>IF(OR($I$2="RRO (Capped)",$I$2="RRO (Uncapped)"),VLOOKUP(A87,'Misc. Data &amp; Mechanisms'!$A$1483:$H$1574,3,FALSE),AS87)</f>
        <v>5.36</v>
      </c>
      <c r="AI87" s="194">
        <f t="shared" si="45"/>
        <v>5.36</v>
      </c>
      <c r="AJ87" s="1251">
        <f>5%</f>
        <v>0.05</v>
      </c>
      <c r="AK87" s="341">
        <f>'Misc. Data &amp; Mechanisms'!AI360</f>
        <v>420.29958423443128</v>
      </c>
      <c r="AL87" s="1087">
        <f>'Misc. Data &amp; Mechanisms'!AP360</f>
        <v>476.3126833536345</v>
      </c>
      <c r="AM87" s="1087">
        <f>'Misc. Data &amp; Mechanisms'!N360</f>
        <v>473.61394393334513</v>
      </c>
      <c r="AN87" s="1087">
        <f>'Misc. Data &amp; Mechanisms'!O360</f>
        <v>359.42925103918998</v>
      </c>
      <c r="AO87" s="1087">
        <f>'Misc. Data &amp; Mechanisms'!P360</f>
        <v>266.00156294722979</v>
      </c>
      <c r="AP87" s="1463">
        <f>'Misc. Data &amp; Mechanisms'!$B$259</f>
        <v>611.34673880086393</v>
      </c>
      <c r="AQ87" s="197">
        <f>IFERROR(IF('Personalized Bill Menu'!$B$30="Yes", IF('Personalized Bill Menu'!$B$34="Natural Gas",0,VLOOKUP($A87, 'Personalized Bill Menu'!$H$4:$L$93, 2, FALSE)), 0), 0)</f>
        <v>0</v>
      </c>
      <c r="AR87" s="1343">
        <f>IFERROR(IF('Personalized Bill Menu'!$C$36="Custom", IF('Personalized Bill Menu'!$B$34="Natural Gas",0,VLOOKUP($A87, 'Personalized Bill Menu'!$H$4:$L$93, 3, FALSE)), 0), 0)</f>
        <v>0</v>
      </c>
      <c r="AS87" s="1344">
        <f>IFERROR(IF('Personalized Bill Menu'!$C$36="Custom", IF('Personalized Bill Menu'!$B$34="Natural Gas",0,VLOOKUP($A87, 'Personalized Bill Menu'!$H$4:$L$93, 4, FALSE)), 0), 0)</f>
        <v>0</v>
      </c>
    </row>
    <row r="88" spans="1:45" x14ac:dyDescent="0.35">
      <c r="A88" s="206">
        <v>43374</v>
      </c>
      <c r="B88" s="207">
        <f t="shared" si="35"/>
        <v>31</v>
      </c>
      <c r="C88" s="226">
        <f t="shared" si="38"/>
        <v>503.93493428175503</v>
      </c>
      <c r="D88" s="181">
        <f t="shared" si="39"/>
        <v>18.204459903533952</v>
      </c>
      <c r="E88" s="181">
        <f t="shared" si="40"/>
        <v>13.076700000000001</v>
      </c>
      <c r="F88" s="179">
        <f t="shared" si="23"/>
        <v>91.738633051222266</v>
      </c>
      <c r="G88" s="180">
        <f t="shared" si="41"/>
        <v>33.143800627711023</v>
      </c>
      <c r="H88" s="181">
        <f t="shared" si="42"/>
        <v>15.24403176202309</v>
      </c>
      <c r="I88" s="181">
        <f t="shared" si="36"/>
        <v>23.82075985393552</v>
      </c>
      <c r="J88" s="181">
        <f t="shared" si="37"/>
        <v>4.0818729676822167</v>
      </c>
      <c r="K88" s="181">
        <f t="shared" si="43"/>
        <v>5.7196615040979193</v>
      </c>
      <c r="L88" s="181">
        <f t="shared" si="44"/>
        <v>5.36</v>
      </c>
      <c r="M88" s="182">
        <f t="shared" si="24"/>
        <v>4.3685063357724889</v>
      </c>
      <c r="N88" s="273">
        <f>IF($I$2="RRO (Capped)",VLOOKUP(A88,'Misc. Data &amp; Mechanisms'!$A$1278:$E$1368,3,FALSE),IF($I$2="RRO (Uncapped)",VLOOKUP(A88,'Misc. Data &amp; Mechanisms'!$G$1278:$K$1368,3,FALSE),AR88))</f>
        <v>6.577</v>
      </c>
      <c r="O88" s="194">
        <f t="shared" si="25"/>
        <v>33.143800627711023</v>
      </c>
      <c r="P88" s="1248">
        <v>3.0249999999999999</v>
      </c>
      <c r="Q88" s="194">
        <f t="shared" si="26"/>
        <v>15.24403176202309</v>
      </c>
      <c r="R88" s="1249">
        <v>0.90700000000000003</v>
      </c>
      <c r="S88" s="1249">
        <v>0.62097000000000002</v>
      </c>
      <c r="T88" s="183">
        <f t="shared" si="27"/>
        <v>4.5706898539355185</v>
      </c>
      <c r="U88" s="194">
        <f t="shared" si="28"/>
        <v>19.250070000000001</v>
      </c>
      <c r="V88" s="1248">
        <v>0.81</v>
      </c>
      <c r="W88" s="194">
        <f t="shared" si="29"/>
        <v>4.0818729676822167</v>
      </c>
      <c r="X88" s="277">
        <v>0.32100000000000001</v>
      </c>
      <c r="Y88" s="278">
        <v>0.71</v>
      </c>
      <c r="Z88" s="278">
        <v>-0.17199999999999999</v>
      </c>
      <c r="AA88" s="278">
        <v>0.27600000000000002</v>
      </c>
      <c r="AC88" s="183">
        <f t="shared" si="30"/>
        <v>1.6176311390444338</v>
      </c>
      <c r="AD88" s="183">
        <f t="shared" si="31"/>
        <v>3.5779380334004607</v>
      </c>
      <c r="AE88" s="183">
        <f t="shared" si="32"/>
        <v>-0.8667680869646186</v>
      </c>
      <c r="AF88" s="183">
        <f t="shared" si="33"/>
        <v>1.3908604186176441</v>
      </c>
      <c r="AG88" s="194">
        <f t="shared" si="34"/>
        <v>0</v>
      </c>
      <c r="AH88" s="200">
        <f>IF(OR($I$2="RRO (Capped)",$I$2="RRO (Uncapped)"),VLOOKUP(A88,'Misc. Data &amp; Mechanisms'!$A$1483:$H$1574,3,FALSE),AS88)</f>
        <v>5.36</v>
      </c>
      <c r="AI88" s="194">
        <f t="shared" si="45"/>
        <v>5.36</v>
      </c>
      <c r="AJ88" s="1251">
        <f>5%</f>
        <v>0.05</v>
      </c>
      <c r="AK88" s="341">
        <f>'Misc. Data &amp; Mechanisms'!AI361</f>
        <v>447.20736387279095</v>
      </c>
      <c r="AL88" s="1087">
        <f>'Misc. Data &amp; Mechanisms'!AP361</f>
        <v>518.24357537617379</v>
      </c>
      <c r="AM88" s="1087">
        <f>'Misc. Data &amp; Mechanisms'!N361</f>
        <v>503.93493428175503</v>
      </c>
      <c r="AN88" s="1087">
        <f>'Misc. Data &amp; Mechanisms'!O361</f>
        <v>382.44008294415022</v>
      </c>
      <c r="AO88" s="1087">
        <f>'Misc. Data &amp; Mechanisms'!P361</f>
        <v>283.03110974604618</v>
      </c>
      <c r="AP88" s="1463">
        <f>'Misc. Data &amp; Mechanisms'!$B$259</f>
        <v>611.34673880086393</v>
      </c>
      <c r="AQ88" s="197">
        <f>IFERROR(IF('Personalized Bill Menu'!$B$30="Yes", IF('Personalized Bill Menu'!$B$34="Natural Gas",0,VLOOKUP($A88, 'Personalized Bill Menu'!$H$4:$L$93, 2, FALSE)), 0), 0)</f>
        <v>0</v>
      </c>
      <c r="AR88" s="1343">
        <f>IFERROR(IF('Personalized Bill Menu'!$C$36="Custom", IF('Personalized Bill Menu'!$B$34="Natural Gas",0,VLOOKUP($A88, 'Personalized Bill Menu'!$H$4:$L$93, 3, FALSE)), 0), 0)</f>
        <v>0</v>
      </c>
      <c r="AS88" s="1344">
        <f>IFERROR(IF('Personalized Bill Menu'!$C$36="Custom", IF('Personalized Bill Menu'!$B$34="Natural Gas",0,VLOOKUP($A88, 'Personalized Bill Menu'!$H$4:$L$93, 4, FALSE)), 0), 0)</f>
        <v>0</v>
      </c>
    </row>
    <row r="89" spans="1:45" x14ac:dyDescent="0.35">
      <c r="A89" s="206">
        <v>43405</v>
      </c>
      <c r="B89" s="207">
        <f t="shared" si="35"/>
        <v>30</v>
      </c>
      <c r="C89" s="226">
        <f t="shared" si="38"/>
        <v>535.75434034724628</v>
      </c>
      <c r="D89" s="181">
        <f t="shared" si="39"/>
        <v>17.405462074297741</v>
      </c>
      <c r="E89" s="181">
        <f t="shared" si="40"/>
        <v>12.703950000000001</v>
      </c>
      <c r="F89" s="179">
        <f t="shared" si="23"/>
        <v>93.250518520543991</v>
      </c>
      <c r="G89" s="180">
        <f t="shared" si="41"/>
        <v>33.334635056405666</v>
      </c>
      <c r="H89" s="181">
        <f t="shared" si="42"/>
        <v>16.2065687955042</v>
      </c>
      <c r="I89" s="181">
        <f t="shared" si="36"/>
        <v>23.488391866949524</v>
      </c>
      <c r="J89" s="181">
        <f t="shared" si="37"/>
        <v>4.3396101568126957</v>
      </c>
      <c r="K89" s="181">
        <f t="shared" si="43"/>
        <v>6.080811762941245</v>
      </c>
      <c r="L89" s="181">
        <f t="shared" si="44"/>
        <v>5.36</v>
      </c>
      <c r="M89" s="182">
        <f t="shared" si="24"/>
        <v>4.4405008819306664</v>
      </c>
      <c r="N89" s="273">
        <f>IF($I$2="RRO (Capped)",VLOOKUP(A89,'Misc. Data &amp; Mechanisms'!$A$1278:$E$1368,3,FALSE),IF($I$2="RRO (Uncapped)",VLOOKUP(A89,'Misc. Data &amp; Mechanisms'!$G$1278:$K$1368,3,FALSE),AR89))</f>
        <v>6.2220000000000004</v>
      </c>
      <c r="O89" s="194">
        <f t="shared" si="25"/>
        <v>33.334635056405666</v>
      </c>
      <c r="P89" s="1248">
        <v>3.0249999999999999</v>
      </c>
      <c r="Q89" s="194">
        <f t="shared" si="26"/>
        <v>16.2065687955042</v>
      </c>
      <c r="R89" s="1249">
        <v>0.90700000000000003</v>
      </c>
      <c r="S89" s="1249">
        <v>0.62097000000000002</v>
      </c>
      <c r="T89" s="183">
        <f t="shared" si="27"/>
        <v>4.8592918669495235</v>
      </c>
      <c r="U89" s="194">
        <f t="shared" si="28"/>
        <v>18.629100000000001</v>
      </c>
      <c r="V89" s="1248">
        <v>0.81</v>
      </c>
      <c r="W89" s="194">
        <f t="shared" si="29"/>
        <v>4.3396101568126957</v>
      </c>
      <c r="X89" s="277">
        <v>0.32100000000000001</v>
      </c>
      <c r="Y89" s="278">
        <v>0.71</v>
      </c>
      <c r="Z89" s="278">
        <v>-0.17199999999999999</v>
      </c>
      <c r="AA89" s="278">
        <v>0.27600000000000002</v>
      </c>
      <c r="AC89" s="183">
        <f t="shared" si="30"/>
        <v>1.7197714325146607</v>
      </c>
      <c r="AD89" s="183">
        <f t="shared" si="31"/>
        <v>3.8038558164654486</v>
      </c>
      <c r="AE89" s="183">
        <f t="shared" si="32"/>
        <v>-0.92149746539726363</v>
      </c>
      <c r="AF89" s="183">
        <f t="shared" si="33"/>
        <v>1.4786819793583998</v>
      </c>
      <c r="AG89" s="194">
        <f t="shared" si="34"/>
        <v>0</v>
      </c>
      <c r="AH89" s="200">
        <f>IF(OR($I$2="RRO (Capped)",$I$2="RRO (Uncapped)"),VLOOKUP(A89,'Misc. Data &amp; Mechanisms'!$A$1483:$H$1574,3,FALSE),AS89)</f>
        <v>5.36</v>
      </c>
      <c r="AI89" s="194">
        <f t="shared" si="45"/>
        <v>5.36</v>
      </c>
      <c r="AJ89" s="1251">
        <f>5%</f>
        <v>0.05</v>
      </c>
      <c r="AK89" s="341">
        <f>'Misc. Data &amp; Mechanisms'!AI362</f>
        <v>475.4448837161566</v>
      </c>
      <c r="AL89" s="1087">
        <f>'Misc. Data &amp; Mechanisms'!AP362</f>
        <v>558.99945163674511</v>
      </c>
      <c r="AM89" s="1087">
        <f>'Misc. Data &amp; Mechanisms'!N362</f>
        <v>535.75434034724628</v>
      </c>
      <c r="AN89" s="1087">
        <f>'Misc. Data &amp; Mechanisms'!O362</f>
        <v>406.588074018165</v>
      </c>
      <c r="AO89" s="1087">
        <f>'Misc. Data &amp; Mechanisms'!P362</f>
        <v>300.90222999892546</v>
      </c>
      <c r="AP89" s="1463">
        <f>'Misc. Data &amp; Mechanisms'!$B$259</f>
        <v>611.34673880086393</v>
      </c>
      <c r="AQ89" s="197">
        <f>IFERROR(IF('Personalized Bill Menu'!$B$30="Yes", IF('Personalized Bill Menu'!$B$34="Natural Gas",0,VLOOKUP($A89, 'Personalized Bill Menu'!$H$4:$L$93, 2, FALSE)), 0), 0)</f>
        <v>0</v>
      </c>
      <c r="AR89" s="1343">
        <f>IFERROR(IF('Personalized Bill Menu'!$C$36="Custom", IF('Personalized Bill Menu'!$B$34="Natural Gas",0,VLOOKUP($A89, 'Personalized Bill Menu'!$H$4:$L$93, 3, FALSE)), 0), 0)</f>
        <v>0</v>
      </c>
      <c r="AS89" s="1344">
        <f>IFERROR(IF('Personalized Bill Menu'!$C$36="Custom", IF('Personalized Bill Menu'!$B$34="Natural Gas",0,VLOOKUP($A89, 'Personalized Bill Menu'!$H$4:$L$93, 4, FALSE)), 0), 0)</f>
        <v>0</v>
      </c>
    </row>
    <row r="90" spans="1:45" x14ac:dyDescent="0.35">
      <c r="A90" s="229">
        <v>43435</v>
      </c>
      <c r="B90" s="230">
        <f t="shared" si="35"/>
        <v>31</v>
      </c>
      <c r="C90" s="231">
        <f t="shared" si="38"/>
        <v>597.22196767002504</v>
      </c>
      <c r="D90" s="208">
        <f t="shared" si="39"/>
        <v>17.637645546522386</v>
      </c>
      <c r="E90" s="208">
        <f t="shared" si="40"/>
        <v>13.31085</v>
      </c>
      <c r="F90" s="232">
        <f t="shared" si="23"/>
        <v>105.33589378360554</v>
      </c>
      <c r="G90" s="233">
        <f t="shared" si="41"/>
        <v>40.611093801561708</v>
      </c>
      <c r="H90" s="208">
        <f t="shared" si="42"/>
        <v>18.065964522018255</v>
      </c>
      <c r="I90" s="208">
        <f t="shared" si="36"/>
        <v>24.666873246767128</v>
      </c>
      <c r="J90" s="208">
        <f t="shared" si="37"/>
        <v>4.8374979381272034</v>
      </c>
      <c r="K90" s="208">
        <f t="shared" si="43"/>
        <v>6.7784693330547849</v>
      </c>
      <c r="L90" s="208">
        <f t="shared" si="44"/>
        <v>5.36</v>
      </c>
      <c r="M90" s="234">
        <f t="shared" si="24"/>
        <v>5.0159949420764542</v>
      </c>
      <c r="N90" s="1243">
        <f>IF($I$2="RRO (Capped)",VLOOKUP(A90,'Misc. Data &amp; Mechanisms'!$A$1278:$E$1368,3,FALSE),IF($I$2="RRO (Uncapped)",VLOOKUP(A90,'Misc. Data &amp; Mechanisms'!$G$1278:$K$1368,3,FALSE),AR90))</f>
        <v>6.8</v>
      </c>
      <c r="O90" s="237">
        <f t="shared" si="25"/>
        <v>40.611093801561708</v>
      </c>
      <c r="P90" s="1561">
        <v>3.0249999999999999</v>
      </c>
      <c r="Q90" s="237">
        <f t="shared" si="26"/>
        <v>18.065964522018255</v>
      </c>
      <c r="R90" s="1562">
        <v>0.90700000000000003</v>
      </c>
      <c r="S90" s="1562">
        <v>0.62097000000000002</v>
      </c>
      <c r="T90" s="235">
        <f t="shared" si="27"/>
        <v>5.4168032467671274</v>
      </c>
      <c r="U90" s="237">
        <f t="shared" si="28"/>
        <v>19.250070000000001</v>
      </c>
      <c r="V90" s="1561">
        <v>0.81</v>
      </c>
      <c r="W90" s="237">
        <f t="shared" si="29"/>
        <v>4.8374979381272034</v>
      </c>
      <c r="X90" s="282">
        <v>0.32100000000000001</v>
      </c>
      <c r="Y90" s="283">
        <v>0.71</v>
      </c>
      <c r="Z90" s="283">
        <v>-0.17199999999999999</v>
      </c>
      <c r="AA90" s="283">
        <v>0.27600000000000002</v>
      </c>
      <c r="AB90" s="1563"/>
      <c r="AC90" s="235">
        <f t="shared" si="30"/>
        <v>1.9170825162207805</v>
      </c>
      <c r="AD90" s="235">
        <f t="shared" si="31"/>
        <v>4.2402759704571773</v>
      </c>
      <c r="AE90" s="235">
        <f t="shared" si="32"/>
        <v>-1.0272217843924429</v>
      </c>
      <c r="AF90" s="235">
        <f t="shared" si="33"/>
        <v>1.6483326307692694</v>
      </c>
      <c r="AG90" s="237">
        <f t="shared" si="34"/>
        <v>0</v>
      </c>
      <c r="AH90" s="239">
        <f>IF(OR($I$2="RRO (Capped)",$I$2="RRO (Uncapped)"),VLOOKUP(A90,'Misc. Data &amp; Mechanisms'!$A$1483:$H$1574,3,FALSE),AS90)</f>
        <v>5.36</v>
      </c>
      <c r="AI90" s="237">
        <f t="shared" si="45"/>
        <v>5.36</v>
      </c>
      <c r="AJ90" s="1558">
        <f>5%</f>
        <v>0.05</v>
      </c>
      <c r="AK90" s="352">
        <f>'Misc. Data &amp; Mechanisms'!AI363</f>
        <v>529.99314720916891</v>
      </c>
      <c r="AL90" s="1089">
        <f>'Misc. Data &amp; Mechanisms'!AP363</f>
        <v>636.47941123700036</v>
      </c>
      <c r="AM90" s="1089">
        <f>'Misc. Data &amp; Mechanisms'!N363</f>
        <v>597.22196767002504</v>
      </c>
      <c r="AN90" s="1089">
        <f>'Misc. Data &amp; Mechanisms'!O363</f>
        <v>453.23632737890591</v>
      </c>
      <c r="AO90" s="1089">
        <f>'Misc. Data &amp; Mechanisms'!P363</f>
        <v>335.42504155875167</v>
      </c>
      <c r="AP90" s="1464">
        <f>'Misc. Data &amp; Mechanisms'!$B$259</f>
        <v>611.34673880086393</v>
      </c>
      <c r="AQ90" s="243">
        <f>IFERROR(IF('Personalized Bill Menu'!$B$30="Yes", IF('Personalized Bill Menu'!$B$34="Natural Gas",0,VLOOKUP($A90, 'Personalized Bill Menu'!$H$4:$L$93, 2, FALSE)), 0), 0)</f>
        <v>0</v>
      </c>
      <c r="AR90" s="1560">
        <f>IFERROR(IF('Personalized Bill Menu'!$C$36="Custom", IF('Personalized Bill Menu'!$B$34="Natural Gas",0,VLOOKUP($A90, 'Personalized Bill Menu'!$H$4:$L$93, 3, FALSE)), 0), 0)</f>
        <v>0</v>
      </c>
      <c r="AS90" s="1346">
        <f>IFERROR(IF('Personalized Bill Menu'!$C$36="Custom", IF('Personalized Bill Menu'!$B$34="Natural Gas",0,VLOOKUP($A90, 'Personalized Bill Menu'!$H$4:$L$93, 4, FALSE)), 0), 0)</f>
        <v>0</v>
      </c>
    </row>
    <row r="91" spans="1:45" x14ac:dyDescent="0.35">
      <c r="A91" s="210">
        <v>43466</v>
      </c>
      <c r="B91" s="211">
        <f t="shared" si="35"/>
        <v>31</v>
      </c>
      <c r="C91" s="212">
        <f t="shared" si="38"/>
        <v>585.29316300258301</v>
      </c>
      <c r="D91" s="215">
        <f t="shared" si="39"/>
        <v>17.425458925731633</v>
      </c>
      <c r="E91" s="215">
        <f t="shared" si="40"/>
        <v>12.837300000000001</v>
      </c>
      <c r="F91" s="213">
        <f t="shared" si="23"/>
        <v>101.9900197141306</v>
      </c>
      <c r="G91" s="214">
        <f t="shared" si="41"/>
        <v>39.799935084175651</v>
      </c>
      <c r="H91" s="215">
        <f t="shared" si="42"/>
        <v>18.3313818652409</v>
      </c>
      <c r="I91" s="215">
        <f t="shared" si="36"/>
        <v>25.781547980154564</v>
      </c>
      <c r="J91" s="215">
        <f t="shared" si="37"/>
        <v>4.9749918855219564</v>
      </c>
      <c r="K91" s="215">
        <f t="shared" si="43"/>
        <v>2.8854952936027343</v>
      </c>
      <c r="L91" s="215">
        <f t="shared" si="44"/>
        <v>5.36</v>
      </c>
      <c r="M91" s="216">
        <f t="shared" si="24"/>
        <v>4.8566676054347901</v>
      </c>
      <c r="N91" s="1244">
        <f>IF($I$2="RRO (Capped)",VLOOKUP(A91,'Misc. Data &amp; Mechanisms'!$A$1278:$E$1368,3,FALSE),IF($I$2="RRO (Uncapped)",VLOOKUP(A91,'Misc. Data &amp; Mechanisms'!$G$1278:$K$1368,3,FALSE),AR91))</f>
        <v>6.8</v>
      </c>
      <c r="O91" s="219">
        <f t="shared" si="25"/>
        <v>39.799935084175651</v>
      </c>
      <c r="P91" s="1245">
        <v>3.1320000000000001</v>
      </c>
      <c r="Q91" s="219">
        <f t="shared" si="26"/>
        <v>18.3313818652409</v>
      </c>
      <c r="R91" s="1246">
        <v>0.95099999999999996</v>
      </c>
      <c r="S91" s="1246">
        <v>0.65210999999999997</v>
      </c>
      <c r="T91" s="217">
        <f t="shared" si="27"/>
        <v>5.5661379801545641</v>
      </c>
      <c r="U91" s="219">
        <f t="shared" si="28"/>
        <v>20.215409999999999</v>
      </c>
      <c r="V91" s="1245">
        <v>0.85</v>
      </c>
      <c r="W91" s="219">
        <f t="shared" si="29"/>
        <v>4.9749918855219564</v>
      </c>
      <c r="X91" s="287">
        <v>0.3</v>
      </c>
      <c r="Y91" s="295">
        <v>0.20300000000000001</v>
      </c>
      <c r="Z91" s="1245">
        <v>-0.01</v>
      </c>
      <c r="AA91" s="1247"/>
      <c r="AB91" s="1247"/>
      <c r="AC91" s="217">
        <f t="shared" si="30"/>
        <v>1.7558794890077492</v>
      </c>
      <c r="AD91" s="217">
        <f t="shared" si="31"/>
        <v>1.1881451208952436</v>
      </c>
      <c r="AE91" s="217">
        <f t="shared" si="32"/>
        <v>-5.8529316300258302E-2</v>
      </c>
      <c r="AF91" s="217">
        <f t="shared" si="33"/>
        <v>0</v>
      </c>
      <c r="AG91" s="219">
        <f t="shared" si="34"/>
        <v>0</v>
      </c>
      <c r="AH91" s="200">
        <f>IF(OR($I$2="RRO (Capped)",$I$2="RRO (Uncapped)"),VLOOKUP(A91,'Misc. Data &amp; Mechanisms'!$A$1483:$H$1574,3,FALSE),AS91)</f>
        <v>5.36</v>
      </c>
      <c r="AI91" s="219">
        <f t="shared" si="45"/>
        <v>5.36</v>
      </c>
      <c r="AJ91" s="1250">
        <f>5%</f>
        <v>0.05</v>
      </c>
      <c r="AK91" s="359">
        <f>'Misc. Data &amp; Mechanisms'!AI364</f>
        <v>519.4071589662949</v>
      </c>
      <c r="AL91" s="1239">
        <f>'Misc. Data &amp; Mechanisms'!AP364</f>
        <v>615.09301063584405</v>
      </c>
      <c r="AM91" s="1087">
        <f>'Misc. Data &amp; Mechanisms'!N364</f>
        <v>585.29316300258301</v>
      </c>
      <c r="AN91" s="1087">
        <f>'Misc. Data &amp; Mechanisms'!O364</f>
        <v>444.1834661142999</v>
      </c>
      <c r="AO91" s="1087">
        <f>'Misc. Data &amp; Mechanisms'!P364</f>
        <v>328.7253218265169</v>
      </c>
      <c r="AP91" s="1465">
        <f>'Misc. Data &amp; Mechanisms'!$B$259</f>
        <v>611.34673880086393</v>
      </c>
      <c r="AQ91" s="197">
        <f>IFERROR(IF('Personalized Bill Menu'!$B$30="Yes", IF('Personalized Bill Menu'!$B$34="Natural Gas",0,VLOOKUP($A91, 'Personalized Bill Menu'!$H$4:$L$93, 2, FALSE)), 0), 0)</f>
        <v>0</v>
      </c>
      <c r="AR91" s="1343">
        <f>IFERROR(IF('Personalized Bill Menu'!$C$36="Custom", IF('Personalized Bill Menu'!$B$34="Natural Gas",0,VLOOKUP($A91, 'Personalized Bill Menu'!$H$4:$L$93, 3, FALSE)), 0), 0)</f>
        <v>0</v>
      </c>
      <c r="AS91" s="1344">
        <f>IFERROR(IF('Personalized Bill Menu'!$C$36="Custom", IF('Personalized Bill Menu'!$B$34="Natural Gas",0,VLOOKUP($A91, 'Personalized Bill Menu'!$H$4:$L$93, 4, FALSE)), 0), 0)</f>
        <v>0</v>
      </c>
    </row>
    <row r="92" spans="1:45" x14ac:dyDescent="0.35">
      <c r="A92" s="206">
        <v>43497</v>
      </c>
      <c r="B92" s="207">
        <f t="shared" si="35"/>
        <v>28</v>
      </c>
      <c r="C92" s="226">
        <f t="shared" si="38"/>
        <v>598.07611778539592</v>
      </c>
      <c r="D92" s="181">
        <f t="shared" si="39"/>
        <v>16.98393506241171</v>
      </c>
      <c r="E92" s="181">
        <f t="shared" si="40"/>
        <v>12.837300000000001</v>
      </c>
      <c r="F92" s="179">
        <f t="shared" si="23"/>
        <v>101.57685946846463</v>
      </c>
      <c r="G92" s="180">
        <f t="shared" si="41"/>
        <v>40.669176009406925</v>
      </c>
      <c r="H92" s="181">
        <f t="shared" si="42"/>
        <v>18.7317440090386</v>
      </c>
      <c r="I92" s="181">
        <f t="shared" si="36"/>
        <v>23.946783880139112</v>
      </c>
      <c r="J92" s="181">
        <f t="shared" si="37"/>
        <v>5.0836470011758657</v>
      </c>
      <c r="K92" s="181">
        <f t="shared" si="43"/>
        <v>2.9485152606820022</v>
      </c>
      <c r="L92" s="181">
        <f t="shared" si="44"/>
        <v>5.36</v>
      </c>
      <c r="M92" s="182">
        <f t="shared" si="24"/>
        <v>4.8369933080221257</v>
      </c>
      <c r="N92" s="273">
        <f>IF($I$2="RRO (Capped)",VLOOKUP(A92,'Misc. Data &amp; Mechanisms'!$A$1278:$E$1368,3,FALSE),IF($I$2="RRO (Uncapped)",VLOOKUP(A92,'Misc. Data &amp; Mechanisms'!$G$1278:$K$1368,3,FALSE),AR92))</f>
        <v>6.8</v>
      </c>
      <c r="O92" s="194">
        <f t="shared" si="25"/>
        <v>40.669176009406925</v>
      </c>
      <c r="P92" s="1248">
        <v>3.1320000000000001</v>
      </c>
      <c r="Q92" s="194">
        <f t="shared" si="26"/>
        <v>18.7317440090386</v>
      </c>
      <c r="R92" s="1249">
        <v>0.95099999999999996</v>
      </c>
      <c r="S92" s="1249">
        <v>0.65210999999999997</v>
      </c>
      <c r="T92" s="183">
        <f t="shared" si="27"/>
        <v>5.6877038801391144</v>
      </c>
      <c r="U92" s="194">
        <f t="shared" si="28"/>
        <v>18.259079999999997</v>
      </c>
      <c r="V92" s="1248">
        <v>0.85</v>
      </c>
      <c r="W92" s="194">
        <f t="shared" si="29"/>
        <v>5.0836470011758657</v>
      </c>
      <c r="X92" s="277">
        <v>0.3</v>
      </c>
      <c r="Y92" s="278">
        <v>0.20300000000000001</v>
      </c>
      <c r="Z92" s="1248">
        <v>-0.01</v>
      </c>
      <c r="AA92" s="127"/>
      <c r="AB92" s="127"/>
      <c r="AC92" s="183">
        <f t="shared" si="30"/>
        <v>1.7942283533561878</v>
      </c>
      <c r="AD92" s="183">
        <f t="shared" si="31"/>
        <v>1.2140945191043537</v>
      </c>
      <c r="AE92" s="183">
        <f t="shared" si="32"/>
        <v>-5.9807611778539597E-2</v>
      </c>
      <c r="AF92" s="183">
        <f t="shared" si="33"/>
        <v>0</v>
      </c>
      <c r="AG92" s="194">
        <f t="shared" si="34"/>
        <v>0</v>
      </c>
      <c r="AH92" s="200">
        <f>IF(OR($I$2="RRO (Capped)",$I$2="RRO (Uncapped)"),VLOOKUP(A92,'Misc. Data &amp; Mechanisms'!$A$1483:$H$1574,3,FALSE),AS92)</f>
        <v>5.36</v>
      </c>
      <c r="AI92" s="194">
        <f t="shared" si="45"/>
        <v>5.36</v>
      </c>
      <c r="AJ92" s="1251">
        <f>5%</f>
        <v>0.05</v>
      </c>
      <c r="AK92" s="341">
        <f>'Misc. Data &amp; Mechanisms'!AI365</f>
        <v>530.75114629885513</v>
      </c>
      <c r="AL92" s="1087">
        <f>'Misc. Data &amp; Mechanisms'!AP365</f>
        <v>628.7226143304714</v>
      </c>
      <c r="AM92" s="1087">
        <f>'Misc. Data &amp; Mechanisms'!N365</f>
        <v>598.07611778539592</v>
      </c>
      <c r="AN92" s="1087">
        <f>'Misc. Data &amp; Mechanisms'!O365</f>
        <v>453.88454844624425</v>
      </c>
      <c r="AO92" s="1087">
        <f>'Misc. Data &amp; Mechanisms'!P365</f>
        <v>335.90476828257505</v>
      </c>
      <c r="AP92" s="1463">
        <f>'Misc. Data &amp; Mechanisms'!$B$259</f>
        <v>611.34673880086393</v>
      </c>
      <c r="AQ92" s="197">
        <f>IFERROR(IF('Personalized Bill Menu'!$B$30="Yes", IF('Personalized Bill Menu'!$B$34="Natural Gas",0,VLOOKUP($A92, 'Personalized Bill Menu'!$H$4:$L$93, 2, FALSE)), 0), 0)</f>
        <v>0</v>
      </c>
      <c r="AR92" s="1343">
        <f>IFERROR(IF('Personalized Bill Menu'!$C$36="Custom", IF('Personalized Bill Menu'!$B$34="Natural Gas",0,VLOOKUP($A92, 'Personalized Bill Menu'!$H$4:$L$93, 3, FALSE)), 0), 0)</f>
        <v>0</v>
      </c>
      <c r="AS92" s="1344">
        <f>IFERROR(IF('Personalized Bill Menu'!$C$36="Custom", IF('Personalized Bill Menu'!$B$34="Natural Gas",0,VLOOKUP($A92, 'Personalized Bill Menu'!$H$4:$L$93, 4, FALSE)), 0), 0)</f>
        <v>0</v>
      </c>
    </row>
    <row r="93" spans="1:45" x14ac:dyDescent="0.35">
      <c r="A93" s="206">
        <v>43525</v>
      </c>
      <c r="B93" s="207">
        <f t="shared" si="35"/>
        <v>31</v>
      </c>
      <c r="C93" s="226">
        <f t="shared" si="38"/>
        <v>538.03033259950371</v>
      </c>
      <c r="D93" s="181">
        <f t="shared" si="39"/>
        <v>16.979051958866059</v>
      </c>
      <c r="E93" s="181">
        <f t="shared" si="40"/>
        <v>11.98785</v>
      </c>
      <c r="F93" s="179">
        <f t="shared" si="23"/>
        <v>91.352449726529613</v>
      </c>
      <c r="G93" s="180">
        <f t="shared" si="41"/>
        <v>32.233397226036267</v>
      </c>
      <c r="H93" s="181">
        <f t="shared" si="42"/>
        <v>16.851110017016456</v>
      </c>
      <c r="I93" s="181">
        <f t="shared" si="36"/>
        <v>25.332078463021279</v>
      </c>
      <c r="J93" s="181">
        <f t="shared" si="37"/>
        <v>4.573257827095782</v>
      </c>
      <c r="K93" s="181">
        <f t="shared" si="43"/>
        <v>2.6524895397155537</v>
      </c>
      <c r="L93" s="181">
        <f t="shared" si="44"/>
        <v>5.36</v>
      </c>
      <c r="M93" s="182">
        <f t="shared" si="24"/>
        <v>4.3501166536442675</v>
      </c>
      <c r="N93" s="273">
        <f>IF($I$2="RRO (Capped)",VLOOKUP(A93,'Misc. Data &amp; Mechanisms'!$A$1278:$E$1368,3,FALSE),IF($I$2="RRO (Uncapped)",VLOOKUP(A93,'Misc. Data &amp; Mechanisms'!$G$1278:$K$1368,3,FALSE),AR93))</f>
        <v>5.9909999999999997</v>
      </c>
      <c r="O93" s="194">
        <f t="shared" si="25"/>
        <v>32.233397226036267</v>
      </c>
      <c r="P93" s="1248">
        <v>3.1320000000000001</v>
      </c>
      <c r="Q93" s="194">
        <f t="shared" si="26"/>
        <v>16.851110017016456</v>
      </c>
      <c r="R93" s="1249">
        <v>0.95099999999999996</v>
      </c>
      <c r="S93" s="1249">
        <v>0.65210999999999997</v>
      </c>
      <c r="T93" s="183">
        <f t="shared" si="27"/>
        <v>5.1166684630212798</v>
      </c>
      <c r="U93" s="194">
        <f t="shared" si="28"/>
        <v>20.215409999999999</v>
      </c>
      <c r="V93" s="1248">
        <v>0.85</v>
      </c>
      <c r="W93" s="194">
        <f t="shared" si="29"/>
        <v>4.573257827095782</v>
      </c>
      <c r="X93" s="277">
        <v>0.3</v>
      </c>
      <c r="Y93" s="278">
        <v>0.20300000000000001</v>
      </c>
      <c r="Z93" s="1248">
        <v>-0.01</v>
      </c>
      <c r="AA93" s="127"/>
      <c r="AB93" s="127"/>
      <c r="AC93" s="183">
        <f>($X93/100)*$C93</f>
        <v>1.6140909977985112</v>
      </c>
      <c r="AD93" s="183">
        <f t="shared" si="31"/>
        <v>1.0922015751769927</v>
      </c>
      <c r="AE93" s="183">
        <f t="shared" si="32"/>
        <v>-5.3803033259950374E-2</v>
      </c>
      <c r="AF93" s="183">
        <f t="shared" si="33"/>
        <v>0</v>
      </c>
      <c r="AG93" s="194">
        <f t="shared" si="34"/>
        <v>0</v>
      </c>
      <c r="AH93" s="200">
        <f>IF(OR($I$2="RRO (Capped)",$I$2="RRO (Uncapped)"),VLOOKUP(A93,'Misc. Data &amp; Mechanisms'!$A$1483:$H$1574,3,FALSE),AS93)</f>
        <v>5.36</v>
      </c>
      <c r="AI93" s="194">
        <f t="shared" si="45"/>
        <v>5.36</v>
      </c>
      <c r="AJ93" s="1251">
        <f>5%</f>
        <v>0.05</v>
      </c>
      <c r="AK93" s="341">
        <f>'Misc. Data &amp; Mechanisms'!AI366</f>
        <v>477.46466926005354</v>
      </c>
      <c r="AL93" s="1087">
        <f>'Misc. Data &amp; Mechanisms'!AP366</f>
        <v>563.12747608717223</v>
      </c>
      <c r="AM93" s="1087">
        <f>'Misc. Data &amp; Mechanisms'!N366</f>
        <v>538.03033259950371</v>
      </c>
      <c r="AN93" s="1087">
        <f>'Misc. Data &amp; Mechanisms'!O366</f>
        <v>408.31534197781576</v>
      </c>
      <c r="AO93" s="1087">
        <f>'Misc. Data &amp; Mechanisms'!P366</f>
        <v>302.18052322510937</v>
      </c>
      <c r="AP93" s="1463">
        <f>'Misc. Data &amp; Mechanisms'!$B$259</f>
        <v>611.34673880086393</v>
      </c>
      <c r="AQ93" s="197">
        <f>IFERROR(IF('Personalized Bill Menu'!$B$30="Yes", IF('Personalized Bill Menu'!$B$34="Natural Gas",0,VLOOKUP($A93, 'Personalized Bill Menu'!$H$4:$L$93, 2, FALSE)), 0), 0)</f>
        <v>0</v>
      </c>
      <c r="AR93" s="1343">
        <f>IFERROR(IF('Personalized Bill Menu'!$C$36="Custom", IF('Personalized Bill Menu'!$B$34="Natural Gas",0,VLOOKUP($A93, 'Personalized Bill Menu'!$H$4:$L$93, 3, FALSE)), 0), 0)</f>
        <v>0</v>
      </c>
      <c r="AS93" s="1344">
        <f>IFERROR(IF('Personalized Bill Menu'!$C$36="Custom", IF('Personalized Bill Menu'!$B$34="Natural Gas",0,VLOOKUP($A93, 'Personalized Bill Menu'!$H$4:$L$93, 4, FALSE)), 0), 0)</f>
        <v>0</v>
      </c>
    </row>
    <row r="94" spans="1:45" x14ac:dyDescent="0.35">
      <c r="A94" s="206">
        <v>43556</v>
      </c>
      <c r="B94" s="207">
        <f t="shared" si="35"/>
        <v>30</v>
      </c>
      <c r="C94" s="1581">
        <f>IFERROR(VLOOKUP($A94,$A$5:$AQ$96,MATCH($I$1,$A$5:$AQ$5,0),FALSE),0)</f>
        <v>461.05543176989465</v>
      </c>
      <c r="D94" s="181">
        <f t="shared" si="39"/>
        <v>18.476541040717375</v>
      </c>
      <c r="E94" s="181">
        <f t="shared" si="40"/>
        <v>12.800550000000001</v>
      </c>
      <c r="F94" s="179">
        <f t="shared" si="23"/>
        <v>85.187096071421266</v>
      </c>
      <c r="G94" s="180">
        <f t="shared" si="41"/>
        <v>31.35176936035284</v>
      </c>
      <c r="H94" s="181">
        <f t="shared" si="42"/>
        <v>14.440256123033102</v>
      </c>
      <c r="I94" s="181">
        <f t="shared" si="36"/>
        <v>23.947937156131694</v>
      </c>
      <c r="J94" s="181">
        <f t="shared" si="37"/>
        <v>3.918971170044105</v>
      </c>
      <c r="K94" s="181">
        <f t="shared" si="43"/>
        <v>2.1116338775061174</v>
      </c>
      <c r="L94" s="181">
        <f t="shared" si="44"/>
        <v>5.36</v>
      </c>
      <c r="M94" s="182">
        <f t="shared" si="24"/>
        <v>4.0565283843533937</v>
      </c>
      <c r="N94" s="273">
        <f>IF($I$2="RRO (Capped)",VLOOKUP(A94,'Misc. Data &amp; Mechanisms'!$A$1278:$E$1368,3,FALSE),IF($I$2="RRO (Uncapped)",VLOOKUP(A94,'Misc. Data &amp; Mechanisms'!$G$1278:$K$1368,3,FALSE),AR94))</f>
        <v>6.8</v>
      </c>
      <c r="O94" s="194">
        <f t="shared" si="25"/>
        <v>31.35176936035284</v>
      </c>
      <c r="P94" s="1248">
        <v>3.1320000000000001</v>
      </c>
      <c r="Q94" s="194">
        <f t="shared" si="26"/>
        <v>14.440256123033102</v>
      </c>
      <c r="R94" s="1249">
        <v>0.95099999999999996</v>
      </c>
      <c r="S94" s="1249">
        <v>0.65210999999999997</v>
      </c>
      <c r="T94" s="183">
        <f t="shared" si="27"/>
        <v>4.3846371561316975</v>
      </c>
      <c r="U94" s="194">
        <f t="shared" si="28"/>
        <v>19.563299999999998</v>
      </c>
      <c r="V94" s="1248">
        <v>0.85</v>
      </c>
      <c r="W94" s="194">
        <f t="shared" si="29"/>
        <v>3.918971170044105</v>
      </c>
      <c r="X94" s="277">
        <v>0.3</v>
      </c>
      <c r="Y94" s="278">
        <v>0.16800000000000001</v>
      </c>
      <c r="Z94" s="1248">
        <v>-0.01</v>
      </c>
      <c r="AC94" s="183">
        <f t="shared" ref="AC94:AC96" si="46">($X94/100)*$C94</f>
        <v>1.3831662953096839</v>
      </c>
      <c r="AD94" s="183">
        <f t="shared" si="31"/>
        <v>0.77457312537342304</v>
      </c>
      <c r="AE94" s="183">
        <f t="shared" si="32"/>
        <v>-4.6105543176989471E-2</v>
      </c>
      <c r="AF94" s="183">
        <f t="shared" si="33"/>
        <v>0</v>
      </c>
      <c r="AG94" s="194">
        <f t="shared" si="34"/>
        <v>0</v>
      </c>
      <c r="AH94" s="200">
        <f>IF(OR($I$2="RRO (Capped)",$I$2="RRO (Uncapped)"),VLOOKUP(A94,'Misc. Data &amp; Mechanisms'!$A$1483:$H$1574,3,FALSE),AS94)</f>
        <v>5.36</v>
      </c>
      <c r="AI94" s="194">
        <f t="shared" si="45"/>
        <v>5.36</v>
      </c>
      <c r="AJ94" s="1251">
        <f>5%</f>
        <v>0.05</v>
      </c>
      <c r="AK94" s="341">
        <f>'Misc. Data &amp; Mechanisms'!AI367</f>
        <v>409.15477418710685</v>
      </c>
      <c r="AL94" s="1087">
        <f>'Misc. Data &amp; Mechanisms'!AP367</f>
        <v>476.24114859663291</v>
      </c>
      <c r="AM94" s="1087">
        <f>'Misc. Data &amp; Mechanisms'!N367</f>
        <v>461.05543176989465</v>
      </c>
      <c r="AN94" s="1087">
        <f>'Misc. Data &amp; Mechanisms'!O367</f>
        <v>349.89849993083396</v>
      </c>
      <c r="AO94" s="1087">
        <f>'Misc. Data &amp; Mechanisms'!P367</f>
        <v>258.94817293082485</v>
      </c>
      <c r="AP94" s="1463">
        <f>'Misc. Data &amp; Mechanisms'!$B$259</f>
        <v>611.34673880086393</v>
      </c>
      <c r="AQ94" s="197">
        <f>IFERROR(IF('Personalized Bill Menu'!$B$30="Yes", IF('Personalized Bill Menu'!$B$34="Natural Gas",0,VLOOKUP($A94, 'Personalized Bill Menu'!$H$4:$L$93, 2, FALSE)), 0), 0)</f>
        <v>0</v>
      </c>
      <c r="AR94" s="1343">
        <f>IFERROR(IF('Personalized Bill Menu'!$C$36="Custom", IF('Personalized Bill Menu'!$B$34="Natural Gas",0,VLOOKUP($A94, 'Personalized Bill Menu'!$H$4:$L$93, 3, FALSE)), 0), 0)</f>
        <v>0</v>
      </c>
      <c r="AS94" s="1344">
        <f>IFERROR(IF('Personalized Bill Menu'!$C$36="Custom", IF('Personalized Bill Menu'!$B$34="Natural Gas",0,VLOOKUP($A94, 'Personalized Bill Menu'!$H$4:$L$93, 4, FALSE)), 0), 0)</f>
        <v>0</v>
      </c>
    </row>
    <row r="95" spans="1:45" x14ac:dyDescent="0.35">
      <c r="A95" s="206">
        <v>43586</v>
      </c>
      <c r="B95" s="207">
        <f t="shared" si="35"/>
        <v>31</v>
      </c>
      <c r="C95" s="1581">
        <f t="shared" ref="C95:C96" si="47">IFERROR(VLOOKUP($A95,$A$5:$AQ$96,MATCH($I$1,$A$5:$AQ$5,0),FALSE),0)</f>
        <v>460.59371488899251</v>
      </c>
      <c r="D95" s="181">
        <f t="shared" si="39"/>
        <v>18.630890196125364</v>
      </c>
      <c r="E95" s="181">
        <f t="shared" si="40"/>
        <v>12.800550000000001</v>
      </c>
      <c r="F95" s="179">
        <f t="shared" si="23"/>
        <v>85.812709271222914</v>
      </c>
      <c r="G95" s="180">
        <f t="shared" si="41"/>
        <v>31.320372612451493</v>
      </c>
      <c r="H95" s="181">
        <f t="shared" si="42"/>
        <v>14.425795150323246</v>
      </c>
      <c r="I95" s="181">
        <f t="shared" si="36"/>
        <v>24.595656228594315</v>
      </c>
      <c r="J95" s="181">
        <f t="shared" si="37"/>
        <v>3.9150465765564366</v>
      </c>
      <c r="K95" s="181">
        <f t="shared" si="43"/>
        <v>2.1095192141915859</v>
      </c>
      <c r="L95" s="181">
        <f t="shared" si="44"/>
        <v>5.36</v>
      </c>
      <c r="M95" s="182">
        <f t="shared" si="24"/>
        <v>4.0863194891058532</v>
      </c>
      <c r="N95" s="273">
        <f>IF($I$2="RRO (Capped)",VLOOKUP(A95,'Misc. Data &amp; Mechanisms'!$A$1278:$E$1368,3,FALSE),IF($I$2="RRO (Uncapped)",VLOOKUP(A95,'Misc. Data &amp; Mechanisms'!$G$1278:$K$1368,3,FALSE),AR95))</f>
        <v>6.8</v>
      </c>
      <c r="O95" s="194">
        <f t="shared" si="25"/>
        <v>31.320372612451493</v>
      </c>
      <c r="P95" s="1248">
        <v>3.1320000000000001</v>
      </c>
      <c r="Q95" s="194">
        <f t="shared" si="26"/>
        <v>14.425795150323246</v>
      </c>
      <c r="R95" s="1249">
        <v>0.95099999999999996</v>
      </c>
      <c r="S95" s="1249">
        <v>0.65210999999999997</v>
      </c>
      <c r="T95" s="183">
        <f t="shared" si="27"/>
        <v>4.3802462285943182</v>
      </c>
      <c r="U95" s="194">
        <f t="shared" si="28"/>
        <v>20.215409999999999</v>
      </c>
      <c r="V95" s="1248">
        <v>0.85</v>
      </c>
      <c r="W95" s="194">
        <f t="shared" si="29"/>
        <v>3.9150465765564366</v>
      </c>
      <c r="X95" s="277">
        <v>0.3</v>
      </c>
      <c r="Y95" s="278">
        <v>0.16800000000000001</v>
      </c>
      <c r="Z95" s="1248">
        <v>-0.01</v>
      </c>
      <c r="AC95" s="183">
        <f t="shared" si="46"/>
        <v>1.3817811446669777</v>
      </c>
      <c r="AD95" s="183">
        <f t="shared" si="31"/>
        <v>0.77379744101350745</v>
      </c>
      <c r="AE95" s="183">
        <f t="shared" si="32"/>
        <v>-4.6059371488899256E-2</v>
      </c>
      <c r="AF95" s="183">
        <f t="shared" si="33"/>
        <v>0</v>
      </c>
      <c r="AG95" s="194">
        <f t="shared" si="34"/>
        <v>0</v>
      </c>
      <c r="AH95" s="200">
        <f>IF(OR($I$2="RRO (Capped)",$I$2="RRO (Uncapped)"),VLOOKUP(A95,'Misc. Data &amp; Mechanisms'!$A$1483:$H$1574,3,FALSE),AS95)</f>
        <v>5.36</v>
      </c>
      <c r="AI95" s="194">
        <f t="shared" si="45"/>
        <v>5.36</v>
      </c>
      <c r="AJ95" s="1251">
        <f>5%</f>
        <v>0.05</v>
      </c>
      <c r="AK95" s="341">
        <f>'Misc. Data &amp; Mechanisms'!AI368</f>
        <v>408.74503242261079</v>
      </c>
      <c r="AL95" s="1087">
        <f>'Misc. Data &amp; Mechanisms'!AP368</f>
        <v>471.85318476580102</v>
      </c>
      <c r="AM95" s="1087">
        <f>'Misc. Data &amp; Mechanisms'!N368</f>
        <v>460.59371488899251</v>
      </c>
      <c r="AN95" s="1087">
        <f>'Misc. Data &amp; Mechanisms'!O368</f>
        <v>349.54809945208842</v>
      </c>
      <c r="AO95" s="1087">
        <f>'Misc. Data &amp; Mechanisms'!P368</f>
        <v>258.6888532601684</v>
      </c>
      <c r="AP95" s="1463">
        <f>'Misc. Data &amp; Mechanisms'!$B$259</f>
        <v>611.34673880086393</v>
      </c>
      <c r="AQ95" s="197">
        <f>IFERROR(IF('Personalized Bill Menu'!$B$30="Yes", IF('Personalized Bill Menu'!$B$34="Natural Gas",0,VLOOKUP($A95, 'Personalized Bill Menu'!$H$4:$L$93, 2, FALSE)), 0), 0)</f>
        <v>0</v>
      </c>
      <c r="AR95" s="1343">
        <f>IFERROR(IF('Personalized Bill Menu'!$C$36="Custom", IF('Personalized Bill Menu'!$B$34="Natural Gas",0,VLOOKUP($A95, 'Personalized Bill Menu'!$H$4:$L$93, 3, FALSE)), 0), 0)</f>
        <v>0</v>
      </c>
      <c r="AS95" s="1344">
        <f>IFERROR(IF('Personalized Bill Menu'!$C$36="Custom", IF('Personalized Bill Menu'!$B$34="Natural Gas",0,VLOOKUP($A95, 'Personalized Bill Menu'!$H$4:$L$93, 4, FALSE)), 0), 0)</f>
        <v>0</v>
      </c>
    </row>
    <row r="96" spans="1:45" x14ac:dyDescent="0.35">
      <c r="A96" s="206">
        <v>43617</v>
      </c>
      <c r="B96" s="207">
        <f t="shared" si="35"/>
        <v>30</v>
      </c>
      <c r="C96" s="1581">
        <f t="shared" si="47"/>
        <v>456.2227508035927</v>
      </c>
      <c r="D96" s="181">
        <f t="shared" si="39"/>
        <v>18.536665735987519</v>
      </c>
      <c r="E96" s="181">
        <f t="shared" si="40"/>
        <v>12.800550000000001</v>
      </c>
      <c r="F96" s="179">
        <f t="shared" si="23"/>
        <v>84.568486327989291</v>
      </c>
      <c r="G96" s="180">
        <f t="shared" si="41"/>
        <v>31.023147054644305</v>
      </c>
      <c r="H96" s="181">
        <f t="shared" si="42"/>
        <v>14.288896555168524</v>
      </c>
      <c r="I96" s="181">
        <f t="shared" si="36"/>
        <v>23.901978360142166</v>
      </c>
      <c r="J96" s="181">
        <f t="shared" si="37"/>
        <v>3.8778933818305381</v>
      </c>
      <c r="K96" s="181">
        <f t="shared" si="43"/>
        <v>2.0895001986804544</v>
      </c>
      <c r="L96" s="181">
        <f t="shared" si="44"/>
        <v>5.36</v>
      </c>
      <c r="M96" s="182">
        <f t="shared" si="24"/>
        <v>4.0270707775232992</v>
      </c>
      <c r="N96" s="273">
        <f>IF($I$2="RRO (Capped)",VLOOKUP(A96,'Misc. Data &amp; Mechanisms'!$A$1278:$E$1368,3,FALSE),IF($I$2="RRO (Uncapped)",VLOOKUP(A96,'Misc. Data &amp; Mechanisms'!$G$1278:$K$1368,3,FALSE),AR96))</f>
        <v>6.8</v>
      </c>
      <c r="O96" s="194">
        <f t="shared" si="25"/>
        <v>31.023147054644305</v>
      </c>
      <c r="P96" s="1248">
        <v>3.1320000000000001</v>
      </c>
      <c r="Q96" s="194">
        <f t="shared" si="26"/>
        <v>14.288896555168524</v>
      </c>
      <c r="R96" s="1249">
        <v>0.95099999999999996</v>
      </c>
      <c r="S96" s="1249">
        <v>0.65210999999999997</v>
      </c>
      <c r="T96" s="183">
        <f t="shared" si="27"/>
        <v>4.3386783601421666</v>
      </c>
      <c r="U96" s="194">
        <f t="shared" si="28"/>
        <v>19.563299999999998</v>
      </c>
      <c r="V96" s="1248">
        <v>0.85</v>
      </c>
      <c r="W96" s="194">
        <f t="shared" si="29"/>
        <v>3.8778933818305381</v>
      </c>
      <c r="X96" s="277">
        <v>0.3</v>
      </c>
      <c r="Y96" s="278">
        <v>0.16800000000000001</v>
      </c>
      <c r="Z96" s="1248">
        <v>-0.01</v>
      </c>
      <c r="AC96" s="183">
        <f t="shared" si="46"/>
        <v>1.3686682524107781</v>
      </c>
      <c r="AD96" s="183">
        <f t="shared" si="31"/>
        <v>0.76645422135003582</v>
      </c>
      <c r="AE96" s="183">
        <f t="shared" si="32"/>
        <v>-4.5622275080359272E-2</v>
      </c>
      <c r="AF96" s="183">
        <f t="shared" si="33"/>
        <v>0</v>
      </c>
      <c r="AG96" s="194">
        <f t="shared" si="34"/>
        <v>0</v>
      </c>
      <c r="AH96" s="200">
        <f>IF(OR($I$2="RRO (Capped)",$I$2="RRO (Uncapped)"),VLOOKUP(A96,'Misc. Data &amp; Mechanisms'!$A$1483:$H$1574,3,FALSE),AS96)</f>
        <v>5.36</v>
      </c>
      <c r="AI96" s="194">
        <f t="shared" si="45"/>
        <v>5.36</v>
      </c>
      <c r="AJ96" s="1251">
        <f>5%</f>
        <v>0.05</v>
      </c>
      <c r="AK96" s="341">
        <f>'Misc. Data &amp; Mechanisms'!AI369</f>
        <v>404.86610442370096</v>
      </c>
      <c r="AL96" s="1087">
        <f>'Misc. Data &amp; Mechanisms'!AP369</f>
        <v>452.75495337955903</v>
      </c>
      <c r="AM96" s="1087">
        <f>'Misc. Data &amp; Mechanisms'!N369</f>
        <v>456.2227508035927</v>
      </c>
      <c r="AN96" s="1087">
        <f>'Misc. Data &amp; Mechanisms'!O369</f>
        <v>346.23094131589232</v>
      </c>
      <c r="AO96" s="1087">
        <f>'Misc. Data &amp; Mechanisms'!P369</f>
        <v>256.23393550870503</v>
      </c>
      <c r="AP96" s="1463">
        <f>'Misc. Data &amp; Mechanisms'!$B$259</f>
        <v>611.34673880086393</v>
      </c>
      <c r="AQ96" s="197">
        <f>IFERROR(IF('Personalized Bill Menu'!$B$30="Yes", IF('Personalized Bill Menu'!$B$34="Natural Gas",0,VLOOKUP($A96, 'Personalized Bill Menu'!$H$4:$L$93, 2, FALSE)), 0), 0)</f>
        <v>0</v>
      </c>
      <c r="AR96" s="1343">
        <f>IFERROR(IF('Personalized Bill Menu'!$C$36="Custom", IF('Personalized Bill Menu'!$B$34="Natural Gas",0,VLOOKUP($A96, 'Personalized Bill Menu'!$H$4:$L$93, 3, FALSE)), 0), 0)</f>
        <v>0</v>
      </c>
      <c r="AS96" s="1344">
        <f>IFERROR(IF('Personalized Bill Menu'!$C$36="Custom", IF('Personalized Bill Menu'!$B$34="Natural Gas",0,VLOOKUP($A96, 'Personalized Bill Menu'!$H$4:$L$93, 4, FALSE)), 0), 0)</f>
        <v>0</v>
      </c>
    </row>
  </sheetData>
  <sheetProtection sheet="1" objects="1" scenarios="1"/>
  <mergeCells count="29">
    <mergeCell ref="AR4:AS4"/>
    <mergeCell ref="AG5:AG6"/>
    <mergeCell ref="AI5:AI6"/>
    <mergeCell ref="O5:O6"/>
    <mergeCell ref="Q5:Q6"/>
    <mergeCell ref="T5:T6"/>
    <mergeCell ref="U5:U6"/>
    <mergeCell ref="W5:W6"/>
    <mergeCell ref="AC5:AC6"/>
    <mergeCell ref="AD5:AD6"/>
    <mergeCell ref="AE5:AE6"/>
    <mergeCell ref="AF5:AF6"/>
    <mergeCell ref="V4:W4"/>
    <mergeCell ref="X4:AG4"/>
    <mergeCell ref="AH4:AI4"/>
    <mergeCell ref="AK4:AQ4"/>
    <mergeCell ref="P4:Q4"/>
    <mergeCell ref="R4:U4"/>
    <mergeCell ref="A1:D1"/>
    <mergeCell ref="A2:D2"/>
    <mergeCell ref="F1:H1"/>
    <mergeCell ref="N4:O4"/>
    <mergeCell ref="I1:K1"/>
    <mergeCell ref="A4:F4"/>
    <mergeCell ref="G4:M4"/>
    <mergeCell ref="N1:O1"/>
    <mergeCell ref="N2:O2"/>
    <mergeCell ref="F2:H2"/>
    <mergeCell ref="I2:K2"/>
  </mergeCells>
  <hyperlinks>
    <hyperlink ref="N2" location="'Elec. Analysis'!A1" display="Go to Electricity Analysis"/>
    <hyperlink ref="N1" location="'Regional Menu'!A1" display="Return to Regional Menu"/>
    <hyperlink ref="N1:O1" location="'Service Zone Menu'!A1" display="Return to Service Zone Menu"/>
  </hyperlink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theme="6" tint="-0.249977111117893"/>
  </sheetPr>
  <dimension ref="A1:AW96"/>
  <sheetViews>
    <sheetView zoomScale="80" zoomScaleNormal="80" workbookViewId="0">
      <selection sqref="A1:D1"/>
    </sheetView>
  </sheetViews>
  <sheetFormatPr defaultColWidth="9.1796875" defaultRowHeight="14.5" x14ac:dyDescent="0.35"/>
  <cols>
    <col min="1" max="1" width="8.54296875" style="121" bestFit="1" customWidth="1"/>
    <col min="2" max="2" width="10.1796875" style="108" bestFit="1" customWidth="1"/>
    <col min="3" max="3" width="14.81640625" style="108" bestFit="1" customWidth="1"/>
    <col min="4" max="4" width="15.54296875" style="124" bestFit="1" customWidth="1"/>
    <col min="5" max="5" width="15" style="124" bestFit="1" customWidth="1"/>
    <col min="6" max="6" width="17.1796875" style="123" bestFit="1" customWidth="1"/>
    <col min="7" max="7" width="14.26953125" style="124" bestFit="1" customWidth="1"/>
    <col min="8" max="8" width="15.26953125" style="124" bestFit="1" customWidth="1"/>
    <col min="9" max="9" width="14.81640625" style="124" customWidth="1"/>
    <col min="10" max="10" width="16.7265625" style="124" bestFit="1" customWidth="1"/>
    <col min="11" max="11" width="11.453125" style="124" bestFit="1" customWidth="1"/>
    <col min="12" max="12" width="16.26953125" style="124" bestFit="1" customWidth="1"/>
    <col min="13" max="13" width="9.453125" style="124" customWidth="1"/>
    <col min="14" max="14" width="13.26953125" style="125" customWidth="1"/>
    <col min="15" max="15" width="16.26953125" style="123" bestFit="1" customWidth="1"/>
    <col min="16" max="16" width="15.26953125" style="125" bestFit="1" customWidth="1"/>
    <col min="17" max="17" width="15.26953125" style="123" bestFit="1" customWidth="1"/>
    <col min="18" max="18" width="14.1796875" style="125" bestFit="1" customWidth="1"/>
    <col min="19" max="19" width="19.453125" style="125" bestFit="1" customWidth="1"/>
    <col min="20" max="21" width="12.81640625" style="123" bestFit="1" customWidth="1"/>
    <col min="22" max="22" width="11.54296875" style="125" bestFit="1" customWidth="1"/>
    <col min="23" max="23" width="13.81640625" style="125" bestFit="1" customWidth="1"/>
    <col min="24" max="24" width="12.7265625" style="123" bestFit="1" customWidth="1"/>
    <col min="25" max="25" width="14.26953125" style="123" bestFit="1" customWidth="1"/>
    <col min="26" max="26" width="17.7265625" style="125" bestFit="1" customWidth="1"/>
    <col min="27" max="28" width="19.26953125" style="125" bestFit="1" customWidth="1"/>
    <col min="29" max="29" width="19.54296875" style="125" bestFit="1" customWidth="1"/>
    <col min="30" max="30" width="16.1796875" style="126" customWidth="1"/>
    <col min="31" max="31" width="16.453125" style="123" bestFit="1" customWidth="1"/>
    <col min="32" max="33" width="15.26953125" style="123" bestFit="1" customWidth="1"/>
    <col min="34" max="34" width="12.81640625" style="123" bestFit="1" customWidth="1"/>
    <col min="35" max="35" width="16.26953125" style="125" bestFit="1" customWidth="1"/>
    <col min="36" max="36" width="16.26953125" style="123" bestFit="1" customWidth="1"/>
    <col min="37" max="37" width="8" style="195" bestFit="1" customWidth="1"/>
    <col min="38" max="39" width="15.26953125" style="360" bestFit="1" customWidth="1"/>
    <col min="40" max="42" width="15.26953125" style="361" bestFit="1" customWidth="1"/>
    <col min="43" max="43" width="15.26953125" style="177" bestFit="1" customWidth="1"/>
    <col min="44" max="44" width="14.81640625" style="108" bestFit="1" customWidth="1"/>
    <col min="45" max="45" width="15.81640625" style="108" customWidth="1"/>
    <col min="46" max="46" width="18.1796875" style="108" customWidth="1"/>
    <col min="47" max="16384" width="9.1796875" style="108"/>
  </cols>
  <sheetData>
    <row r="1" spans="1:49" ht="15.75" x14ac:dyDescent="0.25">
      <c r="A1" s="1994" t="s">
        <v>0</v>
      </c>
      <c r="B1" s="1995"/>
      <c r="C1" s="1995"/>
      <c r="D1" s="1995"/>
      <c r="E1" s="1111"/>
      <c r="F1" s="1998" t="s">
        <v>458</v>
      </c>
      <c r="G1" s="1999"/>
      <c r="H1" s="1999"/>
      <c r="I1" s="2000" t="str">
        <f>'Service Zone Menu'!$F$5</f>
        <v>Detached Home Consumption</v>
      </c>
      <c r="J1" s="2000"/>
      <c r="K1" s="2001"/>
      <c r="L1" s="297"/>
      <c r="M1" s="298"/>
      <c r="N1" s="2004" t="s">
        <v>479</v>
      </c>
      <c r="O1" s="2004"/>
      <c r="P1" s="299"/>
      <c r="Q1" s="300"/>
      <c r="R1" s="299"/>
      <c r="S1" s="299"/>
      <c r="T1" s="300"/>
      <c r="U1" s="300"/>
      <c r="V1" s="301"/>
      <c r="W1" s="301"/>
      <c r="X1" s="300"/>
      <c r="Y1" s="300"/>
      <c r="Z1" s="301"/>
      <c r="AA1" s="301"/>
      <c r="AB1" s="301"/>
      <c r="AC1" s="301"/>
      <c r="AD1" s="302"/>
      <c r="AE1" s="300"/>
      <c r="AF1" s="300"/>
      <c r="AG1" s="300"/>
      <c r="AH1" s="300"/>
      <c r="AI1" s="301"/>
      <c r="AJ1" s="300"/>
      <c r="AK1" s="303"/>
      <c r="AL1" s="301"/>
      <c r="AM1" s="301"/>
      <c r="AN1" s="304"/>
      <c r="AO1" s="304"/>
      <c r="AP1" s="304"/>
      <c r="AQ1" s="305"/>
      <c r="AR1" s="305"/>
      <c r="AS1" s="305"/>
      <c r="AT1" s="306"/>
    </row>
    <row r="2" spans="1:49" ht="38.25" customHeight="1" thickBot="1" x14ac:dyDescent="0.3">
      <c r="A2" s="1996" t="str">
        <f>"FORTIS Service Zone ("&amp; 'Service Zone Menu'!$K$5&amp;")"</f>
        <v>FORTIS Service Zone (Hinton)</v>
      </c>
      <c r="B2" s="1997"/>
      <c r="C2" s="1997"/>
      <c r="D2" s="1997"/>
      <c r="E2" s="1165"/>
      <c r="F2" s="2002" t="s">
        <v>557</v>
      </c>
      <c r="G2" s="2003"/>
      <c r="H2" s="2003"/>
      <c r="I2" s="2005" t="str">
        <f>'Service Zone Menu'!$O$5</f>
        <v>RRO (Capped)</v>
      </c>
      <c r="J2" s="2005"/>
      <c r="K2" s="2006"/>
      <c r="L2" s="1166"/>
      <c r="M2" s="1166"/>
      <c r="N2" s="2004" t="s">
        <v>365</v>
      </c>
      <c r="O2" s="2004"/>
      <c r="P2" s="1167"/>
      <c r="Q2" s="1164"/>
      <c r="R2" s="1167"/>
      <c r="S2" s="1167"/>
      <c r="T2" s="1164"/>
      <c r="U2" s="1164"/>
      <c r="V2" s="1168"/>
      <c r="W2" s="1168"/>
      <c r="X2" s="1164"/>
      <c r="Y2" s="1164"/>
      <c r="Z2" s="1168"/>
      <c r="AA2" s="1168"/>
      <c r="AB2" s="1168"/>
      <c r="AC2" s="1168"/>
      <c r="AD2" s="1169"/>
      <c r="AE2" s="1164"/>
      <c r="AF2" s="1164"/>
      <c r="AG2" s="1164"/>
      <c r="AH2" s="1164"/>
      <c r="AI2" s="1168"/>
      <c r="AJ2" s="1164"/>
      <c r="AK2" s="1170"/>
      <c r="AL2" s="1168"/>
      <c r="AM2" s="1168"/>
      <c r="AN2" s="1171"/>
      <c r="AO2" s="1171"/>
      <c r="AP2" s="1171"/>
      <c r="AQ2" s="1172"/>
      <c r="AR2" s="1172"/>
      <c r="AS2" s="1172"/>
      <c r="AT2" s="1173"/>
    </row>
    <row r="3" spans="1:49" s="335" customFormat="1" ht="12.75" customHeight="1" x14ac:dyDescent="0.25">
      <c r="A3" s="1162"/>
      <c r="B3" s="1112"/>
      <c r="C3" s="1112"/>
      <c r="D3" s="1112"/>
      <c r="E3" s="1112"/>
      <c r="F3" s="1113"/>
      <c r="G3" s="1113"/>
      <c r="H3" s="1113"/>
      <c r="I3" s="1163"/>
      <c r="J3" s="1163"/>
      <c r="K3" s="1163"/>
      <c r="L3" s="307"/>
      <c r="M3" s="307"/>
      <c r="N3" s="1114"/>
      <c r="O3" s="1114"/>
      <c r="P3" s="308"/>
      <c r="Q3" s="309"/>
      <c r="R3" s="308"/>
      <c r="S3" s="308"/>
      <c r="T3" s="309"/>
      <c r="U3" s="309"/>
      <c r="V3" s="310"/>
      <c r="W3" s="310"/>
      <c r="X3" s="309"/>
      <c r="Y3" s="309"/>
      <c r="Z3" s="310"/>
      <c r="AA3" s="310"/>
      <c r="AB3" s="310"/>
      <c r="AC3" s="310"/>
      <c r="AD3" s="311"/>
      <c r="AE3" s="309"/>
      <c r="AF3" s="309"/>
      <c r="AG3" s="309"/>
      <c r="AH3" s="309"/>
      <c r="AI3" s="310"/>
      <c r="AJ3" s="309"/>
      <c r="AK3" s="312"/>
      <c r="AL3" s="310"/>
      <c r="AM3" s="310"/>
      <c r="AN3" s="313"/>
      <c r="AO3" s="313"/>
      <c r="AP3" s="313"/>
      <c r="AQ3" s="314"/>
      <c r="AR3" s="314"/>
      <c r="AS3" s="314"/>
      <c r="AT3" s="315"/>
    </row>
    <row r="4" spans="1:49" s="317" customFormat="1" ht="24" customHeight="1" x14ac:dyDescent="0.2">
      <c r="A4" s="1967" t="s">
        <v>3</v>
      </c>
      <c r="B4" s="1967"/>
      <c r="C4" s="1967"/>
      <c r="D4" s="1967"/>
      <c r="E4" s="1967"/>
      <c r="F4" s="1968"/>
      <c r="G4" s="1969" t="s">
        <v>4</v>
      </c>
      <c r="H4" s="1951"/>
      <c r="I4" s="1951"/>
      <c r="J4" s="1951"/>
      <c r="K4" s="1951"/>
      <c r="L4" s="1951"/>
      <c r="M4" s="1970"/>
      <c r="N4" s="1951" t="s">
        <v>5</v>
      </c>
      <c r="O4" s="1952"/>
      <c r="P4" s="1951" t="s">
        <v>6</v>
      </c>
      <c r="Q4" s="1952"/>
      <c r="R4" s="1976" t="s">
        <v>7</v>
      </c>
      <c r="S4" s="1951"/>
      <c r="T4" s="1951"/>
      <c r="U4" s="1952"/>
      <c r="V4" s="1976" t="s">
        <v>8</v>
      </c>
      <c r="W4" s="1951"/>
      <c r="X4" s="1951"/>
      <c r="Y4" s="1952"/>
      <c r="Z4" s="1976" t="s">
        <v>9</v>
      </c>
      <c r="AA4" s="1951"/>
      <c r="AB4" s="1951"/>
      <c r="AC4" s="1951"/>
      <c r="AD4" s="1951"/>
      <c r="AE4" s="1951"/>
      <c r="AF4" s="1951"/>
      <c r="AG4" s="1951"/>
      <c r="AH4" s="1993"/>
      <c r="AI4" s="1951" t="s">
        <v>10</v>
      </c>
      <c r="AJ4" s="1952"/>
      <c r="AK4" s="158" t="s">
        <v>11</v>
      </c>
      <c r="AL4" s="1976" t="s">
        <v>12</v>
      </c>
      <c r="AM4" s="1951"/>
      <c r="AN4" s="1951"/>
      <c r="AO4" s="1951"/>
      <c r="AP4" s="1951"/>
      <c r="AQ4" s="1951"/>
      <c r="AR4" s="1952"/>
      <c r="AS4" s="1747" t="s">
        <v>558</v>
      </c>
      <c r="AT4" s="1726"/>
      <c r="AU4" s="316"/>
      <c r="AV4" s="316"/>
      <c r="AW4" s="316"/>
    </row>
    <row r="5" spans="1:49" s="322" customFormat="1" ht="58" x14ac:dyDescent="0.35">
      <c r="A5" s="50" t="s">
        <v>13</v>
      </c>
      <c r="B5" s="50" t="s">
        <v>14</v>
      </c>
      <c r="C5" s="50" t="s">
        <v>12</v>
      </c>
      <c r="D5" s="50" t="s">
        <v>541</v>
      </c>
      <c r="E5" s="50" t="s">
        <v>545</v>
      </c>
      <c r="F5" s="51" t="s">
        <v>626</v>
      </c>
      <c r="G5" s="159" t="s">
        <v>15</v>
      </c>
      <c r="H5" s="160" t="s">
        <v>16</v>
      </c>
      <c r="I5" s="160" t="s">
        <v>17</v>
      </c>
      <c r="J5" s="160" t="s">
        <v>18</v>
      </c>
      <c r="K5" s="160" t="s">
        <v>19</v>
      </c>
      <c r="L5" s="160" t="s">
        <v>20</v>
      </c>
      <c r="M5" s="161" t="s">
        <v>21</v>
      </c>
      <c r="N5" s="52" t="str">
        <f>IF($I$2&lt;&gt;"Custom", "RRO Energy Rate", "Custom Energy Rate")</f>
        <v>RRO Energy Rate</v>
      </c>
      <c r="O5" s="1731" t="s">
        <v>23</v>
      </c>
      <c r="P5" s="53" t="s">
        <v>268</v>
      </c>
      <c r="Q5" s="1731" t="s">
        <v>24</v>
      </c>
      <c r="R5" s="53" t="s">
        <v>417</v>
      </c>
      <c r="S5" s="52" t="s">
        <v>425</v>
      </c>
      <c r="T5" s="1729" t="s">
        <v>105</v>
      </c>
      <c r="U5" s="1731" t="s">
        <v>104</v>
      </c>
      <c r="V5" s="53" t="s">
        <v>292</v>
      </c>
      <c r="W5" s="52" t="s">
        <v>293</v>
      </c>
      <c r="X5" s="1729" t="s">
        <v>294</v>
      </c>
      <c r="Y5" s="1731" t="s">
        <v>295</v>
      </c>
      <c r="Z5" s="318" t="s">
        <v>28</v>
      </c>
      <c r="AA5" s="90" t="s">
        <v>432</v>
      </c>
      <c r="AB5" s="90" t="s">
        <v>296</v>
      </c>
      <c r="AC5" s="90" t="s">
        <v>297</v>
      </c>
      <c r="AD5" s="319" t="s">
        <v>46</v>
      </c>
      <c r="AE5" s="2007" t="s">
        <v>428</v>
      </c>
      <c r="AF5" s="2007" t="s">
        <v>429</v>
      </c>
      <c r="AG5" s="2007" t="s">
        <v>430</v>
      </c>
      <c r="AH5" s="1731" t="s">
        <v>433</v>
      </c>
      <c r="AI5" s="162" t="str">
        <f>IF($I$2&lt;&gt;"Custom", "RRO Provider (EPCOR) Administration Rate", "Custom Administration Rate")</f>
        <v>RRO Provider (EPCOR) Administration Rate</v>
      </c>
      <c r="AJ5" s="1972" t="s">
        <v>274</v>
      </c>
      <c r="AK5" s="320" t="s">
        <v>30</v>
      </c>
      <c r="AL5" s="53" t="s">
        <v>45</v>
      </c>
      <c r="AM5" s="52" t="s">
        <v>31</v>
      </c>
      <c r="AN5" s="166" t="s">
        <v>337</v>
      </c>
      <c r="AO5" s="166" t="s">
        <v>338</v>
      </c>
      <c r="AP5" s="166" t="s">
        <v>336</v>
      </c>
      <c r="AQ5" s="166" t="s">
        <v>605</v>
      </c>
      <c r="AR5" s="167" t="s">
        <v>374</v>
      </c>
      <c r="AS5" s="1150" t="s">
        <v>559</v>
      </c>
      <c r="AT5" s="1151" t="s">
        <v>560</v>
      </c>
      <c r="AU5" s="321"/>
      <c r="AV5" s="321"/>
      <c r="AW5" s="321"/>
    </row>
    <row r="6" spans="1:49" s="322" customFormat="1" x14ac:dyDescent="0.35">
      <c r="A6" s="168"/>
      <c r="B6" s="56"/>
      <c r="C6" s="57" t="s">
        <v>32</v>
      </c>
      <c r="D6" s="58" t="s">
        <v>33</v>
      </c>
      <c r="E6" s="58" t="s">
        <v>33</v>
      </c>
      <c r="F6" s="59" t="s">
        <v>34</v>
      </c>
      <c r="G6" s="169"/>
      <c r="H6" s="170"/>
      <c r="I6" s="170"/>
      <c r="J6" s="170"/>
      <c r="K6" s="323"/>
      <c r="L6" s="170"/>
      <c r="M6" s="171"/>
      <c r="N6" s="57" t="s">
        <v>33</v>
      </c>
      <c r="O6" s="1732"/>
      <c r="P6" s="60" t="s">
        <v>33</v>
      </c>
      <c r="Q6" s="1732"/>
      <c r="R6" s="60" t="s">
        <v>33</v>
      </c>
      <c r="S6" s="57" t="s">
        <v>35</v>
      </c>
      <c r="T6" s="1730"/>
      <c r="U6" s="1732"/>
      <c r="V6" s="60" t="s">
        <v>36</v>
      </c>
      <c r="W6" s="90" t="s">
        <v>36</v>
      </c>
      <c r="X6" s="1730"/>
      <c r="Y6" s="1732"/>
      <c r="Z6" s="60" t="s">
        <v>33</v>
      </c>
      <c r="AA6" s="57" t="s">
        <v>36</v>
      </c>
      <c r="AB6" s="57" t="s">
        <v>36</v>
      </c>
      <c r="AC6" s="57" t="s">
        <v>33</v>
      </c>
      <c r="AD6" s="319" t="s">
        <v>36</v>
      </c>
      <c r="AE6" s="2007"/>
      <c r="AF6" s="1730"/>
      <c r="AG6" s="1730"/>
      <c r="AH6" s="1732"/>
      <c r="AI6" s="57" t="str">
        <f>IF($I$2&lt;&gt;"Custom", "$/month", $AT$6)</f>
        <v>$/month</v>
      </c>
      <c r="AJ6" s="1973"/>
      <c r="AK6" s="271" t="s">
        <v>36</v>
      </c>
      <c r="AL6" s="60" t="s">
        <v>32</v>
      </c>
      <c r="AM6" s="57" t="s">
        <v>32</v>
      </c>
      <c r="AN6" s="57" t="s">
        <v>32</v>
      </c>
      <c r="AO6" s="57" t="s">
        <v>32</v>
      </c>
      <c r="AP6" s="57" t="s">
        <v>32</v>
      </c>
      <c r="AQ6" s="57" t="s">
        <v>32</v>
      </c>
      <c r="AR6" s="175" t="s">
        <v>32</v>
      </c>
      <c r="AS6" s="172" t="s">
        <v>33</v>
      </c>
      <c r="AT6" s="1152" t="str">
        <f>'Electricity Bill'!$AP$6</f>
        <v>$/day</v>
      </c>
      <c r="AU6" s="321"/>
      <c r="AV6" s="321"/>
      <c r="AW6" s="321"/>
    </row>
    <row r="7" spans="1:49" ht="15" x14ac:dyDescent="0.25">
      <c r="A7" s="324">
        <v>40909</v>
      </c>
      <c r="B7" s="325">
        <f t="shared" ref="B7:B70" si="0">DAY(DATE(YEAR($A7),MONTH($A7)+1,1)-1)</f>
        <v>31</v>
      </c>
      <c r="C7" s="1581">
        <f>IFERROR(VLOOKUP($A7,$A$5:$AR$96,MATCH($I$1,$A$5:$AR$5,0),FALSE),0)</f>
        <v>859.92465649969733</v>
      </c>
      <c r="D7" s="178">
        <f>IFERROR(($F7*100)/$C7, "")</f>
        <v>24.225304717250339</v>
      </c>
      <c r="E7" s="178">
        <f>(1+$AK7)*IF($AB7=FALSE,$N7+((1+$V7+$W7)*($P7+$R7))+$Z7+$AC7+($AA7*$P7)+($R7*$AD7), $N7+((1+$V7+$W7)*($P7+$R7))+$Z7+($AA7*$P7)+($AB7*$P7)+($R7*$AD7))</f>
        <v>20.763180921</v>
      </c>
      <c r="F7" s="67">
        <f>SUM($G7:$M7)</f>
        <v>208.31936837581995</v>
      </c>
      <c r="G7" s="326">
        <f>SUM($O7)</f>
        <v>126.09935162911562</v>
      </c>
      <c r="H7" s="65">
        <f>SUM($Q7)</f>
        <v>18.128931608326621</v>
      </c>
      <c r="I7" s="65">
        <f t="shared" ref="I7:I70" si="1">SUM($T7:$U7)</f>
        <v>35.427058392262524</v>
      </c>
      <c r="J7" s="65">
        <f>SUM($X7:$Y7)</f>
        <v>5.9179368950651003</v>
      </c>
      <c r="K7" s="65">
        <f>SUM($AE7:$AH7)</f>
        <v>6.5561199283919853</v>
      </c>
      <c r="L7" s="65">
        <f>SUM($AJ7)</f>
        <v>6.27</v>
      </c>
      <c r="M7" s="327">
        <f t="shared" ref="M7:M38" si="2">SUM($AK7)*SUM($G7:$L7)</f>
        <v>9.919969922658094</v>
      </c>
      <c r="N7" s="273">
        <f>IF($I$2="RRO (Capped)",VLOOKUP(A7,'Misc. Data &amp; Mechanisms'!$A$1278:$E$1368,4,FALSE),IF($I$2="RRO (Uncapped)",VLOOKUP(A7,'Misc. Data &amp; Mechanisms'!$G$1278:$K$1368,4,FALSE),AS7))</f>
        <v>14.664</v>
      </c>
      <c r="O7" s="328">
        <f t="shared" ref="O7:O70" si="3">($N7/100)*$C7</f>
        <v>126.09935162911562</v>
      </c>
      <c r="P7" s="329">
        <v>2.1082000000000001</v>
      </c>
      <c r="Q7" s="328">
        <f t="shared" ref="Q7:Q38" si="4">($P7/100)*$C7</f>
        <v>18.128931608326621</v>
      </c>
      <c r="R7" s="330">
        <v>1.8071999999999999</v>
      </c>
      <c r="S7" s="330">
        <v>0.64149999999999996</v>
      </c>
      <c r="T7" s="331">
        <f t="shared" ref="T7:T38" si="5">($R7/100)*$C7</f>
        <v>15.540558392262529</v>
      </c>
      <c r="U7" s="328">
        <f t="shared" ref="U7:U38" si="6">$S7*$B7</f>
        <v>19.886499999999998</v>
      </c>
      <c r="V7" s="205">
        <f>VLOOKUP($A7,'Misc. Data &amp; Mechanisms'!$A$63:$DY$152,HLOOKUP('Service Zone Menu'!$K$5&amp;"_FORTIS_Elec_Y_1",'Misc. Data &amp; Mechanisms'!$A$55:$DY$62,8,FALSE), FALSE)</f>
        <v>0.107</v>
      </c>
      <c r="W7" s="420">
        <f>VLOOKUP($A7,'Misc. Data &amp; Mechanisms'!$A$63:$DY$152,HLOOKUP('Service Zone Menu'!$K$5&amp;"_FORTIS_Elec_Y_2",'Misc. Data &amp; Mechanisms'!$A$55:$DY$62,8,FALSE), FALSE)</f>
        <v>3.5000000000000001E-3</v>
      </c>
      <c r="X7" s="331">
        <f t="shared" ref="X7:X38" si="7">$V7*($H7+$I7)</f>
        <v>5.7304909300630387</v>
      </c>
      <c r="Y7" s="328">
        <f t="shared" ref="Y7:Y38" si="8">$W7*($H7+$I7)</f>
        <v>0.18744596500206201</v>
      </c>
      <c r="Z7" s="329">
        <v>-0.56069999999999998</v>
      </c>
      <c r="AA7" s="332"/>
      <c r="AB7" s="332">
        <v>0.62760000000000005</v>
      </c>
      <c r="AC7" s="1494"/>
      <c r="AD7" s="332"/>
      <c r="AE7" s="331">
        <f t="shared" ref="AE7:AE38" si="9">($Z7/100)*$C7</f>
        <v>-4.821597548993803</v>
      </c>
      <c r="AF7" s="331">
        <f t="shared" ref="AF7:AF38" si="10">$AA7*$H7</f>
        <v>0</v>
      </c>
      <c r="AG7" s="331">
        <f t="shared" ref="AG7:AG38" si="11">IF($AB7=FALSE,($AC7/100)*$C7,$AB7*$H7)</f>
        <v>11.377717477385788</v>
      </c>
      <c r="AH7" s="333">
        <f t="shared" ref="AH7:AH38" si="12">$AD7*$I7</f>
        <v>0</v>
      </c>
      <c r="AI7" s="188">
        <f>IF(OR($I$2="RRO (Capped)",$I$2="RRO (Uncapped)"),VLOOKUP(A7,'Misc. Data &amp; Mechanisms'!$A$1483:$H$1574,4,FALSE),AT7)</f>
        <v>6.27</v>
      </c>
      <c r="AJ7" s="333">
        <f>IF($AI$6="$/day", $AI7*$B7,$AI7)</f>
        <v>6.27</v>
      </c>
      <c r="AK7" s="334">
        <f>5%</f>
        <v>0.05</v>
      </c>
      <c r="AL7" s="341">
        <f>'Misc. Data &amp; Mechanisms'!AJ280</f>
        <v>763.1235951334761</v>
      </c>
      <c r="AM7" s="196">
        <f>'Misc. Data &amp; Mechanisms'!AP280</f>
        <v>672.08273643058499</v>
      </c>
      <c r="AN7" s="1094">
        <f>'Misc. Data &amp; Mechanisms'!Q280</f>
        <v>859.92465649969733</v>
      </c>
      <c r="AO7" s="1094">
        <f>'Misc. Data &amp; Mechanisms'!R280</f>
        <v>652.6034108474604</v>
      </c>
      <c r="AP7" s="1094">
        <f>'Misc. Data &amp; Mechanisms'!S280</f>
        <v>482.96994963047689</v>
      </c>
      <c r="AQ7" s="1463">
        <f>'Misc. Data &amp; Mechanisms'!$B$259</f>
        <v>611.34673880086393</v>
      </c>
      <c r="AR7" s="1254">
        <f>IFERROR(IF('Personalized Bill Menu'!$B$30="Yes", IF('Personalized Bill Menu'!$B$34="Natural Gas",0,VLOOKUP($A7, 'Personalized Bill Menu'!$H$4:$L$93, 2, FALSE)), 0), 0)</f>
        <v>0</v>
      </c>
      <c r="AS7" s="1343">
        <f>IFERROR(IF('Personalized Bill Menu'!$C$36="Custom", IF('Personalized Bill Menu'!$B$34="Natural Gas",0,VLOOKUP($A7, 'Personalized Bill Menu'!$H$4:$L$93, 3, FALSE)), 0), 0)</f>
        <v>0</v>
      </c>
      <c r="AT7" s="1344">
        <f>IFERROR(IF('Personalized Bill Menu'!$C$36="Custom", IF('Personalized Bill Menu'!$B$34="Natural Gas",0,VLOOKUP($A7, 'Personalized Bill Menu'!$H$4:$L$93, 4, FALSE)), 0), 0)</f>
        <v>0</v>
      </c>
      <c r="AU7" s="335"/>
      <c r="AV7" s="335"/>
      <c r="AW7" s="335"/>
    </row>
    <row r="8" spans="1:49" ht="15" x14ac:dyDescent="0.25">
      <c r="A8" s="206">
        <v>40940</v>
      </c>
      <c r="B8" s="207">
        <f t="shared" si="0"/>
        <v>29</v>
      </c>
      <c r="C8" s="1581">
        <f t="shared" ref="C8:C71" si="13">IFERROR(VLOOKUP($A8,$A$5:$AR$96,MATCH($I$1,$A$5:$AR$5,0),FALSE),0)</f>
        <v>734.73838862104537</v>
      </c>
      <c r="D8" s="178">
        <f t="shared" ref="D8:D71" si="14">IFERROR(($F8*100)/$C8, "")</f>
        <v>23.453427374133156</v>
      </c>
      <c r="E8" s="178">
        <f t="shared" ref="E8:E71" si="15">(1+$AK8)*IF($AB8=FALSE,$N8+((1+$V8+$W8)*($P8+$R8))+$Z8+$AC8+($AA8*$P8)+($R8*$AD8), $N8+((1+$V8+$W8)*($P8+$R8))+$Z8+($AA8*$P8)+($AB8*$P8)+($R8*$AD8))</f>
        <v>19.605030921000001</v>
      </c>
      <c r="F8" s="86">
        <f t="shared" ref="F8:F71" si="16">SUM($G8:$M8)</f>
        <v>172.3213343651131</v>
      </c>
      <c r="G8" s="115">
        <f t="shared" ref="G8:G71" si="17">SUM($O8)</f>
        <v>99.637872880899963</v>
      </c>
      <c r="H8" s="66">
        <f t="shared" ref="H8:H71" si="18">SUM($Q8)</f>
        <v>15.489754708908878</v>
      </c>
      <c r="I8" s="66">
        <f t="shared" si="1"/>
        <v>31.881692159159531</v>
      </c>
      <c r="J8" s="66">
        <f t="shared" ref="J8:J71" si="19">SUM($X8:$Y8)</f>
        <v>5.2345448789215592</v>
      </c>
      <c r="K8" s="66">
        <f t="shared" ref="K8:K71" si="20">SUM($AE8:$AH8)</f>
        <v>5.6016919103130105</v>
      </c>
      <c r="L8" s="66">
        <f t="shared" ref="L8:L71" si="21">SUM($AJ8)</f>
        <v>6.27</v>
      </c>
      <c r="M8" s="68">
        <f t="shared" si="2"/>
        <v>8.2057778269101487</v>
      </c>
      <c r="N8" s="273">
        <f>IF($I$2="RRO (Capped)",VLOOKUP(A8,'Misc. Data &amp; Mechanisms'!$A$1278:$E$1368,4,FALSE),IF($I$2="RRO (Uncapped)",VLOOKUP(A8,'Misc. Data &amp; Mechanisms'!$G$1278:$K$1368,4,FALSE),AS8))</f>
        <v>13.561</v>
      </c>
      <c r="O8" s="333">
        <f t="shared" si="3"/>
        <v>99.637872880899963</v>
      </c>
      <c r="P8" s="336">
        <v>2.1082000000000001</v>
      </c>
      <c r="Q8" s="333">
        <f t="shared" si="4"/>
        <v>15.489754708908878</v>
      </c>
      <c r="R8" s="337">
        <v>1.8071999999999999</v>
      </c>
      <c r="S8" s="337">
        <v>0.64149999999999996</v>
      </c>
      <c r="T8" s="338">
        <f t="shared" si="5"/>
        <v>13.278192159159531</v>
      </c>
      <c r="U8" s="333">
        <f t="shared" si="6"/>
        <v>18.6035</v>
      </c>
      <c r="V8" s="205">
        <f>VLOOKUP($A8,'Misc. Data &amp; Mechanisms'!$A$63:$DY$152,HLOOKUP('Service Zone Menu'!$K$5&amp;"_FORTIS_Elec_Y_1",'Misc. Data &amp; Mechanisms'!$A$55:$DY$62,8,FALSE), FALSE)</f>
        <v>0.107</v>
      </c>
      <c r="W8" s="205">
        <f>VLOOKUP($A8,'Misc. Data &amp; Mechanisms'!$A$63:$DY$152,HLOOKUP('Service Zone Menu'!$K$5&amp;"_FORTIS_Elec_Y_2",'Misc. Data &amp; Mechanisms'!$A$55:$DY$62,8,FALSE), FALSE)</f>
        <v>3.5000000000000001E-3</v>
      </c>
      <c r="X8" s="338">
        <f t="shared" si="7"/>
        <v>5.0687448148833196</v>
      </c>
      <c r="Y8" s="333">
        <f t="shared" si="8"/>
        <v>0.16580006403823944</v>
      </c>
      <c r="Z8" s="336">
        <v>-0.56069999999999998</v>
      </c>
      <c r="AA8" s="339"/>
      <c r="AB8" s="339">
        <v>0.62760000000000005</v>
      </c>
      <c r="AC8" s="1495"/>
      <c r="AD8" s="339"/>
      <c r="AE8" s="338">
        <f t="shared" si="9"/>
        <v>-4.1196781449982014</v>
      </c>
      <c r="AF8" s="338">
        <f t="shared" si="10"/>
        <v>0</v>
      </c>
      <c r="AG8" s="338">
        <f t="shared" si="11"/>
        <v>9.7213700553112119</v>
      </c>
      <c r="AH8" s="333">
        <f t="shared" si="12"/>
        <v>0</v>
      </c>
      <c r="AI8" s="200">
        <f>IF(OR($I$2="RRO (Capped)",$I$2="RRO (Uncapped)"),VLOOKUP(A8,'Misc. Data &amp; Mechanisms'!$A$1483:$H$1574,4,FALSE),AT8)</f>
        <v>6.27</v>
      </c>
      <c r="AJ8" s="333">
        <f t="shared" ref="AJ8:AJ71" si="22">IF($AI$6="$/day", $AI8*$B8,$AI8)</f>
        <v>6.27</v>
      </c>
      <c r="AK8" s="340">
        <f>5%</f>
        <v>0.05</v>
      </c>
      <c r="AL8" s="341">
        <f>'Misc. Data &amp; Mechanisms'!AJ281</f>
        <v>652.02944975362107</v>
      </c>
      <c r="AM8" s="196">
        <f>'Misc. Data &amp; Mechanisms'!AP281</f>
        <v>583.35082458599743</v>
      </c>
      <c r="AN8" s="1087">
        <f>'Misc. Data &amp; Mechanisms'!Q281</f>
        <v>734.73838862104537</v>
      </c>
      <c r="AO8" s="1087">
        <f>'Misc. Data &amp; Mechanisms'!R281</f>
        <v>557.59859293536829</v>
      </c>
      <c r="AP8" s="1087">
        <f>'Misc. Data &amp; Mechanisms'!S281</f>
        <v>412.66006255515356</v>
      </c>
      <c r="AQ8" s="1463">
        <f>'Misc. Data &amp; Mechanisms'!$B$259</f>
        <v>611.34673880086393</v>
      </c>
      <c r="AR8" s="197">
        <f>IFERROR(IF('Personalized Bill Menu'!$B$30="Yes", IF('Personalized Bill Menu'!$B$34="Natural Gas",0,VLOOKUP($A8, 'Personalized Bill Menu'!$H$4:$L$93, 2, FALSE)), 0), 0)</f>
        <v>0</v>
      </c>
      <c r="AS8" s="1343">
        <f>IFERROR(IF('Personalized Bill Menu'!$C$36="Custom", IF('Personalized Bill Menu'!$B$34="Natural Gas",0,VLOOKUP($A8, 'Personalized Bill Menu'!$H$4:$L$93, 3, FALSE)), 0), 0)</f>
        <v>0</v>
      </c>
      <c r="AT8" s="1344">
        <f>IFERROR(IF('Personalized Bill Menu'!$C$36="Custom", IF('Personalized Bill Menu'!$B$34="Natural Gas",0,VLOOKUP($A8, 'Personalized Bill Menu'!$H$4:$L$93, 4, FALSE)), 0), 0)</f>
        <v>0</v>
      </c>
      <c r="AU8" s="335"/>
      <c r="AV8" s="335"/>
      <c r="AW8" s="335"/>
    </row>
    <row r="9" spans="1:49" ht="15" x14ac:dyDescent="0.25">
      <c r="A9" s="206">
        <v>40969</v>
      </c>
      <c r="B9" s="207">
        <f t="shared" si="0"/>
        <v>31</v>
      </c>
      <c r="C9" s="1581">
        <f t="shared" si="13"/>
        <v>706.98883513364342</v>
      </c>
      <c r="D9" s="178">
        <f t="shared" si="14"/>
        <v>17.75338131996029</v>
      </c>
      <c r="E9" s="178">
        <f t="shared" si="15"/>
        <v>13.542330921000001</v>
      </c>
      <c r="F9" s="86">
        <f t="shared" si="16"/>
        <v>125.5144237908211</v>
      </c>
      <c r="G9" s="115">
        <f t="shared" si="17"/>
        <v>55.053220591856807</v>
      </c>
      <c r="H9" s="66">
        <f t="shared" si="18"/>
        <v>14.904738622287471</v>
      </c>
      <c r="I9" s="66">
        <f t="shared" si="1"/>
        <v>32.663202228535198</v>
      </c>
      <c r="J9" s="66">
        <f t="shared" si="19"/>
        <v>5.2562574640159045</v>
      </c>
      <c r="K9" s="66">
        <f t="shared" si="20"/>
        <v>5.390127560753279</v>
      </c>
      <c r="L9" s="66">
        <f t="shared" si="21"/>
        <v>6.27</v>
      </c>
      <c r="M9" s="68">
        <f t="shared" si="2"/>
        <v>5.9768773233724337</v>
      </c>
      <c r="N9" s="273">
        <f>IF($I$2="RRO (Capped)",VLOOKUP(A9,'Misc. Data &amp; Mechanisms'!$A$1278:$E$1368,4,FALSE),IF($I$2="RRO (Uncapped)",VLOOKUP(A9,'Misc. Data &amp; Mechanisms'!$G$1278:$K$1368,4,FALSE),AS9))</f>
        <v>7.7869999999999999</v>
      </c>
      <c r="O9" s="333">
        <f t="shared" si="3"/>
        <v>55.053220591856807</v>
      </c>
      <c r="P9" s="336">
        <v>2.1082000000000001</v>
      </c>
      <c r="Q9" s="333">
        <f t="shared" si="4"/>
        <v>14.904738622287471</v>
      </c>
      <c r="R9" s="337">
        <v>1.8071999999999999</v>
      </c>
      <c r="S9" s="337">
        <v>0.64149999999999996</v>
      </c>
      <c r="T9" s="338">
        <f t="shared" si="5"/>
        <v>12.776702228535202</v>
      </c>
      <c r="U9" s="333">
        <f t="shared" si="6"/>
        <v>19.886499999999998</v>
      </c>
      <c r="V9" s="205">
        <f>VLOOKUP($A9,'Misc. Data &amp; Mechanisms'!$A$63:$DY$152,HLOOKUP('Service Zone Menu'!$K$5&amp;"_FORTIS_Elec_Y_1",'Misc. Data &amp; Mechanisms'!$A$55:$DY$62,8,FALSE), FALSE)</f>
        <v>0.107</v>
      </c>
      <c r="W9" s="205">
        <f>VLOOKUP($A9,'Misc. Data &amp; Mechanisms'!$A$63:$DY$152,HLOOKUP('Service Zone Menu'!$K$5&amp;"_FORTIS_Elec_Y_2",'Misc. Data &amp; Mechanisms'!$A$55:$DY$62,8,FALSE), FALSE)</f>
        <v>3.5000000000000001E-3</v>
      </c>
      <c r="X9" s="338">
        <f t="shared" si="7"/>
        <v>5.0897696710380256</v>
      </c>
      <c r="Y9" s="333">
        <f t="shared" si="8"/>
        <v>0.16648779297787933</v>
      </c>
      <c r="Z9" s="336">
        <v>-0.56069999999999998</v>
      </c>
      <c r="AA9" s="339"/>
      <c r="AB9" s="339">
        <v>0.62760000000000005</v>
      </c>
      <c r="AC9" s="1495"/>
      <c r="AD9" s="339"/>
      <c r="AE9" s="338">
        <f t="shared" si="9"/>
        <v>-3.9640863985943389</v>
      </c>
      <c r="AF9" s="338">
        <f t="shared" si="10"/>
        <v>0</v>
      </c>
      <c r="AG9" s="338">
        <f t="shared" si="11"/>
        <v>9.3542139593476179</v>
      </c>
      <c r="AH9" s="333">
        <f t="shared" si="12"/>
        <v>0</v>
      </c>
      <c r="AI9" s="200">
        <f>IF(OR($I$2="RRO (Capped)",$I$2="RRO (Uncapped)"),VLOOKUP(A9,'Misc. Data &amp; Mechanisms'!$A$1483:$H$1574,4,FALSE),AT9)</f>
        <v>6.27</v>
      </c>
      <c r="AJ9" s="333">
        <f t="shared" si="22"/>
        <v>6.27</v>
      </c>
      <c r="AK9" s="340">
        <f>5%</f>
        <v>0.05</v>
      </c>
      <c r="AL9" s="341">
        <f>'Misc. Data &amp; Mechanisms'!AJ282</f>
        <v>627.4036422941017</v>
      </c>
      <c r="AM9" s="196">
        <f>'Misc. Data &amp; Mechanisms'!AP282</f>
        <v>568.16792301245562</v>
      </c>
      <c r="AN9" s="1087">
        <f>'Misc. Data &amp; Mechanisms'!Q282</f>
        <v>706.98883513364342</v>
      </c>
      <c r="AO9" s="1087">
        <f>'Misc. Data &amp; Mechanisms'!R282</f>
        <v>536.53924416743473</v>
      </c>
      <c r="AP9" s="1087">
        <f>'Misc. Data &amp; Mechanisms'!S282</f>
        <v>397.07474313352878</v>
      </c>
      <c r="AQ9" s="1463">
        <f>'Misc. Data &amp; Mechanisms'!$B$259</f>
        <v>611.34673880086393</v>
      </c>
      <c r="AR9" s="197">
        <f>IFERROR(IF('Personalized Bill Menu'!$B$30="Yes", IF('Personalized Bill Menu'!$B$34="Natural Gas",0,VLOOKUP($A9, 'Personalized Bill Menu'!$H$4:$L$93, 2, FALSE)), 0), 0)</f>
        <v>0</v>
      </c>
      <c r="AS9" s="1343">
        <f>IFERROR(IF('Personalized Bill Menu'!$C$36="Custom", IF('Personalized Bill Menu'!$B$34="Natural Gas",0,VLOOKUP($A9, 'Personalized Bill Menu'!$H$4:$L$93, 3, FALSE)), 0), 0)</f>
        <v>0</v>
      </c>
      <c r="AT9" s="1344">
        <f>IFERROR(IF('Personalized Bill Menu'!$C$36="Custom", IF('Personalized Bill Menu'!$B$34="Natural Gas",0,VLOOKUP($A9, 'Personalized Bill Menu'!$H$4:$L$93, 4, FALSE)), 0), 0)</f>
        <v>0</v>
      </c>
      <c r="AU9" s="335"/>
      <c r="AV9" s="335"/>
      <c r="AW9" s="335"/>
    </row>
    <row r="10" spans="1:49" ht="15" x14ac:dyDescent="0.25">
      <c r="A10" s="206">
        <v>41000</v>
      </c>
      <c r="B10" s="207">
        <f t="shared" si="0"/>
        <v>30</v>
      </c>
      <c r="C10" s="1581">
        <f t="shared" si="13"/>
        <v>635.57352097977287</v>
      </c>
      <c r="D10" s="178">
        <f t="shared" si="14"/>
        <v>17.36229587302816</v>
      </c>
      <c r="E10" s="178">
        <f t="shared" si="15"/>
        <v>12.807330921</v>
      </c>
      <c r="F10" s="86">
        <f t="shared" si="16"/>
        <v>110.35015520313087</v>
      </c>
      <c r="G10" s="115">
        <f t="shared" si="17"/>
        <v>45.043095431836505</v>
      </c>
      <c r="H10" s="66">
        <f t="shared" si="18"/>
        <v>13.399160969295572</v>
      </c>
      <c r="I10" s="66">
        <f t="shared" si="1"/>
        <v>30.731084671146451</v>
      </c>
      <c r="J10" s="66">
        <f t="shared" si="19"/>
        <v>4.876392143268844</v>
      </c>
      <c r="K10" s="66">
        <f t="shared" si="20"/>
        <v>4.8456526921963157</v>
      </c>
      <c r="L10" s="66">
        <f t="shared" si="21"/>
        <v>6.2</v>
      </c>
      <c r="M10" s="68">
        <f t="shared" si="2"/>
        <v>5.2547692953871845</v>
      </c>
      <c r="N10" s="273">
        <f>IF($I$2="RRO (Capped)",VLOOKUP(A10,'Misc. Data &amp; Mechanisms'!$A$1278:$E$1368,4,FALSE),IF($I$2="RRO (Uncapped)",VLOOKUP(A10,'Misc. Data &amp; Mechanisms'!$G$1278:$K$1368,4,FALSE),AS10))</f>
        <v>7.0869999999999997</v>
      </c>
      <c r="O10" s="333">
        <f t="shared" si="3"/>
        <v>45.043095431836505</v>
      </c>
      <c r="P10" s="336">
        <v>2.1082000000000001</v>
      </c>
      <c r="Q10" s="333">
        <f t="shared" si="4"/>
        <v>13.399160969295572</v>
      </c>
      <c r="R10" s="337">
        <v>1.8071999999999999</v>
      </c>
      <c r="S10" s="337">
        <v>0.64149999999999996</v>
      </c>
      <c r="T10" s="338">
        <f t="shared" si="5"/>
        <v>11.486084671146454</v>
      </c>
      <c r="U10" s="333">
        <f t="shared" si="6"/>
        <v>19.244999999999997</v>
      </c>
      <c r="V10" s="205">
        <f>VLOOKUP($A10,'Misc. Data &amp; Mechanisms'!$A$63:$DY$152,HLOOKUP('Service Zone Menu'!$K$5&amp;"_FORTIS_Elec_Y_1",'Misc. Data &amp; Mechanisms'!$A$55:$DY$62,8,FALSE), FALSE)</f>
        <v>0.107</v>
      </c>
      <c r="W10" s="205">
        <f>VLOOKUP($A10,'Misc. Data &amp; Mechanisms'!$A$63:$DY$152,HLOOKUP('Service Zone Menu'!$K$5&amp;"_FORTIS_Elec_Y_2",'Misc. Data &amp; Mechanisms'!$A$55:$DY$62,8,FALSE), FALSE)</f>
        <v>3.5000000000000001E-3</v>
      </c>
      <c r="X10" s="338">
        <f t="shared" si="7"/>
        <v>4.7219362835272971</v>
      </c>
      <c r="Y10" s="333">
        <f t="shared" si="8"/>
        <v>0.1544558597415471</v>
      </c>
      <c r="Z10" s="336">
        <v>-0.56069999999999998</v>
      </c>
      <c r="AA10" s="339"/>
      <c r="AB10" s="339">
        <v>0.62760000000000005</v>
      </c>
      <c r="AC10" s="1495"/>
      <c r="AD10" s="339"/>
      <c r="AE10" s="338">
        <f t="shared" si="9"/>
        <v>-3.5636607321335863</v>
      </c>
      <c r="AF10" s="338">
        <f t="shared" si="10"/>
        <v>0</v>
      </c>
      <c r="AG10" s="338">
        <f t="shared" si="11"/>
        <v>8.4093134243299019</v>
      </c>
      <c r="AH10" s="333">
        <f t="shared" si="12"/>
        <v>0</v>
      </c>
      <c r="AI10" s="200">
        <f>IF(OR($I$2="RRO (Capped)",$I$2="RRO (Uncapped)"),VLOOKUP(A10,'Misc. Data &amp; Mechanisms'!$A$1483:$H$1574,4,FALSE),AT10)</f>
        <v>6.2</v>
      </c>
      <c r="AJ10" s="333">
        <f t="shared" si="22"/>
        <v>6.2</v>
      </c>
      <c r="AK10" s="340">
        <f>5%</f>
        <v>0.05</v>
      </c>
      <c r="AL10" s="341">
        <f>'Misc. Data &amp; Mechanisms'!AJ283</f>
        <v>564.02749547383951</v>
      </c>
      <c r="AM10" s="196">
        <f>'Misc. Data &amp; Mechanisms'!AP283</f>
        <v>506.34972670588797</v>
      </c>
      <c r="AN10" s="1087">
        <f>'Misc. Data &amp; Mechanisms'!Q283</f>
        <v>635.57352097977287</v>
      </c>
      <c r="AO10" s="1087">
        <f>'Misc. Data &amp; Mechanisms'!R283</f>
        <v>482.34161504808026</v>
      </c>
      <c r="AP10" s="1087">
        <f>'Misc. Data &amp; Mechanisms'!S283</f>
        <v>356.96489116098945</v>
      </c>
      <c r="AQ10" s="1463">
        <f>'Misc. Data &amp; Mechanisms'!$B$259</f>
        <v>611.34673880086393</v>
      </c>
      <c r="AR10" s="197">
        <f>IFERROR(IF('Personalized Bill Menu'!$B$30="Yes", IF('Personalized Bill Menu'!$B$34="Natural Gas",0,VLOOKUP($A10, 'Personalized Bill Menu'!$H$4:$L$93, 2, FALSE)), 0), 0)</f>
        <v>0</v>
      </c>
      <c r="AS10" s="1343">
        <f>IFERROR(IF('Personalized Bill Menu'!$C$36="Custom", IF('Personalized Bill Menu'!$B$34="Natural Gas",0,VLOOKUP($A10, 'Personalized Bill Menu'!$H$4:$L$93, 3, FALSE)), 0), 0)</f>
        <v>0</v>
      </c>
      <c r="AT10" s="1344">
        <f>IFERROR(IF('Personalized Bill Menu'!$C$36="Custom", IF('Personalized Bill Menu'!$B$34="Natural Gas",0,VLOOKUP($A10, 'Personalized Bill Menu'!$H$4:$L$93, 4, FALSE)), 0), 0)</f>
        <v>0</v>
      </c>
      <c r="AU10" s="335"/>
      <c r="AV10" s="335"/>
      <c r="AW10" s="335"/>
    </row>
    <row r="11" spans="1:49" ht="15" x14ac:dyDescent="0.25">
      <c r="A11" s="206">
        <v>41030</v>
      </c>
      <c r="B11" s="207">
        <f t="shared" si="0"/>
        <v>31</v>
      </c>
      <c r="C11" s="1581">
        <f t="shared" si="13"/>
        <v>603.80554295193861</v>
      </c>
      <c r="D11" s="178">
        <f t="shared" si="14"/>
        <v>16.801827696850882</v>
      </c>
      <c r="E11" s="178">
        <f t="shared" si="15"/>
        <v>11.883330921000001</v>
      </c>
      <c r="F11" s="86">
        <f t="shared" si="16"/>
        <v>101.45036695081966</v>
      </c>
      <c r="G11" s="115">
        <f t="shared" si="17"/>
        <v>37.478210051026828</v>
      </c>
      <c r="H11" s="66">
        <f t="shared" si="18"/>
        <v>12.729428456512769</v>
      </c>
      <c r="I11" s="66">
        <f t="shared" si="1"/>
        <v>30.798473772227432</v>
      </c>
      <c r="J11" s="66">
        <f t="shared" si="19"/>
        <v>4.8098331962757923</v>
      </c>
      <c r="K11" s="66">
        <f t="shared" si="20"/>
        <v>4.6034516199758944</v>
      </c>
      <c r="L11" s="66">
        <f t="shared" si="21"/>
        <v>6.2</v>
      </c>
      <c r="M11" s="68">
        <f t="shared" si="2"/>
        <v>4.8309698548009363</v>
      </c>
      <c r="N11" s="273">
        <f>IF($I$2="RRO (Capped)",VLOOKUP(A11,'Misc. Data &amp; Mechanisms'!$A$1278:$E$1368,4,FALSE),IF($I$2="RRO (Uncapped)",VLOOKUP(A11,'Misc. Data &amp; Mechanisms'!$G$1278:$K$1368,4,FALSE),AS11))</f>
        <v>6.2069999999999999</v>
      </c>
      <c r="O11" s="333">
        <f t="shared" si="3"/>
        <v>37.478210051026828</v>
      </c>
      <c r="P11" s="336">
        <v>2.1082000000000001</v>
      </c>
      <c r="Q11" s="333">
        <f t="shared" si="4"/>
        <v>12.729428456512769</v>
      </c>
      <c r="R11" s="337">
        <v>1.8071999999999999</v>
      </c>
      <c r="S11" s="337">
        <v>0.64149999999999996</v>
      </c>
      <c r="T11" s="338">
        <f t="shared" si="5"/>
        <v>10.911973772227434</v>
      </c>
      <c r="U11" s="333">
        <f t="shared" si="6"/>
        <v>19.886499999999998</v>
      </c>
      <c r="V11" s="205">
        <f>VLOOKUP($A11,'Misc. Data &amp; Mechanisms'!$A$63:$DY$152,HLOOKUP('Service Zone Menu'!$K$5&amp;"_FORTIS_Elec_Y_1",'Misc. Data &amp; Mechanisms'!$A$55:$DY$62,8,FALSE), FALSE)</f>
        <v>0.107</v>
      </c>
      <c r="W11" s="205">
        <f>VLOOKUP($A11,'Misc. Data &amp; Mechanisms'!$A$63:$DY$152,HLOOKUP('Service Zone Menu'!$K$5&amp;"_FORTIS_Elec_Y_2",'Misc. Data &amp; Mechanisms'!$A$55:$DY$62,8,FALSE), FALSE)</f>
        <v>3.5000000000000001E-3</v>
      </c>
      <c r="X11" s="338">
        <f t="shared" si="7"/>
        <v>4.6574855384752016</v>
      </c>
      <c r="Y11" s="333">
        <f t="shared" si="8"/>
        <v>0.1523476578005907</v>
      </c>
      <c r="Z11" s="336">
        <v>-0.56069999999999998</v>
      </c>
      <c r="AA11" s="339"/>
      <c r="AB11" s="339">
        <v>0.62760000000000005</v>
      </c>
      <c r="AC11" s="1495"/>
      <c r="AD11" s="339"/>
      <c r="AE11" s="338">
        <f t="shared" si="9"/>
        <v>-3.3855376793315197</v>
      </c>
      <c r="AF11" s="338">
        <f t="shared" si="10"/>
        <v>0</v>
      </c>
      <c r="AG11" s="338">
        <f t="shared" si="11"/>
        <v>7.9889892993074145</v>
      </c>
      <c r="AH11" s="333">
        <f t="shared" si="12"/>
        <v>0</v>
      </c>
      <c r="AI11" s="200">
        <f>IF(OR($I$2="RRO (Capped)",$I$2="RRO (Uncapped)"),VLOOKUP(A11,'Misc. Data &amp; Mechanisms'!$A$1483:$H$1574,4,FALSE),AT11)</f>
        <v>6.2</v>
      </c>
      <c r="AJ11" s="333">
        <f t="shared" si="22"/>
        <v>6.2</v>
      </c>
      <c r="AK11" s="340">
        <f>5%</f>
        <v>0.05</v>
      </c>
      <c r="AL11" s="341">
        <f>'Misc. Data &amp; Mechanisms'!AJ284</f>
        <v>535.83561445323676</v>
      </c>
      <c r="AM11" s="196">
        <f>'Misc. Data &amp; Mechanisms'!AP284</f>
        <v>487.31009480207774</v>
      </c>
      <c r="AN11" s="1087">
        <f>'Misc. Data &amp; Mechanisms'!Q284</f>
        <v>603.80554295193861</v>
      </c>
      <c r="AO11" s="1087">
        <f>'Misc. Data &amp; Mechanisms'!R284</f>
        <v>458.2326531059021</v>
      </c>
      <c r="AP11" s="1087">
        <f>'Misc. Data &amp; Mechanisms'!S284</f>
        <v>339.12265506274986</v>
      </c>
      <c r="AQ11" s="1463">
        <f>'Misc. Data &amp; Mechanisms'!$B$259</f>
        <v>611.34673880086393</v>
      </c>
      <c r="AR11" s="197">
        <f>IFERROR(IF('Personalized Bill Menu'!$B$30="Yes", IF('Personalized Bill Menu'!$B$34="Natural Gas",0,VLOOKUP($A11, 'Personalized Bill Menu'!$H$4:$L$93, 2, FALSE)), 0), 0)</f>
        <v>0</v>
      </c>
      <c r="AS11" s="1343">
        <f>IFERROR(IF('Personalized Bill Menu'!$C$36="Custom", IF('Personalized Bill Menu'!$B$34="Natural Gas",0,VLOOKUP($A11, 'Personalized Bill Menu'!$H$4:$L$93, 3, FALSE)), 0), 0)</f>
        <v>0</v>
      </c>
      <c r="AT11" s="1344">
        <f>IFERROR(IF('Personalized Bill Menu'!$C$36="Custom", IF('Personalized Bill Menu'!$B$34="Natural Gas",0,VLOOKUP($A11, 'Personalized Bill Menu'!$H$4:$L$93, 4, FALSE)), 0), 0)</f>
        <v>0</v>
      </c>
      <c r="AU11" s="335"/>
      <c r="AV11" s="335"/>
      <c r="AW11" s="335"/>
    </row>
    <row r="12" spans="1:49" ht="15" x14ac:dyDescent="0.25">
      <c r="A12" s="206">
        <v>41061</v>
      </c>
      <c r="B12" s="207">
        <f t="shared" si="0"/>
        <v>30</v>
      </c>
      <c r="C12" s="1581">
        <f t="shared" si="13"/>
        <v>586.81815650836188</v>
      </c>
      <c r="D12" s="178">
        <f t="shared" si="14"/>
        <v>18.300391859962229</v>
      </c>
      <c r="E12" s="178">
        <f t="shared" si="15"/>
        <v>13.366980921000001</v>
      </c>
      <c r="F12" s="86">
        <f t="shared" si="16"/>
        <v>107.39002214643668</v>
      </c>
      <c r="G12" s="115">
        <f t="shared" si="17"/>
        <v>44.715543525937179</v>
      </c>
      <c r="H12" s="66">
        <f t="shared" si="18"/>
        <v>12.371300375509286</v>
      </c>
      <c r="I12" s="66">
        <f t="shared" si="1"/>
        <v>29.849977724419112</v>
      </c>
      <c r="J12" s="66">
        <f t="shared" si="19"/>
        <v>4.6654512300420885</v>
      </c>
      <c r="K12" s="66">
        <f t="shared" si="20"/>
        <v>4.4739387121272438</v>
      </c>
      <c r="L12" s="66">
        <f t="shared" si="21"/>
        <v>6.2</v>
      </c>
      <c r="M12" s="68">
        <f t="shared" si="2"/>
        <v>5.1138105784017469</v>
      </c>
      <c r="N12" s="273">
        <f>IF($I$2="RRO (Capped)",VLOOKUP(A12,'Misc. Data &amp; Mechanisms'!$A$1278:$E$1368,4,FALSE),IF($I$2="RRO (Uncapped)",VLOOKUP(A12,'Misc. Data &amp; Mechanisms'!$G$1278:$K$1368,4,FALSE),AS12))</f>
        <v>7.62</v>
      </c>
      <c r="O12" s="333">
        <f t="shared" si="3"/>
        <v>44.715543525937179</v>
      </c>
      <c r="P12" s="336">
        <v>2.1082000000000001</v>
      </c>
      <c r="Q12" s="333">
        <f t="shared" si="4"/>
        <v>12.371300375509286</v>
      </c>
      <c r="R12" s="337">
        <v>1.8071999999999999</v>
      </c>
      <c r="S12" s="337">
        <v>0.64149999999999996</v>
      </c>
      <c r="T12" s="338">
        <f t="shared" si="5"/>
        <v>10.604977724419115</v>
      </c>
      <c r="U12" s="333">
        <f t="shared" si="6"/>
        <v>19.244999999999997</v>
      </c>
      <c r="V12" s="205">
        <f>VLOOKUP($A12,'Misc. Data &amp; Mechanisms'!$A$63:$DY$152,HLOOKUP('Service Zone Menu'!$K$5&amp;"_FORTIS_Elec_Y_1",'Misc. Data &amp; Mechanisms'!$A$55:$DY$62,8,FALSE), FALSE)</f>
        <v>0.107</v>
      </c>
      <c r="W12" s="205">
        <f>VLOOKUP($A12,'Misc. Data &amp; Mechanisms'!$A$63:$DY$152,HLOOKUP('Service Zone Menu'!$K$5&amp;"_FORTIS_Elec_Y_2",'Misc. Data &amp; Mechanisms'!$A$55:$DY$62,8,FALSE), FALSE)</f>
        <v>3.5000000000000001E-3</v>
      </c>
      <c r="X12" s="338">
        <f t="shared" si="7"/>
        <v>4.5176767566923388</v>
      </c>
      <c r="Y12" s="333">
        <f t="shared" si="8"/>
        <v>0.14777447334974939</v>
      </c>
      <c r="Z12" s="336">
        <v>-0.56069999999999998</v>
      </c>
      <c r="AA12" s="339"/>
      <c r="AB12" s="339">
        <v>0.62760000000000005</v>
      </c>
      <c r="AC12" s="1495"/>
      <c r="AD12" s="339"/>
      <c r="AE12" s="338">
        <f t="shared" si="9"/>
        <v>-3.2902894035423849</v>
      </c>
      <c r="AF12" s="338">
        <f t="shared" si="10"/>
        <v>0</v>
      </c>
      <c r="AG12" s="338">
        <f t="shared" si="11"/>
        <v>7.7642281156696287</v>
      </c>
      <c r="AH12" s="333">
        <f t="shared" si="12"/>
        <v>0</v>
      </c>
      <c r="AI12" s="200">
        <f>IF(OR($I$2="RRO (Capped)",$I$2="RRO (Uncapped)"),VLOOKUP(A12,'Misc. Data &amp; Mechanisms'!$A$1483:$H$1574,4,FALSE),AT12)</f>
        <v>6.2</v>
      </c>
      <c r="AJ12" s="333">
        <f t="shared" si="22"/>
        <v>6.2</v>
      </c>
      <c r="AK12" s="340">
        <f>5%</f>
        <v>0.05</v>
      </c>
      <c r="AL12" s="341">
        <f>'Misc. Data &amp; Mechanisms'!AJ285</f>
        <v>520.76048511863735</v>
      </c>
      <c r="AM12" s="196">
        <f>'Misc. Data &amp; Mechanisms'!AP285</f>
        <v>466.44653969695224</v>
      </c>
      <c r="AN12" s="1087">
        <f>'Misc. Data &amp; Mechanisms'!Q285</f>
        <v>586.81815650836188</v>
      </c>
      <c r="AO12" s="1087">
        <f>'Misc. Data &amp; Mechanisms'!R285</f>
        <v>445.34079537084489</v>
      </c>
      <c r="AP12" s="1087">
        <f>'Misc. Data &amp; Mechanisms'!S285</f>
        <v>329.58182248748273</v>
      </c>
      <c r="AQ12" s="1463">
        <f>'Misc. Data &amp; Mechanisms'!$B$259</f>
        <v>611.34673880086393</v>
      </c>
      <c r="AR12" s="197">
        <f>IFERROR(IF('Personalized Bill Menu'!$B$30="Yes", IF('Personalized Bill Menu'!$B$34="Natural Gas",0,VLOOKUP($A12, 'Personalized Bill Menu'!$H$4:$L$93, 2, FALSE)), 0), 0)</f>
        <v>0</v>
      </c>
      <c r="AS12" s="1343">
        <f>IFERROR(IF('Personalized Bill Menu'!$C$36="Custom", IF('Personalized Bill Menu'!$B$34="Natural Gas",0,VLOOKUP($A12, 'Personalized Bill Menu'!$H$4:$L$93, 3, FALSE)), 0), 0)</f>
        <v>0</v>
      </c>
      <c r="AT12" s="1344">
        <f>IFERROR(IF('Personalized Bill Menu'!$C$36="Custom", IF('Personalized Bill Menu'!$B$34="Natural Gas",0,VLOOKUP($A12, 'Personalized Bill Menu'!$H$4:$L$93, 4, FALSE)), 0), 0)</f>
        <v>0</v>
      </c>
      <c r="AU12" s="335"/>
      <c r="AV12" s="335"/>
      <c r="AW12" s="335"/>
    </row>
    <row r="13" spans="1:49" ht="15" x14ac:dyDescent="0.25">
      <c r="A13" s="206">
        <v>41091</v>
      </c>
      <c r="B13" s="207">
        <f t="shared" si="0"/>
        <v>31</v>
      </c>
      <c r="C13" s="1581">
        <f t="shared" si="13"/>
        <v>671.75972282095006</v>
      </c>
      <c r="D13" s="178">
        <f t="shared" si="14"/>
        <v>19.008665152111945</v>
      </c>
      <c r="E13" s="178">
        <f t="shared" si="15"/>
        <v>14.591836665000001</v>
      </c>
      <c r="F13" s="86">
        <f t="shared" si="16"/>
        <v>127.69255633778974</v>
      </c>
      <c r="G13" s="115">
        <f t="shared" si="17"/>
        <v>58.940198080310147</v>
      </c>
      <c r="H13" s="66">
        <f t="shared" si="18"/>
        <v>14.162038476511269</v>
      </c>
      <c r="I13" s="66">
        <f t="shared" si="1"/>
        <v>32.026541710820204</v>
      </c>
      <c r="J13" s="66">
        <f t="shared" si="19"/>
        <v>5.2516415672995889</v>
      </c>
      <c r="K13" s="66">
        <f t="shared" si="20"/>
        <v>5.1215385820014054</v>
      </c>
      <c r="L13" s="66">
        <f t="shared" si="21"/>
        <v>6.11</v>
      </c>
      <c r="M13" s="68">
        <f t="shared" si="2"/>
        <v>6.080597920847131</v>
      </c>
      <c r="N13" s="273">
        <f>IF($I$2="RRO (Capped)",VLOOKUP(A13,'Misc. Data &amp; Mechanisms'!$A$1278:$E$1368,4,FALSE),IF($I$2="RRO (Uncapped)",VLOOKUP(A13,'Misc. Data &amp; Mechanisms'!$G$1278:$K$1368,4,FALSE),AS13))</f>
        <v>8.7739999999999991</v>
      </c>
      <c r="O13" s="333">
        <f t="shared" si="3"/>
        <v>58.940198080310147</v>
      </c>
      <c r="P13" s="336">
        <v>2.1082000000000001</v>
      </c>
      <c r="Q13" s="333">
        <f t="shared" si="4"/>
        <v>14.162038476511269</v>
      </c>
      <c r="R13" s="337">
        <v>1.8071999999999999</v>
      </c>
      <c r="S13" s="337">
        <v>0.64149999999999996</v>
      </c>
      <c r="T13" s="338">
        <f t="shared" si="5"/>
        <v>12.140041710820208</v>
      </c>
      <c r="U13" s="333">
        <f t="shared" si="6"/>
        <v>19.886499999999998</v>
      </c>
      <c r="V13" s="205">
        <f>VLOOKUP($A13,'Misc. Data &amp; Mechanisms'!$A$63:$DY$152,HLOOKUP('Service Zone Menu'!$K$5&amp;"_FORTIS_Elec_Y_1",'Misc. Data &amp; Mechanisms'!$A$55:$DY$62,8,FALSE), FALSE)</f>
        <v>0.107</v>
      </c>
      <c r="W13" s="205">
        <f>VLOOKUP($A13,'Misc. Data &amp; Mechanisms'!$A$63:$DY$152,HLOOKUP('Service Zone Menu'!$K$5&amp;"_FORTIS_Elec_Y_2",'Misc. Data &amp; Mechanisms'!$A$55:$DY$62,8,FALSE), FALSE)</f>
        <v>6.7000000000000002E-3</v>
      </c>
      <c r="X13" s="338">
        <f t="shared" si="7"/>
        <v>4.9421780800444681</v>
      </c>
      <c r="Y13" s="333">
        <f t="shared" si="8"/>
        <v>0.30946348725512091</v>
      </c>
      <c r="Z13" s="336">
        <v>-0.56069999999999998</v>
      </c>
      <c r="AA13" s="339"/>
      <c r="AB13" s="339">
        <v>0.62760000000000005</v>
      </c>
      <c r="AC13" s="1495"/>
      <c r="AD13" s="339"/>
      <c r="AE13" s="338">
        <f t="shared" si="9"/>
        <v>-3.7665567658570671</v>
      </c>
      <c r="AF13" s="338">
        <f t="shared" si="10"/>
        <v>0</v>
      </c>
      <c r="AG13" s="338">
        <f t="shared" si="11"/>
        <v>8.8880953478584726</v>
      </c>
      <c r="AH13" s="333">
        <f t="shared" si="12"/>
        <v>0</v>
      </c>
      <c r="AI13" s="200">
        <f>IF(OR($I$2="RRO (Capped)",$I$2="RRO (Uncapped)"),VLOOKUP(A13,'Misc. Data &amp; Mechanisms'!$A$1483:$H$1574,4,FALSE),AT13)</f>
        <v>6.11</v>
      </c>
      <c r="AJ13" s="333">
        <f t="shared" si="22"/>
        <v>6.11</v>
      </c>
      <c r="AK13" s="340">
        <f>5%</f>
        <v>0.05</v>
      </c>
      <c r="AL13" s="341">
        <f>'Misc. Data &amp; Mechanisms'!AJ286</f>
        <v>596.14024422983994</v>
      </c>
      <c r="AM13" s="196">
        <f>'Misc. Data &amp; Mechanisms'!AP286</f>
        <v>525.04940993829064</v>
      </c>
      <c r="AN13" s="1087">
        <f>'Misc. Data &amp; Mechanisms'!Q286</f>
        <v>671.75972282095006</v>
      </c>
      <c r="AO13" s="1087">
        <f>'Misc. Data &amp; Mechanisms'!R286</f>
        <v>509.80360089611042</v>
      </c>
      <c r="AP13" s="1087">
        <f>'Misc. Data &amp; Mechanisms'!S286</f>
        <v>377.28858806682155</v>
      </c>
      <c r="AQ13" s="1463">
        <f>'Misc. Data &amp; Mechanisms'!$B$259</f>
        <v>611.34673880086393</v>
      </c>
      <c r="AR13" s="197">
        <f>IFERROR(IF('Personalized Bill Menu'!$B$30="Yes", IF('Personalized Bill Menu'!$B$34="Natural Gas",0,VLOOKUP($A13, 'Personalized Bill Menu'!$H$4:$L$93, 2, FALSE)), 0), 0)</f>
        <v>0</v>
      </c>
      <c r="AS13" s="1343">
        <f>IFERROR(IF('Personalized Bill Menu'!$C$36="Custom", IF('Personalized Bill Menu'!$B$34="Natural Gas",0,VLOOKUP($A13, 'Personalized Bill Menu'!$H$4:$L$93, 3, FALSE)), 0), 0)</f>
        <v>0</v>
      </c>
      <c r="AT13" s="1344">
        <f>IFERROR(IF('Personalized Bill Menu'!$C$36="Custom", IF('Personalized Bill Menu'!$B$34="Natural Gas",0,VLOOKUP($A13, 'Personalized Bill Menu'!$H$4:$L$93, 4, FALSE)), 0), 0)</f>
        <v>0</v>
      </c>
      <c r="AU13" s="335"/>
      <c r="AV13" s="335"/>
      <c r="AW13" s="335"/>
    </row>
    <row r="14" spans="1:49" ht="15" x14ac:dyDescent="0.25">
      <c r="A14" s="206">
        <v>41122</v>
      </c>
      <c r="B14" s="207">
        <f t="shared" si="0"/>
        <v>31</v>
      </c>
      <c r="C14" s="1581">
        <f t="shared" si="13"/>
        <v>651.92605317076288</v>
      </c>
      <c r="D14" s="178">
        <f t="shared" si="14"/>
        <v>21.697689160772669</v>
      </c>
      <c r="E14" s="178">
        <f t="shared" si="15"/>
        <v>17.146486665000001</v>
      </c>
      <c r="F14" s="86">
        <f t="shared" si="16"/>
        <v>141.45288857508567</v>
      </c>
      <c r="G14" s="115">
        <f t="shared" si="17"/>
        <v>73.061352778847393</v>
      </c>
      <c r="H14" s="66">
        <f t="shared" si="18"/>
        <v>13.743905052946022</v>
      </c>
      <c r="I14" s="66">
        <f t="shared" si="1"/>
        <v>31.668107632902021</v>
      </c>
      <c r="J14" s="66">
        <f t="shared" si="19"/>
        <v>5.163345842380922</v>
      </c>
      <c r="K14" s="66">
        <f t="shared" si="20"/>
        <v>4.9703254311004565</v>
      </c>
      <c r="L14" s="66">
        <f t="shared" si="21"/>
        <v>6.11</v>
      </c>
      <c r="M14" s="68">
        <f t="shared" si="2"/>
        <v>6.735851836908842</v>
      </c>
      <c r="N14" s="273">
        <f>IF($I$2="RRO (Capped)",VLOOKUP(A14,'Misc. Data &amp; Mechanisms'!$A$1278:$E$1368,4,FALSE),IF($I$2="RRO (Uncapped)",VLOOKUP(A14,'Misc. Data &amp; Mechanisms'!$G$1278:$K$1368,4,FALSE),AS14))</f>
        <v>11.207000000000001</v>
      </c>
      <c r="O14" s="333">
        <f t="shared" si="3"/>
        <v>73.061352778847393</v>
      </c>
      <c r="P14" s="336">
        <v>2.1082000000000001</v>
      </c>
      <c r="Q14" s="333">
        <f t="shared" si="4"/>
        <v>13.743905052946022</v>
      </c>
      <c r="R14" s="337">
        <v>1.8071999999999999</v>
      </c>
      <c r="S14" s="337">
        <v>0.64149999999999996</v>
      </c>
      <c r="T14" s="338">
        <f t="shared" si="5"/>
        <v>11.781607632902025</v>
      </c>
      <c r="U14" s="333">
        <f t="shared" si="6"/>
        <v>19.886499999999998</v>
      </c>
      <c r="V14" s="205">
        <f>VLOOKUP($A14,'Misc. Data &amp; Mechanisms'!$A$63:$DY$152,HLOOKUP('Service Zone Menu'!$K$5&amp;"_FORTIS_Elec_Y_1",'Misc. Data &amp; Mechanisms'!$A$55:$DY$62,8,FALSE), FALSE)</f>
        <v>0.107</v>
      </c>
      <c r="W14" s="205">
        <f>VLOOKUP($A14,'Misc. Data &amp; Mechanisms'!$A$63:$DY$152,HLOOKUP('Service Zone Menu'!$K$5&amp;"_FORTIS_Elec_Y_2",'Misc. Data &amp; Mechanisms'!$A$55:$DY$62,8,FALSE), FALSE)</f>
        <v>6.7000000000000002E-3</v>
      </c>
      <c r="X14" s="338">
        <f t="shared" si="7"/>
        <v>4.85908535738574</v>
      </c>
      <c r="Y14" s="333">
        <f t="shared" si="8"/>
        <v>0.30426048499518188</v>
      </c>
      <c r="Z14" s="336">
        <v>-0.56069999999999998</v>
      </c>
      <c r="AA14" s="339"/>
      <c r="AB14" s="339">
        <v>0.62760000000000005</v>
      </c>
      <c r="AC14" s="1495"/>
      <c r="AD14" s="339"/>
      <c r="AE14" s="338">
        <f t="shared" si="9"/>
        <v>-3.6553493801284676</v>
      </c>
      <c r="AF14" s="338">
        <f t="shared" si="10"/>
        <v>0</v>
      </c>
      <c r="AG14" s="338">
        <f t="shared" si="11"/>
        <v>8.6256748112289241</v>
      </c>
      <c r="AH14" s="333">
        <f t="shared" si="12"/>
        <v>0</v>
      </c>
      <c r="AI14" s="200">
        <f>IF(OR($I$2="RRO (Capped)",$I$2="RRO (Uncapped)"),VLOOKUP(A14,'Misc. Data &amp; Mechanisms'!$A$1483:$H$1574,4,FALSE),AT14)</f>
        <v>6.11</v>
      </c>
      <c r="AJ14" s="333">
        <f t="shared" si="22"/>
        <v>6.11</v>
      </c>
      <c r="AK14" s="340">
        <f>5%</f>
        <v>0.05</v>
      </c>
      <c r="AL14" s="341">
        <f>'Misc. Data &amp; Mechanisms'!AJ287</f>
        <v>578.53923561386489</v>
      </c>
      <c r="AM14" s="196">
        <f>'Misc. Data &amp; Mechanisms'!AP287</f>
        <v>510.98777443754619</v>
      </c>
      <c r="AN14" s="1087">
        <f>'Misc. Data &amp; Mechanisms'!Q287</f>
        <v>651.92605317076288</v>
      </c>
      <c r="AO14" s="1087">
        <f>'Misc. Data &amp; Mechanisms'!R287</f>
        <v>494.75167702638419</v>
      </c>
      <c r="AP14" s="1087">
        <f>'Misc. Data &amp; Mechanisms'!S287</f>
        <v>366.14916281655627</v>
      </c>
      <c r="AQ14" s="1463">
        <f>'Misc. Data &amp; Mechanisms'!$B$259</f>
        <v>611.34673880086393</v>
      </c>
      <c r="AR14" s="197">
        <f>IFERROR(IF('Personalized Bill Menu'!$B$30="Yes", IF('Personalized Bill Menu'!$B$34="Natural Gas",0,VLOOKUP($A14, 'Personalized Bill Menu'!$H$4:$L$93, 2, FALSE)), 0), 0)</f>
        <v>0</v>
      </c>
      <c r="AS14" s="1343">
        <f>IFERROR(IF('Personalized Bill Menu'!$C$36="Custom", IF('Personalized Bill Menu'!$B$34="Natural Gas",0,VLOOKUP($A14, 'Personalized Bill Menu'!$H$4:$L$93, 3, FALSE)), 0), 0)</f>
        <v>0</v>
      </c>
      <c r="AT14" s="1344">
        <f>IFERROR(IF('Personalized Bill Menu'!$C$36="Custom", IF('Personalized Bill Menu'!$B$34="Natural Gas",0,VLOOKUP($A14, 'Personalized Bill Menu'!$H$4:$L$93, 4, FALSE)), 0), 0)</f>
        <v>0</v>
      </c>
      <c r="AU14" s="335"/>
      <c r="AV14" s="335"/>
      <c r="AW14" s="335"/>
    </row>
    <row r="15" spans="1:49" ht="15" x14ac:dyDescent="0.25">
      <c r="A15" s="206">
        <v>41153</v>
      </c>
      <c r="B15" s="207">
        <f t="shared" si="0"/>
        <v>30</v>
      </c>
      <c r="C15" s="1581">
        <f t="shared" si="13"/>
        <v>595.38817045773692</v>
      </c>
      <c r="D15" s="178">
        <f t="shared" si="14"/>
        <v>20.780624795967725</v>
      </c>
      <c r="E15" s="178">
        <f t="shared" si="15"/>
        <v>15.923236665000001</v>
      </c>
      <c r="F15" s="86">
        <f t="shared" si="16"/>
        <v>123.72538178239905</v>
      </c>
      <c r="G15" s="115">
        <f t="shared" si="17"/>
        <v>59.788880077365938</v>
      </c>
      <c r="H15" s="66">
        <f t="shared" si="18"/>
        <v>12.55197340959001</v>
      </c>
      <c r="I15" s="66">
        <f t="shared" si="1"/>
        <v>30.004855016512217</v>
      </c>
      <c r="J15" s="66">
        <f t="shared" si="19"/>
        <v>4.8387113920478226</v>
      </c>
      <c r="K15" s="66">
        <f t="shared" si="20"/>
        <v>4.53927704010216</v>
      </c>
      <c r="L15" s="66">
        <f t="shared" si="21"/>
        <v>6.11</v>
      </c>
      <c r="M15" s="68">
        <f t="shared" si="2"/>
        <v>5.8916848467809082</v>
      </c>
      <c r="N15" s="273">
        <f>IF($I$2="RRO (Capped)",VLOOKUP(A15,'Misc. Data &amp; Mechanisms'!$A$1278:$E$1368,4,FALSE),IF($I$2="RRO (Uncapped)",VLOOKUP(A15,'Misc. Data &amp; Mechanisms'!$G$1278:$K$1368,4,FALSE),AS15))</f>
        <v>10.042</v>
      </c>
      <c r="O15" s="333">
        <f t="shared" si="3"/>
        <v>59.788880077365938</v>
      </c>
      <c r="P15" s="336">
        <v>2.1082000000000001</v>
      </c>
      <c r="Q15" s="333">
        <f t="shared" si="4"/>
        <v>12.55197340959001</v>
      </c>
      <c r="R15" s="337">
        <v>1.8071999999999999</v>
      </c>
      <c r="S15" s="337">
        <v>0.64149999999999996</v>
      </c>
      <c r="T15" s="338">
        <f t="shared" si="5"/>
        <v>10.759855016512221</v>
      </c>
      <c r="U15" s="333">
        <f t="shared" si="6"/>
        <v>19.244999999999997</v>
      </c>
      <c r="V15" s="205">
        <f>VLOOKUP($A15,'Misc. Data &amp; Mechanisms'!$A$63:$DY$152,HLOOKUP('Service Zone Menu'!$K$5&amp;"_FORTIS_Elec_Y_1",'Misc. Data &amp; Mechanisms'!$A$55:$DY$62,8,FALSE), FALSE)</f>
        <v>0.107</v>
      </c>
      <c r="W15" s="205">
        <f>VLOOKUP($A15,'Misc. Data &amp; Mechanisms'!$A$63:$DY$152,HLOOKUP('Service Zone Menu'!$K$5&amp;"_FORTIS_Elec_Y_2",'Misc. Data &amp; Mechanisms'!$A$55:$DY$62,8,FALSE), FALSE)</f>
        <v>6.7000000000000002E-3</v>
      </c>
      <c r="X15" s="338">
        <f t="shared" si="7"/>
        <v>4.5535806415929381</v>
      </c>
      <c r="Y15" s="333">
        <f t="shared" si="8"/>
        <v>0.28513075045488495</v>
      </c>
      <c r="Z15" s="336">
        <v>-0.56069999999999998</v>
      </c>
      <c r="AA15" s="339"/>
      <c r="AB15" s="339">
        <v>0.62760000000000005</v>
      </c>
      <c r="AC15" s="1495"/>
      <c r="AD15" s="339"/>
      <c r="AE15" s="338">
        <f t="shared" si="9"/>
        <v>-3.338341471756531</v>
      </c>
      <c r="AF15" s="338">
        <f t="shared" si="10"/>
        <v>0</v>
      </c>
      <c r="AG15" s="338">
        <f t="shared" si="11"/>
        <v>7.8776185118586906</v>
      </c>
      <c r="AH15" s="333">
        <f t="shared" si="12"/>
        <v>0</v>
      </c>
      <c r="AI15" s="200">
        <f>IF(OR($I$2="RRO (Capped)",$I$2="RRO (Uncapped)"),VLOOKUP(A15,'Misc. Data &amp; Mechanisms'!$A$1483:$H$1574,4,FALSE),AT15)</f>
        <v>6.11</v>
      </c>
      <c r="AJ15" s="333">
        <f t="shared" si="22"/>
        <v>6.11</v>
      </c>
      <c r="AK15" s="340">
        <f>5%</f>
        <v>0.05</v>
      </c>
      <c r="AL15" s="341">
        <f>'Misc. Data &amp; Mechanisms'!AJ288</f>
        <v>528.36577914754912</v>
      </c>
      <c r="AM15" s="196">
        <f>'Misc. Data &amp; Mechanisms'!AP288</f>
        <v>477.09322011784911</v>
      </c>
      <c r="AN15" s="1087">
        <f>'Misc. Data &amp; Mechanisms'!Q288</f>
        <v>595.38817045773692</v>
      </c>
      <c r="AO15" s="1087">
        <f>'Misc. Data &amp; Mechanisms'!R288</f>
        <v>451.84464462333398</v>
      </c>
      <c r="AP15" s="1087">
        <f>'Misc. Data &amp; Mechanisms'!S288</f>
        <v>334.39510371413127</v>
      </c>
      <c r="AQ15" s="1463">
        <f>'Misc. Data &amp; Mechanisms'!$B$259</f>
        <v>611.34673880086393</v>
      </c>
      <c r="AR15" s="197">
        <f>IFERROR(IF('Personalized Bill Menu'!$B$30="Yes", IF('Personalized Bill Menu'!$B$34="Natural Gas",0,VLOOKUP($A15, 'Personalized Bill Menu'!$H$4:$L$93, 2, FALSE)), 0), 0)</f>
        <v>0</v>
      </c>
      <c r="AS15" s="1343">
        <f>IFERROR(IF('Personalized Bill Menu'!$C$36="Custom", IF('Personalized Bill Menu'!$B$34="Natural Gas",0,VLOOKUP($A15, 'Personalized Bill Menu'!$H$4:$L$93, 3, FALSE)), 0), 0)</f>
        <v>0</v>
      </c>
      <c r="AT15" s="1344">
        <f>IFERROR(IF('Personalized Bill Menu'!$C$36="Custom", IF('Personalized Bill Menu'!$B$34="Natural Gas",0,VLOOKUP($A15, 'Personalized Bill Menu'!$H$4:$L$93, 4, FALSE)), 0), 0)</f>
        <v>0</v>
      </c>
      <c r="AU15" s="335"/>
      <c r="AV15" s="335"/>
      <c r="AW15" s="335"/>
    </row>
    <row r="16" spans="1:49" ht="15" x14ac:dyDescent="0.25">
      <c r="A16" s="206">
        <v>41183</v>
      </c>
      <c r="B16" s="207">
        <f t="shared" si="0"/>
        <v>31</v>
      </c>
      <c r="C16" s="1581">
        <f t="shared" si="13"/>
        <v>717.9326537106067</v>
      </c>
      <c r="D16" s="178">
        <f t="shared" si="14"/>
        <v>19.925802412476358</v>
      </c>
      <c r="E16" s="178">
        <f t="shared" si="15"/>
        <v>15.793036665000001</v>
      </c>
      <c r="F16" s="86">
        <f t="shared" si="16"/>
        <v>143.05384203302361</v>
      </c>
      <c r="G16" s="115">
        <f t="shared" si="17"/>
        <v>71.204560595017966</v>
      </c>
      <c r="H16" s="66">
        <f t="shared" si="18"/>
        <v>15.13545620552701</v>
      </c>
      <c r="I16" s="66">
        <f t="shared" si="1"/>
        <v>32.860978917858077</v>
      </c>
      <c r="J16" s="66">
        <f t="shared" si="19"/>
        <v>5.4571946735288837</v>
      </c>
      <c r="K16" s="66">
        <f>SUM($AE16:$AH16)</f>
        <v>5.4735639252333801</v>
      </c>
      <c r="L16" s="66">
        <f t="shared" si="21"/>
        <v>6.11</v>
      </c>
      <c r="M16" s="68">
        <f t="shared" si="2"/>
        <v>6.8120877158582678</v>
      </c>
      <c r="N16" s="273">
        <f>IF($I$2="RRO (Capped)",VLOOKUP(A16,'Misc. Data &amp; Mechanisms'!$A$1278:$E$1368,4,FALSE),IF($I$2="RRO (Uncapped)",VLOOKUP(A16,'Misc. Data &amp; Mechanisms'!$G$1278:$K$1368,4,FALSE),AS16))</f>
        <v>9.9179999999999993</v>
      </c>
      <c r="O16" s="333">
        <f t="shared" si="3"/>
        <v>71.204560595017966</v>
      </c>
      <c r="P16" s="336">
        <v>2.1082000000000001</v>
      </c>
      <c r="Q16" s="333">
        <f t="shared" si="4"/>
        <v>15.13545620552701</v>
      </c>
      <c r="R16" s="337">
        <v>1.8071999999999999</v>
      </c>
      <c r="S16" s="337">
        <v>0.64149999999999996</v>
      </c>
      <c r="T16" s="338">
        <f t="shared" si="5"/>
        <v>12.974478917858082</v>
      </c>
      <c r="U16" s="333">
        <f t="shared" si="6"/>
        <v>19.886499999999998</v>
      </c>
      <c r="V16" s="205">
        <f>VLOOKUP($A16,'Misc. Data &amp; Mechanisms'!$A$63:$DY$152,HLOOKUP('Service Zone Menu'!$K$5&amp;"_FORTIS_Elec_Y_1",'Misc. Data &amp; Mechanisms'!$A$55:$DY$62,8,FALSE), FALSE)</f>
        <v>0.107</v>
      </c>
      <c r="W16" s="205">
        <f>VLOOKUP($A16,'Misc. Data &amp; Mechanisms'!$A$63:$DY$152,HLOOKUP('Service Zone Menu'!$K$5&amp;"_FORTIS_Elec_Y_2",'Misc. Data &amp; Mechanisms'!$A$55:$DY$62,8,FALSE), FALSE)</f>
        <v>6.7000000000000002E-3</v>
      </c>
      <c r="X16" s="338">
        <f t="shared" si="7"/>
        <v>5.1356185582022036</v>
      </c>
      <c r="Y16" s="333">
        <f t="shared" si="8"/>
        <v>0.32157611532668007</v>
      </c>
      <c r="Z16" s="336">
        <v>-0.56069999999999998</v>
      </c>
      <c r="AA16" s="339"/>
      <c r="AB16" s="339">
        <v>0.62760000000000005</v>
      </c>
      <c r="AC16" s="1495"/>
      <c r="AD16" s="339"/>
      <c r="AE16" s="338">
        <f t="shared" si="9"/>
        <v>-4.0254483893553719</v>
      </c>
      <c r="AF16" s="338">
        <f t="shared" si="10"/>
        <v>0</v>
      </c>
      <c r="AG16" s="338">
        <f t="shared" si="11"/>
        <v>9.4990123145887519</v>
      </c>
      <c r="AH16" s="333">
        <f t="shared" si="12"/>
        <v>0</v>
      </c>
      <c r="AI16" s="200">
        <f>IF(OR($I$2="RRO (Capped)",$I$2="RRO (Uncapped)"),VLOOKUP(A16,'Misc. Data &amp; Mechanisms'!$A$1483:$H$1574,4,FALSE),AT16)</f>
        <v>6.11</v>
      </c>
      <c r="AJ16" s="333">
        <f t="shared" si="22"/>
        <v>6.11</v>
      </c>
      <c r="AK16" s="340">
        <f>5%</f>
        <v>0.05</v>
      </c>
      <c r="AL16" s="341">
        <f>'Misc. Data &amp; Mechanisms'!AJ289</f>
        <v>637.11552357790538</v>
      </c>
      <c r="AM16" s="196">
        <f>'Misc. Data &amp; Mechanisms'!AP289</f>
        <v>561.42480335661935</v>
      </c>
      <c r="AN16" s="1087">
        <f>'Misc. Data &amp; Mechanisms'!Q289</f>
        <v>717.9326537106067</v>
      </c>
      <c r="AO16" s="1087">
        <f>'Misc. Data &amp; Mechanisms'!R289</f>
        <v>544.84459194068415</v>
      </c>
      <c r="AP16" s="1087">
        <f>'Misc. Data &amp; Mechanisms'!S289</f>
        <v>403.22125314103994</v>
      </c>
      <c r="AQ16" s="1463">
        <f>'Misc. Data &amp; Mechanisms'!$B$259</f>
        <v>611.34673880086393</v>
      </c>
      <c r="AR16" s="197">
        <f>IFERROR(IF('Personalized Bill Menu'!$B$30="Yes", IF('Personalized Bill Menu'!$B$34="Natural Gas",0,VLOOKUP($A16, 'Personalized Bill Menu'!$H$4:$L$93, 2, FALSE)), 0), 0)</f>
        <v>0</v>
      </c>
      <c r="AS16" s="1343">
        <f>IFERROR(IF('Personalized Bill Menu'!$C$36="Custom", IF('Personalized Bill Menu'!$B$34="Natural Gas",0,VLOOKUP($A16, 'Personalized Bill Menu'!$H$4:$L$93, 3, FALSE)), 0), 0)</f>
        <v>0</v>
      </c>
      <c r="AT16" s="1344">
        <f>IFERROR(IF('Personalized Bill Menu'!$C$36="Custom", IF('Personalized Bill Menu'!$B$34="Natural Gas",0,VLOOKUP($A16, 'Personalized Bill Menu'!$H$4:$L$93, 4, FALSE)), 0), 0)</f>
        <v>0</v>
      </c>
      <c r="AU16" s="335"/>
      <c r="AV16" s="335"/>
      <c r="AW16" s="335"/>
    </row>
    <row r="17" spans="1:49" ht="15" x14ac:dyDescent="0.25">
      <c r="A17" s="206">
        <v>41214</v>
      </c>
      <c r="B17" s="207">
        <f t="shared" si="0"/>
        <v>30</v>
      </c>
      <c r="C17" s="1581">
        <f t="shared" si="13"/>
        <v>785.30768666533663</v>
      </c>
      <c r="D17" s="178">
        <f t="shared" si="14"/>
        <v>16.799259688080259</v>
      </c>
      <c r="E17" s="178">
        <f t="shared" si="15"/>
        <v>13.116586665</v>
      </c>
      <c r="F17" s="86">
        <f t="shared" si="16"/>
        <v>131.92587763336553</v>
      </c>
      <c r="G17" s="115">
        <f t="shared" si="17"/>
        <v>57.869323430368652</v>
      </c>
      <c r="H17" s="66">
        <f t="shared" si="18"/>
        <v>16.555856650278628</v>
      </c>
      <c r="I17" s="66">
        <f t="shared" si="1"/>
        <v>33.437080513415957</v>
      </c>
      <c r="J17" s="66">
        <f t="shared" si="19"/>
        <v>5.6841969555120739</v>
      </c>
      <c r="K17" s="66">
        <f t="shared" si="20"/>
        <v>5.9872354345823258</v>
      </c>
      <c r="L17" s="66">
        <f t="shared" si="21"/>
        <v>6.11</v>
      </c>
      <c r="M17" s="68">
        <f t="shared" si="2"/>
        <v>6.2821846492078821</v>
      </c>
      <c r="N17" s="273">
        <f>IF($I$2="RRO (Capped)",VLOOKUP(A17,'Misc. Data &amp; Mechanisms'!$A$1278:$E$1368,4,FALSE),IF($I$2="RRO (Uncapped)",VLOOKUP(A17,'Misc. Data &amp; Mechanisms'!$G$1278:$K$1368,4,FALSE),AS17))</f>
        <v>7.3689999999999998</v>
      </c>
      <c r="O17" s="333">
        <f t="shared" si="3"/>
        <v>57.869323430368652</v>
      </c>
      <c r="P17" s="336">
        <v>2.1082000000000001</v>
      </c>
      <c r="Q17" s="333">
        <f t="shared" si="4"/>
        <v>16.555856650278628</v>
      </c>
      <c r="R17" s="337">
        <v>1.8071999999999999</v>
      </c>
      <c r="S17" s="337">
        <v>0.64149999999999996</v>
      </c>
      <c r="T17" s="338">
        <f t="shared" si="5"/>
        <v>14.192080513415961</v>
      </c>
      <c r="U17" s="333">
        <f t="shared" si="6"/>
        <v>19.244999999999997</v>
      </c>
      <c r="V17" s="205">
        <f>VLOOKUP($A17,'Misc. Data &amp; Mechanisms'!$A$63:$DY$152,HLOOKUP('Service Zone Menu'!$K$5&amp;"_FORTIS_Elec_Y_1",'Misc. Data &amp; Mechanisms'!$A$55:$DY$62,8,FALSE), FALSE)</f>
        <v>0.107</v>
      </c>
      <c r="W17" s="205">
        <f>VLOOKUP($A17,'Misc. Data &amp; Mechanisms'!$A$63:$DY$152,HLOOKUP('Service Zone Menu'!$K$5&amp;"_FORTIS_Elec_Y_2",'Misc. Data &amp; Mechanisms'!$A$55:$DY$62,8,FALSE), FALSE)</f>
        <v>6.7000000000000002E-3</v>
      </c>
      <c r="X17" s="338">
        <f t="shared" si="7"/>
        <v>5.3492442765153205</v>
      </c>
      <c r="Y17" s="333">
        <f t="shared" si="8"/>
        <v>0.33495267899675374</v>
      </c>
      <c r="Z17" s="336">
        <v>-0.56069999999999998</v>
      </c>
      <c r="AA17" s="339"/>
      <c r="AB17" s="339">
        <v>0.62760000000000005</v>
      </c>
      <c r="AC17" s="1495"/>
      <c r="AD17" s="339"/>
      <c r="AE17" s="338">
        <f t="shared" si="9"/>
        <v>-4.4032201991325426</v>
      </c>
      <c r="AF17" s="338">
        <f t="shared" si="10"/>
        <v>0</v>
      </c>
      <c r="AG17" s="338">
        <f t="shared" si="11"/>
        <v>10.390455633714868</v>
      </c>
      <c r="AH17" s="333">
        <f t="shared" si="12"/>
        <v>0</v>
      </c>
      <c r="AI17" s="200">
        <f>IF(OR($I$2="RRO (Capped)",$I$2="RRO (Uncapped)"),VLOOKUP(A17,'Misc. Data &amp; Mechanisms'!$A$1483:$H$1574,4,FALSE),AT17)</f>
        <v>6.11</v>
      </c>
      <c r="AJ17" s="333">
        <f t="shared" si="22"/>
        <v>6.11</v>
      </c>
      <c r="AK17" s="340">
        <f>5%</f>
        <v>0.05</v>
      </c>
      <c r="AL17" s="341">
        <f>'Misc. Data &amp; Mechanisms'!AJ290</f>
        <v>696.90620056574221</v>
      </c>
      <c r="AM17" s="196">
        <f>'Misc. Data &amp; Mechanisms'!AP290</f>
        <v>607.35645018924583</v>
      </c>
      <c r="AN17" s="1087">
        <f>'Misc. Data &amp; Mechanisms'!Q290</f>
        <v>785.30768666533663</v>
      </c>
      <c r="AO17" s="1087">
        <f>'Misc. Data &amp; Mechanisms'!R290</f>
        <v>595.97602070002711</v>
      </c>
      <c r="AP17" s="1087">
        <f>'Misc. Data &amp; Mechanisms'!S290</f>
        <v>441.06191281575076</v>
      </c>
      <c r="AQ17" s="1463">
        <f>'Misc. Data &amp; Mechanisms'!$B$259</f>
        <v>611.34673880086393</v>
      </c>
      <c r="AR17" s="197">
        <f>IFERROR(IF('Personalized Bill Menu'!$B$30="Yes", IF('Personalized Bill Menu'!$B$34="Natural Gas",0,VLOOKUP($A17, 'Personalized Bill Menu'!$H$4:$L$93, 2, FALSE)), 0), 0)</f>
        <v>0</v>
      </c>
      <c r="AS17" s="1343">
        <f>IFERROR(IF('Personalized Bill Menu'!$C$36="Custom", IF('Personalized Bill Menu'!$B$34="Natural Gas",0,VLOOKUP($A17, 'Personalized Bill Menu'!$H$4:$L$93, 3, FALSE)), 0), 0)</f>
        <v>0</v>
      </c>
      <c r="AT17" s="1344">
        <f>IFERROR(IF('Personalized Bill Menu'!$C$36="Custom", IF('Personalized Bill Menu'!$B$34="Natural Gas",0,VLOOKUP($A17, 'Personalized Bill Menu'!$H$4:$L$93, 4, FALSE)), 0), 0)</f>
        <v>0</v>
      </c>
      <c r="AU17" s="335"/>
      <c r="AV17" s="335"/>
      <c r="AW17" s="335"/>
    </row>
    <row r="18" spans="1:49" ht="15" x14ac:dyDescent="0.25">
      <c r="A18" s="229">
        <v>41244</v>
      </c>
      <c r="B18" s="230">
        <f t="shared" si="0"/>
        <v>31</v>
      </c>
      <c r="C18" s="231">
        <f t="shared" si="13"/>
        <v>935.92819877436898</v>
      </c>
      <c r="D18" s="208">
        <f t="shared" si="14"/>
        <v>17.332552372300469</v>
      </c>
      <c r="E18" s="208">
        <f t="shared" si="15"/>
        <v>14.162386665000001</v>
      </c>
      <c r="F18" s="342">
        <f t="shared" si="16"/>
        <v>162.22024521969595</v>
      </c>
      <c r="G18" s="343">
        <f t="shared" si="17"/>
        <v>78.290393827475967</v>
      </c>
      <c r="H18" s="344">
        <f t="shared" si="18"/>
        <v>19.731238286561247</v>
      </c>
      <c r="I18" s="344">
        <f t="shared" si="1"/>
        <v>36.80059440825039</v>
      </c>
      <c r="J18" s="344">
        <f t="shared" si="19"/>
        <v>6.4276693774000835</v>
      </c>
      <c r="K18" s="344">
        <f t="shared" si="20"/>
        <v>7.1355757381179528</v>
      </c>
      <c r="L18" s="344">
        <f t="shared" si="21"/>
        <v>6.11</v>
      </c>
      <c r="M18" s="345">
        <f t="shared" si="2"/>
        <v>7.7247735818902843</v>
      </c>
      <c r="N18" s="1243">
        <f>IF($I$2="RRO (Capped)",VLOOKUP(A18,'Misc. Data &amp; Mechanisms'!$A$1278:$E$1368,4,FALSE),IF($I$2="RRO (Uncapped)",VLOOKUP(A18,'Misc. Data &amp; Mechanisms'!$G$1278:$K$1368,4,FALSE),AS18))</f>
        <v>8.3650000000000002</v>
      </c>
      <c r="O18" s="346">
        <f t="shared" si="3"/>
        <v>78.290393827475967</v>
      </c>
      <c r="P18" s="347">
        <v>2.1082000000000001</v>
      </c>
      <c r="Q18" s="346">
        <f t="shared" si="4"/>
        <v>19.731238286561247</v>
      </c>
      <c r="R18" s="348">
        <v>1.8071999999999999</v>
      </c>
      <c r="S18" s="348">
        <v>0.64149999999999996</v>
      </c>
      <c r="T18" s="349">
        <f t="shared" si="5"/>
        <v>16.914094408250396</v>
      </c>
      <c r="U18" s="346">
        <f t="shared" si="6"/>
        <v>19.886499999999998</v>
      </c>
      <c r="V18" s="246">
        <f>VLOOKUP($A18,'Misc. Data &amp; Mechanisms'!$A$63:$DY$152,HLOOKUP('Service Zone Menu'!$K$5&amp;"_FORTIS_Elec_Y_1",'Misc. Data &amp; Mechanisms'!$A$55:$DY$62,8,FALSE), FALSE)</f>
        <v>0.107</v>
      </c>
      <c r="W18" s="246">
        <f>VLOOKUP($A18,'Misc. Data &amp; Mechanisms'!$A$63:$DY$152,HLOOKUP('Service Zone Menu'!$K$5&amp;"_FORTIS_Elec_Y_2",'Misc. Data &amp; Mechanisms'!$A$55:$DY$62,8,FALSE), FALSE)</f>
        <v>6.7000000000000002E-3</v>
      </c>
      <c r="X18" s="349">
        <f t="shared" si="7"/>
        <v>6.0489060983448457</v>
      </c>
      <c r="Y18" s="346">
        <f t="shared" si="8"/>
        <v>0.37876327905523799</v>
      </c>
      <c r="Z18" s="347">
        <v>-0.56069999999999998</v>
      </c>
      <c r="AA18" s="350"/>
      <c r="AB18" s="350">
        <v>0.62760000000000005</v>
      </c>
      <c r="AC18" s="1496"/>
      <c r="AD18" s="350"/>
      <c r="AE18" s="349">
        <f t="shared" si="9"/>
        <v>-5.247749410527887</v>
      </c>
      <c r="AF18" s="349">
        <f t="shared" si="10"/>
        <v>0</v>
      </c>
      <c r="AG18" s="349">
        <f t="shared" si="11"/>
        <v>12.38332514864584</v>
      </c>
      <c r="AH18" s="346">
        <f t="shared" si="12"/>
        <v>0</v>
      </c>
      <c r="AI18" s="239">
        <f>IF(OR($I$2="RRO (Capped)",$I$2="RRO (Uncapped)"),VLOOKUP(A18,'Misc. Data &amp; Mechanisms'!$A$1483:$H$1574,4,FALSE),AT18)</f>
        <v>6.11</v>
      </c>
      <c r="AJ18" s="346">
        <f t="shared" si="22"/>
        <v>6.11</v>
      </c>
      <c r="AK18" s="351">
        <f>5%</f>
        <v>0.05</v>
      </c>
      <c r="AL18" s="352">
        <f>'Misc. Data &amp; Mechanisms'!AJ291</f>
        <v>830.57147674163298</v>
      </c>
      <c r="AM18" s="1089">
        <f>'Misc. Data &amp; Mechanisms'!AP291</f>
        <v>714.27882923412301</v>
      </c>
      <c r="AN18" s="1089">
        <f>'Misc. Data &amp; Mechanisms'!Q291</f>
        <v>935.92819877436898</v>
      </c>
      <c r="AO18" s="1089">
        <f>'Misc. Data &amp; Mechanisms'!R291</f>
        <v>710.28308144422658</v>
      </c>
      <c r="AP18" s="1089">
        <f>'Misc. Data &amp; Mechanisms'!S291</f>
        <v>525.65674399866339</v>
      </c>
      <c r="AQ18" s="1464">
        <f>'Misc. Data &amp; Mechanisms'!$B$259</f>
        <v>611.34673880086393</v>
      </c>
      <c r="AR18" s="243">
        <f>IFERROR(IF('Personalized Bill Menu'!$B$30="Yes", IF('Personalized Bill Menu'!$B$34="Natural Gas",0,VLOOKUP($A18, 'Personalized Bill Menu'!$H$4:$L$93, 2, FALSE)), 0), 0)</f>
        <v>0</v>
      </c>
      <c r="AS18" s="1345">
        <f>IFERROR(IF('Personalized Bill Menu'!$C$36="Custom", IF('Personalized Bill Menu'!$B$34="Natural Gas",0,VLOOKUP($A18, 'Personalized Bill Menu'!$H$4:$L$93, 3, FALSE)), 0), 0)</f>
        <v>0</v>
      </c>
      <c r="AT18" s="1346">
        <f>IFERROR(IF('Personalized Bill Menu'!$C$36="Custom", IF('Personalized Bill Menu'!$B$34="Natural Gas",0,VLOOKUP($A18, 'Personalized Bill Menu'!$H$4:$L$93, 4, FALSE)), 0), 0)</f>
        <v>0</v>
      </c>
      <c r="AU18" s="335"/>
      <c r="AV18" s="335"/>
      <c r="AW18" s="335"/>
    </row>
    <row r="19" spans="1:49" ht="15" x14ac:dyDescent="0.25">
      <c r="A19" s="206">
        <v>41275</v>
      </c>
      <c r="B19" s="207">
        <f t="shared" si="0"/>
        <v>31</v>
      </c>
      <c r="C19" s="212">
        <f t="shared" si="13"/>
        <v>855.20240496673148</v>
      </c>
      <c r="D19" s="178">
        <f t="shared" si="14"/>
        <v>17.923696319391027</v>
      </c>
      <c r="E19" s="178">
        <f t="shared" si="15"/>
        <v>14.454286665000001</v>
      </c>
      <c r="F19" s="86">
        <f t="shared" si="16"/>
        <v>153.28388198236559</v>
      </c>
      <c r="G19" s="115">
        <f t="shared" si="17"/>
        <v>73.915143861274601</v>
      </c>
      <c r="H19" s="66">
        <f t="shared" si="18"/>
        <v>18.029377101508633</v>
      </c>
      <c r="I19" s="66">
        <f t="shared" si="1"/>
        <v>35.341717862558767</v>
      </c>
      <c r="J19" s="66">
        <f t="shared" si="19"/>
        <v>6.0682934974144631</v>
      </c>
      <c r="K19" s="66">
        <f t="shared" si="20"/>
        <v>6.5201171842583561</v>
      </c>
      <c r="L19" s="66">
        <f t="shared" si="21"/>
        <v>6.11</v>
      </c>
      <c r="M19" s="68">
        <f t="shared" si="2"/>
        <v>7.2992324753507418</v>
      </c>
      <c r="N19" s="273">
        <f>IF($I$2="RRO (Capped)",VLOOKUP(A19,'Misc. Data &amp; Mechanisms'!$A$1278:$E$1368,4,FALSE),IF($I$2="RRO (Uncapped)",VLOOKUP(A19,'Misc. Data &amp; Mechanisms'!$G$1278:$K$1368,4,FALSE),AS19))</f>
        <v>8.6430000000000007</v>
      </c>
      <c r="O19" s="333">
        <f t="shared" si="3"/>
        <v>73.915143861274601</v>
      </c>
      <c r="P19" s="336">
        <v>2.1082000000000001</v>
      </c>
      <c r="Q19" s="333">
        <f t="shared" si="4"/>
        <v>18.029377101508633</v>
      </c>
      <c r="R19" s="337">
        <v>1.8071999999999999</v>
      </c>
      <c r="S19" s="337">
        <v>0.64149999999999996</v>
      </c>
      <c r="T19" s="338">
        <f t="shared" si="5"/>
        <v>15.455217862558769</v>
      </c>
      <c r="U19" s="333">
        <f t="shared" si="6"/>
        <v>19.886499999999998</v>
      </c>
      <c r="V19" s="205">
        <f>VLOOKUP($A19,'Misc. Data &amp; Mechanisms'!$A$63:$DY$152,HLOOKUP('Service Zone Menu'!$K$5&amp;"_FORTIS_Elec_Y_1",'Misc. Data &amp; Mechanisms'!$A$55:$DY$62,8,FALSE), FALSE)</f>
        <v>0.107</v>
      </c>
      <c r="W19" s="205">
        <f>VLOOKUP($A19,'Misc. Data &amp; Mechanisms'!$A$63:$DY$152,HLOOKUP('Service Zone Menu'!$K$5&amp;"_FORTIS_Elec_Y_2",'Misc. Data &amp; Mechanisms'!$A$55:$DY$62,8,FALSE), FALSE)</f>
        <v>6.7000000000000002E-3</v>
      </c>
      <c r="X19" s="338">
        <f t="shared" si="7"/>
        <v>5.7107071611552112</v>
      </c>
      <c r="Y19" s="333">
        <f t="shared" si="8"/>
        <v>0.35758633625925157</v>
      </c>
      <c r="Z19" s="336">
        <v>-0.56069999999999998</v>
      </c>
      <c r="AA19" s="339"/>
      <c r="AB19" s="339">
        <v>0.62760000000000005</v>
      </c>
      <c r="AC19" s="1495"/>
      <c r="AD19" s="339"/>
      <c r="AE19" s="338">
        <f t="shared" si="9"/>
        <v>-4.7951198846484635</v>
      </c>
      <c r="AF19" s="338">
        <f t="shared" si="10"/>
        <v>0</v>
      </c>
      <c r="AG19" s="338">
        <f t="shared" si="11"/>
        <v>11.31523706890682</v>
      </c>
      <c r="AH19" s="333">
        <f t="shared" si="12"/>
        <v>0</v>
      </c>
      <c r="AI19" s="200">
        <f>IF(OR($I$2="RRO (Capped)",$I$2="RRO (Uncapped)"),VLOOKUP(A19,'Misc. Data &amp; Mechanisms'!$A$1483:$H$1574,4,FALSE),AT19)</f>
        <v>6.11</v>
      </c>
      <c r="AJ19" s="333">
        <f t="shared" si="22"/>
        <v>6.11</v>
      </c>
      <c r="AK19" s="340">
        <f>5%</f>
        <v>0.05</v>
      </c>
      <c r="AL19" s="341">
        <f>'Misc. Data &amp; Mechanisms'!AJ292</f>
        <v>758.93292384649374</v>
      </c>
      <c r="AM19" s="1239">
        <f>'Misc. Data &amp; Mechanisms'!AP292</f>
        <v>663.94521568698838</v>
      </c>
      <c r="AN19" s="1087">
        <f>'Misc. Data &amp; Mechanisms'!Q292</f>
        <v>855.20240496673148</v>
      </c>
      <c r="AO19" s="1087">
        <f>'Misc. Data &amp; Mechanisms'!R292</f>
        <v>649.01965797562468</v>
      </c>
      <c r="AP19" s="1087">
        <f>'Misc. Data &amp; Mechanisms'!S292</f>
        <v>480.31773403486585</v>
      </c>
      <c r="AQ19" s="1463">
        <f>'Misc. Data &amp; Mechanisms'!$B$259</f>
        <v>611.34673880086393</v>
      </c>
      <c r="AR19" s="197">
        <f>IFERROR(IF('Personalized Bill Menu'!$B$30="Yes", IF('Personalized Bill Menu'!$B$34="Natural Gas",0,VLOOKUP($A19, 'Personalized Bill Menu'!$H$4:$L$93, 2, FALSE)), 0), 0)</f>
        <v>0</v>
      </c>
      <c r="AS19" s="1343">
        <f>IFERROR(IF('Personalized Bill Menu'!$C$36="Custom", IF('Personalized Bill Menu'!$B$34="Natural Gas",0,VLOOKUP($A19, 'Personalized Bill Menu'!$H$4:$L$93, 3, FALSE)), 0), 0)</f>
        <v>0</v>
      </c>
      <c r="AT19" s="1344">
        <f>IFERROR(IF('Personalized Bill Menu'!$C$36="Custom", IF('Personalized Bill Menu'!$B$34="Natural Gas",0,VLOOKUP($A19, 'Personalized Bill Menu'!$H$4:$L$93, 4, FALSE)), 0), 0)</f>
        <v>0</v>
      </c>
      <c r="AU19" s="335"/>
      <c r="AV19" s="335"/>
      <c r="AW19" s="335"/>
    </row>
    <row r="20" spans="1:49" ht="15" x14ac:dyDescent="0.25">
      <c r="A20" s="206">
        <v>41306</v>
      </c>
      <c r="B20" s="207">
        <f t="shared" si="0"/>
        <v>28</v>
      </c>
      <c r="C20" s="1581">
        <f t="shared" si="13"/>
        <v>691.86473642653857</v>
      </c>
      <c r="D20" s="178">
        <f t="shared" si="14"/>
        <v>17.035688130018073</v>
      </c>
      <c r="E20" s="178">
        <f t="shared" si="15"/>
        <v>13.072486665000001</v>
      </c>
      <c r="F20" s="86">
        <f t="shared" si="16"/>
        <v>117.86391877919665</v>
      </c>
      <c r="G20" s="115">
        <f t="shared" si="17"/>
        <v>50.692929237972486</v>
      </c>
      <c r="H20" s="66">
        <f t="shared" si="18"/>
        <v>14.585892373344286</v>
      </c>
      <c r="I20" s="66">
        <f t="shared" si="1"/>
        <v>30.465379516700402</v>
      </c>
      <c r="J20" s="66">
        <f t="shared" si="19"/>
        <v>5.1223296138980805</v>
      </c>
      <c r="K20" s="66">
        <f t="shared" si="20"/>
        <v>5.2748204763672728</v>
      </c>
      <c r="L20" s="66">
        <f t="shared" si="21"/>
        <v>6.11</v>
      </c>
      <c r="M20" s="68">
        <f t="shared" si="2"/>
        <v>5.6125675609141261</v>
      </c>
      <c r="N20" s="273">
        <f>IF($I$2="RRO (Capped)",VLOOKUP(A20,'Misc. Data &amp; Mechanisms'!$A$1278:$E$1368,4,FALSE),IF($I$2="RRO (Uncapped)",VLOOKUP(A20,'Misc. Data &amp; Mechanisms'!$G$1278:$K$1368,4,FALSE),AS20))</f>
        <v>7.327</v>
      </c>
      <c r="O20" s="333">
        <f t="shared" si="3"/>
        <v>50.692929237972486</v>
      </c>
      <c r="P20" s="336">
        <v>2.1082000000000001</v>
      </c>
      <c r="Q20" s="333">
        <f t="shared" si="4"/>
        <v>14.585892373344286</v>
      </c>
      <c r="R20" s="337">
        <v>1.8071999999999999</v>
      </c>
      <c r="S20" s="337">
        <v>0.64149999999999996</v>
      </c>
      <c r="T20" s="338">
        <f t="shared" si="5"/>
        <v>12.503379516700404</v>
      </c>
      <c r="U20" s="333">
        <f t="shared" si="6"/>
        <v>17.962</v>
      </c>
      <c r="V20" s="205">
        <f>VLOOKUP($A20,'Misc. Data &amp; Mechanisms'!$A$63:$DY$152,HLOOKUP('Service Zone Menu'!$K$5&amp;"_FORTIS_Elec_Y_1",'Misc. Data &amp; Mechanisms'!$A$55:$DY$62,8,FALSE), FALSE)</f>
        <v>0.107</v>
      </c>
      <c r="W20" s="205">
        <f>VLOOKUP($A20,'Misc. Data &amp; Mechanisms'!$A$63:$DY$152,HLOOKUP('Service Zone Menu'!$K$5&amp;"_FORTIS_Elec_Y_2",'Misc. Data &amp; Mechanisms'!$A$55:$DY$62,8,FALSE), FALSE)</f>
        <v>6.7000000000000002E-3</v>
      </c>
      <c r="X20" s="338">
        <f t="shared" si="7"/>
        <v>4.8204860922347814</v>
      </c>
      <c r="Y20" s="333">
        <f t="shared" si="8"/>
        <v>0.30184352166329942</v>
      </c>
      <c r="Z20" s="336">
        <v>-0.56069999999999998</v>
      </c>
      <c r="AA20" s="339"/>
      <c r="AB20" s="339">
        <v>0.62760000000000005</v>
      </c>
      <c r="AC20" s="1495"/>
      <c r="AD20" s="339"/>
      <c r="AE20" s="338">
        <f t="shared" si="9"/>
        <v>-3.8792855771436017</v>
      </c>
      <c r="AF20" s="338">
        <f t="shared" si="10"/>
        <v>0</v>
      </c>
      <c r="AG20" s="338">
        <f t="shared" si="11"/>
        <v>9.1541060535108745</v>
      </c>
      <c r="AH20" s="333">
        <f t="shared" si="12"/>
        <v>0</v>
      </c>
      <c r="AI20" s="200">
        <f>IF(OR($I$2="RRO (Capped)",$I$2="RRO (Uncapped)"),VLOOKUP(A20,'Misc. Data &amp; Mechanisms'!$A$1483:$H$1574,4,FALSE),AT20)</f>
        <v>6.11</v>
      </c>
      <c r="AJ20" s="333">
        <f t="shared" si="22"/>
        <v>6.11</v>
      </c>
      <c r="AK20" s="340">
        <f>5%</f>
        <v>0.05</v>
      </c>
      <c r="AL20" s="341">
        <f>'Misc. Data &amp; Mechanisms'!AJ293</f>
        <v>613.98205181953733</v>
      </c>
      <c r="AM20" s="196">
        <f>'Misc. Data &amp; Mechanisms'!AP293</f>
        <v>549.528043350958</v>
      </c>
      <c r="AN20" s="1087">
        <f>'Misc. Data &amp; Mechanisms'!Q293</f>
        <v>691.86473642653857</v>
      </c>
      <c r="AO20" s="1087">
        <f>'Misc. Data &amp; Mechanisms'!R293</f>
        <v>525.06144977271879</v>
      </c>
      <c r="AP20" s="1087">
        <f>'Misc. Data &amp; Mechanisms'!S293</f>
        <v>388.5804115248626</v>
      </c>
      <c r="AQ20" s="1463">
        <f>'Misc. Data &amp; Mechanisms'!$B$259</f>
        <v>611.34673880086393</v>
      </c>
      <c r="AR20" s="197">
        <f>IFERROR(IF('Personalized Bill Menu'!$B$30="Yes", IF('Personalized Bill Menu'!$B$34="Natural Gas",0,VLOOKUP($A20, 'Personalized Bill Menu'!$H$4:$L$93, 2, FALSE)), 0), 0)</f>
        <v>0</v>
      </c>
      <c r="AS20" s="1343">
        <f>IFERROR(IF('Personalized Bill Menu'!$C$36="Custom", IF('Personalized Bill Menu'!$B$34="Natural Gas",0,VLOOKUP($A20, 'Personalized Bill Menu'!$H$4:$L$93, 3, FALSE)), 0), 0)</f>
        <v>0</v>
      </c>
      <c r="AT20" s="1344">
        <f>IFERROR(IF('Personalized Bill Menu'!$C$36="Custom", IF('Personalized Bill Menu'!$B$34="Natural Gas",0,VLOOKUP($A20, 'Personalized Bill Menu'!$H$4:$L$93, 4, FALSE)), 0), 0)</f>
        <v>0</v>
      </c>
      <c r="AU20" s="335"/>
      <c r="AV20" s="335"/>
      <c r="AW20" s="335"/>
    </row>
    <row r="21" spans="1:49" ht="15" x14ac:dyDescent="0.25">
      <c r="A21" s="206">
        <v>41334</v>
      </c>
      <c r="B21" s="207">
        <f t="shared" si="0"/>
        <v>31</v>
      </c>
      <c r="C21" s="1581">
        <f t="shared" si="13"/>
        <v>743.06660682799713</v>
      </c>
      <c r="D21" s="178">
        <f t="shared" si="14"/>
        <v>16.848113139768166</v>
      </c>
      <c r="E21" s="178">
        <f t="shared" si="15"/>
        <v>12.855136665</v>
      </c>
      <c r="F21" s="86">
        <f t="shared" si="16"/>
        <v>125.19270262221725</v>
      </c>
      <c r="G21" s="115">
        <f t="shared" si="17"/>
        <v>52.906342406153392</v>
      </c>
      <c r="H21" s="66">
        <f t="shared" si="18"/>
        <v>15.665330205147836</v>
      </c>
      <c r="I21" s="66">
        <f t="shared" si="1"/>
        <v>33.315199718595565</v>
      </c>
      <c r="J21" s="66">
        <f t="shared" si="19"/>
        <v>5.5690862523296252</v>
      </c>
      <c r="K21" s="66">
        <f t="shared" si="20"/>
        <v>5.6651867722662033</v>
      </c>
      <c r="L21" s="66">
        <f t="shared" si="21"/>
        <v>6.11</v>
      </c>
      <c r="M21" s="68">
        <f t="shared" si="2"/>
        <v>5.9615572677246318</v>
      </c>
      <c r="N21" s="273">
        <f>IF($I$2="RRO (Capped)",VLOOKUP(A21,'Misc. Data &amp; Mechanisms'!$A$1278:$E$1368,4,FALSE),IF($I$2="RRO (Uncapped)",VLOOKUP(A21,'Misc. Data &amp; Mechanisms'!$G$1278:$K$1368,4,FALSE),AS21))</f>
        <v>7.12</v>
      </c>
      <c r="O21" s="333">
        <f t="shared" si="3"/>
        <v>52.906342406153392</v>
      </c>
      <c r="P21" s="336">
        <v>2.1082000000000001</v>
      </c>
      <c r="Q21" s="333">
        <f t="shared" si="4"/>
        <v>15.665330205147836</v>
      </c>
      <c r="R21" s="337">
        <v>1.8071999999999999</v>
      </c>
      <c r="S21" s="337">
        <v>0.64149999999999996</v>
      </c>
      <c r="T21" s="338">
        <f t="shared" si="5"/>
        <v>13.428699718595563</v>
      </c>
      <c r="U21" s="333">
        <f t="shared" si="6"/>
        <v>19.886499999999998</v>
      </c>
      <c r="V21" s="205">
        <f>VLOOKUP($A21,'Misc. Data &amp; Mechanisms'!$A$63:$DY$152,HLOOKUP('Service Zone Menu'!$K$5&amp;"_FORTIS_Elec_Y_1",'Misc. Data &amp; Mechanisms'!$A$55:$DY$62,8,FALSE), FALSE)</f>
        <v>0.107</v>
      </c>
      <c r="W21" s="205">
        <f>VLOOKUP($A21,'Misc. Data &amp; Mechanisms'!$A$63:$DY$152,HLOOKUP('Service Zone Menu'!$K$5&amp;"_FORTIS_Elec_Y_2",'Misc. Data &amp; Mechanisms'!$A$55:$DY$62,8,FALSE), FALSE)</f>
        <v>6.7000000000000002E-3</v>
      </c>
      <c r="X21" s="338">
        <f t="shared" si="7"/>
        <v>5.2409167018405443</v>
      </c>
      <c r="Y21" s="333">
        <f t="shared" si="8"/>
        <v>0.32816955048908081</v>
      </c>
      <c r="Z21" s="336">
        <v>-0.56069999999999998</v>
      </c>
      <c r="AA21" s="339"/>
      <c r="AB21" s="339">
        <v>0.62760000000000005</v>
      </c>
      <c r="AC21" s="1495"/>
      <c r="AD21" s="339"/>
      <c r="AE21" s="338">
        <f t="shared" si="9"/>
        <v>-4.1663744644845799</v>
      </c>
      <c r="AF21" s="338">
        <f t="shared" si="10"/>
        <v>0</v>
      </c>
      <c r="AG21" s="338">
        <f t="shared" si="11"/>
        <v>9.8315612367507832</v>
      </c>
      <c r="AH21" s="333">
        <f t="shared" si="12"/>
        <v>0</v>
      </c>
      <c r="AI21" s="200">
        <f>IF(OR($I$2="RRO (Capped)",$I$2="RRO (Uncapped)"),VLOOKUP(A21,'Misc. Data &amp; Mechanisms'!$A$1483:$H$1574,4,FALSE),AT21)</f>
        <v>6.11</v>
      </c>
      <c r="AJ21" s="333">
        <f t="shared" si="22"/>
        <v>6.11</v>
      </c>
      <c r="AK21" s="340">
        <f>5%</f>
        <v>0.05</v>
      </c>
      <c r="AL21" s="341">
        <f>'Misc. Data &amp; Mechanisms'!AJ294</f>
        <v>659.42016680203653</v>
      </c>
      <c r="AM21" s="196">
        <f>'Misc. Data &amp; Mechanisms'!AP294</f>
        <v>578.69697125062407</v>
      </c>
      <c r="AN21" s="1087">
        <f>'Misc. Data &amp; Mechanisms'!Q294</f>
        <v>743.06660682799713</v>
      </c>
      <c r="AO21" s="1087">
        <f>'Misc. Data &amp; Mechanisms'!R294</f>
        <v>563.91894154621264</v>
      </c>
      <c r="AP21" s="1087">
        <f>'Misc. Data &amp; Mechanisms'!S294</f>
        <v>417.33754109646634</v>
      </c>
      <c r="AQ21" s="1463">
        <f>'Misc. Data &amp; Mechanisms'!$B$259</f>
        <v>611.34673880086393</v>
      </c>
      <c r="AR21" s="197">
        <f>IFERROR(IF('Personalized Bill Menu'!$B$30="Yes", IF('Personalized Bill Menu'!$B$34="Natural Gas",0,VLOOKUP($A21, 'Personalized Bill Menu'!$H$4:$L$93, 2, FALSE)), 0), 0)</f>
        <v>0</v>
      </c>
      <c r="AS21" s="1343">
        <f>IFERROR(IF('Personalized Bill Menu'!$C$36="Custom", IF('Personalized Bill Menu'!$B$34="Natural Gas",0,VLOOKUP($A21, 'Personalized Bill Menu'!$H$4:$L$93, 3, FALSE)), 0), 0)</f>
        <v>0</v>
      </c>
      <c r="AT21" s="1344">
        <f>IFERROR(IF('Personalized Bill Menu'!$C$36="Custom", IF('Personalized Bill Menu'!$B$34="Natural Gas",0,VLOOKUP($A21, 'Personalized Bill Menu'!$H$4:$L$93, 4, FALSE)), 0), 0)</f>
        <v>0</v>
      </c>
      <c r="AU21" s="335"/>
      <c r="AV21" s="335"/>
      <c r="AW21" s="335"/>
    </row>
    <row r="22" spans="1:49" ht="15" x14ac:dyDescent="0.25">
      <c r="A22" s="206">
        <v>41365</v>
      </c>
      <c r="B22" s="207">
        <f t="shared" si="0"/>
        <v>30</v>
      </c>
      <c r="C22" s="1581">
        <f t="shared" si="13"/>
        <v>663.45779420738552</v>
      </c>
      <c r="D22" s="178">
        <f t="shared" si="14"/>
        <v>18.403938737138574</v>
      </c>
      <c r="E22" s="178">
        <f t="shared" si="15"/>
        <v>13.868580411000002</v>
      </c>
      <c r="F22" s="86">
        <f t="shared" si="16"/>
        <v>122.10236599269814</v>
      </c>
      <c r="G22" s="115">
        <f t="shared" si="17"/>
        <v>53.103161848359136</v>
      </c>
      <c r="H22" s="66">
        <f t="shared" si="18"/>
        <v>15.13214537028205</v>
      </c>
      <c r="I22" s="66">
        <f t="shared" si="1"/>
        <v>31.497191383841184</v>
      </c>
      <c r="J22" s="66">
        <f t="shared" si="19"/>
        <v>5.3017555889438119</v>
      </c>
      <c r="K22" s="66">
        <f t="shared" si="20"/>
        <v>5.0037134206673031</v>
      </c>
      <c r="L22" s="66">
        <f t="shared" si="21"/>
        <v>6.25</v>
      </c>
      <c r="M22" s="68">
        <f t="shared" si="2"/>
        <v>5.8143983806046737</v>
      </c>
      <c r="N22" s="273">
        <f>IF($I$2="RRO (Capped)",VLOOKUP(A22,'Misc. Data &amp; Mechanisms'!$A$1278:$E$1368,4,FALSE),IF($I$2="RRO (Uncapped)",VLOOKUP(A22,'Misc. Data &amp; Mechanisms'!$G$1278:$K$1368,4,FALSE),AS22))</f>
        <v>8.0039999999999996</v>
      </c>
      <c r="O22" s="333">
        <f t="shared" si="3"/>
        <v>53.103161848359136</v>
      </c>
      <c r="P22" s="336">
        <v>2.2808000000000002</v>
      </c>
      <c r="Q22" s="333">
        <f t="shared" si="4"/>
        <v>15.13214537028205</v>
      </c>
      <c r="R22" s="337">
        <v>1.8223</v>
      </c>
      <c r="S22" s="337">
        <v>0.64690000000000003</v>
      </c>
      <c r="T22" s="338">
        <f t="shared" si="5"/>
        <v>12.090191383841185</v>
      </c>
      <c r="U22" s="333">
        <f t="shared" si="6"/>
        <v>19.407</v>
      </c>
      <c r="V22" s="205">
        <f>VLOOKUP($A22,'Misc. Data &amp; Mechanisms'!$A$63:$DY$152,HLOOKUP('Service Zone Menu'!$K$5&amp;"_FORTIS_Elec_Y_1",'Misc. Data &amp; Mechanisms'!$A$55:$DY$62,8,FALSE), FALSE)</f>
        <v>0.107</v>
      </c>
      <c r="W22" s="205">
        <f>VLOOKUP($A22,'Misc. Data &amp; Mechanisms'!$A$63:$DY$152,HLOOKUP('Service Zone Menu'!$K$5&amp;"_FORTIS_Elec_Y_2",'Misc. Data &amp; Mechanisms'!$A$55:$DY$62,8,FALSE), FALSE)</f>
        <v>6.7000000000000002E-3</v>
      </c>
      <c r="X22" s="338">
        <f t="shared" si="7"/>
        <v>4.9893390326911859</v>
      </c>
      <c r="Y22" s="333">
        <f t="shared" si="8"/>
        <v>0.31241655625262565</v>
      </c>
      <c r="Z22" s="336">
        <v>-0.55940000000000001</v>
      </c>
      <c r="AA22" s="339">
        <v>-3.8399999999999997E-2</v>
      </c>
      <c r="AB22" s="339"/>
      <c r="AC22" s="1495">
        <v>1.2070000000000001</v>
      </c>
      <c r="AD22" s="339">
        <v>4.0899999999999999E-2</v>
      </c>
      <c r="AE22" s="338">
        <f t="shared" si="9"/>
        <v>-3.7113829007961145</v>
      </c>
      <c r="AF22" s="338">
        <f t="shared" si="10"/>
        <v>-0.58107438221883068</v>
      </c>
      <c r="AG22" s="338">
        <f t="shared" si="11"/>
        <v>8.0079355760831437</v>
      </c>
      <c r="AH22" s="333">
        <f t="shared" si="12"/>
        <v>1.2882351275991044</v>
      </c>
      <c r="AI22" s="200">
        <f>IF(OR($I$2="RRO (Capped)",$I$2="RRO (Uncapped)"),VLOOKUP(A22,'Misc. Data &amp; Mechanisms'!$A$1483:$H$1574,4,FALSE),AT22)</f>
        <v>6.25</v>
      </c>
      <c r="AJ22" s="333">
        <f t="shared" si="22"/>
        <v>6.25</v>
      </c>
      <c r="AK22" s="340">
        <f>5%</f>
        <v>0.05</v>
      </c>
      <c r="AL22" s="341">
        <f>'Misc. Data &amp; Mechanisms'!AJ295</f>
        <v>588.77285737537659</v>
      </c>
      <c r="AM22" s="196">
        <f>'Misc. Data &amp; Mechanisms'!AP295</f>
        <v>522.8281415740812</v>
      </c>
      <c r="AN22" s="1087">
        <f>'Misc. Data &amp; Mechanisms'!Q295</f>
        <v>663.45779420738552</v>
      </c>
      <c r="AO22" s="1087">
        <f>'Misc. Data &amp; Mechanisms'!R295</f>
        <v>503.50320365912739</v>
      </c>
      <c r="AP22" s="1087">
        <f>'Misc. Data &amp; Mechanisms'!S295</f>
        <v>372.62587486977247</v>
      </c>
      <c r="AQ22" s="1463">
        <f>'Misc. Data &amp; Mechanisms'!$B$259</f>
        <v>611.34673880086393</v>
      </c>
      <c r="AR22" s="197">
        <f>IFERROR(IF('Personalized Bill Menu'!$B$30="Yes", IF('Personalized Bill Menu'!$B$34="Natural Gas",0,VLOOKUP($A22, 'Personalized Bill Menu'!$H$4:$L$93, 2, FALSE)), 0), 0)</f>
        <v>0</v>
      </c>
      <c r="AS22" s="1343">
        <f>IFERROR(IF('Personalized Bill Menu'!$C$36="Custom", IF('Personalized Bill Menu'!$B$34="Natural Gas",0,VLOOKUP($A22, 'Personalized Bill Menu'!$H$4:$L$93, 3, FALSE)), 0), 0)</f>
        <v>0</v>
      </c>
      <c r="AT22" s="1344">
        <f>IFERROR(IF('Personalized Bill Menu'!$C$36="Custom", IF('Personalized Bill Menu'!$B$34="Natural Gas",0,VLOOKUP($A22, 'Personalized Bill Menu'!$H$4:$L$93, 4, FALSE)), 0), 0)</f>
        <v>0</v>
      </c>
      <c r="AU22" s="335"/>
      <c r="AV22" s="335"/>
      <c r="AW22" s="335"/>
    </row>
    <row r="23" spans="1:49" ht="15" x14ac:dyDescent="0.25">
      <c r="A23" s="206">
        <v>41395</v>
      </c>
      <c r="B23" s="207">
        <f t="shared" si="0"/>
        <v>31</v>
      </c>
      <c r="C23" s="1581">
        <f t="shared" si="13"/>
        <v>604.92779738647141</v>
      </c>
      <c r="D23" s="178">
        <f t="shared" si="14"/>
        <v>17.807953498712266</v>
      </c>
      <c r="E23" s="178">
        <f t="shared" si="15"/>
        <v>12.704130411</v>
      </c>
      <c r="F23" s="86">
        <f t="shared" si="16"/>
        <v>107.72526085936718</v>
      </c>
      <c r="G23" s="115">
        <f t="shared" si="17"/>
        <v>41.709771629797203</v>
      </c>
      <c r="H23" s="66">
        <f t="shared" si="18"/>
        <v>13.797193202790641</v>
      </c>
      <c r="I23" s="66">
        <f t="shared" si="1"/>
        <v>31.07749925177367</v>
      </c>
      <c r="J23" s="66">
        <f t="shared" si="19"/>
        <v>5.1022525320839618</v>
      </c>
      <c r="K23" s="66">
        <f t="shared" si="20"/>
        <v>4.6587699162851717</v>
      </c>
      <c r="L23" s="66">
        <f t="shared" si="21"/>
        <v>6.25</v>
      </c>
      <c r="M23" s="68">
        <f t="shared" si="2"/>
        <v>5.1297743266365323</v>
      </c>
      <c r="N23" s="273">
        <f>IF($I$2="RRO (Capped)",VLOOKUP(A23,'Misc. Data &amp; Mechanisms'!$A$1278:$E$1368,4,FALSE),IF($I$2="RRO (Uncapped)",VLOOKUP(A23,'Misc. Data &amp; Mechanisms'!$G$1278:$K$1368,4,FALSE),AS23))</f>
        <v>6.8949999999999996</v>
      </c>
      <c r="O23" s="333">
        <f t="shared" si="3"/>
        <v>41.709771629797203</v>
      </c>
      <c r="P23" s="336">
        <v>2.2808000000000002</v>
      </c>
      <c r="Q23" s="333">
        <f t="shared" si="4"/>
        <v>13.797193202790641</v>
      </c>
      <c r="R23" s="337">
        <v>1.8223</v>
      </c>
      <c r="S23" s="337">
        <v>0.64690000000000003</v>
      </c>
      <c r="T23" s="338">
        <f t="shared" si="5"/>
        <v>11.023599251773668</v>
      </c>
      <c r="U23" s="333">
        <f t="shared" si="6"/>
        <v>20.053900000000002</v>
      </c>
      <c r="V23" s="205">
        <f>VLOOKUP($A23,'Misc. Data &amp; Mechanisms'!$A$63:$DY$152,HLOOKUP('Service Zone Menu'!$K$5&amp;"_FORTIS_Elec_Y_1",'Misc. Data &amp; Mechanisms'!$A$55:$DY$62,8,FALSE), FALSE)</f>
        <v>0.107</v>
      </c>
      <c r="W23" s="205">
        <f>VLOOKUP($A23,'Misc. Data &amp; Mechanisms'!$A$63:$DY$152,HLOOKUP('Service Zone Menu'!$K$5&amp;"_FORTIS_Elec_Y_2",'Misc. Data &amp; Mechanisms'!$A$55:$DY$62,8,FALSE), FALSE)</f>
        <v>6.7000000000000002E-3</v>
      </c>
      <c r="X23" s="338">
        <f t="shared" si="7"/>
        <v>4.8015920926383808</v>
      </c>
      <c r="Y23" s="333">
        <f t="shared" si="8"/>
        <v>0.30066043944558091</v>
      </c>
      <c r="Z23" s="336">
        <v>-0.55940000000000001</v>
      </c>
      <c r="AA23" s="339">
        <v>-3.8399999999999997E-2</v>
      </c>
      <c r="AB23" s="339"/>
      <c r="AC23" s="1495">
        <v>1.2070000000000001</v>
      </c>
      <c r="AD23" s="339">
        <v>4.0899999999999999E-2</v>
      </c>
      <c r="AE23" s="338">
        <f t="shared" si="9"/>
        <v>-3.3839660985799211</v>
      </c>
      <c r="AF23" s="338">
        <f t="shared" si="10"/>
        <v>-0.52981221898716058</v>
      </c>
      <c r="AG23" s="338">
        <f t="shared" si="11"/>
        <v>7.3014785144547103</v>
      </c>
      <c r="AH23" s="333">
        <f t="shared" si="12"/>
        <v>1.2710697193975431</v>
      </c>
      <c r="AI23" s="200">
        <f>IF(OR($I$2="RRO (Capped)",$I$2="RRO (Uncapped)"),VLOOKUP(A23,'Misc. Data &amp; Mechanisms'!$A$1483:$H$1574,4,FALSE),AT23)</f>
        <v>6.25</v>
      </c>
      <c r="AJ23" s="333">
        <f t="shared" si="22"/>
        <v>6.25</v>
      </c>
      <c r="AK23" s="340">
        <f>5%</f>
        <v>0.05</v>
      </c>
      <c r="AL23" s="341">
        <f>'Misc. Data &amp; Mechanisms'!AJ296</f>
        <v>536.83153756378135</v>
      </c>
      <c r="AM23" s="196">
        <f>'Misc. Data &amp; Mechanisms'!AP296</f>
        <v>484.40845953707566</v>
      </c>
      <c r="AN23" s="1087">
        <f>'Misc. Data &amp; Mechanisms'!Q296</f>
        <v>604.92779738647141</v>
      </c>
      <c r="AO23" s="1087">
        <f>'Misc. Data &amp; Mechanisms'!R296</f>
        <v>459.08434059535728</v>
      </c>
      <c r="AP23" s="1087">
        <f>'Misc. Data &amp; Mechanisms'!S296</f>
        <v>339.75296047802328</v>
      </c>
      <c r="AQ23" s="1463">
        <f>'Misc. Data &amp; Mechanisms'!$B$259</f>
        <v>611.34673880086393</v>
      </c>
      <c r="AR23" s="197">
        <f>IFERROR(IF('Personalized Bill Menu'!$B$30="Yes", IF('Personalized Bill Menu'!$B$34="Natural Gas",0,VLOOKUP($A23, 'Personalized Bill Menu'!$H$4:$L$93, 2, FALSE)), 0), 0)</f>
        <v>0</v>
      </c>
      <c r="AS23" s="1343">
        <f>IFERROR(IF('Personalized Bill Menu'!$C$36="Custom", IF('Personalized Bill Menu'!$B$34="Natural Gas",0,VLOOKUP($A23, 'Personalized Bill Menu'!$H$4:$L$93, 3, FALSE)), 0), 0)</f>
        <v>0</v>
      </c>
      <c r="AT23" s="1344">
        <f>IFERROR(IF('Personalized Bill Menu'!$C$36="Custom", IF('Personalized Bill Menu'!$B$34="Natural Gas",0,VLOOKUP($A23, 'Personalized Bill Menu'!$H$4:$L$93, 4, FALSE)), 0), 0)</f>
        <v>0</v>
      </c>
      <c r="AU23" s="335"/>
      <c r="AV23" s="335"/>
      <c r="AW23" s="335"/>
    </row>
    <row r="24" spans="1:49" ht="15" x14ac:dyDescent="0.25">
      <c r="A24" s="206">
        <v>41426</v>
      </c>
      <c r="B24" s="207">
        <f t="shared" si="0"/>
        <v>30</v>
      </c>
      <c r="C24" s="1581">
        <f t="shared" si="13"/>
        <v>609.12075502658934</v>
      </c>
      <c r="D24" s="178">
        <f t="shared" si="14"/>
        <v>17.614668520428975</v>
      </c>
      <c r="E24" s="178">
        <f t="shared" si="15"/>
        <v>12.674730411000001</v>
      </c>
      <c r="F24" s="86">
        <f t="shared" si="16"/>
        <v>107.29460188706793</v>
      </c>
      <c r="G24" s="115">
        <f t="shared" si="17"/>
        <v>41.828322247675885</v>
      </c>
      <c r="H24" s="66">
        <f t="shared" si="18"/>
        <v>13.89282618064645</v>
      </c>
      <c r="I24" s="66">
        <f t="shared" si="1"/>
        <v>30.507007518849537</v>
      </c>
      <c r="J24" s="66">
        <f t="shared" si="19"/>
        <v>5.0482610916326935</v>
      </c>
      <c r="K24" s="66">
        <f t="shared" si="20"/>
        <v>4.6589180917363162</v>
      </c>
      <c r="L24" s="66">
        <f t="shared" si="21"/>
        <v>6.25</v>
      </c>
      <c r="M24" s="68">
        <f t="shared" si="2"/>
        <v>5.1092667565270444</v>
      </c>
      <c r="N24" s="273">
        <f>IF($I$2="RRO (Capped)",VLOOKUP(A24,'Misc. Data &amp; Mechanisms'!$A$1278:$E$1368,4,FALSE),IF($I$2="RRO (Uncapped)",VLOOKUP(A24,'Misc. Data &amp; Mechanisms'!$G$1278:$K$1368,4,FALSE),AS24))</f>
        <v>6.867</v>
      </c>
      <c r="O24" s="333">
        <f t="shared" si="3"/>
        <v>41.828322247675885</v>
      </c>
      <c r="P24" s="336">
        <v>2.2808000000000002</v>
      </c>
      <c r="Q24" s="333">
        <f t="shared" si="4"/>
        <v>13.89282618064645</v>
      </c>
      <c r="R24" s="337">
        <v>1.8223</v>
      </c>
      <c r="S24" s="337">
        <v>0.64690000000000003</v>
      </c>
      <c r="T24" s="338">
        <f t="shared" si="5"/>
        <v>11.100007518849537</v>
      </c>
      <c r="U24" s="333">
        <f t="shared" si="6"/>
        <v>19.407</v>
      </c>
      <c r="V24" s="205">
        <f>VLOOKUP($A24,'Misc. Data &amp; Mechanisms'!$A$63:$DY$152,HLOOKUP('Service Zone Menu'!$K$5&amp;"_FORTIS_Elec_Y_1",'Misc. Data &amp; Mechanisms'!$A$55:$DY$62,8,FALSE), FALSE)</f>
        <v>0.107</v>
      </c>
      <c r="W24" s="205">
        <f>VLOOKUP($A24,'Misc. Data &amp; Mechanisms'!$A$63:$DY$152,HLOOKUP('Service Zone Menu'!$K$5&amp;"_FORTIS_Elec_Y_2",'Misc. Data &amp; Mechanisms'!$A$55:$DY$62,8,FALSE), FALSE)</f>
        <v>6.7000000000000002E-3</v>
      </c>
      <c r="X24" s="338">
        <f t="shared" si="7"/>
        <v>4.75078220584607</v>
      </c>
      <c r="Y24" s="333">
        <f t="shared" si="8"/>
        <v>0.29747888578662313</v>
      </c>
      <c r="Z24" s="336">
        <v>-0.55940000000000001</v>
      </c>
      <c r="AA24" s="339">
        <v>-3.8399999999999997E-2</v>
      </c>
      <c r="AB24" s="339"/>
      <c r="AC24" s="1495">
        <v>1.2070000000000001</v>
      </c>
      <c r="AD24" s="339">
        <v>4.0899999999999999E-2</v>
      </c>
      <c r="AE24" s="338">
        <f t="shared" si="9"/>
        <v>-3.4074215036187407</v>
      </c>
      <c r="AF24" s="338">
        <f t="shared" si="10"/>
        <v>-0.53348452533682367</v>
      </c>
      <c r="AG24" s="338">
        <f t="shared" si="11"/>
        <v>7.3520875131709342</v>
      </c>
      <c r="AH24" s="333">
        <f t="shared" si="12"/>
        <v>1.247736607520946</v>
      </c>
      <c r="AI24" s="200">
        <f>IF(OR($I$2="RRO (Capped)",$I$2="RRO (Uncapped)"),VLOOKUP(A24,'Misc. Data &amp; Mechanisms'!$A$1483:$H$1574,4,FALSE),AT24)</f>
        <v>6.25</v>
      </c>
      <c r="AJ24" s="333">
        <f t="shared" si="22"/>
        <v>6.25</v>
      </c>
      <c r="AK24" s="340">
        <f>5%</f>
        <v>0.05</v>
      </c>
      <c r="AL24" s="341">
        <f>'Misc. Data &amp; Mechanisms'!AJ297</f>
        <v>540.55249716690946</v>
      </c>
      <c r="AM24" s="196">
        <f>'Misc. Data &amp; Mechanisms'!AP297</f>
        <v>470.95388128869058</v>
      </c>
      <c r="AN24" s="1087">
        <f>'Misc. Data &amp; Mechanisms'!Q297</f>
        <v>609.12075502658934</v>
      </c>
      <c r="AO24" s="1087">
        <f>'Misc. Data &amp; Mechanisms'!R297</f>
        <v>462.26640827628421</v>
      </c>
      <c r="AP24" s="1087">
        <f>'Misc. Data &amp; Mechanisms'!S297</f>
        <v>342.10790230338444</v>
      </c>
      <c r="AQ24" s="1463">
        <f>'Misc. Data &amp; Mechanisms'!$B$259</f>
        <v>611.34673880086393</v>
      </c>
      <c r="AR24" s="197">
        <f>IFERROR(IF('Personalized Bill Menu'!$B$30="Yes", IF('Personalized Bill Menu'!$B$34="Natural Gas",0,VLOOKUP($A24, 'Personalized Bill Menu'!$H$4:$L$93, 2, FALSE)), 0), 0)</f>
        <v>0</v>
      </c>
      <c r="AS24" s="1343">
        <f>IFERROR(IF('Personalized Bill Menu'!$C$36="Custom", IF('Personalized Bill Menu'!$B$34="Natural Gas",0,VLOOKUP($A24, 'Personalized Bill Menu'!$H$4:$L$93, 3, FALSE)), 0), 0)</f>
        <v>0</v>
      </c>
      <c r="AT24" s="1344">
        <f>IFERROR(IF('Personalized Bill Menu'!$C$36="Custom", IF('Personalized Bill Menu'!$B$34="Natural Gas",0,VLOOKUP($A24, 'Personalized Bill Menu'!$H$4:$L$93, 4, FALSE)), 0), 0)</f>
        <v>0</v>
      </c>
      <c r="AU24" s="335"/>
      <c r="AV24" s="335"/>
      <c r="AW24" s="335"/>
    </row>
    <row r="25" spans="1:49" ht="15" x14ac:dyDescent="0.25">
      <c r="A25" s="206">
        <v>41456</v>
      </c>
      <c r="B25" s="207">
        <f t="shared" si="0"/>
        <v>31</v>
      </c>
      <c r="C25" s="1581">
        <f t="shared" si="13"/>
        <v>646.39614127700622</v>
      </c>
      <c r="D25" s="178">
        <f t="shared" si="14"/>
        <v>20.631943543426512</v>
      </c>
      <c r="E25" s="178">
        <f t="shared" si="15"/>
        <v>15.8688326055</v>
      </c>
      <c r="F25" s="86">
        <f t="shared" si="16"/>
        <v>133.36408693515941</v>
      </c>
      <c r="G25" s="115">
        <f t="shared" si="17"/>
        <v>67.6453561846387</v>
      </c>
      <c r="H25" s="66">
        <f t="shared" si="18"/>
        <v>14.743003190245959</v>
      </c>
      <c r="I25" s="66">
        <f t="shared" si="1"/>
        <v>31.833176882490886</v>
      </c>
      <c r="J25" s="66">
        <f t="shared" si="19"/>
        <v>5.4773587765538529</v>
      </c>
      <c r="K25" s="66">
        <f t="shared" si="20"/>
        <v>1.224521094793849</v>
      </c>
      <c r="L25" s="66">
        <f t="shared" si="21"/>
        <v>6.09</v>
      </c>
      <c r="M25" s="68">
        <f t="shared" si="2"/>
        <v>6.3506708064361632</v>
      </c>
      <c r="N25" s="273">
        <f>IF($I$2="RRO (Capped)",VLOOKUP(A25,'Misc. Data &amp; Mechanisms'!$A$1278:$E$1368,4,FALSE),IF($I$2="RRO (Uncapped)",VLOOKUP(A25,'Misc. Data &amp; Mechanisms'!$G$1278:$K$1368,4,FALSE),AS25))</f>
        <v>10.465</v>
      </c>
      <c r="O25" s="333">
        <f t="shared" si="3"/>
        <v>67.6453561846387</v>
      </c>
      <c r="P25" s="336">
        <v>2.2808000000000002</v>
      </c>
      <c r="Q25" s="333">
        <f t="shared" si="4"/>
        <v>14.743003190245959</v>
      </c>
      <c r="R25" s="337">
        <v>1.8223</v>
      </c>
      <c r="S25" s="337">
        <v>0.64690000000000003</v>
      </c>
      <c r="T25" s="338">
        <f t="shared" si="5"/>
        <v>11.779276882490883</v>
      </c>
      <c r="U25" s="333">
        <f t="shared" si="6"/>
        <v>20.053900000000002</v>
      </c>
      <c r="V25" s="205">
        <f>VLOOKUP($A25,'Misc. Data &amp; Mechanisms'!$A$63:$DY$152,HLOOKUP('Service Zone Menu'!$K$5&amp;"_FORTIS_Elec_Y_1",'Misc. Data &amp; Mechanisms'!$A$55:$DY$62,8,FALSE), FALSE)</f>
        <v>0.107</v>
      </c>
      <c r="W25" s="205">
        <f>VLOOKUP($A25,'Misc. Data &amp; Mechanisms'!$A$63:$DY$152,HLOOKUP('Service Zone Menu'!$K$5&amp;"_FORTIS_Elec_Y_2",'Misc. Data &amp; Mechanisms'!$A$55:$DY$62,8,FALSE), FALSE)</f>
        <v>1.06E-2</v>
      </c>
      <c r="X25" s="338">
        <f t="shared" si="7"/>
        <v>4.9836512677828422</v>
      </c>
      <c r="Y25" s="333">
        <f t="shared" si="8"/>
        <v>0.49370750877101055</v>
      </c>
      <c r="Z25" s="336">
        <v>-0.55940000000000001</v>
      </c>
      <c r="AA25" s="339">
        <v>-3.8399999999999997E-2</v>
      </c>
      <c r="AB25" s="339"/>
      <c r="AC25" s="1495">
        <v>0.63500000000000001</v>
      </c>
      <c r="AD25" s="339">
        <v>4.0899999999999999E-2</v>
      </c>
      <c r="AE25" s="338">
        <f t="shared" si="9"/>
        <v>-3.6159400143035727</v>
      </c>
      <c r="AF25" s="338">
        <f t="shared" si="10"/>
        <v>-0.56613132250544473</v>
      </c>
      <c r="AG25" s="338">
        <f t="shared" si="11"/>
        <v>4.1046154971089894</v>
      </c>
      <c r="AH25" s="333">
        <f t="shared" si="12"/>
        <v>1.3019769344938772</v>
      </c>
      <c r="AI25" s="200">
        <f>IF(OR($I$2="RRO (Capped)",$I$2="RRO (Uncapped)"),VLOOKUP(A25,'Misc. Data &amp; Mechanisms'!$A$1483:$H$1574,4,FALSE),AT25)</f>
        <v>6.09</v>
      </c>
      <c r="AJ25" s="333">
        <f t="shared" si="22"/>
        <v>6.09</v>
      </c>
      <c r="AK25" s="340">
        <f>5%</f>
        <v>0.05</v>
      </c>
      <c r="AL25" s="341">
        <f>'Misc. Data &amp; Mechanisms'!AJ298</f>
        <v>573.63182167563411</v>
      </c>
      <c r="AM25" s="196">
        <f>'Misc. Data &amp; Mechanisms'!AP298</f>
        <v>503.85754984348307</v>
      </c>
      <c r="AN25" s="1087">
        <f>'Misc. Data &amp; Mechanisms'!Q298</f>
        <v>646.39614127700622</v>
      </c>
      <c r="AO25" s="1087">
        <f>'Misc. Data &amp; Mechanisms'!R298</f>
        <v>490.55498451818096</v>
      </c>
      <c r="AP25" s="1087">
        <f>'Misc. Data &amp; Mechanisms'!S298</f>
        <v>363.04333110374091</v>
      </c>
      <c r="AQ25" s="1463">
        <f>'Misc. Data &amp; Mechanisms'!$B$259</f>
        <v>611.34673880086393</v>
      </c>
      <c r="AR25" s="197">
        <f>IFERROR(IF('Personalized Bill Menu'!$B$30="Yes", IF('Personalized Bill Menu'!$B$34="Natural Gas",0,VLOOKUP($A25, 'Personalized Bill Menu'!$H$4:$L$93, 2, FALSE)), 0), 0)</f>
        <v>0</v>
      </c>
      <c r="AS25" s="1343">
        <f>IFERROR(IF('Personalized Bill Menu'!$C$36="Custom", IF('Personalized Bill Menu'!$B$34="Natural Gas",0,VLOOKUP($A25, 'Personalized Bill Menu'!$H$4:$L$93, 3, FALSE)), 0), 0)</f>
        <v>0</v>
      </c>
      <c r="AT25" s="1344">
        <f>IFERROR(IF('Personalized Bill Menu'!$C$36="Custom", IF('Personalized Bill Menu'!$B$34="Natural Gas",0,VLOOKUP($A25, 'Personalized Bill Menu'!$H$4:$L$93, 4, FALSE)), 0), 0)</f>
        <v>0</v>
      </c>
      <c r="AU25" s="335"/>
      <c r="AV25" s="335"/>
      <c r="AW25" s="335"/>
    </row>
    <row r="26" spans="1:49" x14ac:dyDescent="0.35">
      <c r="A26" s="206">
        <v>41487</v>
      </c>
      <c r="B26" s="207">
        <f t="shared" si="0"/>
        <v>31</v>
      </c>
      <c r="C26" s="1581">
        <f t="shared" si="13"/>
        <v>644.91102201440174</v>
      </c>
      <c r="D26" s="178">
        <f t="shared" si="14"/>
        <v>21.388649958862608</v>
      </c>
      <c r="E26" s="178">
        <f t="shared" si="15"/>
        <v>16.542932605499999</v>
      </c>
      <c r="F26" s="86">
        <f t="shared" si="16"/>
        <v>137.93776104478377</v>
      </c>
      <c r="G26" s="115">
        <f t="shared" si="17"/>
        <v>71.630267215139597</v>
      </c>
      <c r="H26" s="66">
        <f t="shared" si="18"/>
        <v>14.709130590104476</v>
      </c>
      <c r="I26" s="66">
        <f t="shared" si="1"/>
        <v>31.806113554168444</v>
      </c>
      <c r="J26" s="66">
        <f t="shared" si="19"/>
        <v>5.4701927113664954</v>
      </c>
      <c r="K26" s="66">
        <f t="shared" si="20"/>
        <v>1.2235921623483654</v>
      </c>
      <c r="L26" s="66">
        <f t="shared" si="21"/>
        <v>6.53</v>
      </c>
      <c r="M26" s="68">
        <f t="shared" si="2"/>
        <v>6.5684648116563693</v>
      </c>
      <c r="N26" s="273">
        <f>IF($I$2="RRO (Capped)",VLOOKUP(A26,'Misc. Data &amp; Mechanisms'!$A$1278:$E$1368,4,FALSE),IF($I$2="RRO (Uncapped)",VLOOKUP(A26,'Misc. Data &amp; Mechanisms'!$G$1278:$K$1368,4,FALSE),AS26))</f>
        <v>11.106999999999999</v>
      </c>
      <c r="O26" s="333">
        <f t="shared" si="3"/>
        <v>71.630267215139597</v>
      </c>
      <c r="P26" s="336">
        <v>2.2808000000000002</v>
      </c>
      <c r="Q26" s="333">
        <f t="shared" si="4"/>
        <v>14.709130590104476</v>
      </c>
      <c r="R26" s="337">
        <v>1.8223</v>
      </c>
      <c r="S26" s="337">
        <v>0.64690000000000003</v>
      </c>
      <c r="T26" s="338">
        <f t="shared" si="5"/>
        <v>11.752213554168442</v>
      </c>
      <c r="U26" s="333">
        <f t="shared" si="6"/>
        <v>20.053900000000002</v>
      </c>
      <c r="V26" s="205">
        <f>VLOOKUP($A26,'Misc. Data &amp; Mechanisms'!$A$63:$DY$152,HLOOKUP('Service Zone Menu'!$K$5&amp;"_FORTIS_Elec_Y_1",'Misc. Data &amp; Mechanisms'!$A$55:$DY$62,8,FALSE), FALSE)</f>
        <v>0.107</v>
      </c>
      <c r="W26" s="205">
        <f>VLOOKUP($A26,'Misc. Data &amp; Mechanisms'!$A$63:$DY$152,HLOOKUP('Service Zone Menu'!$K$5&amp;"_FORTIS_Elec_Y_2",'Misc. Data &amp; Mechanisms'!$A$55:$DY$62,8,FALSE), FALSE)</f>
        <v>1.06E-2</v>
      </c>
      <c r="X26" s="338">
        <f t="shared" si="7"/>
        <v>4.9771311234372027</v>
      </c>
      <c r="Y26" s="333">
        <f t="shared" si="8"/>
        <v>0.49306158792929294</v>
      </c>
      <c r="Z26" s="336">
        <v>-0.55940000000000001</v>
      </c>
      <c r="AA26" s="339">
        <v>-3.8399999999999997E-2</v>
      </c>
      <c r="AB26" s="339"/>
      <c r="AC26" s="1495">
        <v>0.63500000000000001</v>
      </c>
      <c r="AD26" s="339">
        <v>4.0899999999999999E-2</v>
      </c>
      <c r="AE26" s="338">
        <f t="shared" si="9"/>
        <v>-3.6076322571485635</v>
      </c>
      <c r="AF26" s="338">
        <f t="shared" si="10"/>
        <v>-0.56483061466001183</v>
      </c>
      <c r="AG26" s="338">
        <f t="shared" si="11"/>
        <v>4.0951849897914512</v>
      </c>
      <c r="AH26" s="333">
        <f t="shared" si="12"/>
        <v>1.3008700443654893</v>
      </c>
      <c r="AI26" s="200">
        <f>IF(OR($I$2="RRO (Capped)",$I$2="RRO (Uncapped)"),VLOOKUP(A26,'Misc. Data &amp; Mechanisms'!$A$1483:$H$1574,4,FALSE),AT26)</f>
        <v>6.53</v>
      </c>
      <c r="AJ26" s="333">
        <f t="shared" si="22"/>
        <v>6.53</v>
      </c>
      <c r="AK26" s="340">
        <f>5%</f>
        <v>0.05</v>
      </c>
      <c r="AL26" s="341">
        <f>'Misc. Data &amp; Mechanisms'!AJ299</f>
        <v>572.31388115338666</v>
      </c>
      <c r="AM26" s="196">
        <f>'Misc. Data &amp; Mechanisms'!AP299</f>
        <v>503.25925664322148</v>
      </c>
      <c r="AN26" s="1087">
        <f>'Misc. Data &amp; Mechanisms'!Q299</f>
        <v>644.91102201440174</v>
      </c>
      <c r="AO26" s="1087">
        <f>'Misc. Data &amp; Mechanisms'!R299</f>
        <v>489.42791613031079</v>
      </c>
      <c r="AP26" s="1087">
        <f>'Misc. Data &amp; Mechanisms'!S299</f>
        <v>362.2092254992163</v>
      </c>
      <c r="AQ26" s="1463">
        <f>'Misc. Data &amp; Mechanisms'!$B$259</f>
        <v>611.34673880086393</v>
      </c>
      <c r="AR26" s="197">
        <f>IFERROR(IF('Personalized Bill Menu'!$B$30="Yes", IF('Personalized Bill Menu'!$B$34="Natural Gas",0,VLOOKUP($A26, 'Personalized Bill Menu'!$H$4:$L$93, 2, FALSE)), 0), 0)</f>
        <v>0</v>
      </c>
      <c r="AS26" s="1343">
        <f>IFERROR(IF('Personalized Bill Menu'!$C$36="Custom", IF('Personalized Bill Menu'!$B$34="Natural Gas",0,VLOOKUP($A26, 'Personalized Bill Menu'!$H$4:$L$93, 3, FALSE)), 0), 0)</f>
        <v>0</v>
      </c>
      <c r="AT26" s="1344">
        <f>IFERROR(IF('Personalized Bill Menu'!$C$36="Custom", IF('Personalized Bill Menu'!$B$34="Natural Gas",0,VLOOKUP($A26, 'Personalized Bill Menu'!$H$4:$L$93, 4, FALSE)), 0), 0)</f>
        <v>0</v>
      </c>
      <c r="AU26" s="335"/>
      <c r="AV26" s="335"/>
      <c r="AW26" s="335"/>
    </row>
    <row r="27" spans="1:49" x14ac:dyDescent="0.35">
      <c r="A27" s="206">
        <v>41518</v>
      </c>
      <c r="B27" s="207">
        <f t="shared" si="0"/>
        <v>30</v>
      </c>
      <c r="C27" s="1581">
        <f t="shared" si="13"/>
        <v>625.38735085128417</v>
      </c>
      <c r="D27" s="178">
        <f t="shared" si="14"/>
        <v>20.51214924063142</v>
      </c>
      <c r="E27" s="178">
        <f t="shared" si="15"/>
        <v>15.640982605500001</v>
      </c>
      <c r="F27" s="86">
        <f t="shared" si="16"/>
        <v>128.28038673864663</v>
      </c>
      <c r="G27" s="115">
        <f t="shared" si="17"/>
        <v>64.0896957152396</v>
      </c>
      <c r="H27" s="66">
        <f t="shared" si="18"/>
        <v>14.26383469821609</v>
      </c>
      <c r="I27" s="66">
        <f t="shared" si="1"/>
        <v>30.803433694562951</v>
      </c>
      <c r="J27" s="66">
        <f t="shared" si="19"/>
        <v>5.2999107629908151</v>
      </c>
      <c r="K27" s="66">
        <f t="shared" si="20"/>
        <v>1.1849220229396975</v>
      </c>
      <c r="L27" s="66">
        <f t="shared" si="21"/>
        <v>6.53</v>
      </c>
      <c r="M27" s="68">
        <f t="shared" si="2"/>
        <v>6.1085898446974589</v>
      </c>
      <c r="N27" s="273">
        <f>IF($I$2="RRO (Capped)",VLOOKUP(A27,'Misc. Data &amp; Mechanisms'!$A$1278:$E$1368,4,FALSE),IF($I$2="RRO (Uncapped)",VLOOKUP(A27,'Misc. Data &amp; Mechanisms'!$G$1278:$K$1368,4,FALSE),AS27))</f>
        <v>10.247999999999999</v>
      </c>
      <c r="O27" s="333">
        <f t="shared" si="3"/>
        <v>64.0896957152396</v>
      </c>
      <c r="P27" s="336">
        <v>2.2808000000000002</v>
      </c>
      <c r="Q27" s="333">
        <f t="shared" si="4"/>
        <v>14.26383469821609</v>
      </c>
      <c r="R27" s="337">
        <v>1.8223</v>
      </c>
      <c r="S27" s="337">
        <v>0.64690000000000003</v>
      </c>
      <c r="T27" s="338">
        <f t="shared" si="5"/>
        <v>11.396433694562951</v>
      </c>
      <c r="U27" s="333">
        <f t="shared" si="6"/>
        <v>19.407</v>
      </c>
      <c r="V27" s="205">
        <f>VLOOKUP($A27,'Misc. Data &amp; Mechanisms'!$A$63:$DY$152,HLOOKUP('Service Zone Menu'!$K$5&amp;"_FORTIS_Elec_Y_1",'Misc. Data &amp; Mechanisms'!$A$55:$DY$62,8,FALSE), FALSE)</f>
        <v>0.107</v>
      </c>
      <c r="W27" s="205">
        <f>VLOOKUP($A27,'Misc. Data &amp; Mechanisms'!$A$63:$DY$152,HLOOKUP('Service Zone Menu'!$K$5&amp;"_FORTIS_Elec_Y_2",'Misc. Data &amp; Mechanisms'!$A$55:$DY$62,8,FALSE), FALSE)</f>
        <v>1.06E-2</v>
      </c>
      <c r="X27" s="338">
        <f t="shared" si="7"/>
        <v>4.8221977180273576</v>
      </c>
      <c r="Y27" s="333">
        <f t="shared" si="8"/>
        <v>0.47771304496345784</v>
      </c>
      <c r="Z27" s="336">
        <v>-0.55940000000000001</v>
      </c>
      <c r="AA27" s="339">
        <v>-3.8399999999999997E-2</v>
      </c>
      <c r="AB27" s="339"/>
      <c r="AC27" s="1495">
        <v>0.63500000000000001</v>
      </c>
      <c r="AD27" s="339">
        <v>4.0899999999999999E-2</v>
      </c>
      <c r="AE27" s="338">
        <f t="shared" si="9"/>
        <v>-3.4984168406620837</v>
      </c>
      <c r="AF27" s="338">
        <f t="shared" si="10"/>
        <v>-0.54773125241149778</v>
      </c>
      <c r="AG27" s="338">
        <f t="shared" si="11"/>
        <v>3.9712096779056543</v>
      </c>
      <c r="AH27" s="333">
        <f t="shared" si="12"/>
        <v>1.2598604381076246</v>
      </c>
      <c r="AI27" s="200">
        <f>IF(OR($I$2="RRO (Capped)",$I$2="RRO (Uncapped)"),VLOOKUP(A27,'Misc. Data &amp; Mechanisms'!$A$1483:$H$1574,4,FALSE),AT27)</f>
        <v>6.53</v>
      </c>
      <c r="AJ27" s="333">
        <f>IF($AI$6="$/day", $AI27*$B27,$AI27)</f>
        <v>6.53</v>
      </c>
      <c r="AK27" s="340">
        <f>5%</f>
        <v>0.05</v>
      </c>
      <c r="AL27" s="341">
        <f>'Misc. Data &amp; Mechanisms'!AJ300</f>
        <v>554.98797473171476</v>
      </c>
      <c r="AM27" s="196">
        <f>'Misc. Data &amp; Mechanisms'!AP300</f>
        <v>488.30890756761858</v>
      </c>
      <c r="AN27" s="1087">
        <f>'Misc. Data &amp; Mechanisms'!Q300</f>
        <v>625.38735085128417</v>
      </c>
      <c r="AO27" s="1087">
        <f>'Misc. Data &amp; Mechanisms'!R300</f>
        <v>474.61125248773357</v>
      </c>
      <c r="AP27" s="1087">
        <f>'Misc. Data &amp; Mechanisms'!S300</f>
        <v>351.24390847175152</v>
      </c>
      <c r="AQ27" s="1463">
        <f>'Misc. Data &amp; Mechanisms'!$B$259</f>
        <v>611.34673880086393</v>
      </c>
      <c r="AR27" s="197">
        <f>IFERROR(IF('Personalized Bill Menu'!$B$30="Yes", IF('Personalized Bill Menu'!$B$34="Natural Gas",0,VLOOKUP($A27, 'Personalized Bill Menu'!$H$4:$L$93, 2, FALSE)), 0), 0)</f>
        <v>0</v>
      </c>
      <c r="AS27" s="1343">
        <f>IFERROR(IF('Personalized Bill Menu'!$C$36="Custom", IF('Personalized Bill Menu'!$B$34="Natural Gas",0,VLOOKUP($A27, 'Personalized Bill Menu'!$H$4:$L$93, 3, FALSE)), 0), 0)</f>
        <v>0</v>
      </c>
      <c r="AT27" s="1344">
        <f>IFERROR(IF('Personalized Bill Menu'!$C$36="Custom", IF('Personalized Bill Menu'!$B$34="Natural Gas",0,VLOOKUP($A27, 'Personalized Bill Menu'!$H$4:$L$93, 4, FALSE)), 0), 0)</f>
        <v>0</v>
      </c>
      <c r="AU27" s="335"/>
      <c r="AV27" s="335"/>
      <c r="AW27" s="335"/>
    </row>
    <row r="28" spans="1:49" x14ac:dyDescent="0.35">
      <c r="A28" s="206">
        <v>41548</v>
      </c>
      <c r="B28" s="207">
        <f t="shared" si="0"/>
        <v>31</v>
      </c>
      <c r="C28" s="1581">
        <f t="shared" si="13"/>
        <v>681.01074819404118</v>
      </c>
      <c r="D28" s="178">
        <f t="shared" si="14"/>
        <v>18.528906807427255</v>
      </c>
      <c r="E28" s="178">
        <f t="shared" si="15"/>
        <v>14.1142826055</v>
      </c>
      <c r="F28" s="86">
        <f t="shared" si="16"/>
        <v>126.18384688143698</v>
      </c>
      <c r="G28" s="115">
        <f t="shared" si="17"/>
        <v>54.542150822860762</v>
      </c>
      <c r="H28" s="66">
        <f t="shared" si="18"/>
        <v>15.532493144809692</v>
      </c>
      <c r="I28" s="66">
        <f t="shared" si="1"/>
        <v>32.463958864340015</v>
      </c>
      <c r="J28" s="66">
        <f t="shared" si="19"/>
        <v>5.6443827562760056</v>
      </c>
      <c r="K28" s="66">
        <f t="shared" si="20"/>
        <v>6.5921066797487331</v>
      </c>
      <c r="L28" s="66">
        <f t="shared" si="21"/>
        <v>5.4</v>
      </c>
      <c r="M28" s="68">
        <f t="shared" si="2"/>
        <v>6.0087546134017611</v>
      </c>
      <c r="N28" s="273">
        <f>IF($I$2="RRO (Capped)",VLOOKUP(A28,'Misc. Data &amp; Mechanisms'!$A$1278:$E$1368,4,FALSE),IF($I$2="RRO (Uncapped)",VLOOKUP(A28,'Misc. Data &amp; Mechanisms'!$G$1278:$K$1368,4,FALSE),AS28))</f>
        <v>8.0090000000000003</v>
      </c>
      <c r="O28" s="333">
        <f t="shared" si="3"/>
        <v>54.542150822860762</v>
      </c>
      <c r="P28" s="336">
        <v>2.2808000000000002</v>
      </c>
      <c r="Q28" s="333">
        <f t="shared" si="4"/>
        <v>15.532493144809692</v>
      </c>
      <c r="R28" s="337">
        <v>1.8223</v>
      </c>
      <c r="S28" s="337">
        <v>0.64690000000000003</v>
      </c>
      <c r="T28" s="338">
        <f t="shared" si="5"/>
        <v>12.410058864340012</v>
      </c>
      <c r="U28" s="333">
        <f t="shared" si="6"/>
        <v>20.053900000000002</v>
      </c>
      <c r="V28" s="205">
        <f>VLOOKUP($A28,'Misc. Data &amp; Mechanisms'!$A$63:$DY$152,HLOOKUP('Service Zone Menu'!$K$5&amp;"_FORTIS_Elec_Y_1",'Misc. Data &amp; Mechanisms'!$A$55:$DY$62,8,FALSE), FALSE)</f>
        <v>0.107</v>
      </c>
      <c r="W28" s="205">
        <f>VLOOKUP($A28,'Misc. Data &amp; Mechanisms'!$A$63:$DY$152,HLOOKUP('Service Zone Menu'!$K$5&amp;"_FORTIS_Elec_Y_2",'Misc. Data &amp; Mechanisms'!$A$55:$DY$62,8,FALSE), FALSE)</f>
        <v>1.06E-2</v>
      </c>
      <c r="X28" s="338">
        <f t="shared" si="7"/>
        <v>5.1356203649790189</v>
      </c>
      <c r="Y28" s="333">
        <f t="shared" si="8"/>
        <v>0.50876239129698686</v>
      </c>
      <c r="Z28" s="336">
        <v>-0.55940000000000001</v>
      </c>
      <c r="AA28" s="339">
        <v>-3.8399999999999997E-2</v>
      </c>
      <c r="AB28" s="339"/>
      <c r="AC28" s="1495">
        <v>1.42</v>
      </c>
      <c r="AD28" s="339">
        <v>4.0899999999999999E-2</v>
      </c>
      <c r="AE28" s="338">
        <f t="shared" si="9"/>
        <v>-3.8095741253974662</v>
      </c>
      <c r="AF28" s="338">
        <f t="shared" si="10"/>
        <v>-0.59644773676069207</v>
      </c>
      <c r="AG28" s="338">
        <f t="shared" si="11"/>
        <v>9.6703526243553846</v>
      </c>
      <c r="AH28" s="333">
        <f t="shared" si="12"/>
        <v>1.3277759175515065</v>
      </c>
      <c r="AI28" s="200">
        <f>IF(OR($I$2="RRO (Capped)",$I$2="RRO (Uncapped)"),VLOOKUP(A28,'Misc. Data &amp; Mechanisms'!$A$1483:$H$1574,4,FALSE),AT28)</f>
        <v>5.4</v>
      </c>
      <c r="AJ28" s="333">
        <f t="shared" si="22"/>
        <v>5.4</v>
      </c>
      <c r="AK28" s="340">
        <f>5%</f>
        <v>0.05</v>
      </c>
      <c r="AL28" s="341">
        <f>'Misc. Data &amp; Mechanisms'!AJ301</f>
        <v>604.34988874697774</v>
      </c>
      <c r="AM28" s="196">
        <f>'Misc. Data &amp; Mechanisms'!AP301</f>
        <v>536.24747166657312</v>
      </c>
      <c r="AN28" s="1087">
        <f>'Misc. Data &amp; Mechanisms'!Q301</f>
        <v>681.01074819404118</v>
      </c>
      <c r="AO28" s="1087">
        <f>'Misc. Data &amp; Mechanisms'!R301</f>
        <v>516.82427493619457</v>
      </c>
      <c r="AP28" s="1087">
        <f>'Misc. Data &amp; Mechanisms'!S301</f>
        <v>382.48435402689864</v>
      </c>
      <c r="AQ28" s="1463">
        <f>'Misc. Data &amp; Mechanisms'!$B$259</f>
        <v>611.34673880086393</v>
      </c>
      <c r="AR28" s="197">
        <f>IFERROR(IF('Personalized Bill Menu'!$B$30="Yes", IF('Personalized Bill Menu'!$B$34="Natural Gas",0,VLOOKUP($A28, 'Personalized Bill Menu'!$H$4:$L$93, 2, FALSE)), 0), 0)</f>
        <v>0</v>
      </c>
      <c r="AS28" s="1343">
        <f>IFERROR(IF('Personalized Bill Menu'!$C$36="Custom", IF('Personalized Bill Menu'!$B$34="Natural Gas",0,VLOOKUP($A28, 'Personalized Bill Menu'!$H$4:$L$93, 3, FALSE)), 0), 0)</f>
        <v>0</v>
      </c>
      <c r="AT28" s="1344">
        <f>IFERROR(IF('Personalized Bill Menu'!$C$36="Custom", IF('Personalized Bill Menu'!$B$34="Natural Gas",0,VLOOKUP($A28, 'Personalized Bill Menu'!$H$4:$L$93, 4, FALSE)), 0), 0)</f>
        <v>0</v>
      </c>
      <c r="AU28" s="335"/>
      <c r="AV28" s="335"/>
      <c r="AW28" s="335"/>
    </row>
    <row r="29" spans="1:49" x14ac:dyDescent="0.35">
      <c r="A29" s="206">
        <v>41579</v>
      </c>
      <c r="B29" s="207">
        <f t="shared" si="0"/>
        <v>30</v>
      </c>
      <c r="C29" s="1581">
        <f t="shared" si="13"/>
        <v>792.62144237285895</v>
      </c>
      <c r="D29" s="178">
        <f t="shared" si="14"/>
        <v>17.81744544366817</v>
      </c>
      <c r="E29" s="178">
        <f t="shared" si="15"/>
        <v>14.123732605500001</v>
      </c>
      <c r="F29" s="86">
        <f t="shared" si="16"/>
        <v>141.22489306959989</v>
      </c>
      <c r="G29" s="115">
        <f t="shared" si="17"/>
        <v>63.552387249455833</v>
      </c>
      <c r="H29" s="66">
        <f t="shared" si="18"/>
        <v>18.078109857640168</v>
      </c>
      <c r="I29" s="66">
        <f t="shared" si="1"/>
        <v>33.850940544360611</v>
      </c>
      <c r="J29" s="66">
        <f t="shared" si="19"/>
        <v>6.1068563272752918</v>
      </c>
      <c r="K29" s="66">
        <f t="shared" si="20"/>
        <v>7.5116041827917908</v>
      </c>
      <c r="L29" s="66">
        <f t="shared" si="21"/>
        <v>5.4</v>
      </c>
      <c r="M29" s="68">
        <f t="shared" si="2"/>
        <v>6.7249949080761855</v>
      </c>
      <c r="N29" s="273">
        <f>IF($I$2="RRO (Capped)",VLOOKUP(A29,'Misc. Data &amp; Mechanisms'!$A$1278:$E$1368,4,FALSE),IF($I$2="RRO (Uncapped)",VLOOKUP(A29,'Misc. Data &amp; Mechanisms'!$G$1278:$K$1368,4,FALSE),AS29))</f>
        <v>8.0180000000000007</v>
      </c>
      <c r="O29" s="333">
        <f t="shared" si="3"/>
        <v>63.552387249455833</v>
      </c>
      <c r="P29" s="336">
        <v>2.2808000000000002</v>
      </c>
      <c r="Q29" s="333">
        <f t="shared" si="4"/>
        <v>18.078109857640168</v>
      </c>
      <c r="R29" s="337">
        <v>1.8223</v>
      </c>
      <c r="S29" s="337">
        <v>0.64690000000000003</v>
      </c>
      <c r="T29" s="338">
        <f t="shared" si="5"/>
        <v>14.443940544360608</v>
      </c>
      <c r="U29" s="333">
        <f t="shared" si="6"/>
        <v>19.407</v>
      </c>
      <c r="V29" s="205">
        <f>VLOOKUP($A29,'Misc. Data &amp; Mechanisms'!$A$63:$DY$152,HLOOKUP('Service Zone Menu'!$K$5&amp;"_FORTIS_Elec_Y_1",'Misc. Data &amp; Mechanisms'!$A$55:$DY$62,8,FALSE), FALSE)</f>
        <v>0.107</v>
      </c>
      <c r="W29" s="205">
        <f>VLOOKUP($A29,'Misc. Data &amp; Mechanisms'!$A$63:$DY$152,HLOOKUP('Service Zone Menu'!$K$5&amp;"_FORTIS_Elec_Y_2",'Misc. Data &amp; Mechanisms'!$A$55:$DY$62,8,FALSE), FALSE)</f>
        <v>1.06E-2</v>
      </c>
      <c r="X29" s="338">
        <f t="shared" si="7"/>
        <v>5.5564083930140837</v>
      </c>
      <c r="Y29" s="333">
        <f t="shared" si="8"/>
        <v>0.5504479342612083</v>
      </c>
      <c r="Z29" s="336">
        <v>-0.55940000000000001</v>
      </c>
      <c r="AA29" s="339">
        <v>-3.8399999999999997E-2</v>
      </c>
      <c r="AB29" s="339"/>
      <c r="AC29" s="1495">
        <v>1.42</v>
      </c>
      <c r="AD29" s="339">
        <v>4.0899999999999999E-2</v>
      </c>
      <c r="AE29" s="338">
        <f t="shared" si="9"/>
        <v>-4.4339243486337727</v>
      </c>
      <c r="AF29" s="338">
        <f t="shared" si="10"/>
        <v>-0.69419941853338241</v>
      </c>
      <c r="AG29" s="338">
        <f t="shared" si="11"/>
        <v>11.255224481694597</v>
      </c>
      <c r="AH29" s="333">
        <f t="shared" si="12"/>
        <v>1.3845034682643489</v>
      </c>
      <c r="AI29" s="200">
        <f>IF(OR($I$2="RRO (Capped)",$I$2="RRO (Uncapped)"),VLOOKUP(A29,'Misc. Data &amp; Mechanisms'!$A$1483:$H$1574,4,FALSE),AT29)</f>
        <v>5.4</v>
      </c>
      <c r="AJ29" s="333">
        <f t="shared" si="22"/>
        <v>5.4</v>
      </c>
      <c r="AK29" s="340">
        <f>5%</f>
        <v>0.05</v>
      </c>
      <c r="AL29" s="341">
        <f>'Misc. Data &amp; Mechanisms'!AJ302</f>
        <v>703.39665238296413</v>
      </c>
      <c r="AM29" s="196">
        <f>'Misc. Data &amp; Mechanisms'!AP302</f>
        <v>604.45600582601537</v>
      </c>
      <c r="AN29" s="1087">
        <f>'Misc. Data &amp; Mechanisms'!Q302</f>
        <v>792.62144237285895</v>
      </c>
      <c r="AO29" s="1087">
        <f>'Misc. Data &amp; Mechanisms'!R302</f>
        <v>601.52648594690402</v>
      </c>
      <c r="AP29" s="1087">
        <f>'Misc. Data &amp; Mechanisms'!S302</f>
        <v>445.1696264380696</v>
      </c>
      <c r="AQ29" s="1463">
        <f>'Misc. Data &amp; Mechanisms'!$B$259</f>
        <v>611.34673880086393</v>
      </c>
      <c r="AR29" s="197">
        <f>IFERROR(IF('Personalized Bill Menu'!$B$30="Yes", IF('Personalized Bill Menu'!$B$34="Natural Gas",0,VLOOKUP($A29, 'Personalized Bill Menu'!$H$4:$L$93, 2, FALSE)), 0), 0)</f>
        <v>0</v>
      </c>
      <c r="AS29" s="1343">
        <f>IFERROR(IF('Personalized Bill Menu'!$C$36="Custom", IF('Personalized Bill Menu'!$B$34="Natural Gas",0,VLOOKUP($A29, 'Personalized Bill Menu'!$H$4:$L$93, 3, FALSE)), 0), 0)</f>
        <v>0</v>
      </c>
      <c r="AT29" s="1344">
        <f>IFERROR(IF('Personalized Bill Menu'!$C$36="Custom", IF('Personalized Bill Menu'!$B$34="Natural Gas",0,VLOOKUP($A29, 'Personalized Bill Menu'!$H$4:$L$93, 4, FALSE)), 0), 0)</f>
        <v>0</v>
      </c>
      <c r="AU29" s="335"/>
      <c r="AV29" s="335"/>
      <c r="AW29" s="335"/>
    </row>
    <row r="30" spans="1:49" x14ac:dyDescent="0.35">
      <c r="A30" s="229">
        <v>41609</v>
      </c>
      <c r="B30" s="230">
        <f t="shared" si="0"/>
        <v>31</v>
      </c>
      <c r="C30" s="231">
        <f t="shared" si="13"/>
        <v>965.67322420607456</v>
      </c>
      <c r="D30" s="208">
        <f t="shared" si="14"/>
        <v>17.154057837110265</v>
      </c>
      <c r="E30" s="208">
        <f t="shared" si="15"/>
        <v>14.040782605499999</v>
      </c>
      <c r="F30" s="342">
        <f t="shared" si="16"/>
        <v>165.65214339779752</v>
      </c>
      <c r="G30" s="343">
        <f t="shared" si="17"/>
        <v>76.664797269720268</v>
      </c>
      <c r="H30" s="344">
        <f t="shared" si="18"/>
        <v>22.02507489769215</v>
      </c>
      <c r="I30" s="344">
        <f t="shared" si="1"/>
        <v>37.651363164707298</v>
      </c>
      <c r="J30" s="344">
        <f t="shared" si="19"/>
        <v>7.0179491161381753</v>
      </c>
      <c r="K30" s="344">
        <f t="shared" si="20"/>
        <v>9.0047616448826258</v>
      </c>
      <c r="L30" s="344">
        <f t="shared" si="21"/>
        <v>5.4</v>
      </c>
      <c r="M30" s="345">
        <f t="shared" si="2"/>
        <v>7.8881973046570257</v>
      </c>
      <c r="N30" s="1243">
        <f>IF($I$2="RRO (Capped)",VLOOKUP(A30,'Misc. Data &amp; Mechanisms'!$A$1278:$E$1368,4,FALSE),IF($I$2="RRO (Uncapped)",VLOOKUP(A30,'Misc. Data &amp; Mechanisms'!$G$1278:$K$1368,4,FALSE),AS30))</f>
        <v>7.9390000000000001</v>
      </c>
      <c r="O30" s="346">
        <f t="shared" si="3"/>
        <v>76.664797269720268</v>
      </c>
      <c r="P30" s="347">
        <v>2.2808000000000002</v>
      </c>
      <c r="Q30" s="346">
        <f t="shared" si="4"/>
        <v>22.02507489769215</v>
      </c>
      <c r="R30" s="348">
        <v>1.8223</v>
      </c>
      <c r="S30" s="348">
        <v>0.64690000000000003</v>
      </c>
      <c r="T30" s="349">
        <f t="shared" si="5"/>
        <v>17.597463164707296</v>
      </c>
      <c r="U30" s="346">
        <f t="shared" si="6"/>
        <v>20.053900000000002</v>
      </c>
      <c r="V30" s="246">
        <f>VLOOKUP($A30,'Misc. Data &amp; Mechanisms'!$A$63:$DY$152,HLOOKUP('Service Zone Menu'!$K$5&amp;"_FORTIS_Elec_Y_1",'Misc. Data &amp; Mechanisms'!$A$55:$DY$62,8,FALSE), FALSE)</f>
        <v>0.107</v>
      </c>
      <c r="W30" s="246">
        <f>VLOOKUP($A30,'Misc. Data &amp; Mechanisms'!$A$63:$DY$152,HLOOKUP('Service Zone Menu'!$K$5&amp;"_FORTIS_Elec_Y_2",'Misc. Data &amp; Mechanisms'!$A$55:$DY$62,8,FALSE), FALSE)</f>
        <v>1.06E-2</v>
      </c>
      <c r="X30" s="349">
        <f t="shared" si="7"/>
        <v>6.3853788726767409</v>
      </c>
      <c r="Y30" s="346">
        <f t="shared" si="8"/>
        <v>0.6325702434614342</v>
      </c>
      <c r="Z30" s="347">
        <v>-0.55940000000000001</v>
      </c>
      <c r="AA30" s="350">
        <v>-3.8399999999999997E-2</v>
      </c>
      <c r="AB30" s="350"/>
      <c r="AC30" s="1496">
        <v>1.42</v>
      </c>
      <c r="AD30" s="350">
        <v>4.0899999999999999E-2</v>
      </c>
      <c r="AE30" s="349">
        <f t="shared" si="9"/>
        <v>-5.4019760162087813</v>
      </c>
      <c r="AF30" s="349">
        <f t="shared" si="10"/>
        <v>-0.84576287607137846</v>
      </c>
      <c r="AG30" s="349">
        <f t="shared" si="11"/>
        <v>13.712559783726258</v>
      </c>
      <c r="AH30" s="346">
        <f t="shared" si="12"/>
        <v>1.5399407534365284</v>
      </c>
      <c r="AI30" s="239">
        <f>IF(OR($I$2="RRO (Capped)",$I$2="RRO (Uncapped)"),VLOOKUP(A30,'Misc. Data &amp; Mechanisms'!$A$1483:$H$1574,4,FALSE),AT30)</f>
        <v>5.4</v>
      </c>
      <c r="AJ30" s="346">
        <f t="shared" si="22"/>
        <v>5.4</v>
      </c>
      <c r="AK30" s="351">
        <f>5%</f>
        <v>0.05</v>
      </c>
      <c r="AL30" s="352">
        <f>'Misc. Data &amp; Mechanisms'!AJ303</f>
        <v>856.9681273937681</v>
      </c>
      <c r="AM30" s="1089">
        <f>'Misc. Data &amp; Mechanisms'!AP303</f>
        <v>729.71069821545666</v>
      </c>
      <c r="AN30" s="1089">
        <f>'Misc. Data &amp; Mechanisms'!Q303</f>
        <v>965.67322420607456</v>
      </c>
      <c r="AO30" s="1089">
        <f>'Misc. Data &amp; Mechanisms'!R303</f>
        <v>732.8568091606644</v>
      </c>
      <c r="AP30" s="1089">
        <f>'Misc. Data &amp; Mechanisms'!S303</f>
        <v>542.36280461214119</v>
      </c>
      <c r="AQ30" s="1464">
        <f>'Misc. Data &amp; Mechanisms'!$B$259</f>
        <v>611.34673880086393</v>
      </c>
      <c r="AR30" s="243">
        <f>IFERROR(IF('Personalized Bill Menu'!$B$30="Yes", IF('Personalized Bill Menu'!$B$34="Natural Gas",0,VLOOKUP($A30, 'Personalized Bill Menu'!$H$4:$L$93, 2, FALSE)), 0), 0)</f>
        <v>0</v>
      </c>
      <c r="AS30" s="1345">
        <f>IFERROR(IF('Personalized Bill Menu'!$C$36="Custom", IF('Personalized Bill Menu'!$B$34="Natural Gas",0,VLOOKUP($A30, 'Personalized Bill Menu'!$H$4:$L$93, 3, FALSE)), 0), 0)</f>
        <v>0</v>
      </c>
      <c r="AT30" s="1346">
        <f>IFERROR(IF('Personalized Bill Menu'!$C$36="Custom", IF('Personalized Bill Menu'!$B$34="Natural Gas",0,VLOOKUP($A30, 'Personalized Bill Menu'!$H$4:$L$93, 4, FALSE)), 0), 0)</f>
        <v>0</v>
      </c>
      <c r="AU30" s="335"/>
      <c r="AV30" s="335"/>
      <c r="AW30" s="335"/>
    </row>
    <row r="31" spans="1:49" x14ac:dyDescent="0.35">
      <c r="A31" s="206">
        <v>41640</v>
      </c>
      <c r="B31" s="207">
        <f t="shared" si="0"/>
        <v>31</v>
      </c>
      <c r="C31" s="212">
        <f t="shared" si="13"/>
        <v>841.73614748609509</v>
      </c>
      <c r="D31" s="178">
        <f t="shared" si="14"/>
        <v>18.744365796854634</v>
      </c>
      <c r="E31" s="178">
        <f t="shared" si="15"/>
        <v>14.940369307500003</v>
      </c>
      <c r="F31" s="86">
        <f t="shared" si="16"/>
        <v>157.77810252914549</v>
      </c>
      <c r="G31" s="115">
        <f t="shared" si="17"/>
        <v>71.177208631424193</v>
      </c>
      <c r="H31" s="66">
        <f t="shared" si="18"/>
        <v>26.044158139367269</v>
      </c>
      <c r="I31" s="66">
        <f t="shared" si="1"/>
        <v>38.299036828425798</v>
      </c>
      <c r="J31" s="66">
        <f t="shared" si="19"/>
        <v>7.5667597282124648</v>
      </c>
      <c r="K31" s="66">
        <f t="shared" si="20"/>
        <v>1.2276962241373977</v>
      </c>
      <c r="L31" s="66">
        <f t="shared" si="21"/>
        <v>5.95</v>
      </c>
      <c r="M31" s="68">
        <f t="shared" si="2"/>
        <v>7.5132429775783569</v>
      </c>
      <c r="N31" s="273">
        <f>IF($I$2="RRO (Capped)",VLOOKUP(A31,'Misc. Data &amp; Mechanisms'!$A$1278:$E$1368,4,FALSE),IF($I$2="RRO (Uncapped)",VLOOKUP(A31,'Misc. Data &amp; Mechanisms'!$G$1278:$K$1368,4,FALSE),AS31))</f>
        <v>8.4559999999999995</v>
      </c>
      <c r="O31" s="333">
        <f t="shared" si="3"/>
        <v>71.177208631424193</v>
      </c>
      <c r="P31" s="336">
        <v>3.0941000000000001</v>
      </c>
      <c r="Q31" s="333">
        <f t="shared" si="4"/>
        <v>26.044158139367269</v>
      </c>
      <c r="R31" s="337">
        <v>1.972</v>
      </c>
      <c r="S31" s="337">
        <v>0.7</v>
      </c>
      <c r="T31" s="338">
        <f t="shared" si="5"/>
        <v>16.599036828425795</v>
      </c>
      <c r="U31" s="333">
        <f t="shared" si="6"/>
        <v>21.7</v>
      </c>
      <c r="V31" s="205">
        <f>VLOOKUP($A31,'Misc. Data &amp; Mechanisms'!$A$63:$DY$152,HLOOKUP('Service Zone Menu'!$K$5&amp;"_FORTIS_Elec_Y_1",'Misc. Data &amp; Mechanisms'!$A$55:$DY$62,8,FALSE), FALSE)</f>
        <v>0.107</v>
      </c>
      <c r="W31" s="205">
        <f>VLOOKUP($A31,'Misc. Data &amp; Mechanisms'!$A$63:$DY$152,HLOOKUP('Service Zone Menu'!$K$5&amp;"_FORTIS_Elec_Y_2",'Misc. Data &amp; Mechanisms'!$A$55:$DY$62,8,FALSE), FALSE)</f>
        <v>1.06E-2</v>
      </c>
      <c r="X31" s="338">
        <f t="shared" si="7"/>
        <v>6.8847218615538583</v>
      </c>
      <c r="Y31" s="333">
        <f t="shared" si="8"/>
        <v>0.68203786665860655</v>
      </c>
      <c r="Z31" s="336">
        <v>-0.56510000000000005</v>
      </c>
      <c r="AA31" s="339">
        <v>-0.1081</v>
      </c>
      <c r="AB31" s="339"/>
      <c r="AC31" s="1495">
        <v>0.98399999999999999</v>
      </c>
      <c r="AD31" s="339">
        <v>1.35E-2</v>
      </c>
      <c r="AE31" s="338">
        <f t="shared" si="9"/>
        <v>-4.7566509694439238</v>
      </c>
      <c r="AF31" s="338">
        <f t="shared" si="10"/>
        <v>-2.815373494865602</v>
      </c>
      <c r="AG31" s="338">
        <f t="shared" si="11"/>
        <v>8.2826836912631752</v>
      </c>
      <c r="AH31" s="333">
        <f t="shared" si="12"/>
        <v>0.51703699718374829</v>
      </c>
      <c r="AI31" s="200">
        <f>IF(OR($I$2="RRO (Capped)",$I$2="RRO (Uncapped)"),VLOOKUP(A31,'Misc. Data &amp; Mechanisms'!$A$1483:$H$1574,4,FALSE),AT31)</f>
        <v>5.95</v>
      </c>
      <c r="AJ31" s="333">
        <f t="shared" si="22"/>
        <v>5.95</v>
      </c>
      <c r="AK31" s="340">
        <f>5%</f>
        <v>0.05</v>
      </c>
      <c r="AL31" s="359">
        <f>'Misc. Data &amp; Mechanisms'!AJ304</f>
        <v>746.98255267857508</v>
      </c>
      <c r="AM31" s="1239">
        <f>'Misc. Data &amp; Mechanisms'!AP304</f>
        <v>655.9684214757076</v>
      </c>
      <c r="AN31" s="1087">
        <f>'Misc. Data &amp; Mechanisms'!Q304</f>
        <v>841.73614748609509</v>
      </c>
      <c r="AO31" s="1087">
        <f>'Misc. Data &amp; Mechanisms'!R304</f>
        <v>638.8000119906086</v>
      </c>
      <c r="AP31" s="1087">
        <f>'Misc. Data &amp; Mechanisms'!S304</f>
        <v>472.75451596921857</v>
      </c>
      <c r="AQ31" s="1463">
        <f>'Misc. Data &amp; Mechanisms'!$B$259</f>
        <v>611.34673880086393</v>
      </c>
      <c r="AR31" s="197">
        <f>IFERROR(IF('Personalized Bill Menu'!$B$30="Yes", IF('Personalized Bill Menu'!$B$34="Natural Gas",0,VLOOKUP($A31, 'Personalized Bill Menu'!$H$4:$L$93, 2, FALSE)), 0), 0)</f>
        <v>0</v>
      </c>
      <c r="AS31" s="1343">
        <f>IFERROR(IF('Personalized Bill Menu'!$C$36="Custom", IF('Personalized Bill Menu'!$B$34="Natural Gas",0,VLOOKUP($A31, 'Personalized Bill Menu'!$H$4:$L$93, 3, FALSE)), 0), 0)</f>
        <v>0</v>
      </c>
      <c r="AT31" s="1344">
        <f>IFERROR(IF('Personalized Bill Menu'!$C$36="Custom", IF('Personalized Bill Menu'!$B$34="Natural Gas",0,VLOOKUP($A31, 'Personalized Bill Menu'!$H$4:$L$93, 4, FALSE)), 0), 0)</f>
        <v>0</v>
      </c>
      <c r="AU31" s="335"/>
      <c r="AV31" s="335"/>
      <c r="AW31" s="335"/>
    </row>
    <row r="32" spans="1:49" x14ac:dyDescent="0.35">
      <c r="A32" s="206">
        <v>41671</v>
      </c>
      <c r="B32" s="207">
        <f t="shared" si="0"/>
        <v>28</v>
      </c>
      <c r="C32" s="1581">
        <f t="shared" si="13"/>
        <v>807.68848955756266</v>
      </c>
      <c r="D32" s="178">
        <f t="shared" si="14"/>
        <v>17.364279388116419</v>
      </c>
      <c r="E32" s="178">
        <f t="shared" si="15"/>
        <v>13.708719307500003</v>
      </c>
      <c r="F32" s="86">
        <f t="shared" si="16"/>
        <v>140.2492859124327</v>
      </c>
      <c r="G32" s="115">
        <f t="shared" si="17"/>
        <v>58.823952694477292</v>
      </c>
      <c r="H32" s="66">
        <f t="shared" si="18"/>
        <v>24.990689555400547</v>
      </c>
      <c r="I32" s="66">
        <f t="shared" si="1"/>
        <v>35.527617014075133</v>
      </c>
      <c r="J32" s="66">
        <f t="shared" si="19"/>
        <v>7.11695285257034</v>
      </c>
      <c r="K32" s="66">
        <f t="shared" si="20"/>
        <v>1.1615363715078455</v>
      </c>
      <c r="L32" s="66">
        <f t="shared" si="21"/>
        <v>5.95</v>
      </c>
      <c r="M32" s="68">
        <f t="shared" si="2"/>
        <v>6.6785374244015578</v>
      </c>
      <c r="N32" s="273">
        <f>IF($I$2="RRO (Capped)",VLOOKUP(A32,'Misc. Data &amp; Mechanisms'!$A$1278:$E$1368,4,FALSE),IF($I$2="RRO (Uncapped)",VLOOKUP(A32,'Misc. Data &amp; Mechanisms'!$G$1278:$K$1368,4,FALSE),AS32))</f>
        <v>7.2830000000000004</v>
      </c>
      <c r="O32" s="333">
        <f t="shared" si="3"/>
        <v>58.823952694477292</v>
      </c>
      <c r="P32" s="336">
        <v>3.0941000000000001</v>
      </c>
      <c r="Q32" s="333">
        <f t="shared" si="4"/>
        <v>24.990689555400547</v>
      </c>
      <c r="R32" s="337">
        <v>1.972</v>
      </c>
      <c r="S32" s="337">
        <v>0.7</v>
      </c>
      <c r="T32" s="338">
        <f t="shared" si="5"/>
        <v>15.927617014075137</v>
      </c>
      <c r="U32" s="333">
        <f t="shared" si="6"/>
        <v>19.599999999999998</v>
      </c>
      <c r="V32" s="205">
        <f>VLOOKUP($A32,'Misc. Data &amp; Mechanisms'!$A$63:$DY$152,HLOOKUP('Service Zone Menu'!$K$5&amp;"_FORTIS_Elec_Y_1",'Misc. Data &amp; Mechanisms'!$A$55:$DY$62,8,FALSE), FALSE)</f>
        <v>0.107</v>
      </c>
      <c r="W32" s="205">
        <f>VLOOKUP($A32,'Misc. Data &amp; Mechanisms'!$A$63:$DY$152,HLOOKUP('Service Zone Menu'!$K$5&amp;"_FORTIS_Elec_Y_2",'Misc. Data &amp; Mechanisms'!$A$55:$DY$62,8,FALSE), FALSE)</f>
        <v>1.06E-2</v>
      </c>
      <c r="X32" s="338">
        <f t="shared" si="7"/>
        <v>6.4754588029338978</v>
      </c>
      <c r="Y32" s="333">
        <f t="shared" si="8"/>
        <v>0.6414940496364423</v>
      </c>
      <c r="Z32" s="336">
        <v>-0.56510000000000005</v>
      </c>
      <c r="AA32" s="339">
        <v>-0.1081</v>
      </c>
      <c r="AB32" s="339"/>
      <c r="AC32" s="1495">
        <v>0.98399999999999999</v>
      </c>
      <c r="AD32" s="339">
        <v>1.35E-2</v>
      </c>
      <c r="AE32" s="338">
        <f t="shared" si="9"/>
        <v>-4.5642476544897868</v>
      </c>
      <c r="AF32" s="338">
        <f t="shared" si="10"/>
        <v>-2.7014935409387992</v>
      </c>
      <c r="AG32" s="338">
        <f t="shared" si="11"/>
        <v>7.9476547372464168</v>
      </c>
      <c r="AH32" s="333">
        <f t="shared" si="12"/>
        <v>0.4796228296900143</v>
      </c>
      <c r="AI32" s="200">
        <f>IF(OR($I$2="RRO (Capped)",$I$2="RRO (Uncapped)"),VLOOKUP(A32,'Misc. Data &amp; Mechanisms'!$A$1483:$H$1574,4,FALSE),AT32)</f>
        <v>5.95</v>
      </c>
      <c r="AJ32" s="333">
        <f t="shared" si="22"/>
        <v>5.95</v>
      </c>
      <c r="AK32" s="340">
        <f>5%</f>
        <v>0.05</v>
      </c>
      <c r="AL32" s="341">
        <f>'Misc. Data &amp; Mechanisms'!AJ305</f>
        <v>716.76761358140129</v>
      </c>
      <c r="AM32" s="196">
        <f>'Misc. Data &amp; Mechanisms'!AP305</f>
        <v>611.81416366048006</v>
      </c>
      <c r="AN32" s="1087">
        <f>'Misc. Data &amp; Mechanisms'!Q305</f>
        <v>807.68848955756266</v>
      </c>
      <c r="AO32" s="1087">
        <f>'Misc. Data &amp; Mechanisms'!R305</f>
        <v>612.96098350412205</v>
      </c>
      <c r="AP32" s="1087">
        <f>'Misc. Data &amp; Mechanisms'!S305</f>
        <v>453.63191550592467</v>
      </c>
      <c r="AQ32" s="1463">
        <f>'Misc. Data &amp; Mechanisms'!$B$259</f>
        <v>611.34673880086393</v>
      </c>
      <c r="AR32" s="197">
        <f>IFERROR(IF('Personalized Bill Menu'!$B$30="Yes", IF('Personalized Bill Menu'!$B$34="Natural Gas",0,VLOOKUP($A32, 'Personalized Bill Menu'!$H$4:$L$93, 2, FALSE)), 0), 0)</f>
        <v>0</v>
      </c>
      <c r="AS32" s="1343">
        <f>IFERROR(IF('Personalized Bill Menu'!$C$36="Custom", IF('Personalized Bill Menu'!$B$34="Natural Gas",0,VLOOKUP($A32, 'Personalized Bill Menu'!$H$4:$L$93, 3, FALSE)), 0), 0)</f>
        <v>0</v>
      </c>
      <c r="AT32" s="1344">
        <f>IFERROR(IF('Personalized Bill Menu'!$C$36="Custom", IF('Personalized Bill Menu'!$B$34="Natural Gas",0,VLOOKUP($A32, 'Personalized Bill Menu'!$H$4:$L$93, 4, FALSE)), 0), 0)</f>
        <v>0</v>
      </c>
      <c r="AU32" s="335"/>
      <c r="AV32" s="335"/>
      <c r="AW32" s="335"/>
    </row>
    <row r="33" spans="1:49" x14ac:dyDescent="0.35">
      <c r="A33" s="206">
        <v>41699</v>
      </c>
      <c r="B33" s="207">
        <f t="shared" si="0"/>
        <v>31</v>
      </c>
      <c r="C33" s="1581">
        <f t="shared" si="13"/>
        <v>787.06834316291747</v>
      </c>
      <c r="D33" s="178">
        <f t="shared" si="14"/>
        <v>17.286581906589657</v>
      </c>
      <c r="E33" s="178">
        <f t="shared" si="15"/>
        <v>13.218369307500001</v>
      </c>
      <c r="F33" s="86">
        <f t="shared" si="16"/>
        <v>136.05721380169587</v>
      </c>
      <c r="G33" s="115">
        <f t="shared" si="17"/>
        <v>53.646578269984452</v>
      </c>
      <c r="H33" s="66">
        <f t="shared" si="18"/>
        <v>24.352681605803831</v>
      </c>
      <c r="I33" s="66">
        <f t="shared" si="1"/>
        <v>37.220987727172734</v>
      </c>
      <c r="J33" s="66">
        <f t="shared" si="19"/>
        <v>7.2410635135580446</v>
      </c>
      <c r="K33" s="66">
        <f t="shared" si="20"/>
        <v>1.1669877422388986</v>
      </c>
      <c r="L33" s="66">
        <f t="shared" si="21"/>
        <v>5.95</v>
      </c>
      <c r="M33" s="68">
        <f t="shared" si="2"/>
        <v>6.478914942937898</v>
      </c>
      <c r="N33" s="273">
        <f>IF($I$2="RRO (Capped)",VLOOKUP(A33,'Misc. Data &amp; Mechanisms'!$A$1278:$E$1368,4,FALSE),IF($I$2="RRO (Uncapped)",VLOOKUP(A33,'Misc. Data &amp; Mechanisms'!$G$1278:$K$1368,4,FALSE),AS33))</f>
        <v>6.8159999999999998</v>
      </c>
      <c r="O33" s="333">
        <f t="shared" si="3"/>
        <v>53.646578269984452</v>
      </c>
      <c r="P33" s="336">
        <v>3.0941000000000001</v>
      </c>
      <c r="Q33" s="333">
        <f t="shared" si="4"/>
        <v>24.352681605803831</v>
      </c>
      <c r="R33" s="337">
        <v>1.972</v>
      </c>
      <c r="S33" s="337">
        <v>0.7</v>
      </c>
      <c r="T33" s="338">
        <f t="shared" si="5"/>
        <v>15.520987727172734</v>
      </c>
      <c r="U33" s="333">
        <f t="shared" si="6"/>
        <v>21.7</v>
      </c>
      <c r="V33" s="205">
        <f>VLOOKUP($A33,'Misc. Data &amp; Mechanisms'!$A$63:$DY$152,HLOOKUP('Service Zone Menu'!$K$5&amp;"_FORTIS_Elec_Y_1",'Misc. Data &amp; Mechanisms'!$A$55:$DY$62,8,FALSE), FALSE)</f>
        <v>0.107</v>
      </c>
      <c r="W33" s="205">
        <f>VLOOKUP($A33,'Misc. Data &amp; Mechanisms'!$A$63:$DY$152,HLOOKUP('Service Zone Menu'!$K$5&amp;"_FORTIS_Elec_Y_2",'Misc. Data &amp; Mechanisms'!$A$55:$DY$62,8,FALSE), FALSE)</f>
        <v>1.06E-2</v>
      </c>
      <c r="X33" s="338">
        <f t="shared" si="7"/>
        <v>6.5883826186284926</v>
      </c>
      <c r="Y33" s="333">
        <f t="shared" si="8"/>
        <v>0.65268089492955161</v>
      </c>
      <c r="Z33" s="336">
        <v>-0.56510000000000005</v>
      </c>
      <c r="AA33" s="339">
        <v>-0.1081</v>
      </c>
      <c r="AB33" s="339"/>
      <c r="AC33" s="1495">
        <v>0.98399999999999999</v>
      </c>
      <c r="AD33" s="339">
        <v>1.35E-2</v>
      </c>
      <c r="AE33" s="338">
        <f t="shared" si="9"/>
        <v>-4.447723207213647</v>
      </c>
      <c r="AF33" s="338">
        <f t="shared" si="10"/>
        <v>-2.6325248815873943</v>
      </c>
      <c r="AG33" s="338">
        <f t="shared" si="11"/>
        <v>7.7447524967231081</v>
      </c>
      <c r="AH33" s="333">
        <f t="shared" si="12"/>
        <v>0.5024833343168319</v>
      </c>
      <c r="AI33" s="200">
        <f>IF(OR($I$2="RRO (Capped)",$I$2="RRO (Uncapped)"),VLOOKUP(A33,'Misc. Data &amp; Mechanisms'!$A$1483:$H$1574,4,FALSE),AT33)</f>
        <v>5.95</v>
      </c>
      <c r="AJ33" s="333">
        <f t="shared" si="22"/>
        <v>5.95</v>
      </c>
      <c r="AK33" s="340">
        <f>5%</f>
        <v>0.05</v>
      </c>
      <c r="AL33" s="341">
        <f>'Misc. Data &amp; Mechanisms'!AJ306</f>
        <v>698.46866130701005</v>
      </c>
      <c r="AM33" s="196">
        <f>'Misc. Data &amp; Mechanisms'!AP306</f>
        <v>613.30378147298279</v>
      </c>
      <c r="AN33" s="1087">
        <f>'Misc. Data &amp; Mechanisms'!Q306</f>
        <v>787.06834316291747</v>
      </c>
      <c r="AO33" s="1087">
        <f>'Misc. Data &amp; Mechanisms'!R306</f>
        <v>597.31219640677921</v>
      </c>
      <c r="AP33" s="1087">
        <f>'Misc. Data &amp; Mechanisms'!S306</f>
        <v>442.05077175068874</v>
      </c>
      <c r="AQ33" s="1463">
        <f>'Misc. Data &amp; Mechanisms'!$B$259</f>
        <v>611.34673880086393</v>
      </c>
      <c r="AR33" s="197">
        <f>IFERROR(IF('Personalized Bill Menu'!$B$30="Yes", IF('Personalized Bill Menu'!$B$34="Natural Gas",0,VLOOKUP($A33, 'Personalized Bill Menu'!$H$4:$L$93, 2, FALSE)), 0), 0)</f>
        <v>0</v>
      </c>
      <c r="AS33" s="1343">
        <f>IFERROR(IF('Personalized Bill Menu'!$C$36="Custom", IF('Personalized Bill Menu'!$B$34="Natural Gas",0,VLOOKUP($A33, 'Personalized Bill Menu'!$H$4:$L$93, 3, FALSE)), 0), 0)</f>
        <v>0</v>
      </c>
      <c r="AT33" s="1344">
        <f>IFERROR(IF('Personalized Bill Menu'!$C$36="Custom", IF('Personalized Bill Menu'!$B$34="Natural Gas",0,VLOOKUP($A33, 'Personalized Bill Menu'!$H$4:$L$93, 4, FALSE)), 0), 0)</f>
        <v>0</v>
      </c>
      <c r="AU33" s="335"/>
      <c r="AV33" s="335"/>
      <c r="AW33" s="335"/>
    </row>
    <row r="34" spans="1:49" x14ac:dyDescent="0.35">
      <c r="A34" s="206">
        <v>41730</v>
      </c>
      <c r="B34" s="207">
        <f t="shared" si="0"/>
        <v>30</v>
      </c>
      <c r="C34" s="1581">
        <f t="shared" si="13"/>
        <v>645.8597012972707</v>
      </c>
      <c r="D34" s="178">
        <f t="shared" si="14"/>
        <v>16.793722561460786</v>
      </c>
      <c r="E34" s="178">
        <f t="shared" si="15"/>
        <v>12.023866207500001</v>
      </c>
      <c r="F34" s="86">
        <f t="shared" si="16"/>
        <v>108.46388637214299</v>
      </c>
      <c r="G34" s="115">
        <f t="shared" si="17"/>
        <v>43.944294076266303</v>
      </c>
      <c r="H34" s="66">
        <f t="shared" si="18"/>
        <v>19.983545017838853</v>
      </c>
      <c r="I34" s="66">
        <f t="shared" si="1"/>
        <v>33.736353309582178</v>
      </c>
      <c r="J34" s="66">
        <f t="shared" si="19"/>
        <v>6.3174600433047141</v>
      </c>
      <c r="K34" s="66">
        <f t="shared" si="20"/>
        <v>-6.5527130449511182</v>
      </c>
      <c r="L34" s="66">
        <f t="shared" si="21"/>
        <v>5.87</v>
      </c>
      <c r="M34" s="68">
        <f t="shared" si="2"/>
        <v>5.1649469701020472</v>
      </c>
      <c r="N34" s="273">
        <f>IF($I$2="RRO (Capped)",VLOOKUP(A34,'Misc. Data &amp; Mechanisms'!$A$1278:$E$1368,4,FALSE),IF($I$2="RRO (Uncapped)",VLOOKUP(A34,'Misc. Data &amp; Mechanisms'!$G$1278:$K$1368,4,FALSE),AS34))</f>
        <v>6.8040000000000003</v>
      </c>
      <c r="O34" s="333">
        <f t="shared" si="3"/>
        <v>43.944294076266303</v>
      </c>
      <c r="P34" s="336">
        <v>3.0941000000000001</v>
      </c>
      <c r="Q34" s="333">
        <f t="shared" si="4"/>
        <v>19.983545017838853</v>
      </c>
      <c r="R34" s="337">
        <v>1.972</v>
      </c>
      <c r="S34" s="337">
        <v>0.7</v>
      </c>
      <c r="T34" s="338">
        <f t="shared" si="5"/>
        <v>12.73635330958218</v>
      </c>
      <c r="U34" s="333">
        <f t="shared" si="6"/>
        <v>21</v>
      </c>
      <c r="V34" s="205">
        <f>VLOOKUP($A34,'Misc. Data &amp; Mechanisms'!$A$63:$DY$152,HLOOKUP('Service Zone Menu'!$K$5&amp;"_FORTIS_Elec_Y_1",'Misc. Data &amp; Mechanisms'!$A$55:$DY$62,8,FALSE), FALSE)</f>
        <v>0.107</v>
      </c>
      <c r="W34" s="205">
        <f>VLOOKUP($A34,'Misc. Data &amp; Mechanisms'!$A$63:$DY$152,HLOOKUP('Service Zone Menu'!$K$5&amp;"_FORTIS_Elec_Y_2",'Misc. Data &amp; Mechanisms'!$A$55:$DY$62,8,FALSE), FALSE)</f>
        <v>1.06E-2</v>
      </c>
      <c r="X34" s="338">
        <f t="shared" si="7"/>
        <v>5.7480291210340511</v>
      </c>
      <c r="Y34" s="333">
        <f t="shared" si="8"/>
        <v>0.56943092227066294</v>
      </c>
      <c r="Z34" s="336">
        <v>-0.56510000000000005</v>
      </c>
      <c r="AA34" s="339">
        <v>-0.1081</v>
      </c>
      <c r="AB34" s="339"/>
      <c r="AC34" s="1495">
        <v>-0.115</v>
      </c>
      <c r="AD34" s="339"/>
      <c r="AE34" s="338">
        <f t="shared" si="9"/>
        <v>-3.6497531720308771</v>
      </c>
      <c r="AF34" s="338">
        <f t="shared" si="10"/>
        <v>-2.1602212164283801</v>
      </c>
      <c r="AG34" s="338">
        <f t="shared" si="11"/>
        <v>-0.74273865649186133</v>
      </c>
      <c r="AH34" s="333">
        <f t="shared" si="12"/>
        <v>0</v>
      </c>
      <c r="AI34" s="200">
        <f>IF(OR($I$2="RRO (Capped)",$I$2="RRO (Uncapped)"),VLOOKUP(A34,'Misc. Data &amp; Mechanisms'!$A$1483:$H$1574,4,FALSE),AT34)</f>
        <v>5.87</v>
      </c>
      <c r="AJ34" s="333">
        <f t="shared" si="22"/>
        <v>5.87</v>
      </c>
      <c r="AK34" s="340">
        <f>5%</f>
        <v>0.05</v>
      </c>
      <c r="AL34" s="341">
        <f>'Misc. Data &amp; Mechanisms'!AJ307</f>
        <v>573.15576833443163</v>
      </c>
      <c r="AM34" s="196">
        <f>'Misc. Data &amp; Mechanisms'!AP307</f>
        <v>509.04239495359315</v>
      </c>
      <c r="AN34" s="1087">
        <f>'Misc. Data &amp; Mechanisms'!Q307</f>
        <v>645.8597012972707</v>
      </c>
      <c r="AO34" s="1087">
        <f>'Misc. Data &amp; Mechanisms'!R307</f>
        <v>490.14787610717747</v>
      </c>
      <c r="AP34" s="1087">
        <f>'Misc. Data &amp; Mechanisms'!S307</f>
        <v>362.74204378974855</v>
      </c>
      <c r="AQ34" s="1463">
        <f>'Misc. Data &amp; Mechanisms'!$B$259</f>
        <v>611.34673880086393</v>
      </c>
      <c r="AR34" s="197">
        <f>IFERROR(IF('Personalized Bill Menu'!$B$30="Yes", IF('Personalized Bill Menu'!$B$34="Natural Gas",0,VLOOKUP($A34, 'Personalized Bill Menu'!$H$4:$L$93, 2, FALSE)), 0), 0)</f>
        <v>0</v>
      </c>
      <c r="AS34" s="1343">
        <f>IFERROR(IF('Personalized Bill Menu'!$C$36="Custom", IF('Personalized Bill Menu'!$B$34="Natural Gas",0,VLOOKUP($A34, 'Personalized Bill Menu'!$H$4:$L$93, 3, FALSE)), 0), 0)</f>
        <v>0</v>
      </c>
      <c r="AT34" s="1344">
        <f>IFERROR(IF('Personalized Bill Menu'!$C$36="Custom", IF('Personalized Bill Menu'!$B$34="Natural Gas",0,VLOOKUP($A34, 'Personalized Bill Menu'!$H$4:$L$93, 4, FALSE)), 0), 0)</f>
        <v>0</v>
      </c>
      <c r="AU34" s="335"/>
      <c r="AV34" s="335"/>
      <c r="AW34" s="335"/>
    </row>
    <row r="35" spans="1:49" x14ac:dyDescent="0.35">
      <c r="A35" s="206">
        <v>41760</v>
      </c>
      <c r="B35" s="207">
        <f t="shared" si="0"/>
        <v>31</v>
      </c>
      <c r="C35" s="1581">
        <f t="shared" si="13"/>
        <v>618.28368008702626</v>
      </c>
      <c r="D35" s="178">
        <f t="shared" si="14"/>
        <v>19.0965200062398</v>
      </c>
      <c r="E35" s="178">
        <f t="shared" si="15"/>
        <v>13.981066207500001</v>
      </c>
      <c r="F35" s="86">
        <f t="shared" si="16"/>
        <v>118.07066666313465</v>
      </c>
      <c r="G35" s="115">
        <f t="shared" si="17"/>
        <v>53.592829389943432</v>
      </c>
      <c r="H35" s="66">
        <f t="shared" si="18"/>
        <v>19.130315345572679</v>
      </c>
      <c r="I35" s="66">
        <f t="shared" si="1"/>
        <v>33.892554171316156</v>
      </c>
      <c r="J35" s="66">
        <f t="shared" si="19"/>
        <v>6.2354894551861264</v>
      </c>
      <c r="K35" s="66">
        <f t="shared" si="20"/>
        <v>-6.2729343971282727</v>
      </c>
      <c r="L35" s="66">
        <f t="shared" si="21"/>
        <v>5.87</v>
      </c>
      <c r="M35" s="68">
        <f t="shared" si="2"/>
        <v>5.6224126982445073</v>
      </c>
      <c r="N35" s="273">
        <f>IF($I$2="RRO (Capped)",VLOOKUP(A35,'Misc. Data &amp; Mechanisms'!$A$1278:$E$1368,4,FALSE),IF($I$2="RRO (Uncapped)",VLOOKUP(A35,'Misc. Data &amp; Mechanisms'!$G$1278:$K$1368,4,FALSE),AS35))</f>
        <v>8.6679999999999993</v>
      </c>
      <c r="O35" s="333">
        <f t="shared" si="3"/>
        <v>53.592829389943432</v>
      </c>
      <c r="P35" s="336">
        <v>3.0941000000000001</v>
      </c>
      <c r="Q35" s="333">
        <f t="shared" si="4"/>
        <v>19.130315345572679</v>
      </c>
      <c r="R35" s="337">
        <v>1.972</v>
      </c>
      <c r="S35" s="337">
        <v>0.7</v>
      </c>
      <c r="T35" s="338">
        <f t="shared" si="5"/>
        <v>12.192554171316159</v>
      </c>
      <c r="U35" s="333">
        <f t="shared" si="6"/>
        <v>21.7</v>
      </c>
      <c r="V35" s="205">
        <f>VLOOKUP($A35,'Misc. Data &amp; Mechanisms'!$A$63:$DY$152,HLOOKUP('Service Zone Menu'!$K$5&amp;"_FORTIS_Elec_Y_1",'Misc. Data &amp; Mechanisms'!$A$55:$DY$62,8,FALSE), FALSE)</f>
        <v>0.107</v>
      </c>
      <c r="W35" s="205">
        <f>VLOOKUP($A35,'Misc. Data &amp; Mechanisms'!$A$63:$DY$152,HLOOKUP('Service Zone Menu'!$K$5&amp;"_FORTIS_Elec_Y_2",'Misc. Data &amp; Mechanisms'!$A$55:$DY$62,8,FALSE), FALSE)</f>
        <v>1.06E-2</v>
      </c>
      <c r="X35" s="338">
        <f t="shared" si="7"/>
        <v>5.6734470383071045</v>
      </c>
      <c r="Y35" s="333">
        <f t="shared" si="8"/>
        <v>0.56204241687902168</v>
      </c>
      <c r="Z35" s="336">
        <v>-0.56510000000000005</v>
      </c>
      <c r="AA35" s="339">
        <v>-0.1081</v>
      </c>
      <c r="AB35" s="339"/>
      <c r="AC35" s="1495">
        <v>-0.115</v>
      </c>
      <c r="AD35" s="339"/>
      <c r="AE35" s="338">
        <f t="shared" si="9"/>
        <v>-3.4939210761717856</v>
      </c>
      <c r="AF35" s="338">
        <f t="shared" si="10"/>
        <v>-2.0679870888564067</v>
      </c>
      <c r="AG35" s="338">
        <f t="shared" si="11"/>
        <v>-0.7110262321000802</v>
      </c>
      <c r="AH35" s="333">
        <f t="shared" si="12"/>
        <v>0</v>
      </c>
      <c r="AI35" s="200">
        <f>IF(OR($I$2="RRO (Capped)",$I$2="RRO (Uncapped)"),VLOOKUP(A35,'Misc. Data &amp; Mechanisms'!$A$1483:$H$1574,4,FALSE),AT35)</f>
        <v>5.87</v>
      </c>
      <c r="AJ35" s="333">
        <f t="shared" si="22"/>
        <v>5.87</v>
      </c>
      <c r="AK35" s="340">
        <f>5%</f>
        <v>0.05</v>
      </c>
      <c r="AL35" s="341">
        <f>'Misc. Data &amp; Mechanisms'!AJ308</f>
        <v>548.68395875625595</v>
      </c>
      <c r="AM35" s="196">
        <f>'Misc. Data &amp; Mechanisms'!AP308</f>
        <v>492.03298077902224</v>
      </c>
      <c r="AN35" s="1087">
        <f>'Misc. Data &amp; Mechanisms'!Q308</f>
        <v>618.28368008702626</v>
      </c>
      <c r="AO35" s="1087">
        <f>'Misc. Data &amp; Mechanisms'!R308</f>
        <v>469.22022231404105</v>
      </c>
      <c r="AP35" s="1087">
        <f>'Misc. Data &amp; Mechanisms'!S308</f>
        <v>347.25418741273415</v>
      </c>
      <c r="AQ35" s="1463">
        <f>'Misc. Data &amp; Mechanisms'!$B$259</f>
        <v>611.34673880086393</v>
      </c>
      <c r="AR35" s="197">
        <f>IFERROR(IF('Personalized Bill Menu'!$B$30="Yes", IF('Personalized Bill Menu'!$B$34="Natural Gas",0,VLOOKUP($A35, 'Personalized Bill Menu'!$H$4:$L$93, 2, FALSE)), 0), 0)</f>
        <v>0</v>
      </c>
      <c r="AS35" s="1343">
        <f>IFERROR(IF('Personalized Bill Menu'!$C$36="Custom", IF('Personalized Bill Menu'!$B$34="Natural Gas",0,VLOOKUP($A35, 'Personalized Bill Menu'!$H$4:$L$93, 3, FALSE)), 0), 0)</f>
        <v>0</v>
      </c>
      <c r="AT35" s="1344">
        <f>IFERROR(IF('Personalized Bill Menu'!$C$36="Custom", IF('Personalized Bill Menu'!$B$34="Natural Gas",0,VLOOKUP($A35, 'Personalized Bill Menu'!$H$4:$L$93, 4, FALSE)), 0), 0)</f>
        <v>0</v>
      </c>
      <c r="AU35" s="335"/>
      <c r="AV35" s="335"/>
      <c r="AW35" s="335"/>
    </row>
    <row r="36" spans="1:49" x14ac:dyDescent="0.35">
      <c r="A36" s="206">
        <v>41791</v>
      </c>
      <c r="B36" s="207">
        <f t="shared" si="0"/>
        <v>30</v>
      </c>
      <c r="C36" s="1581">
        <f t="shared" si="13"/>
        <v>593.93617431908228</v>
      </c>
      <c r="D36" s="178">
        <f t="shared" si="14"/>
        <v>16.216366467179533</v>
      </c>
      <c r="E36" s="178">
        <f t="shared" si="15"/>
        <v>11.029516207500002</v>
      </c>
      <c r="F36" s="86">
        <f t="shared" si="16"/>
        <v>96.31486660872865</v>
      </c>
      <c r="G36" s="115">
        <f t="shared" si="17"/>
        <v>34.786841729868655</v>
      </c>
      <c r="H36" s="66">
        <f t="shared" si="18"/>
        <v>18.376979169606724</v>
      </c>
      <c r="I36" s="66">
        <f t="shared" si="1"/>
        <v>32.712421357572303</v>
      </c>
      <c r="J36" s="66">
        <f t="shared" si="19"/>
        <v>6.0081135019962524</v>
      </c>
      <c r="K36" s="66">
        <f t="shared" si="20"/>
        <v>-6.0259113697785658</v>
      </c>
      <c r="L36" s="66">
        <f t="shared" si="21"/>
        <v>5.87</v>
      </c>
      <c r="M36" s="68">
        <f t="shared" si="2"/>
        <v>4.5864222194632687</v>
      </c>
      <c r="N36" s="273">
        <f>IF($I$2="RRO (Capped)",VLOOKUP(A36,'Misc. Data &amp; Mechanisms'!$A$1278:$E$1368,4,FALSE),IF($I$2="RRO (Uncapped)",VLOOKUP(A36,'Misc. Data &amp; Mechanisms'!$G$1278:$K$1368,4,FALSE),AS36))</f>
        <v>5.8570000000000002</v>
      </c>
      <c r="O36" s="333">
        <f t="shared" si="3"/>
        <v>34.786841729868655</v>
      </c>
      <c r="P36" s="336">
        <v>3.0941000000000001</v>
      </c>
      <c r="Q36" s="333">
        <f t="shared" si="4"/>
        <v>18.376979169606724</v>
      </c>
      <c r="R36" s="337">
        <v>1.972</v>
      </c>
      <c r="S36" s="337">
        <v>0.7</v>
      </c>
      <c r="T36" s="338">
        <f t="shared" si="5"/>
        <v>11.712421357572303</v>
      </c>
      <c r="U36" s="333">
        <f t="shared" si="6"/>
        <v>21</v>
      </c>
      <c r="V36" s="205">
        <f>VLOOKUP($A36,'Misc. Data &amp; Mechanisms'!$A$63:$DY$152,HLOOKUP('Service Zone Menu'!$K$5&amp;"_FORTIS_Elec_Y_1",'Misc. Data &amp; Mechanisms'!$A$55:$DY$62,8,FALSE), FALSE)</f>
        <v>0.107</v>
      </c>
      <c r="W36" s="205">
        <f>VLOOKUP($A36,'Misc. Data &amp; Mechanisms'!$A$63:$DY$152,HLOOKUP('Service Zone Menu'!$K$5&amp;"_FORTIS_Elec_Y_2",'Misc. Data &amp; Mechanisms'!$A$55:$DY$62,8,FALSE), FALSE)</f>
        <v>1.06E-2</v>
      </c>
      <c r="X36" s="338">
        <f t="shared" si="7"/>
        <v>5.4665658564081552</v>
      </c>
      <c r="Y36" s="333">
        <f t="shared" si="8"/>
        <v>0.54154764558809765</v>
      </c>
      <c r="Z36" s="336">
        <v>-0.56510000000000005</v>
      </c>
      <c r="AA36" s="339">
        <v>-0.1081</v>
      </c>
      <c r="AB36" s="339"/>
      <c r="AC36" s="1495">
        <v>-0.115</v>
      </c>
      <c r="AD36" s="339"/>
      <c r="AE36" s="338">
        <f t="shared" si="9"/>
        <v>-3.3563333210771344</v>
      </c>
      <c r="AF36" s="338">
        <f t="shared" si="10"/>
        <v>-1.9865514482344868</v>
      </c>
      <c r="AG36" s="338">
        <f t="shared" si="11"/>
        <v>-0.68302660046694463</v>
      </c>
      <c r="AH36" s="333">
        <f t="shared" si="12"/>
        <v>0</v>
      </c>
      <c r="AI36" s="200">
        <f>IF(OR($I$2="RRO (Capped)",$I$2="RRO (Uncapped)"),VLOOKUP(A36,'Misc. Data &amp; Mechanisms'!$A$1483:$H$1574,4,FALSE),AT36)</f>
        <v>5.87</v>
      </c>
      <c r="AJ36" s="333">
        <f t="shared" si="22"/>
        <v>5.87</v>
      </c>
      <c r="AK36" s="340">
        <f>5%</f>
        <v>0.05</v>
      </c>
      <c r="AL36" s="341">
        <f>'Misc. Data &amp; Mechanisms'!AJ309</f>
        <v>527.07723310450342</v>
      </c>
      <c r="AM36" s="196">
        <f>'Misc. Data &amp; Mechanisms'!AP309</f>
        <v>464.49515867832861</v>
      </c>
      <c r="AN36" s="1087">
        <f>'Misc. Data &amp; Mechanisms'!Q309</f>
        <v>593.93617431908228</v>
      </c>
      <c r="AO36" s="1087">
        <f>'Misc. Data &amp; Mechanisms'!R309</f>
        <v>450.74271362802972</v>
      </c>
      <c r="AP36" s="1087">
        <f>'Misc. Data &amp; Mechanisms'!S309</f>
        <v>333.57960145280038</v>
      </c>
      <c r="AQ36" s="1463">
        <f>'Misc. Data &amp; Mechanisms'!$B$259</f>
        <v>611.34673880086393</v>
      </c>
      <c r="AR36" s="197">
        <f>IFERROR(IF('Personalized Bill Menu'!$B$30="Yes", IF('Personalized Bill Menu'!$B$34="Natural Gas",0,VLOOKUP($A36, 'Personalized Bill Menu'!$H$4:$L$93, 2, FALSE)), 0), 0)</f>
        <v>0</v>
      </c>
      <c r="AS36" s="1343">
        <f>IFERROR(IF('Personalized Bill Menu'!$C$36="Custom", IF('Personalized Bill Menu'!$B$34="Natural Gas",0,VLOOKUP($A36, 'Personalized Bill Menu'!$H$4:$L$93, 3, FALSE)), 0), 0)</f>
        <v>0</v>
      </c>
      <c r="AT36" s="1344">
        <f>IFERROR(IF('Personalized Bill Menu'!$C$36="Custom", IF('Personalized Bill Menu'!$B$34="Natural Gas",0,VLOOKUP($A36, 'Personalized Bill Menu'!$H$4:$L$93, 4, FALSE)), 0), 0)</f>
        <v>0</v>
      </c>
      <c r="AU36" s="335"/>
      <c r="AV36" s="335"/>
      <c r="AW36" s="335"/>
    </row>
    <row r="37" spans="1:49" x14ac:dyDescent="0.35">
      <c r="A37" s="206">
        <v>41821</v>
      </c>
      <c r="B37" s="207">
        <f t="shared" si="0"/>
        <v>31</v>
      </c>
      <c r="C37" s="1581">
        <f t="shared" si="13"/>
        <v>679.1626587506687</v>
      </c>
      <c r="D37" s="178">
        <f t="shared" si="14"/>
        <v>16.8249960037896</v>
      </c>
      <c r="E37" s="178">
        <f t="shared" si="15"/>
        <v>12.188253672</v>
      </c>
      <c r="F37" s="86">
        <f t="shared" si="16"/>
        <v>114.26909019403122</v>
      </c>
      <c r="G37" s="115">
        <f t="shared" si="17"/>
        <v>47.758718163347019</v>
      </c>
      <c r="H37" s="66">
        <f t="shared" si="18"/>
        <v>21.01397182440444</v>
      </c>
      <c r="I37" s="66">
        <f t="shared" si="1"/>
        <v>35.09308763056319</v>
      </c>
      <c r="J37" s="66">
        <f t="shared" si="19"/>
        <v>6.6486865454136641</v>
      </c>
      <c r="K37" s="66">
        <f t="shared" si="20"/>
        <v>-7.4067592170319259</v>
      </c>
      <c r="L37" s="66">
        <f t="shared" si="21"/>
        <v>5.72</v>
      </c>
      <c r="M37" s="68">
        <f t="shared" si="2"/>
        <v>5.4413852473348205</v>
      </c>
      <c r="N37" s="273">
        <f>IF($I$2="RRO (Capped)",VLOOKUP(A37,'Misc. Data &amp; Mechanisms'!$A$1278:$E$1368,4,FALSE),IF($I$2="RRO (Uncapped)",VLOOKUP(A37,'Misc. Data &amp; Mechanisms'!$G$1278:$K$1368,4,FALSE),AS37))</f>
        <v>7.032</v>
      </c>
      <c r="O37" s="333">
        <f t="shared" si="3"/>
        <v>47.758718163347019</v>
      </c>
      <c r="P37" s="336">
        <v>3.0941000000000001</v>
      </c>
      <c r="Q37" s="333">
        <f t="shared" si="4"/>
        <v>21.01397182440444</v>
      </c>
      <c r="R37" s="337">
        <v>1.972</v>
      </c>
      <c r="S37" s="337">
        <v>0.7</v>
      </c>
      <c r="T37" s="338">
        <f t="shared" si="5"/>
        <v>13.393087630563187</v>
      </c>
      <c r="U37" s="333">
        <f t="shared" si="6"/>
        <v>21.7</v>
      </c>
      <c r="V37" s="205">
        <f>VLOOKUP($A37,'Misc. Data &amp; Mechanisms'!$A$63:$DY$152,HLOOKUP('Service Zone Menu'!$K$5&amp;"_FORTIS_Elec_Y_1",'Misc. Data &amp; Mechanisms'!$A$55:$DY$62,8,FALSE), FALSE)</f>
        <v>0.107</v>
      </c>
      <c r="W37" s="205">
        <f>VLOOKUP($A37,'Misc. Data &amp; Mechanisms'!$A$63:$DY$152,HLOOKUP('Service Zone Menu'!$K$5&amp;"_FORTIS_Elec_Y_2",'Misc. Data &amp; Mechanisms'!$A$55:$DY$62,8,FALSE), FALSE)</f>
        <v>1.15E-2</v>
      </c>
      <c r="X37" s="338">
        <f t="shared" si="7"/>
        <v>6.003455361681536</v>
      </c>
      <c r="Y37" s="333">
        <f t="shared" si="8"/>
        <v>0.64523118373212773</v>
      </c>
      <c r="Z37" s="336">
        <v>-0.56510000000000005</v>
      </c>
      <c r="AA37" s="339">
        <v>-0.1081</v>
      </c>
      <c r="AB37" s="339"/>
      <c r="AC37" s="1495">
        <v>-0.191</v>
      </c>
      <c r="AD37" s="339"/>
      <c r="AE37" s="338">
        <f t="shared" si="9"/>
        <v>-3.8379481846000294</v>
      </c>
      <c r="AF37" s="338">
        <f t="shared" si="10"/>
        <v>-2.2716103542181201</v>
      </c>
      <c r="AG37" s="338">
        <f t="shared" si="11"/>
        <v>-1.2972006782137773</v>
      </c>
      <c r="AH37" s="333">
        <f t="shared" si="12"/>
        <v>0</v>
      </c>
      <c r="AI37" s="200">
        <f>IF(OR($I$2="RRO (Capped)",$I$2="RRO (Uncapped)"),VLOOKUP(A37,'Misc. Data &amp; Mechanisms'!$A$1483:$H$1574,4,FALSE),AT37)</f>
        <v>5.72</v>
      </c>
      <c r="AJ37" s="333">
        <f t="shared" si="22"/>
        <v>5.72</v>
      </c>
      <c r="AK37" s="340">
        <f>5%</f>
        <v>0.05</v>
      </c>
      <c r="AL37" s="341">
        <f>'Misc. Data &amp; Mechanisms'!AJ310</f>
        <v>602.70983731980346</v>
      </c>
      <c r="AM37" s="196">
        <f>'Misc. Data &amp; Mechanisms'!AP310</f>
        <v>522.65731259745132</v>
      </c>
      <c r="AN37" s="1087">
        <f>'Misc. Data &amp; Mechanisms'!Q310</f>
        <v>679.1626587506687</v>
      </c>
      <c r="AO37" s="1087">
        <f>'Misc. Data &amp; Mechanisms'!R310</f>
        <v>515.42174569694077</v>
      </c>
      <c r="AP37" s="1087">
        <f>'Misc. Data &amp; Mechanisms'!S310</f>
        <v>381.44638906260576</v>
      </c>
      <c r="AQ37" s="1463">
        <f>'Misc. Data &amp; Mechanisms'!$B$259</f>
        <v>611.34673880086393</v>
      </c>
      <c r="AR37" s="197">
        <f>IFERROR(IF('Personalized Bill Menu'!$B$30="Yes", IF('Personalized Bill Menu'!$B$34="Natural Gas",0,VLOOKUP($A37, 'Personalized Bill Menu'!$H$4:$L$93, 2, FALSE)), 0), 0)</f>
        <v>0</v>
      </c>
      <c r="AS37" s="1343">
        <f>IFERROR(IF('Personalized Bill Menu'!$C$36="Custom", IF('Personalized Bill Menu'!$B$34="Natural Gas",0,VLOOKUP($A37, 'Personalized Bill Menu'!$H$4:$L$93, 3, FALSE)), 0), 0)</f>
        <v>0</v>
      </c>
      <c r="AT37" s="1344">
        <f>IFERROR(IF('Personalized Bill Menu'!$C$36="Custom", IF('Personalized Bill Menu'!$B$34="Natural Gas",0,VLOOKUP($A37, 'Personalized Bill Menu'!$H$4:$L$93, 4, FALSE)), 0), 0)</f>
        <v>0</v>
      </c>
      <c r="AU37" s="335"/>
      <c r="AV37" s="335"/>
      <c r="AW37" s="335"/>
    </row>
    <row r="38" spans="1:49" x14ac:dyDescent="0.35">
      <c r="A38" s="206">
        <v>41852</v>
      </c>
      <c r="B38" s="207">
        <f t="shared" si="0"/>
        <v>31</v>
      </c>
      <c r="C38" s="1581">
        <f t="shared" si="13"/>
        <v>652.92069827259797</v>
      </c>
      <c r="D38" s="178">
        <f t="shared" si="14"/>
        <v>17.84610433082646</v>
      </c>
      <c r="E38" s="178">
        <f t="shared" si="15"/>
        <v>13.023003672000003</v>
      </c>
      <c r="F38" s="86">
        <f t="shared" si="16"/>
        <v>116.52090901128848</v>
      </c>
      <c r="G38" s="115">
        <f t="shared" si="17"/>
        <v>51.104103053796244</v>
      </c>
      <c r="H38" s="66">
        <f t="shared" si="18"/>
        <v>20.202019325252454</v>
      </c>
      <c r="I38" s="66">
        <f t="shared" si="1"/>
        <v>34.575596169935636</v>
      </c>
      <c r="J38" s="66">
        <f t="shared" si="19"/>
        <v>6.491147436179789</v>
      </c>
      <c r="K38" s="66">
        <f t="shared" si="20"/>
        <v>-7.1205716886989041</v>
      </c>
      <c r="L38" s="66">
        <f t="shared" si="21"/>
        <v>5.72</v>
      </c>
      <c r="M38" s="68">
        <f t="shared" si="2"/>
        <v>5.5486147148232616</v>
      </c>
      <c r="N38" s="273">
        <f>IF($I$2="RRO (Capped)",VLOOKUP(A38,'Misc. Data &amp; Mechanisms'!$A$1278:$E$1368,4,FALSE),IF($I$2="RRO (Uncapped)",VLOOKUP(A38,'Misc. Data &amp; Mechanisms'!$G$1278:$K$1368,4,FALSE),AS38))</f>
        <v>7.827</v>
      </c>
      <c r="O38" s="333">
        <f t="shared" si="3"/>
        <v>51.104103053796244</v>
      </c>
      <c r="P38" s="336">
        <v>3.0941000000000001</v>
      </c>
      <c r="Q38" s="333">
        <f t="shared" si="4"/>
        <v>20.202019325252454</v>
      </c>
      <c r="R38" s="337">
        <v>1.972</v>
      </c>
      <c r="S38" s="337">
        <v>0.7</v>
      </c>
      <c r="T38" s="338">
        <f t="shared" si="5"/>
        <v>12.875596169935633</v>
      </c>
      <c r="U38" s="333">
        <f t="shared" si="6"/>
        <v>21.7</v>
      </c>
      <c r="V38" s="205">
        <f>VLOOKUP($A38,'Misc. Data &amp; Mechanisms'!$A$63:$DY$152,HLOOKUP('Service Zone Menu'!$K$5&amp;"_FORTIS_Elec_Y_1",'Misc. Data &amp; Mechanisms'!$A$55:$DY$62,8,FALSE), FALSE)</f>
        <v>0.107</v>
      </c>
      <c r="W38" s="205">
        <f>VLOOKUP($A38,'Misc. Data &amp; Mechanisms'!$A$63:$DY$152,HLOOKUP('Service Zone Menu'!$K$5&amp;"_FORTIS_Elec_Y_2",'Misc. Data &amp; Mechanisms'!$A$55:$DY$62,8,FALSE), FALSE)</f>
        <v>1.15E-2</v>
      </c>
      <c r="X38" s="338">
        <f t="shared" si="7"/>
        <v>5.8612048579851255</v>
      </c>
      <c r="Y38" s="333">
        <f t="shared" si="8"/>
        <v>0.62994257819466304</v>
      </c>
      <c r="Z38" s="336">
        <v>-0.56510000000000005</v>
      </c>
      <c r="AA38" s="339">
        <v>-0.1081</v>
      </c>
      <c r="AB38" s="339"/>
      <c r="AC38" s="1495">
        <v>-0.191</v>
      </c>
      <c r="AD38" s="339"/>
      <c r="AE38" s="338">
        <f t="shared" si="9"/>
        <v>-3.6896548659384516</v>
      </c>
      <c r="AF38" s="338">
        <f t="shared" si="10"/>
        <v>-2.1838382890597905</v>
      </c>
      <c r="AG38" s="338">
        <f t="shared" si="11"/>
        <v>-1.2470785337006622</v>
      </c>
      <c r="AH38" s="333">
        <f t="shared" si="12"/>
        <v>0</v>
      </c>
      <c r="AI38" s="200">
        <f>IF(OR($I$2="RRO (Capped)",$I$2="RRO (Uncapped)"),VLOOKUP(A38,'Misc. Data &amp; Mechanisms'!$A$1483:$H$1574,4,FALSE),AT38)</f>
        <v>5.72</v>
      </c>
      <c r="AJ38" s="333">
        <f t="shared" si="22"/>
        <v>5.72</v>
      </c>
      <c r="AK38" s="340">
        <f>5%</f>
        <v>0.05</v>
      </c>
      <c r="AL38" s="341">
        <f>'Misc. Data &amp; Mechanisms'!AJ311</f>
        <v>579.42191427676539</v>
      </c>
      <c r="AM38" s="196">
        <f>'Misc. Data &amp; Mechanisms'!AP311</f>
        <v>505.4999402366127</v>
      </c>
      <c r="AN38" s="1087">
        <f>'Misc. Data &amp; Mechanisms'!Q311</f>
        <v>652.92069827259797</v>
      </c>
      <c r="AO38" s="1087">
        <f>'Misc. Data &amp; Mechanisms'!R311</f>
        <v>495.50652081546974</v>
      </c>
      <c r="AP38" s="1087">
        <f>'Misc. Data &amp; Mechanisms'!S311</f>
        <v>366.70779744937272</v>
      </c>
      <c r="AQ38" s="1463">
        <f>'Misc. Data &amp; Mechanisms'!$B$259</f>
        <v>611.34673880086393</v>
      </c>
      <c r="AR38" s="197">
        <f>IFERROR(IF('Personalized Bill Menu'!$B$30="Yes", IF('Personalized Bill Menu'!$B$34="Natural Gas",0,VLOOKUP($A38, 'Personalized Bill Menu'!$H$4:$L$93, 2, FALSE)), 0), 0)</f>
        <v>0</v>
      </c>
      <c r="AS38" s="1343">
        <f>IFERROR(IF('Personalized Bill Menu'!$C$36="Custom", IF('Personalized Bill Menu'!$B$34="Natural Gas",0,VLOOKUP($A38, 'Personalized Bill Menu'!$H$4:$L$93, 3, FALSE)), 0), 0)</f>
        <v>0</v>
      </c>
      <c r="AT38" s="1344">
        <f>IFERROR(IF('Personalized Bill Menu'!$C$36="Custom", IF('Personalized Bill Menu'!$B$34="Natural Gas",0,VLOOKUP($A38, 'Personalized Bill Menu'!$H$4:$L$93, 4, FALSE)), 0), 0)</f>
        <v>0</v>
      </c>
      <c r="AU38" s="335"/>
      <c r="AV38" s="335"/>
      <c r="AW38" s="335"/>
    </row>
    <row r="39" spans="1:49" x14ac:dyDescent="0.35">
      <c r="A39" s="206">
        <v>41883</v>
      </c>
      <c r="B39" s="207">
        <f t="shared" si="0"/>
        <v>30</v>
      </c>
      <c r="C39" s="1581">
        <f t="shared" si="13"/>
        <v>620.00578687844916</v>
      </c>
      <c r="D39" s="178">
        <f t="shared" si="14"/>
        <v>17.913908308918668</v>
      </c>
      <c r="E39" s="178">
        <f t="shared" si="15"/>
        <v>12.967353672000002</v>
      </c>
      <c r="F39" s="86">
        <f t="shared" si="16"/>
        <v>111.06726817139507</v>
      </c>
      <c r="G39" s="115">
        <f t="shared" si="17"/>
        <v>48.19924987193064</v>
      </c>
      <c r="H39" s="66">
        <f t="shared" si="18"/>
        <v>19.183599051806095</v>
      </c>
      <c r="I39" s="66">
        <f t="shared" si="1"/>
        <v>33.226514117243021</v>
      </c>
      <c r="J39" s="66">
        <f t="shared" si="19"/>
        <v>6.2105984105323193</v>
      </c>
      <c r="K39" s="66">
        <f t="shared" si="20"/>
        <v>-6.7616108120881933</v>
      </c>
      <c r="L39" s="66">
        <f t="shared" si="21"/>
        <v>5.72</v>
      </c>
      <c r="M39" s="68">
        <f t="shared" ref="M39:M96" si="23">SUM($AK39)*SUM($G39:$L39)</f>
        <v>5.2889175319711939</v>
      </c>
      <c r="N39" s="273">
        <f>IF($I$2="RRO (Capped)",VLOOKUP(A39,'Misc. Data &amp; Mechanisms'!$A$1278:$E$1368,4,FALSE),IF($I$2="RRO (Uncapped)",VLOOKUP(A39,'Misc. Data &amp; Mechanisms'!$G$1278:$K$1368,4,FALSE),AS39))</f>
        <v>7.774</v>
      </c>
      <c r="O39" s="333">
        <f t="shared" si="3"/>
        <v>48.19924987193064</v>
      </c>
      <c r="P39" s="336">
        <v>3.0941000000000001</v>
      </c>
      <c r="Q39" s="333">
        <f t="shared" ref="Q39:Q96" si="24">($P39/100)*$C39</f>
        <v>19.183599051806095</v>
      </c>
      <c r="R39" s="337">
        <v>1.972</v>
      </c>
      <c r="S39" s="337">
        <v>0.7</v>
      </c>
      <c r="T39" s="338">
        <f t="shared" ref="T39:T96" si="25">($R39/100)*$C39</f>
        <v>12.226514117243019</v>
      </c>
      <c r="U39" s="333">
        <f t="shared" ref="U39:U96" si="26">$S39*$B39</f>
        <v>21</v>
      </c>
      <c r="V39" s="205">
        <f>VLOOKUP($A39,'Misc. Data &amp; Mechanisms'!$A$63:$DY$152,HLOOKUP('Service Zone Menu'!$K$5&amp;"_FORTIS_Elec_Y_1",'Misc. Data &amp; Mechanisms'!$A$55:$DY$62,8,FALSE), FALSE)</f>
        <v>0.107</v>
      </c>
      <c r="W39" s="205">
        <f>VLOOKUP($A39,'Misc. Data &amp; Mechanisms'!$A$63:$DY$152,HLOOKUP('Service Zone Menu'!$K$5&amp;"_FORTIS_Elec_Y_2",'Misc. Data &amp; Mechanisms'!$A$55:$DY$62,8,FALSE), FALSE)</f>
        <v>1.15E-2</v>
      </c>
      <c r="X39" s="338">
        <f t="shared" ref="X39:X96" si="27">$V39*($H39+$I39)</f>
        <v>5.6078821090882549</v>
      </c>
      <c r="Y39" s="333">
        <f t="shared" ref="Y39:Y96" si="28">$W39*($H39+$I39)</f>
        <v>0.60271630144406474</v>
      </c>
      <c r="Z39" s="336">
        <v>-0.56510000000000005</v>
      </c>
      <c r="AA39" s="339">
        <v>-0.1081</v>
      </c>
      <c r="AB39" s="339"/>
      <c r="AC39" s="1495">
        <v>-0.191</v>
      </c>
      <c r="AD39" s="339"/>
      <c r="AE39" s="338">
        <f t="shared" ref="AE39:AE96" si="29">($Z39/100)*$C39</f>
        <v>-3.5036527016501164</v>
      </c>
      <c r="AF39" s="338">
        <f t="shared" ref="AF39:AF96" si="30">$AA39*$H39</f>
        <v>-2.0737470575002388</v>
      </c>
      <c r="AG39" s="338">
        <f t="shared" ref="AG39:AG96" si="31">IF($AB39=FALSE,($AC39/100)*$C39,$AB39*$H39)</f>
        <v>-1.184211052937838</v>
      </c>
      <c r="AH39" s="333">
        <f t="shared" ref="AH39:AH96" si="32">$AD39*$I39</f>
        <v>0</v>
      </c>
      <c r="AI39" s="200">
        <f>IF(OR($I$2="RRO (Capped)",$I$2="RRO (Uncapped)"),VLOOKUP(A39,'Misc. Data &amp; Mechanisms'!$A$1483:$H$1574,4,FALSE),AT39)</f>
        <v>5.72</v>
      </c>
      <c r="AJ39" s="333">
        <f t="shared" si="22"/>
        <v>5.72</v>
      </c>
      <c r="AK39" s="340">
        <f>5%</f>
        <v>0.05</v>
      </c>
      <c r="AL39" s="341">
        <f>'Misc. Data &amp; Mechanisms'!AJ312</f>
        <v>550.21220930232562</v>
      </c>
      <c r="AM39" s="196">
        <f>'Misc. Data &amp; Mechanisms'!AP312</f>
        <v>485.30515957339674</v>
      </c>
      <c r="AN39" s="1087">
        <f>'Misc. Data &amp; Mechanisms'!Q312</f>
        <v>620.00578687844916</v>
      </c>
      <c r="AO39" s="1087">
        <f>'Misc. Data &amp; Mechanisms'!R312</f>
        <v>470.52714235340915</v>
      </c>
      <c r="AP39" s="1087">
        <f>'Misc. Data &amp; Mechanisms'!S312</f>
        <v>348.22139520707435</v>
      </c>
      <c r="AQ39" s="1463">
        <f>'Misc. Data &amp; Mechanisms'!$B$259</f>
        <v>611.34673880086393</v>
      </c>
      <c r="AR39" s="197">
        <f>IFERROR(IF('Personalized Bill Menu'!$B$30="Yes", IF('Personalized Bill Menu'!$B$34="Natural Gas",0,VLOOKUP($A39, 'Personalized Bill Menu'!$H$4:$L$93, 2, FALSE)), 0), 0)</f>
        <v>0</v>
      </c>
      <c r="AS39" s="1343">
        <f>IFERROR(IF('Personalized Bill Menu'!$C$36="Custom", IF('Personalized Bill Menu'!$B$34="Natural Gas",0,VLOOKUP($A39, 'Personalized Bill Menu'!$H$4:$L$93, 3, FALSE)), 0), 0)</f>
        <v>0</v>
      </c>
      <c r="AT39" s="1344">
        <f>IFERROR(IF('Personalized Bill Menu'!$C$36="Custom", IF('Personalized Bill Menu'!$B$34="Natural Gas",0,VLOOKUP($A39, 'Personalized Bill Menu'!$H$4:$L$93, 4, FALSE)), 0), 0)</f>
        <v>0</v>
      </c>
      <c r="AU39" s="335"/>
      <c r="AV39" s="335"/>
      <c r="AW39" s="335"/>
    </row>
    <row r="40" spans="1:49" x14ac:dyDescent="0.35">
      <c r="A40" s="206">
        <v>41913</v>
      </c>
      <c r="B40" s="207">
        <f t="shared" si="0"/>
        <v>31</v>
      </c>
      <c r="C40" s="1581">
        <f t="shared" si="13"/>
        <v>665.76276832348867</v>
      </c>
      <c r="D40" s="178">
        <f t="shared" si="14"/>
        <v>18.396231648182056</v>
      </c>
      <c r="E40" s="178">
        <f t="shared" si="15"/>
        <v>13.639353672000004</v>
      </c>
      <c r="F40" s="86">
        <f t="shared" si="16"/>
        <v>122.47526108813861</v>
      </c>
      <c r="G40" s="115">
        <f t="shared" si="17"/>
        <v>56.543231913713896</v>
      </c>
      <c r="H40" s="66">
        <f t="shared" si="18"/>
        <v>20.599365814697062</v>
      </c>
      <c r="I40" s="66">
        <f t="shared" si="1"/>
        <v>34.828841791339201</v>
      </c>
      <c r="J40" s="66">
        <f t="shared" si="19"/>
        <v>6.5682426013152968</v>
      </c>
      <c r="K40" s="66">
        <f t="shared" si="20"/>
        <v>-7.786576322838207</v>
      </c>
      <c r="L40" s="66">
        <f t="shared" si="21"/>
        <v>5.89</v>
      </c>
      <c r="M40" s="68">
        <f t="shared" si="23"/>
        <v>5.8321552899113627</v>
      </c>
      <c r="N40" s="273">
        <f>IF($I$2="RRO (Capped)",VLOOKUP(A40,'Misc. Data &amp; Mechanisms'!$A$1278:$E$1368,4,FALSE),IF($I$2="RRO (Uncapped)",VLOOKUP(A40,'Misc. Data &amp; Mechanisms'!$G$1278:$K$1368,4,FALSE),AS40))</f>
        <v>8.4930000000000003</v>
      </c>
      <c r="O40" s="333">
        <f t="shared" si="3"/>
        <v>56.543231913713896</v>
      </c>
      <c r="P40" s="336">
        <v>3.0941000000000001</v>
      </c>
      <c r="Q40" s="333">
        <f t="shared" si="24"/>
        <v>20.599365814697062</v>
      </c>
      <c r="R40" s="337">
        <v>1.972</v>
      </c>
      <c r="S40" s="337">
        <v>0.7</v>
      </c>
      <c r="T40" s="338">
        <f t="shared" si="25"/>
        <v>13.128841791339198</v>
      </c>
      <c r="U40" s="333">
        <f t="shared" si="26"/>
        <v>21.7</v>
      </c>
      <c r="V40" s="205">
        <f>VLOOKUP($A40,'Misc. Data &amp; Mechanisms'!$A$63:$DY$152,HLOOKUP('Service Zone Menu'!$K$5&amp;"_FORTIS_Elec_Y_1",'Misc. Data &amp; Mechanisms'!$A$55:$DY$62,8,FALSE), FALSE)</f>
        <v>0.107</v>
      </c>
      <c r="W40" s="205">
        <f>VLOOKUP($A40,'Misc. Data &amp; Mechanisms'!$A$63:$DY$152,HLOOKUP('Service Zone Menu'!$K$5&amp;"_FORTIS_Elec_Y_2",'Misc. Data &amp; Mechanisms'!$A$55:$DY$62,8,FALSE), FALSE)</f>
        <v>1.15E-2</v>
      </c>
      <c r="X40" s="338">
        <f t="shared" si="27"/>
        <v>5.93081821384588</v>
      </c>
      <c r="Y40" s="333">
        <f t="shared" si="28"/>
        <v>0.6374243874694171</v>
      </c>
      <c r="Z40" s="336">
        <v>-0.56510000000000005</v>
      </c>
      <c r="AA40" s="339">
        <v>-0.1081</v>
      </c>
      <c r="AB40" s="339"/>
      <c r="AC40" s="1495">
        <v>-0.27</v>
      </c>
      <c r="AD40" s="339"/>
      <c r="AE40" s="338">
        <f t="shared" si="29"/>
        <v>-3.7622254037960348</v>
      </c>
      <c r="AF40" s="338">
        <f t="shared" si="30"/>
        <v>-2.2267914445687524</v>
      </c>
      <c r="AG40" s="338">
        <f t="shared" si="31"/>
        <v>-1.7975594744734196</v>
      </c>
      <c r="AH40" s="333">
        <f t="shared" si="32"/>
        <v>0</v>
      </c>
      <c r="AI40" s="200">
        <f>IF(OR($I$2="RRO (Capped)",$I$2="RRO (Uncapped)"),VLOOKUP(A40,'Misc. Data &amp; Mechanisms'!$A$1483:$H$1574,4,FALSE),AT40)</f>
        <v>5.89</v>
      </c>
      <c r="AJ40" s="333">
        <f t="shared" si="22"/>
        <v>5.89</v>
      </c>
      <c r="AK40" s="340">
        <f>5%</f>
        <v>0.05</v>
      </c>
      <c r="AL40" s="341">
        <f>'Misc. Data &amp; Mechanisms'!AJ313</f>
        <v>590.81836231685611</v>
      </c>
      <c r="AM40" s="196">
        <f>'Misc. Data &amp; Mechanisms'!AP313</f>
        <v>524.29412952604048</v>
      </c>
      <c r="AN40" s="1087">
        <f>'Misc. Data &amp; Mechanisms'!Q313</f>
        <v>665.76276832348867</v>
      </c>
      <c r="AO40" s="1087">
        <f>'Misc. Data &amp; Mechanisms'!R313</f>
        <v>505.25246617731932</v>
      </c>
      <c r="AP40" s="1087">
        <f>'Misc. Data &amp; Mechanisms'!S313</f>
        <v>373.92044553284109</v>
      </c>
      <c r="AQ40" s="1463">
        <f>'Misc. Data &amp; Mechanisms'!$B$259</f>
        <v>611.34673880086393</v>
      </c>
      <c r="AR40" s="197">
        <f>IFERROR(IF('Personalized Bill Menu'!$B$30="Yes", IF('Personalized Bill Menu'!$B$34="Natural Gas",0,VLOOKUP($A40, 'Personalized Bill Menu'!$H$4:$L$93, 2, FALSE)), 0), 0)</f>
        <v>0</v>
      </c>
      <c r="AS40" s="1343">
        <f>IFERROR(IF('Personalized Bill Menu'!$C$36="Custom", IF('Personalized Bill Menu'!$B$34="Natural Gas",0,VLOOKUP($A40, 'Personalized Bill Menu'!$H$4:$L$93, 3, FALSE)), 0), 0)</f>
        <v>0</v>
      </c>
      <c r="AT40" s="1344">
        <f>IFERROR(IF('Personalized Bill Menu'!$C$36="Custom", IF('Personalized Bill Menu'!$B$34="Natural Gas",0,VLOOKUP($A40, 'Personalized Bill Menu'!$H$4:$L$93, 4, FALSE)), 0), 0)</f>
        <v>0</v>
      </c>
      <c r="AU40" s="335"/>
      <c r="AV40" s="335"/>
      <c r="AW40" s="335"/>
    </row>
    <row r="41" spans="1:49" x14ac:dyDescent="0.35">
      <c r="A41" s="206">
        <v>41944</v>
      </c>
      <c r="B41" s="207">
        <f t="shared" si="0"/>
        <v>30</v>
      </c>
      <c r="C41" s="1581">
        <f t="shared" si="13"/>
        <v>812.49398695317586</v>
      </c>
      <c r="D41" s="178">
        <f t="shared" si="14"/>
        <v>15.807437923494803</v>
      </c>
      <c r="E41" s="178">
        <f t="shared" si="15"/>
        <v>12.010803672000002</v>
      </c>
      <c r="F41" s="86">
        <f t="shared" si="16"/>
        <v>128.43448261975124</v>
      </c>
      <c r="G41" s="115">
        <f t="shared" si="17"/>
        <v>56.403332574289465</v>
      </c>
      <c r="H41" s="66">
        <f t="shared" si="18"/>
        <v>25.139376450318213</v>
      </c>
      <c r="I41" s="66">
        <f t="shared" si="1"/>
        <v>37.022381422716634</v>
      </c>
      <c r="J41" s="66">
        <f t="shared" si="19"/>
        <v>7.366168307954629</v>
      </c>
      <c r="K41" s="66">
        <f t="shared" si="20"/>
        <v>-9.5027038793253702</v>
      </c>
      <c r="L41" s="66">
        <f t="shared" si="21"/>
        <v>5.89</v>
      </c>
      <c r="M41" s="68">
        <f t="shared" si="23"/>
        <v>6.1159277437976787</v>
      </c>
      <c r="N41" s="273">
        <f>IF($I$2="RRO (Capped)",VLOOKUP(A41,'Misc. Data &amp; Mechanisms'!$A$1278:$E$1368,4,FALSE),IF($I$2="RRO (Uncapped)",VLOOKUP(A41,'Misc. Data &amp; Mechanisms'!$G$1278:$K$1368,4,FALSE),AS41))</f>
        <v>6.9420000000000002</v>
      </c>
      <c r="O41" s="333">
        <f t="shared" si="3"/>
        <v>56.403332574289465</v>
      </c>
      <c r="P41" s="336">
        <v>3.0941000000000001</v>
      </c>
      <c r="Q41" s="333">
        <f t="shared" si="24"/>
        <v>25.139376450318213</v>
      </c>
      <c r="R41" s="337">
        <v>1.972</v>
      </c>
      <c r="S41" s="337">
        <v>0.7</v>
      </c>
      <c r="T41" s="338">
        <f t="shared" si="25"/>
        <v>16.022381422716631</v>
      </c>
      <c r="U41" s="333">
        <f t="shared" si="26"/>
        <v>21</v>
      </c>
      <c r="V41" s="205">
        <f>VLOOKUP($A41,'Misc. Data &amp; Mechanisms'!$A$63:$DY$152,HLOOKUP('Service Zone Menu'!$K$5&amp;"_FORTIS_Elec_Y_1",'Misc. Data &amp; Mechanisms'!$A$55:$DY$62,8,FALSE), FALSE)</f>
        <v>0.107</v>
      </c>
      <c r="W41" s="205">
        <f>VLOOKUP($A41,'Misc. Data &amp; Mechanisms'!$A$63:$DY$152,HLOOKUP('Service Zone Menu'!$K$5&amp;"_FORTIS_Elec_Y_2",'Misc. Data &amp; Mechanisms'!$A$55:$DY$62,8,FALSE), FALSE)</f>
        <v>1.15E-2</v>
      </c>
      <c r="X41" s="338">
        <f t="shared" si="27"/>
        <v>6.6513080924147285</v>
      </c>
      <c r="Y41" s="333">
        <f t="shared" si="28"/>
        <v>0.71486021553990065</v>
      </c>
      <c r="Z41" s="336">
        <v>-0.56510000000000005</v>
      </c>
      <c r="AA41" s="339">
        <v>-0.1081</v>
      </c>
      <c r="AB41" s="339"/>
      <c r="AC41" s="1495">
        <v>-0.27</v>
      </c>
      <c r="AD41" s="339"/>
      <c r="AE41" s="338">
        <f t="shared" si="29"/>
        <v>-4.5914035202723973</v>
      </c>
      <c r="AF41" s="338">
        <f t="shared" si="30"/>
        <v>-2.7175665942793987</v>
      </c>
      <c r="AG41" s="338">
        <f t="shared" si="31"/>
        <v>-2.1937337647735751</v>
      </c>
      <c r="AH41" s="333">
        <f t="shared" si="32"/>
        <v>0</v>
      </c>
      <c r="AI41" s="200">
        <f>IF(OR($I$2="RRO (Capped)",$I$2="RRO (Uncapped)"),VLOOKUP(A41,'Misc. Data &amp; Mechanisms'!$A$1483:$H$1574,4,FALSE),AT41)</f>
        <v>5.89</v>
      </c>
      <c r="AJ41" s="333">
        <f t="shared" si="22"/>
        <v>5.89</v>
      </c>
      <c r="AK41" s="340">
        <f>5%</f>
        <v>0.05</v>
      </c>
      <c r="AL41" s="341">
        <f>'Misc. Data &amp; Mechanisms'!AJ314</f>
        <v>721.03215980789525</v>
      </c>
      <c r="AM41" s="196">
        <f>'Misc. Data &amp; Mechanisms'!AP314</f>
        <v>616.45033272241665</v>
      </c>
      <c r="AN41" s="1087">
        <f>'Misc. Data &amp; Mechanisms'!Q314</f>
        <v>812.49398695317586</v>
      </c>
      <c r="AO41" s="1087">
        <f>'Misc. Data &amp; Mechanisms'!R314</f>
        <v>616.60791229897848</v>
      </c>
      <c r="AP41" s="1087">
        <f>'Misc. Data &amp; Mechanisms'!S314</f>
        <v>456.33088548842977</v>
      </c>
      <c r="AQ41" s="1463">
        <f>'Misc. Data &amp; Mechanisms'!$B$259</f>
        <v>611.34673880086393</v>
      </c>
      <c r="AR41" s="197">
        <f>IFERROR(IF('Personalized Bill Menu'!$B$30="Yes", IF('Personalized Bill Menu'!$B$34="Natural Gas",0,VLOOKUP($A41, 'Personalized Bill Menu'!$H$4:$L$93, 2, FALSE)), 0), 0)</f>
        <v>0</v>
      </c>
      <c r="AS41" s="1343">
        <f>IFERROR(IF('Personalized Bill Menu'!$C$36="Custom", IF('Personalized Bill Menu'!$B$34="Natural Gas",0,VLOOKUP($A41, 'Personalized Bill Menu'!$H$4:$L$93, 3, FALSE)), 0), 0)</f>
        <v>0</v>
      </c>
      <c r="AT41" s="1344">
        <f>IFERROR(IF('Personalized Bill Menu'!$C$36="Custom", IF('Personalized Bill Menu'!$B$34="Natural Gas",0,VLOOKUP($A41, 'Personalized Bill Menu'!$H$4:$L$93, 4, FALSE)), 0), 0)</f>
        <v>0</v>
      </c>
      <c r="AU41" s="335"/>
      <c r="AV41" s="335"/>
      <c r="AW41" s="335"/>
    </row>
    <row r="42" spans="1:49" x14ac:dyDescent="0.35">
      <c r="A42" s="229">
        <v>41974</v>
      </c>
      <c r="B42" s="230">
        <f t="shared" si="0"/>
        <v>31</v>
      </c>
      <c r="C42" s="231">
        <f t="shared" si="13"/>
        <v>878.11759599072172</v>
      </c>
      <c r="D42" s="208">
        <f t="shared" si="14"/>
        <v>16.073027746292052</v>
      </c>
      <c r="E42" s="208">
        <f t="shared" si="15"/>
        <v>12.466503672000004</v>
      </c>
      <c r="F42" s="342">
        <f t="shared" si="16"/>
        <v>141.14008484866144</v>
      </c>
      <c r="G42" s="343">
        <f t="shared" si="17"/>
        <v>64.769953880275636</v>
      </c>
      <c r="H42" s="344">
        <f t="shared" si="18"/>
        <v>27.169836537548921</v>
      </c>
      <c r="I42" s="344">
        <f t="shared" si="1"/>
        <v>39.016478992937031</v>
      </c>
      <c r="J42" s="344">
        <f t="shared" si="19"/>
        <v>7.8430783903625851</v>
      </c>
      <c r="K42" s="344">
        <f t="shared" si="20"/>
        <v>-10.270219373827556</v>
      </c>
      <c r="L42" s="344">
        <f t="shared" si="21"/>
        <v>5.89</v>
      </c>
      <c r="M42" s="345">
        <f t="shared" si="23"/>
        <v>6.7209564213648312</v>
      </c>
      <c r="N42" s="1243">
        <f>IF($I$2="RRO (Capped)",VLOOKUP(A42,'Misc. Data &amp; Mechanisms'!$A$1278:$E$1368,4,FALSE),IF($I$2="RRO (Uncapped)",VLOOKUP(A42,'Misc. Data &amp; Mechanisms'!$G$1278:$K$1368,4,FALSE),AS42))</f>
        <v>7.3760000000000003</v>
      </c>
      <c r="O42" s="346">
        <f t="shared" si="3"/>
        <v>64.769953880275636</v>
      </c>
      <c r="P42" s="347">
        <v>3.0941000000000001</v>
      </c>
      <c r="Q42" s="346">
        <f t="shared" si="24"/>
        <v>27.169836537548921</v>
      </c>
      <c r="R42" s="348">
        <v>1.972</v>
      </c>
      <c r="S42" s="348">
        <v>0.7</v>
      </c>
      <c r="T42" s="349">
        <f t="shared" si="25"/>
        <v>17.316478992937032</v>
      </c>
      <c r="U42" s="346">
        <f t="shared" si="26"/>
        <v>21.7</v>
      </c>
      <c r="V42" s="246">
        <f>VLOOKUP($A42,'Misc. Data &amp; Mechanisms'!$A$63:$DY$152,HLOOKUP('Service Zone Menu'!$K$5&amp;"_FORTIS_Elec_Y_1",'Misc. Data &amp; Mechanisms'!$A$55:$DY$62,8,FALSE), FALSE)</f>
        <v>0.107</v>
      </c>
      <c r="W42" s="246">
        <f>VLOOKUP($A42,'Misc. Data &amp; Mechanisms'!$A$63:$DY$152,HLOOKUP('Service Zone Menu'!$K$5&amp;"_FORTIS_Elec_Y_2",'Misc. Data &amp; Mechanisms'!$A$55:$DY$62,8,FALSE), FALSE)</f>
        <v>1.15E-2</v>
      </c>
      <c r="X42" s="349">
        <f t="shared" si="27"/>
        <v>7.0819357617619971</v>
      </c>
      <c r="Y42" s="346">
        <f t="shared" si="28"/>
        <v>0.76114262860058846</v>
      </c>
      <c r="Z42" s="347">
        <v>-0.56510000000000005</v>
      </c>
      <c r="AA42" s="350">
        <v>-0.1081</v>
      </c>
      <c r="AB42" s="350"/>
      <c r="AC42" s="1496">
        <v>-0.27</v>
      </c>
      <c r="AD42" s="350"/>
      <c r="AE42" s="349">
        <f t="shared" si="29"/>
        <v>-4.9622425349435693</v>
      </c>
      <c r="AF42" s="349">
        <f t="shared" si="30"/>
        <v>-2.9370593297090384</v>
      </c>
      <c r="AG42" s="349">
        <f t="shared" si="31"/>
        <v>-2.3709175091749488</v>
      </c>
      <c r="AH42" s="346">
        <f t="shared" si="32"/>
        <v>0</v>
      </c>
      <c r="AI42" s="239">
        <f>IF(OR($I$2="RRO (Capped)",$I$2="RRO (Uncapped)"),VLOOKUP(A42,'Misc. Data &amp; Mechanisms'!$A$1483:$H$1574,4,FALSE),AT42)</f>
        <v>5.89</v>
      </c>
      <c r="AJ42" s="346">
        <f t="shared" si="22"/>
        <v>5.89</v>
      </c>
      <c r="AK42" s="351">
        <f>5%</f>
        <v>0.05</v>
      </c>
      <c r="AL42" s="352">
        <f>'Misc. Data &amp; Mechanisms'!AJ315</f>
        <v>779.26856933034196</v>
      </c>
      <c r="AM42" s="1089">
        <f>'Misc. Data &amp; Mechanisms'!AP315</f>
        <v>680.46767316344483</v>
      </c>
      <c r="AN42" s="1089">
        <f>'Misc. Data &amp; Mechanisms'!Q315</f>
        <v>878.11759599072172</v>
      </c>
      <c r="AO42" s="1089">
        <f>'Misc. Data &amp; Mechanisms'!R315</f>
        <v>666.41017202757564</v>
      </c>
      <c r="AP42" s="1089">
        <f>'Misc. Data &amp; Mechanisms'!S315</f>
        <v>493.18787163468619</v>
      </c>
      <c r="AQ42" s="1464">
        <f>'Misc. Data &amp; Mechanisms'!$B$259</f>
        <v>611.34673880086393</v>
      </c>
      <c r="AR42" s="243">
        <f>IFERROR(IF('Personalized Bill Menu'!$B$30="Yes", IF('Personalized Bill Menu'!$B$34="Natural Gas",0,VLOOKUP($A42, 'Personalized Bill Menu'!$H$4:$L$93, 2, FALSE)), 0), 0)</f>
        <v>0</v>
      </c>
      <c r="AS42" s="1345">
        <f>IFERROR(IF('Personalized Bill Menu'!$C$36="Custom", IF('Personalized Bill Menu'!$B$34="Natural Gas",0,VLOOKUP($A42, 'Personalized Bill Menu'!$H$4:$L$93, 3, FALSE)), 0), 0)</f>
        <v>0</v>
      </c>
      <c r="AT42" s="1346">
        <f>IFERROR(IF('Personalized Bill Menu'!$C$36="Custom", IF('Personalized Bill Menu'!$B$34="Natural Gas",0,VLOOKUP($A42, 'Personalized Bill Menu'!$H$4:$L$93, 4, FALSE)), 0), 0)</f>
        <v>0</v>
      </c>
      <c r="AU42" s="335"/>
      <c r="AV42" s="335"/>
      <c r="AW42" s="335"/>
    </row>
    <row r="43" spans="1:49" x14ac:dyDescent="0.35">
      <c r="A43" s="206">
        <v>42005</v>
      </c>
      <c r="B43" s="207">
        <f t="shared" si="0"/>
        <v>31</v>
      </c>
      <c r="C43" s="212">
        <f t="shared" si="13"/>
        <v>853.0021017669759</v>
      </c>
      <c r="D43" s="178">
        <f t="shared" si="14"/>
        <v>17.337042863960249</v>
      </c>
      <c r="E43" s="178">
        <f t="shared" si="15"/>
        <v>13.349344890000001</v>
      </c>
      <c r="F43" s="86">
        <f t="shared" si="16"/>
        <v>147.88534001382243</v>
      </c>
      <c r="G43" s="115">
        <f t="shared" si="17"/>
        <v>60.895820045144418</v>
      </c>
      <c r="H43" s="66">
        <f t="shared" si="18"/>
        <v>26.408945070705574</v>
      </c>
      <c r="I43" s="66">
        <f t="shared" si="1"/>
        <v>42.237505440202014</v>
      </c>
      <c r="J43" s="66">
        <f t="shared" si="19"/>
        <v>8.1346043855425485</v>
      </c>
      <c r="K43" s="66">
        <f t="shared" si="20"/>
        <v>-2.6136939760494124</v>
      </c>
      <c r="L43" s="66">
        <f t="shared" si="21"/>
        <v>5.78</v>
      </c>
      <c r="M43" s="68">
        <f t="shared" si="23"/>
        <v>7.0421590482772594</v>
      </c>
      <c r="N43" s="273">
        <f>IF($I$2="RRO (Capped)",VLOOKUP(A43,'Misc. Data &amp; Mechanisms'!$A$1278:$E$1368,4,FALSE),IF($I$2="RRO (Uncapped)",VLOOKUP(A43,'Misc. Data &amp; Mechanisms'!$G$1278:$K$1368,4,FALSE),AS43))</f>
        <v>7.1390000000000002</v>
      </c>
      <c r="O43" s="333">
        <f t="shared" si="3"/>
        <v>60.895820045144418</v>
      </c>
      <c r="P43" s="336">
        <v>3.0960000000000001</v>
      </c>
      <c r="Q43" s="333">
        <f t="shared" si="24"/>
        <v>26.408945070705574</v>
      </c>
      <c r="R43" s="337">
        <v>2.1619999999999999</v>
      </c>
      <c r="S43" s="337">
        <v>0.76759999999999995</v>
      </c>
      <c r="T43" s="338">
        <f t="shared" si="25"/>
        <v>18.441905440202021</v>
      </c>
      <c r="U43" s="333">
        <f t="shared" si="26"/>
        <v>23.795599999999997</v>
      </c>
      <c r="V43" s="205">
        <f>VLOOKUP($A43,'Misc. Data &amp; Mechanisms'!$A$63:$DY$152,HLOOKUP('Service Zone Menu'!$K$5&amp;"_FORTIS_Elec_Y_1",'Misc. Data &amp; Mechanisms'!$A$55:$DY$62,8,FALSE), FALSE)</f>
        <v>0.107</v>
      </c>
      <c r="W43" s="205">
        <f>VLOOKUP($A43,'Misc. Data &amp; Mechanisms'!$A$63:$DY$152,HLOOKUP('Service Zone Menu'!$K$5&amp;"_FORTIS_Elec_Y_2",'Misc. Data &amp; Mechanisms'!$A$55:$DY$62,8,FALSE), FALSE)</f>
        <v>1.15E-2</v>
      </c>
      <c r="X43" s="338">
        <f t="shared" si="27"/>
        <v>7.3451702046671112</v>
      </c>
      <c r="Y43" s="333">
        <f t="shared" si="28"/>
        <v>0.78943418087543715</v>
      </c>
      <c r="Z43" s="336">
        <v>-0.56110000000000004</v>
      </c>
      <c r="AA43" s="339">
        <v>-6.4699999999999994E-2</v>
      </c>
      <c r="AB43" s="339"/>
      <c r="AC43" s="1495">
        <v>0.45500000000000002</v>
      </c>
      <c r="AD43" s="339"/>
      <c r="AE43" s="338">
        <f t="shared" si="29"/>
        <v>-4.7861947930145021</v>
      </c>
      <c r="AF43" s="338">
        <f t="shared" si="30"/>
        <v>-1.7086587460746505</v>
      </c>
      <c r="AG43" s="338">
        <f t="shared" si="31"/>
        <v>3.8811595630397404</v>
      </c>
      <c r="AH43" s="333">
        <f t="shared" si="32"/>
        <v>0</v>
      </c>
      <c r="AI43" s="200">
        <f>IF(OR($I$2="RRO (Capped)",$I$2="RRO (Uncapped)"),VLOOKUP(A43,'Misc. Data &amp; Mechanisms'!$A$1483:$H$1574,4,FALSE),AT43)</f>
        <v>5.78</v>
      </c>
      <c r="AJ43" s="333">
        <f t="shared" si="22"/>
        <v>5.78</v>
      </c>
      <c r="AK43" s="340">
        <f>5%</f>
        <v>0.05</v>
      </c>
      <c r="AL43" s="359">
        <f>'Misc. Data &amp; Mechanisms'!AJ316</f>
        <v>756.98030709630552</v>
      </c>
      <c r="AM43" s="1239">
        <f>'Misc. Data &amp; Mechanisms'!AP316</f>
        <v>657.08300980223214</v>
      </c>
      <c r="AN43" s="1087">
        <f>'Misc. Data &amp; Mechanisms'!Q316</f>
        <v>853.0021017669759</v>
      </c>
      <c r="AO43" s="1087">
        <f>'Misc. Data &amp; Mechanisms'!R316</f>
        <v>647.34983101787236</v>
      </c>
      <c r="AP43" s="1087">
        <f>'Misc. Data &amp; Mechanisms'!S316</f>
        <v>479.08195097233181</v>
      </c>
      <c r="AQ43" s="1463">
        <f>'Misc. Data &amp; Mechanisms'!$B$259</f>
        <v>611.34673880086393</v>
      </c>
      <c r="AR43" s="197">
        <f>IFERROR(IF('Personalized Bill Menu'!$B$30="Yes", IF('Personalized Bill Menu'!$B$34="Natural Gas",0,VLOOKUP($A43, 'Personalized Bill Menu'!$H$4:$L$93, 2, FALSE)), 0), 0)</f>
        <v>0</v>
      </c>
      <c r="AS43" s="1343">
        <f>IFERROR(IF('Personalized Bill Menu'!$C$36="Custom", IF('Personalized Bill Menu'!$B$34="Natural Gas",0,VLOOKUP($A43, 'Personalized Bill Menu'!$H$4:$L$93, 3, FALSE)), 0), 0)</f>
        <v>0</v>
      </c>
      <c r="AT43" s="1344">
        <f>IFERROR(IF('Personalized Bill Menu'!$C$36="Custom", IF('Personalized Bill Menu'!$B$34="Natural Gas",0,VLOOKUP($A43, 'Personalized Bill Menu'!$H$4:$L$93, 4, FALSE)), 0), 0)</f>
        <v>0</v>
      </c>
      <c r="AU43" s="335"/>
      <c r="AV43" s="335"/>
      <c r="AW43" s="335"/>
    </row>
    <row r="44" spans="1:49" x14ac:dyDescent="0.35">
      <c r="A44" s="206">
        <v>42036</v>
      </c>
      <c r="B44" s="207">
        <f t="shared" si="0"/>
        <v>28</v>
      </c>
      <c r="C44" s="1581">
        <f t="shared" si="13"/>
        <v>737.44064646498703</v>
      </c>
      <c r="D44" s="178">
        <f t="shared" si="14"/>
        <v>16.943445630193843</v>
      </c>
      <c r="E44" s="178">
        <f t="shared" si="15"/>
        <v>12.596494890000002</v>
      </c>
      <c r="F44" s="86">
        <f t="shared" si="16"/>
        <v>124.94785498874505</v>
      </c>
      <c r="G44" s="115">
        <f t="shared" si="17"/>
        <v>47.358438315981466</v>
      </c>
      <c r="H44" s="66">
        <f t="shared" si="18"/>
        <v>22.831162414556001</v>
      </c>
      <c r="I44" s="66">
        <f t="shared" si="1"/>
        <v>37.436266776573021</v>
      </c>
      <c r="J44" s="66">
        <f t="shared" si="19"/>
        <v>7.1416903591487895</v>
      </c>
      <c r="K44" s="66">
        <f t="shared" si="20"/>
        <v>-2.2596007341211246</v>
      </c>
      <c r="L44" s="66">
        <f t="shared" si="21"/>
        <v>6.49</v>
      </c>
      <c r="M44" s="68">
        <f t="shared" si="23"/>
        <v>5.9498978566069072</v>
      </c>
      <c r="N44" s="273">
        <f>IF($I$2="RRO (Capped)",VLOOKUP(A44,'Misc. Data &amp; Mechanisms'!$A$1278:$E$1368,4,FALSE),IF($I$2="RRO (Uncapped)",VLOOKUP(A44,'Misc. Data &amp; Mechanisms'!$G$1278:$K$1368,4,FALSE),AS44))</f>
        <v>6.4219999999999997</v>
      </c>
      <c r="O44" s="333">
        <f t="shared" si="3"/>
        <v>47.358438315981466</v>
      </c>
      <c r="P44" s="336">
        <v>3.0960000000000001</v>
      </c>
      <c r="Q44" s="333">
        <f t="shared" si="24"/>
        <v>22.831162414556001</v>
      </c>
      <c r="R44" s="337">
        <v>2.1619999999999999</v>
      </c>
      <c r="S44" s="337">
        <v>0.76759999999999995</v>
      </c>
      <c r="T44" s="338">
        <f t="shared" si="25"/>
        <v>15.94346677657302</v>
      </c>
      <c r="U44" s="333">
        <f t="shared" si="26"/>
        <v>21.492799999999999</v>
      </c>
      <c r="V44" s="205">
        <f>VLOOKUP($A44,'Misc. Data &amp; Mechanisms'!$A$63:$DY$152,HLOOKUP('Service Zone Menu'!$K$5&amp;"_FORTIS_Elec_Y_1",'Misc. Data &amp; Mechanisms'!$A$55:$DY$62,8,FALSE), FALSE)</f>
        <v>0.107</v>
      </c>
      <c r="W44" s="205">
        <f>VLOOKUP($A44,'Misc. Data &amp; Mechanisms'!$A$63:$DY$152,HLOOKUP('Service Zone Menu'!$K$5&amp;"_FORTIS_Elec_Y_2",'Misc. Data &amp; Mechanisms'!$A$55:$DY$62,8,FALSE), FALSE)</f>
        <v>1.15E-2</v>
      </c>
      <c r="X44" s="338">
        <f t="shared" si="27"/>
        <v>6.4486149234508057</v>
      </c>
      <c r="Y44" s="333">
        <f t="shared" si="28"/>
        <v>0.6930754356979838</v>
      </c>
      <c r="Z44" s="336">
        <v>-0.56110000000000004</v>
      </c>
      <c r="AA44" s="339">
        <v>-6.4699999999999994E-2</v>
      </c>
      <c r="AB44" s="339"/>
      <c r="AC44" s="1495">
        <v>0.45500000000000002</v>
      </c>
      <c r="AD44" s="339"/>
      <c r="AE44" s="338">
        <f t="shared" si="29"/>
        <v>-4.1377794673150428</v>
      </c>
      <c r="AF44" s="338">
        <f t="shared" si="30"/>
        <v>-1.4771762082217732</v>
      </c>
      <c r="AG44" s="338">
        <f t="shared" si="31"/>
        <v>3.3553549414156913</v>
      </c>
      <c r="AH44" s="333">
        <f t="shared" si="32"/>
        <v>0</v>
      </c>
      <c r="AI44" s="200">
        <f>IF(OR($I$2="RRO (Capped)",$I$2="RRO (Uncapped)"),VLOOKUP(A44,'Misc. Data &amp; Mechanisms'!$A$1483:$H$1574,4,FALSE),AT44)</f>
        <v>6.49</v>
      </c>
      <c r="AJ44" s="333">
        <f t="shared" si="22"/>
        <v>6.49</v>
      </c>
      <c r="AK44" s="340">
        <f>5%</f>
        <v>0.05</v>
      </c>
      <c r="AL44" s="341">
        <f>'Misc. Data &amp; Mechanisms'!AJ317</f>
        <v>654.42751649732895</v>
      </c>
      <c r="AM44" s="196">
        <f>'Misc. Data &amp; Mechanisms'!AP317</f>
        <v>567.16869330123086</v>
      </c>
      <c r="AN44" s="1087">
        <f>'Misc. Data &amp; Mechanisms'!Q317</f>
        <v>737.44064646498703</v>
      </c>
      <c r="AO44" s="1087">
        <f>'Misc. Data &amp; Mechanisms'!R317</f>
        <v>559.64935711873738</v>
      </c>
      <c r="AP44" s="1087">
        <f>'Misc. Data &amp; Mechanisms'!S317</f>
        <v>414.17776451300813</v>
      </c>
      <c r="AQ44" s="1463">
        <f>'Misc. Data &amp; Mechanisms'!$B$259</f>
        <v>611.34673880086393</v>
      </c>
      <c r="AR44" s="197">
        <f>IFERROR(IF('Personalized Bill Menu'!$B$30="Yes", IF('Personalized Bill Menu'!$B$34="Natural Gas",0,VLOOKUP($A44, 'Personalized Bill Menu'!$H$4:$L$93, 2, FALSE)), 0), 0)</f>
        <v>0</v>
      </c>
      <c r="AS44" s="1343">
        <f>IFERROR(IF('Personalized Bill Menu'!$C$36="Custom", IF('Personalized Bill Menu'!$B$34="Natural Gas",0,VLOOKUP($A44, 'Personalized Bill Menu'!$H$4:$L$93, 3, FALSE)), 0), 0)</f>
        <v>0</v>
      </c>
      <c r="AT44" s="1344">
        <f>IFERROR(IF('Personalized Bill Menu'!$C$36="Custom", IF('Personalized Bill Menu'!$B$34="Natural Gas",0,VLOOKUP($A44, 'Personalized Bill Menu'!$H$4:$L$93, 4, FALSE)), 0), 0)</f>
        <v>0</v>
      </c>
      <c r="AU44" s="335"/>
      <c r="AV44" s="335"/>
      <c r="AW44" s="335"/>
    </row>
    <row r="45" spans="1:49" x14ac:dyDescent="0.35">
      <c r="A45" s="206">
        <v>42064</v>
      </c>
      <c r="B45" s="207">
        <f t="shared" si="0"/>
        <v>31</v>
      </c>
      <c r="C45" s="1581">
        <f t="shared" si="13"/>
        <v>702.08982515174523</v>
      </c>
      <c r="D45" s="178">
        <f t="shared" si="14"/>
        <v>16.398820568585649</v>
      </c>
      <c r="E45" s="178">
        <f t="shared" si="15"/>
        <v>11.447794890000001</v>
      </c>
      <c r="F45" s="86">
        <f t="shared" si="16"/>
        <v>115.13445065693142</v>
      </c>
      <c r="G45" s="115">
        <f t="shared" si="17"/>
        <v>37.40734588408499</v>
      </c>
      <c r="H45" s="66">
        <f>SUM($Q45)</f>
        <v>21.736700986698033</v>
      </c>
      <c r="I45" s="66">
        <f t="shared" si="1"/>
        <v>38.974782019780733</v>
      </c>
      <c r="J45" s="66">
        <f t="shared" si="19"/>
        <v>7.1943107362677337</v>
      </c>
      <c r="K45" s="66">
        <f t="shared" si="20"/>
        <v>-2.1512818583253646</v>
      </c>
      <c r="L45" s="66">
        <f t="shared" si="21"/>
        <v>6.49</v>
      </c>
      <c r="M45" s="68">
        <f t="shared" si="23"/>
        <v>5.4825928884253061</v>
      </c>
      <c r="N45" s="273">
        <f>IF($I$2="RRO (Capped)",VLOOKUP(A45,'Misc. Data &amp; Mechanisms'!$A$1278:$E$1368,4,FALSE),IF($I$2="RRO (Uncapped)",VLOOKUP(A45,'Misc. Data &amp; Mechanisms'!$G$1278:$K$1368,4,FALSE),AS45))</f>
        <v>5.3280000000000003</v>
      </c>
      <c r="O45" s="333">
        <f t="shared" si="3"/>
        <v>37.40734588408499</v>
      </c>
      <c r="P45" s="336">
        <v>3.0960000000000001</v>
      </c>
      <c r="Q45" s="333">
        <f t="shared" si="24"/>
        <v>21.736700986698033</v>
      </c>
      <c r="R45" s="337">
        <v>2.1619999999999999</v>
      </c>
      <c r="S45" s="337">
        <v>0.76759999999999995</v>
      </c>
      <c r="T45" s="338">
        <f t="shared" si="25"/>
        <v>15.179182019780733</v>
      </c>
      <c r="U45" s="333">
        <f t="shared" si="26"/>
        <v>23.795599999999997</v>
      </c>
      <c r="V45" s="205">
        <f>VLOOKUP($A45,'Misc. Data &amp; Mechanisms'!$A$63:$DY$152,HLOOKUP('Service Zone Menu'!$K$5&amp;"_FORTIS_Elec_Y_1",'Misc. Data &amp; Mechanisms'!$A$55:$DY$62,8,FALSE), FALSE)</f>
        <v>0.107</v>
      </c>
      <c r="W45" s="205">
        <f>VLOOKUP($A45,'Misc. Data &amp; Mechanisms'!$A$63:$DY$152,HLOOKUP('Service Zone Menu'!$K$5&amp;"_FORTIS_Elec_Y_2",'Misc. Data &amp; Mechanisms'!$A$55:$DY$62,8,FALSE), FALSE)</f>
        <v>1.15E-2</v>
      </c>
      <c r="X45" s="338">
        <f t="shared" si="27"/>
        <v>6.4961286816932278</v>
      </c>
      <c r="Y45" s="333">
        <f t="shared" si="28"/>
        <v>0.69818205457450577</v>
      </c>
      <c r="Z45" s="336">
        <v>-0.56110000000000004</v>
      </c>
      <c r="AA45" s="339">
        <v>-6.4699999999999994E-2</v>
      </c>
      <c r="AB45" s="339"/>
      <c r="AC45" s="1495">
        <v>0.45500000000000002</v>
      </c>
      <c r="AD45" s="339"/>
      <c r="AE45" s="338">
        <f t="shared" si="29"/>
        <v>-3.9394260089264428</v>
      </c>
      <c r="AF45" s="338">
        <f t="shared" si="30"/>
        <v>-1.4063645538393625</v>
      </c>
      <c r="AG45" s="338">
        <f t="shared" si="31"/>
        <v>3.194508704440441</v>
      </c>
      <c r="AH45" s="333">
        <f t="shared" si="32"/>
        <v>0</v>
      </c>
      <c r="AI45" s="200">
        <f>IF(OR($I$2="RRO (Capped)",$I$2="RRO (Uncapped)"),VLOOKUP(A45,'Misc. Data &amp; Mechanisms'!$A$1483:$H$1574,4,FALSE),AT45)</f>
        <v>6.49</v>
      </c>
      <c r="AJ45" s="333">
        <f t="shared" si="22"/>
        <v>6.49</v>
      </c>
      <c r="AK45" s="340">
        <f>5%</f>
        <v>0.05</v>
      </c>
      <c r="AL45" s="341">
        <f>'Misc. Data &amp; Mechanisms'!AJ318</f>
        <v>623.05611012169186</v>
      </c>
      <c r="AM45" s="196">
        <f>'Misc. Data &amp; Mechanisms'!AP318</f>
        <v>559.20686936723871</v>
      </c>
      <c r="AN45" s="1087">
        <f>'Misc. Data &amp; Mechanisms'!Q318</f>
        <v>702.08982515174523</v>
      </c>
      <c r="AO45" s="1087">
        <f>'Misc. Data &amp; Mechanisms'!R318</f>
        <v>532.82134795432194</v>
      </c>
      <c r="AP45" s="1087">
        <f>'Misc. Data &amp; Mechanisms'!S318</f>
        <v>394.32325253919271</v>
      </c>
      <c r="AQ45" s="1463">
        <f>'Misc. Data &amp; Mechanisms'!$B$259</f>
        <v>611.34673880086393</v>
      </c>
      <c r="AR45" s="197">
        <f>IFERROR(IF('Personalized Bill Menu'!$B$30="Yes", IF('Personalized Bill Menu'!$B$34="Natural Gas",0,VLOOKUP($A45, 'Personalized Bill Menu'!$H$4:$L$93, 2, FALSE)), 0), 0)</f>
        <v>0</v>
      </c>
      <c r="AS45" s="1343">
        <f>IFERROR(IF('Personalized Bill Menu'!$C$36="Custom", IF('Personalized Bill Menu'!$B$34="Natural Gas",0,VLOOKUP($A45, 'Personalized Bill Menu'!$H$4:$L$93, 3, FALSE)), 0), 0)</f>
        <v>0</v>
      </c>
      <c r="AT45" s="1344">
        <f>IFERROR(IF('Personalized Bill Menu'!$C$36="Custom", IF('Personalized Bill Menu'!$B$34="Natural Gas",0,VLOOKUP($A45, 'Personalized Bill Menu'!$H$4:$L$93, 4, FALSE)), 0), 0)</f>
        <v>0</v>
      </c>
      <c r="AU45" s="335"/>
      <c r="AV45" s="335"/>
      <c r="AW45" s="335"/>
    </row>
    <row r="46" spans="1:49" x14ac:dyDescent="0.35">
      <c r="A46" s="206">
        <v>42095</v>
      </c>
      <c r="B46" s="207">
        <f t="shared" si="0"/>
        <v>30</v>
      </c>
      <c r="C46" s="1581">
        <f t="shared" si="13"/>
        <v>624.07656897838569</v>
      </c>
      <c r="D46" s="178">
        <f t="shared" si="14"/>
        <v>17.069626406703549</v>
      </c>
      <c r="E46" s="178">
        <f t="shared" si="15"/>
        <v>11.644144890000002</v>
      </c>
      <c r="F46" s="86">
        <f t="shared" si="16"/>
        <v>106.52753881638402</v>
      </c>
      <c r="G46" s="115">
        <f t="shared" si="17"/>
        <v>35.503716009180366</v>
      </c>
      <c r="H46" s="66">
        <f t="shared" si="18"/>
        <v>19.321410575570823</v>
      </c>
      <c r="I46" s="66">
        <f t="shared" si="1"/>
        <v>36.520535421312701</v>
      </c>
      <c r="J46" s="66">
        <f t="shared" si="19"/>
        <v>6.6172706006306976</v>
      </c>
      <c r="K46" s="66">
        <f t="shared" si="20"/>
        <v>-2.9981337339478906</v>
      </c>
      <c r="L46" s="66">
        <f t="shared" si="21"/>
        <v>6.49</v>
      </c>
      <c r="M46" s="68">
        <f t="shared" si="23"/>
        <v>5.0727399436373348</v>
      </c>
      <c r="N46" s="273">
        <f>IF($I$2="RRO (Capped)",VLOOKUP(A46,'Misc. Data &amp; Mechanisms'!$A$1278:$E$1368,4,FALSE),IF($I$2="RRO (Uncapped)",VLOOKUP(A46,'Misc. Data &amp; Mechanisms'!$G$1278:$K$1368,4,FALSE),AS46))</f>
        <v>5.6890000000000001</v>
      </c>
      <c r="O46" s="333">
        <f t="shared" si="3"/>
        <v>35.503716009180366</v>
      </c>
      <c r="P46" s="336">
        <v>3.0960000000000001</v>
      </c>
      <c r="Q46" s="333">
        <f t="shared" si="24"/>
        <v>19.321410575570823</v>
      </c>
      <c r="R46" s="337">
        <v>2.1619999999999999</v>
      </c>
      <c r="S46" s="337">
        <v>0.76759999999999995</v>
      </c>
      <c r="T46" s="338">
        <f t="shared" si="25"/>
        <v>13.492535421312699</v>
      </c>
      <c r="U46" s="333">
        <f t="shared" si="26"/>
        <v>23.027999999999999</v>
      </c>
      <c r="V46" s="205">
        <f>VLOOKUP($A46,'Misc. Data &amp; Mechanisms'!$A$63:$DY$152,HLOOKUP('Service Zone Menu'!$K$5&amp;"_FORTIS_Elec_Y_1",'Misc. Data &amp; Mechanisms'!$A$55:$DY$62,8,FALSE), FALSE)</f>
        <v>0.107</v>
      </c>
      <c r="W46" s="205">
        <f>VLOOKUP($A46,'Misc. Data &amp; Mechanisms'!$A$63:$DY$152,HLOOKUP('Service Zone Menu'!$K$5&amp;"_FORTIS_Elec_Y_2",'Misc. Data &amp; Mechanisms'!$A$55:$DY$62,8,FALSE), FALSE)</f>
        <v>1.15E-2</v>
      </c>
      <c r="X46" s="338">
        <f t="shared" si="27"/>
        <v>5.9750882216665371</v>
      </c>
      <c r="Y46" s="333">
        <f t="shared" si="28"/>
        <v>0.64218237896416053</v>
      </c>
      <c r="Z46" s="336">
        <v>-0.56110000000000004</v>
      </c>
      <c r="AA46" s="339">
        <v>-6.4699999999999994E-2</v>
      </c>
      <c r="AB46" s="339"/>
      <c r="AC46" s="1495">
        <v>0.28100000000000003</v>
      </c>
      <c r="AD46" s="339"/>
      <c r="AE46" s="338">
        <f t="shared" si="29"/>
        <v>-3.5016936285377223</v>
      </c>
      <c r="AF46" s="338">
        <f t="shared" si="30"/>
        <v>-1.2500952642394321</v>
      </c>
      <c r="AG46" s="338">
        <f t="shared" si="31"/>
        <v>1.7536551588292641</v>
      </c>
      <c r="AH46" s="333">
        <f t="shared" si="32"/>
        <v>0</v>
      </c>
      <c r="AI46" s="200">
        <f>IF(OR($I$2="RRO (Capped)",$I$2="RRO (Uncapped)"),VLOOKUP(A46,'Misc. Data &amp; Mechanisms'!$A$1483:$H$1574,4,FALSE),AT46)</f>
        <v>6.49</v>
      </c>
      <c r="AJ46" s="333">
        <f t="shared" si="22"/>
        <v>6.49</v>
      </c>
      <c r="AK46" s="340">
        <f>5%</f>
        <v>0.05</v>
      </c>
      <c r="AL46" s="341">
        <f>'Misc. Data &amp; Mechanisms'!AJ319</f>
        <v>553.82474657245518</v>
      </c>
      <c r="AM46" s="196">
        <f>'Misc. Data &amp; Mechanisms'!AP319</f>
        <v>492.41607298078463</v>
      </c>
      <c r="AN46" s="1087">
        <f>'Misc. Data &amp; Mechanisms'!Q319</f>
        <v>624.07656897838569</v>
      </c>
      <c r="AO46" s="1087">
        <f>'Misc. Data &amp; Mechanisms'!R319</f>
        <v>473.61649008074255</v>
      </c>
      <c r="AP46" s="1087">
        <f>'Misc. Data &amp; Mechanisms'!S319</f>
        <v>350.50771809699569</v>
      </c>
      <c r="AQ46" s="1463">
        <f>'Misc. Data &amp; Mechanisms'!$B$259</f>
        <v>611.34673880086393</v>
      </c>
      <c r="AR46" s="197">
        <f>IFERROR(IF('Personalized Bill Menu'!$B$30="Yes", IF('Personalized Bill Menu'!$B$34="Natural Gas",0,VLOOKUP($A46, 'Personalized Bill Menu'!$H$4:$L$93, 2, FALSE)), 0), 0)</f>
        <v>0</v>
      </c>
      <c r="AS46" s="1343">
        <f>IFERROR(IF('Personalized Bill Menu'!$C$36="Custom", IF('Personalized Bill Menu'!$B$34="Natural Gas",0,VLOOKUP($A46, 'Personalized Bill Menu'!$H$4:$L$93, 3, FALSE)), 0), 0)</f>
        <v>0</v>
      </c>
      <c r="AT46" s="1344">
        <f>IFERROR(IF('Personalized Bill Menu'!$C$36="Custom", IF('Personalized Bill Menu'!$B$34="Natural Gas",0,VLOOKUP($A46, 'Personalized Bill Menu'!$H$4:$L$93, 4, FALSE)), 0), 0)</f>
        <v>0</v>
      </c>
      <c r="AU46" s="335"/>
      <c r="AV46" s="335"/>
      <c r="AW46" s="335"/>
    </row>
    <row r="47" spans="1:49" x14ac:dyDescent="0.35">
      <c r="A47" s="206">
        <v>42125</v>
      </c>
      <c r="B47" s="207">
        <f t="shared" si="0"/>
        <v>31</v>
      </c>
      <c r="C47" s="1581">
        <f t="shared" si="13"/>
        <v>615.35437292281392</v>
      </c>
      <c r="D47" s="178">
        <f t="shared" si="14"/>
        <v>15.760027722325322</v>
      </c>
      <c r="E47" s="178">
        <f t="shared" si="15"/>
        <v>10.111144890000002</v>
      </c>
      <c r="F47" s="86">
        <f t="shared" si="16"/>
        <v>96.980019763176628</v>
      </c>
      <c r="G47" s="115">
        <f t="shared" si="17"/>
        <v>26.0233364309058</v>
      </c>
      <c r="H47" s="66">
        <f t="shared" si="18"/>
        <v>19.05137138569032</v>
      </c>
      <c r="I47" s="66">
        <f t="shared" si="1"/>
        <v>37.099561542591232</v>
      </c>
      <c r="J47" s="66">
        <f t="shared" si="19"/>
        <v>6.6538855520013636</v>
      </c>
      <c r="K47" s="66">
        <f t="shared" si="20"/>
        <v>-2.9562313272109657</v>
      </c>
      <c r="L47" s="66">
        <f t="shared" si="21"/>
        <v>6.49</v>
      </c>
      <c r="M47" s="68">
        <f t="shared" si="23"/>
        <v>4.6180961791988873</v>
      </c>
      <c r="N47" s="273">
        <f>IF($I$2="RRO (Capped)",VLOOKUP(A47,'Misc. Data &amp; Mechanisms'!$A$1278:$E$1368,4,FALSE),IF($I$2="RRO (Uncapped)",VLOOKUP(A47,'Misc. Data &amp; Mechanisms'!$G$1278:$K$1368,4,FALSE),AS47))</f>
        <v>4.2290000000000001</v>
      </c>
      <c r="O47" s="333">
        <f t="shared" si="3"/>
        <v>26.0233364309058</v>
      </c>
      <c r="P47" s="336">
        <v>3.0960000000000001</v>
      </c>
      <c r="Q47" s="333">
        <f t="shared" si="24"/>
        <v>19.05137138569032</v>
      </c>
      <c r="R47" s="337">
        <v>2.1619999999999999</v>
      </c>
      <c r="S47" s="337">
        <v>0.76759999999999995</v>
      </c>
      <c r="T47" s="338">
        <f t="shared" si="25"/>
        <v>13.303961542591237</v>
      </c>
      <c r="U47" s="333">
        <f t="shared" si="26"/>
        <v>23.795599999999997</v>
      </c>
      <c r="V47" s="205">
        <f>VLOOKUP($A47,'Misc. Data &amp; Mechanisms'!$A$63:$DY$152,HLOOKUP('Service Zone Menu'!$K$5&amp;"_FORTIS_Elec_Y_1",'Misc. Data &amp; Mechanisms'!$A$55:$DY$62,8,FALSE), FALSE)</f>
        <v>0.107</v>
      </c>
      <c r="W47" s="205">
        <f>VLOOKUP($A47,'Misc. Data &amp; Mechanisms'!$A$63:$DY$152,HLOOKUP('Service Zone Menu'!$K$5&amp;"_FORTIS_Elec_Y_2",'Misc. Data &amp; Mechanisms'!$A$55:$DY$62,8,FALSE), FALSE)</f>
        <v>1.15E-2</v>
      </c>
      <c r="X47" s="338">
        <f t="shared" si="27"/>
        <v>6.0081498233261259</v>
      </c>
      <c r="Y47" s="333">
        <f t="shared" si="28"/>
        <v>0.64573572867523776</v>
      </c>
      <c r="Z47" s="336">
        <v>-0.56110000000000004</v>
      </c>
      <c r="AA47" s="339">
        <v>-6.4699999999999994E-2</v>
      </c>
      <c r="AB47" s="339"/>
      <c r="AC47" s="1495">
        <v>0.28100000000000003</v>
      </c>
      <c r="AD47" s="339"/>
      <c r="AE47" s="338">
        <f t="shared" si="29"/>
        <v>-3.4527533864699094</v>
      </c>
      <c r="AF47" s="338">
        <f t="shared" si="30"/>
        <v>-1.2326237286541637</v>
      </c>
      <c r="AG47" s="338">
        <f t="shared" si="31"/>
        <v>1.7291457879131074</v>
      </c>
      <c r="AH47" s="333">
        <f t="shared" si="32"/>
        <v>0</v>
      </c>
      <c r="AI47" s="200">
        <f>IF(OR($I$2="RRO (Capped)",$I$2="RRO (Uncapped)"),VLOOKUP(A47,'Misc. Data &amp; Mechanisms'!$A$1483:$H$1574,4,FALSE),AT47)</f>
        <v>6.49</v>
      </c>
      <c r="AJ47" s="333">
        <f t="shared" si="22"/>
        <v>6.49</v>
      </c>
      <c r="AK47" s="340">
        <f>5%</f>
        <v>0.05</v>
      </c>
      <c r="AL47" s="341">
        <f>'Misc. Data &amp; Mechanisms'!AJ320</f>
        <v>546.08440146073281</v>
      </c>
      <c r="AM47" s="196">
        <f>'Misc. Data &amp; Mechanisms'!AP320</f>
        <v>481.77695362669192</v>
      </c>
      <c r="AN47" s="1087">
        <f>'Misc. Data &amp; Mechanisms'!Q320</f>
        <v>615.35437292281392</v>
      </c>
      <c r="AO47" s="1087">
        <f>'Misc. Data &amp; Mechanisms'!R320</f>
        <v>466.99714866179067</v>
      </c>
      <c r="AP47" s="1087">
        <f>'Misc. Data &amp; Mechanisms'!S320</f>
        <v>345.60896498207302</v>
      </c>
      <c r="AQ47" s="1463">
        <f>'Misc. Data &amp; Mechanisms'!$B$259</f>
        <v>611.34673880086393</v>
      </c>
      <c r="AR47" s="197">
        <f>IFERROR(IF('Personalized Bill Menu'!$B$30="Yes", IF('Personalized Bill Menu'!$B$34="Natural Gas",0,VLOOKUP($A47, 'Personalized Bill Menu'!$H$4:$L$93, 2, FALSE)), 0), 0)</f>
        <v>0</v>
      </c>
      <c r="AS47" s="1343">
        <f>IFERROR(IF('Personalized Bill Menu'!$C$36="Custom", IF('Personalized Bill Menu'!$B$34="Natural Gas",0,VLOOKUP($A47, 'Personalized Bill Menu'!$H$4:$L$93, 3, FALSE)), 0), 0)</f>
        <v>0</v>
      </c>
      <c r="AT47" s="1344">
        <f>IFERROR(IF('Personalized Bill Menu'!$C$36="Custom", IF('Personalized Bill Menu'!$B$34="Natural Gas",0,VLOOKUP($A47, 'Personalized Bill Menu'!$H$4:$L$93, 4, FALSE)), 0), 0)</f>
        <v>0</v>
      </c>
      <c r="AU47" s="335"/>
      <c r="AV47" s="335"/>
      <c r="AW47" s="335"/>
    </row>
    <row r="48" spans="1:49" x14ac:dyDescent="0.35">
      <c r="A48" s="206">
        <v>42156</v>
      </c>
      <c r="B48" s="207">
        <f t="shared" si="0"/>
        <v>30</v>
      </c>
      <c r="C48" s="1581">
        <f t="shared" si="13"/>
        <v>627.46387006656573</v>
      </c>
      <c r="D48" s="178">
        <f t="shared" si="14"/>
        <v>15.258487486142306</v>
      </c>
      <c r="E48" s="178">
        <f t="shared" si="15"/>
        <v>9.8622948900000029</v>
      </c>
      <c r="F48" s="86">
        <f t="shared" si="16"/>
        <v>95.74149609417114</v>
      </c>
      <c r="G48" s="115">
        <f t="shared" si="17"/>
        <v>25.048357693057302</v>
      </c>
      <c r="H48" s="66">
        <f t="shared" si="18"/>
        <v>19.426281417260874</v>
      </c>
      <c r="I48" s="66">
        <f t="shared" si="1"/>
        <v>36.593768870839149</v>
      </c>
      <c r="J48" s="66">
        <f t="shared" si="19"/>
        <v>6.6383759591398528</v>
      </c>
      <c r="K48" s="66">
        <f t="shared" si="20"/>
        <v>-3.0144067077532286</v>
      </c>
      <c r="L48" s="66">
        <f t="shared" si="21"/>
        <v>6.49</v>
      </c>
      <c r="M48" s="68">
        <f t="shared" si="23"/>
        <v>4.5591188616271969</v>
      </c>
      <c r="N48" s="273">
        <f>IF($I$2="RRO (Capped)",VLOOKUP(A48,'Misc. Data &amp; Mechanisms'!$A$1278:$E$1368,4,FALSE),IF($I$2="RRO (Uncapped)",VLOOKUP(A48,'Misc. Data &amp; Mechanisms'!$G$1278:$K$1368,4,FALSE),AS48))</f>
        <v>3.992</v>
      </c>
      <c r="O48" s="333">
        <f t="shared" si="3"/>
        <v>25.048357693057302</v>
      </c>
      <c r="P48" s="336">
        <v>3.0960000000000001</v>
      </c>
      <c r="Q48" s="333">
        <f t="shared" si="24"/>
        <v>19.426281417260874</v>
      </c>
      <c r="R48" s="337">
        <v>2.1619999999999999</v>
      </c>
      <c r="S48" s="337">
        <v>0.76759999999999995</v>
      </c>
      <c r="T48" s="338">
        <f t="shared" si="25"/>
        <v>13.565768870839152</v>
      </c>
      <c r="U48" s="333">
        <f t="shared" si="26"/>
        <v>23.027999999999999</v>
      </c>
      <c r="V48" s="205">
        <f>VLOOKUP($A48,'Misc. Data &amp; Mechanisms'!$A$63:$DY$152,HLOOKUP('Service Zone Menu'!$K$5&amp;"_FORTIS_Elec_Y_1",'Misc. Data &amp; Mechanisms'!$A$55:$DY$62,8,FALSE), FALSE)</f>
        <v>0.107</v>
      </c>
      <c r="W48" s="205">
        <f>VLOOKUP($A48,'Misc. Data &amp; Mechanisms'!$A$63:$DY$152,HLOOKUP('Service Zone Menu'!$K$5&amp;"_FORTIS_Elec_Y_2",'Misc. Data &amp; Mechanisms'!$A$55:$DY$62,8,FALSE), FALSE)</f>
        <v>1.15E-2</v>
      </c>
      <c r="X48" s="338">
        <f t="shared" si="27"/>
        <v>5.9941453808267022</v>
      </c>
      <c r="Y48" s="333">
        <f t="shared" si="28"/>
        <v>0.64423057831315023</v>
      </c>
      <c r="Z48" s="336">
        <v>-0.56110000000000004</v>
      </c>
      <c r="AA48" s="339">
        <v>-6.4699999999999994E-2</v>
      </c>
      <c r="AB48" s="339"/>
      <c r="AC48" s="1495">
        <v>0.28100000000000003</v>
      </c>
      <c r="AD48" s="339"/>
      <c r="AE48" s="338">
        <f t="shared" si="29"/>
        <v>-3.5206997749435005</v>
      </c>
      <c r="AF48" s="338">
        <f t="shared" si="30"/>
        <v>-1.2568804076967783</v>
      </c>
      <c r="AG48" s="338">
        <f t="shared" si="31"/>
        <v>1.76317347488705</v>
      </c>
      <c r="AH48" s="333">
        <f t="shared" si="32"/>
        <v>0</v>
      </c>
      <c r="AI48" s="200">
        <f>IF(OR($I$2="RRO (Capped)",$I$2="RRO (Uncapped)"),VLOOKUP(A48,'Misc. Data &amp; Mechanisms'!$A$1483:$H$1574,4,FALSE),AT48)</f>
        <v>6.49</v>
      </c>
      <c r="AJ48" s="333">
        <f t="shared" si="22"/>
        <v>6.49</v>
      </c>
      <c r="AK48" s="340">
        <f>5%</f>
        <v>0.05</v>
      </c>
      <c r="AL48" s="341">
        <f>'Misc. Data &amp; Mechanisms'!AJ321</f>
        <v>556.83074176595665</v>
      </c>
      <c r="AM48" s="196">
        <f>'Misc. Data &amp; Mechanisms'!AP321</f>
        <v>484.9944390307773</v>
      </c>
      <c r="AN48" s="1087">
        <f>'Misc. Data &amp; Mechanisms'!Q321</f>
        <v>627.46387006656573</v>
      </c>
      <c r="AO48" s="1087">
        <f>'Misc. Data &amp; Mechanisms'!R321</f>
        <v>476.18713883119432</v>
      </c>
      <c r="AP48" s="1087">
        <f>'Misc. Data &amp; Mechanisms'!S321</f>
        <v>352.41016922870381</v>
      </c>
      <c r="AQ48" s="1463">
        <f>'Misc. Data &amp; Mechanisms'!$B$259</f>
        <v>611.34673880086393</v>
      </c>
      <c r="AR48" s="197">
        <f>IFERROR(IF('Personalized Bill Menu'!$B$30="Yes", IF('Personalized Bill Menu'!$B$34="Natural Gas",0,VLOOKUP($A48, 'Personalized Bill Menu'!$H$4:$L$93, 2, FALSE)), 0), 0)</f>
        <v>0</v>
      </c>
      <c r="AS48" s="1343">
        <f>IFERROR(IF('Personalized Bill Menu'!$C$36="Custom", IF('Personalized Bill Menu'!$B$34="Natural Gas",0,VLOOKUP($A48, 'Personalized Bill Menu'!$H$4:$L$93, 3, FALSE)), 0), 0)</f>
        <v>0</v>
      </c>
      <c r="AT48" s="1344">
        <f>IFERROR(IF('Personalized Bill Menu'!$C$36="Custom", IF('Personalized Bill Menu'!$B$34="Natural Gas",0,VLOOKUP($A48, 'Personalized Bill Menu'!$H$4:$L$93, 4, FALSE)), 0), 0)</f>
        <v>0</v>
      </c>
      <c r="AU48" s="335"/>
      <c r="AV48" s="335"/>
      <c r="AW48" s="335"/>
    </row>
    <row r="49" spans="1:49" x14ac:dyDescent="0.35">
      <c r="A49" s="206">
        <v>42186</v>
      </c>
      <c r="B49" s="207">
        <f t="shared" si="0"/>
        <v>31</v>
      </c>
      <c r="C49" s="1581">
        <f t="shared" si="13"/>
        <v>673.2780910081799</v>
      </c>
      <c r="D49" s="178">
        <f t="shared" si="14"/>
        <v>17.05212517904884</v>
      </c>
      <c r="E49" s="178">
        <f t="shared" si="15"/>
        <v>11.518121580000001</v>
      </c>
      <c r="F49" s="86">
        <f t="shared" si="16"/>
        <v>114.8082228818252</v>
      </c>
      <c r="G49" s="115">
        <f t="shared" si="17"/>
        <v>40.255297061379075</v>
      </c>
      <c r="H49" s="66">
        <f t="shared" si="18"/>
        <v>20.844689697613251</v>
      </c>
      <c r="I49" s="66">
        <f t="shared" si="1"/>
        <v>38.351872327596844</v>
      </c>
      <c r="J49" s="66">
        <f t="shared" si="19"/>
        <v>6.6655328840386572</v>
      </c>
      <c r="K49" s="66">
        <f t="shared" si="20"/>
        <v>-5.7862273212704913</v>
      </c>
      <c r="L49" s="66">
        <f t="shared" si="21"/>
        <v>9.01</v>
      </c>
      <c r="M49" s="68">
        <f t="shared" si="23"/>
        <v>5.4670582324678669</v>
      </c>
      <c r="N49" s="273">
        <f>IF($I$2="RRO (Capped)",VLOOKUP(A49,'Misc. Data &amp; Mechanisms'!$A$1278:$E$1368,4,FALSE),IF($I$2="RRO (Uncapped)",VLOOKUP(A49,'Misc. Data &amp; Mechanisms'!$G$1278:$K$1368,4,FALSE),AS49))</f>
        <v>5.9790000000000001</v>
      </c>
      <c r="O49" s="333">
        <f t="shared" si="3"/>
        <v>40.255297061379075</v>
      </c>
      <c r="P49" s="336">
        <v>3.0960000000000001</v>
      </c>
      <c r="Q49" s="333">
        <f t="shared" si="24"/>
        <v>20.844689697613251</v>
      </c>
      <c r="R49" s="337">
        <v>2.1619999999999999</v>
      </c>
      <c r="S49" s="337">
        <v>0.76759999999999995</v>
      </c>
      <c r="T49" s="338">
        <f t="shared" si="25"/>
        <v>14.556272327596849</v>
      </c>
      <c r="U49" s="333">
        <f t="shared" si="26"/>
        <v>23.795599999999997</v>
      </c>
      <c r="V49" s="205">
        <f>VLOOKUP($A49,'Misc. Data &amp; Mechanisms'!$A$63:$DY$152,HLOOKUP('Service Zone Menu'!$K$5&amp;"_FORTIS_Elec_Y_1",'Misc. Data &amp; Mechanisms'!$A$55:$DY$62,8,FALSE), FALSE)</f>
        <v>0.107</v>
      </c>
      <c r="W49" s="205">
        <f>VLOOKUP($A49,'Misc. Data &amp; Mechanisms'!$A$63:$DY$152,HLOOKUP('Service Zone Menu'!$K$5&amp;"_FORTIS_Elec_Y_2",'Misc. Data &amp; Mechanisms'!$A$55:$DY$62,8,FALSE), FALSE)</f>
        <v>5.5999999999999999E-3</v>
      </c>
      <c r="X49" s="338">
        <f t="shared" si="27"/>
        <v>6.3340321366974806</v>
      </c>
      <c r="Y49" s="333">
        <f t="shared" si="28"/>
        <v>0.33150074734117657</v>
      </c>
      <c r="Z49" s="336">
        <v>-0.56110000000000004</v>
      </c>
      <c r="AA49" s="339">
        <v>-6.4699999999999994E-2</v>
      </c>
      <c r="AB49" s="339"/>
      <c r="AC49" s="1495">
        <v>-9.8000000000000004E-2</v>
      </c>
      <c r="AD49" s="339"/>
      <c r="AE49" s="338">
        <f t="shared" si="29"/>
        <v>-3.7777633686468977</v>
      </c>
      <c r="AF49" s="338">
        <f t="shared" si="30"/>
        <v>-1.3486514234355773</v>
      </c>
      <c r="AG49" s="338">
        <f t="shared" si="31"/>
        <v>-0.65981252918801625</v>
      </c>
      <c r="AH49" s="333">
        <f t="shared" si="32"/>
        <v>0</v>
      </c>
      <c r="AI49" s="200">
        <f>IF(OR($I$2="RRO (Capped)",$I$2="RRO (Uncapped)"),VLOOKUP(A49,'Misc. Data &amp; Mechanisms'!$A$1483:$H$1574,4,FALSE),AT49)</f>
        <v>9.01</v>
      </c>
      <c r="AJ49" s="333">
        <f t="shared" si="22"/>
        <v>9.01</v>
      </c>
      <c r="AK49" s="340">
        <f>5%</f>
        <v>0.05</v>
      </c>
      <c r="AL49" s="341">
        <f>'Misc. Data &amp; Mechanisms'!AJ322</f>
        <v>597.48769087067899</v>
      </c>
      <c r="AM49" s="196">
        <f>'Misc. Data &amp; Mechanisms'!AP322</f>
        <v>518.09941730132016</v>
      </c>
      <c r="AN49" s="1087">
        <f>'Misc. Data &amp; Mechanisms'!Q322</f>
        <v>673.2780910081799</v>
      </c>
      <c r="AO49" s="1087">
        <f>'Misc. Data &amp; Mechanisms'!R322</f>
        <v>510.95590214764326</v>
      </c>
      <c r="AP49" s="1087">
        <f>'Misc. Data &amp; Mechanisms'!S322</f>
        <v>378.14136766950435</v>
      </c>
      <c r="AQ49" s="1463">
        <f>'Misc. Data &amp; Mechanisms'!$B$259</f>
        <v>611.34673880086393</v>
      </c>
      <c r="AR49" s="197">
        <f>IFERROR(IF('Personalized Bill Menu'!$B$30="Yes", IF('Personalized Bill Menu'!$B$34="Natural Gas",0,VLOOKUP($A49, 'Personalized Bill Menu'!$H$4:$L$93, 2, FALSE)), 0), 0)</f>
        <v>0</v>
      </c>
      <c r="AS49" s="1343">
        <f>IFERROR(IF('Personalized Bill Menu'!$C$36="Custom", IF('Personalized Bill Menu'!$B$34="Natural Gas",0,VLOOKUP($A49, 'Personalized Bill Menu'!$H$4:$L$93, 3, FALSE)), 0), 0)</f>
        <v>0</v>
      </c>
      <c r="AT49" s="1344">
        <f>IFERROR(IF('Personalized Bill Menu'!$C$36="Custom", IF('Personalized Bill Menu'!$B$34="Natural Gas",0,VLOOKUP($A49, 'Personalized Bill Menu'!$H$4:$L$93, 4, FALSE)), 0), 0)</f>
        <v>0</v>
      </c>
      <c r="AU49" s="335"/>
      <c r="AV49" s="335"/>
      <c r="AW49" s="335"/>
    </row>
    <row r="50" spans="1:49" x14ac:dyDescent="0.35">
      <c r="A50" s="206">
        <v>42217</v>
      </c>
      <c r="B50" s="207">
        <f t="shared" si="0"/>
        <v>31</v>
      </c>
      <c r="C50" s="1581">
        <f t="shared" si="13"/>
        <v>657.68997891324409</v>
      </c>
      <c r="D50" s="178">
        <f t="shared" si="14"/>
        <v>16.863038297237587</v>
      </c>
      <c r="E50" s="178">
        <f t="shared" si="15"/>
        <v>11.197871580000001</v>
      </c>
      <c r="F50" s="86">
        <f t="shared" si="16"/>
        <v>110.90651302123415</v>
      </c>
      <c r="G50" s="115">
        <f t="shared" si="17"/>
        <v>37.317329403537471</v>
      </c>
      <c r="H50" s="66">
        <f>SUM($Q50)</f>
        <v>20.362081747154036</v>
      </c>
      <c r="I50" s="66">
        <f t="shared" si="1"/>
        <v>38.014857344104335</v>
      </c>
      <c r="J50" s="66">
        <f t="shared" si="19"/>
        <v>6.5732433416756928</v>
      </c>
      <c r="K50" s="66">
        <f t="shared" si="20"/>
        <v>-5.6522613400580584</v>
      </c>
      <c r="L50" s="66">
        <f t="shared" si="21"/>
        <v>9.01</v>
      </c>
      <c r="M50" s="68">
        <f t="shared" si="23"/>
        <v>5.2812625248206739</v>
      </c>
      <c r="N50" s="273">
        <f>IF($I$2="RRO (Capped)",VLOOKUP(A50,'Misc. Data &amp; Mechanisms'!$A$1278:$E$1368,4,FALSE),IF($I$2="RRO (Uncapped)",VLOOKUP(A50,'Misc. Data &amp; Mechanisms'!$G$1278:$K$1368,4,FALSE),AS50))</f>
        <v>5.6740000000000004</v>
      </c>
      <c r="O50" s="333">
        <f t="shared" si="3"/>
        <v>37.317329403537471</v>
      </c>
      <c r="P50" s="336">
        <v>3.0960000000000001</v>
      </c>
      <c r="Q50" s="333">
        <f t="shared" si="24"/>
        <v>20.362081747154036</v>
      </c>
      <c r="R50" s="337">
        <v>2.1619999999999999</v>
      </c>
      <c r="S50" s="337">
        <v>0.76759999999999995</v>
      </c>
      <c r="T50" s="338">
        <f t="shared" si="25"/>
        <v>14.219257344104337</v>
      </c>
      <c r="U50" s="333">
        <f t="shared" si="26"/>
        <v>23.795599999999997</v>
      </c>
      <c r="V50" s="205">
        <f>VLOOKUP($A50,'Misc. Data &amp; Mechanisms'!$A$63:$DY$152,HLOOKUP('Service Zone Menu'!$K$5&amp;"_FORTIS_Elec_Y_1",'Misc. Data &amp; Mechanisms'!$A$55:$DY$62,8,FALSE), FALSE)</f>
        <v>0.107</v>
      </c>
      <c r="W50" s="205">
        <f>VLOOKUP($A50,'Misc. Data &amp; Mechanisms'!$A$63:$DY$152,HLOOKUP('Service Zone Menu'!$K$5&amp;"_FORTIS_Elec_Y_2",'Misc. Data &amp; Mechanisms'!$A$55:$DY$62,8,FALSE), FALSE)</f>
        <v>5.5999999999999999E-3</v>
      </c>
      <c r="X50" s="338">
        <f t="shared" si="27"/>
        <v>6.2463324827646458</v>
      </c>
      <c r="Y50" s="333">
        <f t="shared" si="28"/>
        <v>0.32691085891104688</v>
      </c>
      <c r="Z50" s="336">
        <v>-0.56110000000000004</v>
      </c>
      <c r="AA50" s="339">
        <v>-6.4699999999999994E-2</v>
      </c>
      <c r="AB50" s="339"/>
      <c r="AC50" s="1495">
        <v>-9.8000000000000004E-2</v>
      </c>
      <c r="AD50" s="339"/>
      <c r="AE50" s="338">
        <f t="shared" si="29"/>
        <v>-3.6902984716822131</v>
      </c>
      <c r="AF50" s="338">
        <f t="shared" si="30"/>
        <v>-1.3174266890408661</v>
      </c>
      <c r="AG50" s="338">
        <f t="shared" si="31"/>
        <v>-0.6445361793349792</v>
      </c>
      <c r="AH50" s="333">
        <f t="shared" si="32"/>
        <v>0</v>
      </c>
      <c r="AI50" s="200">
        <f>IF(OR($I$2="RRO (Capped)",$I$2="RRO (Uncapped)"),VLOOKUP(A50,'Misc. Data &amp; Mechanisms'!$A$1483:$H$1574,4,FALSE),AT50)</f>
        <v>9.01</v>
      </c>
      <c r="AJ50" s="333">
        <f t="shared" si="22"/>
        <v>9.01</v>
      </c>
      <c r="AK50" s="340">
        <f>5%</f>
        <v>0.05</v>
      </c>
      <c r="AL50" s="341">
        <f>'Misc. Data &amp; Mechanisms'!AJ323</f>
        <v>583.65432064071945</v>
      </c>
      <c r="AM50" s="196">
        <f>'Misc. Data &amp; Mechanisms'!AP323</f>
        <v>506.42799050230519</v>
      </c>
      <c r="AN50" s="1087">
        <f>'Misc. Data &amp; Mechanisms'!Q323</f>
        <v>657.68997891324409</v>
      </c>
      <c r="AO50" s="1087">
        <f>'Misc. Data &amp; Mechanisms'!R323</f>
        <v>499.1259644374768</v>
      </c>
      <c r="AP50" s="1087">
        <f>'Misc. Data &amp; Mechanisms'!S323</f>
        <v>369.38642657504806</v>
      </c>
      <c r="AQ50" s="1463">
        <f>'Misc. Data &amp; Mechanisms'!$B$259</f>
        <v>611.34673880086393</v>
      </c>
      <c r="AR50" s="197">
        <f>IFERROR(IF('Personalized Bill Menu'!$B$30="Yes", IF('Personalized Bill Menu'!$B$34="Natural Gas",0,VLOOKUP($A50, 'Personalized Bill Menu'!$H$4:$L$93, 2, FALSE)), 0), 0)</f>
        <v>0</v>
      </c>
      <c r="AS50" s="1343">
        <f>IFERROR(IF('Personalized Bill Menu'!$C$36="Custom", IF('Personalized Bill Menu'!$B$34="Natural Gas",0,VLOOKUP($A50, 'Personalized Bill Menu'!$H$4:$L$93, 3, FALSE)), 0), 0)</f>
        <v>0</v>
      </c>
      <c r="AT50" s="1344">
        <f>IFERROR(IF('Personalized Bill Menu'!$C$36="Custom", IF('Personalized Bill Menu'!$B$34="Natural Gas",0,VLOOKUP($A50, 'Personalized Bill Menu'!$H$4:$L$93, 4, FALSE)), 0), 0)</f>
        <v>0</v>
      </c>
      <c r="AU50" s="335"/>
      <c r="AV50" s="335"/>
      <c r="AW50" s="335"/>
    </row>
    <row r="51" spans="1:49" x14ac:dyDescent="0.35">
      <c r="A51" s="206">
        <v>42248</v>
      </c>
      <c r="B51" s="207">
        <f t="shared" si="0"/>
        <v>30</v>
      </c>
      <c r="C51" s="1581">
        <f t="shared" si="13"/>
        <v>614.19125011211361</v>
      </c>
      <c r="D51" s="178">
        <f t="shared" si="14"/>
        <v>16.656258826376831</v>
      </c>
      <c r="E51" s="178">
        <f t="shared" si="15"/>
        <v>10.73587158</v>
      </c>
      <c r="F51" s="86">
        <f t="shared" si="16"/>
        <v>102.30128430763313</v>
      </c>
      <c r="G51" s="115">
        <f t="shared" si="17"/>
        <v>32.146770030868026</v>
      </c>
      <c r="H51" s="66">
        <f t="shared" si="18"/>
        <v>19.015361103471037</v>
      </c>
      <c r="I51" s="66">
        <f t="shared" si="1"/>
        <v>36.306814827423892</v>
      </c>
      <c r="J51" s="66">
        <f t="shared" si="19"/>
        <v>6.2292770098187686</v>
      </c>
      <c r="K51" s="66">
        <f t="shared" si="20"/>
        <v>-5.2784283928835176</v>
      </c>
      <c r="L51" s="66">
        <f t="shared" si="21"/>
        <v>9.01</v>
      </c>
      <c r="M51" s="68">
        <f t="shared" si="23"/>
        <v>4.8714897289349111</v>
      </c>
      <c r="N51" s="273">
        <f>IF($I$2="RRO (Capped)",VLOOKUP(A51,'Misc. Data &amp; Mechanisms'!$A$1278:$E$1368,4,FALSE),IF($I$2="RRO (Uncapped)",VLOOKUP(A51,'Misc. Data &amp; Mechanisms'!$G$1278:$K$1368,4,FALSE),AS51))</f>
        <v>5.234</v>
      </c>
      <c r="O51" s="333">
        <f t="shared" si="3"/>
        <v>32.146770030868026</v>
      </c>
      <c r="P51" s="336">
        <v>3.0960000000000001</v>
      </c>
      <c r="Q51" s="333">
        <f t="shared" si="24"/>
        <v>19.015361103471037</v>
      </c>
      <c r="R51" s="337">
        <v>2.1619999999999999</v>
      </c>
      <c r="S51" s="337">
        <v>0.76759999999999995</v>
      </c>
      <c r="T51" s="338">
        <f t="shared" si="25"/>
        <v>13.278814827423897</v>
      </c>
      <c r="U51" s="333">
        <f t="shared" si="26"/>
        <v>23.027999999999999</v>
      </c>
      <c r="V51" s="205">
        <f>VLOOKUP($A51,'Misc. Data &amp; Mechanisms'!$A$63:$DY$152,HLOOKUP('Service Zone Menu'!$K$5&amp;"_FORTIS_Elec_Y_1",'Misc. Data &amp; Mechanisms'!$A$55:$DY$62,8,FALSE), FALSE)</f>
        <v>0.107</v>
      </c>
      <c r="W51" s="205">
        <f>VLOOKUP($A51,'Misc. Data &amp; Mechanisms'!$A$63:$DY$152,HLOOKUP('Service Zone Menu'!$K$5&amp;"_FORTIS_Elec_Y_2",'Misc. Data &amp; Mechanisms'!$A$55:$DY$62,8,FALSE), FALSE)</f>
        <v>5.5999999999999999E-3</v>
      </c>
      <c r="X51" s="338">
        <f t="shared" si="27"/>
        <v>5.9194728246057569</v>
      </c>
      <c r="Y51" s="333">
        <f t="shared" si="28"/>
        <v>0.30980418521301162</v>
      </c>
      <c r="Z51" s="336">
        <v>-0.56110000000000004</v>
      </c>
      <c r="AA51" s="339">
        <v>-6.4699999999999994E-2</v>
      </c>
      <c r="AB51" s="339"/>
      <c r="AC51" s="1495">
        <v>-9.8000000000000004E-2</v>
      </c>
      <c r="AD51" s="339"/>
      <c r="AE51" s="338">
        <f t="shared" si="29"/>
        <v>-3.4462271043790698</v>
      </c>
      <c r="AF51" s="338">
        <f t="shared" si="30"/>
        <v>-1.2302938633945759</v>
      </c>
      <c r="AG51" s="338">
        <f t="shared" si="31"/>
        <v>-0.60190742510987127</v>
      </c>
      <c r="AH51" s="333">
        <f t="shared" si="32"/>
        <v>0</v>
      </c>
      <c r="AI51" s="200">
        <f>IF(OR($I$2="RRO (Capped)",$I$2="RRO (Uncapped)"),VLOOKUP(A51,'Misc. Data &amp; Mechanisms'!$A$1483:$H$1574,4,FALSE),AT51)</f>
        <v>9.01</v>
      </c>
      <c r="AJ51" s="333">
        <f t="shared" si="22"/>
        <v>9.01</v>
      </c>
      <c r="AK51" s="340">
        <f>5%</f>
        <v>0.05</v>
      </c>
      <c r="AL51" s="341">
        <f>'Misc. Data &amp; Mechanisms'!AJ324</f>
        <v>545.05221049589136</v>
      </c>
      <c r="AM51" s="196">
        <f>'Misc. Data &amp; Mechanisms'!AP324</f>
        <v>481.77548643325929</v>
      </c>
      <c r="AN51" s="1087">
        <f>'Misc. Data &amp; Mechanisms'!Q324</f>
        <v>614.19125011211361</v>
      </c>
      <c r="AO51" s="1087">
        <f>'Misc. Data &amp; Mechanisms'!R324</f>
        <v>466.11444584851489</v>
      </c>
      <c r="AP51" s="1087">
        <f>'Misc. Data &amp; Mechanisms'!S324</f>
        <v>344.95570616334749</v>
      </c>
      <c r="AQ51" s="1463">
        <f>'Misc. Data &amp; Mechanisms'!$B$259</f>
        <v>611.34673880086393</v>
      </c>
      <c r="AR51" s="197">
        <f>IFERROR(IF('Personalized Bill Menu'!$B$30="Yes", IF('Personalized Bill Menu'!$B$34="Natural Gas",0,VLOOKUP($A51, 'Personalized Bill Menu'!$H$4:$L$93, 2, FALSE)), 0), 0)</f>
        <v>0</v>
      </c>
      <c r="AS51" s="1343">
        <f>IFERROR(IF('Personalized Bill Menu'!$C$36="Custom", IF('Personalized Bill Menu'!$B$34="Natural Gas",0,VLOOKUP($A51, 'Personalized Bill Menu'!$H$4:$L$93, 3, FALSE)), 0), 0)</f>
        <v>0</v>
      </c>
      <c r="AT51" s="1344">
        <f>IFERROR(IF('Personalized Bill Menu'!$C$36="Custom", IF('Personalized Bill Menu'!$B$34="Natural Gas",0,VLOOKUP($A51, 'Personalized Bill Menu'!$H$4:$L$93, 4, FALSE)), 0), 0)</f>
        <v>0</v>
      </c>
      <c r="AU51" s="335"/>
      <c r="AV51" s="335"/>
      <c r="AW51" s="335"/>
    </row>
    <row r="52" spans="1:49" x14ac:dyDescent="0.35">
      <c r="A52" s="206">
        <v>42278</v>
      </c>
      <c r="B52" s="207">
        <f t="shared" si="0"/>
        <v>31</v>
      </c>
      <c r="C52" s="1581">
        <f t="shared" si="13"/>
        <v>661.50621636207143</v>
      </c>
      <c r="D52" s="178">
        <f t="shared" si="14"/>
        <v>16.884418594520589</v>
      </c>
      <c r="E52" s="178">
        <f t="shared" si="15"/>
        <v>11.253521580000003</v>
      </c>
      <c r="F52" s="86">
        <f t="shared" si="16"/>
        <v>111.69147859934719</v>
      </c>
      <c r="G52" s="115">
        <f t="shared" si="17"/>
        <v>35.456733197007033</v>
      </c>
      <c r="H52" s="66">
        <f t="shared" si="18"/>
        <v>20.480232458569731</v>
      </c>
      <c r="I52" s="66">
        <f t="shared" si="1"/>
        <v>38.097364397747981</v>
      </c>
      <c r="J52" s="66">
        <f t="shared" si="19"/>
        <v>6.5958374060213742</v>
      </c>
      <c r="K52" s="66">
        <f t="shared" si="20"/>
        <v>-3.2573306980630718</v>
      </c>
      <c r="L52" s="66">
        <f t="shared" si="21"/>
        <v>9</v>
      </c>
      <c r="M52" s="68">
        <f t="shared" si="23"/>
        <v>5.3186418380641527</v>
      </c>
      <c r="N52" s="273">
        <f>IF($I$2="RRO (Capped)",VLOOKUP(A52,'Misc. Data &amp; Mechanisms'!$A$1278:$E$1368,4,FALSE),IF($I$2="RRO (Uncapped)",VLOOKUP(A52,'Misc. Data &amp; Mechanisms'!$G$1278:$K$1368,4,FALSE),AS52))</f>
        <v>5.36</v>
      </c>
      <c r="O52" s="333">
        <f t="shared" si="3"/>
        <v>35.456733197007033</v>
      </c>
      <c r="P52" s="336">
        <v>3.0960000000000001</v>
      </c>
      <c r="Q52" s="333">
        <f t="shared" si="24"/>
        <v>20.480232458569731</v>
      </c>
      <c r="R52" s="337">
        <v>2.1619999999999999</v>
      </c>
      <c r="S52" s="337">
        <v>0.76759999999999995</v>
      </c>
      <c r="T52" s="338">
        <f t="shared" si="25"/>
        <v>14.301764397747984</v>
      </c>
      <c r="U52" s="333">
        <f t="shared" si="26"/>
        <v>23.795599999999997</v>
      </c>
      <c r="V52" s="205">
        <f>VLOOKUP($A52,'Misc. Data &amp; Mechanisms'!$A$63:$DY$152,HLOOKUP('Service Zone Menu'!$K$5&amp;"_FORTIS_Elec_Y_1",'Misc. Data &amp; Mechanisms'!$A$55:$DY$62,8,FALSE), FALSE)</f>
        <v>0.107</v>
      </c>
      <c r="W52" s="205">
        <f>VLOOKUP($A52,'Misc. Data &amp; Mechanisms'!$A$63:$DY$152,HLOOKUP('Service Zone Menu'!$K$5&amp;"_FORTIS_Elec_Y_2",'Misc. Data &amp; Mechanisms'!$A$55:$DY$62,8,FALSE), FALSE)</f>
        <v>5.5999999999999999E-3</v>
      </c>
      <c r="X52" s="338">
        <f t="shared" si="27"/>
        <v>6.2678028636259953</v>
      </c>
      <c r="Y52" s="333">
        <f t="shared" si="28"/>
        <v>0.32803454239537916</v>
      </c>
      <c r="Z52" s="336">
        <v>-0.56110000000000004</v>
      </c>
      <c r="AA52" s="339">
        <v>-6.4699999999999994E-2</v>
      </c>
      <c r="AB52" s="339"/>
      <c r="AC52" s="1495">
        <v>0.26900000000000002</v>
      </c>
      <c r="AD52" s="339"/>
      <c r="AE52" s="338">
        <f t="shared" si="29"/>
        <v>-3.7117113800075829</v>
      </c>
      <c r="AF52" s="338">
        <f t="shared" si="30"/>
        <v>-1.3250710400694614</v>
      </c>
      <c r="AG52" s="338">
        <f t="shared" si="31"/>
        <v>1.7794517220139723</v>
      </c>
      <c r="AH52" s="333">
        <f t="shared" si="32"/>
        <v>0</v>
      </c>
      <c r="AI52" s="200">
        <f>IF(OR($I$2="RRO (Capped)",$I$2="RRO (Uncapped)"),VLOOKUP(A52,'Misc. Data &amp; Mechanisms'!$A$1483:$H$1574,4,FALSE),AT52)</f>
        <v>9</v>
      </c>
      <c r="AJ52" s="333">
        <f t="shared" si="22"/>
        <v>9</v>
      </c>
      <c r="AK52" s="340">
        <f>5%</f>
        <v>0.05</v>
      </c>
      <c r="AL52" s="341">
        <f>'Misc. Data &amp; Mechanisms'!AJ325</f>
        <v>587.04096715657408</v>
      </c>
      <c r="AM52" s="196">
        <f>'Misc. Data &amp; Mechanisms'!AP325</f>
        <v>519.04049971955544</v>
      </c>
      <c r="AN52" s="1087">
        <f>'Misc. Data &amp; Mechanisms'!Q325</f>
        <v>661.50621636207143</v>
      </c>
      <c r="AO52" s="1087">
        <f>'Misc. Data &amp; Mechanisms'!R325</f>
        <v>502.02213627867746</v>
      </c>
      <c r="AP52" s="1087">
        <f>'Misc. Data &amp; Mechanisms'!S325</f>
        <v>371.5297864549014</v>
      </c>
      <c r="AQ52" s="1463">
        <f>'Misc. Data &amp; Mechanisms'!$B$259</f>
        <v>611.34673880086393</v>
      </c>
      <c r="AR52" s="197">
        <f>IFERROR(IF('Personalized Bill Menu'!$B$30="Yes", IF('Personalized Bill Menu'!$B$34="Natural Gas",0,VLOOKUP($A52, 'Personalized Bill Menu'!$H$4:$L$93, 2, FALSE)), 0), 0)</f>
        <v>0</v>
      </c>
      <c r="AS52" s="1343">
        <f>IFERROR(IF('Personalized Bill Menu'!$C$36="Custom", IF('Personalized Bill Menu'!$B$34="Natural Gas",0,VLOOKUP($A52, 'Personalized Bill Menu'!$H$4:$L$93, 3, FALSE)), 0), 0)</f>
        <v>0</v>
      </c>
      <c r="AT52" s="1344">
        <f>IFERROR(IF('Personalized Bill Menu'!$C$36="Custom", IF('Personalized Bill Menu'!$B$34="Natural Gas",0,VLOOKUP($A52, 'Personalized Bill Menu'!$H$4:$L$93, 4, FALSE)), 0), 0)</f>
        <v>0</v>
      </c>
      <c r="AU52" s="335"/>
      <c r="AV52" s="335"/>
      <c r="AW52" s="335"/>
    </row>
    <row r="53" spans="1:49" x14ac:dyDescent="0.35">
      <c r="A53" s="206">
        <v>42309</v>
      </c>
      <c r="B53" s="207">
        <f t="shared" si="0"/>
        <v>30</v>
      </c>
      <c r="C53" s="1581">
        <f t="shared" si="13"/>
        <v>728.53114810772342</v>
      </c>
      <c r="D53" s="178">
        <f t="shared" si="14"/>
        <v>15.952437705226105</v>
      </c>
      <c r="E53" s="178">
        <f t="shared" si="15"/>
        <v>10.962671580000002</v>
      </c>
      <c r="F53" s="86">
        <f t="shared" si="16"/>
        <v>116.21847756505311</v>
      </c>
      <c r="G53" s="115">
        <f t="shared" si="17"/>
        <v>37.031238258315582</v>
      </c>
      <c r="H53" s="66">
        <f t="shared" si="18"/>
        <v>22.555324345415119</v>
      </c>
      <c r="I53" s="66">
        <f t="shared" si="1"/>
        <v>38.778843422088983</v>
      </c>
      <c r="J53" s="66">
        <f t="shared" si="19"/>
        <v>6.9062272906209614</v>
      </c>
      <c r="K53" s="66">
        <f t="shared" si="20"/>
        <v>-3.5873689687710186</v>
      </c>
      <c r="L53" s="66">
        <f t="shared" si="21"/>
        <v>9</v>
      </c>
      <c r="M53" s="68">
        <f t="shared" si="23"/>
        <v>5.5342132173834813</v>
      </c>
      <c r="N53" s="273">
        <f>IF($I$2="RRO (Capped)",VLOOKUP(A53,'Misc. Data &amp; Mechanisms'!$A$1278:$E$1368,4,FALSE),IF($I$2="RRO (Uncapped)",VLOOKUP(A53,'Misc. Data &amp; Mechanisms'!$G$1278:$K$1368,4,FALSE),AS53))</f>
        <v>5.0830000000000002</v>
      </c>
      <c r="O53" s="333">
        <f t="shared" si="3"/>
        <v>37.031238258315582</v>
      </c>
      <c r="P53" s="336">
        <v>3.0960000000000001</v>
      </c>
      <c r="Q53" s="333">
        <f t="shared" si="24"/>
        <v>22.555324345415119</v>
      </c>
      <c r="R53" s="337">
        <v>2.1619999999999999</v>
      </c>
      <c r="S53" s="337">
        <v>0.76759999999999995</v>
      </c>
      <c r="T53" s="338">
        <f t="shared" si="25"/>
        <v>15.75084342208898</v>
      </c>
      <c r="U53" s="333">
        <f t="shared" si="26"/>
        <v>23.027999999999999</v>
      </c>
      <c r="V53" s="205">
        <f>VLOOKUP($A53,'Misc. Data &amp; Mechanisms'!$A$63:$DY$152,HLOOKUP('Service Zone Menu'!$K$5&amp;"_FORTIS_Elec_Y_1",'Misc. Data &amp; Mechanisms'!$A$55:$DY$62,8,FALSE), FALSE)</f>
        <v>0.107</v>
      </c>
      <c r="W53" s="205">
        <f>VLOOKUP($A53,'Misc. Data &amp; Mechanisms'!$A$63:$DY$152,HLOOKUP('Service Zone Menu'!$K$5&amp;"_FORTIS_Elec_Y_2",'Misc. Data &amp; Mechanisms'!$A$55:$DY$62,8,FALSE), FALSE)</f>
        <v>5.5999999999999999E-3</v>
      </c>
      <c r="X53" s="338">
        <f t="shared" si="27"/>
        <v>6.5627559511229387</v>
      </c>
      <c r="Y53" s="333">
        <f t="shared" si="28"/>
        <v>0.34347133949802294</v>
      </c>
      <c r="Z53" s="336">
        <v>-0.56110000000000004</v>
      </c>
      <c r="AA53" s="339">
        <v>-6.4699999999999994E-2</v>
      </c>
      <c r="AB53" s="339"/>
      <c r="AC53" s="1495">
        <v>0.26900000000000002</v>
      </c>
      <c r="AD53" s="339"/>
      <c r="AE53" s="338">
        <f t="shared" si="29"/>
        <v>-4.0877882720324363</v>
      </c>
      <c r="AF53" s="338">
        <f t="shared" si="30"/>
        <v>-1.459329485148358</v>
      </c>
      <c r="AG53" s="338">
        <f t="shared" si="31"/>
        <v>1.9597487884097762</v>
      </c>
      <c r="AH53" s="333">
        <f t="shared" si="32"/>
        <v>0</v>
      </c>
      <c r="AI53" s="200">
        <f>IF(OR($I$2="RRO (Capped)",$I$2="RRO (Uncapped)"),VLOOKUP(A53,'Misc. Data &amp; Mechanisms'!$A$1483:$H$1574,4,FALSE),AT53)</f>
        <v>9</v>
      </c>
      <c r="AJ53" s="333">
        <f t="shared" si="22"/>
        <v>9</v>
      </c>
      <c r="AK53" s="340">
        <f>5%</f>
        <v>0.05</v>
      </c>
      <c r="AL53" s="341">
        <f>'Misc. Data &amp; Mechanisms'!AJ326</f>
        <v>646.52095356086647</v>
      </c>
      <c r="AM53" s="196">
        <f>'Misc. Data &amp; Mechanisms'!AP326</f>
        <v>571.38836594633881</v>
      </c>
      <c r="AN53" s="1087">
        <f>'Misc. Data &amp; Mechanisms'!Q326</f>
        <v>728.53114810772342</v>
      </c>
      <c r="AO53" s="1087">
        <f>'Misc. Data &amp; Mechanisms'!R326</f>
        <v>552.88787054785882</v>
      </c>
      <c r="AP53" s="1087">
        <f>'Misc. Data &amp; Mechanisms'!S326</f>
        <v>409.1738145270225</v>
      </c>
      <c r="AQ53" s="1463">
        <f>'Misc. Data &amp; Mechanisms'!$B$259</f>
        <v>611.34673880086393</v>
      </c>
      <c r="AR53" s="197">
        <f>IFERROR(IF('Personalized Bill Menu'!$B$30="Yes", IF('Personalized Bill Menu'!$B$34="Natural Gas",0,VLOOKUP($A53, 'Personalized Bill Menu'!$H$4:$L$93, 2, FALSE)), 0), 0)</f>
        <v>0</v>
      </c>
      <c r="AS53" s="1343">
        <f>IFERROR(IF('Personalized Bill Menu'!$C$36="Custom", IF('Personalized Bill Menu'!$B$34="Natural Gas",0,VLOOKUP($A53, 'Personalized Bill Menu'!$H$4:$L$93, 3, FALSE)), 0), 0)</f>
        <v>0</v>
      </c>
      <c r="AT53" s="1344">
        <f>IFERROR(IF('Personalized Bill Menu'!$C$36="Custom", IF('Personalized Bill Menu'!$B$34="Natural Gas",0,VLOOKUP($A53, 'Personalized Bill Menu'!$H$4:$L$93, 4, FALSE)), 0), 0)</f>
        <v>0</v>
      </c>
      <c r="AU53" s="335"/>
      <c r="AV53" s="335"/>
      <c r="AW53" s="335"/>
    </row>
    <row r="54" spans="1:49" x14ac:dyDescent="0.35">
      <c r="A54" s="229">
        <v>42339</v>
      </c>
      <c r="B54" s="230">
        <f t="shared" si="0"/>
        <v>31</v>
      </c>
      <c r="C54" s="231">
        <f t="shared" si="13"/>
        <v>878.54132595271074</v>
      </c>
      <c r="D54" s="208">
        <f t="shared" si="14"/>
        <v>15.497560126878442</v>
      </c>
      <c r="E54" s="208">
        <f t="shared" si="15"/>
        <v>11.25772158</v>
      </c>
      <c r="F54" s="342">
        <f t="shared" si="16"/>
        <v>136.15247022899646</v>
      </c>
      <c r="G54" s="343">
        <f t="shared" si="17"/>
        <v>47.124956724103406</v>
      </c>
      <c r="H54" s="344">
        <f t="shared" si="18"/>
        <v>27.199639451495926</v>
      </c>
      <c r="I54" s="344">
        <f t="shared" si="1"/>
        <v>42.789663467097604</v>
      </c>
      <c r="J54" s="344">
        <f t="shared" si="19"/>
        <v>7.8807955086336303</v>
      </c>
      <c r="K54" s="344">
        <f t="shared" si="20"/>
        <v>-4.326035885619655</v>
      </c>
      <c r="L54" s="344">
        <f t="shared" si="21"/>
        <v>9</v>
      </c>
      <c r="M54" s="345">
        <f t="shared" si="23"/>
        <v>6.4834509632855459</v>
      </c>
      <c r="N54" s="1243">
        <f>IF($I$2="RRO (Capped)",VLOOKUP(A54,'Misc. Data &amp; Mechanisms'!$A$1278:$E$1368,4,FALSE),IF($I$2="RRO (Uncapped)",VLOOKUP(A54,'Misc. Data &amp; Mechanisms'!$G$1278:$K$1368,4,FALSE),AS54))</f>
        <v>5.3639999999999999</v>
      </c>
      <c r="O54" s="346">
        <f t="shared" si="3"/>
        <v>47.124956724103406</v>
      </c>
      <c r="P54" s="347">
        <v>3.0960000000000001</v>
      </c>
      <c r="Q54" s="346">
        <f t="shared" si="24"/>
        <v>27.199639451495926</v>
      </c>
      <c r="R54" s="348">
        <v>2.1619999999999999</v>
      </c>
      <c r="S54" s="348">
        <v>0.76759999999999995</v>
      </c>
      <c r="T54" s="349">
        <f t="shared" si="25"/>
        <v>18.994063467097607</v>
      </c>
      <c r="U54" s="346">
        <f t="shared" si="26"/>
        <v>23.795599999999997</v>
      </c>
      <c r="V54" s="246">
        <f>VLOOKUP($A54,'Misc. Data &amp; Mechanisms'!$A$63:$DY$152,HLOOKUP('Service Zone Menu'!$K$5&amp;"_FORTIS_Elec_Y_1",'Misc. Data &amp; Mechanisms'!$A$55:$DY$62,8,FALSE), FALSE)</f>
        <v>0.107</v>
      </c>
      <c r="W54" s="246">
        <f>VLOOKUP($A54,'Misc. Data &amp; Mechanisms'!$A$63:$DY$152,HLOOKUP('Service Zone Menu'!$K$5&amp;"_FORTIS_Elec_Y_2",'Misc. Data &amp; Mechanisms'!$A$55:$DY$62,8,FALSE), FALSE)</f>
        <v>5.5999999999999999E-3</v>
      </c>
      <c r="X54" s="349">
        <f t="shared" si="27"/>
        <v>7.4888554122895066</v>
      </c>
      <c r="Y54" s="346">
        <f t="shared" si="28"/>
        <v>0.39194009634412375</v>
      </c>
      <c r="Z54" s="347">
        <v>-0.56110000000000004</v>
      </c>
      <c r="AA54" s="350">
        <v>-6.4699999999999994E-2</v>
      </c>
      <c r="AB54" s="350"/>
      <c r="AC54" s="1496">
        <v>0.26900000000000002</v>
      </c>
      <c r="AD54" s="350"/>
      <c r="AE54" s="349">
        <f t="shared" si="29"/>
        <v>-4.9294953799206604</v>
      </c>
      <c r="AF54" s="349">
        <f t="shared" si="30"/>
        <v>-1.7598166725117863</v>
      </c>
      <c r="AG54" s="349">
        <f t="shared" si="31"/>
        <v>2.363276166812792</v>
      </c>
      <c r="AH54" s="346">
        <f t="shared" si="32"/>
        <v>0</v>
      </c>
      <c r="AI54" s="239">
        <f>IF(OR($I$2="RRO (Capped)",$I$2="RRO (Uncapped)"),VLOOKUP(A54,'Misc. Data &amp; Mechanisms'!$A$1483:$H$1574,4,FALSE),AT54)</f>
        <v>9</v>
      </c>
      <c r="AJ54" s="346">
        <f t="shared" si="22"/>
        <v>9</v>
      </c>
      <c r="AK54" s="351">
        <f>5%</f>
        <v>0.05</v>
      </c>
      <c r="AL54" s="352">
        <f>'Misc. Data &amp; Mechanisms'!AJ327</f>
        <v>779.64460033435455</v>
      </c>
      <c r="AM54" s="1089">
        <f>'Misc. Data &amp; Mechanisms'!AP327</f>
        <v>670.95704577590584</v>
      </c>
      <c r="AN54" s="1089">
        <f>'Misc. Data &amp; Mechanisms'!Q327</f>
        <v>878.54132595271074</v>
      </c>
      <c r="AO54" s="1089">
        <f>'Misc. Data &amp; Mechanisms'!R327</f>
        <v>666.73174394248952</v>
      </c>
      <c r="AP54" s="1089">
        <f>'Misc. Data &amp; Mechanisms'!S327</f>
        <v>493.42585624979387</v>
      </c>
      <c r="AQ54" s="1464">
        <f>'Misc. Data &amp; Mechanisms'!$B$259</f>
        <v>611.34673880086393</v>
      </c>
      <c r="AR54" s="243">
        <f>IFERROR(IF('Personalized Bill Menu'!$B$30="Yes", IF('Personalized Bill Menu'!$B$34="Natural Gas",0,VLOOKUP($A54, 'Personalized Bill Menu'!$H$4:$L$93, 2, FALSE)), 0), 0)</f>
        <v>0</v>
      </c>
      <c r="AS54" s="1345">
        <f>IFERROR(IF('Personalized Bill Menu'!$C$36="Custom", IF('Personalized Bill Menu'!$B$34="Natural Gas",0,VLOOKUP($A54, 'Personalized Bill Menu'!$H$4:$L$93, 3, FALSE)), 0), 0)</f>
        <v>0</v>
      </c>
      <c r="AT54" s="1346">
        <f>IFERROR(IF('Personalized Bill Menu'!$C$36="Custom", IF('Personalized Bill Menu'!$B$34="Natural Gas",0,VLOOKUP($A54, 'Personalized Bill Menu'!$H$4:$L$93, 4, FALSE)), 0), 0)</f>
        <v>0</v>
      </c>
      <c r="AU54" s="335"/>
      <c r="AV54" s="335"/>
      <c r="AW54" s="335"/>
    </row>
    <row r="55" spans="1:49" x14ac:dyDescent="0.35">
      <c r="A55" s="206">
        <v>42370</v>
      </c>
      <c r="B55" s="207">
        <f t="shared" si="0"/>
        <v>31</v>
      </c>
      <c r="C55" s="212">
        <f t="shared" si="13"/>
        <v>851.60468668395526</v>
      </c>
      <c r="D55" s="178">
        <f>IFERROR(($F55*100)/$C55, "")</f>
        <v>15.024541926332667</v>
      </c>
      <c r="E55" s="178">
        <f t="shared" si="15"/>
        <v>11.386700829000002</v>
      </c>
      <c r="F55" s="86">
        <f t="shared" si="16"/>
        <v>127.94970319744479</v>
      </c>
      <c r="G55" s="115">
        <f t="shared" si="17"/>
        <v>44.164219051429917</v>
      </c>
      <c r="H55" s="66">
        <f t="shared" si="18"/>
        <v>28.183005501118814</v>
      </c>
      <c r="I55" s="66">
        <f t="shared" si="1"/>
        <v>38.399215791760085</v>
      </c>
      <c r="J55" s="66">
        <f t="shared" si="19"/>
        <v>7.4971581175781639</v>
      </c>
      <c r="K55" s="66">
        <f t="shared" si="20"/>
        <v>-1.8067382738443294</v>
      </c>
      <c r="L55" s="66">
        <f t="shared" si="21"/>
        <v>5.42</v>
      </c>
      <c r="M55" s="68">
        <f t="shared" si="23"/>
        <v>6.0928430094021335</v>
      </c>
      <c r="N55" s="273">
        <f>IF($I$2="RRO (Capped)",VLOOKUP(A55,'Misc. Data &amp; Mechanisms'!$A$1278:$E$1368,4,FALSE),IF($I$2="RRO (Uncapped)",VLOOKUP(A55,'Misc. Data &amp; Mechanisms'!$G$1278:$K$1368,4,FALSE),AS55))</f>
        <v>5.1859999999999999</v>
      </c>
      <c r="O55" s="333">
        <f t="shared" si="3"/>
        <v>44.164219051429917</v>
      </c>
      <c r="P55" s="336">
        <v>3.3094000000000001</v>
      </c>
      <c r="Q55" s="333">
        <f t="shared" si="24"/>
        <v>28.183005501118814</v>
      </c>
      <c r="R55" s="337">
        <v>1.9671000000000001</v>
      </c>
      <c r="S55" s="337">
        <v>0.69830000000000003</v>
      </c>
      <c r="T55" s="338">
        <f t="shared" si="25"/>
        <v>16.751915791760084</v>
      </c>
      <c r="U55" s="333">
        <f t="shared" si="26"/>
        <v>21.647300000000001</v>
      </c>
      <c r="V55" s="205">
        <f>VLOOKUP($A55,'Misc. Data &amp; Mechanisms'!$A$63:$DY$152,HLOOKUP('Service Zone Menu'!$K$5&amp;"_FORTIS_Elec_Y_1",'Misc. Data &amp; Mechanisms'!$A$55:$DY$62,8,FALSE), FALSE)</f>
        <v>0.107</v>
      </c>
      <c r="W55" s="205">
        <f>VLOOKUP($A55,'Misc. Data &amp; Mechanisms'!$A$63:$DY$152,HLOOKUP('Service Zone Menu'!$K$5&amp;"_FORTIS_Elec_Y_2",'Misc. Data &amp; Mechanisms'!$A$55:$DY$62,8,FALSE), FALSE)</f>
        <v>5.5999999999999999E-3</v>
      </c>
      <c r="X55" s="338">
        <f t="shared" si="27"/>
        <v>7.1242976783380421</v>
      </c>
      <c r="Y55" s="333">
        <f t="shared" si="28"/>
        <v>0.37286043924012185</v>
      </c>
      <c r="Z55" s="336">
        <v>-0.3322</v>
      </c>
      <c r="AA55" s="339">
        <v>-1.8E-3</v>
      </c>
      <c r="AB55" s="339"/>
      <c r="AC55" s="1495">
        <v>0.126</v>
      </c>
      <c r="AD55" s="339"/>
      <c r="AE55" s="338">
        <f t="shared" si="29"/>
        <v>-2.8290307691640995</v>
      </c>
      <c r="AF55" s="338">
        <f t="shared" si="30"/>
        <v>-5.0729409902013863E-2</v>
      </c>
      <c r="AG55" s="338">
        <f t="shared" si="31"/>
        <v>1.0730219052217838</v>
      </c>
      <c r="AH55" s="333">
        <f t="shared" si="32"/>
        <v>0</v>
      </c>
      <c r="AI55" s="200">
        <f>IF(OR($I$2="RRO (Capped)",$I$2="RRO (Uncapped)"),VLOOKUP(A55,'Misc. Data &amp; Mechanisms'!$A$1483:$H$1574,4,FALSE),AT55)</f>
        <v>5.42</v>
      </c>
      <c r="AJ55" s="333">
        <f t="shared" si="22"/>
        <v>5.42</v>
      </c>
      <c r="AK55" s="340">
        <f>5%</f>
        <v>0.05</v>
      </c>
      <c r="AL55" s="359">
        <f>'Misc. Data &amp; Mechanisms'!AJ328</f>
        <v>755.74019796117591</v>
      </c>
      <c r="AM55" s="1239">
        <f>'Misc. Data &amp; Mechanisms'!AP328</f>
        <v>642.78687153718272</v>
      </c>
      <c r="AN55" s="1087">
        <f>'Misc. Data &amp; Mechanisms'!Q328</f>
        <v>851.60468668395526</v>
      </c>
      <c r="AO55" s="1087">
        <f>'Misc. Data &amp; Mechanisms'!R328</f>
        <v>646.28932200390705</v>
      </c>
      <c r="AP55" s="1087">
        <f>'Misc. Data &amp; Mechanisms'!S328</f>
        <v>478.29710373349747</v>
      </c>
      <c r="AQ55" s="1463">
        <f>'Misc. Data &amp; Mechanisms'!$B$259</f>
        <v>611.34673880086393</v>
      </c>
      <c r="AR55" s="197">
        <f>IFERROR(IF('Personalized Bill Menu'!$B$30="Yes", IF('Personalized Bill Menu'!$B$34="Natural Gas",0,VLOOKUP($A55, 'Personalized Bill Menu'!$H$4:$L$93, 2, FALSE)), 0), 0)</f>
        <v>0</v>
      </c>
      <c r="AS55" s="1343">
        <f>IFERROR(IF('Personalized Bill Menu'!$C$36="Custom", IF('Personalized Bill Menu'!$B$34="Natural Gas",0,VLOOKUP($A55, 'Personalized Bill Menu'!$H$4:$L$93, 3, FALSE)), 0), 0)</f>
        <v>0</v>
      </c>
      <c r="AT55" s="1344">
        <f>IFERROR(IF('Personalized Bill Menu'!$C$36="Custom", IF('Personalized Bill Menu'!$B$34="Natural Gas",0,VLOOKUP($A55, 'Personalized Bill Menu'!$H$4:$L$93, 4, FALSE)), 0), 0)</f>
        <v>0</v>
      </c>
      <c r="AU55" s="335"/>
      <c r="AV55" s="335"/>
      <c r="AW55" s="335"/>
    </row>
    <row r="56" spans="1:49" x14ac:dyDescent="0.35">
      <c r="A56" s="206">
        <v>42401</v>
      </c>
      <c r="B56" s="207">
        <f t="shared" si="0"/>
        <v>29</v>
      </c>
      <c r="C56" s="1581">
        <f t="shared" si="13"/>
        <v>701.52707749247975</v>
      </c>
      <c r="D56" s="178">
        <f t="shared" si="14"/>
        <v>15.017913654463907</v>
      </c>
      <c r="E56" s="178">
        <f t="shared" si="15"/>
        <v>10.834400829000002</v>
      </c>
      <c r="F56" s="86">
        <f t="shared" si="16"/>
        <v>105.35473076050471</v>
      </c>
      <c r="G56" s="115">
        <f t="shared" si="17"/>
        <v>32.691161811149556</v>
      </c>
      <c r="H56" s="66">
        <f t="shared" si="18"/>
        <v>23.216337102536123</v>
      </c>
      <c r="I56" s="66">
        <f t="shared" si="1"/>
        <v>34.050439141354573</v>
      </c>
      <c r="J56" s="66">
        <f t="shared" si="19"/>
        <v>6.4482390050620921</v>
      </c>
      <c r="K56" s="66">
        <f t="shared" si="20"/>
        <v>-1.4883382405740586</v>
      </c>
      <c r="L56" s="66">
        <f t="shared" si="21"/>
        <v>5.42</v>
      </c>
      <c r="M56" s="68">
        <f t="shared" si="23"/>
        <v>5.0168919409764143</v>
      </c>
      <c r="N56" s="273">
        <f>IF($I$2="RRO (Capped)",VLOOKUP(A56,'Misc. Data &amp; Mechanisms'!$A$1278:$E$1368,4,FALSE),IF($I$2="RRO (Uncapped)",VLOOKUP(A56,'Misc. Data &amp; Mechanisms'!$G$1278:$K$1368,4,FALSE),AS56))</f>
        <v>4.66</v>
      </c>
      <c r="O56" s="333">
        <f t="shared" si="3"/>
        <v>32.691161811149556</v>
      </c>
      <c r="P56" s="336">
        <v>3.3094000000000001</v>
      </c>
      <c r="Q56" s="333">
        <f t="shared" si="24"/>
        <v>23.216337102536123</v>
      </c>
      <c r="R56" s="337">
        <v>1.9671000000000001</v>
      </c>
      <c r="S56" s="337">
        <v>0.69830000000000003</v>
      </c>
      <c r="T56" s="338">
        <f t="shared" si="25"/>
        <v>13.79973914135457</v>
      </c>
      <c r="U56" s="333">
        <f t="shared" si="26"/>
        <v>20.250700000000002</v>
      </c>
      <c r="V56" s="205">
        <f>VLOOKUP($A56,'Misc. Data &amp; Mechanisms'!$A$63:$DY$152,HLOOKUP('Service Zone Menu'!$K$5&amp;"_FORTIS_Elec_Y_1",'Misc. Data &amp; Mechanisms'!$A$55:$DY$62,8,FALSE), FALSE)</f>
        <v>0.107</v>
      </c>
      <c r="W56" s="205">
        <f>VLOOKUP($A56,'Misc. Data &amp; Mechanisms'!$A$63:$DY$152,HLOOKUP('Service Zone Menu'!$K$5&amp;"_FORTIS_Elec_Y_2",'Misc. Data &amp; Mechanisms'!$A$55:$DY$62,8,FALSE), FALSE)</f>
        <v>5.5999999999999999E-3</v>
      </c>
      <c r="X56" s="338">
        <f t="shared" si="27"/>
        <v>6.1275450580963042</v>
      </c>
      <c r="Y56" s="333">
        <f t="shared" si="28"/>
        <v>0.3206939469657879</v>
      </c>
      <c r="Z56" s="336">
        <v>-0.3322</v>
      </c>
      <c r="AA56" s="339">
        <v>-1.8E-3</v>
      </c>
      <c r="AB56" s="339"/>
      <c r="AC56" s="1495">
        <v>0.126</v>
      </c>
      <c r="AD56" s="339"/>
      <c r="AE56" s="338">
        <f t="shared" si="29"/>
        <v>-2.3304729514300178</v>
      </c>
      <c r="AF56" s="338">
        <f t="shared" si="30"/>
        <v>-4.1789406784565018E-2</v>
      </c>
      <c r="AG56" s="338">
        <f t="shared" si="31"/>
        <v>0.88392411764052448</v>
      </c>
      <c r="AH56" s="333">
        <f t="shared" si="32"/>
        <v>0</v>
      </c>
      <c r="AI56" s="200">
        <f>IF(OR($I$2="RRO (Capped)",$I$2="RRO (Uncapped)"),VLOOKUP(A56,'Misc. Data &amp; Mechanisms'!$A$1483:$H$1574,4,FALSE),AT56)</f>
        <v>5.42</v>
      </c>
      <c r="AJ56" s="333">
        <f t="shared" si="22"/>
        <v>5.42</v>
      </c>
      <c r="AK56" s="340">
        <f>5%</f>
        <v>0.05</v>
      </c>
      <c r="AL56" s="341">
        <f>'Misc. Data &amp; Mechanisms'!AJ329</f>
        <v>622.55671053633785</v>
      </c>
      <c r="AM56" s="196">
        <f>'Misc. Data &amp; Mechanisms'!AP329</f>
        <v>547.71695659835859</v>
      </c>
      <c r="AN56" s="1087">
        <f>'Misc. Data &amp; Mechanisms'!Q329</f>
        <v>701.52707749247975</v>
      </c>
      <c r="AO56" s="1087">
        <f>'Misc. Data &amp; Mechanisms'!R329</f>
        <v>532.39427444374496</v>
      </c>
      <c r="AP56" s="1087">
        <f>'Misc. Data &amp; Mechanisms'!S329</f>
        <v>394.0071897229962</v>
      </c>
      <c r="AQ56" s="1463">
        <f>'Misc. Data &amp; Mechanisms'!$B$259</f>
        <v>611.34673880086393</v>
      </c>
      <c r="AR56" s="197">
        <f>IFERROR(IF('Personalized Bill Menu'!$B$30="Yes", IF('Personalized Bill Menu'!$B$34="Natural Gas",0,VLOOKUP($A56, 'Personalized Bill Menu'!$H$4:$L$93, 2, FALSE)), 0), 0)</f>
        <v>0</v>
      </c>
      <c r="AS56" s="1343">
        <f>IFERROR(IF('Personalized Bill Menu'!$C$36="Custom", IF('Personalized Bill Menu'!$B$34="Natural Gas",0,VLOOKUP($A56, 'Personalized Bill Menu'!$H$4:$L$93, 3, FALSE)), 0), 0)</f>
        <v>0</v>
      </c>
      <c r="AT56" s="1344">
        <f>IFERROR(IF('Personalized Bill Menu'!$C$36="Custom", IF('Personalized Bill Menu'!$B$34="Natural Gas",0,VLOOKUP($A56, 'Personalized Bill Menu'!$H$4:$L$93, 4, FALSE)), 0), 0)</f>
        <v>0</v>
      </c>
      <c r="AU56" s="335"/>
      <c r="AV56" s="335"/>
      <c r="AW56" s="335"/>
    </row>
    <row r="57" spans="1:49" x14ac:dyDescent="0.35">
      <c r="A57" s="206">
        <v>42430</v>
      </c>
      <c r="B57" s="207">
        <f t="shared" si="0"/>
        <v>31</v>
      </c>
      <c r="C57" s="1581">
        <f t="shared" si="13"/>
        <v>694.64532985788458</v>
      </c>
      <c r="D57" s="178">
        <f t="shared" si="14"/>
        <v>15.051684350854687</v>
      </c>
      <c r="E57" s="178">
        <f t="shared" si="15"/>
        <v>10.591850829</v>
      </c>
      <c r="F57" s="86">
        <f t="shared" si="16"/>
        <v>104.55582240816213</v>
      </c>
      <c r="G57" s="115">
        <f t="shared" si="17"/>
        <v>30.765841659405709</v>
      </c>
      <c r="H57" s="66">
        <f t="shared" si="18"/>
        <v>22.988592546316831</v>
      </c>
      <c r="I57" s="66">
        <f t="shared" si="1"/>
        <v>35.311668283634447</v>
      </c>
      <c r="J57" s="66">
        <f t="shared" si="19"/>
        <v>6.5646093694525138</v>
      </c>
      <c r="K57" s="66">
        <f t="shared" si="20"/>
        <v>-1.4737381367503284</v>
      </c>
      <c r="L57" s="66">
        <f t="shared" si="21"/>
        <v>5.42</v>
      </c>
      <c r="M57" s="68">
        <f t="shared" si="23"/>
        <v>4.9788486861029586</v>
      </c>
      <c r="N57" s="273">
        <f>IF($I$2="RRO (Capped)",VLOOKUP(A57,'Misc. Data &amp; Mechanisms'!$A$1278:$E$1368,4,FALSE),IF($I$2="RRO (Uncapped)",VLOOKUP(A57,'Misc. Data &amp; Mechanisms'!$G$1278:$K$1368,4,FALSE),AS57))</f>
        <v>4.4290000000000003</v>
      </c>
      <c r="O57" s="333">
        <f t="shared" si="3"/>
        <v>30.765841659405709</v>
      </c>
      <c r="P57" s="336">
        <v>3.3094000000000001</v>
      </c>
      <c r="Q57" s="333">
        <f t="shared" si="24"/>
        <v>22.988592546316831</v>
      </c>
      <c r="R57" s="337">
        <v>1.9671000000000001</v>
      </c>
      <c r="S57" s="337">
        <v>0.69830000000000003</v>
      </c>
      <c r="T57" s="338">
        <f t="shared" si="25"/>
        <v>13.664368283634449</v>
      </c>
      <c r="U57" s="333">
        <f t="shared" si="26"/>
        <v>21.647300000000001</v>
      </c>
      <c r="V57" s="205">
        <f>VLOOKUP($A57,'Misc. Data &amp; Mechanisms'!$A$63:$DY$152,HLOOKUP('Service Zone Menu'!$K$5&amp;"_FORTIS_Elec_Y_1",'Misc. Data &amp; Mechanisms'!$A$55:$DY$62,8,FALSE), FALSE)</f>
        <v>0.107</v>
      </c>
      <c r="W57" s="205">
        <f>VLOOKUP($A57,'Misc. Data &amp; Mechanisms'!$A$63:$DY$152,HLOOKUP('Service Zone Menu'!$K$5&amp;"_FORTIS_Elec_Y_2",'Misc. Data &amp; Mechanisms'!$A$55:$DY$62,8,FALSE), FALSE)</f>
        <v>5.5999999999999999E-3</v>
      </c>
      <c r="X57" s="338">
        <f t="shared" si="27"/>
        <v>6.2381279088047865</v>
      </c>
      <c r="Y57" s="333">
        <f t="shared" si="28"/>
        <v>0.32648146064772715</v>
      </c>
      <c r="Z57" s="336">
        <v>-0.3322</v>
      </c>
      <c r="AA57" s="339">
        <v>-1.8E-3</v>
      </c>
      <c r="AB57" s="339"/>
      <c r="AC57" s="1495">
        <v>0.126</v>
      </c>
      <c r="AD57" s="339"/>
      <c r="AE57" s="338">
        <f t="shared" si="29"/>
        <v>-2.3076117857878926</v>
      </c>
      <c r="AF57" s="338">
        <f t="shared" si="30"/>
        <v>-4.1379466583370293E-2</v>
      </c>
      <c r="AG57" s="338">
        <f t="shared" si="31"/>
        <v>0.87525311562093455</v>
      </c>
      <c r="AH57" s="333">
        <f t="shared" si="32"/>
        <v>0</v>
      </c>
      <c r="AI57" s="200">
        <f>IF(OR($I$2="RRO (Capped)",$I$2="RRO (Uncapped)"),VLOOKUP(A57,'Misc. Data &amp; Mechanisms'!$A$1483:$H$1574,4,FALSE),AT57)</f>
        <v>5.42</v>
      </c>
      <c r="AJ57" s="333">
        <f t="shared" si="22"/>
        <v>5.42</v>
      </c>
      <c r="AK57" s="340">
        <f>5%</f>
        <v>0.05</v>
      </c>
      <c r="AL57" s="341">
        <f>'Misc. Data &amp; Mechanisms'!AJ330</f>
        <v>616.44963597344508</v>
      </c>
      <c r="AM57" s="196">
        <f>'Misc. Data &amp; Mechanisms'!AP330</f>
        <v>543.24771404193632</v>
      </c>
      <c r="AN57" s="1087">
        <f>'Misc. Data &amp; Mechanisms'!Q330</f>
        <v>694.64532985788458</v>
      </c>
      <c r="AO57" s="1087">
        <f>'Misc. Data &amp; Mechanisms'!R330</f>
        <v>527.17166343360248</v>
      </c>
      <c r="AP57" s="1087">
        <f>'Misc. Data &amp; Mechanisms'!S330</f>
        <v>390.14211005197126</v>
      </c>
      <c r="AQ57" s="1463">
        <f>'Misc. Data &amp; Mechanisms'!$B$259</f>
        <v>611.34673880086393</v>
      </c>
      <c r="AR57" s="197">
        <f>IFERROR(IF('Personalized Bill Menu'!$B$30="Yes", IF('Personalized Bill Menu'!$B$34="Natural Gas",0,VLOOKUP($A57, 'Personalized Bill Menu'!$H$4:$L$93, 2, FALSE)), 0), 0)</f>
        <v>0</v>
      </c>
      <c r="AS57" s="1343">
        <f>IFERROR(IF('Personalized Bill Menu'!$C$36="Custom", IF('Personalized Bill Menu'!$B$34="Natural Gas",0,VLOOKUP($A57, 'Personalized Bill Menu'!$H$4:$L$93, 3, FALSE)), 0), 0)</f>
        <v>0</v>
      </c>
      <c r="AT57" s="1344">
        <f>IFERROR(IF('Personalized Bill Menu'!$C$36="Custom", IF('Personalized Bill Menu'!$B$34="Natural Gas",0,VLOOKUP($A57, 'Personalized Bill Menu'!$H$4:$L$93, 4, FALSE)), 0), 0)</f>
        <v>0</v>
      </c>
      <c r="AU57" s="335"/>
      <c r="AV57" s="335"/>
      <c r="AW57" s="335"/>
    </row>
    <row r="58" spans="1:49" x14ac:dyDescent="0.35">
      <c r="A58" s="206">
        <v>42461</v>
      </c>
      <c r="B58" s="207">
        <f t="shared" si="0"/>
        <v>30</v>
      </c>
      <c r="C58" s="1581">
        <f t="shared" si="13"/>
        <v>602.06736209317319</v>
      </c>
      <c r="D58" s="178">
        <f t="shared" si="14"/>
        <v>14.903731041280432</v>
      </c>
      <c r="E58" s="178">
        <f t="shared" si="15"/>
        <v>9.8988508290000023</v>
      </c>
      <c r="F58" s="86">
        <f t="shared" si="16"/>
        <v>89.730500333698515</v>
      </c>
      <c r="G58" s="115">
        <f t="shared" si="17"/>
        <v>21.57809425741933</v>
      </c>
      <c r="H58" s="66">
        <f t="shared" si="18"/>
        <v>19.924817281111473</v>
      </c>
      <c r="I58" s="66">
        <f t="shared" si="1"/>
        <v>32.792267079734813</v>
      </c>
      <c r="J58" s="66">
        <f t="shared" si="19"/>
        <v>5.9359436990312915</v>
      </c>
      <c r="K58" s="66">
        <f t="shared" si="20"/>
        <v>-0.16350295186975328</v>
      </c>
      <c r="L58" s="66">
        <f t="shared" si="21"/>
        <v>5.39</v>
      </c>
      <c r="M58" s="68">
        <f t="shared" si="23"/>
        <v>4.272880968271358</v>
      </c>
      <c r="N58" s="273">
        <f>IF($I$2="RRO (Capped)",VLOOKUP(A58,'Misc. Data &amp; Mechanisms'!$A$1278:$E$1368,4,FALSE),IF($I$2="RRO (Uncapped)",VLOOKUP(A58,'Misc. Data &amp; Mechanisms'!$G$1278:$K$1368,4,FALSE),AS58))</f>
        <v>3.5840000000000001</v>
      </c>
      <c r="O58" s="333">
        <f t="shared" si="3"/>
        <v>21.57809425741933</v>
      </c>
      <c r="P58" s="336">
        <v>3.3094000000000001</v>
      </c>
      <c r="Q58" s="333">
        <f t="shared" si="24"/>
        <v>19.924817281111473</v>
      </c>
      <c r="R58" s="337">
        <v>1.9671000000000001</v>
      </c>
      <c r="S58" s="337">
        <v>0.69830000000000003</v>
      </c>
      <c r="T58" s="338">
        <f t="shared" si="25"/>
        <v>11.84326707973481</v>
      </c>
      <c r="U58" s="333">
        <f t="shared" si="26"/>
        <v>20.949000000000002</v>
      </c>
      <c r="V58" s="205">
        <f>VLOOKUP($A58,'Misc. Data &amp; Mechanisms'!$A$63:$DY$152,HLOOKUP('Service Zone Menu'!$K$5&amp;"_FORTIS_Elec_Y_1",'Misc. Data &amp; Mechanisms'!$A$55:$DY$62,8,FALSE), FALSE)</f>
        <v>0.107</v>
      </c>
      <c r="W58" s="205">
        <f>VLOOKUP($A58,'Misc. Data &amp; Mechanisms'!$A$63:$DY$152,HLOOKUP('Service Zone Menu'!$K$5&amp;"_FORTIS_Elec_Y_2",'Misc. Data &amp; Mechanisms'!$A$55:$DY$62,8,FALSE), FALSE)</f>
        <v>5.5999999999999999E-3</v>
      </c>
      <c r="X58" s="338">
        <f t="shared" si="27"/>
        <v>5.6407280266105522</v>
      </c>
      <c r="Y58" s="333">
        <f t="shared" si="28"/>
        <v>0.29521567242073921</v>
      </c>
      <c r="Z58" s="336">
        <v>-0.3322</v>
      </c>
      <c r="AA58" s="339">
        <v>-1.8E-3</v>
      </c>
      <c r="AB58" s="339"/>
      <c r="AC58" s="1495">
        <v>0.311</v>
      </c>
      <c r="AD58" s="339"/>
      <c r="AE58" s="338">
        <f t="shared" si="29"/>
        <v>-2.0000677768735211</v>
      </c>
      <c r="AF58" s="338">
        <f t="shared" si="30"/>
        <v>-3.5864671106000653E-2</v>
      </c>
      <c r="AG58" s="338">
        <f t="shared" si="31"/>
        <v>1.8724294961097685</v>
      </c>
      <c r="AH58" s="333">
        <f t="shared" si="32"/>
        <v>0</v>
      </c>
      <c r="AI58" s="200">
        <f>IF(OR($I$2="RRO (Capped)",$I$2="RRO (Uncapped)"),VLOOKUP(A58,'Misc. Data &amp; Mechanisms'!$A$1483:$H$1574,4,FALSE),AT58)</f>
        <v>5.39</v>
      </c>
      <c r="AJ58" s="333">
        <f t="shared" si="22"/>
        <v>5.39</v>
      </c>
      <c r="AK58" s="340">
        <f>5%</f>
        <v>0.05</v>
      </c>
      <c r="AL58" s="341">
        <f>'Misc. Data &amp; Mechanisms'!AJ331</f>
        <v>534.2930992853004</v>
      </c>
      <c r="AM58" s="196">
        <f>'Misc. Data &amp; Mechanisms'!AP331</f>
        <v>470.8590031217114</v>
      </c>
      <c r="AN58" s="1087">
        <f>'Misc. Data &amp; Mechanisms'!Q331</f>
        <v>602.06736209317319</v>
      </c>
      <c r="AO58" s="1087">
        <f>'Misc. Data &amp; Mechanisms'!R331</f>
        <v>456.91353433366294</v>
      </c>
      <c r="AP58" s="1087">
        <f>'Misc. Data &amp; Mechanisms'!S331</f>
        <v>338.14641939435569</v>
      </c>
      <c r="AQ58" s="1463">
        <f>'Misc. Data &amp; Mechanisms'!$B$259</f>
        <v>611.34673880086393</v>
      </c>
      <c r="AR58" s="197">
        <f>IFERROR(IF('Personalized Bill Menu'!$B$30="Yes", IF('Personalized Bill Menu'!$B$34="Natural Gas",0,VLOOKUP($A58, 'Personalized Bill Menu'!$H$4:$L$93, 2, FALSE)), 0), 0)</f>
        <v>0</v>
      </c>
      <c r="AS58" s="1343">
        <f>IFERROR(IF('Personalized Bill Menu'!$C$36="Custom", IF('Personalized Bill Menu'!$B$34="Natural Gas",0,VLOOKUP($A58, 'Personalized Bill Menu'!$H$4:$L$93, 3, FALSE)), 0), 0)</f>
        <v>0</v>
      </c>
      <c r="AT58" s="1344">
        <f>IFERROR(IF('Personalized Bill Menu'!$C$36="Custom", IF('Personalized Bill Menu'!$B$34="Natural Gas",0,VLOOKUP($A58, 'Personalized Bill Menu'!$H$4:$L$93, 4, FALSE)), 0), 0)</f>
        <v>0</v>
      </c>
      <c r="AU58" s="335"/>
      <c r="AV58" s="335"/>
      <c r="AW58" s="335"/>
    </row>
    <row r="59" spans="1:49" x14ac:dyDescent="0.35">
      <c r="A59" s="206">
        <v>42491</v>
      </c>
      <c r="B59" s="207">
        <f t="shared" si="0"/>
        <v>31</v>
      </c>
      <c r="C59" s="1581">
        <f t="shared" si="13"/>
        <v>629.44518257929826</v>
      </c>
      <c r="D59" s="178">
        <f t="shared" si="14"/>
        <v>14.511145195775706</v>
      </c>
      <c r="E59" s="178">
        <f t="shared" si="15"/>
        <v>9.5943508290000015</v>
      </c>
      <c r="F59" s="86">
        <f t="shared" si="16"/>
        <v>91.339704371897454</v>
      </c>
      <c r="G59" s="115">
        <f t="shared" si="17"/>
        <v>20.733924314162081</v>
      </c>
      <c r="H59" s="66">
        <f t="shared" si="18"/>
        <v>20.830858872279297</v>
      </c>
      <c r="I59" s="66">
        <f t="shared" si="1"/>
        <v>34.029116186517378</v>
      </c>
      <c r="J59" s="66">
        <f t="shared" si="19"/>
        <v>6.1772331916205054</v>
      </c>
      <c r="K59" s="66">
        <f t="shared" si="20"/>
        <v>-0.17093792467691382</v>
      </c>
      <c r="L59" s="66">
        <f t="shared" si="21"/>
        <v>5.39</v>
      </c>
      <c r="M59" s="68">
        <f t="shared" si="23"/>
        <v>4.3495097319951173</v>
      </c>
      <c r="N59" s="273">
        <f>IF($I$2="RRO (Capped)",VLOOKUP(A59,'Misc. Data &amp; Mechanisms'!$A$1278:$E$1368,4,FALSE),IF($I$2="RRO (Uncapped)",VLOOKUP(A59,'Misc. Data &amp; Mechanisms'!$G$1278:$K$1368,4,FALSE),AS59))</f>
        <v>3.294</v>
      </c>
      <c r="O59" s="333">
        <f t="shared" si="3"/>
        <v>20.733924314162081</v>
      </c>
      <c r="P59" s="336">
        <v>3.3094000000000001</v>
      </c>
      <c r="Q59" s="333">
        <f t="shared" si="24"/>
        <v>20.830858872279297</v>
      </c>
      <c r="R59" s="337">
        <v>1.9671000000000001</v>
      </c>
      <c r="S59" s="337">
        <v>0.69830000000000003</v>
      </c>
      <c r="T59" s="338">
        <f t="shared" si="25"/>
        <v>12.381816186517376</v>
      </c>
      <c r="U59" s="333">
        <f t="shared" si="26"/>
        <v>21.647300000000001</v>
      </c>
      <c r="V59" s="205">
        <f>VLOOKUP($A59,'Misc. Data &amp; Mechanisms'!$A$63:$DY$152,HLOOKUP('Service Zone Menu'!$K$5&amp;"_FORTIS_Elec_Y_1",'Misc. Data &amp; Mechanisms'!$A$55:$DY$62,8,FALSE), FALSE)</f>
        <v>0.107</v>
      </c>
      <c r="W59" s="205">
        <f>VLOOKUP($A59,'Misc. Data &amp; Mechanisms'!$A$63:$DY$152,HLOOKUP('Service Zone Menu'!$K$5&amp;"_FORTIS_Elec_Y_2",'Misc. Data &amp; Mechanisms'!$A$55:$DY$62,8,FALSE), FALSE)</f>
        <v>5.5999999999999999E-3</v>
      </c>
      <c r="X59" s="338">
        <f t="shared" si="27"/>
        <v>5.870017331291244</v>
      </c>
      <c r="Y59" s="333">
        <f t="shared" si="28"/>
        <v>0.3072158603292614</v>
      </c>
      <c r="Z59" s="336">
        <v>-0.3322</v>
      </c>
      <c r="AA59" s="339">
        <v>-1.8E-3</v>
      </c>
      <c r="AB59" s="339"/>
      <c r="AC59" s="1495">
        <v>0.311</v>
      </c>
      <c r="AD59" s="339"/>
      <c r="AE59" s="338">
        <f t="shared" si="29"/>
        <v>-2.0910168965284286</v>
      </c>
      <c r="AF59" s="338">
        <f t="shared" si="30"/>
        <v>-3.7495545970102732E-2</v>
      </c>
      <c r="AG59" s="338">
        <f t="shared" si="31"/>
        <v>1.9575745178216175</v>
      </c>
      <c r="AH59" s="333">
        <f t="shared" si="32"/>
        <v>0</v>
      </c>
      <c r="AI59" s="200">
        <f>IF(OR($I$2="RRO (Capped)",$I$2="RRO (Uncapped)"),VLOOKUP(A59,'Misc. Data &amp; Mechanisms'!$A$1483:$H$1574,4,FALSE),AT59)</f>
        <v>5.39</v>
      </c>
      <c r="AJ59" s="333">
        <f t="shared" si="22"/>
        <v>5.39</v>
      </c>
      <c r="AK59" s="340">
        <f>5%</f>
        <v>0.05</v>
      </c>
      <c r="AL59" s="341">
        <f>'Misc. Data &amp; Mechanisms'!AJ332</f>
        <v>558.58901944339163</v>
      </c>
      <c r="AM59" s="196">
        <f>'Misc. Data &amp; Mechanisms'!AP332</f>
        <v>487.07214643354223</v>
      </c>
      <c r="AN59" s="1087">
        <f>'Misc. Data &amp; Mechanisms'!Q332</f>
        <v>629.44518257929826</v>
      </c>
      <c r="AO59" s="1087">
        <f>'Misc. Data &amp; Mechanisms'!R332</f>
        <v>477.69077207858504</v>
      </c>
      <c r="AP59" s="1087">
        <f>'Misc. Data &amp; Mechanisms'!S332</f>
        <v>353.5229578866913</v>
      </c>
      <c r="AQ59" s="1463">
        <f>'Misc. Data &amp; Mechanisms'!$B$259</f>
        <v>611.34673880086393</v>
      </c>
      <c r="AR59" s="197">
        <f>IFERROR(IF('Personalized Bill Menu'!$B$30="Yes", IF('Personalized Bill Menu'!$B$34="Natural Gas",0,VLOOKUP($A59, 'Personalized Bill Menu'!$H$4:$L$93, 2, FALSE)), 0), 0)</f>
        <v>0</v>
      </c>
      <c r="AS59" s="1343">
        <f>IFERROR(IF('Personalized Bill Menu'!$C$36="Custom", IF('Personalized Bill Menu'!$B$34="Natural Gas",0,VLOOKUP($A59, 'Personalized Bill Menu'!$H$4:$L$93, 3, FALSE)), 0), 0)</f>
        <v>0</v>
      </c>
      <c r="AT59" s="1344">
        <f>IFERROR(IF('Personalized Bill Menu'!$C$36="Custom", IF('Personalized Bill Menu'!$B$34="Natural Gas",0,VLOOKUP($A59, 'Personalized Bill Menu'!$H$4:$L$93, 4, FALSE)), 0), 0)</f>
        <v>0</v>
      </c>
    </row>
    <row r="60" spans="1:49" x14ac:dyDescent="0.35">
      <c r="A60" s="206">
        <v>42522</v>
      </c>
      <c r="B60" s="207">
        <f t="shared" si="0"/>
        <v>30</v>
      </c>
      <c r="C60" s="1581">
        <f t="shared" si="13"/>
        <v>622.70931934190139</v>
      </c>
      <c r="D60" s="178">
        <f t="shared" si="14"/>
        <v>14.694776147667982</v>
      </c>
      <c r="E60" s="178">
        <f t="shared" si="15"/>
        <v>9.8558008290000014</v>
      </c>
      <c r="F60" s="86">
        <f t="shared" si="16"/>
        <v>91.505740527959375</v>
      </c>
      <c r="G60" s="115">
        <f t="shared" si="17"/>
        <v>22.062591184283569</v>
      </c>
      <c r="H60" s="66">
        <f t="shared" si="18"/>
        <v>20.607942214300884</v>
      </c>
      <c r="I60" s="66">
        <f t="shared" si="1"/>
        <v>33.198315020774544</v>
      </c>
      <c r="J60" s="66">
        <f t="shared" si="19"/>
        <v>6.0585845646694922</v>
      </c>
      <c r="K60" s="66">
        <f t="shared" si="20"/>
        <v>-0.16910867168622445</v>
      </c>
      <c r="L60" s="66">
        <f t="shared" si="21"/>
        <v>5.39</v>
      </c>
      <c r="M60" s="68">
        <f t="shared" si="23"/>
        <v>4.3574162156171132</v>
      </c>
      <c r="N60" s="273">
        <f>IF($I$2="RRO (Capped)",VLOOKUP(A60,'Misc. Data &amp; Mechanisms'!$A$1278:$E$1368,4,FALSE),IF($I$2="RRO (Uncapped)",VLOOKUP(A60,'Misc. Data &amp; Mechanisms'!$G$1278:$K$1368,4,FALSE),AS60))</f>
        <v>3.5430000000000001</v>
      </c>
      <c r="O60" s="333">
        <f t="shared" si="3"/>
        <v>22.062591184283569</v>
      </c>
      <c r="P60" s="336">
        <v>3.3094000000000001</v>
      </c>
      <c r="Q60" s="333">
        <f t="shared" si="24"/>
        <v>20.607942214300884</v>
      </c>
      <c r="R60" s="337">
        <v>1.9671000000000001</v>
      </c>
      <c r="S60" s="337">
        <v>0.69830000000000003</v>
      </c>
      <c r="T60" s="338">
        <f t="shared" si="25"/>
        <v>12.249315020774542</v>
      </c>
      <c r="U60" s="333">
        <f t="shared" si="26"/>
        <v>20.949000000000002</v>
      </c>
      <c r="V60" s="205">
        <f>VLOOKUP($A60,'Misc. Data &amp; Mechanisms'!$A$63:$DY$152,HLOOKUP('Service Zone Menu'!$K$5&amp;"_FORTIS_Elec_Y_1",'Misc. Data &amp; Mechanisms'!$A$55:$DY$62,8,FALSE), FALSE)</f>
        <v>0.107</v>
      </c>
      <c r="W60" s="205">
        <f>VLOOKUP($A60,'Misc. Data &amp; Mechanisms'!$A$63:$DY$152,HLOOKUP('Service Zone Menu'!$K$5&amp;"_FORTIS_Elec_Y_2",'Misc. Data &amp; Mechanisms'!$A$55:$DY$62,8,FALSE), FALSE)</f>
        <v>5.5999999999999999E-3</v>
      </c>
      <c r="X60" s="338">
        <f t="shared" si="27"/>
        <v>5.7572695241530703</v>
      </c>
      <c r="Y60" s="333">
        <f t="shared" si="28"/>
        <v>0.30131504051642238</v>
      </c>
      <c r="Z60" s="336">
        <v>-0.3322</v>
      </c>
      <c r="AA60" s="339">
        <v>-1.8E-3</v>
      </c>
      <c r="AB60" s="339"/>
      <c r="AC60" s="1495">
        <v>0.311</v>
      </c>
      <c r="AD60" s="339"/>
      <c r="AE60" s="338">
        <f t="shared" si="29"/>
        <v>-2.0686403588537963</v>
      </c>
      <c r="AF60" s="338">
        <f t="shared" si="30"/>
        <v>-3.7094295985741592E-2</v>
      </c>
      <c r="AG60" s="338">
        <f t="shared" si="31"/>
        <v>1.9366259831533132</v>
      </c>
      <c r="AH60" s="333">
        <f t="shared" si="32"/>
        <v>0</v>
      </c>
      <c r="AI60" s="200">
        <f>IF(OR($I$2="RRO (Capped)",$I$2="RRO (Uncapped)"),VLOOKUP(A60,'Misc. Data &amp; Mechanisms'!$A$1483:$H$1574,4,FALSE),AT60)</f>
        <v>5.39</v>
      </c>
      <c r="AJ60" s="333">
        <f t="shared" si="22"/>
        <v>5.39</v>
      </c>
      <c r="AK60" s="340">
        <f>5%</f>
        <v>0.05</v>
      </c>
      <c r="AL60" s="341">
        <f>'Misc. Data &amp; Mechanisms'!AJ333</f>
        <v>552.61140718259992</v>
      </c>
      <c r="AM60" s="196">
        <f>'Misc. Data &amp; Mechanisms'!AP333</f>
        <v>475.49696173552678</v>
      </c>
      <c r="AN60" s="1087">
        <f>'Misc. Data &amp; Mechanisms'!Q333</f>
        <v>622.70931934190139</v>
      </c>
      <c r="AO60" s="1087">
        <f>'Misc. Data &amp; Mechanisms'!R333</f>
        <v>472.57887385529142</v>
      </c>
      <c r="AP60" s="1087">
        <f>'Misc. Data &amp; Mechanisms'!S333</f>
        <v>349.73981304499608</v>
      </c>
      <c r="AQ60" s="1463">
        <f>'Misc. Data &amp; Mechanisms'!$B$259</f>
        <v>611.34673880086393</v>
      </c>
      <c r="AR60" s="197">
        <f>IFERROR(IF('Personalized Bill Menu'!$B$30="Yes", IF('Personalized Bill Menu'!$B$34="Natural Gas",0,VLOOKUP($A60, 'Personalized Bill Menu'!$H$4:$L$93, 2, FALSE)), 0), 0)</f>
        <v>0</v>
      </c>
      <c r="AS60" s="1343">
        <f>IFERROR(IF('Personalized Bill Menu'!$C$36="Custom", IF('Personalized Bill Menu'!$B$34="Natural Gas",0,VLOOKUP($A60, 'Personalized Bill Menu'!$H$4:$L$93, 3, FALSE)), 0), 0)</f>
        <v>0</v>
      </c>
      <c r="AT60" s="1344">
        <f>IFERROR(IF('Personalized Bill Menu'!$C$36="Custom", IF('Personalized Bill Menu'!$B$34="Natural Gas",0,VLOOKUP($A60, 'Personalized Bill Menu'!$H$4:$L$93, 4, FALSE)), 0), 0)</f>
        <v>0</v>
      </c>
    </row>
    <row r="61" spans="1:49" x14ac:dyDescent="0.35">
      <c r="A61" s="206">
        <v>42552</v>
      </c>
      <c r="B61" s="207">
        <f t="shared" si="0"/>
        <v>31</v>
      </c>
      <c r="C61" s="1581">
        <f t="shared" si="13"/>
        <v>655.67610477775963</v>
      </c>
      <c r="D61" s="178">
        <f t="shared" si="14"/>
        <v>15.901126982659346</v>
      </c>
      <c r="E61" s="178">
        <f t="shared" si="15"/>
        <v>11.192424211500001</v>
      </c>
      <c r="F61" s="86">
        <f t="shared" si="16"/>
        <v>104.25989001566609</v>
      </c>
      <c r="G61" s="115">
        <f t="shared" si="17"/>
        <v>32.042891240489112</v>
      </c>
      <c r="H61" s="66">
        <f t="shared" si="18"/>
        <v>21.698945011515175</v>
      </c>
      <c r="I61" s="66">
        <f t="shared" si="1"/>
        <v>34.545104657083314</v>
      </c>
      <c r="J61" s="66">
        <f t="shared" si="19"/>
        <v>6.2262162983138536</v>
      </c>
      <c r="K61" s="66">
        <f t="shared" si="20"/>
        <v>-0.57802385914804555</v>
      </c>
      <c r="L61" s="66">
        <f t="shared" si="21"/>
        <v>5.36</v>
      </c>
      <c r="M61" s="68">
        <f t="shared" si="23"/>
        <v>4.9647566674126713</v>
      </c>
      <c r="N61" s="273">
        <f>IF($I$2="RRO (Capped)",VLOOKUP(A61,'Misc. Data &amp; Mechanisms'!$A$1278:$E$1368,4,FALSE),IF($I$2="RRO (Uncapped)",VLOOKUP(A61,'Misc. Data &amp; Mechanisms'!$G$1278:$K$1368,4,FALSE),AS61))</f>
        <v>4.8869999999999996</v>
      </c>
      <c r="O61" s="333">
        <f t="shared" si="3"/>
        <v>32.042891240489112</v>
      </c>
      <c r="P61" s="336">
        <v>3.3094000000000001</v>
      </c>
      <c r="Q61" s="333">
        <f t="shared" si="24"/>
        <v>21.698945011515175</v>
      </c>
      <c r="R61" s="337">
        <v>1.9671000000000001</v>
      </c>
      <c r="S61" s="337">
        <v>0.69830000000000003</v>
      </c>
      <c r="T61" s="338">
        <f t="shared" si="25"/>
        <v>12.897804657083311</v>
      </c>
      <c r="U61" s="333">
        <f t="shared" si="26"/>
        <v>21.647300000000001</v>
      </c>
      <c r="V61" s="205">
        <f>VLOOKUP($A61,'Misc. Data &amp; Mechanisms'!$A$63:$DY$152,HLOOKUP('Service Zone Menu'!$K$5&amp;"_FORTIS_Elec_Y_1",'Misc. Data &amp; Mechanisms'!$A$55:$DY$62,8,FALSE), FALSE)</f>
        <v>0.107</v>
      </c>
      <c r="W61" s="205">
        <f>VLOOKUP($A61,'Misc. Data &amp; Mechanisms'!$A$63:$DY$152,HLOOKUP('Service Zone Menu'!$K$5&amp;"_FORTIS_Elec_Y_2",'Misc. Data &amp; Mechanisms'!$A$55:$DY$62,8,FALSE), FALSE)</f>
        <v>3.7000000000000002E-3</v>
      </c>
      <c r="X61" s="338">
        <f t="shared" si="27"/>
        <v>6.0181133145400389</v>
      </c>
      <c r="Y61" s="333">
        <f t="shared" si="28"/>
        <v>0.20810298377381442</v>
      </c>
      <c r="Z61" s="336">
        <v>-0.3322</v>
      </c>
      <c r="AA61" s="339">
        <v>-1.8E-3</v>
      </c>
      <c r="AB61" s="339"/>
      <c r="AC61" s="1495">
        <v>0.25</v>
      </c>
      <c r="AD61" s="339"/>
      <c r="AE61" s="338">
        <f t="shared" si="29"/>
        <v>-2.1781560200717176</v>
      </c>
      <c r="AF61" s="338">
        <f t="shared" si="30"/>
        <v>-3.9058101020727314E-2</v>
      </c>
      <c r="AG61" s="338">
        <f t="shared" si="31"/>
        <v>1.6391902619443992</v>
      </c>
      <c r="AH61" s="333">
        <f t="shared" si="32"/>
        <v>0</v>
      </c>
      <c r="AI61" s="200">
        <f>IF(OR($I$2="RRO (Capped)",$I$2="RRO (Uncapped)"),VLOOKUP(A61,'Misc. Data &amp; Mechanisms'!$A$1483:$H$1574,4,FALSE),AT61)</f>
        <v>5.36</v>
      </c>
      <c r="AJ61" s="333">
        <f t="shared" si="22"/>
        <v>5.36</v>
      </c>
      <c r="AK61" s="340">
        <f>5%</f>
        <v>0.05</v>
      </c>
      <c r="AL61" s="341">
        <f>'Misc. Data &amp; Mechanisms'!AJ334</f>
        <v>581.86714677751979</v>
      </c>
      <c r="AM61" s="196">
        <f>'Misc. Data &amp; Mechanisms'!AP334</f>
        <v>496.5462033098371</v>
      </c>
      <c r="AN61" s="1087">
        <f>'Misc. Data &amp; Mechanisms'!Q334</f>
        <v>655.67610477775963</v>
      </c>
      <c r="AO61" s="1087">
        <f>'Misc. Data &amp; Mechanisms'!R334</f>
        <v>497.59761992508157</v>
      </c>
      <c r="AP61" s="1087">
        <f>'Misc. Data &amp; Mechanisms'!S334</f>
        <v>368.25534993661773</v>
      </c>
      <c r="AQ61" s="1463">
        <f>'Misc. Data &amp; Mechanisms'!$B$259</f>
        <v>611.34673880086393</v>
      </c>
      <c r="AR61" s="197">
        <f>IFERROR(IF('Personalized Bill Menu'!$B$30="Yes", IF('Personalized Bill Menu'!$B$34="Natural Gas",0,VLOOKUP($A61, 'Personalized Bill Menu'!$H$4:$L$93, 2, FALSE)), 0), 0)</f>
        <v>0</v>
      </c>
      <c r="AS61" s="1343">
        <f>IFERROR(IF('Personalized Bill Menu'!$C$36="Custom", IF('Personalized Bill Menu'!$B$34="Natural Gas",0,VLOOKUP($A61, 'Personalized Bill Menu'!$H$4:$L$93, 3, FALSE)), 0), 0)</f>
        <v>0</v>
      </c>
      <c r="AT61" s="1344">
        <f>IFERROR(IF('Personalized Bill Menu'!$C$36="Custom", IF('Personalized Bill Menu'!$B$34="Natural Gas",0,VLOOKUP($A61, 'Personalized Bill Menu'!$H$4:$L$93, 4, FALSE)), 0), 0)</f>
        <v>0</v>
      </c>
    </row>
    <row r="62" spans="1:49" x14ac:dyDescent="0.35">
      <c r="A62" s="206">
        <v>42583</v>
      </c>
      <c r="B62" s="207">
        <f t="shared" si="0"/>
        <v>31</v>
      </c>
      <c r="C62" s="1581">
        <f t="shared" si="13"/>
        <v>650.4907230286168</v>
      </c>
      <c r="D62" s="178">
        <f t="shared" si="14"/>
        <v>15.719212370248005</v>
      </c>
      <c r="E62" s="178">
        <f t="shared" si="15"/>
        <v>10.9729742115</v>
      </c>
      <c r="F62" s="86">
        <f t="shared" si="16"/>
        <v>102.25201820163002</v>
      </c>
      <c r="G62" s="115">
        <f t="shared" si="17"/>
        <v>30.429956023278695</v>
      </c>
      <c r="H62" s="66">
        <f t="shared" si="18"/>
        <v>21.527339987909045</v>
      </c>
      <c r="I62" s="66">
        <f t="shared" si="1"/>
        <v>34.443103012695921</v>
      </c>
      <c r="J62" s="66">
        <f t="shared" si="19"/>
        <v>6.1959280401669696</v>
      </c>
      <c r="K62" s="66">
        <f t="shared" si="20"/>
        <v>-0.5734525863077593</v>
      </c>
      <c r="L62" s="66">
        <f t="shared" si="21"/>
        <v>5.36</v>
      </c>
      <c r="M62" s="68">
        <f t="shared" si="23"/>
        <v>4.8691437238871442</v>
      </c>
      <c r="N62" s="273">
        <f>IF($I$2="RRO (Capped)",VLOOKUP(A62,'Misc. Data &amp; Mechanisms'!$A$1278:$E$1368,4,FALSE),IF($I$2="RRO (Uncapped)",VLOOKUP(A62,'Misc. Data &amp; Mechanisms'!$G$1278:$K$1368,4,FALSE),AS62))</f>
        <v>4.6779999999999999</v>
      </c>
      <c r="O62" s="333">
        <f t="shared" si="3"/>
        <v>30.429956023278695</v>
      </c>
      <c r="P62" s="336">
        <v>3.3094000000000001</v>
      </c>
      <c r="Q62" s="333">
        <f t="shared" si="24"/>
        <v>21.527339987909045</v>
      </c>
      <c r="R62" s="337">
        <v>1.9671000000000001</v>
      </c>
      <c r="S62" s="337">
        <v>0.69830000000000003</v>
      </c>
      <c r="T62" s="338">
        <f t="shared" si="25"/>
        <v>12.795803012695922</v>
      </c>
      <c r="U62" s="333">
        <f t="shared" si="26"/>
        <v>21.647300000000001</v>
      </c>
      <c r="V62" s="205">
        <f>VLOOKUP($A62,'Misc. Data &amp; Mechanisms'!$A$63:$DY$152,HLOOKUP('Service Zone Menu'!$K$5&amp;"_FORTIS_Elec_Y_1",'Misc. Data &amp; Mechanisms'!$A$55:$DY$62,8,FALSE), FALSE)</f>
        <v>0.107</v>
      </c>
      <c r="W62" s="205">
        <f>VLOOKUP($A62,'Misc. Data &amp; Mechanisms'!$A$63:$DY$152,HLOOKUP('Service Zone Menu'!$K$5&amp;"_FORTIS_Elec_Y_2",'Misc. Data &amp; Mechanisms'!$A$55:$DY$62,8,FALSE), FALSE)</f>
        <v>3.7000000000000002E-3</v>
      </c>
      <c r="X62" s="338">
        <f t="shared" si="27"/>
        <v>5.9888374010647309</v>
      </c>
      <c r="Y62" s="333">
        <f t="shared" si="28"/>
        <v>0.20709063910223838</v>
      </c>
      <c r="Z62" s="336">
        <v>-0.3322</v>
      </c>
      <c r="AA62" s="339">
        <v>-1.8E-3</v>
      </c>
      <c r="AB62" s="339"/>
      <c r="AC62" s="1495">
        <v>0.25</v>
      </c>
      <c r="AD62" s="339"/>
      <c r="AE62" s="338">
        <f t="shared" si="29"/>
        <v>-2.1609301819010649</v>
      </c>
      <c r="AF62" s="338">
        <f t="shared" si="30"/>
        <v>-3.8749211978236282E-2</v>
      </c>
      <c r="AG62" s="338">
        <f t="shared" si="31"/>
        <v>1.626226807571542</v>
      </c>
      <c r="AH62" s="333">
        <f t="shared" si="32"/>
        <v>0</v>
      </c>
      <c r="AI62" s="200">
        <f>IF(OR($I$2="RRO (Capped)",$I$2="RRO (Uncapped)"),VLOOKUP(A62,'Misc. Data &amp; Mechanisms'!$A$1483:$H$1574,4,FALSE),AT62)</f>
        <v>5.36</v>
      </c>
      <c r="AJ62" s="333">
        <f t="shared" si="22"/>
        <v>5.36</v>
      </c>
      <c r="AK62" s="340">
        <f>5%</f>
        <v>0.05</v>
      </c>
      <c r="AL62" s="341">
        <f>'Misc. Data &amp; Mechanisms'!AJ335</f>
        <v>577.2654794888382</v>
      </c>
      <c r="AM62" s="196">
        <f>'Misc. Data &amp; Mechanisms'!AP335</f>
        <v>493.10472071796244</v>
      </c>
      <c r="AN62" s="1087">
        <f>'Misc. Data &amp; Mechanisms'!Q335</f>
        <v>650.4907230286168</v>
      </c>
      <c r="AO62" s="1087">
        <f>'Misc. Data &amp; Mechanisms'!R335</f>
        <v>493.66239398353076</v>
      </c>
      <c r="AP62" s="1087">
        <f>'Misc. Data &amp; Mechanisms'!S335</f>
        <v>365.34302088166032</v>
      </c>
      <c r="AQ62" s="1463">
        <f>'Misc. Data &amp; Mechanisms'!$B$259</f>
        <v>611.34673880086393</v>
      </c>
      <c r="AR62" s="197">
        <f>IFERROR(IF('Personalized Bill Menu'!$B$30="Yes", IF('Personalized Bill Menu'!$B$34="Natural Gas",0,VLOOKUP($A62, 'Personalized Bill Menu'!$H$4:$L$93, 2, FALSE)), 0), 0)</f>
        <v>0</v>
      </c>
      <c r="AS62" s="1343">
        <f>IFERROR(IF('Personalized Bill Menu'!$C$36="Custom", IF('Personalized Bill Menu'!$B$34="Natural Gas",0,VLOOKUP($A62, 'Personalized Bill Menu'!$H$4:$L$93, 3, FALSE)), 0), 0)</f>
        <v>0</v>
      </c>
      <c r="AT62" s="1344">
        <f>IFERROR(IF('Personalized Bill Menu'!$C$36="Custom", IF('Personalized Bill Menu'!$B$34="Natural Gas",0,VLOOKUP($A62, 'Personalized Bill Menu'!$H$4:$L$93, 4, FALSE)), 0), 0)</f>
        <v>0</v>
      </c>
    </row>
    <row r="63" spans="1:49" x14ac:dyDescent="0.35">
      <c r="A63" s="206">
        <v>42614</v>
      </c>
      <c r="B63" s="207">
        <f t="shared" si="0"/>
        <v>30</v>
      </c>
      <c r="C63" s="1581">
        <f t="shared" si="13"/>
        <v>605.04943141553122</v>
      </c>
      <c r="D63" s="178">
        <f t="shared" si="14"/>
        <v>15.132573585575107</v>
      </c>
      <c r="E63" s="178">
        <f t="shared" si="15"/>
        <v>10.1644742115</v>
      </c>
      <c r="F63" s="86">
        <f t="shared" si="16"/>
        <v>91.559550438059048</v>
      </c>
      <c r="G63" s="115">
        <f t="shared" si="17"/>
        <v>23.645331779718958</v>
      </c>
      <c r="H63" s="66">
        <f t="shared" si="18"/>
        <v>20.023505883265589</v>
      </c>
      <c r="I63" s="66">
        <f t="shared" si="1"/>
        <v>32.850927365374915</v>
      </c>
      <c r="J63" s="66">
        <f t="shared" si="19"/>
        <v>5.853199760624503</v>
      </c>
      <c r="K63" s="66">
        <f t="shared" si="20"/>
        <v>-0.53339294321344477</v>
      </c>
      <c r="L63" s="66">
        <f t="shared" si="21"/>
        <v>5.36</v>
      </c>
      <c r="M63" s="68">
        <f t="shared" si="23"/>
        <v>4.3599785922885266</v>
      </c>
      <c r="N63" s="273">
        <f>IF($I$2="RRO (Capped)",VLOOKUP(A63,'Misc. Data &amp; Mechanisms'!$A$1278:$E$1368,4,FALSE),IF($I$2="RRO (Uncapped)",VLOOKUP(A63,'Misc. Data &amp; Mechanisms'!$G$1278:$K$1368,4,FALSE),AS63))</f>
        <v>3.9079999999999999</v>
      </c>
      <c r="O63" s="333">
        <f t="shared" si="3"/>
        <v>23.645331779718958</v>
      </c>
      <c r="P63" s="336">
        <v>3.3094000000000001</v>
      </c>
      <c r="Q63" s="333">
        <f t="shared" si="24"/>
        <v>20.023505883265589</v>
      </c>
      <c r="R63" s="337">
        <v>1.9671000000000001</v>
      </c>
      <c r="S63" s="337">
        <v>0.69830000000000003</v>
      </c>
      <c r="T63" s="338">
        <f t="shared" si="25"/>
        <v>11.901927365374915</v>
      </c>
      <c r="U63" s="333">
        <f t="shared" si="26"/>
        <v>20.949000000000002</v>
      </c>
      <c r="V63" s="205">
        <f>VLOOKUP($A63,'Misc. Data &amp; Mechanisms'!$A$63:$DY$152,HLOOKUP('Service Zone Menu'!$K$5&amp;"_FORTIS_Elec_Y_1",'Misc. Data &amp; Mechanisms'!$A$55:$DY$62,8,FALSE), FALSE)</f>
        <v>0.107</v>
      </c>
      <c r="W63" s="205">
        <f>VLOOKUP($A63,'Misc. Data &amp; Mechanisms'!$A$63:$DY$152,HLOOKUP('Service Zone Menu'!$K$5&amp;"_FORTIS_Elec_Y_2",'Misc. Data &amp; Mechanisms'!$A$55:$DY$62,8,FALSE), FALSE)</f>
        <v>3.7000000000000002E-3</v>
      </c>
      <c r="X63" s="338">
        <f t="shared" si="27"/>
        <v>5.6575643576045334</v>
      </c>
      <c r="Y63" s="333">
        <f t="shared" si="28"/>
        <v>0.19563540301996987</v>
      </c>
      <c r="Z63" s="336">
        <v>-0.3322</v>
      </c>
      <c r="AA63" s="339">
        <v>-1.8E-3</v>
      </c>
      <c r="AB63" s="339"/>
      <c r="AC63" s="1495">
        <v>0.25</v>
      </c>
      <c r="AD63" s="339"/>
      <c r="AE63" s="338">
        <f t="shared" si="29"/>
        <v>-2.0099742111623948</v>
      </c>
      <c r="AF63" s="338">
        <f t="shared" si="30"/>
        <v>-3.6042310589878057E-2</v>
      </c>
      <c r="AG63" s="338">
        <f t="shared" si="31"/>
        <v>1.512623578538828</v>
      </c>
      <c r="AH63" s="333">
        <f t="shared" si="32"/>
        <v>0</v>
      </c>
      <c r="AI63" s="200">
        <f>IF(OR($I$2="RRO (Capped)",$I$2="RRO (Uncapped)"),VLOOKUP(A63,'Misc. Data &amp; Mechanisms'!$A$1483:$H$1574,4,FALSE),AT63)</f>
        <v>5.36</v>
      </c>
      <c r="AJ63" s="333">
        <f t="shared" si="22"/>
        <v>5.36</v>
      </c>
      <c r="AK63" s="340">
        <f>5%</f>
        <v>0.05</v>
      </c>
      <c r="AL63" s="341">
        <f>'Misc. Data &amp; Mechanisms'!AJ336</f>
        <v>536.93947934315133</v>
      </c>
      <c r="AM63" s="196">
        <f>'Misc. Data &amp; Mechanisms'!AP336</f>
        <v>464.23220536010018</v>
      </c>
      <c r="AN63" s="1087">
        <f>'Misc. Data &amp; Mechanisms'!Q336</f>
        <v>605.04943141553122</v>
      </c>
      <c r="AO63" s="1087">
        <f>'Misc. Data &amp; Mechanisms'!R336</f>
        <v>459.1766495920113</v>
      </c>
      <c r="AP63" s="1087">
        <f>'Misc. Data &amp; Mechanisms'!S336</f>
        <v>339.82127527798201</v>
      </c>
      <c r="AQ63" s="1463">
        <f>'Misc. Data &amp; Mechanisms'!$B$259</f>
        <v>611.34673880086393</v>
      </c>
      <c r="AR63" s="197">
        <f>IFERROR(IF('Personalized Bill Menu'!$B$30="Yes", IF('Personalized Bill Menu'!$B$34="Natural Gas",0,VLOOKUP($A63, 'Personalized Bill Menu'!$H$4:$L$93, 2, FALSE)), 0), 0)</f>
        <v>0</v>
      </c>
      <c r="AS63" s="1343">
        <f>IFERROR(IF('Personalized Bill Menu'!$C$36="Custom", IF('Personalized Bill Menu'!$B$34="Natural Gas",0,VLOOKUP($A63, 'Personalized Bill Menu'!$H$4:$L$93, 3, FALSE)), 0), 0)</f>
        <v>0</v>
      </c>
      <c r="AT63" s="1344">
        <f>IFERROR(IF('Personalized Bill Menu'!$C$36="Custom", IF('Personalized Bill Menu'!$B$34="Natural Gas",0,VLOOKUP($A63, 'Personalized Bill Menu'!$H$4:$L$93, 4, FALSE)), 0), 0)</f>
        <v>0</v>
      </c>
    </row>
    <row r="64" spans="1:49" x14ac:dyDescent="0.35">
      <c r="A64" s="206">
        <v>42644</v>
      </c>
      <c r="B64" s="207">
        <f t="shared" si="0"/>
        <v>31</v>
      </c>
      <c r="C64" s="1581">
        <f t="shared" si="13"/>
        <v>707.16375630577431</v>
      </c>
      <c r="D64" s="178">
        <f t="shared" si="14"/>
        <v>13.870114672431965</v>
      </c>
      <c r="E64" s="178">
        <f t="shared" si="15"/>
        <v>9.4819742115000007</v>
      </c>
      <c r="F64" s="86">
        <f t="shared" si="16"/>
        <v>98.084423921488224</v>
      </c>
      <c r="G64" s="115">
        <f t="shared" si="17"/>
        <v>31.009130714008204</v>
      </c>
      <c r="H64" s="66">
        <f t="shared" si="18"/>
        <v>23.402877351183292</v>
      </c>
      <c r="I64" s="66">
        <f t="shared" si="1"/>
        <v>35.557918250290889</v>
      </c>
      <c r="J64" s="66">
        <f t="shared" si="19"/>
        <v>6.5269600730831918</v>
      </c>
      <c r="K64" s="66">
        <f t="shared" si="20"/>
        <v>-8.5931493204815528</v>
      </c>
      <c r="L64" s="66">
        <f t="shared" si="21"/>
        <v>5.51</v>
      </c>
      <c r="M64" s="68">
        <f t="shared" si="23"/>
        <v>4.6706868534042014</v>
      </c>
      <c r="N64" s="273">
        <f>IF($I$2="RRO (Capped)",VLOOKUP(A64,'Misc. Data &amp; Mechanisms'!$A$1278:$E$1368,4,FALSE),IF($I$2="RRO (Uncapped)",VLOOKUP(A64,'Misc. Data &amp; Mechanisms'!$G$1278:$K$1368,4,FALSE),AS64))</f>
        <v>4.3849999999999998</v>
      </c>
      <c r="O64" s="333">
        <f t="shared" si="3"/>
        <v>31.009130714008204</v>
      </c>
      <c r="P64" s="336">
        <v>3.3094000000000001</v>
      </c>
      <c r="Q64" s="333">
        <f t="shared" si="24"/>
        <v>23.402877351183292</v>
      </c>
      <c r="R64" s="337">
        <v>1.9671000000000001</v>
      </c>
      <c r="S64" s="337">
        <v>0.69830000000000003</v>
      </c>
      <c r="T64" s="338">
        <f t="shared" si="25"/>
        <v>13.910618250290888</v>
      </c>
      <c r="U64" s="333">
        <f t="shared" si="26"/>
        <v>21.647300000000001</v>
      </c>
      <c r="V64" s="205">
        <f>VLOOKUP($A64,'Misc. Data &amp; Mechanisms'!$A$63:$DY$152,HLOOKUP('Service Zone Menu'!$K$5&amp;"_FORTIS_Elec_Y_1",'Misc. Data &amp; Mechanisms'!$A$55:$DY$62,8,FALSE), FALSE)</f>
        <v>0.107</v>
      </c>
      <c r="W64" s="205">
        <f>VLOOKUP($A64,'Misc. Data &amp; Mechanisms'!$A$63:$DY$152,HLOOKUP('Service Zone Menu'!$K$5&amp;"_FORTIS_Elec_Y_2",'Misc. Data &amp; Mechanisms'!$A$55:$DY$62,8,FALSE), FALSE)</f>
        <v>3.7000000000000002E-3</v>
      </c>
      <c r="X64" s="338">
        <f t="shared" si="27"/>
        <v>6.3088051293577374</v>
      </c>
      <c r="Y64" s="333">
        <f t="shared" si="28"/>
        <v>0.21815494372545449</v>
      </c>
      <c r="Z64" s="336">
        <v>-0.3322</v>
      </c>
      <c r="AA64" s="339">
        <v>-1.8E-3</v>
      </c>
      <c r="AB64" s="339"/>
      <c r="AC64" s="1495">
        <v>-0.877</v>
      </c>
      <c r="AD64" s="339"/>
      <c r="AE64" s="338">
        <f t="shared" si="29"/>
        <v>-2.349197998447782</v>
      </c>
      <c r="AF64" s="338">
        <f t="shared" si="30"/>
        <v>-4.2125179232129925E-2</v>
      </c>
      <c r="AG64" s="338">
        <f t="shared" si="31"/>
        <v>-6.2018261428016404</v>
      </c>
      <c r="AH64" s="333">
        <f t="shared" si="32"/>
        <v>0</v>
      </c>
      <c r="AI64" s="200">
        <f>IF(OR($I$2="RRO (Capped)",$I$2="RRO (Uncapped)"),VLOOKUP(A64,'Misc. Data &amp; Mechanisms'!$A$1483:$H$1574,4,FALSE),AT64)</f>
        <v>5.51</v>
      </c>
      <c r="AJ64" s="333">
        <f t="shared" si="22"/>
        <v>5.51</v>
      </c>
      <c r="AK64" s="340">
        <f>5%</f>
        <v>0.05</v>
      </c>
      <c r="AL64" s="341">
        <f>'Misc. Data &amp; Mechanisms'!AJ337</f>
        <v>627.55887272357313</v>
      </c>
      <c r="AM64" s="196">
        <f>'Misc. Data &amp; Mechanisms'!AP337</f>
        <v>535.8640004402896</v>
      </c>
      <c r="AN64" s="1087">
        <f>'Misc. Data &amp; Mechanisms'!Q337</f>
        <v>707.16375630577431</v>
      </c>
      <c r="AO64" s="1087">
        <f>'Misc. Data &amp; Mechanisms'!R337</f>
        <v>536.67199318526934</v>
      </c>
      <c r="AP64" s="1087">
        <f>'Misc. Data &amp; Mechanisms'!S337</f>
        <v>397.17298624012517</v>
      </c>
      <c r="AQ64" s="1463">
        <f>'Misc. Data &amp; Mechanisms'!$B$259</f>
        <v>611.34673880086393</v>
      </c>
      <c r="AR64" s="197">
        <f>IFERROR(IF('Personalized Bill Menu'!$B$30="Yes", IF('Personalized Bill Menu'!$B$34="Natural Gas",0,VLOOKUP($A64, 'Personalized Bill Menu'!$H$4:$L$93, 2, FALSE)), 0), 0)</f>
        <v>0</v>
      </c>
      <c r="AS64" s="1343">
        <f>IFERROR(IF('Personalized Bill Menu'!$C$36="Custom", IF('Personalized Bill Menu'!$B$34="Natural Gas",0,VLOOKUP($A64, 'Personalized Bill Menu'!$H$4:$L$93, 3, FALSE)), 0), 0)</f>
        <v>0</v>
      </c>
      <c r="AT64" s="1344">
        <f>IFERROR(IF('Personalized Bill Menu'!$C$36="Custom", IF('Personalized Bill Menu'!$B$34="Natural Gas",0,VLOOKUP($A64, 'Personalized Bill Menu'!$H$4:$L$93, 4, FALSE)), 0), 0)</f>
        <v>0</v>
      </c>
    </row>
    <row r="65" spans="1:46" x14ac:dyDescent="0.35">
      <c r="A65" s="206">
        <v>42675</v>
      </c>
      <c r="B65" s="207">
        <f t="shared" si="0"/>
        <v>30</v>
      </c>
      <c r="C65" s="1581">
        <f t="shared" si="13"/>
        <v>707.83268119350339</v>
      </c>
      <c r="D65" s="178">
        <f t="shared" si="14"/>
        <v>13.014864854937098</v>
      </c>
      <c r="E65" s="178">
        <f t="shared" si="15"/>
        <v>8.7459242115000002</v>
      </c>
      <c r="F65" s="86">
        <f t="shared" si="16"/>
        <v>92.123466856412236</v>
      </c>
      <c r="G65" s="115">
        <f t="shared" si="17"/>
        <v>26.076555975168667</v>
      </c>
      <c r="H65" s="66">
        <f t="shared" si="18"/>
        <v>23.425014751417802</v>
      </c>
      <c r="I65" s="66">
        <f t="shared" si="1"/>
        <v>34.872776671757407</v>
      </c>
      <c r="J65" s="66">
        <f t="shared" si="19"/>
        <v>6.4535655105454959</v>
      </c>
      <c r="K65" s="66">
        <f t="shared" si="20"/>
        <v>-8.6012778075443954</v>
      </c>
      <c r="L65" s="66">
        <f t="shared" si="21"/>
        <v>5.51</v>
      </c>
      <c r="M65" s="68">
        <f t="shared" si="23"/>
        <v>4.3868317550672495</v>
      </c>
      <c r="N65" s="273">
        <f>IF($I$2="RRO (Capped)",VLOOKUP(A65,'Misc. Data &amp; Mechanisms'!$A$1278:$E$1368,4,FALSE),IF($I$2="RRO (Uncapped)",VLOOKUP(A65,'Misc. Data &amp; Mechanisms'!$G$1278:$K$1368,4,FALSE),AS65))</f>
        <v>3.6840000000000002</v>
      </c>
      <c r="O65" s="333">
        <f t="shared" si="3"/>
        <v>26.076555975168667</v>
      </c>
      <c r="P65" s="336">
        <v>3.3094000000000001</v>
      </c>
      <c r="Q65" s="333">
        <f t="shared" si="24"/>
        <v>23.425014751417802</v>
      </c>
      <c r="R65" s="337">
        <v>1.9671000000000001</v>
      </c>
      <c r="S65" s="337">
        <v>0.69830000000000003</v>
      </c>
      <c r="T65" s="338">
        <f t="shared" si="25"/>
        <v>13.923776671757405</v>
      </c>
      <c r="U65" s="333">
        <f t="shared" si="26"/>
        <v>20.949000000000002</v>
      </c>
      <c r="V65" s="205">
        <f>VLOOKUP($A65,'Misc. Data &amp; Mechanisms'!$A$63:$DY$152,HLOOKUP('Service Zone Menu'!$K$5&amp;"_FORTIS_Elec_Y_1",'Misc. Data &amp; Mechanisms'!$A$55:$DY$62,8,FALSE), FALSE)</f>
        <v>0.107</v>
      </c>
      <c r="W65" s="205">
        <f>VLOOKUP($A65,'Misc. Data &amp; Mechanisms'!$A$63:$DY$152,HLOOKUP('Service Zone Menu'!$K$5&amp;"_FORTIS_Elec_Y_2",'Misc. Data &amp; Mechanisms'!$A$55:$DY$62,8,FALSE), FALSE)</f>
        <v>3.7000000000000002E-3</v>
      </c>
      <c r="X65" s="338">
        <f t="shared" si="27"/>
        <v>6.2378636822797473</v>
      </c>
      <c r="Y65" s="333">
        <f t="shared" si="28"/>
        <v>0.2157018282657483</v>
      </c>
      <c r="Z65" s="336">
        <v>-0.3322</v>
      </c>
      <c r="AA65" s="339">
        <v>-1.8E-3</v>
      </c>
      <c r="AB65" s="339"/>
      <c r="AC65" s="1495">
        <v>-0.877</v>
      </c>
      <c r="AD65" s="339"/>
      <c r="AE65" s="338">
        <f t="shared" si="29"/>
        <v>-2.351420166924818</v>
      </c>
      <c r="AF65" s="338">
        <f t="shared" si="30"/>
        <v>-4.216502655255204E-2</v>
      </c>
      <c r="AG65" s="338">
        <f t="shared" si="31"/>
        <v>-6.2076926140670246</v>
      </c>
      <c r="AH65" s="333">
        <f t="shared" si="32"/>
        <v>0</v>
      </c>
      <c r="AI65" s="200">
        <f>IF(OR($I$2="RRO (Capped)",$I$2="RRO (Uncapped)"),VLOOKUP(A65,'Misc. Data &amp; Mechanisms'!$A$1483:$H$1574,4,FALSE),AT65)</f>
        <v>5.51</v>
      </c>
      <c r="AJ65" s="333">
        <f t="shared" si="22"/>
        <v>5.51</v>
      </c>
      <c r="AK65" s="340">
        <f>5%</f>
        <v>0.05</v>
      </c>
      <c r="AL65" s="341">
        <f>'Misc. Data &amp; Mechanisms'!AJ338</f>
        <v>628.1524972479308</v>
      </c>
      <c r="AM65" s="196">
        <f>'Misc. Data &amp; Mechanisms'!AP338</f>
        <v>545.76078106645616</v>
      </c>
      <c r="AN65" s="1087">
        <f>'Misc. Data &amp; Mechanisms'!Q338</f>
        <v>707.83268119350339</v>
      </c>
      <c r="AO65" s="1087">
        <f>'Misc. Data &amp; Mechanisms'!R338</f>
        <v>537.17964540809271</v>
      </c>
      <c r="AP65" s="1087">
        <f>'Misc. Data &amp; Mechanisms'!S338</f>
        <v>397.54868266526097</v>
      </c>
      <c r="AQ65" s="1463">
        <f>'Misc. Data &amp; Mechanisms'!$B$259</f>
        <v>611.34673880086393</v>
      </c>
      <c r="AR65" s="197">
        <f>IFERROR(IF('Personalized Bill Menu'!$B$30="Yes", IF('Personalized Bill Menu'!$B$34="Natural Gas",0,VLOOKUP($A65, 'Personalized Bill Menu'!$H$4:$L$93, 2, FALSE)), 0), 0)</f>
        <v>0</v>
      </c>
      <c r="AS65" s="1343">
        <f>IFERROR(IF('Personalized Bill Menu'!$C$36="Custom", IF('Personalized Bill Menu'!$B$34="Natural Gas",0,VLOOKUP($A65, 'Personalized Bill Menu'!$H$4:$L$93, 3, FALSE)), 0), 0)</f>
        <v>0</v>
      </c>
      <c r="AT65" s="1344">
        <f>IFERROR(IF('Personalized Bill Menu'!$C$36="Custom", IF('Personalized Bill Menu'!$B$34="Natural Gas",0,VLOOKUP($A65, 'Personalized Bill Menu'!$H$4:$L$93, 4, FALSE)), 0), 0)</f>
        <v>0</v>
      </c>
    </row>
    <row r="66" spans="1:46" x14ac:dyDescent="0.35">
      <c r="A66" s="229">
        <v>42705</v>
      </c>
      <c r="B66" s="230">
        <f t="shared" si="0"/>
        <v>31</v>
      </c>
      <c r="C66" s="231">
        <f t="shared" si="13"/>
        <v>949.65787533406547</v>
      </c>
      <c r="D66" s="208">
        <f t="shared" si="14"/>
        <v>12.266607716311823</v>
      </c>
      <c r="E66" s="208">
        <f t="shared" si="15"/>
        <v>8.9989742115000002</v>
      </c>
      <c r="F66" s="342">
        <f t="shared" si="16"/>
        <v>116.4908062142914</v>
      </c>
      <c r="G66" s="343">
        <f t="shared" si="17"/>
        <v>37.274071606862073</v>
      </c>
      <c r="H66" s="344">
        <f t="shared" si="18"/>
        <v>31.42797772630556</v>
      </c>
      <c r="I66" s="344">
        <f t="shared" si="1"/>
        <v>40.328020065696407</v>
      </c>
      <c r="J66" s="344">
        <f t="shared" si="19"/>
        <v>7.9433889555746173</v>
      </c>
      <c r="K66" s="344">
        <f t="shared" si="20"/>
        <v>-11.539833388446869</v>
      </c>
      <c r="L66" s="344">
        <f t="shared" si="21"/>
        <v>5.51</v>
      </c>
      <c r="M66" s="345">
        <f t="shared" si="23"/>
        <v>5.5471812482995908</v>
      </c>
      <c r="N66" s="1243">
        <f>IF($I$2="RRO (Capped)",VLOOKUP(A66,'Misc. Data &amp; Mechanisms'!$A$1278:$E$1368,4,FALSE),IF($I$2="RRO (Uncapped)",VLOOKUP(A66,'Misc. Data &amp; Mechanisms'!$G$1278:$K$1368,4,FALSE),AS66))</f>
        <v>3.9249999999999998</v>
      </c>
      <c r="O66" s="346">
        <f t="shared" si="3"/>
        <v>37.274071606862073</v>
      </c>
      <c r="P66" s="347">
        <v>3.3094000000000001</v>
      </c>
      <c r="Q66" s="346">
        <f t="shared" si="24"/>
        <v>31.42797772630556</v>
      </c>
      <c r="R66" s="348">
        <v>1.9671000000000001</v>
      </c>
      <c r="S66" s="348">
        <v>0.69830000000000003</v>
      </c>
      <c r="T66" s="349">
        <f t="shared" si="25"/>
        <v>18.680720065696402</v>
      </c>
      <c r="U66" s="346">
        <f t="shared" si="26"/>
        <v>21.647300000000001</v>
      </c>
      <c r="V66" s="246">
        <f>VLOOKUP($A66,'Misc. Data &amp; Mechanisms'!$A$63:$DY$152,HLOOKUP('Service Zone Menu'!$K$5&amp;"_FORTIS_Elec_Y_1",'Misc. Data &amp; Mechanisms'!$A$55:$DY$62,8,FALSE), FALSE)</f>
        <v>0.107</v>
      </c>
      <c r="W66" s="246">
        <f>VLOOKUP($A66,'Misc. Data &amp; Mechanisms'!$A$63:$DY$152,HLOOKUP('Service Zone Menu'!$K$5&amp;"_FORTIS_Elec_Y_2",'Misc. Data &amp; Mechanisms'!$A$55:$DY$62,8,FALSE), FALSE)</f>
        <v>3.7000000000000002E-3</v>
      </c>
      <c r="X66" s="349">
        <f t="shared" si="27"/>
        <v>7.6778917637442099</v>
      </c>
      <c r="Y66" s="346">
        <f t="shared" si="28"/>
        <v>0.26549719183040726</v>
      </c>
      <c r="Z66" s="347">
        <v>-0.3322</v>
      </c>
      <c r="AA66" s="350">
        <v>-1.8E-3</v>
      </c>
      <c r="AB66" s="350"/>
      <c r="AC66" s="1496">
        <v>-0.877</v>
      </c>
      <c r="AD66" s="350"/>
      <c r="AE66" s="349">
        <f t="shared" si="29"/>
        <v>-3.1547634618597655</v>
      </c>
      <c r="AF66" s="349">
        <f t="shared" si="30"/>
        <v>-5.6570359907350008E-2</v>
      </c>
      <c r="AG66" s="349">
        <f t="shared" si="31"/>
        <v>-8.3284995666797546</v>
      </c>
      <c r="AH66" s="346">
        <f t="shared" si="32"/>
        <v>0</v>
      </c>
      <c r="AI66" s="239">
        <f>IF(OR($I$2="RRO (Capped)",$I$2="RRO (Uncapped)"),VLOOKUP(A66,'Misc. Data &amp; Mechanisms'!$A$1483:$H$1574,4,FALSE),AT66)</f>
        <v>5.51</v>
      </c>
      <c r="AJ66" s="346">
        <f t="shared" si="22"/>
        <v>5.51</v>
      </c>
      <c r="AK66" s="351">
        <f>5%</f>
        <v>0.05</v>
      </c>
      <c r="AL66" s="352">
        <f>'Misc. Data &amp; Mechanisms'!AJ339</f>
        <v>842.75561410420562</v>
      </c>
      <c r="AM66" s="1089">
        <f>'Misc. Data &amp; Mechanisms'!AP339</f>
        <v>706.39002250825104</v>
      </c>
      <c r="AN66" s="1089">
        <f>'Misc. Data &amp; Mechanisms'!Q339</f>
        <v>949.65787533406547</v>
      </c>
      <c r="AO66" s="1089">
        <f>'Misc. Data &amp; Mechanisms'!R339</f>
        <v>720.7026381867463</v>
      </c>
      <c r="AP66" s="1089">
        <f>'Misc. Data &amp; Mechanisms'!S339</f>
        <v>533.3679093273455</v>
      </c>
      <c r="AQ66" s="1464">
        <f>'Misc. Data &amp; Mechanisms'!$B$259</f>
        <v>611.34673880086393</v>
      </c>
      <c r="AR66" s="243">
        <f>IFERROR(IF('Personalized Bill Menu'!$B$30="Yes", IF('Personalized Bill Menu'!$B$34="Natural Gas",0,VLOOKUP($A66, 'Personalized Bill Menu'!$H$4:$L$93, 2, FALSE)), 0), 0)</f>
        <v>0</v>
      </c>
      <c r="AS66" s="1345">
        <f>IFERROR(IF('Personalized Bill Menu'!$C$36="Custom", IF('Personalized Bill Menu'!$B$34="Natural Gas",0,VLOOKUP($A66, 'Personalized Bill Menu'!$H$4:$L$93, 3, FALSE)), 0), 0)</f>
        <v>0</v>
      </c>
      <c r="AT66" s="1346">
        <f>IFERROR(IF('Personalized Bill Menu'!$C$36="Custom", IF('Personalized Bill Menu'!$B$34="Natural Gas",0,VLOOKUP($A66, 'Personalized Bill Menu'!$H$4:$L$93, 4, FALSE)), 0), 0)</f>
        <v>0</v>
      </c>
    </row>
    <row r="67" spans="1:46" x14ac:dyDescent="0.35">
      <c r="A67" s="206">
        <v>42736</v>
      </c>
      <c r="B67" s="207">
        <f t="shared" si="0"/>
        <v>31</v>
      </c>
      <c r="C67" s="212">
        <f t="shared" si="13"/>
        <v>864.41483781204397</v>
      </c>
      <c r="D67" s="178">
        <f t="shared" si="14"/>
        <v>14.47176665732232</v>
      </c>
      <c r="E67" s="178">
        <f t="shared" si="15"/>
        <v>10.8819001305</v>
      </c>
      <c r="F67" s="86">
        <f t="shared" si="16"/>
        <v>125.09609827943018</v>
      </c>
      <c r="G67" s="115">
        <f t="shared" si="17"/>
        <v>35.060665821656499</v>
      </c>
      <c r="H67" s="66">
        <f t="shared" si="18"/>
        <v>31.991128732585935</v>
      </c>
      <c r="I67" s="66">
        <f t="shared" si="1"/>
        <v>38.651204274600715</v>
      </c>
      <c r="J67" s="66">
        <f t="shared" si="19"/>
        <v>7.8201062638955623</v>
      </c>
      <c r="K67" s="66">
        <f t="shared" si="20"/>
        <v>0.10603612576621124</v>
      </c>
      <c r="L67" s="66">
        <f t="shared" si="21"/>
        <v>5.51</v>
      </c>
      <c r="M67" s="68">
        <f t="shared" si="23"/>
        <v>5.9569570609252471</v>
      </c>
      <c r="N67" s="273">
        <f>IF($I$2="RRO (Capped)",VLOOKUP(A67,'Misc. Data &amp; Mechanisms'!$A$1278:$E$1368,4,FALSE),IF($I$2="RRO (Uncapped)",VLOOKUP(A67,'Misc. Data &amp; Mechanisms'!$G$1278:$K$1368,4,FALSE),AS67))</f>
        <v>4.056</v>
      </c>
      <c r="O67" s="333">
        <f t="shared" si="3"/>
        <v>35.060665821656499</v>
      </c>
      <c r="P67" s="336">
        <v>3.7008999999999999</v>
      </c>
      <c r="Q67" s="333">
        <f t="shared" si="24"/>
        <v>31.991128732585935</v>
      </c>
      <c r="R67" s="337">
        <v>1.9671000000000001</v>
      </c>
      <c r="S67" s="337">
        <v>0.69830000000000003</v>
      </c>
      <c r="T67" s="338">
        <f t="shared" si="25"/>
        <v>17.003904274600718</v>
      </c>
      <c r="U67" s="333">
        <f t="shared" si="26"/>
        <v>21.647300000000001</v>
      </c>
      <c r="V67" s="205">
        <f>VLOOKUP($A67,'Misc. Data &amp; Mechanisms'!$A$63:$DY$152,HLOOKUP('Service Zone Menu'!$K$5&amp;"_FORTIS_Elec_Y_1",'Misc. Data &amp; Mechanisms'!$A$55:$DY$62,8,FALSE), FALSE)</f>
        <v>0.107</v>
      </c>
      <c r="W67" s="205">
        <f>VLOOKUP($A67,'Misc. Data &amp; Mechanisms'!$A$63:$DY$152,HLOOKUP('Service Zone Menu'!$K$5&amp;"_FORTIS_Elec_Y_2",'Misc. Data &amp; Mechanisms'!$A$55:$DY$62,8,FALSE), FALSE)</f>
        <v>3.7000000000000002E-3</v>
      </c>
      <c r="X67" s="338">
        <f t="shared" si="27"/>
        <v>7.5587296317689718</v>
      </c>
      <c r="Y67" s="333">
        <f t="shared" si="28"/>
        <v>0.26137663212659062</v>
      </c>
      <c r="Z67" s="336">
        <v>0.1129</v>
      </c>
      <c r="AA67" s="339">
        <v>4.0899999999999999E-2</v>
      </c>
      <c r="AB67" s="339"/>
      <c r="AC67" s="1495">
        <v>-0.252</v>
      </c>
      <c r="AD67" s="339"/>
      <c r="AE67" s="338">
        <f t="shared" si="29"/>
        <v>0.97592435188979765</v>
      </c>
      <c r="AF67" s="338">
        <f t="shared" si="30"/>
        <v>1.3084371651627646</v>
      </c>
      <c r="AG67" s="338">
        <f t="shared" si="31"/>
        <v>-2.1783253912863509</v>
      </c>
      <c r="AH67" s="333">
        <f t="shared" si="32"/>
        <v>0</v>
      </c>
      <c r="AI67" s="200">
        <f>IF(OR($I$2="RRO (Capped)",$I$2="RRO (Uncapped)"),VLOOKUP(A67,'Misc. Data &amp; Mechanisms'!$A$1483:$H$1574,4,FALSE),AT67)</f>
        <v>5.51</v>
      </c>
      <c r="AJ67" s="333">
        <f t="shared" si="22"/>
        <v>5.51</v>
      </c>
      <c r="AK67" s="340">
        <f>5%</f>
        <v>0.05</v>
      </c>
      <c r="AL67" s="359">
        <f>'Misc. Data &amp; Mechanisms'!AJ340</f>
        <v>767.10832016720974</v>
      </c>
      <c r="AM67" s="1239">
        <f>'Misc. Data &amp; Mechanisms'!AP340</f>
        <v>644.60325971019017</v>
      </c>
      <c r="AN67" s="1087">
        <f>'Misc. Data &amp; Mechanisms'!Q340</f>
        <v>864.41483781204397</v>
      </c>
      <c r="AO67" s="1087">
        <f>'Misc. Data &amp; Mechanisms'!R340</f>
        <v>656.01104385066867</v>
      </c>
      <c r="AP67" s="1087">
        <f>'Misc. Data &amp; Mechanisms'!S340</f>
        <v>485.49182480391721</v>
      </c>
      <c r="AQ67" s="1463">
        <f>'Misc. Data &amp; Mechanisms'!$B$259</f>
        <v>611.34673880086393</v>
      </c>
      <c r="AR67" s="197">
        <f>IFERROR(IF('Personalized Bill Menu'!$B$30="Yes", IF('Personalized Bill Menu'!$B$34="Natural Gas",0,VLOOKUP($A67, 'Personalized Bill Menu'!$H$4:$L$93, 2, FALSE)), 0), 0)</f>
        <v>0</v>
      </c>
      <c r="AS67" s="1343">
        <f>IFERROR(IF('Personalized Bill Menu'!$C$36="Custom", IF('Personalized Bill Menu'!$B$34="Natural Gas",0,VLOOKUP($A67, 'Personalized Bill Menu'!$H$4:$L$93, 3, FALSE)), 0), 0)</f>
        <v>0</v>
      </c>
      <c r="AT67" s="1344">
        <f>IFERROR(IF('Personalized Bill Menu'!$C$36="Custom", IF('Personalized Bill Menu'!$B$34="Natural Gas",0,VLOOKUP($A67, 'Personalized Bill Menu'!$H$4:$L$93, 4, FALSE)), 0), 0)</f>
        <v>0</v>
      </c>
    </row>
    <row r="68" spans="1:46" x14ac:dyDescent="0.35">
      <c r="A68" s="206">
        <v>42767</v>
      </c>
      <c r="B68" s="207">
        <f t="shared" si="0"/>
        <v>28</v>
      </c>
      <c r="C68" s="1581">
        <f t="shared" si="13"/>
        <v>729.01872217064204</v>
      </c>
      <c r="D68" s="178">
        <f t="shared" si="14"/>
        <v>14.551362274692828</v>
      </c>
      <c r="E68" s="178">
        <f t="shared" si="15"/>
        <v>10.629900130500001</v>
      </c>
      <c r="F68" s="86">
        <f t="shared" si="16"/>
        <v>106.08215531338652</v>
      </c>
      <c r="G68" s="115">
        <f t="shared" si="17"/>
        <v>27.819354438031699</v>
      </c>
      <c r="H68" s="66">
        <f t="shared" si="18"/>
        <v>26.980253888813291</v>
      </c>
      <c r="I68" s="66">
        <f t="shared" si="1"/>
        <v>33.8929272838187</v>
      </c>
      <c r="J68" s="66">
        <f t="shared" si="19"/>
        <v>6.7386611558103606</v>
      </c>
      <c r="K68" s="66">
        <f t="shared" si="20"/>
        <v>8.9427341513100389E-2</v>
      </c>
      <c r="L68" s="66">
        <f t="shared" si="21"/>
        <v>5.51</v>
      </c>
      <c r="M68" s="68">
        <f t="shared" si="23"/>
        <v>5.0515312053993586</v>
      </c>
      <c r="N68" s="273">
        <f>IF($I$2="RRO (Capped)",VLOOKUP(A68,'Misc. Data &amp; Mechanisms'!$A$1278:$E$1368,4,FALSE),IF($I$2="RRO (Uncapped)",VLOOKUP(A68,'Misc. Data &amp; Mechanisms'!$G$1278:$K$1368,4,FALSE),AS68))</f>
        <v>3.8159999999999998</v>
      </c>
      <c r="O68" s="333">
        <f t="shared" si="3"/>
        <v>27.819354438031699</v>
      </c>
      <c r="P68" s="336">
        <v>3.7008999999999999</v>
      </c>
      <c r="Q68" s="333">
        <f t="shared" si="24"/>
        <v>26.980253888813291</v>
      </c>
      <c r="R68" s="337">
        <v>1.9671000000000001</v>
      </c>
      <c r="S68" s="337">
        <v>0.69830000000000003</v>
      </c>
      <c r="T68" s="338">
        <f t="shared" si="25"/>
        <v>14.3405272838187</v>
      </c>
      <c r="U68" s="333">
        <f t="shared" si="26"/>
        <v>19.552400000000002</v>
      </c>
      <c r="V68" s="205">
        <f>VLOOKUP($A68,'Misc. Data &amp; Mechanisms'!$A$63:$DY$152,HLOOKUP('Service Zone Menu'!$K$5&amp;"_FORTIS_Elec_Y_1",'Misc. Data &amp; Mechanisms'!$A$55:$DY$62,8,FALSE), FALSE)</f>
        <v>0.107</v>
      </c>
      <c r="W68" s="205">
        <f>VLOOKUP($A68,'Misc. Data &amp; Mechanisms'!$A$63:$DY$152,HLOOKUP('Service Zone Menu'!$K$5&amp;"_FORTIS_Elec_Y_2",'Misc. Data &amp; Mechanisms'!$A$55:$DY$62,8,FALSE), FALSE)</f>
        <v>3.7000000000000002E-3</v>
      </c>
      <c r="X68" s="338">
        <f t="shared" si="27"/>
        <v>6.5134303854716222</v>
      </c>
      <c r="Y68" s="333">
        <f t="shared" si="28"/>
        <v>0.22523077033873837</v>
      </c>
      <c r="Z68" s="336">
        <v>0.1129</v>
      </c>
      <c r="AA68" s="339">
        <v>4.0899999999999999E-2</v>
      </c>
      <c r="AB68" s="339"/>
      <c r="AC68" s="1495">
        <v>-0.252</v>
      </c>
      <c r="AD68" s="339"/>
      <c r="AE68" s="338">
        <f t="shared" si="29"/>
        <v>0.82306213733065492</v>
      </c>
      <c r="AF68" s="338">
        <f t="shared" si="30"/>
        <v>1.1034923840524635</v>
      </c>
      <c r="AG68" s="338">
        <f t="shared" si="31"/>
        <v>-1.8371271798700179</v>
      </c>
      <c r="AH68" s="333">
        <f t="shared" si="32"/>
        <v>0</v>
      </c>
      <c r="AI68" s="200">
        <f>IF(OR($I$2="RRO (Capped)",$I$2="RRO (Uncapped)"),VLOOKUP(A68,'Misc. Data &amp; Mechanisms'!$A$1483:$H$1574,4,FALSE),AT68)</f>
        <v>5.51</v>
      </c>
      <c r="AJ68" s="333">
        <f t="shared" si="22"/>
        <v>5.51</v>
      </c>
      <c r="AK68" s="340">
        <f>5%</f>
        <v>0.05</v>
      </c>
      <c r="AL68" s="341">
        <f>'Misc. Data &amp; Mechanisms'!AJ341</f>
        <v>646.95364178416128</v>
      </c>
      <c r="AM68" s="196">
        <f>'Misc. Data &amp; Mechanisms'!AP341</f>
        <v>549.65855056156363</v>
      </c>
      <c r="AN68" s="1087">
        <f>'Misc. Data &amp; Mechanisms'!Q341</f>
        <v>729.01872217064204</v>
      </c>
      <c r="AO68" s="1087">
        <f>'Misc. Data &amp; Mechanisms'!R341</f>
        <v>553.25789424016307</v>
      </c>
      <c r="AP68" s="1087">
        <f>'Misc. Data &amp; Mechanisms'!S341</f>
        <v>409.44765668148221</v>
      </c>
      <c r="AQ68" s="1463">
        <f>'Misc. Data &amp; Mechanisms'!$B$259</f>
        <v>611.34673880086393</v>
      </c>
      <c r="AR68" s="197">
        <f>IFERROR(IF('Personalized Bill Menu'!$B$30="Yes", IF('Personalized Bill Menu'!$B$34="Natural Gas",0,VLOOKUP($A68, 'Personalized Bill Menu'!$H$4:$L$93, 2, FALSE)), 0), 0)</f>
        <v>0</v>
      </c>
      <c r="AS68" s="1343">
        <f>IFERROR(IF('Personalized Bill Menu'!$C$36="Custom", IF('Personalized Bill Menu'!$B$34="Natural Gas",0,VLOOKUP($A68, 'Personalized Bill Menu'!$H$4:$L$93, 3, FALSE)), 0), 0)</f>
        <v>0</v>
      </c>
      <c r="AT68" s="1344">
        <f>IFERROR(IF('Personalized Bill Menu'!$C$36="Custom", IF('Personalized Bill Menu'!$B$34="Natural Gas",0,VLOOKUP($A68, 'Personalized Bill Menu'!$H$4:$L$93, 4, FALSE)), 0), 0)</f>
        <v>0</v>
      </c>
    </row>
    <row r="69" spans="1:46" x14ac:dyDescent="0.35">
      <c r="A69" s="206">
        <v>42795</v>
      </c>
      <c r="B69" s="207">
        <f t="shared" si="0"/>
        <v>31</v>
      </c>
      <c r="C69" s="1581">
        <f t="shared" si="13"/>
        <v>750.71274658431514</v>
      </c>
      <c r="D69" s="178">
        <f t="shared" si="14"/>
        <v>14.195433722451808</v>
      </c>
      <c r="E69" s="178">
        <f t="shared" si="15"/>
        <v>10.0618501305</v>
      </c>
      <c r="F69" s="86">
        <f t="shared" si="16"/>
        <v>106.56693038737406</v>
      </c>
      <c r="G69" s="115">
        <f t="shared" si="17"/>
        <v>24.585842450636321</v>
      </c>
      <c r="H69" s="66">
        <f t="shared" si="18"/>
        <v>27.783128038338919</v>
      </c>
      <c r="I69" s="66">
        <f t="shared" si="1"/>
        <v>36.414570438060068</v>
      </c>
      <c r="J69" s="66">
        <f t="shared" si="19"/>
        <v>7.1066852213373668</v>
      </c>
      <c r="K69" s="66">
        <f t="shared" si="20"/>
        <v>9.2088506269279113E-2</v>
      </c>
      <c r="L69" s="66">
        <f t="shared" si="21"/>
        <v>5.51</v>
      </c>
      <c r="M69" s="68">
        <f t="shared" si="23"/>
        <v>5.0746157327320986</v>
      </c>
      <c r="N69" s="273">
        <f>IF($I$2="RRO (Capped)",VLOOKUP(A69,'Misc. Data &amp; Mechanisms'!$A$1278:$E$1368,4,FALSE),IF($I$2="RRO (Uncapped)",VLOOKUP(A69,'Misc. Data &amp; Mechanisms'!$G$1278:$K$1368,4,FALSE),AS69))</f>
        <v>3.2749999999999999</v>
      </c>
      <c r="O69" s="333">
        <f t="shared" si="3"/>
        <v>24.585842450636321</v>
      </c>
      <c r="P69" s="336">
        <v>3.7008999999999999</v>
      </c>
      <c r="Q69" s="333">
        <f t="shared" si="24"/>
        <v>27.783128038338919</v>
      </c>
      <c r="R69" s="337">
        <v>1.9671000000000001</v>
      </c>
      <c r="S69" s="337">
        <v>0.69830000000000003</v>
      </c>
      <c r="T69" s="338">
        <f t="shared" si="25"/>
        <v>14.767270438060065</v>
      </c>
      <c r="U69" s="333">
        <f t="shared" si="26"/>
        <v>21.647300000000001</v>
      </c>
      <c r="V69" s="205">
        <f>VLOOKUP($A69,'Misc. Data &amp; Mechanisms'!$A$63:$DY$152,HLOOKUP('Service Zone Menu'!$K$5&amp;"_FORTIS_Elec_Y_1",'Misc. Data &amp; Mechanisms'!$A$55:$DY$62,8,FALSE), FALSE)</f>
        <v>0.107</v>
      </c>
      <c r="W69" s="205">
        <f>VLOOKUP($A69,'Misc. Data &amp; Mechanisms'!$A$63:$DY$152,HLOOKUP('Service Zone Menu'!$K$5&amp;"_FORTIS_Elec_Y_2",'Misc. Data &amp; Mechanisms'!$A$55:$DY$62,8,FALSE), FALSE)</f>
        <v>3.7000000000000002E-3</v>
      </c>
      <c r="X69" s="338">
        <f t="shared" si="27"/>
        <v>6.8691537369746909</v>
      </c>
      <c r="Y69" s="333">
        <f t="shared" si="28"/>
        <v>0.23753148436267624</v>
      </c>
      <c r="Z69" s="336">
        <v>0.1129</v>
      </c>
      <c r="AA69" s="339">
        <v>4.0899999999999999E-2</v>
      </c>
      <c r="AB69" s="339"/>
      <c r="AC69" s="1495">
        <v>-0.252</v>
      </c>
      <c r="AD69" s="339"/>
      <c r="AE69" s="338">
        <f t="shared" si="29"/>
        <v>0.84755469089369184</v>
      </c>
      <c r="AF69" s="338">
        <f t="shared" si="30"/>
        <v>1.1363299367680617</v>
      </c>
      <c r="AG69" s="338">
        <f t="shared" si="31"/>
        <v>-1.8917961213924743</v>
      </c>
      <c r="AH69" s="333">
        <f t="shared" si="32"/>
        <v>0</v>
      </c>
      <c r="AI69" s="200">
        <f>IF(OR($I$2="RRO (Capped)",$I$2="RRO (Uncapped)"),VLOOKUP(A69,'Misc. Data &amp; Mechanisms'!$A$1483:$H$1574,4,FALSE),AT69)</f>
        <v>5.51</v>
      </c>
      <c r="AJ69" s="333">
        <f t="shared" si="22"/>
        <v>5.51</v>
      </c>
      <c r="AK69" s="340">
        <f>5%</f>
        <v>0.05</v>
      </c>
      <c r="AL69" s="341">
        <f>'Misc. Data &amp; Mechanisms'!AJ342</f>
        <v>666.20558644971288</v>
      </c>
      <c r="AM69" s="196">
        <f>'Misc. Data &amp; Mechanisms'!AP342</f>
        <v>569.98826499833581</v>
      </c>
      <c r="AN69" s="1087">
        <f>'Misc. Data &amp; Mechanisms'!Q342</f>
        <v>750.71274658431514</v>
      </c>
      <c r="AO69" s="1087">
        <f>'Misc. Data &amp; Mechanisms'!R342</f>
        <v>569.72165559455811</v>
      </c>
      <c r="AP69" s="1087">
        <f>'Misc. Data &amp; Mechanisms'!S342</f>
        <v>421.6319356170377</v>
      </c>
      <c r="AQ69" s="1463">
        <f>'Misc. Data &amp; Mechanisms'!$B$259</f>
        <v>611.34673880086393</v>
      </c>
      <c r="AR69" s="197">
        <f>IFERROR(IF('Personalized Bill Menu'!$B$30="Yes", IF('Personalized Bill Menu'!$B$34="Natural Gas",0,VLOOKUP($A69, 'Personalized Bill Menu'!$H$4:$L$93, 2, FALSE)), 0), 0)</f>
        <v>0</v>
      </c>
      <c r="AS69" s="1343">
        <f>IFERROR(IF('Personalized Bill Menu'!$C$36="Custom", IF('Personalized Bill Menu'!$B$34="Natural Gas",0,VLOOKUP($A69, 'Personalized Bill Menu'!$H$4:$L$93, 3, FALSE)), 0), 0)</f>
        <v>0</v>
      </c>
      <c r="AT69" s="1344">
        <f>IFERROR(IF('Personalized Bill Menu'!$C$36="Custom", IF('Personalized Bill Menu'!$B$34="Natural Gas",0,VLOOKUP($A69, 'Personalized Bill Menu'!$H$4:$L$93, 4, FALSE)), 0), 0)</f>
        <v>0</v>
      </c>
    </row>
    <row r="70" spans="1:46" x14ac:dyDescent="0.35">
      <c r="A70" s="206">
        <v>42826</v>
      </c>
      <c r="B70" s="207">
        <f t="shared" si="0"/>
        <v>30</v>
      </c>
      <c r="C70" s="1581">
        <f t="shared" si="13"/>
        <v>645.34316185588511</v>
      </c>
      <c r="D70" s="178">
        <f t="shared" si="14"/>
        <v>15.407021376889857</v>
      </c>
      <c r="E70" s="178">
        <f t="shared" si="15"/>
        <v>10.402677999000002</v>
      </c>
      <c r="F70" s="86">
        <f t="shared" si="16"/>
        <v>99.428158901433122</v>
      </c>
      <c r="G70" s="115">
        <f t="shared" si="17"/>
        <v>19.26349338139817</v>
      </c>
      <c r="H70" s="66">
        <f t="shared" si="18"/>
        <v>23.883505077124454</v>
      </c>
      <c r="I70" s="66">
        <f t="shared" si="1"/>
        <v>36.503913760328302</v>
      </c>
      <c r="J70" s="66">
        <f t="shared" si="19"/>
        <v>6.6848872653060196</v>
      </c>
      <c r="K70" s="66">
        <f t="shared" si="20"/>
        <v>2.8476851838746011</v>
      </c>
      <c r="L70" s="66">
        <f t="shared" si="21"/>
        <v>5.51</v>
      </c>
      <c r="M70" s="68">
        <f t="shared" si="23"/>
        <v>4.7346742334015772</v>
      </c>
      <c r="N70" s="273">
        <f>IF($I$2="RRO (Capped)",VLOOKUP(A70,'Misc. Data &amp; Mechanisms'!$A$1278:$E$1368,4,FALSE),IF($I$2="RRO (Uncapped)",VLOOKUP(A70,'Misc. Data &amp; Mechanisms'!$G$1278:$K$1368,4,FALSE),AS70))</f>
        <v>2.9849999999999999</v>
      </c>
      <c r="O70" s="333">
        <f t="shared" si="3"/>
        <v>19.26349338139817</v>
      </c>
      <c r="P70" s="336">
        <v>3.7008999999999999</v>
      </c>
      <c r="Q70" s="333">
        <f t="shared" si="24"/>
        <v>23.883505077124454</v>
      </c>
      <c r="R70" s="337">
        <v>2.1341999999999999</v>
      </c>
      <c r="S70" s="337">
        <v>0.75770000000000004</v>
      </c>
      <c r="T70" s="338">
        <f t="shared" si="25"/>
        <v>13.772913760328301</v>
      </c>
      <c r="U70" s="333">
        <f t="shared" si="26"/>
        <v>22.731000000000002</v>
      </c>
      <c r="V70" s="205">
        <f>VLOOKUP($A70,'Misc. Data &amp; Mechanisms'!$A$63:$DY$152,HLOOKUP('Service Zone Menu'!$K$5&amp;"_FORTIS_Elec_Y_1",'Misc. Data &amp; Mechanisms'!$A$55:$DY$62,8,FALSE), FALSE)</f>
        <v>0.107</v>
      </c>
      <c r="W70" s="205">
        <f>VLOOKUP($A70,'Misc. Data &amp; Mechanisms'!$A$63:$DY$152,HLOOKUP('Service Zone Menu'!$K$5&amp;"_FORTIS_Elec_Y_2",'Misc. Data &amp; Mechanisms'!$A$55:$DY$62,8,FALSE), FALSE)</f>
        <v>3.7000000000000002E-3</v>
      </c>
      <c r="X70" s="338">
        <f t="shared" si="27"/>
        <v>6.4614538156074444</v>
      </c>
      <c r="Y70" s="333">
        <f t="shared" si="28"/>
        <v>0.2234334496985752</v>
      </c>
      <c r="Z70" s="336">
        <v>0.1129</v>
      </c>
      <c r="AA70" s="339">
        <v>4.0899999999999999E-2</v>
      </c>
      <c r="AB70" s="339"/>
      <c r="AC70" s="1495">
        <v>0.17699999999999999</v>
      </c>
      <c r="AD70" s="339"/>
      <c r="AE70" s="338">
        <f t="shared" si="29"/>
        <v>0.72859242973529426</v>
      </c>
      <c r="AF70" s="338">
        <f t="shared" si="30"/>
        <v>0.97683535765439011</v>
      </c>
      <c r="AG70" s="338">
        <f t="shared" si="31"/>
        <v>1.1422573964849165</v>
      </c>
      <c r="AH70" s="333">
        <f t="shared" si="32"/>
        <v>0</v>
      </c>
      <c r="AI70" s="200">
        <f>IF(OR($I$2="RRO (Capped)",$I$2="RRO (Uncapped)"),VLOOKUP(A70,'Misc. Data &amp; Mechanisms'!$A$1483:$H$1574,4,FALSE),AT70)</f>
        <v>5.51</v>
      </c>
      <c r="AJ70" s="333">
        <f t="shared" si="22"/>
        <v>5.51</v>
      </c>
      <c r="AK70" s="340">
        <f>5%</f>
        <v>0.05</v>
      </c>
      <c r="AL70" s="341">
        <f>'Misc. Data &amp; Mechanisms'!AJ343</f>
        <v>572.69737534318642</v>
      </c>
      <c r="AM70" s="196">
        <f>'Misc. Data &amp; Mechanisms'!AP343</f>
        <v>490.87849585577823</v>
      </c>
      <c r="AN70" s="1087">
        <f>'Misc. Data &amp; Mechanisms'!Q343</f>
        <v>645.34316185588511</v>
      </c>
      <c r="AO70" s="1087">
        <f>'Misc. Data &amp; Mechanisms'!R343</f>
        <v>489.75587036721231</v>
      </c>
      <c r="AP70" s="1087">
        <f>'Misc. Data &amp; Mechanisms'!S343</f>
        <v>362.45193345728796</v>
      </c>
      <c r="AQ70" s="1463">
        <f>'Misc. Data &amp; Mechanisms'!$B$259</f>
        <v>611.34673880086393</v>
      </c>
      <c r="AR70" s="197">
        <f>IFERROR(IF('Personalized Bill Menu'!$B$30="Yes", IF('Personalized Bill Menu'!$B$34="Natural Gas",0,VLOOKUP($A70, 'Personalized Bill Menu'!$H$4:$L$93, 2, FALSE)), 0), 0)</f>
        <v>0</v>
      </c>
      <c r="AS70" s="1343">
        <f>IFERROR(IF('Personalized Bill Menu'!$C$36="Custom", IF('Personalized Bill Menu'!$B$34="Natural Gas",0,VLOOKUP($A70, 'Personalized Bill Menu'!$H$4:$L$93, 3, FALSE)), 0), 0)</f>
        <v>0</v>
      </c>
      <c r="AT70" s="1344">
        <f>IFERROR(IF('Personalized Bill Menu'!$C$36="Custom", IF('Personalized Bill Menu'!$B$34="Natural Gas",0,VLOOKUP($A70, 'Personalized Bill Menu'!$H$4:$L$93, 4, FALSE)), 0), 0)</f>
        <v>0</v>
      </c>
    </row>
    <row r="71" spans="1:46" x14ac:dyDescent="0.35">
      <c r="A71" s="206">
        <v>42856</v>
      </c>
      <c r="B71" s="207">
        <f t="shared" ref="B71:B96" si="33">DAY(DATE(YEAR($A71),MONTH($A71)+1,1)-1)</f>
        <v>31</v>
      </c>
      <c r="C71" s="1581">
        <f t="shared" si="13"/>
        <v>610.57857856596559</v>
      </c>
      <c r="D71" s="178">
        <f t="shared" si="14"/>
        <v>15.583628668074475</v>
      </c>
      <c r="E71" s="178">
        <f t="shared" si="15"/>
        <v>10.149627999000002</v>
      </c>
      <c r="F71" s="86">
        <f t="shared" si="16"/>
        <v>95.150298410527455</v>
      </c>
      <c r="G71" s="115">
        <f t="shared" si="17"/>
        <v>16.754276195850096</v>
      </c>
      <c r="H71" s="66">
        <f t="shared" si="18"/>
        <v>22.596902614147819</v>
      </c>
      <c r="I71" s="66">
        <f t="shared" ref="I71:I96" si="34">SUM($T71:$U71)</f>
        <v>36.519668023754839</v>
      </c>
      <c r="J71" s="66">
        <f t="shared" si="19"/>
        <v>6.5442043696158239</v>
      </c>
      <c r="K71" s="66">
        <f t="shared" si="20"/>
        <v>2.6942806161813797</v>
      </c>
      <c r="L71" s="66">
        <f t="shared" si="21"/>
        <v>5.51</v>
      </c>
      <c r="M71" s="68">
        <f t="shared" si="23"/>
        <v>4.5309665909774983</v>
      </c>
      <c r="N71" s="273">
        <f>IF($I$2="RRO (Capped)",VLOOKUP(A71,'Misc. Data &amp; Mechanisms'!$A$1278:$E$1368,4,FALSE),IF($I$2="RRO (Uncapped)",VLOOKUP(A71,'Misc. Data &amp; Mechanisms'!$G$1278:$K$1368,4,FALSE),AS71))</f>
        <v>2.7440000000000002</v>
      </c>
      <c r="O71" s="333">
        <f t="shared" ref="O71:O96" si="35">($N71/100)*$C71</f>
        <v>16.754276195850096</v>
      </c>
      <c r="P71" s="336">
        <v>3.7008999999999999</v>
      </c>
      <c r="Q71" s="333">
        <f t="shared" si="24"/>
        <v>22.596902614147819</v>
      </c>
      <c r="R71" s="337">
        <v>2.1341999999999999</v>
      </c>
      <c r="S71" s="337">
        <v>0.75770000000000004</v>
      </c>
      <c r="T71" s="338">
        <f t="shared" si="25"/>
        <v>13.030968023754838</v>
      </c>
      <c r="U71" s="333">
        <f t="shared" si="26"/>
        <v>23.488700000000001</v>
      </c>
      <c r="V71" s="205">
        <f>VLOOKUP($A71,'Misc. Data &amp; Mechanisms'!$A$63:$DY$152,HLOOKUP('Service Zone Menu'!$K$5&amp;"_FORTIS_Elec_Y_1",'Misc. Data &amp; Mechanisms'!$A$55:$DY$62,8,FALSE), FALSE)</f>
        <v>0.107</v>
      </c>
      <c r="W71" s="205">
        <f>VLOOKUP($A71,'Misc. Data &amp; Mechanisms'!$A$63:$DY$152,HLOOKUP('Service Zone Menu'!$K$5&amp;"_FORTIS_Elec_Y_2",'Misc. Data &amp; Mechanisms'!$A$55:$DY$62,8,FALSE), FALSE)</f>
        <v>3.7000000000000002E-3</v>
      </c>
      <c r="X71" s="338">
        <f t="shared" si="27"/>
        <v>6.325473058255584</v>
      </c>
      <c r="Y71" s="333">
        <f t="shared" si="28"/>
        <v>0.21873131136023982</v>
      </c>
      <c r="Z71" s="336">
        <v>0.1129</v>
      </c>
      <c r="AA71" s="339">
        <v>4.0899999999999999E-2</v>
      </c>
      <c r="AB71" s="339"/>
      <c r="AC71" s="1495">
        <v>0.17699999999999999</v>
      </c>
      <c r="AD71" s="339"/>
      <c r="AE71" s="338">
        <f t="shared" si="29"/>
        <v>0.68934321520097519</v>
      </c>
      <c r="AF71" s="338">
        <f t="shared" si="30"/>
        <v>0.92421331691864572</v>
      </c>
      <c r="AG71" s="338">
        <f t="shared" si="31"/>
        <v>1.0807240840617589</v>
      </c>
      <c r="AH71" s="333">
        <f t="shared" si="32"/>
        <v>0</v>
      </c>
      <c r="AI71" s="200">
        <f>IF(OR($I$2="RRO (Capped)",$I$2="RRO (Uncapped)"),VLOOKUP(A71,'Misc. Data &amp; Mechanisms'!$A$1483:$H$1574,4,FALSE),AT71)</f>
        <v>5.51</v>
      </c>
      <c r="AJ71" s="333">
        <f t="shared" si="22"/>
        <v>5.51</v>
      </c>
      <c r="AK71" s="340">
        <f>5%</f>
        <v>0.05</v>
      </c>
      <c r="AL71" s="341">
        <f>'Misc. Data &amp; Mechanisms'!AJ344</f>
        <v>541.84621462463122</v>
      </c>
      <c r="AM71" s="196">
        <f>'Misc. Data &amp; Mechanisms'!AP344</f>
        <v>475.07724198265112</v>
      </c>
      <c r="AN71" s="1087">
        <f>'Misc. Data &amp; Mechanisms'!Q344</f>
        <v>610.57857856596559</v>
      </c>
      <c r="AO71" s="1087">
        <f>'Misc. Data &amp; Mechanisms'!R344</f>
        <v>463.3727617306476</v>
      </c>
      <c r="AP71" s="1087">
        <f>'Misc. Data &amp; Mechanisms'!S344</f>
        <v>342.92667747869882</v>
      </c>
      <c r="AQ71" s="1463">
        <f>'Misc. Data &amp; Mechanisms'!$B$259</f>
        <v>611.34673880086393</v>
      </c>
      <c r="AR71" s="197">
        <f>IFERROR(IF('Personalized Bill Menu'!$B$30="Yes", IF('Personalized Bill Menu'!$B$34="Natural Gas",0,VLOOKUP($A71, 'Personalized Bill Menu'!$H$4:$L$93, 2, FALSE)), 0), 0)</f>
        <v>0</v>
      </c>
      <c r="AS71" s="1343">
        <f>IFERROR(IF('Personalized Bill Menu'!$C$36="Custom", IF('Personalized Bill Menu'!$B$34="Natural Gas",0,VLOOKUP($A71, 'Personalized Bill Menu'!$H$4:$L$93, 3, FALSE)), 0), 0)</f>
        <v>0</v>
      </c>
      <c r="AT71" s="1344">
        <f>IFERROR(IF('Personalized Bill Menu'!$C$36="Custom", IF('Personalized Bill Menu'!$B$34="Natural Gas",0,VLOOKUP($A71, 'Personalized Bill Menu'!$H$4:$L$93, 4, FALSE)), 0), 0)</f>
        <v>0</v>
      </c>
    </row>
    <row r="72" spans="1:46" x14ac:dyDescent="0.35">
      <c r="A72" s="206">
        <v>42887</v>
      </c>
      <c r="B72" s="207">
        <f t="shared" si="33"/>
        <v>30</v>
      </c>
      <c r="C72" s="1581">
        <f t="shared" ref="C72:C93" si="36">IFERROR(VLOOKUP($A72,$A$5:$AR$96,MATCH($I$1,$A$5:$AR$5,0),FALSE),0)</f>
        <v>601.98987501323143</v>
      </c>
      <c r="D72" s="178">
        <f t="shared" ref="D72:D96" si="37">IFERROR(($F72*100)/$C72, "")</f>
        <v>15.561617361815726</v>
      </c>
      <c r="E72" s="178">
        <f t="shared" ref="E72:E96" si="38">(1+$AK72)*IF($AB72=FALSE,$N72+((1+$V72+$W72)*($P72+$R72))+$Z72+$AC72+($AA72*$P72)+($R72*$AD72), $N72+((1+$V72+$W72)*($P72+$R72))+$Z72+($AA72*$P72)+($AB72*$P72)+($R72*$AD72))</f>
        <v>10.196877999000002</v>
      </c>
      <c r="F72" s="86">
        <f t="shared" ref="F72:F96" si="39">SUM($G72:$M72)</f>
        <v>93.67936090643181</v>
      </c>
      <c r="G72" s="115">
        <f t="shared" ref="G72:G96" si="40">SUM($O72)</f>
        <v>16.789497614119025</v>
      </c>
      <c r="H72" s="66">
        <f t="shared" ref="H72:H96" si="41">SUM($Q72)</f>
        <v>22.279043284364683</v>
      </c>
      <c r="I72" s="66">
        <f t="shared" si="34"/>
        <v>35.578667912532389</v>
      </c>
      <c r="J72" s="66">
        <f t="shared" ref="J72:J96" si="42">SUM($X72:$Y72)</f>
        <v>6.404848629496505</v>
      </c>
      <c r="K72" s="66">
        <f t="shared" ref="K72:K96" si="43">SUM($AE72:$AH72)</f>
        <v>2.6563815179938732</v>
      </c>
      <c r="L72" s="66">
        <f t="shared" ref="L72:L96" si="44">SUM($AJ72)</f>
        <v>5.51</v>
      </c>
      <c r="M72" s="68">
        <f t="shared" si="23"/>
        <v>4.4609219479253239</v>
      </c>
      <c r="N72" s="273">
        <f>IF($I$2="RRO (Capped)",VLOOKUP(A72,'Misc. Data &amp; Mechanisms'!$A$1278:$E$1368,4,FALSE),IF($I$2="RRO (Uncapped)",VLOOKUP(A72,'Misc. Data &amp; Mechanisms'!$G$1278:$K$1368,4,FALSE),AS72))</f>
        <v>2.7890000000000001</v>
      </c>
      <c r="O72" s="333">
        <f t="shared" si="35"/>
        <v>16.789497614119025</v>
      </c>
      <c r="P72" s="336">
        <v>3.7008999999999999</v>
      </c>
      <c r="Q72" s="333">
        <f t="shared" si="24"/>
        <v>22.279043284364683</v>
      </c>
      <c r="R72" s="337">
        <v>2.1341999999999999</v>
      </c>
      <c r="S72" s="337">
        <v>0.75770000000000004</v>
      </c>
      <c r="T72" s="338">
        <f t="shared" si="25"/>
        <v>12.847667912532385</v>
      </c>
      <c r="U72" s="333">
        <f t="shared" si="26"/>
        <v>22.731000000000002</v>
      </c>
      <c r="V72" s="205">
        <f>VLOOKUP($A72,'Misc. Data &amp; Mechanisms'!$A$63:$DY$152,HLOOKUP('Service Zone Menu'!$K$5&amp;"_FORTIS_Elec_Y_1",'Misc. Data &amp; Mechanisms'!$A$55:$DY$62,8,FALSE), FALSE)</f>
        <v>0.107</v>
      </c>
      <c r="W72" s="205">
        <f>VLOOKUP($A72,'Misc. Data &amp; Mechanisms'!$A$63:$DY$152,HLOOKUP('Service Zone Menu'!$K$5&amp;"_FORTIS_Elec_Y_2",'Misc. Data &amp; Mechanisms'!$A$55:$DY$62,8,FALSE), FALSE)</f>
        <v>3.7000000000000002E-3</v>
      </c>
      <c r="X72" s="338">
        <f t="shared" si="27"/>
        <v>6.1907750980679861</v>
      </c>
      <c r="Y72" s="333">
        <f t="shared" si="28"/>
        <v>0.21407353142851918</v>
      </c>
      <c r="Z72" s="336">
        <v>0.1129</v>
      </c>
      <c r="AA72" s="339">
        <v>4.0899999999999999E-2</v>
      </c>
      <c r="AB72" s="339"/>
      <c r="AC72" s="1495">
        <v>0.17699999999999999</v>
      </c>
      <c r="AD72" s="339"/>
      <c r="AE72" s="338">
        <f t="shared" si="29"/>
        <v>0.67964656888993824</v>
      </c>
      <c r="AF72" s="338">
        <f t="shared" si="30"/>
        <v>0.91121287033051546</v>
      </c>
      <c r="AG72" s="338">
        <f t="shared" si="31"/>
        <v>1.0655220787734196</v>
      </c>
      <c r="AH72" s="333">
        <f t="shared" si="32"/>
        <v>0</v>
      </c>
      <c r="AI72" s="200">
        <f>IF(OR($I$2="RRO (Capped)",$I$2="RRO (Uncapped)"),VLOOKUP(A72,'Misc. Data &amp; Mechanisms'!$A$1483:$H$1574,4,FALSE),AT72)</f>
        <v>5.51</v>
      </c>
      <c r="AJ72" s="333">
        <f t="shared" ref="AJ72:AJ96" si="45">IF($AI$6="$/day", $AI72*$B72,$AI72)</f>
        <v>5.51</v>
      </c>
      <c r="AK72" s="340">
        <f>5%</f>
        <v>0.05</v>
      </c>
      <c r="AL72" s="341">
        <f>'Misc. Data &amp; Mechanisms'!AJ345</f>
        <v>534.22433486672651</v>
      </c>
      <c r="AM72" s="196">
        <f>'Misc. Data &amp; Mechanisms'!AP345</f>
        <v>458.51372295518621</v>
      </c>
      <c r="AN72" s="1087">
        <f>'Misc. Data &amp; Mechanisms'!Q345</f>
        <v>601.98987501323143</v>
      </c>
      <c r="AO72" s="1087">
        <f>'Misc. Data &amp; Mechanisms'!R345</f>
        <v>456.85472879496325</v>
      </c>
      <c r="AP72" s="1087">
        <f>'Misc. Data &amp; Mechanisms'!S345</f>
        <v>338.10289938267374</v>
      </c>
      <c r="AQ72" s="1463">
        <f>'Misc. Data &amp; Mechanisms'!$B$259</f>
        <v>611.34673880086393</v>
      </c>
      <c r="AR72" s="197">
        <f>IFERROR(IF('Personalized Bill Menu'!$B$30="Yes", IF('Personalized Bill Menu'!$B$34="Natural Gas",0,VLOOKUP($A72, 'Personalized Bill Menu'!$H$4:$L$93, 2, FALSE)), 0), 0)</f>
        <v>0</v>
      </c>
      <c r="AS72" s="1343">
        <f>IFERROR(IF('Personalized Bill Menu'!$C$36="Custom", IF('Personalized Bill Menu'!$B$34="Natural Gas",0,VLOOKUP($A72, 'Personalized Bill Menu'!$H$4:$L$93, 3, FALSE)), 0), 0)</f>
        <v>0</v>
      </c>
      <c r="AT72" s="1344">
        <f>IFERROR(IF('Personalized Bill Menu'!$C$36="Custom", IF('Personalized Bill Menu'!$B$34="Natural Gas",0,VLOOKUP($A72, 'Personalized Bill Menu'!$H$4:$L$93, 4, FALSE)), 0), 0)</f>
        <v>0</v>
      </c>
    </row>
    <row r="73" spans="1:46" x14ac:dyDescent="0.35">
      <c r="A73" s="206">
        <v>42917</v>
      </c>
      <c r="B73" s="207">
        <f t="shared" si="33"/>
        <v>31</v>
      </c>
      <c r="C73" s="1581">
        <f t="shared" si="36"/>
        <v>680.37009404399168</v>
      </c>
      <c r="D73" s="178">
        <f t="shared" si="37"/>
        <v>15.343171099552</v>
      </c>
      <c r="E73" s="178">
        <f t="shared" si="38"/>
        <v>10.455708564</v>
      </c>
      <c r="F73" s="86">
        <f t="shared" si="39"/>
        <v>104.3903476393525</v>
      </c>
      <c r="G73" s="115">
        <f t="shared" si="40"/>
        <v>23.350301627589793</v>
      </c>
      <c r="H73" s="66">
        <f t="shared" si="41"/>
        <v>25.179816810474087</v>
      </c>
      <c r="I73" s="66">
        <f t="shared" si="34"/>
        <v>38.009158547086869</v>
      </c>
      <c r="J73" s="66">
        <f t="shared" si="42"/>
        <v>7.1845864981546805</v>
      </c>
      <c r="K73" s="66">
        <f t="shared" si="43"/>
        <v>0.18551522083979655</v>
      </c>
      <c r="L73" s="66">
        <f t="shared" si="44"/>
        <v>5.51</v>
      </c>
      <c r="M73" s="68">
        <f t="shared" si="23"/>
        <v>4.9709689352072619</v>
      </c>
      <c r="N73" s="273">
        <f>IF($I$2="RRO (Capped)",VLOOKUP(A73,'Misc. Data &amp; Mechanisms'!$A$1278:$E$1368,4,FALSE),IF($I$2="RRO (Uncapped)",VLOOKUP(A73,'Misc. Data &amp; Mechanisms'!$G$1278:$K$1368,4,FALSE),AS73))</f>
        <v>3.4319999999999999</v>
      </c>
      <c r="O73" s="333">
        <f t="shared" si="35"/>
        <v>23.350301627589793</v>
      </c>
      <c r="P73" s="336">
        <v>3.7008999999999999</v>
      </c>
      <c r="Q73" s="333">
        <f t="shared" si="24"/>
        <v>25.179816810474087</v>
      </c>
      <c r="R73" s="337">
        <v>2.1341999999999999</v>
      </c>
      <c r="S73" s="337">
        <v>0.75770000000000004</v>
      </c>
      <c r="T73" s="338">
        <f t="shared" si="25"/>
        <v>14.52045854708687</v>
      </c>
      <c r="U73" s="333">
        <f t="shared" si="26"/>
        <v>23.488700000000001</v>
      </c>
      <c r="V73" s="205">
        <f>VLOOKUP($A73,'Misc. Data &amp; Mechanisms'!$A$63:$DY$152,HLOOKUP('Service Zone Menu'!$K$5&amp;"_FORTIS_Elec_Y_1",'Misc. Data &amp; Mechanisms'!$A$55:$DY$62,8,FALSE), FALSE)</f>
        <v>0.107</v>
      </c>
      <c r="W73" s="205">
        <f>VLOOKUP($A73,'Misc. Data &amp; Mechanisms'!$A$63:$DY$152,HLOOKUP('Service Zone Menu'!$K$5&amp;"_FORTIS_Elec_Y_2",'Misc. Data &amp; Mechanisms'!$A$55:$DY$62,8,FALSE), FALSE)</f>
        <v>6.7000000000000002E-3</v>
      </c>
      <c r="X73" s="338">
        <f t="shared" si="27"/>
        <v>6.7612203632590218</v>
      </c>
      <c r="Y73" s="333">
        <f t="shared" si="28"/>
        <v>0.42336613489565844</v>
      </c>
      <c r="Z73" s="336">
        <v>0.1129</v>
      </c>
      <c r="AA73" s="339">
        <v>4.0899999999999999E-2</v>
      </c>
      <c r="AB73" s="339"/>
      <c r="AC73" s="1495">
        <v>-0.23699999999999999</v>
      </c>
      <c r="AD73" s="339"/>
      <c r="AE73" s="338">
        <f t="shared" si="29"/>
        <v>0.76813783617566667</v>
      </c>
      <c r="AF73" s="338">
        <f t="shared" si="30"/>
        <v>1.02985450754839</v>
      </c>
      <c r="AG73" s="338">
        <f t="shared" si="31"/>
        <v>-1.61247712288426</v>
      </c>
      <c r="AH73" s="333">
        <f t="shared" si="32"/>
        <v>0</v>
      </c>
      <c r="AI73" s="200">
        <f>IF(OR($I$2="RRO (Capped)",$I$2="RRO (Uncapped)"),VLOOKUP(A73,'Misc. Data &amp; Mechanisms'!$A$1483:$H$1574,4,FALSE),AT73)</f>
        <v>5.51</v>
      </c>
      <c r="AJ73" s="333">
        <f t="shared" si="45"/>
        <v>5.51</v>
      </c>
      <c r="AK73" s="340">
        <f>5%</f>
        <v>0.05</v>
      </c>
      <c r="AL73" s="341">
        <f>'Misc. Data &amp; Mechanisms'!AJ346</f>
        <v>603.78135254496556</v>
      </c>
      <c r="AM73" s="196">
        <f>'Misc. Data &amp; Mechanisms'!AP346</f>
        <v>518.6829776306779</v>
      </c>
      <c r="AN73" s="1087">
        <f>'Misc. Data &amp; Mechanisms'!Q346</f>
        <v>680.37009404399168</v>
      </c>
      <c r="AO73" s="1087">
        <f>'Misc. Data &amp; Mechanisms'!R346</f>
        <v>516.33807759281603</v>
      </c>
      <c r="AP73" s="1087">
        <f>'Misc. Data &amp; Mechanisms'!S346</f>
        <v>382.12453564020478</v>
      </c>
      <c r="AQ73" s="1463">
        <f>'Misc. Data &amp; Mechanisms'!$B$259</f>
        <v>611.34673880086393</v>
      </c>
      <c r="AR73" s="197">
        <f>IFERROR(IF('Personalized Bill Menu'!$B$30="Yes", IF('Personalized Bill Menu'!$B$34="Natural Gas",0,VLOOKUP($A73, 'Personalized Bill Menu'!$H$4:$L$93, 2, FALSE)), 0), 0)</f>
        <v>0</v>
      </c>
      <c r="AS73" s="1343">
        <f>IFERROR(IF('Personalized Bill Menu'!$C$36="Custom", IF('Personalized Bill Menu'!$B$34="Natural Gas",0,VLOOKUP($A73, 'Personalized Bill Menu'!$H$4:$L$93, 3, FALSE)), 0), 0)</f>
        <v>0</v>
      </c>
      <c r="AT73" s="1344">
        <f>IFERROR(IF('Personalized Bill Menu'!$C$36="Custom", IF('Personalized Bill Menu'!$B$34="Natural Gas",0,VLOOKUP($A73, 'Personalized Bill Menu'!$H$4:$L$93, 4, FALSE)), 0), 0)</f>
        <v>0</v>
      </c>
    </row>
    <row r="74" spans="1:46" x14ac:dyDescent="0.35">
      <c r="A74" s="206">
        <v>42948</v>
      </c>
      <c r="B74" s="207">
        <f t="shared" si="33"/>
        <v>31</v>
      </c>
      <c r="C74" s="1581">
        <f t="shared" si="36"/>
        <v>641.59362996594814</v>
      </c>
      <c r="D74" s="178">
        <f t="shared" si="37"/>
        <v>15.896858252090713</v>
      </c>
      <c r="E74" s="178">
        <f t="shared" si="38"/>
        <v>10.714008564</v>
      </c>
      <c r="F74" s="86">
        <f t="shared" si="39"/>
        <v>101.99322991013017</v>
      </c>
      <c r="G74" s="115">
        <f t="shared" si="40"/>
        <v>23.597813710147573</v>
      </c>
      <c r="H74" s="66">
        <f t="shared" si="41"/>
        <v>23.744738651409776</v>
      </c>
      <c r="I74" s="66">
        <f t="shared" si="34"/>
        <v>37.181591250733263</v>
      </c>
      <c r="J74" s="66">
        <f t="shared" si="42"/>
        <v>6.9273237098736633</v>
      </c>
      <c r="K74" s="66">
        <f t="shared" si="43"/>
        <v>0.17494211605491827</v>
      </c>
      <c r="L74" s="66">
        <f t="shared" si="44"/>
        <v>5.51</v>
      </c>
      <c r="M74" s="68">
        <f t="shared" si="23"/>
        <v>4.8568204719109609</v>
      </c>
      <c r="N74" s="273">
        <f>IF($I$2="RRO (Capped)",VLOOKUP(A74,'Misc. Data &amp; Mechanisms'!$A$1278:$E$1368,4,FALSE),IF($I$2="RRO (Uncapped)",VLOOKUP(A74,'Misc. Data &amp; Mechanisms'!$G$1278:$K$1368,4,FALSE),AS74))</f>
        <v>3.6779999999999999</v>
      </c>
      <c r="O74" s="333">
        <f t="shared" si="35"/>
        <v>23.597813710147573</v>
      </c>
      <c r="P74" s="336">
        <v>3.7008999999999999</v>
      </c>
      <c r="Q74" s="333">
        <f t="shared" si="24"/>
        <v>23.744738651409776</v>
      </c>
      <c r="R74" s="337">
        <v>2.1341999999999999</v>
      </c>
      <c r="S74" s="337">
        <v>0.75770000000000004</v>
      </c>
      <c r="T74" s="338">
        <f t="shared" si="25"/>
        <v>13.692891250733265</v>
      </c>
      <c r="U74" s="333">
        <f t="shared" si="26"/>
        <v>23.488700000000001</v>
      </c>
      <c r="V74" s="205">
        <f>VLOOKUP($A74,'Misc. Data &amp; Mechanisms'!$A$63:$DY$152,HLOOKUP('Service Zone Menu'!$K$5&amp;"_FORTIS_Elec_Y_1",'Misc. Data &amp; Mechanisms'!$A$55:$DY$62,8,FALSE), FALSE)</f>
        <v>0.107</v>
      </c>
      <c r="W74" s="205">
        <f>VLOOKUP($A74,'Misc. Data &amp; Mechanisms'!$A$63:$DY$152,HLOOKUP('Service Zone Menu'!$K$5&amp;"_FORTIS_Elec_Y_2",'Misc. Data &amp; Mechanisms'!$A$55:$DY$62,8,FALSE), FALSE)</f>
        <v>6.7000000000000002E-3</v>
      </c>
      <c r="X74" s="338">
        <f t="shared" si="27"/>
        <v>6.519117299529305</v>
      </c>
      <c r="Y74" s="333">
        <f t="shared" si="28"/>
        <v>0.40820641034435839</v>
      </c>
      <c r="Z74" s="336">
        <v>0.1129</v>
      </c>
      <c r="AA74" s="339">
        <v>4.0899999999999999E-2</v>
      </c>
      <c r="AB74" s="339"/>
      <c r="AC74" s="1495">
        <v>-0.23699999999999999</v>
      </c>
      <c r="AD74" s="339"/>
      <c r="AE74" s="338">
        <f t="shared" si="29"/>
        <v>0.72435920823155542</v>
      </c>
      <c r="AF74" s="338">
        <f t="shared" si="30"/>
        <v>0.97115981084265979</v>
      </c>
      <c r="AG74" s="338">
        <f t="shared" si="31"/>
        <v>-1.5205769030192968</v>
      </c>
      <c r="AH74" s="333">
        <f t="shared" si="32"/>
        <v>0</v>
      </c>
      <c r="AI74" s="200">
        <f>IF(OR($I$2="RRO (Capped)",$I$2="RRO (Uncapped)"),VLOOKUP(A74,'Misc. Data &amp; Mechanisms'!$A$1483:$H$1574,4,FALSE),AT74)</f>
        <v>5.51</v>
      </c>
      <c r="AJ74" s="333">
        <f t="shared" si="45"/>
        <v>5.51</v>
      </c>
      <c r="AK74" s="340">
        <f>5%</f>
        <v>0.05</v>
      </c>
      <c r="AL74" s="341">
        <f>'Misc. Data &amp; Mechanisms'!AJ347</f>
        <v>569.36992539243909</v>
      </c>
      <c r="AM74" s="196">
        <f>'Misc. Data &amp; Mechanisms'!AP347</f>
        <v>488.22611481879136</v>
      </c>
      <c r="AN74" s="1087">
        <f>'Misc. Data &amp; Mechanisms'!Q347</f>
        <v>641.59362996594814</v>
      </c>
      <c r="AO74" s="1087">
        <f>'Misc. Data &amp; Mechanisms'!R347</f>
        <v>486.91032188577384</v>
      </c>
      <c r="AP74" s="1087">
        <f>'Misc. Data &amp; Mechanisms'!S347</f>
        <v>360.34603823224347</v>
      </c>
      <c r="AQ74" s="1463">
        <f>'Misc. Data &amp; Mechanisms'!$B$259</f>
        <v>611.34673880086393</v>
      </c>
      <c r="AR74" s="197">
        <f>IFERROR(IF('Personalized Bill Menu'!$B$30="Yes", IF('Personalized Bill Menu'!$B$34="Natural Gas",0,VLOOKUP($A74, 'Personalized Bill Menu'!$H$4:$L$93, 2, FALSE)), 0), 0)</f>
        <v>0</v>
      </c>
      <c r="AS74" s="1343">
        <f>IFERROR(IF('Personalized Bill Menu'!$C$36="Custom", IF('Personalized Bill Menu'!$B$34="Natural Gas",0,VLOOKUP($A74, 'Personalized Bill Menu'!$H$4:$L$93, 3, FALSE)), 0), 0)</f>
        <v>0</v>
      </c>
      <c r="AT74" s="1344">
        <f>IFERROR(IF('Personalized Bill Menu'!$C$36="Custom", IF('Personalized Bill Menu'!$B$34="Natural Gas",0,VLOOKUP($A74, 'Personalized Bill Menu'!$H$4:$L$93, 4, FALSE)), 0), 0)</f>
        <v>0</v>
      </c>
    </row>
    <row r="75" spans="1:46" x14ac:dyDescent="0.35">
      <c r="A75" s="206">
        <v>42979</v>
      </c>
      <c r="B75" s="207">
        <f t="shared" si="33"/>
        <v>30</v>
      </c>
      <c r="C75" s="1581">
        <f t="shared" si="36"/>
        <v>613.58546259787067</v>
      </c>
      <c r="D75" s="178">
        <f t="shared" si="37"/>
        <v>15.585754148475381</v>
      </c>
      <c r="E75" s="178">
        <f t="shared" si="38"/>
        <v>10.338108564000001</v>
      </c>
      <c r="F75" s="86">
        <f t="shared" si="39"/>
        <v>95.631921691289477</v>
      </c>
      <c r="G75" s="115">
        <f t="shared" si="40"/>
        <v>20.371037358249307</v>
      </c>
      <c r="H75" s="66">
        <f t="shared" si="41"/>
        <v>22.708184385284596</v>
      </c>
      <c r="I75" s="66">
        <f t="shared" si="34"/>
        <v>35.826140942763757</v>
      </c>
      <c r="J75" s="66">
        <f t="shared" si="42"/>
        <v>6.6553527897990978</v>
      </c>
      <c r="K75" s="66">
        <f t="shared" si="43"/>
        <v>0.16730518227418245</v>
      </c>
      <c r="L75" s="66">
        <f t="shared" si="44"/>
        <v>5.35</v>
      </c>
      <c r="M75" s="68">
        <f t="shared" si="23"/>
        <v>4.5539010329185468</v>
      </c>
      <c r="N75" s="273">
        <f>IF($I$2="RRO (Capped)",VLOOKUP(A75,'Misc. Data &amp; Mechanisms'!$A$1278:$E$1368,4,FALSE),IF($I$2="RRO (Uncapped)",VLOOKUP(A75,'Misc. Data &amp; Mechanisms'!$G$1278:$K$1368,4,FALSE),AS75))</f>
        <v>3.32</v>
      </c>
      <c r="O75" s="333">
        <f t="shared" si="35"/>
        <v>20.371037358249307</v>
      </c>
      <c r="P75" s="336">
        <v>3.7008999999999999</v>
      </c>
      <c r="Q75" s="333">
        <f t="shared" si="24"/>
        <v>22.708184385284596</v>
      </c>
      <c r="R75" s="337">
        <v>2.1341999999999999</v>
      </c>
      <c r="S75" s="337">
        <v>0.75770000000000004</v>
      </c>
      <c r="T75" s="338">
        <f t="shared" si="25"/>
        <v>13.095140942763756</v>
      </c>
      <c r="U75" s="333">
        <f t="shared" si="26"/>
        <v>22.731000000000002</v>
      </c>
      <c r="V75" s="205">
        <f>VLOOKUP($A75,'Misc. Data &amp; Mechanisms'!$A$63:$DY$152,HLOOKUP('Service Zone Menu'!$K$5&amp;"_FORTIS_Elec_Y_1",'Misc. Data &amp; Mechanisms'!$A$55:$DY$62,8,FALSE), FALSE)</f>
        <v>0.107</v>
      </c>
      <c r="W75" s="205">
        <f>VLOOKUP($A75,'Misc. Data &amp; Mechanisms'!$A$63:$DY$152,HLOOKUP('Service Zone Menu'!$K$5&amp;"_FORTIS_Elec_Y_2",'Misc. Data &amp; Mechanisms'!$A$55:$DY$62,8,FALSE), FALSE)</f>
        <v>6.7000000000000002E-3</v>
      </c>
      <c r="X75" s="338">
        <f t="shared" si="27"/>
        <v>6.2631728101011737</v>
      </c>
      <c r="Y75" s="333">
        <f t="shared" si="28"/>
        <v>0.39217997969792401</v>
      </c>
      <c r="Z75" s="336">
        <v>0.1129</v>
      </c>
      <c r="AA75" s="339">
        <v>4.0899999999999999E-2</v>
      </c>
      <c r="AB75" s="339"/>
      <c r="AC75" s="1495">
        <v>-0.23699999999999999</v>
      </c>
      <c r="AD75" s="339"/>
      <c r="AE75" s="338">
        <f t="shared" si="29"/>
        <v>0.69273798727299596</v>
      </c>
      <c r="AF75" s="338">
        <f t="shared" si="30"/>
        <v>0.92876474135813991</v>
      </c>
      <c r="AG75" s="338">
        <f t="shared" si="31"/>
        <v>-1.4541975463569534</v>
      </c>
      <c r="AH75" s="333">
        <f t="shared" si="32"/>
        <v>0</v>
      </c>
      <c r="AI75" s="200">
        <f>IF(OR($I$2="RRO (Capped)",$I$2="RRO (Uncapped)"),VLOOKUP(A75,'Misc. Data &amp; Mechanisms'!$A$1483:$H$1574,4,FALSE),AT75)</f>
        <v>5.35</v>
      </c>
      <c r="AJ75" s="333">
        <f t="shared" si="45"/>
        <v>5.35</v>
      </c>
      <c r="AK75" s="340">
        <f>5%</f>
        <v>0.05</v>
      </c>
      <c r="AL75" s="341">
        <f>'Misc. Data &amp; Mechanisms'!AJ348</f>
        <v>544.51461601914059</v>
      </c>
      <c r="AM75" s="196">
        <f>'Misc. Data &amp; Mechanisms'!AP348</f>
        <v>469.17523379605063</v>
      </c>
      <c r="AN75" s="1087">
        <f>'Misc. Data &amp; Mechanisms'!Q348</f>
        <v>613.58546259787067</v>
      </c>
      <c r="AO75" s="1087">
        <f>'Misc. Data &amp; Mechanisms'!R348</f>
        <v>465.65470906220975</v>
      </c>
      <c r="AP75" s="1087">
        <f>'Misc. Data &amp; Mechanisms'!S348</f>
        <v>344.61547034962911</v>
      </c>
      <c r="AQ75" s="1463">
        <f>'Misc. Data &amp; Mechanisms'!$B$259</f>
        <v>611.34673880086393</v>
      </c>
      <c r="AR75" s="197">
        <f>IFERROR(IF('Personalized Bill Menu'!$B$30="Yes", IF('Personalized Bill Menu'!$B$34="Natural Gas",0,VLOOKUP($A75, 'Personalized Bill Menu'!$H$4:$L$93, 2, FALSE)), 0), 0)</f>
        <v>0</v>
      </c>
      <c r="AS75" s="1343">
        <f>IFERROR(IF('Personalized Bill Menu'!$C$36="Custom", IF('Personalized Bill Menu'!$B$34="Natural Gas",0,VLOOKUP($A75, 'Personalized Bill Menu'!$H$4:$L$93, 3, FALSE)), 0), 0)</f>
        <v>0</v>
      </c>
      <c r="AT75" s="1344">
        <f>IFERROR(IF('Personalized Bill Menu'!$C$36="Custom", IF('Personalized Bill Menu'!$B$34="Natural Gas",0,VLOOKUP($A75, 'Personalized Bill Menu'!$H$4:$L$93, 4, FALSE)), 0), 0)</f>
        <v>0</v>
      </c>
    </row>
    <row r="76" spans="1:46" x14ac:dyDescent="0.35">
      <c r="A76" s="206">
        <v>43009</v>
      </c>
      <c r="B76" s="207">
        <f t="shared" si="33"/>
        <v>31</v>
      </c>
      <c r="C76" s="1581">
        <f t="shared" si="36"/>
        <v>675.6819189717811</v>
      </c>
      <c r="D76" s="178">
        <f t="shared" si="37"/>
        <v>15.392118670389531</v>
      </c>
      <c r="E76" s="178">
        <f t="shared" si="38"/>
        <v>10.495608563999999</v>
      </c>
      <c r="F76" s="86">
        <f t="shared" si="39"/>
        <v>104.00176280250179</v>
      </c>
      <c r="G76" s="115">
        <f t="shared" si="40"/>
        <v>23.006969340989144</v>
      </c>
      <c r="H76" s="66">
        <f t="shared" si="41"/>
        <v>25.006312139226647</v>
      </c>
      <c r="I76" s="66">
        <f t="shared" si="34"/>
        <v>37.909103514695758</v>
      </c>
      <c r="J76" s="66">
        <f t="shared" si="42"/>
        <v>7.153482759850978</v>
      </c>
      <c r="K76" s="66">
        <f t="shared" si="43"/>
        <v>0.62343015238204735</v>
      </c>
      <c r="L76" s="66">
        <f t="shared" si="44"/>
        <v>5.35</v>
      </c>
      <c r="M76" s="68">
        <f t="shared" si="23"/>
        <v>4.9524648953572283</v>
      </c>
      <c r="N76" s="273">
        <f>IF($I$2="RRO (Capped)",VLOOKUP(A76,'Misc. Data &amp; Mechanisms'!$A$1278:$E$1368,4,FALSE),IF($I$2="RRO (Uncapped)",VLOOKUP(A76,'Misc. Data &amp; Mechanisms'!$G$1278:$K$1368,4,FALSE),AS76))</f>
        <v>3.4049999999999998</v>
      </c>
      <c r="O76" s="333">
        <f t="shared" si="35"/>
        <v>23.006969340989144</v>
      </c>
      <c r="P76" s="336">
        <v>3.7008999999999999</v>
      </c>
      <c r="Q76" s="333">
        <f t="shared" si="24"/>
        <v>25.006312139226647</v>
      </c>
      <c r="R76" s="337">
        <v>2.1341999999999999</v>
      </c>
      <c r="S76" s="337">
        <v>0.75770000000000004</v>
      </c>
      <c r="T76" s="338">
        <f t="shared" si="25"/>
        <v>14.420403514695753</v>
      </c>
      <c r="U76" s="333">
        <f t="shared" si="26"/>
        <v>23.488700000000001</v>
      </c>
      <c r="V76" s="205">
        <f>VLOOKUP($A76,'Misc. Data &amp; Mechanisms'!$A$63:$DY$152,HLOOKUP('Service Zone Menu'!$K$5&amp;"_FORTIS_Elec_Y_1",'Misc. Data &amp; Mechanisms'!$A$55:$DY$62,8,FALSE), FALSE)</f>
        <v>0.107</v>
      </c>
      <c r="W76" s="205">
        <f>VLOOKUP($A76,'Misc. Data &amp; Mechanisms'!$A$63:$DY$152,HLOOKUP('Service Zone Menu'!$K$5&amp;"_FORTIS_Elec_Y_2",'Misc. Data &amp; Mechanisms'!$A$55:$DY$62,8,FALSE), FALSE)</f>
        <v>6.7000000000000002E-3</v>
      </c>
      <c r="X76" s="338">
        <f t="shared" si="27"/>
        <v>6.7319494749696975</v>
      </c>
      <c r="Y76" s="333">
        <f t="shared" si="28"/>
        <v>0.42153328488128017</v>
      </c>
      <c r="Z76" s="336">
        <v>0.1129</v>
      </c>
      <c r="AA76" s="339">
        <v>4.0899999999999999E-2</v>
      </c>
      <c r="AB76" s="339"/>
      <c r="AC76" s="1495">
        <v>-0.17199999999999999</v>
      </c>
      <c r="AD76" s="339"/>
      <c r="AE76" s="338">
        <f t="shared" si="29"/>
        <v>0.76284488651914084</v>
      </c>
      <c r="AF76" s="338">
        <f t="shared" si="30"/>
        <v>1.0227581664943699</v>
      </c>
      <c r="AG76" s="338">
        <f t="shared" si="31"/>
        <v>-1.1621729006314634</v>
      </c>
      <c r="AH76" s="333">
        <f t="shared" si="32"/>
        <v>0</v>
      </c>
      <c r="AI76" s="200">
        <f>IF(OR($I$2="RRO (Capped)",$I$2="RRO (Uncapped)"),VLOOKUP(A76,'Misc. Data &amp; Mechanisms'!$A$1483:$H$1574,4,FALSE),AT76)</f>
        <v>5.35</v>
      </c>
      <c r="AJ76" s="333">
        <f t="shared" si="45"/>
        <v>5.35</v>
      </c>
      <c r="AK76" s="340">
        <f>5%</f>
        <v>0.05</v>
      </c>
      <c r="AL76" s="341">
        <f>'Misc. Data &amp; Mechanisms'!AJ349</f>
        <v>599.62092175759494</v>
      </c>
      <c r="AM76" s="196">
        <f>'Misc. Data &amp; Mechanisms'!AP349</f>
        <v>518.32728951174261</v>
      </c>
      <c r="AN76" s="1087">
        <f>'Misc. Data &amp; Mechanisms'!Q349</f>
        <v>675.6819189717811</v>
      </c>
      <c r="AO76" s="1087">
        <f>'Misc. Data &amp; Mechanisms'!R349</f>
        <v>512.78018560815269</v>
      </c>
      <c r="AP76" s="1087">
        <f>'Misc. Data &amp; Mechanisms'!S349</f>
        <v>379.4914588219392</v>
      </c>
      <c r="AQ76" s="1463">
        <f>'Misc. Data &amp; Mechanisms'!$B$259</f>
        <v>611.34673880086393</v>
      </c>
      <c r="AR76" s="197">
        <f>IFERROR(IF('Personalized Bill Menu'!$B$30="Yes", IF('Personalized Bill Menu'!$B$34="Natural Gas",0,VLOOKUP($A76, 'Personalized Bill Menu'!$H$4:$L$93, 2, FALSE)), 0), 0)</f>
        <v>0</v>
      </c>
      <c r="AS76" s="1343">
        <f>IFERROR(IF('Personalized Bill Menu'!$C$36="Custom", IF('Personalized Bill Menu'!$B$34="Natural Gas",0,VLOOKUP($A76, 'Personalized Bill Menu'!$H$4:$L$93, 3, FALSE)), 0), 0)</f>
        <v>0</v>
      </c>
      <c r="AT76" s="1344">
        <f>IFERROR(IF('Personalized Bill Menu'!$C$36="Custom", IF('Personalized Bill Menu'!$B$34="Natural Gas",0,VLOOKUP($A76, 'Personalized Bill Menu'!$H$4:$L$93, 4, FALSE)), 0), 0)</f>
        <v>0</v>
      </c>
    </row>
    <row r="77" spans="1:46" x14ac:dyDescent="0.35">
      <c r="A77" s="206">
        <v>43040</v>
      </c>
      <c r="B77" s="207">
        <f t="shared" si="33"/>
        <v>30</v>
      </c>
      <c r="C77" s="1581">
        <f t="shared" si="36"/>
        <v>780.94167999440299</v>
      </c>
      <c r="D77" s="178">
        <f t="shared" si="37"/>
        <v>14.494780908561092</v>
      </c>
      <c r="E77" s="178">
        <f t="shared" si="38"/>
        <v>10.371708563999999</v>
      </c>
      <c r="F77" s="86">
        <f t="shared" si="39"/>
        <v>113.19578553882498</v>
      </c>
      <c r="G77" s="115">
        <f t="shared" si="40"/>
        <v>25.669553021416025</v>
      </c>
      <c r="H77" s="66">
        <f t="shared" si="41"/>
        <v>28.901870634912861</v>
      </c>
      <c r="I77" s="66">
        <f t="shared" si="34"/>
        <v>39.397857334440552</v>
      </c>
      <c r="J77" s="66">
        <f t="shared" si="42"/>
        <v>7.7656790701154836</v>
      </c>
      <c r="K77" s="66">
        <f t="shared" si="43"/>
        <v>0.72054997609124394</v>
      </c>
      <c r="L77" s="66">
        <f t="shared" si="44"/>
        <v>5.35</v>
      </c>
      <c r="M77" s="68">
        <f t="shared" si="23"/>
        <v>5.3902755018488087</v>
      </c>
      <c r="N77" s="273">
        <f>IF($I$2="RRO (Capped)",VLOOKUP(A77,'Misc. Data &amp; Mechanisms'!$A$1278:$E$1368,4,FALSE),IF($I$2="RRO (Uncapped)",VLOOKUP(A77,'Misc. Data &amp; Mechanisms'!$G$1278:$K$1368,4,FALSE),AS77))</f>
        <v>3.2869999999999999</v>
      </c>
      <c r="O77" s="333">
        <f t="shared" si="35"/>
        <v>25.669553021416025</v>
      </c>
      <c r="P77" s="336">
        <v>3.7008999999999999</v>
      </c>
      <c r="Q77" s="333">
        <f t="shared" si="24"/>
        <v>28.901870634912861</v>
      </c>
      <c r="R77" s="337">
        <v>2.1341999999999999</v>
      </c>
      <c r="S77" s="337">
        <v>0.75770000000000004</v>
      </c>
      <c r="T77" s="338">
        <f t="shared" si="25"/>
        <v>16.66685733444055</v>
      </c>
      <c r="U77" s="333">
        <f t="shared" si="26"/>
        <v>22.731000000000002</v>
      </c>
      <c r="V77" s="205">
        <f>VLOOKUP($A77,'Misc. Data &amp; Mechanisms'!$A$63:$DY$152,HLOOKUP('Service Zone Menu'!$K$5&amp;"_FORTIS_Elec_Y_1",'Misc. Data &amp; Mechanisms'!$A$55:$DY$62,8,FALSE), FALSE)</f>
        <v>0.107</v>
      </c>
      <c r="W77" s="205">
        <f>VLOOKUP($A77,'Misc. Data &amp; Mechanisms'!$A$63:$DY$152,HLOOKUP('Service Zone Menu'!$K$5&amp;"_FORTIS_Elec_Y_2",'Misc. Data &amp; Mechanisms'!$A$55:$DY$62,8,FALSE), FALSE)</f>
        <v>6.7000000000000002E-3</v>
      </c>
      <c r="X77" s="338">
        <f t="shared" si="27"/>
        <v>7.3080708927208153</v>
      </c>
      <c r="Y77" s="333">
        <f t="shared" si="28"/>
        <v>0.45760817739466786</v>
      </c>
      <c r="Z77" s="336">
        <v>0.1129</v>
      </c>
      <c r="AA77" s="339">
        <v>4.0899999999999999E-2</v>
      </c>
      <c r="AB77" s="339"/>
      <c r="AC77" s="1495">
        <v>-0.17199999999999999</v>
      </c>
      <c r="AD77" s="339"/>
      <c r="AE77" s="338">
        <f t="shared" si="29"/>
        <v>0.88168315671368103</v>
      </c>
      <c r="AF77" s="338">
        <f t="shared" si="30"/>
        <v>1.182086508967936</v>
      </c>
      <c r="AG77" s="338">
        <f t="shared" si="31"/>
        <v>-1.3432196895903732</v>
      </c>
      <c r="AH77" s="333">
        <f t="shared" si="32"/>
        <v>0</v>
      </c>
      <c r="AI77" s="200">
        <f>IF(OR($I$2="RRO (Capped)",$I$2="RRO (Uncapped)"),VLOOKUP(A77,'Misc. Data &amp; Mechanisms'!$A$1483:$H$1574,4,FALSE),AT77)</f>
        <v>5.35</v>
      </c>
      <c r="AJ77" s="333">
        <f t="shared" si="45"/>
        <v>5.35</v>
      </c>
      <c r="AK77" s="340">
        <f>5%</f>
        <v>0.05</v>
      </c>
      <c r="AL77" s="341">
        <f>'Misc. Data &amp; Mechanisms'!AJ350</f>
        <v>693.03167192894091</v>
      </c>
      <c r="AM77" s="196">
        <f>'Misc. Data &amp; Mechanisms'!AP350</f>
        <v>585.56570303254728</v>
      </c>
      <c r="AN77" s="1087">
        <f>'Misc. Data &amp; Mechanisms'!Q350</f>
        <v>780.94167999440299</v>
      </c>
      <c r="AO77" s="1087">
        <f>'Misc. Data &amp; Mechanisms'!R350</f>
        <v>592.66262478365479</v>
      </c>
      <c r="AP77" s="1087">
        <f>'Misc. Data &amp; Mechanisms'!S350</f>
        <v>438.60977935730295</v>
      </c>
      <c r="AQ77" s="1463">
        <f>'Misc. Data &amp; Mechanisms'!$B$259</f>
        <v>611.34673880086393</v>
      </c>
      <c r="AR77" s="197">
        <f>IFERROR(IF('Personalized Bill Menu'!$B$30="Yes", IF('Personalized Bill Menu'!$B$34="Natural Gas",0,VLOOKUP($A77, 'Personalized Bill Menu'!$H$4:$L$93, 2, FALSE)), 0), 0)</f>
        <v>0</v>
      </c>
      <c r="AS77" s="1343">
        <f>IFERROR(IF('Personalized Bill Menu'!$C$36="Custom", IF('Personalized Bill Menu'!$B$34="Natural Gas",0,VLOOKUP($A77, 'Personalized Bill Menu'!$H$4:$L$93, 3, FALSE)), 0), 0)</f>
        <v>0</v>
      </c>
      <c r="AT77" s="1344">
        <f>IFERROR(IF('Personalized Bill Menu'!$C$36="Custom", IF('Personalized Bill Menu'!$B$34="Natural Gas",0,VLOOKUP($A77, 'Personalized Bill Menu'!$H$4:$L$93, 4, FALSE)), 0), 0)</f>
        <v>0</v>
      </c>
    </row>
    <row r="78" spans="1:46" x14ac:dyDescent="0.35">
      <c r="A78" s="229">
        <v>43070</v>
      </c>
      <c r="B78" s="230">
        <f t="shared" si="33"/>
        <v>31</v>
      </c>
      <c r="C78" s="231">
        <f t="shared" si="36"/>
        <v>882.35912586623238</v>
      </c>
      <c r="D78" s="208">
        <f t="shared" si="37"/>
        <v>14.588546739565118</v>
      </c>
      <c r="E78" s="208">
        <f t="shared" si="38"/>
        <v>10.838958563999999</v>
      </c>
      <c r="F78" s="342">
        <f t="shared" si="39"/>
        <v>128.72337348781352</v>
      </c>
      <c r="G78" s="343">
        <f t="shared" si="40"/>
        <v>32.92964257732779</v>
      </c>
      <c r="H78" s="344">
        <f t="shared" si="41"/>
        <v>32.655228889183391</v>
      </c>
      <c r="I78" s="344">
        <f t="shared" si="34"/>
        <v>42.320008464237134</v>
      </c>
      <c r="J78" s="344">
        <f t="shared" si="42"/>
        <v>8.5246844870839134</v>
      </c>
      <c r="K78" s="344">
        <f t="shared" si="43"/>
        <v>0.81412461818065762</v>
      </c>
      <c r="L78" s="344">
        <f t="shared" si="44"/>
        <v>5.35</v>
      </c>
      <c r="M78" s="345">
        <f t="shared" si="23"/>
        <v>6.1296844518006441</v>
      </c>
      <c r="N78" s="1243">
        <f>IF($I$2="RRO (Capped)",VLOOKUP(A78,'Misc. Data &amp; Mechanisms'!$A$1278:$E$1368,4,FALSE),IF($I$2="RRO (Uncapped)",VLOOKUP(A78,'Misc. Data &amp; Mechanisms'!$G$1278:$K$1368,4,FALSE),AS78))</f>
        <v>3.7320000000000002</v>
      </c>
      <c r="O78" s="346">
        <f t="shared" si="35"/>
        <v>32.92964257732779</v>
      </c>
      <c r="P78" s="347">
        <v>3.7008999999999999</v>
      </c>
      <c r="Q78" s="346">
        <f t="shared" si="24"/>
        <v>32.655228889183391</v>
      </c>
      <c r="R78" s="348">
        <v>2.1341999999999999</v>
      </c>
      <c r="S78" s="348">
        <v>0.75770000000000004</v>
      </c>
      <c r="T78" s="349">
        <f t="shared" si="25"/>
        <v>18.831308464237132</v>
      </c>
      <c r="U78" s="346">
        <f t="shared" si="26"/>
        <v>23.488700000000001</v>
      </c>
      <c r="V78" s="246">
        <f>VLOOKUP($A78,'Misc. Data &amp; Mechanisms'!$A$63:$DY$152,HLOOKUP('Service Zone Menu'!$K$5&amp;"_FORTIS_Elec_Y_1",'Misc. Data &amp; Mechanisms'!$A$55:$DY$62,8,FALSE), FALSE)</f>
        <v>0.107</v>
      </c>
      <c r="W78" s="246">
        <f>VLOOKUP($A78,'Misc. Data &amp; Mechanisms'!$A$63:$DY$152,HLOOKUP('Service Zone Menu'!$K$5&amp;"_FORTIS_Elec_Y_2",'Misc. Data &amp; Mechanisms'!$A$55:$DY$62,8,FALSE), FALSE)</f>
        <v>6.7000000000000002E-3</v>
      </c>
      <c r="X78" s="349">
        <f t="shared" si="27"/>
        <v>8.0223503968159964</v>
      </c>
      <c r="Y78" s="346">
        <f t="shared" si="28"/>
        <v>0.50233409026791753</v>
      </c>
      <c r="Z78" s="347">
        <v>0.1129</v>
      </c>
      <c r="AA78" s="350">
        <v>4.0899999999999999E-2</v>
      </c>
      <c r="AB78" s="350"/>
      <c r="AC78" s="1496">
        <v>-0.17199999999999999</v>
      </c>
      <c r="AD78" s="350"/>
      <c r="AE78" s="349">
        <f t="shared" si="29"/>
        <v>0.9961834531029764</v>
      </c>
      <c r="AF78" s="349">
        <f t="shared" si="30"/>
        <v>1.3355988615676007</v>
      </c>
      <c r="AG78" s="349">
        <f t="shared" si="31"/>
        <v>-1.5176576964899195</v>
      </c>
      <c r="AH78" s="346">
        <f t="shared" si="32"/>
        <v>0</v>
      </c>
      <c r="AI78" s="239">
        <f>IF(OR($I$2="RRO (Capped)",$I$2="RRO (Uncapped)"),VLOOKUP(A78,'Misc. Data &amp; Mechanisms'!$A$1483:$H$1574,4,FALSE),AT78)</f>
        <v>5.35</v>
      </c>
      <c r="AJ78" s="346">
        <f t="shared" si="45"/>
        <v>5.35</v>
      </c>
      <c r="AK78" s="351">
        <f>5%</f>
        <v>0.05</v>
      </c>
      <c r="AL78" s="352">
        <f>'Misc. Data &amp; Mechanisms'!AJ351</f>
        <v>783.03263342944695</v>
      </c>
      <c r="AM78" s="1089">
        <f>'Misc. Data &amp; Mechanisms'!AP351</f>
        <v>653.78831033469964</v>
      </c>
      <c r="AN78" s="1089">
        <f>'Misc. Data &amp; Mechanisms'!Q351</f>
        <v>882.35912586623238</v>
      </c>
      <c r="AO78" s="1089">
        <f>'Misc. Data &amp; Mechanisms'!R351</f>
        <v>669.62910155011878</v>
      </c>
      <c r="AP78" s="1089">
        <f>'Misc. Data &amp; Mechanisms'!S351</f>
        <v>495.57009367570777</v>
      </c>
      <c r="AQ78" s="1464">
        <f>'Misc. Data &amp; Mechanisms'!$B$259</f>
        <v>611.34673880086393</v>
      </c>
      <c r="AR78" s="243">
        <f>IFERROR(IF('Personalized Bill Menu'!$B$30="Yes", IF('Personalized Bill Menu'!$B$34="Natural Gas",0,VLOOKUP($A78, 'Personalized Bill Menu'!$H$4:$L$93, 2, FALSE)), 0), 0)</f>
        <v>0</v>
      </c>
      <c r="AS78" s="1345">
        <f>IFERROR(IF('Personalized Bill Menu'!$C$36="Custom", IF('Personalized Bill Menu'!$B$34="Natural Gas",0,VLOOKUP($A78, 'Personalized Bill Menu'!$H$4:$L$93, 3, FALSE)), 0), 0)</f>
        <v>0</v>
      </c>
      <c r="AT78" s="1346">
        <f>IFERROR(IF('Personalized Bill Menu'!$C$36="Custom", IF('Personalized Bill Menu'!$B$34="Natural Gas",0,VLOOKUP($A78, 'Personalized Bill Menu'!$H$4:$L$93, 4, FALSE)), 0), 0)</f>
        <v>0</v>
      </c>
    </row>
    <row r="79" spans="1:46" x14ac:dyDescent="0.35">
      <c r="A79" s="206">
        <v>43101</v>
      </c>
      <c r="B79" s="207">
        <f t="shared" si="33"/>
        <v>31</v>
      </c>
      <c r="C79" s="212">
        <f t="shared" si="36"/>
        <v>872.81542501103615</v>
      </c>
      <c r="D79" s="178">
        <f t="shared" si="37"/>
        <v>15.93268776926989</v>
      </c>
      <c r="E79" s="178">
        <f t="shared" si="38"/>
        <v>12.1288671105</v>
      </c>
      <c r="F79" s="86">
        <f t="shared" si="39"/>
        <v>139.06295646903436</v>
      </c>
      <c r="G79" s="115">
        <f t="shared" si="40"/>
        <v>41.048509438269029</v>
      </c>
      <c r="H79" s="66">
        <f t="shared" si="41"/>
        <v>32.302026064233438</v>
      </c>
      <c r="I79" s="66">
        <f t="shared" si="34"/>
        <v>42.11632680058554</v>
      </c>
      <c r="J79" s="66">
        <f t="shared" si="42"/>
        <v>8.4613667207299184</v>
      </c>
      <c r="K79" s="66">
        <f t="shared" si="43"/>
        <v>3.0526818990719438</v>
      </c>
      <c r="L79" s="66">
        <f t="shared" si="44"/>
        <v>5.46</v>
      </c>
      <c r="M79" s="68">
        <f t="shared" si="23"/>
        <v>6.6220455461444931</v>
      </c>
      <c r="N79" s="1244">
        <f>IF($I$2="RRO (Capped)",VLOOKUP(A79,'Misc. Data &amp; Mechanisms'!$A$1278:$E$1368,4,FALSE),IF($I$2="RRO (Uncapped)",VLOOKUP(A79,'Misc. Data &amp; Mechanisms'!$G$1278:$K$1368,4,FALSE),AS79))</f>
        <v>4.7030000000000003</v>
      </c>
      <c r="O79" s="333">
        <f t="shared" si="35"/>
        <v>41.048509438269029</v>
      </c>
      <c r="P79" s="336">
        <v>3.7008999999999999</v>
      </c>
      <c r="Q79" s="333">
        <f t="shared" si="24"/>
        <v>32.302026064233438</v>
      </c>
      <c r="R79" s="337">
        <v>2.1341999999999999</v>
      </c>
      <c r="S79" s="337">
        <v>0.75770000000000004</v>
      </c>
      <c r="T79" s="338">
        <f t="shared" si="25"/>
        <v>18.627626800585535</v>
      </c>
      <c r="U79" s="333">
        <f t="shared" si="26"/>
        <v>23.488700000000001</v>
      </c>
      <c r="V79" s="205">
        <f>VLOOKUP($A79,'Misc. Data &amp; Mechanisms'!$A$63:$DY$152,HLOOKUP('Service Zone Menu'!$K$5&amp;"_FORTIS_Elec_Y_1",'Misc. Data &amp; Mechanisms'!$A$55:$DY$62,8,FALSE), FALSE)</f>
        <v>0.107</v>
      </c>
      <c r="W79" s="205">
        <f>VLOOKUP($A79,'Misc. Data &amp; Mechanisms'!$A$63:$DY$152,HLOOKUP('Service Zone Menu'!$K$5&amp;"_FORTIS_Elec_Y_2",'Misc. Data &amp; Mechanisms'!$A$55:$DY$62,8,FALSE), FALSE)</f>
        <v>6.7000000000000002E-3</v>
      </c>
      <c r="X79" s="338">
        <f t="shared" si="27"/>
        <v>7.9627637565356313</v>
      </c>
      <c r="Y79" s="333">
        <f t="shared" si="28"/>
        <v>0.49860296419428723</v>
      </c>
      <c r="Z79" s="336">
        <v>0.31669999999999998</v>
      </c>
      <c r="AA79" s="339">
        <v>3.4599999999999999E-2</v>
      </c>
      <c r="AB79" s="339"/>
      <c r="AC79" s="1495">
        <v>-9.5000000000000001E-2</v>
      </c>
      <c r="AD79" s="339"/>
      <c r="AE79" s="338">
        <f t="shared" si="29"/>
        <v>2.7642064510099513</v>
      </c>
      <c r="AF79" s="338">
        <f t="shared" si="30"/>
        <v>1.1176501018224769</v>
      </c>
      <c r="AG79" s="338">
        <f t="shared" si="31"/>
        <v>-0.82917465376048438</v>
      </c>
      <c r="AH79" s="333">
        <f t="shared" si="32"/>
        <v>0</v>
      </c>
      <c r="AI79" s="200">
        <f>IF(OR($I$2="RRO (Capped)",$I$2="RRO (Uncapped)"),VLOOKUP(A79,'Misc. Data &amp; Mechanisms'!$A$1483:$H$1574,4,FALSE),AT79)</f>
        <v>5.46</v>
      </c>
      <c r="AJ79" s="333">
        <f t="shared" si="45"/>
        <v>5.46</v>
      </c>
      <c r="AK79" s="340">
        <f>5%</f>
        <v>0.05</v>
      </c>
      <c r="AL79" s="359">
        <f>'Misc. Data &amp; Mechanisms'!AJ352</f>
        <v>774.56325968554108</v>
      </c>
      <c r="AM79" s="1239">
        <f>'Misc. Data &amp; Mechanisms'!AP352</f>
        <v>649.0072953171458</v>
      </c>
      <c r="AN79" s="1087">
        <f>'Misc. Data &amp; Mechanisms'!Q352</f>
        <v>872.81542501103615</v>
      </c>
      <c r="AO79" s="1087">
        <f>'Misc. Data &amp; Mechanisms'!R352</f>
        <v>662.38631384408779</v>
      </c>
      <c r="AP79" s="1087">
        <f>'Misc. Data &amp; Mechanisms'!S352</f>
        <v>490.20994882291961</v>
      </c>
      <c r="AQ79" s="1463">
        <f>'Misc. Data &amp; Mechanisms'!$B$259</f>
        <v>611.34673880086393</v>
      </c>
      <c r="AR79" s="197">
        <f>IFERROR(IF('Personalized Bill Menu'!$B$30="Yes", IF('Personalized Bill Menu'!$B$34="Natural Gas",0,VLOOKUP($A79, 'Personalized Bill Menu'!$H$4:$L$93, 2, FALSE)), 0), 0)</f>
        <v>0</v>
      </c>
      <c r="AS79" s="1343">
        <f>IFERROR(IF('Personalized Bill Menu'!$C$36="Custom", IF('Personalized Bill Menu'!$B$34="Natural Gas",0,VLOOKUP($A79, 'Personalized Bill Menu'!$H$4:$L$93, 3, FALSE)), 0), 0)</f>
        <v>0</v>
      </c>
      <c r="AT79" s="1344">
        <f>IFERROR(IF('Personalized Bill Menu'!$C$36="Custom", IF('Personalized Bill Menu'!$B$34="Natural Gas",0,VLOOKUP($A79, 'Personalized Bill Menu'!$H$4:$L$93, 4, FALSE)), 0), 0)</f>
        <v>0</v>
      </c>
    </row>
    <row r="80" spans="1:46" x14ac:dyDescent="0.35">
      <c r="A80" s="206">
        <v>43132</v>
      </c>
      <c r="B80" s="207">
        <f t="shared" si="33"/>
        <v>28</v>
      </c>
      <c r="C80" s="226">
        <f t="shared" si="36"/>
        <v>796.60805534245162</v>
      </c>
      <c r="D80" s="178">
        <f t="shared" si="37"/>
        <v>15.980748689915838</v>
      </c>
      <c r="E80" s="178">
        <f t="shared" si="38"/>
        <v>12.146717110499999</v>
      </c>
      <c r="F80" s="86">
        <f t="shared" si="39"/>
        <v>127.30393136790288</v>
      </c>
      <c r="G80" s="115">
        <f t="shared" si="40"/>
        <v>37.599900212163718</v>
      </c>
      <c r="H80" s="66">
        <f t="shared" si="41"/>
        <v>29.481667520168791</v>
      </c>
      <c r="I80" s="66">
        <f t="shared" si="34"/>
        <v>38.216809117118601</v>
      </c>
      <c r="J80" s="66">
        <f t="shared" si="42"/>
        <v>7.697316793659577</v>
      </c>
      <c r="K80" s="66">
        <f t="shared" si="43"/>
        <v>2.786145754892055</v>
      </c>
      <c r="L80" s="66">
        <f t="shared" si="44"/>
        <v>5.46</v>
      </c>
      <c r="M80" s="68">
        <f t="shared" si="23"/>
        <v>6.0620919699001377</v>
      </c>
      <c r="N80" s="273">
        <f>IF($I$2="RRO (Capped)",VLOOKUP(A80,'Misc. Data &amp; Mechanisms'!$A$1278:$E$1368,4,FALSE),IF($I$2="RRO (Uncapped)",VLOOKUP(A80,'Misc. Data &amp; Mechanisms'!$G$1278:$K$1368,4,FALSE),AS80))</f>
        <v>4.72</v>
      </c>
      <c r="O80" s="333">
        <f t="shared" si="35"/>
        <v>37.599900212163718</v>
      </c>
      <c r="P80" s="336">
        <v>3.7008999999999999</v>
      </c>
      <c r="Q80" s="333">
        <f t="shared" si="24"/>
        <v>29.481667520168791</v>
      </c>
      <c r="R80" s="337">
        <v>2.1341999999999999</v>
      </c>
      <c r="S80" s="337">
        <v>0.75770000000000004</v>
      </c>
      <c r="T80" s="338">
        <f t="shared" si="25"/>
        <v>17.001209117118602</v>
      </c>
      <c r="U80" s="333">
        <f t="shared" si="26"/>
        <v>21.215600000000002</v>
      </c>
      <c r="V80" s="205">
        <f>VLOOKUP($A80,'Misc. Data &amp; Mechanisms'!$A$63:$DY$152,HLOOKUP('Service Zone Menu'!$K$5&amp;"_FORTIS_Elec_Y_1",'Misc. Data &amp; Mechanisms'!$A$55:$DY$62,8,FALSE), FALSE)</f>
        <v>0.107</v>
      </c>
      <c r="W80" s="205">
        <f>VLOOKUP($A80,'Misc. Data &amp; Mechanisms'!$A$63:$DY$152,HLOOKUP('Service Zone Menu'!$K$5&amp;"_FORTIS_Elec_Y_2",'Misc. Data &amp; Mechanisms'!$A$55:$DY$62,8,FALSE), FALSE)</f>
        <v>6.7000000000000002E-3</v>
      </c>
      <c r="X80" s="338">
        <f t="shared" si="27"/>
        <v>7.2437370001897516</v>
      </c>
      <c r="Y80" s="333">
        <f t="shared" si="28"/>
        <v>0.45357979346982558</v>
      </c>
      <c r="Z80" s="336">
        <v>0.31669999999999998</v>
      </c>
      <c r="AA80" s="339">
        <v>3.4599999999999999E-2</v>
      </c>
      <c r="AB80" s="339"/>
      <c r="AC80" s="1495">
        <v>-9.5000000000000001E-2</v>
      </c>
      <c r="AD80" s="339"/>
      <c r="AE80" s="338">
        <f t="shared" si="29"/>
        <v>2.5228577112695438</v>
      </c>
      <c r="AF80" s="338">
        <f t="shared" si="30"/>
        <v>1.02006569619784</v>
      </c>
      <c r="AG80" s="338">
        <f t="shared" si="31"/>
        <v>-0.75677765257532903</v>
      </c>
      <c r="AH80" s="333">
        <f t="shared" si="32"/>
        <v>0</v>
      </c>
      <c r="AI80" s="200">
        <f>IF(OR($I$2="RRO (Capped)",$I$2="RRO (Uncapped)"),VLOOKUP(A80,'Misc. Data &amp; Mechanisms'!$A$1483:$H$1574,4,FALSE),AT80)</f>
        <v>5.46</v>
      </c>
      <c r="AJ80" s="333">
        <f t="shared" si="45"/>
        <v>5.46</v>
      </c>
      <c r="AK80" s="340">
        <f>5%</f>
        <v>0.05</v>
      </c>
      <c r="AL80" s="341">
        <f>'Misc. Data &amp; Mechanisms'!AJ353</f>
        <v>706.9344953774247</v>
      </c>
      <c r="AM80" s="1087">
        <f>'Misc. Data &amp; Mechanisms'!AP353</f>
        <v>581.59576765137035</v>
      </c>
      <c r="AN80" s="1087">
        <f>'Misc. Data &amp; Mechanisms'!Q353</f>
        <v>796.60805534245162</v>
      </c>
      <c r="AO80" s="1087">
        <f>'Misc. Data &amp; Mechanisms'!R353</f>
        <v>604.55195707628764</v>
      </c>
      <c r="AP80" s="1087">
        <f>'Misc. Data &amp; Mechanisms'!S353</f>
        <v>447.40867639502488</v>
      </c>
      <c r="AQ80" s="1463">
        <f>'Misc. Data &amp; Mechanisms'!$B$259</f>
        <v>611.34673880086393</v>
      </c>
      <c r="AR80" s="197">
        <f>IFERROR(IF('Personalized Bill Menu'!$B$30="Yes", IF('Personalized Bill Menu'!$B$34="Natural Gas",0,VLOOKUP($A80, 'Personalized Bill Menu'!$H$4:$L$93, 2, FALSE)), 0), 0)</f>
        <v>0</v>
      </c>
      <c r="AS80" s="1343">
        <f>IFERROR(IF('Personalized Bill Menu'!$C$36="Custom", IF('Personalized Bill Menu'!$B$34="Natural Gas",0,VLOOKUP($A80, 'Personalized Bill Menu'!$H$4:$L$93, 3, FALSE)), 0), 0)</f>
        <v>0</v>
      </c>
      <c r="AT80" s="1344">
        <f>IFERROR(IF('Personalized Bill Menu'!$C$36="Custom", IF('Personalized Bill Menu'!$B$34="Natural Gas",0,VLOOKUP($A80, 'Personalized Bill Menu'!$H$4:$L$93, 4, FALSE)), 0), 0)</f>
        <v>0</v>
      </c>
    </row>
    <row r="81" spans="1:46" x14ac:dyDescent="0.35">
      <c r="A81" s="206">
        <v>43160</v>
      </c>
      <c r="B81" s="207">
        <f t="shared" si="33"/>
        <v>31</v>
      </c>
      <c r="C81" s="226">
        <f t="shared" si="36"/>
        <v>754.66261046885438</v>
      </c>
      <c r="D81" s="178">
        <f t="shared" si="37"/>
        <v>16.330828227499474</v>
      </c>
      <c r="E81" s="178">
        <f t="shared" si="38"/>
        <v>11.9314671105</v>
      </c>
      <c r="F81" s="86">
        <f t="shared" si="39"/>
        <v>123.24265461283207</v>
      </c>
      <c r="G81" s="115">
        <f t="shared" si="40"/>
        <v>34.073016862668773</v>
      </c>
      <c r="H81" s="66">
        <f t="shared" si="41"/>
        <v>27.929308550841832</v>
      </c>
      <c r="I81" s="66">
        <f t="shared" si="34"/>
        <v>39.594709432626289</v>
      </c>
      <c r="J81" s="66">
        <f t="shared" si="42"/>
        <v>7.6774808447203258</v>
      </c>
      <c r="K81" s="66">
        <f t="shared" si="43"/>
        <v>2.6394410832685771</v>
      </c>
      <c r="L81" s="66">
        <f t="shared" si="44"/>
        <v>5.46</v>
      </c>
      <c r="M81" s="68">
        <f t="shared" si="23"/>
        <v>5.8686978387062894</v>
      </c>
      <c r="N81" s="273">
        <f>IF($I$2="RRO (Capped)",VLOOKUP(A81,'Misc. Data &amp; Mechanisms'!$A$1278:$E$1368,4,FALSE),IF($I$2="RRO (Uncapped)",VLOOKUP(A81,'Misc. Data &amp; Mechanisms'!$G$1278:$K$1368,4,FALSE),AS81))</f>
        <v>4.5149999999999997</v>
      </c>
      <c r="O81" s="333">
        <f t="shared" si="35"/>
        <v>34.073016862668773</v>
      </c>
      <c r="P81" s="336">
        <v>3.7008999999999999</v>
      </c>
      <c r="Q81" s="333">
        <f t="shared" si="24"/>
        <v>27.929308550841832</v>
      </c>
      <c r="R81" s="337">
        <v>2.1341999999999999</v>
      </c>
      <c r="S81" s="337">
        <v>0.75770000000000004</v>
      </c>
      <c r="T81" s="338">
        <f t="shared" si="25"/>
        <v>16.106009432626291</v>
      </c>
      <c r="U81" s="333">
        <f t="shared" si="26"/>
        <v>23.488700000000001</v>
      </c>
      <c r="V81" s="205">
        <f>VLOOKUP($A81,'Misc. Data &amp; Mechanisms'!$A$63:$DY$152,HLOOKUP('Service Zone Menu'!$K$5&amp;"_FORTIS_Elec_Y_1",'Misc. Data &amp; Mechanisms'!$A$55:$DY$62,8,FALSE), FALSE)</f>
        <v>0.107</v>
      </c>
      <c r="W81" s="205">
        <f>VLOOKUP($A81,'Misc. Data &amp; Mechanisms'!$A$63:$DY$152,HLOOKUP('Service Zone Menu'!$K$5&amp;"_FORTIS_Elec_Y_2",'Misc. Data &amp; Mechanisms'!$A$55:$DY$62,8,FALSE), FALSE)</f>
        <v>6.7000000000000002E-3</v>
      </c>
      <c r="X81" s="338">
        <f t="shared" si="27"/>
        <v>7.2250699242310894</v>
      </c>
      <c r="Y81" s="333">
        <f t="shared" si="28"/>
        <v>0.45241092048923648</v>
      </c>
      <c r="Z81" s="336">
        <v>0.31669999999999998</v>
      </c>
      <c r="AA81" s="339">
        <v>3.4599999999999999E-2</v>
      </c>
      <c r="AB81" s="339"/>
      <c r="AC81" s="1495">
        <v>-9.5000000000000001E-2</v>
      </c>
      <c r="AD81" s="339"/>
      <c r="AE81" s="338">
        <f t="shared" si="29"/>
        <v>2.3900164873548615</v>
      </c>
      <c r="AF81" s="338">
        <f t="shared" si="30"/>
        <v>0.96635407585912736</v>
      </c>
      <c r="AG81" s="338">
        <f t="shared" si="31"/>
        <v>-0.71692947994541167</v>
      </c>
      <c r="AH81" s="333">
        <f t="shared" si="32"/>
        <v>0</v>
      </c>
      <c r="AI81" s="200">
        <f>IF(OR($I$2="RRO (Capped)",$I$2="RRO (Uncapped)"),VLOOKUP(A81,'Misc. Data &amp; Mechanisms'!$A$1483:$H$1574,4,FALSE),AT81)</f>
        <v>5.46</v>
      </c>
      <c r="AJ81" s="333">
        <f t="shared" si="45"/>
        <v>5.46</v>
      </c>
      <c r="AK81" s="340">
        <f>5%</f>
        <v>0.05</v>
      </c>
      <c r="AL81" s="341">
        <f>'Misc. Data &amp; Mechanisms'!AJ354</f>
        <v>669.71081717553807</v>
      </c>
      <c r="AM81" s="1087">
        <f>'Misc. Data &amp; Mechanisms'!AP354</f>
        <v>568.53312804327993</v>
      </c>
      <c r="AN81" s="1087">
        <f>'Misc. Data &amp; Mechanisms'!Q354</f>
        <v>754.66261046885438</v>
      </c>
      <c r="AO81" s="1087">
        <f>'Misc. Data &amp; Mechanisms'!R354</f>
        <v>572.71923756171077</v>
      </c>
      <c r="AP81" s="1087">
        <f>'Misc. Data &amp; Mechanisms'!S354</f>
        <v>423.85034573813857</v>
      </c>
      <c r="AQ81" s="1463">
        <f>'Misc. Data &amp; Mechanisms'!$B$259</f>
        <v>611.34673880086393</v>
      </c>
      <c r="AR81" s="197">
        <f>IFERROR(IF('Personalized Bill Menu'!$B$30="Yes", IF('Personalized Bill Menu'!$B$34="Natural Gas",0,VLOOKUP($A81, 'Personalized Bill Menu'!$H$4:$L$93, 2, FALSE)), 0), 0)</f>
        <v>0</v>
      </c>
      <c r="AS81" s="1343">
        <f>IFERROR(IF('Personalized Bill Menu'!$C$36="Custom", IF('Personalized Bill Menu'!$B$34="Natural Gas",0,VLOOKUP($A81, 'Personalized Bill Menu'!$H$4:$L$93, 3, FALSE)), 0), 0)</f>
        <v>0</v>
      </c>
      <c r="AT81" s="1344">
        <f>IFERROR(IF('Personalized Bill Menu'!$C$36="Custom", IF('Personalized Bill Menu'!$B$34="Natural Gas",0,VLOOKUP($A81, 'Personalized Bill Menu'!$H$4:$L$93, 4, FALSE)), 0), 0)</f>
        <v>0</v>
      </c>
    </row>
    <row r="82" spans="1:46" x14ac:dyDescent="0.35">
      <c r="A82" s="206">
        <v>43191</v>
      </c>
      <c r="B82" s="207">
        <f t="shared" si="33"/>
        <v>30</v>
      </c>
      <c r="C82" s="226">
        <f t="shared" si="36"/>
        <v>664.97357077327115</v>
      </c>
      <c r="D82" s="178">
        <f t="shared" si="37"/>
        <v>19.100997862035488</v>
      </c>
      <c r="E82" s="178">
        <f t="shared" si="38"/>
        <v>14.37721215</v>
      </c>
      <c r="F82" s="86">
        <f t="shared" si="39"/>
        <v>127.01658753650358</v>
      </c>
      <c r="G82" s="115">
        <f t="shared" si="40"/>
        <v>45.21820281258244</v>
      </c>
      <c r="H82" s="66">
        <f t="shared" si="41"/>
        <v>24.610006880747992</v>
      </c>
      <c r="I82" s="66">
        <f t="shared" si="34"/>
        <v>37.307814948008684</v>
      </c>
      <c r="J82" s="66">
        <f t="shared" si="42"/>
        <v>7.0400563419296338</v>
      </c>
      <c r="K82" s="66">
        <f t="shared" si="43"/>
        <v>2.4520976229251437</v>
      </c>
      <c r="L82" s="66">
        <f t="shared" si="44"/>
        <v>4.34</v>
      </c>
      <c r="M82" s="68">
        <f t="shared" si="23"/>
        <v>6.0484089303096944</v>
      </c>
      <c r="N82" s="273">
        <f>IF($I$2="RRO (Capped)",VLOOKUP(A82,'Misc. Data &amp; Mechanisms'!$A$1278:$E$1368,4,FALSE),IF($I$2="RRO (Uncapped)",VLOOKUP(A82,'Misc. Data &amp; Mechanisms'!$G$1278:$K$1368,4,FALSE),AS82))</f>
        <v>6.8</v>
      </c>
      <c r="O82" s="333">
        <f t="shared" si="35"/>
        <v>45.21820281258244</v>
      </c>
      <c r="P82" s="336">
        <v>3.7008999999999999</v>
      </c>
      <c r="Q82" s="333">
        <f t="shared" si="24"/>
        <v>24.610006880747992</v>
      </c>
      <c r="R82" s="337">
        <v>2.1568999999999998</v>
      </c>
      <c r="S82" s="337">
        <v>0.76549999999999996</v>
      </c>
      <c r="T82" s="338">
        <f t="shared" si="25"/>
        <v>14.342814948008684</v>
      </c>
      <c r="U82" s="333">
        <f t="shared" si="26"/>
        <v>22.965</v>
      </c>
      <c r="V82" s="205">
        <f>VLOOKUP($A82,'Misc. Data &amp; Mechanisms'!$A$63:$DY$152,HLOOKUP('Service Zone Menu'!$K$5&amp;"_FORTIS_Elec_Y_1",'Misc. Data &amp; Mechanisms'!$A$55:$DY$62,8,FALSE), FALSE)</f>
        <v>0.107</v>
      </c>
      <c r="W82" s="205">
        <f>VLOOKUP($A82,'Misc. Data &amp; Mechanisms'!$A$63:$DY$152,HLOOKUP('Service Zone Menu'!$K$5&amp;"_FORTIS_Elec_Y_2",'Misc. Data &amp; Mechanisms'!$A$55:$DY$62,8,FALSE), FALSE)</f>
        <v>6.7000000000000002E-3</v>
      </c>
      <c r="X82" s="338">
        <f t="shared" si="27"/>
        <v>6.6252069356769638</v>
      </c>
      <c r="Y82" s="333">
        <f t="shared" si="28"/>
        <v>0.41484940625266969</v>
      </c>
      <c r="Z82" s="336">
        <v>0.31669999999999998</v>
      </c>
      <c r="AA82" s="339">
        <v>3.4599999999999999E-2</v>
      </c>
      <c r="AB82" s="339"/>
      <c r="AC82" s="1495">
        <v>-7.5999999999999998E-2</v>
      </c>
      <c r="AD82" s="339"/>
      <c r="AE82" s="338">
        <f t="shared" si="29"/>
        <v>2.1059712986389494</v>
      </c>
      <c r="AF82" s="338">
        <f t="shared" si="30"/>
        <v>0.85150623807388048</v>
      </c>
      <c r="AG82" s="338">
        <f t="shared" si="31"/>
        <v>-0.50537991378768599</v>
      </c>
      <c r="AH82" s="333">
        <f t="shared" si="32"/>
        <v>0</v>
      </c>
      <c r="AI82" s="200">
        <f>IF(OR($I$2="RRO (Capped)",$I$2="RRO (Uncapped)"),VLOOKUP(A82,'Misc. Data &amp; Mechanisms'!$A$1483:$H$1574,4,FALSE),AT82)</f>
        <v>4.34</v>
      </c>
      <c r="AJ82" s="333">
        <f t="shared" si="45"/>
        <v>4.34</v>
      </c>
      <c r="AK82" s="340">
        <f>5%</f>
        <v>0.05</v>
      </c>
      <c r="AL82" s="341">
        <f>'Misc. Data &amp; Mechanisms'!AJ355</f>
        <v>590.11800413170533</v>
      </c>
      <c r="AM82" s="1087">
        <f>'Misc. Data &amp; Mechanisms'!AP355</f>
        <v>506.02516903018198</v>
      </c>
      <c r="AN82" s="1087">
        <f>'Misc. Data &amp; Mechanisms'!Q355</f>
        <v>664.97357077327115</v>
      </c>
      <c r="AO82" s="1087">
        <f>'Misc. Data &amp; Mechanisms'!R355</f>
        <v>504.65353810936409</v>
      </c>
      <c r="AP82" s="1087">
        <f>'Misc. Data &amp; Mechanisms'!S355</f>
        <v>373.47719890862106</v>
      </c>
      <c r="AQ82" s="1463">
        <f>'Misc. Data &amp; Mechanisms'!$B$259</f>
        <v>611.34673880086393</v>
      </c>
      <c r="AR82" s="197">
        <f>IFERROR(IF('Personalized Bill Menu'!$B$30="Yes", IF('Personalized Bill Menu'!$B$34="Natural Gas",0,VLOOKUP($A82, 'Personalized Bill Menu'!$H$4:$L$93, 2, FALSE)), 0), 0)</f>
        <v>0</v>
      </c>
      <c r="AS82" s="1343">
        <f>IFERROR(IF('Personalized Bill Menu'!$C$36="Custom", IF('Personalized Bill Menu'!$B$34="Natural Gas",0,VLOOKUP($A82, 'Personalized Bill Menu'!$H$4:$L$93, 3, FALSE)), 0), 0)</f>
        <v>0</v>
      </c>
      <c r="AT82" s="1344">
        <f>IFERROR(IF('Personalized Bill Menu'!$C$36="Custom", IF('Personalized Bill Menu'!$B$34="Natural Gas",0,VLOOKUP($A82, 'Personalized Bill Menu'!$H$4:$L$93, 4, FALSE)), 0), 0)</f>
        <v>0</v>
      </c>
    </row>
    <row r="83" spans="1:46" x14ac:dyDescent="0.35">
      <c r="A83" s="206">
        <v>43221</v>
      </c>
      <c r="B83" s="207">
        <f t="shared" si="33"/>
        <v>31</v>
      </c>
      <c r="C83" s="226">
        <f t="shared" si="36"/>
        <v>623.15875840926901</v>
      </c>
      <c r="D83" s="178">
        <f t="shared" si="37"/>
        <v>18.187935818833918</v>
      </c>
      <c r="E83" s="178">
        <f t="shared" si="38"/>
        <v>12.81481215</v>
      </c>
      <c r="F83" s="86">
        <f t="shared" si="39"/>
        <v>113.33971502892014</v>
      </c>
      <c r="G83" s="115">
        <f t="shared" si="40"/>
        <v>33.102193246700374</v>
      </c>
      <c r="H83" s="66">
        <f t="shared" si="41"/>
        <v>23.062482489968637</v>
      </c>
      <c r="I83" s="66">
        <f t="shared" si="34"/>
        <v>37.171411260129517</v>
      </c>
      <c r="J83" s="66">
        <f t="shared" si="42"/>
        <v>6.8485937193861597</v>
      </c>
      <c r="K83" s="66">
        <f t="shared" si="43"/>
        <v>2.2979050256440252</v>
      </c>
      <c r="L83" s="66">
        <f t="shared" si="44"/>
        <v>5.46</v>
      </c>
      <c r="M83" s="68">
        <f t="shared" si="23"/>
        <v>5.3971292870914356</v>
      </c>
      <c r="N83" s="273">
        <f>IF($I$2="RRO (Capped)",VLOOKUP(A83,'Misc. Data &amp; Mechanisms'!$A$1278:$E$1368,4,FALSE),IF($I$2="RRO (Uncapped)",VLOOKUP(A83,'Misc. Data &amp; Mechanisms'!$G$1278:$K$1368,4,FALSE),AS83))</f>
        <v>5.3120000000000003</v>
      </c>
      <c r="O83" s="333">
        <f t="shared" si="35"/>
        <v>33.102193246700374</v>
      </c>
      <c r="P83" s="336">
        <v>3.7008999999999999</v>
      </c>
      <c r="Q83" s="333">
        <f t="shared" si="24"/>
        <v>23.062482489968637</v>
      </c>
      <c r="R83" s="337">
        <v>2.1568999999999998</v>
      </c>
      <c r="S83" s="337">
        <v>0.76549999999999996</v>
      </c>
      <c r="T83" s="338">
        <f t="shared" si="25"/>
        <v>13.440911260129521</v>
      </c>
      <c r="U83" s="333">
        <f t="shared" si="26"/>
        <v>23.730499999999999</v>
      </c>
      <c r="V83" s="205">
        <f>VLOOKUP($A83,'Misc. Data &amp; Mechanisms'!$A$63:$DY$152,HLOOKUP('Service Zone Menu'!$K$5&amp;"_FORTIS_Elec_Y_1",'Misc. Data &amp; Mechanisms'!$A$55:$DY$62,8,FALSE), FALSE)</f>
        <v>0.107</v>
      </c>
      <c r="W83" s="205">
        <f>VLOOKUP($A83,'Misc. Data &amp; Mechanisms'!$A$63:$DY$152,HLOOKUP('Service Zone Menu'!$K$5&amp;"_FORTIS_Elec_Y_2",'Misc. Data &amp; Mechanisms'!$A$55:$DY$62,8,FALSE), FALSE)</f>
        <v>6.7000000000000002E-3</v>
      </c>
      <c r="X83" s="338">
        <f t="shared" si="27"/>
        <v>6.445026631260502</v>
      </c>
      <c r="Y83" s="333">
        <f t="shared" si="28"/>
        <v>0.40356708812565767</v>
      </c>
      <c r="Z83" s="336">
        <v>0.31669999999999998</v>
      </c>
      <c r="AA83" s="339">
        <v>3.4599999999999999E-2</v>
      </c>
      <c r="AB83" s="339"/>
      <c r="AC83" s="1495">
        <v>-7.5999999999999998E-2</v>
      </c>
      <c r="AD83" s="339"/>
      <c r="AE83" s="338">
        <f t="shared" si="29"/>
        <v>1.9735437878821547</v>
      </c>
      <c r="AF83" s="338">
        <f t="shared" si="30"/>
        <v>0.79796189415291485</v>
      </c>
      <c r="AG83" s="338">
        <f t="shared" si="31"/>
        <v>-0.47360065639104443</v>
      </c>
      <c r="AH83" s="333">
        <f t="shared" si="32"/>
        <v>0</v>
      </c>
      <c r="AI83" s="200">
        <f>IF(OR($I$2="RRO (Capped)",$I$2="RRO (Uncapped)"),VLOOKUP(A83,'Misc. Data &amp; Mechanisms'!$A$1483:$H$1574,4,FALSE),AT83)</f>
        <v>5.46</v>
      </c>
      <c r="AJ83" s="333">
        <f t="shared" si="45"/>
        <v>5.46</v>
      </c>
      <c r="AK83" s="340">
        <f>5%</f>
        <v>0.05</v>
      </c>
      <c r="AL83" s="341">
        <f>'Misc. Data &amp; Mechanisms'!AJ356</f>
        <v>553.01025323764748</v>
      </c>
      <c r="AM83" s="1087">
        <f>'Misc. Data &amp; Mechanisms'!AP356</f>
        <v>483.37546804743926</v>
      </c>
      <c r="AN83" s="1087">
        <f>'Misc. Data &amp; Mechanisms'!Q356</f>
        <v>623.15875840926901</v>
      </c>
      <c r="AO83" s="1087">
        <f>'Misc. Data &amp; Mechanisms'!R356</f>
        <v>472.91995660726889</v>
      </c>
      <c r="AP83" s="1087">
        <f>'Misc. Data &amp; Mechanisms'!S356</f>
        <v>349.99223697782304</v>
      </c>
      <c r="AQ83" s="1463">
        <f>'Misc. Data &amp; Mechanisms'!$B$259</f>
        <v>611.34673880086393</v>
      </c>
      <c r="AR83" s="197">
        <f>IFERROR(IF('Personalized Bill Menu'!$B$30="Yes", IF('Personalized Bill Menu'!$B$34="Natural Gas",0,VLOOKUP($A83, 'Personalized Bill Menu'!$H$4:$L$93, 2, FALSE)), 0), 0)</f>
        <v>0</v>
      </c>
      <c r="AS83" s="1343">
        <f>IFERROR(IF('Personalized Bill Menu'!$C$36="Custom", IF('Personalized Bill Menu'!$B$34="Natural Gas",0,VLOOKUP($A83, 'Personalized Bill Menu'!$H$4:$L$93, 3, FALSE)), 0), 0)</f>
        <v>0</v>
      </c>
      <c r="AT83" s="1344">
        <f>IFERROR(IF('Personalized Bill Menu'!$C$36="Custom", IF('Personalized Bill Menu'!$B$34="Natural Gas",0,VLOOKUP($A83, 'Personalized Bill Menu'!$H$4:$L$93, 4, FALSE)), 0), 0)</f>
        <v>0</v>
      </c>
    </row>
    <row r="84" spans="1:46" x14ac:dyDescent="0.35">
      <c r="A84" s="206">
        <v>43252</v>
      </c>
      <c r="B84" s="207">
        <f t="shared" si="33"/>
        <v>30</v>
      </c>
      <c r="C84" s="226">
        <f t="shared" si="36"/>
        <v>619.86330660189458</v>
      </c>
      <c r="D84" s="178">
        <f t="shared" si="37"/>
        <v>18.62858842009377</v>
      </c>
      <c r="E84" s="178">
        <f t="shared" si="38"/>
        <v>13.371312149999998</v>
      </c>
      <c r="F84" s="86">
        <f t="shared" si="39"/>
        <v>115.47178415405088</v>
      </c>
      <c r="G84" s="115">
        <f t="shared" si="40"/>
        <v>36.212414371682684</v>
      </c>
      <c r="H84" s="66">
        <f t="shared" si="41"/>
        <v>22.940521114029515</v>
      </c>
      <c r="I84" s="66">
        <f t="shared" si="34"/>
        <v>36.334831660096263</v>
      </c>
      <c r="J84" s="66">
        <f t="shared" si="42"/>
        <v>6.7396076104181013</v>
      </c>
      <c r="K84" s="66">
        <f t="shared" si="43"/>
        <v>2.2857530095361809</v>
      </c>
      <c r="L84" s="66">
        <f t="shared" si="44"/>
        <v>5.46</v>
      </c>
      <c r="M84" s="68">
        <f t="shared" si="23"/>
        <v>5.4986563882881372</v>
      </c>
      <c r="N84" s="273">
        <f>IF($I$2="RRO (Capped)",VLOOKUP(A84,'Misc. Data &amp; Mechanisms'!$A$1278:$E$1368,4,FALSE),IF($I$2="RRO (Uncapped)",VLOOKUP(A84,'Misc. Data &amp; Mechanisms'!$G$1278:$K$1368,4,FALSE),AS84))</f>
        <v>5.8419999999999996</v>
      </c>
      <c r="O84" s="333">
        <f t="shared" si="35"/>
        <v>36.212414371682684</v>
      </c>
      <c r="P84" s="336">
        <v>3.7008999999999999</v>
      </c>
      <c r="Q84" s="333">
        <f t="shared" si="24"/>
        <v>22.940521114029515</v>
      </c>
      <c r="R84" s="337">
        <v>2.1568999999999998</v>
      </c>
      <c r="S84" s="337">
        <v>0.76549999999999996</v>
      </c>
      <c r="T84" s="338">
        <f t="shared" si="25"/>
        <v>13.369831660096263</v>
      </c>
      <c r="U84" s="333">
        <f t="shared" si="26"/>
        <v>22.965</v>
      </c>
      <c r="V84" s="205">
        <f>VLOOKUP($A84,'Misc. Data &amp; Mechanisms'!$A$63:$DY$152,HLOOKUP('Service Zone Menu'!$K$5&amp;"_FORTIS_Elec_Y_1",'Misc. Data &amp; Mechanisms'!$A$55:$DY$62,8,FALSE), FALSE)</f>
        <v>0.107</v>
      </c>
      <c r="W84" s="205">
        <f>VLOOKUP($A84,'Misc. Data &amp; Mechanisms'!$A$63:$DY$152,HLOOKUP('Service Zone Menu'!$K$5&amp;"_FORTIS_Elec_Y_2",'Misc. Data &amp; Mechanisms'!$A$55:$DY$62,8,FALSE), FALSE)</f>
        <v>6.7000000000000002E-3</v>
      </c>
      <c r="X84" s="338">
        <f t="shared" si="27"/>
        <v>6.3424627468314583</v>
      </c>
      <c r="Y84" s="333">
        <f t="shared" si="28"/>
        <v>0.39714486358664275</v>
      </c>
      <c r="Z84" s="336">
        <v>0.31669999999999998</v>
      </c>
      <c r="AA84" s="339">
        <v>3.4599999999999999E-2</v>
      </c>
      <c r="AB84" s="339"/>
      <c r="AC84" s="1495">
        <v>-7.5999999999999998E-2</v>
      </c>
      <c r="AD84" s="339"/>
      <c r="AE84" s="338">
        <f t="shared" si="29"/>
        <v>1.9631070920081999</v>
      </c>
      <c r="AF84" s="338">
        <f t="shared" si="30"/>
        <v>0.79374203054542114</v>
      </c>
      <c r="AG84" s="338">
        <f t="shared" si="31"/>
        <v>-0.47109611301743987</v>
      </c>
      <c r="AH84" s="333">
        <f t="shared" si="32"/>
        <v>0</v>
      </c>
      <c r="AI84" s="200">
        <f>IF(OR($I$2="RRO (Capped)",$I$2="RRO (Uncapped)"),VLOOKUP(A84,'Misc. Data &amp; Mechanisms'!$A$1483:$H$1574,4,FALSE),AT84)</f>
        <v>5.46</v>
      </c>
      <c r="AJ84" s="333">
        <f t="shared" si="45"/>
        <v>5.46</v>
      </c>
      <c r="AK84" s="340">
        <f>5%</f>
        <v>0.05</v>
      </c>
      <c r="AL84" s="341">
        <f>'Misc. Data &amp; Mechanisms'!AJ357</f>
        <v>550.08576792160909</v>
      </c>
      <c r="AM84" s="1087">
        <f>'Misc. Data &amp; Mechanisms'!AP357</f>
        <v>467.79601809836407</v>
      </c>
      <c r="AN84" s="1087">
        <f>'Misc. Data &amp; Mechanisms'!Q357</f>
        <v>619.86330660189458</v>
      </c>
      <c r="AO84" s="1087">
        <f>'Misc. Data &amp; Mechanisms'!R357</f>
        <v>470.41901297980036</v>
      </c>
      <c r="AP84" s="1087">
        <f>'Misc. Data &amp; Mechanisms'!S357</f>
        <v>348.14137227544796</v>
      </c>
      <c r="AQ84" s="1463">
        <f>'Misc. Data &amp; Mechanisms'!$B$259</f>
        <v>611.34673880086393</v>
      </c>
      <c r="AR84" s="197">
        <f>IFERROR(IF('Personalized Bill Menu'!$B$30="Yes", IF('Personalized Bill Menu'!$B$34="Natural Gas",0,VLOOKUP($A84, 'Personalized Bill Menu'!$H$4:$L$93, 2, FALSE)), 0), 0)</f>
        <v>0</v>
      </c>
      <c r="AS84" s="1343">
        <f>IFERROR(IF('Personalized Bill Menu'!$C$36="Custom", IF('Personalized Bill Menu'!$B$34="Natural Gas",0,VLOOKUP($A84, 'Personalized Bill Menu'!$H$4:$L$93, 3, FALSE)), 0), 0)</f>
        <v>0</v>
      </c>
      <c r="AT84" s="1344">
        <f>IFERROR(IF('Personalized Bill Menu'!$C$36="Custom", IF('Personalized Bill Menu'!$B$34="Natural Gas",0,VLOOKUP($A84, 'Personalized Bill Menu'!$H$4:$L$93, 4, FALSE)), 0), 0)</f>
        <v>0</v>
      </c>
    </row>
    <row r="85" spans="1:46" x14ac:dyDescent="0.35">
      <c r="A85" s="206">
        <v>43282</v>
      </c>
      <c r="B85" s="207">
        <f t="shared" si="33"/>
        <v>31</v>
      </c>
      <c r="C85" s="226">
        <f t="shared" si="36"/>
        <v>668.33416200973431</v>
      </c>
      <c r="D85" s="178">
        <f t="shared" si="37"/>
        <v>19.522526755954161</v>
      </c>
      <c r="E85" s="178">
        <f t="shared" si="38"/>
        <v>14.505883391999999</v>
      </c>
      <c r="F85" s="86">
        <f t="shared" si="39"/>
        <v>130.4757155975324</v>
      </c>
      <c r="G85" s="115">
        <f t="shared" si="40"/>
        <v>45.446723016661934</v>
      </c>
      <c r="H85" s="66">
        <f t="shared" si="41"/>
        <v>24.734379001818258</v>
      </c>
      <c r="I85" s="66">
        <f t="shared" si="34"/>
        <v>38.145799540387955</v>
      </c>
      <c r="J85" s="66">
        <f t="shared" si="42"/>
        <v>7.2626606216248168</v>
      </c>
      <c r="K85" s="66">
        <f t="shared" si="43"/>
        <v>3.2130241028712443</v>
      </c>
      <c r="L85" s="66">
        <f t="shared" si="44"/>
        <v>5.46</v>
      </c>
      <c r="M85" s="68">
        <f t="shared" si="23"/>
        <v>6.21312931416821</v>
      </c>
      <c r="N85" s="273">
        <f>IF($I$2="RRO (Capped)",VLOOKUP(A85,'Misc. Data &amp; Mechanisms'!$A$1278:$E$1368,4,FALSE),IF($I$2="RRO (Uncapped)",VLOOKUP(A85,'Misc. Data &amp; Mechanisms'!$G$1278:$K$1368,4,FALSE),AS85))</f>
        <v>6.8</v>
      </c>
      <c r="O85" s="333">
        <f t="shared" si="35"/>
        <v>45.446723016661934</v>
      </c>
      <c r="P85" s="336">
        <v>3.7008999999999999</v>
      </c>
      <c r="Q85" s="333">
        <f t="shared" si="24"/>
        <v>24.734379001818258</v>
      </c>
      <c r="R85" s="337">
        <v>2.1568999999999998</v>
      </c>
      <c r="S85" s="337">
        <v>0.76549999999999996</v>
      </c>
      <c r="T85" s="338">
        <f t="shared" si="25"/>
        <v>14.415299540387958</v>
      </c>
      <c r="U85" s="333">
        <f t="shared" si="26"/>
        <v>23.730499999999999</v>
      </c>
      <c r="V85" s="205">
        <f>VLOOKUP($A85,'Misc. Data &amp; Mechanisms'!$A$63:$DY$152,HLOOKUP('Service Zone Menu'!$K$5&amp;"_FORTIS_Elec_Y_1",'Misc. Data &amp; Mechanisms'!$A$55:$DY$62,8,FALSE), FALSE)</f>
        <v>0.107</v>
      </c>
      <c r="W85" s="205">
        <f>VLOOKUP($A85,'Misc. Data &amp; Mechanisms'!$A$63:$DY$152,HLOOKUP('Service Zone Menu'!$K$5&amp;"_FORTIS_Elec_Y_2",'Misc. Data &amp; Mechanisms'!$A$55:$DY$62,8,FALSE), FALSE)</f>
        <v>8.5000000000000006E-3</v>
      </c>
      <c r="X85" s="338">
        <f t="shared" si="27"/>
        <v>6.7281791040160641</v>
      </c>
      <c r="Y85" s="333">
        <f t="shared" si="28"/>
        <v>0.53448151760875284</v>
      </c>
      <c r="Z85" s="336">
        <v>0.31669999999999998</v>
      </c>
      <c r="AA85" s="339">
        <v>3.4599999999999999E-2</v>
      </c>
      <c r="AB85" s="339"/>
      <c r="AC85" s="1495">
        <v>3.5999999999999997E-2</v>
      </c>
      <c r="AD85" s="339"/>
      <c r="AE85" s="338">
        <f t="shared" si="29"/>
        <v>2.1166142910848285</v>
      </c>
      <c r="AF85" s="338">
        <f t="shared" si="30"/>
        <v>0.85580951346291168</v>
      </c>
      <c r="AG85" s="338">
        <f t="shared" si="31"/>
        <v>0.24060029832350432</v>
      </c>
      <c r="AH85" s="333">
        <f t="shared" si="32"/>
        <v>0</v>
      </c>
      <c r="AI85" s="200">
        <f>IF(OR($I$2="RRO (Capped)",$I$2="RRO (Uncapped)"),VLOOKUP(A85,'Misc. Data &amp; Mechanisms'!$A$1483:$H$1574,4,FALSE),AT85)</f>
        <v>5.46</v>
      </c>
      <c r="AJ85" s="333">
        <f t="shared" si="45"/>
        <v>5.46</v>
      </c>
      <c r="AK85" s="340">
        <f>5%</f>
        <v>0.05</v>
      </c>
      <c r="AL85" s="341">
        <f>'Misc. Data &amp; Mechanisms'!AJ358</f>
        <v>593.1002961810841</v>
      </c>
      <c r="AM85" s="1087">
        <f>'Misc. Data &amp; Mechanisms'!AP358</f>
        <v>502.25621542620064</v>
      </c>
      <c r="AN85" s="1087">
        <f>'Misc. Data &amp; Mechanisms'!Q358</f>
        <v>668.33416200973431</v>
      </c>
      <c r="AO85" s="1087">
        <f>'Misc. Data &amp; Mechanisms'!R358</f>
        <v>507.20391654868814</v>
      </c>
      <c r="AP85" s="1087">
        <f>'Misc. Data &amp; Mechanisms'!S358</f>
        <v>375.36464866126551</v>
      </c>
      <c r="AQ85" s="1463">
        <f>'Misc. Data &amp; Mechanisms'!$B$259</f>
        <v>611.34673880086393</v>
      </c>
      <c r="AR85" s="197">
        <f>IFERROR(IF('Personalized Bill Menu'!$B$30="Yes", IF('Personalized Bill Menu'!$B$34="Natural Gas",0,VLOOKUP($A85, 'Personalized Bill Menu'!$H$4:$L$93, 2, FALSE)), 0), 0)</f>
        <v>0</v>
      </c>
      <c r="AS85" s="1343">
        <f>IFERROR(IF('Personalized Bill Menu'!$C$36="Custom", IF('Personalized Bill Menu'!$B$34="Natural Gas",0,VLOOKUP($A85, 'Personalized Bill Menu'!$H$4:$L$93, 3, FALSE)), 0), 0)</f>
        <v>0</v>
      </c>
      <c r="AT85" s="1344">
        <f>IFERROR(IF('Personalized Bill Menu'!$C$36="Custom", IF('Personalized Bill Menu'!$B$34="Natural Gas",0,VLOOKUP($A85, 'Personalized Bill Menu'!$H$4:$L$93, 4, FALSE)), 0), 0)</f>
        <v>0</v>
      </c>
    </row>
    <row r="86" spans="1:46" x14ac:dyDescent="0.35">
      <c r="A86" s="206">
        <v>43313</v>
      </c>
      <c r="B86" s="207">
        <f t="shared" si="33"/>
        <v>31</v>
      </c>
      <c r="C86" s="226">
        <f t="shared" si="36"/>
        <v>650.46999359416395</v>
      </c>
      <c r="D86" s="178">
        <f t="shared" si="37"/>
        <v>19.660301231052308</v>
      </c>
      <c r="E86" s="178">
        <f t="shared" si="38"/>
        <v>14.505883391999999</v>
      </c>
      <c r="F86" s="86">
        <f t="shared" si="39"/>
        <v>127.88436015821929</v>
      </c>
      <c r="G86" s="115">
        <f t="shared" si="40"/>
        <v>44.231959564403155</v>
      </c>
      <c r="H86" s="66">
        <f t="shared" si="41"/>
        <v>24.073243992926415</v>
      </c>
      <c r="I86" s="66">
        <f t="shared" si="34"/>
        <v>37.760487291832519</v>
      </c>
      <c r="J86" s="66">
        <f t="shared" si="42"/>
        <v>7.1417959633896562</v>
      </c>
      <c r="K86" s="66">
        <f t="shared" si="43"/>
        <v>3.1271419095618702</v>
      </c>
      <c r="L86" s="66">
        <f t="shared" si="44"/>
        <v>5.46</v>
      </c>
      <c r="M86" s="68">
        <f t="shared" si="23"/>
        <v>6.0897314361056809</v>
      </c>
      <c r="N86" s="273">
        <f>IF($I$2="RRO (Capped)",VLOOKUP(A86,'Misc. Data &amp; Mechanisms'!$A$1278:$E$1368,4,FALSE),IF($I$2="RRO (Uncapped)",VLOOKUP(A86,'Misc. Data &amp; Mechanisms'!$G$1278:$K$1368,4,FALSE),AS86))</f>
        <v>6.8</v>
      </c>
      <c r="O86" s="333">
        <f t="shared" si="35"/>
        <v>44.231959564403155</v>
      </c>
      <c r="P86" s="336">
        <v>3.7008999999999999</v>
      </c>
      <c r="Q86" s="333">
        <f t="shared" si="24"/>
        <v>24.073243992926415</v>
      </c>
      <c r="R86" s="337">
        <v>2.1568999999999998</v>
      </c>
      <c r="S86" s="337">
        <v>0.76549999999999996</v>
      </c>
      <c r="T86" s="338">
        <f t="shared" si="25"/>
        <v>14.029987291832521</v>
      </c>
      <c r="U86" s="333">
        <f t="shared" si="26"/>
        <v>23.730499999999999</v>
      </c>
      <c r="V86" s="205">
        <f>VLOOKUP($A86,'Misc. Data &amp; Mechanisms'!$A$63:$DY$152,HLOOKUP('Service Zone Menu'!$K$5&amp;"_FORTIS_Elec_Y_1",'Misc. Data &amp; Mechanisms'!$A$55:$DY$62,8,FALSE), FALSE)</f>
        <v>0.107</v>
      </c>
      <c r="W86" s="205">
        <f>VLOOKUP($A86,'Misc. Data &amp; Mechanisms'!$A$63:$DY$152,HLOOKUP('Service Zone Menu'!$K$5&amp;"_FORTIS_Elec_Y_2",'Misc. Data &amp; Mechanisms'!$A$55:$DY$62,8,FALSE), FALSE)</f>
        <v>8.5000000000000006E-3</v>
      </c>
      <c r="X86" s="338">
        <f t="shared" si="27"/>
        <v>6.6162092474692056</v>
      </c>
      <c r="Y86" s="333">
        <f t="shared" si="28"/>
        <v>0.52558671592045092</v>
      </c>
      <c r="Z86" s="336">
        <v>0.31669999999999998</v>
      </c>
      <c r="AA86" s="339">
        <v>3.4599999999999999E-2</v>
      </c>
      <c r="AB86" s="339"/>
      <c r="AC86" s="1495">
        <v>3.5999999999999997E-2</v>
      </c>
      <c r="AD86" s="339"/>
      <c r="AE86" s="338">
        <f t="shared" si="29"/>
        <v>2.0600384697127172</v>
      </c>
      <c r="AF86" s="338">
        <f t="shared" si="30"/>
        <v>0.83293424215525391</v>
      </c>
      <c r="AG86" s="338">
        <f t="shared" si="31"/>
        <v>0.23416919769389899</v>
      </c>
      <c r="AH86" s="333">
        <f t="shared" si="32"/>
        <v>0</v>
      </c>
      <c r="AI86" s="200">
        <f>IF(OR($I$2="RRO (Capped)",$I$2="RRO (Uncapped)"),VLOOKUP(A86,'Misc. Data &amp; Mechanisms'!$A$1483:$H$1574,4,FALSE),AT86)</f>
        <v>5.46</v>
      </c>
      <c r="AJ86" s="333">
        <f t="shared" si="45"/>
        <v>5.46</v>
      </c>
      <c r="AK86" s="340">
        <f>5%</f>
        <v>0.05</v>
      </c>
      <c r="AL86" s="341">
        <f>'Misc. Data &amp; Mechanisms'!AJ359</f>
        <v>577.2470835509788</v>
      </c>
      <c r="AM86" s="1087">
        <f>'Misc. Data &amp; Mechanisms'!AP359</f>
        <v>494.66374590993314</v>
      </c>
      <c r="AN86" s="1087">
        <f>'Misc. Data &amp; Mechanisms'!Q359</f>
        <v>650.46999359416395</v>
      </c>
      <c r="AO86" s="1087">
        <f>'Misc. Data &amp; Mechanisms'!R359</f>
        <v>493.64666225688865</v>
      </c>
      <c r="AP86" s="1087">
        <f>'Misc. Data &amp; Mechanisms'!S359</f>
        <v>365.33137835712301</v>
      </c>
      <c r="AQ86" s="1463">
        <f>'Misc. Data &amp; Mechanisms'!$B$259</f>
        <v>611.34673880086393</v>
      </c>
      <c r="AR86" s="197">
        <f>IFERROR(IF('Personalized Bill Menu'!$B$30="Yes", IF('Personalized Bill Menu'!$B$34="Natural Gas",0,VLOOKUP($A86, 'Personalized Bill Menu'!$H$4:$L$93, 2, FALSE)), 0), 0)</f>
        <v>0</v>
      </c>
      <c r="AS86" s="1343">
        <f>IFERROR(IF('Personalized Bill Menu'!$C$36="Custom", IF('Personalized Bill Menu'!$B$34="Natural Gas",0,VLOOKUP($A86, 'Personalized Bill Menu'!$H$4:$L$93, 3, FALSE)), 0), 0)</f>
        <v>0</v>
      </c>
      <c r="AT86" s="1344">
        <f>IFERROR(IF('Personalized Bill Menu'!$C$36="Custom", IF('Personalized Bill Menu'!$B$34="Natural Gas",0,VLOOKUP($A86, 'Personalized Bill Menu'!$H$4:$L$93, 4, FALSE)), 0), 0)</f>
        <v>0</v>
      </c>
    </row>
    <row r="87" spans="1:46" x14ac:dyDescent="0.35">
      <c r="A87" s="206">
        <v>43344</v>
      </c>
      <c r="B87" s="207">
        <f t="shared" si="33"/>
        <v>30</v>
      </c>
      <c r="C87" s="226">
        <f t="shared" si="36"/>
        <v>627.25478131392958</v>
      </c>
      <c r="D87" s="178">
        <f t="shared" si="37"/>
        <v>19.70812837236446</v>
      </c>
      <c r="E87" s="178">
        <f t="shared" si="38"/>
        <v>14.505883391999999</v>
      </c>
      <c r="F87" s="86">
        <f t="shared" si="39"/>
        <v>123.62017752314321</v>
      </c>
      <c r="G87" s="115">
        <f t="shared" si="40"/>
        <v>42.653325129347216</v>
      </c>
      <c r="H87" s="66">
        <f t="shared" si="41"/>
        <v>23.21407220164722</v>
      </c>
      <c r="I87" s="66">
        <f t="shared" si="34"/>
        <v>36.494258378160147</v>
      </c>
      <c r="J87" s="66">
        <f t="shared" si="42"/>
        <v>6.8963121819677511</v>
      </c>
      <c r="K87" s="66">
        <f t="shared" si="43"/>
        <v>3.0155345118712233</v>
      </c>
      <c r="L87" s="66">
        <f t="shared" si="44"/>
        <v>5.46</v>
      </c>
      <c r="M87" s="68">
        <f t="shared" si="23"/>
        <v>5.8866751201496772</v>
      </c>
      <c r="N87" s="273">
        <f>IF($I$2="RRO (Capped)",VLOOKUP(A87,'Misc. Data &amp; Mechanisms'!$A$1278:$E$1368,4,FALSE),IF($I$2="RRO (Uncapped)",VLOOKUP(A87,'Misc. Data &amp; Mechanisms'!$G$1278:$K$1368,4,FALSE),AS87))</f>
        <v>6.8</v>
      </c>
      <c r="O87" s="333">
        <f t="shared" si="35"/>
        <v>42.653325129347216</v>
      </c>
      <c r="P87" s="336">
        <v>3.7008999999999999</v>
      </c>
      <c r="Q87" s="333">
        <f t="shared" si="24"/>
        <v>23.21407220164722</v>
      </c>
      <c r="R87" s="337">
        <v>2.1568999999999998</v>
      </c>
      <c r="S87" s="337">
        <v>0.76549999999999996</v>
      </c>
      <c r="T87" s="338">
        <f t="shared" si="25"/>
        <v>13.529258378160145</v>
      </c>
      <c r="U87" s="333">
        <f t="shared" si="26"/>
        <v>22.965</v>
      </c>
      <c r="V87" s="205">
        <f>VLOOKUP($A87,'Misc. Data &amp; Mechanisms'!$A$63:$DY$152,HLOOKUP('Service Zone Menu'!$K$5&amp;"_FORTIS_Elec_Y_1",'Misc. Data &amp; Mechanisms'!$A$55:$DY$62,8,FALSE), FALSE)</f>
        <v>0.107</v>
      </c>
      <c r="W87" s="205">
        <f>VLOOKUP($A87,'Misc. Data &amp; Mechanisms'!$A$63:$DY$152,HLOOKUP('Service Zone Menu'!$K$5&amp;"_FORTIS_Elec_Y_2",'Misc. Data &amp; Mechanisms'!$A$55:$DY$62,8,FALSE), FALSE)</f>
        <v>8.5000000000000006E-3</v>
      </c>
      <c r="X87" s="338">
        <f t="shared" si="27"/>
        <v>6.3887913720393881</v>
      </c>
      <c r="Y87" s="333">
        <f t="shared" si="28"/>
        <v>0.50752080992836268</v>
      </c>
      <c r="Z87" s="336">
        <v>0.31669999999999998</v>
      </c>
      <c r="AA87" s="339">
        <v>3.4599999999999999E-2</v>
      </c>
      <c r="AB87" s="339"/>
      <c r="AC87" s="1495">
        <v>3.5999999999999997E-2</v>
      </c>
      <c r="AD87" s="339"/>
      <c r="AE87" s="338">
        <f t="shared" si="29"/>
        <v>1.9865158924212147</v>
      </c>
      <c r="AF87" s="338">
        <f t="shared" si="30"/>
        <v>0.80320689817699376</v>
      </c>
      <c r="AG87" s="338">
        <f t="shared" si="31"/>
        <v>0.22581172127301463</v>
      </c>
      <c r="AH87" s="333">
        <f t="shared" si="32"/>
        <v>0</v>
      </c>
      <c r="AI87" s="200">
        <f>IF(OR($I$2="RRO (Capped)",$I$2="RRO (Uncapped)"),VLOOKUP(A87,'Misc. Data &amp; Mechanisms'!$A$1483:$H$1574,4,FALSE),AT87)</f>
        <v>5.46</v>
      </c>
      <c r="AJ87" s="333">
        <f t="shared" si="45"/>
        <v>5.46</v>
      </c>
      <c r="AK87" s="340">
        <f>5%</f>
        <v>0.05</v>
      </c>
      <c r="AL87" s="341">
        <f>'Misc. Data &amp; Mechanisms'!AJ360</f>
        <v>556.64518997440416</v>
      </c>
      <c r="AM87" s="1087">
        <f>'Misc. Data &amp; Mechanisms'!AP360</f>
        <v>476.3126833536345</v>
      </c>
      <c r="AN87" s="1087">
        <f>'Misc. Data &amp; Mechanisms'!Q360</f>
        <v>627.25478131392958</v>
      </c>
      <c r="AO87" s="1087">
        <f>'Misc. Data &amp; Mechanisms'!R360</f>
        <v>476.02845977471094</v>
      </c>
      <c r="AP87" s="1087">
        <f>'Misc. Data &amp; Mechanisms'!S360</f>
        <v>352.29273616806796</v>
      </c>
      <c r="AQ87" s="1463">
        <f>'Misc. Data &amp; Mechanisms'!$B$259</f>
        <v>611.34673880086393</v>
      </c>
      <c r="AR87" s="197">
        <f>IFERROR(IF('Personalized Bill Menu'!$B$30="Yes", IF('Personalized Bill Menu'!$B$34="Natural Gas",0,VLOOKUP($A87, 'Personalized Bill Menu'!$H$4:$L$93, 2, FALSE)), 0), 0)</f>
        <v>0</v>
      </c>
      <c r="AS87" s="1343">
        <f>IFERROR(IF('Personalized Bill Menu'!$C$36="Custom", IF('Personalized Bill Menu'!$B$34="Natural Gas",0,VLOOKUP($A87, 'Personalized Bill Menu'!$H$4:$L$93, 3, FALSE)), 0), 0)</f>
        <v>0</v>
      </c>
      <c r="AT87" s="1344">
        <f>IFERROR(IF('Personalized Bill Menu'!$C$36="Custom", IF('Personalized Bill Menu'!$B$34="Natural Gas",0,VLOOKUP($A87, 'Personalized Bill Menu'!$H$4:$L$93, 4, FALSE)), 0), 0)</f>
        <v>0</v>
      </c>
    </row>
    <row r="88" spans="1:46" x14ac:dyDescent="0.35">
      <c r="A88" s="206">
        <v>43374</v>
      </c>
      <c r="B88" s="207">
        <f t="shared" si="33"/>
        <v>31</v>
      </c>
      <c r="C88" s="226">
        <f t="shared" si="36"/>
        <v>675.11538390113105</v>
      </c>
      <c r="D88" s="178">
        <f t="shared" si="37"/>
        <v>19.658867537971766</v>
      </c>
      <c r="E88" s="178">
        <f t="shared" si="38"/>
        <v>14.69261403716129</v>
      </c>
      <c r="F88" s="86">
        <f t="shared" si="39"/>
        <v>132.72003904959291</v>
      </c>
      <c r="G88" s="115">
        <f t="shared" si="40"/>
        <v>43.632707261530108</v>
      </c>
      <c r="H88" s="66">
        <f t="shared" si="41"/>
        <v>24.98534524279696</v>
      </c>
      <c r="I88" s="66">
        <f t="shared" si="34"/>
        <v>38.292063715363497</v>
      </c>
      <c r="J88" s="66">
        <f t="shared" si="42"/>
        <v>7.3085407346675328</v>
      </c>
      <c r="K88" s="66">
        <f t="shared" si="43"/>
        <v>6.7213802357304022</v>
      </c>
      <c r="L88" s="66">
        <f t="shared" si="44"/>
        <v>5.46</v>
      </c>
      <c r="M88" s="68">
        <f t="shared" si="23"/>
        <v>6.3200018595044254</v>
      </c>
      <c r="N88" s="273">
        <f>IF($I$2="RRO (Capped)",VLOOKUP(A88,'Misc. Data &amp; Mechanisms'!$A$1278:$E$1368,4,FALSE),IF($I$2="RRO (Uncapped)",VLOOKUP(A88,'Misc. Data &amp; Mechanisms'!$G$1278:$K$1368,4,FALSE),AS88))</f>
        <v>6.4630000000000001</v>
      </c>
      <c r="O88" s="333">
        <f t="shared" si="35"/>
        <v>43.632707261530108</v>
      </c>
      <c r="P88" s="336">
        <f>((30/31)*3.7009)+((1/31)*P87)</f>
        <v>3.7008999999999999</v>
      </c>
      <c r="Q88" s="333">
        <f t="shared" si="24"/>
        <v>24.98534524279696</v>
      </c>
      <c r="R88" s="337">
        <f>((30/31)*2.1569)+((1/31)*R87)</f>
        <v>2.1568999999999998</v>
      </c>
      <c r="S88" s="337">
        <f>((30/31)*0.7655)+((1/31)*S87)</f>
        <v>0.76550000000000007</v>
      </c>
      <c r="T88" s="338">
        <f t="shared" si="25"/>
        <v>14.561563715363494</v>
      </c>
      <c r="U88" s="333">
        <f t="shared" si="26"/>
        <v>23.730500000000003</v>
      </c>
      <c r="V88" s="205">
        <f>VLOOKUP($A88,'Misc. Data &amp; Mechanisms'!$A$63:$DY$152,HLOOKUP('Service Zone Menu'!$K$5&amp;"_FORTIS_Elec_Y_1",'Misc. Data &amp; Mechanisms'!$A$55:$DY$62,8,FALSE), FALSE)</f>
        <v>0.107</v>
      </c>
      <c r="W88" s="205">
        <f>VLOOKUP($A88,'Misc. Data &amp; Mechanisms'!$A$63:$DY$152,HLOOKUP('Service Zone Menu'!$K$5&amp;"_FORTIS_Elec_Y_2",'Misc. Data &amp; Mechanisms'!$A$55:$DY$62,8,FALSE), FALSE)</f>
        <v>8.5000000000000006E-3</v>
      </c>
      <c r="X88" s="338">
        <f t="shared" si="27"/>
        <v>6.7706827585231686</v>
      </c>
      <c r="Y88" s="333">
        <f t="shared" si="28"/>
        <v>0.53785797614436393</v>
      </c>
      <c r="Z88" s="336">
        <f>((30/31)*0.3167)+((1/31)*Z87)</f>
        <v>0.31669999999999998</v>
      </c>
      <c r="AA88" s="339">
        <f>((30/31)*0.0346)+((1/31)*AA87)</f>
        <v>3.4599999999999999E-2</v>
      </c>
      <c r="AC88" s="1495">
        <f>((30/31)*0.568)+((1/31)*AC87)</f>
        <v>0.55083870967741932</v>
      </c>
      <c r="AE88" s="338">
        <f t="shared" si="29"/>
        <v>2.1380904208148817</v>
      </c>
      <c r="AF88" s="338">
        <f t="shared" si="30"/>
        <v>0.86449294540077481</v>
      </c>
      <c r="AG88" s="338">
        <f>IF($AB88=FALSE,($AC88/100)*$C88,$AB88*$H88)</f>
        <v>3.7187968695147458</v>
      </c>
      <c r="AH88" s="333">
        <f t="shared" si="32"/>
        <v>0</v>
      </c>
      <c r="AI88" s="200">
        <f>IF(OR($I$2="RRO (Capped)",$I$2="RRO (Uncapped)"),VLOOKUP(A88,'Misc. Data &amp; Mechanisms'!$A$1483:$H$1574,4,FALSE),AT88)</f>
        <v>5.46</v>
      </c>
      <c r="AJ88" s="333">
        <f t="shared" si="45"/>
        <v>5.46</v>
      </c>
      <c r="AK88" s="340">
        <f>5%</f>
        <v>0.05</v>
      </c>
      <c r="AL88" s="341">
        <f>'Misc. Data &amp; Mechanisms'!AJ361</f>
        <v>599.11816110686129</v>
      </c>
      <c r="AM88" s="1087">
        <f>'Misc. Data &amp; Mechanisms'!AP361</f>
        <v>518.24357537617379</v>
      </c>
      <c r="AN88" s="1087">
        <f>'Misc. Data &amp; Mechanisms'!Q361</f>
        <v>675.11538390113105</v>
      </c>
      <c r="AO88" s="1087">
        <f>'Misc. Data &amp; Mechanisms'!R361</f>
        <v>512.3502378020554</v>
      </c>
      <c r="AP88" s="1087">
        <f>'Misc. Data &amp; Mechanisms'!S361</f>
        <v>379.17326883579608</v>
      </c>
      <c r="AQ88" s="1463">
        <f>'Misc. Data &amp; Mechanisms'!$B$259</f>
        <v>611.34673880086393</v>
      </c>
      <c r="AR88" s="197">
        <f>IFERROR(IF('Personalized Bill Menu'!$B$30="Yes", IF('Personalized Bill Menu'!$B$34="Natural Gas",0,VLOOKUP($A88, 'Personalized Bill Menu'!$H$4:$L$93, 2, FALSE)), 0), 0)</f>
        <v>0</v>
      </c>
      <c r="AS88" s="1343">
        <f>IFERROR(IF('Personalized Bill Menu'!$C$36="Custom", IF('Personalized Bill Menu'!$B$34="Natural Gas",0,VLOOKUP($A88, 'Personalized Bill Menu'!$H$4:$L$93, 3, FALSE)), 0), 0)</f>
        <v>0</v>
      </c>
      <c r="AT88" s="1344">
        <f>IFERROR(IF('Personalized Bill Menu'!$C$36="Custom", IF('Personalized Bill Menu'!$B$34="Natural Gas",0,VLOOKUP($A88, 'Personalized Bill Menu'!$H$4:$L$93, 4, FALSE)), 0), 0)</f>
        <v>0</v>
      </c>
    </row>
    <row r="89" spans="1:46" x14ac:dyDescent="0.35">
      <c r="A89" s="206">
        <v>43405</v>
      </c>
      <c r="B89" s="207">
        <f t="shared" si="33"/>
        <v>30</v>
      </c>
      <c r="C89" s="226">
        <f t="shared" si="36"/>
        <v>726.47788092113205</v>
      </c>
      <c r="D89" s="178">
        <f t="shared" si="37"/>
        <v>18.85690037774296</v>
      </c>
      <c r="E89" s="178">
        <f t="shared" si="38"/>
        <v>14.365183391999999</v>
      </c>
      <c r="F89" s="86">
        <f t="shared" si="39"/>
        <v>136.99121027163599</v>
      </c>
      <c r="G89" s="115">
        <f t="shared" si="40"/>
        <v>44.562153215702246</v>
      </c>
      <c r="H89" s="66">
        <f t="shared" si="41"/>
        <v>26.886219895010175</v>
      </c>
      <c r="I89" s="66">
        <f t="shared" si="34"/>
        <v>38.634401413587895</v>
      </c>
      <c r="J89" s="66">
        <f t="shared" si="42"/>
        <v>7.567631761143077</v>
      </c>
      <c r="K89" s="66">
        <f t="shared" si="43"/>
        <v>7.3574130208766064</v>
      </c>
      <c r="L89" s="66">
        <f t="shared" si="44"/>
        <v>5.46</v>
      </c>
      <c r="M89" s="68">
        <f t="shared" si="23"/>
        <v>6.5233909653160005</v>
      </c>
      <c r="N89" s="273">
        <f>IF($I$2="RRO (Capped)",VLOOKUP(A89,'Misc. Data &amp; Mechanisms'!$A$1278:$E$1368,4,FALSE),IF($I$2="RRO (Uncapped)",VLOOKUP(A89,'Misc. Data &amp; Mechanisms'!$G$1278:$K$1368,4,FALSE),AS89))</f>
        <v>6.1340000000000003</v>
      </c>
      <c r="O89" s="333">
        <f t="shared" si="35"/>
        <v>44.562153215702246</v>
      </c>
      <c r="P89" s="336">
        <v>3.7008999999999999</v>
      </c>
      <c r="Q89" s="333">
        <f t="shared" si="24"/>
        <v>26.886219895010175</v>
      </c>
      <c r="R89" s="337">
        <v>2.1568999999999998</v>
      </c>
      <c r="S89" s="337">
        <v>0.76549999999999996</v>
      </c>
      <c r="T89" s="338">
        <f t="shared" si="25"/>
        <v>15.669401413587895</v>
      </c>
      <c r="U89" s="333">
        <f t="shared" si="26"/>
        <v>22.965</v>
      </c>
      <c r="V89" s="205">
        <f>VLOOKUP($A89,'Misc. Data &amp; Mechanisms'!$A$63:$DY$152,HLOOKUP('Service Zone Menu'!$K$5&amp;"_FORTIS_Elec_Y_1",'Misc. Data &amp; Mechanisms'!$A$55:$DY$62,8,FALSE), FALSE)</f>
        <v>0.107</v>
      </c>
      <c r="W89" s="205">
        <f>VLOOKUP($A89,'Misc. Data &amp; Mechanisms'!$A$63:$DY$152,HLOOKUP('Service Zone Menu'!$K$5&amp;"_FORTIS_Elec_Y_2",'Misc. Data &amp; Mechanisms'!$A$55:$DY$62,8,FALSE), FALSE)</f>
        <v>8.5000000000000006E-3</v>
      </c>
      <c r="X89" s="338">
        <f t="shared" si="27"/>
        <v>7.0107064800199934</v>
      </c>
      <c r="Y89" s="333">
        <f t="shared" si="28"/>
        <v>0.55692528112308359</v>
      </c>
      <c r="Z89" s="336">
        <v>0.31669999999999998</v>
      </c>
      <c r="AA89" s="339">
        <v>3.4599999999999999E-2</v>
      </c>
      <c r="AC89" s="1495">
        <v>0.56799999999999995</v>
      </c>
      <c r="AE89" s="338">
        <f t="shared" si="29"/>
        <v>2.3007554488772248</v>
      </c>
      <c r="AF89" s="338">
        <f t="shared" si="30"/>
        <v>0.93026320836735199</v>
      </c>
      <c r="AG89" s="338">
        <f t="shared" si="31"/>
        <v>4.1263943636320297</v>
      </c>
      <c r="AH89" s="333">
        <f t="shared" si="32"/>
        <v>0</v>
      </c>
      <c r="AI89" s="200">
        <f>IF(OR($I$2="RRO (Capped)",$I$2="RRO (Uncapped)"),VLOOKUP(A89,'Misc. Data &amp; Mechanisms'!$A$1483:$H$1574,4,FALSE),AT89)</f>
        <v>5.46</v>
      </c>
      <c r="AJ89" s="333">
        <f t="shared" si="45"/>
        <v>5.46</v>
      </c>
      <c r="AK89" s="340">
        <f>5%</f>
        <v>0.05</v>
      </c>
      <c r="AL89" s="341">
        <f>'Misc. Data &amp; Mechanisms'!AJ362</f>
        <v>644.69882109221601</v>
      </c>
      <c r="AM89" s="1087">
        <f>'Misc. Data &amp; Mechanisms'!AP362</f>
        <v>558.99945163674511</v>
      </c>
      <c r="AN89" s="1087">
        <f>'Misc. Data &amp; Mechanisms'!Q362</f>
        <v>726.47788092113205</v>
      </c>
      <c r="AO89" s="1087">
        <f>'Misc. Data &amp; Mechanisms'!R362</f>
        <v>551.32963034713589</v>
      </c>
      <c r="AP89" s="1087">
        <f>'Misc. Data &amp; Mechanisms'!S362</f>
        <v>408.02061308990767</v>
      </c>
      <c r="AQ89" s="1463">
        <f>'Misc. Data &amp; Mechanisms'!$B$259</f>
        <v>611.34673880086393</v>
      </c>
      <c r="AR89" s="197">
        <f>IFERROR(IF('Personalized Bill Menu'!$B$30="Yes", IF('Personalized Bill Menu'!$B$34="Natural Gas",0,VLOOKUP($A89, 'Personalized Bill Menu'!$H$4:$L$93, 2, FALSE)), 0), 0)</f>
        <v>0</v>
      </c>
      <c r="AS89" s="1343">
        <f>IFERROR(IF('Personalized Bill Menu'!$C$36="Custom", IF('Personalized Bill Menu'!$B$34="Natural Gas",0,VLOOKUP($A89, 'Personalized Bill Menu'!$H$4:$L$93, 3, FALSE)), 0), 0)</f>
        <v>0</v>
      </c>
      <c r="AT89" s="1344">
        <f>IFERROR(IF('Personalized Bill Menu'!$C$36="Custom", IF('Personalized Bill Menu'!$B$34="Natural Gas",0,VLOOKUP($A89, 'Personalized Bill Menu'!$H$4:$L$93, 4, FALSE)), 0), 0)</f>
        <v>0</v>
      </c>
    </row>
    <row r="90" spans="1:46" x14ac:dyDescent="0.35">
      <c r="A90" s="229">
        <v>43435</v>
      </c>
      <c r="B90" s="230">
        <f t="shared" si="33"/>
        <v>31</v>
      </c>
      <c r="C90" s="231">
        <f t="shared" si="36"/>
        <v>832.13437252035283</v>
      </c>
      <c r="D90" s="208">
        <f t="shared" si="37"/>
        <v>19.09363330993347</v>
      </c>
      <c r="E90" s="208">
        <f t="shared" si="38"/>
        <v>15.064483392</v>
      </c>
      <c r="F90" s="342">
        <f t="shared" si="39"/>
        <v>158.88468573495197</v>
      </c>
      <c r="G90" s="343">
        <f t="shared" si="40"/>
        <v>56.585137331383997</v>
      </c>
      <c r="H90" s="344">
        <f t="shared" si="41"/>
        <v>30.796460992605738</v>
      </c>
      <c r="I90" s="344">
        <f t="shared" si="34"/>
        <v>41.678806280891486</v>
      </c>
      <c r="J90" s="344">
        <f t="shared" si="42"/>
        <v>8.370893370088929</v>
      </c>
      <c r="K90" s="344">
        <f t="shared" si="43"/>
        <v>8.427450344031719</v>
      </c>
      <c r="L90" s="344">
        <f t="shared" si="44"/>
        <v>5.46</v>
      </c>
      <c r="M90" s="345">
        <f t="shared" si="23"/>
        <v>7.5659374159500947</v>
      </c>
      <c r="N90" s="1243">
        <f>IF($I$2="RRO (Capped)",VLOOKUP(A90,'Misc. Data &amp; Mechanisms'!$A$1278:$E$1368,4,FALSE),IF($I$2="RRO (Uncapped)",VLOOKUP(A90,'Misc. Data &amp; Mechanisms'!$G$1278:$K$1368,4,FALSE),AS90))</f>
        <v>6.8</v>
      </c>
      <c r="O90" s="346">
        <f t="shared" si="35"/>
        <v>56.585137331383997</v>
      </c>
      <c r="P90" s="347">
        <v>3.7008999999999999</v>
      </c>
      <c r="Q90" s="346">
        <f t="shared" si="24"/>
        <v>30.796460992605738</v>
      </c>
      <c r="R90" s="348">
        <v>2.1568999999999998</v>
      </c>
      <c r="S90" s="348">
        <v>0.76549999999999996</v>
      </c>
      <c r="T90" s="349">
        <f t="shared" si="25"/>
        <v>17.948306280891487</v>
      </c>
      <c r="U90" s="346">
        <f t="shared" si="26"/>
        <v>23.730499999999999</v>
      </c>
      <c r="V90" s="246">
        <f>VLOOKUP($A90,'Misc. Data &amp; Mechanisms'!$A$63:$DY$152,HLOOKUP('Service Zone Menu'!$K$5&amp;"_FORTIS_Elec_Y_1",'Misc. Data &amp; Mechanisms'!$A$55:$DY$62,8,FALSE), FALSE)</f>
        <v>0.107</v>
      </c>
      <c r="W90" s="246">
        <f>VLOOKUP($A90,'Misc. Data &amp; Mechanisms'!$A$63:$DY$152,HLOOKUP('Service Zone Menu'!$K$5&amp;"_FORTIS_Elec_Y_2",'Misc. Data &amp; Mechanisms'!$A$55:$DY$62,8,FALSE), FALSE)</f>
        <v>8.5000000000000006E-3</v>
      </c>
      <c r="X90" s="349">
        <f t="shared" si="27"/>
        <v>7.7548535982642024</v>
      </c>
      <c r="Y90" s="346">
        <f t="shared" si="28"/>
        <v>0.61603977182472647</v>
      </c>
      <c r="Z90" s="347">
        <v>0.31669999999999998</v>
      </c>
      <c r="AA90" s="350">
        <v>3.4599999999999999E-2</v>
      </c>
      <c r="AB90" s="1564"/>
      <c r="AC90" s="1496">
        <v>0.56799999999999995</v>
      </c>
      <c r="AD90" s="238"/>
      <c r="AE90" s="349">
        <f t="shared" si="29"/>
        <v>2.6353695577719569</v>
      </c>
      <c r="AF90" s="349">
        <f t="shared" si="30"/>
        <v>1.0655575503441586</v>
      </c>
      <c r="AG90" s="349">
        <f t="shared" si="31"/>
        <v>4.7265232359156037</v>
      </c>
      <c r="AH90" s="346">
        <f t="shared" si="32"/>
        <v>0</v>
      </c>
      <c r="AI90" s="239">
        <f>IF(OR($I$2="RRO (Capped)",$I$2="RRO (Uncapped)"),VLOOKUP(A90,'Misc. Data &amp; Mechanisms'!$A$1483:$H$1574,4,FALSE),AT90)</f>
        <v>5.46</v>
      </c>
      <c r="AJ90" s="346">
        <f t="shared" si="45"/>
        <v>5.46</v>
      </c>
      <c r="AK90" s="351">
        <f>5%</f>
        <v>0.05</v>
      </c>
      <c r="AL90" s="352">
        <f>'Misc. Data &amp; Mechanisms'!AJ363</f>
        <v>738.46164218236299</v>
      </c>
      <c r="AM90" s="1089">
        <f>'Misc. Data &amp; Mechanisms'!AP363</f>
        <v>636.47941123700036</v>
      </c>
      <c r="AN90" s="1089">
        <f>'Misc. Data &amp; Mechanisms'!Q363</f>
        <v>832.13437252035283</v>
      </c>
      <c r="AO90" s="1089">
        <f>'Misc. Data &amp; Mechanisms'!R363</f>
        <v>631.51315139710107</v>
      </c>
      <c r="AP90" s="1089">
        <f>'Misc. Data &amp; Mechanisms'!S363</f>
        <v>467.36175424699513</v>
      </c>
      <c r="AQ90" s="1464">
        <f>'Misc. Data &amp; Mechanisms'!$B$259</f>
        <v>611.34673880086393</v>
      </c>
      <c r="AR90" s="243">
        <f>IFERROR(IF('Personalized Bill Menu'!$B$30="Yes", IF('Personalized Bill Menu'!$B$34="Natural Gas",0,VLOOKUP($A90, 'Personalized Bill Menu'!$H$4:$L$93, 2, FALSE)), 0), 0)</f>
        <v>0</v>
      </c>
      <c r="AS90" s="1560">
        <f>IFERROR(IF('Personalized Bill Menu'!$C$36="Custom", IF('Personalized Bill Menu'!$B$34="Natural Gas",0,VLOOKUP($A90, 'Personalized Bill Menu'!$H$4:$L$93, 3, FALSE)), 0), 0)</f>
        <v>0</v>
      </c>
      <c r="AT90" s="1346">
        <f>IFERROR(IF('Personalized Bill Menu'!$C$36="Custom", IF('Personalized Bill Menu'!$B$34="Natural Gas",0,VLOOKUP($A90, 'Personalized Bill Menu'!$H$4:$L$93, 4, FALSE)), 0), 0)</f>
        <v>0</v>
      </c>
    </row>
    <row r="91" spans="1:46" x14ac:dyDescent="0.35">
      <c r="A91" s="206">
        <v>43466</v>
      </c>
      <c r="B91" s="207">
        <f t="shared" si="33"/>
        <v>31</v>
      </c>
      <c r="C91" s="212">
        <f t="shared" si="36"/>
        <v>808.98370197662939</v>
      </c>
      <c r="D91" s="178">
        <f t="shared" si="37"/>
        <v>19.73533924559808</v>
      </c>
      <c r="E91" s="178">
        <f t="shared" si="38"/>
        <v>15.315011565000001</v>
      </c>
      <c r="F91" s="86">
        <f t="shared" si="39"/>
        <v>159.65567802668596</v>
      </c>
      <c r="G91" s="115">
        <f t="shared" si="40"/>
        <v>55.010891734410805</v>
      </c>
      <c r="H91" s="66">
        <f t="shared" si="41"/>
        <v>32.443482384070748</v>
      </c>
      <c r="I91" s="66">
        <f t="shared" si="34"/>
        <v>43.69880100343714</v>
      </c>
      <c r="J91" s="66">
        <f t="shared" si="42"/>
        <v>10.317279399007319</v>
      </c>
      <c r="K91" s="66">
        <f t="shared" si="43"/>
        <v>5.1225721711558307</v>
      </c>
      <c r="L91" s="66">
        <f t="shared" si="44"/>
        <v>5.46</v>
      </c>
      <c r="M91" s="68">
        <f t="shared" si="23"/>
        <v>7.6026513346040936</v>
      </c>
      <c r="N91" s="1244">
        <f>IF($I$2="RRO (Capped)",VLOOKUP(A91,'Misc. Data &amp; Mechanisms'!$A$1278:$E$1368,4,FALSE),IF($I$2="RRO (Uncapped)",VLOOKUP(A91,'Misc. Data &amp; Mechanisms'!$G$1278:$K$1368,4,FALSE),AS91))</f>
        <v>6.8</v>
      </c>
      <c r="O91" s="333">
        <f t="shared" si="35"/>
        <v>55.010891734410805</v>
      </c>
      <c r="P91" s="336">
        <v>4.0103999999999997</v>
      </c>
      <c r="Q91" s="333">
        <f t="shared" si="24"/>
        <v>32.443482384070748</v>
      </c>
      <c r="R91" s="337">
        <v>2.2886000000000002</v>
      </c>
      <c r="S91" s="337">
        <v>0.81240000000000001</v>
      </c>
      <c r="T91" s="338">
        <f t="shared" si="25"/>
        <v>18.514401003437143</v>
      </c>
      <c r="U91" s="333">
        <f t="shared" si="26"/>
        <v>25.1844</v>
      </c>
      <c r="V91" s="205">
        <f>VLOOKUP($A91,'Misc. Data &amp; Mechanisms'!$A$63:$DY$152,HLOOKUP('Service Zone Menu'!$K$5&amp;"_FORTIS_Elec_Y_1",'Misc. Data &amp; Mechanisms'!$A$55:$DY$62,8,FALSE), FALSE)</f>
        <v>0.127</v>
      </c>
      <c r="W91" s="205">
        <f>VLOOKUP($A91,'Misc. Data &amp; Mechanisms'!$A$63:$DY$152,HLOOKUP('Service Zone Menu'!$K$5&amp;"_FORTIS_Elec_Y_2",'Misc. Data &amp; Mechanisms'!$A$55:$DY$62,8,FALSE), FALSE)</f>
        <v>8.5000000000000006E-3</v>
      </c>
      <c r="X91" s="338">
        <f t="shared" si="27"/>
        <v>9.6700699902135021</v>
      </c>
      <c r="Y91" s="333">
        <f t="shared" si="28"/>
        <v>0.64720940879381705</v>
      </c>
      <c r="Z91" s="336">
        <v>0.29880000000000001</v>
      </c>
      <c r="AA91" s="339">
        <v>3.95E-2</v>
      </c>
      <c r="AB91" s="339"/>
      <c r="AC91" s="1495">
        <v>0.17599999999999999</v>
      </c>
      <c r="AD91" s="339"/>
      <c r="AE91" s="338">
        <f t="shared" si="29"/>
        <v>2.417243301506169</v>
      </c>
      <c r="AF91" s="338">
        <f t="shared" si="30"/>
        <v>1.2815175541707946</v>
      </c>
      <c r="AG91" s="338">
        <f t="shared" si="31"/>
        <v>1.4238113154788676</v>
      </c>
      <c r="AH91" s="333">
        <f t="shared" si="32"/>
        <v>0</v>
      </c>
      <c r="AI91" s="200">
        <f>IF(OR($I$2="RRO (Capped)",$I$2="RRO (Uncapped)"),VLOOKUP(A91,'Misc. Data &amp; Mechanisms'!$A$1483:$H$1574,4,FALSE),AT91)</f>
        <v>5.46</v>
      </c>
      <c r="AJ91" s="333">
        <f t="shared" si="45"/>
        <v>5.46</v>
      </c>
      <c r="AK91" s="340">
        <f>5%</f>
        <v>0.05</v>
      </c>
      <c r="AL91" s="359">
        <f>'Misc. Data &amp; Mechanisms'!AJ364</f>
        <v>717.9170249283477</v>
      </c>
      <c r="AM91" s="1239">
        <f>'Misc. Data &amp; Mechanisms'!AP364</f>
        <v>615.09301063584405</v>
      </c>
      <c r="AN91" s="1087">
        <f>'Misc. Data &amp; Mechanisms'!Q364</f>
        <v>808.98370197662939</v>
      </c>
      <c r="AO91" s="1087">
        <f>'Misc. Data &amp; Mechanisms'!R364</f>
        <v>613.94393013330182</v>
      </c>
      <c r="AP91" s="1087">
        <f>'Misc. Data &amp; Mechanisms'!S364</f>
        <v>454.3593614188535</v>
      </c>
      <c r="AQ91" s="1463">
        <f>'Misc. Data &amp; Mechanisms'!$B$259</f>
        <v>611.34673880086393</v>
      </c>
      <c r="AR91" s="197">
        <f>IFERROR(IF('Personalized Bill Menu'!$B$30="Yes", IF('Personalized Bill Menu'!$B$34="Natural Gas",0,VLOOKUP($A91, 'Personalized Bill Menu'!$H$4:$L$93, 2, FALSE)), 0), 0)</f>
        <v>0</v>
      </c>
      <c r="AS91" s="1343">
        <f>IFERROR(IF('Personalized Bill Menu'!$C$36="Custom", IF('Personalized Bill Menu'!$B$34="Natural Gas",0,VLOOKUP($A91, 'Personalized Bill Menu'!$H$4:$L$93, 3, FALSE)), 0), 0)</f>
        <v>0</v>
      </c>
      <c r="AT91" s="1344">
        <f>IFERROR(IF('Personalized Bill Menu'!$C$36="Custom", IF('Personalized Bill Menu'!$B$34="Natural Gas",0,VLOOKUP($A91, 'Personalized Bill Menu'!$H$4:$L$93, 4, FALSE)), 0), 0)</f>
        <v>0</v>
      </c>
    </row>
    <row r="92" spans="1:46" x14ac:dyDescent="0.35">
      <c r="A92" s="206">
        <v>43497</v>
      </c>
      <c r="B92" s="207">
        <f t="shared" si="33"/>
        <v>28</v>
      </c>
      <c r="C92" s="226">
        <f t="shared" si="36"/>
        <v>866.7332895461891</v>
      </c>
      <c r="D92" s="178">
        <f t="shared" si="37"/>
        <v>19.105556854566753</v>
      </c>
      <c r="E92" s="178">
        <f t="shared" si="38"/>
        <v>15.315011565000001</v>
      </c>
      <c r="F92" s="86">
        <f t="shared" si="39"/>
        <v>165.59422141170384</v>
      </c>
      <c r="G92" s="115">
        <f t="shared" si="40"/>
        <v>58.937863689140862</v>
      </c>
      <c r="H92" s="66">
        <f t="shared" si="41"/>
        <v>34.75947184396037</v>
      </c>
      <c r="I92" s="66">
        <f t="shared" si="34"/>
        <v>42.583258064554087</v>
      </c>
      <c r="J92" s="66">
        <f t="shared" si="42"/>
        <v>10.479939902603709</v>
      </c>
      <c r="K92" s="66">
        <f t="shared" si="43"/>
        <v>5.4882487966017406</v>
      </c>
      <c r="L92" s="66">
        <f t="shared" si="44"/>
        <v>5.46</v>
      </c>
      <c r="M92" s="68">
        <f t="shared" si="23"/>
        <v>7.8854391148430398</v>
      </c>
      <c r="N92" s="273">
        <f>IF($I$2="RRO (Capped)",VLOOKUP(A92,'Misc. Data &amp; Mechanisms'!$A$1278:$E$1368,4,FALSE),IF($I$2="RRO (Uncapped)",VLOOKUP(A92,'Misc. Data &amp; Mechanisms'!$G$1278:$K$1368,4,FALSE),AS92))</f>
        <v>6.8</v>
      </c>
      <c r="O92" s="333">
        <f t="shared" si="35"/>
        <v>58.937863689140862</v>
      </c>
      <c r="P92" s="336">
        <v>4.0103999999999997</v>
      </c>
      <c r="Q92" s="333">
        <f t="shared" si="24"/>
        <v>34.75947184396037</v>
      </c>
      <c r="R92" s="337">
        <v>2.2886000000000002</v>
      </c>
      <c r="S92" s="337">
        <v>0.81240000000000001</v>
      </c>
      <c r="T92" s="338">
        <f t="shared" si="25"/>
        <v>19.836058064554088</v>
      </c>
      <c r="U92" s="333">
        <f t="shared" si="26"/>
        <v>22.747199999999999</v>
      </c>
      <c r="V92" s="205">
        <f>VLOOKUP($A92,'Misc. Data &amp; Mechanisms'!$A$63:$DY$152,HLOOKUP('Service Zone Menu'!$K$5&amp;"_FORTIS_Elec_Y_1",'Misc. Data &amp; Mechanisms'!$A$55:$DY$62,8,FALSE), FALSE)</f>
        <v>0.127</v>
      </c>
      <c r="W92" s="205">
        <f>VLOOKUP($A92,'Misc. Data &amp; Mechanisms'!$A$63:$DY$152,HLOOKUP('Service Zone Menu'!$K$5&amp;"_FORTIS_Elec_Y_2",'Misc. Data &amp; Mechanisms'!$A$55:$DY$62,8,FALSE), FALSE)</f>
        <v>8.5000000000000006E-3</v>
      </c>
      <c r="X92" s="338">
        <f t="shared" si="27"/>
        <v>9.8225266983813366</v>
      </c>
      <c r="Y92" s="333">
        <f t="shared" si="28"/>
        <v>0.65741320422237293</v>
      </c>
      <c r="Z92" s="336">
        <v>0.29880000000000001</v>
      </c>
      <c r="AA92" s="339">
        <v>3.95E-2</v>
      </c>
      <c r="AB92" s="339"/>
      <c r="AC92" s="1495">
        <v>0.17599999999999999</v>
      </c>
      <c r="AD92" s="339"/>
      <c r="AE92" s="338">
        <f t="shared" si="29"/>
        <v>2.5897990691640134</v>
      </c>
      <c r="AF92" s="338">
        <f t="shared" si="30"/>
        <v>1.3729991378364346</v>
      </c>
      <c r="AG92" s="338">
        <f t="shared" si="31"/>
        <v>1.5254505896012927</v>
      </c>
      <c r="AH92" s="333">
        <f t="shared" si="32"/>
        <v>0</v>
      </c>
      <c r="AI92" s="200">
        <f>IF(OR($I$2="RRO (Capped)",$I$2="RRO (Uncapped)"),VLOOKUP(A92,'Misc. Data &amp; Mechanisms'!$A$1483:$H$1574,4,FALSE),AT92)</f>
        <v>5.46</v>
      </c>
      <c r="AJ92" s="333">
        <f t="shared" si="45"/>
        <v>5.46</v>
      </c>
      <c r="AK92" s="340">
        <f>5%</f>
        <v>0.05</v>
      </c>
      <c r="AL92" s="341">
        <f>'Misc. Data &amp; Mechanisms'!AJ365</f>
        <v>769.16578556156878</v>
      </c>
      <c r="AM92" s="1087">
        <f>'Misc. Data &amp; Mechanisms'!AP365</f>
        <v>628.7226143304714</v>
      </c>
      <c r="AN92" s="1087">
        <f>'Misc. Data &amp; Mechanisms'!Q365</f>
        <v>866.7332895461891</v>
      </c>
      <c r="AO92" s="1087">
        <f>'Misc. Data &amp; Mechanisms'!R365</f>
        <v>657.77053463646268</v>
      </c>
      <c r="AP92" s="1087">
        <f>'Misc. Data &amp; Mechanisms'!S365</f>
        <v>486.79396506562176</v>
      </c>
      <c r="AQ92" s="1463">
        <f>'Misc. Data &amp; Mechanisms'!$B$259</f>
        <v>611.34673880086393</v>
      </c>
      <c r="AR92" s="197">
        <f>IFERROR(IF('Personalized Bill Menu'!$B$30="Yes", IF('Personalized Bill Menu'!$B$34="Natural Gas",0,VLOOKUP($A92, 'Personalized Bill Menu'!$H$4:$L$93, 2, FALSE)), 0), 0)</f>
        <v>0</v>
      </c>
      <c r="AS92" s="1343">
        <f>IFERROR(IF('Personalized Bill Menu'!$C$36="Custom", IF('Personalized Bill Menu'!$B$34="Natural Gas",0,VLOOKUP($A92, 'Personalized Bill Menu'!$H$4:$L$93, 3, FALSE)), 0), 0)</f>
        <v>0</v>
      </c>
      <c r="AT92" s="1344">
        <f>IFERROR(IF('Personalized Bill Menu'!$C$36="Custom", IF('Personalized Bill Menu'!$B$34="Natural Gas",0,VLOOKUP($A92, 'Personalized Bill Menu'!$H$4:$L$93, 4, FALSE)), 0), 0)</f>
        <v>0</v>
      </c>
    </row>
    <row r="93" spans="1:46" x14ac:dyDescent="0.35">
      <c r="A93" s="206">
        <v>43525</v>
      </c>
      <c r="B93" s="207">
        <f t="shared" si="33"/>
        <v>31</v>
      </c>
      <c r="C93" s="226">
        <f t="shared" si="36"/>
        <v>745.32280833340462</v>
      </c>
      <c r="D93" s="178">
        <f t="shared" si="37"/>
        <v>19.18679646938946</v>
      </c>
      <c r="E93" s="178">
        <f t="shared" si="38"/>
        <v>14.388911564999999</v>
      </c>
      <c r="F93" s="86">
        <f t="shared" si="39"/>
        <v>143.00357027486805</v>
      </c>
      <c r="G93" s="115">
        <f t="shared" si="40"/>
        <v>44.108203797170887</v>
      </c>
      <c r="H93" s="66">
        <f t="shared" si="41"/>
        <v>29.890425905402861</v>
      </c>
      <c r="I93" s="66">
        <f t="shared" si="34"/>
        <v>42.241857791518299</v>
      </c>
      <c r="J93" s="66">
        <f t="shared" si="42"/>
        <v>9.7739244409328165</v>
      </c>
      <c r="K93" s="66">
        <f t="shared" si="43"/>
        <v>4.7194645172304179</v>
      </c>
      <c r="L93" s="66">
        <f t="shared" si="44"/>
        <v>5.46</v>
      </c>
      <c r="M93" s="68">
        <f t="shared" si="23"/>
        <v>6.8096938226127648</v>
      </c>
      <c r="N93" s="273">
        <f>IF($I$2="RRO (Capped)",VLOOKUP(A93,'Misc. Data &amp; Mechanisms'!$A$1278:$E$1368,4,FALSE),IF($I$2="RRO (Uncapped)",VLOOKUP(A93,'Misc. Data &amp; Mechanisms'!$G$1278:$K$1368,4,FALSE),AS93))</f>
        <v>5.9180000000000001</v>
      </c>
      <c r="O93" s="333">
        <f t="shared" si="35"/>
        <v>44.108203797170887</v>
      </c>
      <c r="P93" s="336">
        <v>4.0103999999999997</v>
      </c>
      <c r="Q93" s="333">
        <f t="shared" si="24"/>
        <v>29.890425905402861</v>
      </c>
      <c r="R93" s="337">
        <v>2.2886000000000002</v>
      </c>
      <c r="S93" s="337">
        <v>0.81240000000000001</v>
      </c>
      <c r="T93" s="338">
        <f t="shared" si="25"/>
        <v>17.057457791518299</v>
      </c>
      <c r="U93" s="333">
        <f t="shared" si="26"/>
        <v>25.1844</v>
      </c>
      <c r="V93" s="205">
        <f>VLOOKUP($A93,'Misc. Data &amp; Mechanisms'!$A$63:$DY$152,HLOOKUP('Service Zone Menu'!$K$5&amp;"_FORTIS_Elec_Y_1",'Misc. Data &amp; Mechanisms'!$A$55:$DY$62,8,FALSE), FALSE)</f>
        <v>0.127</v>
      </c>
      <c r="W93" s="205">
        <f>VLOOKUP($A93,'Misc. Data &amp; Mechanisms'!$A$63:$DY$152,HLOOKUP('Service Zone Menu'!$K$5&amp;"_FORTIS_Elec_Y_2",'Misc. Data &amp; Mechanisms'!$A$55:$DY$62,8,FALSE), FALSE)</f>
        <v>8.5000000000000006E-3</v>
      </c>
      <c r="X93" s="338">
        <f t="shared" si="27"/>
        <v>9.1608000295089873</v>
      </c>
      <c r="Y93" s="333">
        <f t="shared" si="28"/>
        <v>0.6131244114238299</v>
      </c>
      <c r="Z93" s="336">
        <v>0.29880000000000001</v>
      </c>
      <c r="AA93" s="339">
        <v>3.95E-2</v>
      </c>
      <c r="AB93" s="339"/>
      <c r="AC93" s="1495">
        <v>0.17599999999999999</v>
      </c>
      <c r="AD93" s="339"/>
      <c r="AE93" s="338">
        <f t="shared" si="29"/>
        <v>2.2270245513002132</v>
      </c>
      <c r="AF93" s="338">
        <f t="shared" si="30"/>
        <v>1.180671823263413</v>
      </c>
      <c r="AG93" s="338">
        <f t="shared" si="31"/>
        <v>1.311768142666792</v>
      </c>
      <c r="AH93" s="333">
        <f t="shared" si="32"/>
        <v>0</v>
      </c>
      <c r="AI93" s="200">
        <f>IF(OR($I$2="RRO (Capped)",$I$2="RRO (Uncapped)"),VLOOKUP(A93,'Misc. Data &amp; Mechanisms'!$A$1483:$H$1574,4,FALSE),AT93)</f>
        <v>5.46</v>
      </c>
      <c r="AJ93" s="333">
        <f t="shared" si="45"/>
        <v>5.46</v>
      </c>
      <c r="AK93" s="340">
        <f>5%</f>
        <v>0.05</v>
      </c>
      <c r="AL93" s="341">
        <f>'Misc. Data &amp; Mechanisms'!AJ366</f>
        <v>661.42238942833092</v>
      </c>
      <c r="AM93" s="1087">
        <f>'Misc. Data &amp; Mechanisms'!AP366</f>
        <v>563.12747608717223</v>
      </c>
      <c r="AN93" s="1087">
        <f>'Misc. Data &amp; Mechanisms'!Q366</f>
        <v>745.32280833340462</v>
      </c>
      <c r="AO93" s="1087">
        <f>'Misc. Data &amp; Mechanisms'!R366</f>
        <v>565.63119015643554</v>
      </c>
      <c r="AP93" s="1087">
        <f>'Misc. Data &amp; Mechanisms'!S366</f>
        <v>418.60471900465467</v>
      </c>
      <c r="AQ93" s="1463">
        <f>'Misc. Data &amp; Mechanisms'!$B$259</f>
        <v>611.34673880086393</v>
      </c>
      <c r="AR93" s="197">
        <f>IFERROR(IF('Personalized Bill Menu'!$B$30="Yes", IF('Personalized Bill Menu'!$B$34="Natural Gas",0,VLOOKUP($A93, 'Personalized Bill Menu'!$H$4:$L$93, 2, FALSE)), 0), 0)</f>
        <v>0</v>
      </c>
      <c r="AS93" s="1343">
        <f>IFERROR(IF('Personalized Bill Menu'!$C$36="Custom", IF('Personalized Bill Menu'!$B$34="Natural Gas",0,VLOOKUP($A93, 'Personalized Bill Menu'!$H$4:$L$93, 3, FALSE)), 0), 0)</f>
        <v>0</v>
      </c>
      <c r="AT93" s="1344">
        <f>IFERROR(IF('Personalized Bill Menu'!$C$36="Custom", IF('Personalized Bill Menu'!$B$34="Natural Gas",0,VLOOKUP($A93, 'Personalized Bill Menu'!$H$4:$L$93, 4, FALSE)), 0), 0)</f>
        <v>0</v>
      </c>
    </row>
    <row r="94" spans="1:46" x14ac:dyDescent="0.35">
      <c r="A94" s="206">
        <v>43556</v>
      </c>
      <c r="B94" s="207">
        <f t="shared" si="33"/>
        <v>30</v>
      </c>
      <c r="C94" s="1581">
        <f>IFERROR(VLOOKUP($A94,$A$5:$AR$96,MATCH($I$1,$A$5:$AR$5,0),FALSE),0)</f>
        <v>608.792323238123</v>
      </c>
      <c r="D94" s="178">
        <f t="shared" si="37"/>
        <v>21.123238997630637</v>
      </c>
      <c r="E94" s="178">
        <f t="shared" si="38"/>
        <v>15.408461565000001</v>
      </c>
      <c r="F94" s="86">
        <f t="shared" si="39"/>
        <v>128.59665743681674</v>
      </c>
      <c r="G94" s="115">
        <f t="shared" si="40"/>
        <v>41.397877980192369</v>
      </c>
      <c r="H94" s="66">
        <f t="shared" si="41"/>
        <v>24.415007331141684</v>
      </c>
      <c r="I94" s="66">
        <f t="shared" si="34"/>
        <v>38.304821109627682</v>
      </c>
      <c r="J94" s="66">
        <f t="shared" si="42"/>
        <v>8.4985367537242489</v>
      </c>
      <c r="K94" s="66">
        <f t="shared" si="43"/>
        <v>4.3967639079966343</v>
      </c>
      <c r="L94" s="66">
        <f t="shared" si="44"/>
        <v>5.46</v>
      </c>
      <c r="M94" s="68">
        <f t="shared" si="23"/>
        <v>6.1236503541341314</v>
      </c>
      <c r="N94" s="273">
        <f>IF($I$2="RRO (Capped)",VLOOKUP(A94,'Misc. Data &amp; Mechanisms'!$A$1278:$E$1368,4,FALSE),IF($I$2="RRO (Uncapped)",VLOOKUP(A94,'Misc. Data &amp; Mechanisms'!$G$1278:$K$1368,4,FALSE),AS94))</f>
        <v>6.8</v>
      </c>
      <c r="O94" s="333">
        <f t="shared" si="35"/>
        <v>41.397877980192369</v>
      </c>
      <c r="P94" s="336">
        <v>4.0103999999999997</v>
      </c>
      <c r="Q94" s="333">
        <f t="shared" si="24"/>
        <v>24.415007331141684</v>
      </c>
      <c r="R94" s="337">
        <v>2.2886000000000002</v>
      </c>
      <c r="S94" s="337">
        <v>0.81240000000000001</v>
      </c>
      <c r="T94" s="338">
        <f t="shared" si="25"/>
        <v>13.932821109627685</v>
      </c>
      <c r="U94" s="333">
        <f t="shared" si="26"/>
        <v>24.372</v>
      </c>
      <c r="V94" s="205">
        <f>VLOOKUP($A94,'Misc. Data &amp; Mechanisms'!$A$63:$DY$152,HLOOKUP('Service Zone Menu'!$K$5&amp;"_FORTIS_Elec_Y_1",'Misc. Data &amp; Mechanisms'!$A$55:$DY$62,8,FALSE), FALSE)</f>
        <v>0.127</v>
      </c>
      <c r="W94" s="205">
        <f>VLOOKUP($A94,'Misc. Data &amp; Mechanisms'!$A$63:$DY$152,HLOOKUP('Service Zone Menu'!$K$5&amp;"_FORTIS_Elec_Y_2",'Misc. Data &amp; Mechanisms'!$A$55:$DY$62,8,FALSE), FALSE)</f>
        <v>8.5000000000000006E-3</v>
      </c>
      <c r="X94" s="338">
        <f t="shared" si="27"/>
        <v>7.9654182119777088</v>
      </c>
      <c r="Y94" s="333">
        <f t="shared" si="28"/>
        <v>0.53311854174653961</v>
      </c>
      <c r="Z94" s="336">
        <v>0.29880000000000001</v>
      </c>
      <c r="AA94" s="339">
        <v>3.95E-2</v>
      </c>
      <c r="AC94" s="1495">
        <v>0.26500000000000001</v>
      </c>
      <c r="AE94" s="338">
        <f t="shared" si="29"/>
        <v>1.8190714618355117</v>
      </c>
      <c r="AF94" s="338">
        <f t="shared" si="30"/>
        <v>0.96439278958009655</v>
      </c>
      <c r="AG94" s="338">
        <f t="shared" si="31"/>
        <v>1.613299656581026</v>
      </c>
      <c r="AH94" s="333">
        <f t="shared" si="32"/>
        <v>0</v>
      </c>
      <c r="AI94" s="200">
        <f>IF(OR($I$2="RRO (Capped)",$I$2="RRO (Uncapped)"),VLOOKUP(A94,'Misc. Data &amp; Mechanisms'!$A$1483:$H$1574,4,FALSE),AT94)</f>
        <v>5.46</v>
      </c>
      <c r="AJ94" s="333">
        <f t="shared" si="45"/>
        <v>5.46</v>
      </c>
      <c r="AK94" s="340">
        <f>5%</f>
        <v>0.05</v>
      </c>
      <c r="AL94" s="341">
        <f>'Misc. Data &amp; Mechanisms'!AJ367</f>
        <v>540.26103669385975</v>
      </c>
      <c r="AM94" s="1087">
        <f>'Misc. Data &amp; Mechanisms'!AP367</f>
        <v>476.24114859663291</v>
      </c>
      <c r="AN94" s="1087">
        <f>'Misc. Data &amp; Mechanisms'!Q367</f>
        <v>608.792323238123</v>
      </c>
      <c r="AO94" s="1087">
        <f>'Misc. Data &amp; Mechanisms'!R367</f>
        <v>462.01715887546311</v>
      </c>
      <c r="AP94" s="1087">
        <f>'Misc. Data &amp; Mechanisms'!S367</f>
        <v>341.92344116119756</v>
      </c>
      <c r="AQ94" s="1463">
        <f>'Misc. Data &amp; Mechanisms'!$B$259</f>
        <v>611.34673880086393</v>
      </c>
      <c r="AR94" s="197">
        <f>IFERROR(IF('Personalized Bill Menu'!$B$30="Yes", IF('Personalized Bill Menu'!$B$34="Natural Gas",0,VLOOKUP($A94, 'Personalized Bill Menu'!$H$4:$L$93, 2, FALSE)), 0), 0)</f>
        <v>0</v>
      </c>
      <c r="AS94" s="1343">
        <f>IFERROR(IF('Personalized Bill Menu'!$C$36="Custom", IF('Personalized Bill Menu'!$B$34="Natural Gas",0,VLOOKUP($A94, 'Personalized Bill Menu'!$H$4:$L$93, 3, FALSE)), 0), 0)</f>
        <v>0</v>
      </c>
      <c r="AT94" s="1344">
        <f>IFERROR(IF('Personalized Bill Menu'!$C$36="Custom", IF('Personalized Bill Menu'!$B$34="Natural Gas",0,VLOOKUP($A94, 'Personalized Bill Menu'!$H$4:$L$93, 4, FALSE)), 0), 0)</f>
        <v>0</v>
      </c>
    </row>
    <row r="95" spans="1:46" x14ac:dyDescent="0.35">
      <c r="A95" s="206">
        <v>43586</v>
      </c>
      <c r="B95" s="207">
        <f t="shared" si="33"/>
        <v>31</v>
      </c>
      <c r="C95" s="1581">
        <f t="shared" ref="C95:C96" si="46">IFERROR(VLOOKUP($A95,$A$5:$AR$96,MATCH($I$1,$A$5:$AR$5,0),FALSE),0)</f>
        <v>608.05993736064295</v>
      </c>
      <c r="D95" s="178">
        <f t="shared" si="37"/>
        <v>21.289416436853486</v>
      </c>
      <c r="E95" s="178">
        <f t="shared" si="38"/>
        <v>15.408461565000001</v>
      </c>
      <c r="F95" s="86">
        <f t="shared" si="39"/>
        <v>129.45241225037773</v>
      </c>
      <c r="G95" s="115">
        <f t="shared" si="40"/>
        <v>41.348075740523726</v>
      </c>
      <c r="H95" s="66">
        <f t="shared" si="41"/>
        <v>24.385635727911225</v>
      </c>
      <c r="I95" s="66">
        <f t="shared" si="34"/>
        <v>39.100459726435673</v>
      </c>
      <c r="J95" s="66">
        <f t="shared" si="42"/>
        <v>8.6023659340640037</v>
      </c>
      <c r="K95" s="66">
        <f t="shared" si="43"/>
        <v>4.3914745380917983</v>
      </c>
      <c r="L95" s="66">
        <f t="shared" si="44"/>
        <v>5.46</v>
      </c>
      <c r="M95" s="68">
        <f t="shared" si="23"/>
        <v>6.1644005833513207</v>
      </c>
      <c r="N95" s="273">
        <f>IF($I$2="RRO (Capped)",VLOOKUP(A95,'Misc. Data &amp; Mechanisms'!$A$1278:$E$1368,4,FALSE),IF($I$2="RRO (Uncapped)",VLOOKUP(A95,'Misc. Data &amp; Mechanisms'!$G$1278:$K$1368,4,FALSE),AS95))</f>
        <v>6.8</v>
      </c>
      <c r="O95" s="333">
        <f t="shared" si="35"/>
        <v>41.348075740523726</v>
      </c>
      <c r="P95" s="336">
        <v>4.0103999999999997</v>
      </c>
      <c r="Q95" s="333">
        <f t="shared" si="24"/>
        <v>24.385635727911225</v>
      </c>
      <c r="R95" s="337">
        <v>2.2886000000000002</v>
      </c>
      <c r="S95" s="337">
        <v>0.81240000000000001</v>
      </c>
      <c r="T95" s="338">
        <f t="shared" si="25"/>
        <v>13.916059726435677</v>
      </c>
      <c r="U95" s="333">
        <f t="shared" si="26"/>
        <v>25.1844</v>
      </c>
      <c r="V95" s="205">
        <f>VLOOKUP($A95,'Misc. Data &amp; Mechanisms'!$A$63:$DY$152,HLOOKUP('Service Zone Menu'!$K$5&amp;"_FORTIS_Elec_Y_1",'Misc. Data &amp; Mechanisms'!$A$55:$DY$62,8,FALSE), FALSE)</f>
        <v>0.127</v>
      </c>
      <c r="W95" s="205">
        <f>VLOOKUP($A95,'Misc. Data &amp; Mechanisms'!$A$63:$DY$152,HLOOKUP('Service Zone Menu'!$K$5&amp;"_FORTIS_Elec_Y_2",'Misc. Data &amp; Mechanisms'!$A$55:$DY$62,8,FALSE), FALSE)</f>
        <v>8.5000000000000006E-3</v>
      </c>
      <c r="X95" s="338">
        <f t="shared" si="27"/>
        <v>8.0627341227020555</v>
      </c>
      <c r="Y95" s="333">
        <f t="shared" si="28"/>
        <v>0.5396318113619486</v>
      </c>
      <c r="Z95" s="336">
        <v>0.29880000000000001</v>
      </c>
      <c r="AA95" s="339">
        <v>3.95E-2</v>
      </c>
      <c r="AC95" s="1495">
        <v>0.26500000000000001</v>
      </c>
      <c r="AE95" s="338">
        <f t="shared" si="29"/>
        <v>1.8168830928336013</v>
      </c>
      <c r="AF95" s="338">
        <f t="shared" si="30"/>
        <v>0.96323261125249338</v>
      </c>
      <c r="AG95" s="338">
        <f t="shared" si="31"/>
        <v>1.6113588340057039</v>
      </c>
      <c r="AH95" s="333">
        <f t="shared" si="32"/>
        <v>0</v>
      </c>
      <c r="AI95" s="200">
        <f>IF(OR($I$2="RRO (Capped)",$I$2="RRO (Uncapped)"),VLOOKUP(A95,'Misc. Data &amp; Mechanisms'!$A$1483:$H$1574,4,FALSE),AT95)</f>
        <v>5.46</v>
      </c>
      <c r="AJ95" s="333">
        <f t="shared" si="45"/>
        <v>5.46</v>
      </c>
      <c r="AK95" s="340">
        <f>5%</f>
        <v>0.05</v>
      </c>
      <c r="AL95" s="341">
        <f>'Misc. Data &amp; Mechanisms'!AJ368</f>
        <v>539.61109493486595</v>
      </c>
      <c r="AM95" s="1087">
        <f>'Misc. Data &amp; Mechanisms'!AP368</f>
        <v>471.85318476580102</v>
      </c>
      <c r="AN95" s="1087">
        <f>'Misc. Data &amp; Mechanisms'!Q368</f>
        <v>608.05993736064295</v>
      </c>
      <c r="AO95" s="1087">
        <f>'Misc. Data &amp; Mechanisms'!R368</f>
        <v>461.46134562125837</v>
      </c>
      <c r="AP95" s="1087">
        <f>'Misc. Data &amp; Mechanisms'!S368</f>
        <v>341.51210236810329</v>
      </c>
      <c r="AQ95" s="1463">
        <f>'Misc. Data &amp; Mechanisms'!$B$259</f>
        <v>611.34673880086393</v>
      </c>
      <c r="AR95" s="197">
        <f>IFERROR(IF('Personalized Bill Menu'!$B$30="Yes", IF('Personalized Bill Menu'!$B$34="Natural Gas",0,VLOOKUP($A95, 'Personalized Bill Menu'!$H$4:$L$93, 2, FALSE)), 0), 0)</f>
        <v>0</v>
      </c>
      <c r="AS95" s="1343">
        <f>IFERROR(IF('Personalized Bill Menu'!$C$36="Custom", IF('Personalized Bill Menu'!$B$34="Natural Gas",0,VLOOKUP($A95, 'Personalized Bill Menu'!$H$4:$L$93, 3, FALSE)), 0), 0)</f>
        <v>0</v>
      </c>
      <c r="AT95" s="1344">
        <f>IFERROR(IF('Personalized Bill Menu'!$C$36="Custom", IF('Personalized Bill Menu'!$B$34="Natural Gas",0,VLOOKUP($A95, 'Personalized Bill Menu'!$H$4:$L$93, 4, FALSE)), 0), 0)</f>
        <v>0</v>
      </c>
    </row>
    <row r="96" spans="1:46" x14ac:dyDescent="0.35">
      <c r="A96" s="206">
        <v>43617</v>
      </c>
      <c r="B96" s="207">
        <f t="shared" si="33"/>
        <v>30</v>
      </c>
      <c r="C96" s="1581">
        <f t="shared" si="46"/>
        <v>595.15885381499334</v>
      </c>
      <c r="D96" s="178">
        <f t="shared" si="37"/>
        <v>21.254148993992686</v>
      </c>
      <c r="E96" s="178">
        <f t="shared" si="38"/>
        <v>15.408461565000001</v>
      </c>
      <c r="F96" s="86">
        <f t="shared" si="39"/>
        <v>126.4959495407778</v>
      </c>
      <c r="G96" s="115">
        <f t="shared" si="40"/>
        <v>40.470802059419547</v>
      </c>
      <c r="H96" s="66">
        <f t="shared" si="41"/>
        <v>23.868250673396492</v>
      </c>
      <c r="I96" s="66">
        <f t="shared" si="34"/>
        <v>37.992805528409939</v>
      </c>
      <c r="J96" s="66">
        <f t="shared" si="42"/>
        <v>8.3821731153447718</v>
      </c>
      <c r="K96" s="66">
        <f t="shared" si="43"/>
        <v>4.2983015194080938</v>
      </c>
      <c r="L96" s="66">
        <f t="shared" si="44"/>
        <v>5.46</v>
      </c>
      <c r="M96" s="68">
        <f t="shared" si="23"/>
        <v>6.0236166447989428</v>
      </c>
      <c r="N96" s="273">
        <f>IF($I$2="RRO (Capped)",VLOOKUP(A96,'Misc. Data &amp; Mechanisms'!$A$1278:$E$1368,4,FALSE),IF($I$2="RRO (Uncapped)",VLOOKUP(A96,'Misc. Data &amp; Mechanisms'!$G$1278:$K$1368,4,FALSE),AS96))</f>
        <v>6.8</v>
      </c>
      <c r="O96" s="333">
        <f t="shared" si="35"/>
        <v>40.470802059419547</v>
      </c>
      <c r="P96" s="336">
        <v>4.0103999999999997</v>
      </c>
      <c r="Q96" s="333">
        <f t="shared" si="24"/>
        <v>23.868250673396492</v>
      </c>
      <c r="R96" s="337">
        <v>2.2886000000000002</v>
      </c>
      <c r="S96" s="337">
        <v>0.81240000000000001</v>
      </c>
      <c r="T96" s="338">
        <f t="shared" si="25"/>
        <v>13.620805528409939</v>
      </c>
      <c r="U96" s="333">
        <f t="shared" si="26"/>
        <v>24.372</v>
      </c>
      <c r="V96" s="205">
        <f>VLOOKUP($A96,'Misc. Data &amp; Mechanisms'!$A$63:$DY$152,HLOOKUP('Service Zone Menu'!$K$5&amp;"_FORTIS_Elec_Y_1",'Misc. Data &amp; Mechanisms'!$A$55:$DY$62,8,FALSE), FALSE)</f>
        <v>0.127</v>
      </c>
      <c r="W96" s="205">
        <f>VLOOKUP($A96,'Misc. Data &amp; Mechanisms'!$A$63:$DY$152,HLOOKUP('Service Zone Menu'!$K$5&amp;"_FORTIS_Elec_Y_2",'Misc. Data &amp; Mechanisms'!$A$55:$DY$62,8,FALSE), FALSE)</f>
        <v>8.5000000000000006E-3</v>
      </c>
      <c r="X96" s="338">
        <f t="shared" si="27"/>
        <v>7.8563541376294177</v>
      </c>
      <c r="Y96" s="333">
        <f t="shared" si="28"/>
        <v>0.52581897771535469</v>
      </c>
      <c r="Z96" s="336">
        <v>0.29880000000000001</v>
      </c>
      <c r="AA96" s="339">
        <v>3.95E-2</v>
      </c>
      <c r="AC96" s="1495">
        <v>0.26500000000000001</v>
      </c>
      <c r="AE96" s="338">
        <f t="shared" si="29"/>
        <v>1.7783346551992003</v>
      </c>
      <c r="AF96" s="338">
        <f t="shared" si="30"/>
        <v>0.94279590159916149</v>
      </c>
      <c r="AG96" s="338">
        <f t="shared" si="31"/>
        <v>1.5771709626097323</v>
      </c>
      <c r="AH96" s="333">
        <f t="shared" si="32"/>
        <v>0</v>
      </c>
      <c r="AI96" s="200">
        <f>IF(OR($I$2="RRO (Capped)",$I$2="RRO (Uncapped)"),VLOOKUP(A96,'Misc. Data &amp; Mechanisms'!$A$1483:$H$1574,4,FALSE),AT96)</f>
        <v>5.46</v>
      </c>
      <c r="AJ96" s="333">
        <f t="shared" si="45"/>
        <v>5.46</v>
      </c>
      <c r="AK96" s="340">
        <f>5%</f>
        <v>0.05</v>
      </c>
      <c r="AL96" s="341">
        <f>'Misc. Data &amp; Mechanisms'!AJ369</f>
        <v>528.16227650401891</v>
      </c>
      <c r="AM96" s="1087">
        <f>'Misc. Data &amp; Mechanisms'!AP369</f>
        <v>452.75495337955903</v>
      </c>
      <c r="AN96" s="1087">
        <f>'Misc. Data &amp; Mechanisms'!Q369</f>
        <v>595.15885381499334</v>
      </c>
      <c r="AO96" s="1087">
        <f>'Misc. Data &amp; Mechanisms'!R369</f>
        <v>451.6706144660551</v>
      </c>
      <c r="AP96" s="1087">
        <f>'Misc. Data &amp; Mechanisms'!S369</f>
        <v>334.26630981741226</v>
      </c>
      <c r="AQ96" s="1463">
        <f>'Misc. Data &amp; Mechanisms'!$B$259</f>
        <v>611.34673880086393</v>
      </c>
      <c r="AR96" s="197">
        <f>IFERROR(IF('Personalized Bill Menu'!$B$30="Yes", IF('Personalized Bill Menu'!$B$34="Natural Gas",0,VLOOKUP($A96, 'Personalized Bill Menu'!$H$4:$L$93, 2, FALSE)), 0), 0)</f>
        <v>0</v>
      </c>
      <c r="AS96" s="1343">
        <f>IFERROR(IF('Personalized Bill Menu'!$C$36="Custom", IF('Personalized Bill Menu'!$B$34="Natural Gas",0,VLOOKUP($A96, 'Personalized Bill Menu'!$H$4:$L$93, 3, FALSE)), 0), 0)</f>
        <v>0</v>
      </c>
      <c r="AT96" s="1344">
        <f>IFERROR(IF('Personalized Bill Menu'!$C$36="Custom", IF('Personalized Bill Menu'!$B$34="Natural Gas",0,VLOOKUP($A96, 'Personalized Bill Menu'!$H$4:$L$93, 4, FALSE)), 0), 0)</f>
        <v>0</v>
      </c>
    </row>
  </sheetData>
  <sheetProtection sheet="1" objects="1" scenarios="1"/>
  <mergeCells count="29">
    <mergeCell ref="AS4:AT4"/>
    <mergeCell ref="AH5:AH6"/>
    <mergeCell ref="AJ5:AJ6"/>
    <mergeCell ref="O5:O6"/>
    <mergeCell ref="Q5:Q6"/>
    <mergeCell ref="T5:T6"/>
    <mergeCell ref="U5:U6"/>
    <mergeCell ref="X5:X6"/>
    <mergeCell ref="Y5:Y6"/>
    <mergeCell ref="AE5:AE6"/>
    <mergeCell ref="AF5:AF6"/>
    <mergeCell ref="AG5:AG6"/>
    <mergeCell ref="R4:U4"/>
    <mergeCell ref="AL4:AR4"/>
    <mergeCell ref="P4:Q4"/>
    <mergeCell ref="V4:Y4"/>
    <mergeCell ref="Z4:AH4"/>
    <mergeCell ref="AI4:AJ4"/>
    <mergeCell ref="A1:D1"/>
    <mergeCell ref="A2:D2"/>
    <mergeCell ref="F1:H1"/>
    <mergeCell ref="N4:O4"/>
    <mergeCell ref="I1:K1"/>
    <mergeCell ref="A4:F4"/>
    <mergeCell ref="G4:M4"/>
    <mergeCell ref="F2:H2"/>
    <mergeCell ref="N1:O1"/>
    <mergeCell ref="N2:O2"/>
    <mergeCell ref="I2:K2"/>
  </mergeCells>
  <conditionalFormatting sqref="AA7:AB81 AD7:AD81">
    <cfRule type="cellIs" dxfId="19" priority="17" operator="lessThan">
      <formula>0</formula>
    </cfRule>
  </conditionalFormatting>
  <conditionalFormatting sqref="AA82:AB82 AD82">
    <cfRule type="cellIs" dxfId="18" priority="16" operator="lessThan">
      <formula>0</formula>
    </cfRule>
  </conditionalFormatting>
  <conditionalFormatting sqref="AA83:AB84 AD83:AD84">
    <cfRule type="cellIs" dxfId="17" priority="15" operator="lessThan">
      <formula>0</formula>
    </cfRule>
  </conditionalFormatting>
  <conditionalFormatting sqref="AA85:AB85 AD85">
    <cfRule type="cellIs" dxfId="16" priority="13" operator="lessThan">
      <formula>0</formula>
    </cfRule>
  </conditionalFormatting>
  <conditionalFormatting sqref="AA86:AB87 AD86:AD87">
    <cfRule type="cellIs" dxfId="15" priority="12" operator="lessThan">
      <formula>0</formula>
    </cfRule>
  </conditionalFormatting>
  <conditionalFormatting sqref="AA88">
    <cfRule type="cellIs" dxfId="14" priority="8" operator="lessThan">
      <formula>0</formula>
    </cfRule>
  </conditionalFormatting>
  <conditionalFormatting sqref="AA89:AA90">
    <cfRule type="cellIs" dxfId="13" priority="7" operator="lessThan">
      <formula>0</formula>
    </cfRule>
  </conditionalFormatting>
  <conditionalFormatting sqref="AA91:AB93 AD91:AD93">
    <cfRule type="cellIs" dxfId="12" priority="3" operator="lessThan">
      <formula>0</formula>
    </cfRule>
  </conditionalFormatting>
  <conditionalFormatting sqref="AA94:AA96">
    <cfRule type="cellIs" dxfId="11" priority="1" operator="lessThan">
      <formula>0</formula>
    </cfRule>
  </conditionalFormatting>
  <hyperlinks>
    <hyperlink ref="N2" location="'Elec. Analysis'!A1" display="Go to Electricity Analysis"/>
    <hyperlink ref="N1" location="'Regional Menu'!A1" display="Return to Regional Menu"/>
    <hyperlink ref="N1:O1" location="'Service Zone Menu'!A1" display="Return to Service Zone Menu"/>
  </hyperlinks>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Compliance_x0020_Category xmlns="191089c8-f783-49b0-ad5e-b7846b3801c0">Monitoring</Compliance_x0020_Category>
    <Document_x0020_Type xmlns="191089c8-f783-49b0-ad5e-b7846b3801c0">Data</Document_x0020_Type>
    <IconOverlay xmlns="http://schemas.microsoft.com/sharepoint/v4" xsi:nil="true"/>
    <DocumentSetDescription xmlns="http://schemas.microsoft.com/sharepoint/v3">Final (Publishable)</DocumentSetDescription>
    <Security_x0020_Classification xmlns="191089c8-f783-49b0-ad5e-b7846b3801c0">Protected</Security_x0020_Classification>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2AC4BD06A4AB624C97F36669951D30F6" ma:contentTypeVersion="50" ma:contentTypeDescription="Create a new document." ma:contentTypeScope="" ma:versionID="788746294ee3dc71107ef06e841dd0f7">
  <xsd:schema xmlns:xsd="http://www.w3.org/2001/XMLSchema" xmlns:xs="http://www.w3.org/2001/XMLSchema" xmlns:p="http://schemas.microsoft.com/office/2006/metadata/properties" xmlns:ns1="http://schemas.microsoft.com/sharepoint/v3" xmlns:ns2="191089c8-f783-49b0-ad5e-b7846b3801c0" xmlns:ns3="http://schemas.microsoft.com/sharepoint/v4" targetNamespace="http://schemas.microsoft.com/office/2006/metadata/properties" ma:root="true" ma:fieldsID="f969e72d2d884e37fcf521e0b830b82b" ns1:_="" ns2:_="" ns3:_="">
    <xsd:import namespace="http://schemas.microsoft.com/sharepoint/v3"/>
    <xsd:import namespace="191089c8-f783-49b0-ad5e-b7846b3801c0"/>
    <xsd:import namespace="http://schemas.microsoft.com/sharepoint/v4"/>
    <xsd:element name="properties">
      <xsd:complexType>
        <xsd:sequence>
          <xsd:element name="documentManagement">
            <xsd:complexType>
              <xsd:all>
                <xsd:element ref="ns2:Security_x0020_Classification"/>
                <xsd:element ref="ns2:Document_x0020_Type" minOccurs="0"/>
                <xsd:element ref="ns1:DocumentSetDescription" minOccurs="0"/>
                <xsd:element ref="ns2:Compliance_x0020_Category" minOccurs="0"/>
                <xsd:element ref="ns3:IconOverlay"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DocumentSetDescription" ma:index="10" nillable="true" ma:displayName="Description" ma:description="" ma:internalName="DocumentSetDescription" ma:readOnly="fals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191089c8-f783-49b0-ad5e-b7846b3801c0" elementFormDefault="qualified">
    <xsd:import namespace="http://schemas.microsoft.com/office/2006/documentManagement/types"/>
    <xsd:import namespace="http://schemas.microsoft.com/office/infopath/2007/PartnerControls"/>
    <xsd:element name="Security_x0020_Classification" ma:index="8" ma:displayName="Security Classification" ma:default="Protected" ma:format="Dropdown" ma:internalName="Security_x0020_Classification">
      <xsd:simpleType>
        <xsd:restriction base="dms:Choice">
          <xsd:enumeration value="Unrestricted"/>
          <xsd:enumeration value="Protected"/>
          <xsd:enumeration value="Confidential"/>
          <xsd:enumeration value="Restricted"/>
        </xsd:restriction>
      </xsd:simpleType>
    </xsd:element>
    <xsd:element name="Document_x0020_Type" ma:index="9" nillable="true" ma:displayName="Document Type" ma:format="Dropdown" ma:internalName="Document_x0020_Type">
      <xsd:simpleType>
        <xsd:restriction base="dms:Choice">
          <xsd:enumeration value="Briefing Note"/>
          <xsd:enumeration value="Communication"/>
          <xsd:enumeration value="Data"/>
          <xsd:enumeration value="Documentation"/>
          <xsd:enumeration value="Facts and Findings"/>
          <xsd:enumeration value="Information Request"/>
          <xsd:enumeration value="IR Response"/>
          <xsd:enumeration value="Issue Assessment"/>
          <xsd:enumeration value="Meeting Notes"/>
          <xsd:enumeration value="Memo"/>
          <xsd:enumeration value="Notice"/>
          <xsd:enumeration value="Publication"/>
          <xsd:enumeration value="Publication Checklist"/>
          <xsd:enumeration value="Policy"/>
          <xsd:enumeration value="Resolution"/>
          <xsd:enumeration value="Submission"/>
        </xsd:restriction>
      </xsd:simpleType>
    </xsd:element>
    <xsd:element name="Compliance_x0020_Category" ma:index="11" nillable="true" ma:displayName="Category" ma:format="Dropdown" ma:hidden="true" ma:internalName="Compliance_x0020_Category" ma:readOnly="false">
      <xsd:simpleType>
        <xsd:restriction base="dms:Choice">
          <xsd:enumeration value="Monitoring"/>
          <xsd:enumeration value="Investigation"/>
          <xsd:enumeration value="Enforcement"/>
          <xsd:enumeration value="General"/>
        </xsd:restriction>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4" elementFormDefault="qualified">
    <xsd:import namespace="http://schemas.microsoft.com/office/2006/documentManagement/types"/>
    <xsd:import namespace="http://schemas.microsoft.com/office/infopath/2007/PartnerControls"/>
    <xsd:element name="IconOverlay" ma:index="12" nillable="true" ma:displayName="IconOverlay" ma:hidden="true" ma:internalName="IconOverlay">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24BC500-1F53-44A2-901D-E0FD0C0E718E}">
  <ds:schemaRefs>
    <ds:schemaRef ds:uri="http://schemas.microsoft.com/sharepoint/v3/contenttype/forms"/>
  </ds:schemaRefs>
</ds:datastoreItem>
</file>

<file path=customXml/itemProps2.xml><?xml version="1.0" encoding="utf-8"?>
<ds:datastoreItem xmlns:ds="http://schemas.openxmlformats.org/officeDocument/2006/customXml" ds:itemID="{BB78B97B-F05A-4677-BB3C-7BDE1B42B9A3}">
  <ds:schemaRefs>
    <ds:schemaRef ds:uri="http://purl.org/dc/elements/1.1/"/>
    <ds:schemaRef ds:uri="http://schemas.microsoft.com/sharepoint/v4"/>
    <ds:schemaRef ds:uri="http://schemas.microsoft.com/office/2006/documentManagement/types"/>
    <ds:schemaRef ds:uri="191089c8-f783-49b0-ad5e-b7846b3801c0"/>
    <ds:schemaRef ds:uri="http://schemas.microsoft.com/sharepoint/v3"/>
    <ds:schemaRef ds:uri="http://purl.org/dc/terms/"/>
    <ds:schemaRef ds:uri="http://schemas.microsoft.com/office/2006/metadata/properti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F754875E-6E7A-4CD0-9618-1AE1A9FE57D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191089c8-f783-49b0-ad5e-b7846b3801c0"/>
    <ds:schemaRef ds:uri="http://schemas.microsoft.com/sharepoint/v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17</vt:i4>
      </vt:variant>
    </vt:vector>
  </HeadingPairs>
  <TitlesOfParts>
    <vt:vector size="17" baseType="lpstr">
      <vt:lpstr>Navigation Menu</vt:lpstr>
      <vt:lpstr>Personalized Bill Menu</vt:lpstr>
      <vt:lpstr>Electricity Bill</vt:lpstr>
      <vt:lpstr>Natural Gas Bill</vt:lpstr>
      <vt:lpstr>Service Zone Menu</vt:lpstr>
      <vt:lpstr>Elec. Analysis</vt:lpstr>
      <vt:lpstr>ENMAX</vt:lpstr>
      <vt:lpstr>EPCOR</vt:lpstr>
      <vt:lpstr>FORTIS</vt:lpstr>
      <vt:lpstr>ATCO</vt:lpstr>
      <vt:lpstr>NG Analysis</vt:lpstr>
      <vt:lpstr>ATCO-N</vt:lpstr>
      <vt:lpstr>ATCO-S</vt:lpstr>
      <vt:lpstr>AltaGas</vt:lpstr>
      <vt:lpstr>Elec. Appendix</vt:lpstr>
      <vt:lpstr>NG Appendix</vt:lpstr>
      <vt:lpstr>Misc. Data &amp; Mechanisms</vt:lpstr>
    </vt:vector>
  </TitlesOfParts>
  <Company>Alberta Electric System Operator</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Retail Electricity and Natural Gas Billing Tool 2019 Q2 Public</dc:title>
  <dc:creator>James Conville</dc:creator>
  <cp:lastModifiedBy>Amy Siciliano</cp:lastModifiedBy>
  <cp:lastPrinted>2016-06-24T15:10:44Z</cp:lastPrinted>
  <dcterms:created xsi:type="dcterms:W3CDTF">2016-06-13T16:49:55Z</dcterms:created>
  <dcterms:modified xsi:type="dcterms:W3CDTF">2019-10-11T14:45:21Z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0x0101002AC4BD06A4AB624C97F36669951D30F6</vt:lpwstr>
  </property>
  <property fmtid="{D5CDD505-2E9C-101B-9397-08002B2CF9AE}" pid="3" name="_docset_NoMedatataSyncRequired">
    <vt:lpwstr>False</vt:lpwstr>
  </property>
</Properties>
</file>